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2.xml" ContentType="application/vnd.openxmlformats-officedocument.drawing+xml"/>
  <Override PartName="/xl/tables/table20.xml" ContentType="application/vnd.openxmlformats-officedocument.spreadsheetml.table+xml"/>
  <Override PartName="/xl/slicers/slicer1.xml" ContentType="application/vnd.ms-excel.slicer+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queryTables/queryTable1.xml" ContentType="application/vnd.openxmlformats-officedocument.spreadsheetml.queryTable+xml"/>
  <Override PartName="/xl/tables/table25.xml" ContentType="application/vnd.openxmlformats-officedocument.spreadsheetml.table+xml"/>
  <Override PartName="/xl/drawings/drawing3.xml" ContentType="application/vnd.openxmlformats-officedocument.drawing+xml"/>
  <Override PartName="/xl/tables/table26.xml" ContentType="application/vnd.openxmlformats-officedocument.spreadsheetml.table+xml"/>
  <Override PartName="/xl/slicers/slicer2.xml" ContentType="application/vnd.ms-excel.slicer+xml"/>
  <Override PartName="/xl/tables/table27.xml" ContentType="application/vnd.openxmlformats-officedocument.spreadsheetml.table+xml"/>
  <Override PartName="/xl/queryTables/queryTable2.xml" ContentType="application/vnd.openxmlformats-officedocument.spreadsheetml.query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queryTables/queryTable3.xml" ContentType="application/vnd.openxmlformats-officedocument.spreadsheetml.queryTable+xml"/>
  <Override PartName="/xl/tables/table31.xml" ContentType="application/vnd.openxmlformats-officedocument.spreadsheetml.table+xml"/>
  <Override PartName="/xl/drawings/drawing4.xml" ContentType="application/vnd.openxmlformats-officedocument.drawing+xml"/>
  <Override PartName="/xl/tables/table32.xml" ContentType="application/vnd.openxmlformats-officedocument.spreadsheetml.table+xml"/>
  <Override PartName="/xl/slicers/slicer3.xml" ContentType="application/vnd.ms-excel.slicer+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queryTables/queryTable4.xml" ContentType="application/vnd.openxmlformats-officedocument.spreadsheetml.queryTable+xml"/>
  <Override PartName="/xl/tables/table37.xml" ContentType="application/vnd.openxmlformats-officedocument.spreadsheetml.table+xml"/>
  <Override PartName="/xl/drawings/drawing5.xml" ContentType="application/vnd.openxmlformats-officedocument.drawing+xml"/>
  <Override PartName="/xl/tables/table38.xml" ContentType="application/vnd.openxmlformats-officedocument.spreadsheetml.table+xml"/>
  <Override PartName="/xl/slicers/slicer4.xml" ContentType="application/vnd.ms-excel.slicer+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queryTables/queryTable5.xml" ContentType="application/vnd.openxmlformats-officedocument.spreadsheetml.queryTable+xml"/>
  <Override PartName="/xl/tables/table43.xml" ContentType="application/vnd.openxmlformats-officedocument.spreadsheetml.table+xml"/>
  <Override PartName="/xl/drawings/drawing6.xml" ContentType="application/vnd.openxmlformats-officedocument.drawing+xml"/>
  <Override PartName="/xl/tables/table44.xml" ContentType="application/vnd.openxmlformats-officedocument.spreadsheetml.table+xml"/>
  <Override PartName="/xl/slicers/slicer5.xml" ContentType="application/vnd.ms-excel.slicer+xml"/>
  <Override PartName="/xl/tables/table45.xml" ContentType="application/vnd.openxmlformats-officedocument.spreadsheetml.table+xml"/>
  <Override PartName="/xl/queryTables/queryTable6.xml" ContentType="application/vnd.openxmlformats-officedocument.spreadsheetml.query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drawings/drawing7.xml" ContentType="application/vnd.openxmlformats-officedocument.drawing+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drawings/drawing8.xml" ContentType="application/vnd.openxmlformats-officedocument.drawing+xml"/>
  <Override PartName="/xl/tables/table52.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tables/table53.xml" ContentType="application/vnd.openxmlformats-officedocument.spreadsheetml.table+xml"/>
  <Override PartName="/xl/tables/table54.xml" ContentType="application/vnd.openxmlformats-officedocument.spreadsheetml.table+xml"/>
  <Override PartName="/xl/slicers/slicer6.xml" ContentType="application/vnd.ms-excel.slicer+xml"/>
  <Override PartName="/xl/drawings/drawing11.xml" ContentType="application/vnd.openxmlformats-officedocument.drawing+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slicers/slicer7.xml" ContentType="application/vnd.ms-excel.slicer+xml"/>
  <Override PartName="/xl/tables/table58.xml" ContentType="application/vnd.openxmlformats-officedocument.spreadsheetml.table+xml"/>
  <Override PartName="/xl/tables/table59.xml" ContentType="application/vnd.openxmlformats-officedocument.spreadsheetml.table+xml"/>
  <Override PartName="/xl/drawings/drawing12.xml" ContentType="application/vnd.openxmlformats-officedocument.drawing+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Ben Jammin\Dropbox\DailyRotoSharks Dropbox\NFL\"/>
    </mc:Choice>
  </mc:AlternateContent>
  <bookViews>
    <workbookView xWindow="0" yWindow="0" windowWidth="11364" windowHeight="9228" tabRatio="894" firstSheet="2" activeTab="9"/>
  </bookViews>
  <sheets>
    <sheet name="DK_salaries" sheetId="12" state="hidden" r:id="rId1"/>
    <sheet name="DK_Salary_Changes" sheetId="63" state="hidden" r:id="rId2"/>
    <sheet name="Last Week Results" sheetId="59" r:id="rId3"/>
    <sheet name="LastWeekDKResultsData" sheetId="58" state="hidden" r:id="rId4"/>
    <sheet name="QBYTD" sheetId="64" state="hidden" r:id="rId5"/>
    <sheet name="RBYTD" sheetId="65" state="hidden" r:id="rId6"/>
    <sheet name="WRYTD" sheetId="66" state="hidden" r:id="rId7"/>
    <sheet name="TEYTD" sheetId="67" state="hidden" r:id="rId8"/>
    <sheet name="Projections" sheetId="73" state="hidden" r:id="rId9"/>
    <sheet name="QB_matchups" sheetId="52" r:id="rId10"/>
    <sheet name="QBstats1" sheetId="5" state="hidden" r:id="rId11"/>
    <sheet name="QBstats2" sheetId="25" state="hidden" r:id="rId12"/>
    <sheet name="QBstats3" sheetId="31" state="hidden" r:id="rId13"/>
    <sheet name="Qb Allowed" sheetId="21" state="hidden" r:id="rId14"/>
    <sheet name="RB_matchups" sheetId="14" r:id="rId15"/>
    <sheet name="HBstats1" sheetId="2" state="hidden" r:id="rId16"/>
    <sheet name="HBstats2" sheetId="26" state="hidden" r:id="rId17"/>
    <sheet name="HBstats3" sheetId="32" state="hidden" r:id="rId18"/>
    <sheet name="HB Allowed" sheetId="22" state="hidden" r:id="rId19"/>
    <sheet name="WR_matchups" sheetId="15" r:id="rId20"/>
    <sheet name="WRstats1" sheetId="3" state="hidden" r:id="rId21"/>
    <sheet name="WRstats2" sheetId="27" state="hidden" r:id="rId22"/>
    <sheet name="WRstats3" sheetId="34" state="hidden" r:id="rId23"/>
    <sheet name="WR Allowed" sheetId="23" state="hidden" r:id="rId24"/>
    <sheet name="TE_matchups" sheetId="16" r:id="rId25"/>
    <sheet name="TEstats1" sheetId="4" state="hidden" r:id="rId26"/>
    <sheet name="TEstats2" sheetId="28" state="hidden" r:id="rId27"/>
    <sheet name="TEstats3" sheetId="33" state="hidden" r:id="rId28"/>
    <sheet name="TE Allowed" sheetId="24" state="hidden" r:id="rId29"/>
    <sheet name="DEF_matchups" sheetId="43" r:id="rId30"/>
    <sheet name="Stack Data" sheetId="54" state="hidden" r:id="rId31"/>
    <sheet name="DEFstats1" sheetId="57" state="hidden" r:id="rId32"/>
    <sheet name="DEFstats2" sheetId="39" state="hidden" r:id="rId33"/>
    <sheet name="DEFstats3" sheetId="40" state="hidden" r:id="rId34"/>
    <sheet name="Lineup Builder" sheetId="45" r:id="rId35"/>
    <sheet name="Wk3WRvCB" sheetId="60" state="hidden" r:id="rId36"/>
    <sheet name="Stack Builder" sheetId="55" r:id="rId37"/>
    <sheet name="Depth Charts" sheetId="30" state="hidden" r:id="rId38"/>
    <sheet name="2016 Target Tracker" sheetId="68" r:id="rId39"/>
    <sheet name="2016 YAC" sheetId="71" r:id="rId40"/>
    <sheet name="2016YAC-DATA" sheetId="70" state="hidden" r:id="rId41"/>
    <sheet name="Ease of Schedule" sheetId="29" r:id="rId42"/>
    <sheet name="Vegas" sheetId="56" state="hidden" r:id="rId43"/>
    <sheet name="2015 Team OFF Stats" sheetId="44" state="hidden" r:id="rId44"/>
  </sheets>
  <externalReferences>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s>
  <definedNames>
    <definedName name="atl" localSheetId="37">'Depth Charts'!#REF!</definedName>
    <definedName name="batters2yr" localSheetId="38">[1]!Table10[#Data]</definedName>
    <definedName name="batters2yr" localSheetId="39">[1]!Table10[#Data]</definedName>
    <definedName name="batters2yr" localSheetId="40">[1]!Table10[#Data]</definedName>
    <definedName name="batters2yr" localSheetId="8">[1]!Table10[#Data]</definedName>
    <definedName name="batters2yr">[2]!Table10[#Data]</definedName>
    <definedName name="buf" localSheetId="37">'Depth Charts'!#REF!</definedName>
    <definedName name="car" localSheetId="37">'Depth Charts'!#REF!</definedName>
    <definedName name="chi" localSheetId="37">'Depth Charts'!#REF!</definedName>
    <definedName name="cin" localSheetId="37">'Depth Charts'!#REF!</definedName>
    <definedName name="cle" localSheetId="37">'Depth Charts'!#REF!</definedName>
    <definedName name="clt" localSheetId="37">'Depth Charts'!#REF!</definedName>
    <definedName name="crd" localSheetId="37">'Depth Charts'!#REF!</definedName>
    <definedName name="dailybattersmu" localSheetId="43">#REF!</definedName>
    <definedName name="dailybattersmu" localSheetId="38">#REF!</definedName>
    <definedName name="dailybattersmu" localSheetId="39">#REF!</definedName>
    <definedName name="dailybattersmu" localSheetId="29">#REF!</definedName>
    <definedName name="dailybattersmu" localSheetId="3">#REF!</definedName>
    <definedName name="dailybattersmu" localSheetId="34">[3]!dailyhitters[[Name]:[Rating]]</definedName>
    <definedName name="dailybattersmu" localSheetId="4">#REF!</definedName>
    <definedName name="dailybattersmu" localSheetId="5">#REF!</definedName>
    <definedName name="dailybattersmu" localSheetId="36">#REF!</definedName>
    <definedName name="dailybattersmu" localSheetId="7">#REF!</definedName>
    <definedName name="dailybattersmu" localSheetId="35">#REF!</definedName>
    <definedName name="dailybattersmu" localSheetId="6">#REF!</definedName>
    <definedName name="dailybattersmu">#REF!</definedName>
    <definedName name="dailybattingmu" localSheetId="43">#REF!</definedName>
    <definedName name="dailybattingmu" localSheetId="38">#REF!</definedName>
    <definedName name="dailybattingmu" localSheetId="39">#REF!</definedName>
    <definedName name="dailybattingmu" localSheetId="29">#REF!</definedName>
    <definedName name="dailybattingmu" localSheetId="3">#REF!</definedName>
    <definedName name="dailybattingmu" localSheetId="34">'[4]Today Batter MATCHUPS'!$B$9:$T$419</definedName>
    <definedName name="dailybattingmu" localSheetId="4">#REF!</definedName>
    <definedName name="dailybattingmu" localSheetId="5">#REF!</definedName>
    <definedName name="dailybattingmu" localSheetId="36">#REF!</definedName>
    <definedName name="dailybattingmu" localSheetId="7">#REF!</definedName>
    <definedName name="dailybattingmu" localSheetId="35">#REF!</definedName>
    <definedName name="dailybattingmu" localSheetId="6">#REF!</definedName>
    <definedName name="dailybattingmu">#REF!</definedName>
    <definedName name="dal" localSheetId="37">'Depth Charts'!#REF!</definedName>
    <definedName name="den" localSheetId="37">'Depth Charts'!#REF!</definedName>
    <definedName name="det" localSheetId="37">'Depth Charts'!#REF!</definedName>
    <definedName name="ExternalData_1" localSheetId="18" hidden="1">'HB Allowed'!$A$1:$J$33</definedName>
    <definedName name="ExternalData_1" localSheetId="15" hidden="1">HBstats1!$A$1:$N$100</definedName>
    <definedName name="ExternalData_1" localSheetId="13" hidden="1">'Qb Allowed'!$A$1:$L$33</definedName>
    <definedName name="ExternalData_1" localSheetId="30" hidden="1">'Stack Data'!$A$1:$F$329</definedName>
    <definedName name="ExternalData_1" localSheetId="28" hidden="1">'TE Allowed'!$A$1:$G$33</definedName>
    <definedName name="ExternalData_1" localSheetId="23" hidden="1">'WR Allowed'!$A$1:$G$33</definedName>
    <definedName name="ExternalData_2" localSheetId="10" hidden="1">QBstats1!#REF!</definedName>
    <definedName name="ExternalData_3" localSheetId="10" hidden="1">QBstats1!#REF!</definedName>
    <definedName name="ExternalData_4" localSheetId="10" hidden="1">QBstats1!#REF!</definedName>
    <definedName name="gnb" localSheetId="37">'Depth Charts'!#REF!</definedName>
    <definedName name="htx" localSheetId="37">'Depth Charts'!#REF!</definedName>
    <definedName name="jax" localSheetId="37">'Depth Charts'!#REF!</definedName>
    <definedName name="kan" localSheetId="37">'Depth Charts'!#REF!</definedName>
    <definedName name="lefties" localSheetId="38">[5]!Table1[#Data]</definedName>
    <definedName name="lefties" localSheetId="39">[5]!Table1[#Data]</definedName>
    <definedName name="lefties" localSheetId="40">[5]!Table1[#Data]</definedName>
    <definedName name="lefties" localSheetId="8">[5]!Table1[#Data]</definedName>
    <definedName name="lefties">[6]!Table1[#Data]</definedName>
    <definedName name="mia" localSheetId="37">'Depth Charts'!#REF!</definedName>
    <definedName name="min" localSheetId="37">'Depth Charts'!#REF!</definedName>
    <definedName name="nor" localSheetId="37">'Depth Charts'!#REF!</definedName>
    <definedName name="nwe" localSheetId="37">'Depth Charts'!#REF!</definedName>
    <definedName name="nyg" localSheetId="37">'Depth Charts'!#REF!</definedName>
    <definedName name="nyj" localSheetId="37">'Depth Charts'!#REF!</definedName>
    <definedName name="oti" localSheetId="37">'Depth Charts'!#REF!</definedName>
    <definedName name="parks" localSheetId="38">[7]!parkfactors[#All]</definedName>
    <definedName name="parks" localSheetId="39">[7]!parkfactors[#All]</definedName>
    <definedName name="parks" localSheetId="40">[7]!parkfactors[#All]</definedName>
    <definedName name="parks" localSheetId="34">[4]!parkfactors[#All]</definedName>
    <definedName name="parks" localSheetId="8">[7]!parkfactors[#All]</definedName>
    <definedName name="parks">[8]!parkfactors[#All]</definedName>
    <definedName name="phi" localSheetId="37">'Depth Charts'!#REF!</definedName>
    <definedName name="pitchers2yr" localSheetId="38">[1]!Table14[#Data]</definedName>
    <definedName name="pitchers2yr" localSheetId="39">[1]!Table14[#Data]</definedName>
    <definedName name="pitchers2yr" localSheetId="40">[1]!Table14[#Data]</definedName>
    <definedName name="pitchers2yr" localSheetId="34">[3]!Table56[#Data]</definedName>
    <definedName name="pitchers2yr" localSheetId="8">[1]!Table14[#Data]</definedName>
    <definedName name="pitchers2yr">[2]!Table14[#Data]</definedName>
    <definedName name="pitchers2yrpq" localSheetId="43">#REF!</definedName>
    <definedName name="pitchers2yrpq" localSheetId="38">#REF!</definedName>
    <definedName name="pitchers2yrpq" localSheetId="39">#REF!</definedName>
    <definedName name="pitchers2yrpq" localSheetId="29">#REF!</definedName>
    <definedName name="pitchers2yrpq" localSheetId="3">#REF!</definedName>
    <definedName name="pitchers2yrpq" localSheetId="34">#REF!</definedName>
    <definedName name="pitchers2yrpq" localSheetId="8">#REF!</definedName>
    <definedName name="pitchers2yrpq" localSheetId="4">#REF!</definedName>
    <definedName name="pitchers2yrpq" localSheetId="5">#REF!</definedName>
    <definedName name="pitchers2yrpq" localSheetId="36">#REF!</definedName>
    <definedName name="pitchers2yrpq" localSheetId="7">#REF!</definedName>
    <definedName name="pitchers2yrpq" localSheetId="35">#REF!</definedName>
    <definedName name="pitchers2yrpq" localSheetId="6">#REF!</definedName>
    <definedName name="pitchers2yrpq">#REF!</definedName>
    <definedName name="pitchersaway" localSheetId="38">[1]!Table6[#Data]</definedName>
    <definedName name="pitchersaway" localSheetId="39">[1]!Table6[#Data]</definedName>
    <definedName name="pitchersaway" localSheetId="40">[1]!Table6[#Data]</definedName>
    <definedName name="pitchersaway" localSheetId="8">[1]!Table6[#Data]</definedName>
    <definedName name="pitchersaway">[2]!Table6[#Data]</definedName>
    <definedName name="pitchershome" localSheetId="38">[1]!Table8[#Data]</definedName>
    <definedName name="pitchershome" localSheetId="39">[1]!Table8[#Data]</definedName>
    <definedName name="pitchershome" localSheetId="40">[1]!Table8[#Data]</definedName>
    <definedName name="pitchershome" localSheetId="8">[1]!Table8[#Data]</definedName>
    <definedName name="pitchershome">[2]!Table8[#Data]</definedName>
    <definedName name="pitcherstoday" localSheetId="38">'[9]Today (SP) Matchups'!$B$19:$R$45</definedName>
    <definedName name="pitcherstoday" localSheetId="39">'[9]Today (SP) Matchups'!$B$19:$R$45</definedName>
    <definedName name="pitcherstoday" localSheetId="40">'[9]Today (SP) Matchups'!$B$19:$R$45</definedName>
    <definedName name="pitcherstoday" localSheetId="34">'[3]Today (SP) Matchups'!$B$19:$R$45</definedName>
    <definedName name="pitcherstoday" localSheetId="8">'[9]Today (SP) Matchups'!$B$19:$R$45</definedName>
    <definedName name="pitcherstoday">'[10]Today (SP) Matchups'!$B$19:$R$45</definedName>
    <definedName name="pitchersvsl" localSheetId="38">[1]!Table410[#Data]</definedName>
    <definedName name="pitchersvsl" localSheetId="39">[1]!Table410[#Data]</definedName>
    <definedName name="pitchersvsl" localSheetId="40">[1]!Table410[#Data]</definedName>
    <definedName name="pitchersvsl" localSheetId="8">[1]!Table410[#Data]</definedName>
    <definedName name="pitchersvsl">[2]!Table410[#Data]</definedName>
    <definedName name="pitchersvsr" localSheetId="38">[1]!Table2[#Data]</definedName>
    <definedName name="pitchersvsr" localSheetId="39">[1]!Table2[#Data]</definedName>
    <definedName name="pitchersvsr" localSheetId="40">[1]!Table2[#Data]</definedName>
    <definedName name="pitchersvsr" localSheetId="8">[1]!Table2[#Data]</definedName>
    <definedName name="pitchersvsr">[2]!Table2[#Data]</definedName>
    <definedName name="pitching2yr" localSheetId="38">[7]!Table56[#All]</definedName>
    <definedName name="pitching2yr" localSheetId="39">[7]!Table56[#All]</definedName>
    <definedName name="pitching2yr" localSheetId="40">[7]!Table56[#All]</definedName>
    <definedName name="pitching2yr" localSheetId="34">[4]!Table56[#All]</definedName>
    <definedName name="pitching2yr" localSheetId="8">[7]!Table56[#All]</definedName>
    <definedName name="pitching2yr">[8]!Table56[#All]</definedName>
    <definedName name="pitchingtoday" localSheetId="38">[7]!pitching[[#All],[Name]:[RATING]]</definedName>
    <definedName name="pitchingtoday" localSheetId="39">[7]!pitching[[#All],[Name]:[RATING]]</definedName>
    <definedName name="pitchingtoday" localSheetId="40">[7]!pitching[[#All],[Name]:[RATING]]</definedName>
    <definedName name="pitchingtoday" localSheetId="34">[4]!pitching[[#All],[Name]:[RATING]]</definedName>
    <definedName name="pitchingtoday" localSheetId="8">[7]!pitching[[#All],[Name]:[RATING]]</definedName>
    <definedName name="pitchingtoday">[8]!pitching[[#All],[Name]:[RATING]]</definedName>
    <definedName name="PosSelected" localSheetId="38">'[11]Stack Builder'!$I$11</definedName>
    <definedName name="PosSelected" localSheetId="39">'[11]Stack Builder'!$I$11</definedName>
    <definedName name="PosSelected" localSheetId="40">'[11]Stack Builder'!$I$11</definedName>
    <definedName name="PosSelected" localSheetId="3">'[12]Stack Builder'!$I$11</definedName>
    <definedName name="PosSelected" localSheetId="8">'[11]Stack Builder'!$I$11</definedName>
    <definedName name="PosSelected" localSheetId="4">'[13]Stack Builder'!$I$11</definedName>
    <definedName name="PosSelected" localSheetId="5">'[13]Stack Builder'!$I$11</definedName>
    <definedName name="PosSelected" localSheetId="7">'[13]Stack Builder'!$I$11</definedName>
    <definedName name="PosSelected" localSheetId="35">'[14]Stack Builder'!$I$11</definedName>
    <definedName name="PosSelected" localSheetId="6">'[13]Stack Builder'!$I$11</definedName>
    <definedName name="PosSelected">'Stack Builder'!$I$11</definedName>
    <definedName name="rai" localSheetId="37">'Depth Charts'!#REF!</definedName>
    <definedName name="ram" localSheetId="37">'Depth Charts'!#REF!</definedName>
    <definedName name="ratings" localSheetId="43">#REF!</definedName>
    <definedName name="ratings" localSheetId="38">#REF!</definedName>
    <definedName name="ratings" localSheetId="39">#REF!</definedName>
    <definedName name="ratings" localSheetId="29">#REF!</definedName>
    <definedName name="ratings" localSheetId="3">#REF!</definedName>
    <definedName name="ratings" localSheetId="34">#REF!</definedName>
    <definedName name="ratings" localSheetId="8">#REF!</definedName>
    <definedName name="ratings" localSheetId="4">#REF!</definedName>
    <definedName name="ratings" localSheetId="5">#REF!</definedName>
    <definedName name="ratings" localSheetId="36">#REF!</definedName>
    <definedName name="ratings" localSheetId="7">#REF!</definedName>
    <definedName name="ratings" localSheetId="35">#REF!</definedName>
    <definedName name="ratings" localSheetId="6">#REF!</definedName>
    <definedName name="ratings">#REF!</definedName>
    <definedName name="righties" localSheetId="38">[5]!Table2[#Data]</definedName>
    <definedName name="righties" localSheetId="39">[5]!Table2[#Data]</definedName>
    <definedName name="righties" localSheetId="40">[5]!Table2[#Data]</definedName>
    <definedName name="righties" localSheetId="8">[5]!Table2[#Data]</definedName>
    <definedName name="righties">[6]!Table2[#Data]</definedName>
    <definedName name="rotogrindersk" localSheetId="38">[1]!RotoGrinders_K_Proj[#Data]</definedName>
    <definedName name="rotogrindersk" localSheetId="39">[1]!RotoGrinders_K_Proj[#Data]</definedName>
    <definedName name="rotogrindersk" localSheetId="40">[1]!RotoGrinders_K_Proj[#Data]</definedName>
    <definedName name="rotogrindersk" localSheetId="8">[1]!RotoGrinders_K_Proj[#Data]</definedName>
    <definedName name="rotogrindersk">[2]!RotoGrinders_K_Proj[#Data]</definedName>
    <definedName name="S1Team" localSheetId="38">'[11]Stack Builder'!$D$9</definedName>
    <definedName name="S1Team" localSheetId="39">'[11]Stack Builder'!$D$9</definedName>
    <definedName name="S1Team" localSheetId="40">'[11]Stack Builder'!$D$9</definedName>
    <definedName name="S1Team" localSheetId="3">'[12]Stack Builder'!$D$9</definedName>
    <definedName name="S1Team" localSheetId="8">'[11]Stack Builder'!$D$9</definedName>
    <definedName name="S1Team" localSheetId="4">'[13]Stack Builder'!$D$9</definedName>
    <definedName name="S1Team" localSheetId="5">'[13]Stack Builder'!$D$9</definedName>
    <definedName name="S1Team" localSheetId="7">'[13]Stack Builder'!$D$9</definedName>
    <definedName name="S1Team" localSheetId="35">'[14]Stack Builder'!$D$9</definedName>
    <definedName name="S1Team" localSheetId="6">'[13]Stack Builder'!$D$9</definedName>
    <definedName name="S1Team">'Stack Builder'!$D$9</definedName>
    <definedName name="S2Team" localSheetId="38">'[11]Stack Builder'!$E$9</definedName>
    <definedName name="S2Team" localSheetId="39">'[11]Stack Builder'!$E$9</definedName>
    <definedName name="S2Team" localSheetId="40">'[11]Stack Builder'!$E$9</definedName>
    <definedName name="S2Team" localSheetId="3">'[12]Stack Builder'!$E$9</definedName>
    <definedName name="S2Team" localSheetId="8">'[11]Stack Builder'!$E$9</definedName>
    <definedName name="S2Team" localSheetId="4">'[13]Stack Builder'!$E$9</definedName>
    <definedName name="S2Team" localSheetId="5">'[13]Stack Builder'!$E$9</definedName>
    <definedName name="S2Team" localSheetId="7">'[13]Stack Builder'!$E$9</definedName>
    <definedName name="S2Team" localSheetId="35">'[14]Stack Builder'!$E$9</definedName>
    <definedName name="S2Team" localSheetId="6">'[13]Stack Builder'!$E$9</definedName>
    <definedName name="S2Team">'Stack Builder'!$E$9</definedName>
    <definedName name="S3Team" localSheetId="38">'[11]Stack Builder'!$F$9</definedName>
    <definedName name="S3Team" localSheetId="39">'[11]Stack Builder'!$F$9</definedName>
    <definedName name="S3Team" localSheetId="40">'[11]Stack Builder'!$F$9</definedName>
    <definedName name="S3Team" localSheetId="3">'[12]Stack Builder'!$F$9</definedName>
    <definedName name="S3Team" localSheetId="8">'[11]Stack Builder'!$F$9</definedName>
    <definedName name="S3Team" localSheetId="4">'[13]Stack Builder'!$F$9</definedName>
    <definedName name="S3Team" localSheetId="5">'[13]Stack Builder'!$F$9</definedName>
    <definedName name="S3Team" localSheetId="7">'[13]Stack Builder'!$F$9</definedName>
    <definedName name="S3Team" localSheetId="35">'[14]Stack Builder'!$F$9</definedName>
    <definedName name="S3Team" localSheetId="6">'[13]Stack Builder'!$F$9</definedName>
    <definedName name="S3Team">'Stack Builder'!$F$9</definedName>
    <definedName name="S4Team" localSheetId="38">'[11]Stack Builder'!$G$9</definedName>
    <definedName name="S4Team" localSheetId="39">'[11]Stack Builder'!$G$9</definedName>
    <definedName name="S4Team" localSheetId="40">'[11]Stack Builder'!$G$9</definedName>
    <definedName name="S4Team" localSheetId="3">'[12]Stack Builder'!$G$9</definedName>
    <definedName name="S4Team" localSheetId="8">'[11]Stack Builder'!$G$9</definedName>
    <definedName name="S4Team" localSheetId="4">'[13]Stack Builder'!$G$9</definedName>
    <definedName name="S4Team" localSheetId="5">'[13]Stack Builder'!$G$9</definedName>
    <definedName name="S4Team" localSheetId="7">'[13]Stack Builder'!$G$9</definedName>
    <definedName name="S4Team" localSheetId="35">'[14]Stack Builder'!$G$9</definedName>
    <definedName name="S4Team" localSheetId="6">'[13]Stack Builder'!$G$9</definedName>
    <definedName name="S4Team">'Stack Builder'!$G$9</definedName>
    <definedName name="sdg" localSheetId="37">'Depth Charts'!#REF!</definedName>
    <definedName name="sea" localSheetId="37">'Depth Charts'!#REF!</definedName>
    <definedName name="sfo" localSheetId="37">'Depth Charts'!#REF!</definedName>
    <definedName name="Slicer_Pos">#N/A</definedName>
    <definedName name="Slicer_Pos1">#N/A</definedName>
    <definedName name="Slicer_Team" localSheetId="34">#N/A</definedName>
    <definedName name="Slicer_Team">#N/A</definedName>
    <definedName name="Slicer_Team1" localSheetId="34">#N/A</definedName>
    <definedName name="Slicer_Team1">#N/A</definedName>
    <definedName name="Slicer_Team10">#N/A</definedName>
    <definedName name="Slicer_Team2">#N/A</definedName>
    <definedName name="Slicer_Team3" localSheetId="34">#N/A</definedName>
    <definedName name="Slicer_Team3">#N/A</definedName>
    <definedName name="Slicer_Team4" localSheetId="34">#N/A</definedName>
    <definedName name="Slicer_Team5">#N/A</definedName>
    <definedName name="Slicer_Team71">#N/A</definedName>
    <definedName name="Slicer_Team81">#N/A</definedName>
    <definedName name="Slicer_Team91">#N/A</definedName>
    <definedName name="Stack1" localSheetId="38">'[11]Stack Builder'!$D$11</definedName>
    <definedName name="Stack1" localSheetId="39">'[11]Stack Builder'!$D$11</definedName>
    <definedName name="Stack1" localSheetId="40">'[11]Stack Builder'!$D$11</definedName>
    <definedName name="Stack1" localSheetId="3">'[12]Stack Builder'!$D$11</definedName>
    <definedName name="Stack1" localSheetId="8">'[11]Stack Builder'!$D$11</definedName>
    <definedName name="Stack1" localSheetId="4">'[13]Stack Builder'!$D$11</definedName>
    <definedName name="Stack1" localSheetId="5">'[13]Stack Builder'!$D$11</definedName>
    <definedName name="Stack1" localSheetId="7">'[13]Stack Builder'!$D$11</definedName>
    <definedName name="Stack1" localSheetId="35">'[14]Stack Builder'!$D$11</definedName>
    <definedName name="Stack1" localSheetId="6">'[13]Stack Builder'!$D$11</definedName>
    <definedName name="Stack1">'Stack Builder'!$D$11</definedName>
    <definedName name="Stack2" localSheetId="38">'[11]Stack Builder'!$E$11</definedName>
    <definedName name="Stack2" localSheetId="39">'[11]Stack Builder'!$E$11</definedName>
    <definedName name="Stack2" localSheetId="40">'[11]Stack Builder'!$E$11</definedName>
    <definedName name="Stack2" localSheetId="3">'[12]Stack Builder'!$E$11</definedName>
    <definedName name="Stack2" localSheetId="8">'[11]Stack Builder'!$E$11</definedName>
    <definedName name="Stack2" localSheetId="4">'[13]Stack Builder'!$E$11</definedName>
    <definedName name="Stack2" localSheetId="5">'[13]Stack Builder'!$E$11</definedName>
    <definedName name="Stack2" localSheetId="7">'[13]Stack Builder'!$E$11</definedName>
    <definedName name="Stack2" localSheetId="35">'[14]Stack Builder'!$E$11</definedName>
    <definedName name="Stack2" localSheetId="6">'[13]Stack Builder'!$E$11</definedName>
    <definedName name="Stack2">'Stack Builder'!$E$11</definedName>
    <definedName name="Stack3" localSheetId="38">'[11]Stack Builder'!$F$11</definedName>
    <definedName name="Stack3" localSheetId="39">'[11]Stack Builder'!$F$11</definedName>
    <definedName name="Stack3" localSheetId="40">'[11]Stack Builder'!$F$11</definedName>
    <definedName name="Stack3" localSheetId="3">'[12]Stack Builder'!$F$11</definedName>
    <definedName name="Stack3" localSheetId="8">'[11]Stack Builder'!$F$11</definedName>
    <definedName name="Stack3" localSheetId="4">'[13]Stack Builder'!$F$11</definedName>
    <definedName name="Stack3" localSheetId="5">'[13]Stack Builder'!$F$11</definedName>
    <definedName name="Stack3" localSheetId="7">'[13]Stack Builder'!$F$11</definedName>
    <definedName name="Stack3" localSheetId="35">'[14]Stack Builder'!$F$11</definedName>
    <definedName name="Stack3" localSheetId="6">'[13]Stack Builder'!$F$11</definedName>
    <definedName name="Stack3">'Stack Builder'!$F$11</definedName>
    <definedName name="Stack4" localSheetId="38">'[11]Stack Builder'!$G$11</definedName>
    <definedName name="Stack4" localSheetId="39">'[11]Stack Builder'!$G$11</definedName>
    <definedName name="Stack4" localSheetId="40">'[11]Stack Builder'!$G$11</definedName>
    <definedName name="Stack4" localSheetId="3">'[12]Stack Builder'!$G$11</definedName>
    <definedName name="Stack4" localSheetId="8">'[11]Stack Builder'!$G$11</definedName>
    <definedName name="Stack4" localSheetId="4">'[13]Stack Builder'!$G$11</definedName>
    <definedName name="Stack4" localSheetId="5">'[13]Stack Builder'!$G$11</definedName>
    <definedName name="Stack4" localSheetId="7">'[13]Stack Builder'!$G$11</definedName>
    <definedName name="Stack4" localSheetId="35">'[14]Stack Builder'!$G$11</definedName>
    <definedName name="Stack4" localSheetId="6">'[13]Stack Builder'!$G$11</definedName>
    <definedName name="Stack4">'Stack Builder'!$G$11</definedName>
    <definedName name="StackBy" localSheetId="38">'[11]Stack Builder'!$B$9</definedName>
    <definedName name="StackBy" localSheetId="39">'[11]Stack Builder'!$B$9</definedName>
    <definedName name="StackBy" localSheetId="40">'[11]Stack Builder'!$B$9</definedName>
    <definedName name="StackBy" localSheetId="3">'[12]Stack Builder'!$B$9</definedName>
    <definedName name="StackBy" localSheetId="8">'[11]Stack Builder'!$B$9</definedName>
    <definedName name="StackBy" localSheetId="4">'[13]Stack Builder'!$B$9</definedName>
    <definedName name="StackBy" localSheetId="5">'[13]Stack Builder'!$B$9</definedName>
    <definedName name="StackBy" localSheetId="7">'[13]Stack Builder'!$B$9</definedName>
    <definedName name="StackBy" localSheetId="35">'[14]Stack Builder'!$B$9</definedName>
    <definedName name="StackBy" localSheetId="6">'[13]Stack Builder'!$B$9</definedName>
    <definedName name="StackBy">'Stack Builder'!$B$9</definedName>
    <definedName name="statcorner" localSheetId="38">[1]!Table13[#Data]</definedName>
    <definedName name="statcorner" localSheetId="39">[1]!Table13[#Data]</definedName>
    <definedName name="statcorner" localSheetId="40">[1]!Table13[#Data]</definedName>
    <definedName name="statcorner" localSheetId="8">[1]!Table13[#Data]</definedName>
    <definedName name="statcorner">[2]!Table13[#Data]</definedName>
    <definedName name="tam" localSheetId="37">'Depth Charts'!#REF!</definedName>
    <definedName name="targettracker">#REF!</definedName>
    <definedName name="targettracker1">#REF!</definedName>
    <definedName name="teams" localSheetId="38">[1]!Table4[#Data]</definedName>
    <definedName name="teams" localSheetId="39">[1]!Table4[#Data]</definedName>
    <definedName name="teams" localSheetId="40">[1]!Table4[#Data]</definedName>
    <definedName name="teams" localSheetId="8">[1]!Table4[#Data]</definedName>
    <definedName name="teams">[2]!Table4[#Data]</definedName>
    <definedName name="todaysbatters" localSheetId="38">[1]!Today_s_Batters[#Data]</definedName>
    <definedName name="todaysbatters" localSheetId="39">[1]!Today_s_Batters[#Data]</definedName>
    <definedName name="todaysbatters" localSheetId="40">[1]!Today_s_Batters[#Data]</definedName>
    <definedName name="todaysbatters" localSheetId="8">[1]!Today_s_Batters[#Data]</definedName>
    <definedName name="todaysbatters">[2]!Today_s_Batters[#Data]</definedName>
    <definedName name="was" localSheetId="37">'Depth Charts'!#REF!</definedName>
  </definedNames>
  <calcPr calcId="152511"/>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9"/>
        <x14:slicerCache r:id="rId60"/>
        <x14:slicerCache r:id="rId61"/>
        <x14:slicerCache r:id="rId62"/>
        <x14:slicerCache r:id="rId63"/>
        <x14:slicerCache r:id="rId64"/>
        <x14:slicerCache r:id="rId65"/>
        <x14:slicerCache r:id="rId66"/>
        <x14:slicerCache r:id="rId67"/>
      </x15:slicerCaches>
    </ext>
  </extLst>
</workbook>
</file>

<file path=xl/calcChain.xml><?xml version="1.0" encoding="utf-8"?>
<calcChain xmlns="http://schemas.openxmlformats.org/spreadsheetml/2006/main">
  <c r="M11" i="14" l="1"/>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J69" i="14"/>
  <c r="J70" i="14"/>
  <c r="J71" i="14"/>
  <c r="J72" i="14"/>
  <c r="J73" i="14"/>
  <c r="J74" i="14"/>
  <c r="J75" i="14"/>
  <c r="J76" i="14"/>
  <c r="J77" i="14"/>
  <c r="J78" i="14"/>
  <c r="J79" i="14"/>
  <c r="J80" i="14"/>
  <c r="J81" i="14"/>
  <c r="J82" i="14"/>
  <c r="J83" i="14"/>
  <c r="J84" i="14"/>
  <c r="J85" i="14"/>
  <c r="J86" i="14"/>
  <c r="J87" i="14"/>
  <c r="J88" i="14"/>
  <c r="J89" i="14"/>
  <c r="J90" i="14"/>
  <c r="J91" i="14"/>
  <c r="J92" i="14"/>
  <c r="J93" i="14"/>
  <c r="J94" i="14"/>
  <c r="J95" i="14"/>
  <c r="J96" i="14"/>
  <c r="J97"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H11" i="14"/>
  <c r="H12" i="14"/>
  <c r="H13" i="14"/>
  <c r="H14" i="14"/>
  <c r="H15" i="14"/>
  <c r="H16" i="14"/>
  <c r="H17" i="14"/>
  <c r="H18" i="14"/>
  <c r="H19" i="14"/>
  <c r="H20" i="14"/>
  <c r="H21" i="14"/>
  <c r="H22" i="14"/>
  <c r="H23" i="14"/>
  <c r="H24" i="14"/>
  <c r="H25" i="14"/>
  <c r="H26" i="14"/>
  <c r="H27" i="14"/>
  <c r="H28" i="14"/>
  <c r="H29" i="14"/>
  <c r="H30" i="14"/>
  <c r="H31" i="14"/>
  <c r="H32" i="14"/>
  <c r="H33" i="14"/>
  <c r="H34" i="14"/>
  <c r="H35" i="14"/>
  <c r="H36" i="14"/>
  <c r="H37" i="14"/>
  <c r="H38" i="14"/>
  <c r="H39" i="14"/>
  <c r="H40" i="14"/>
  <c r="H41" i="14"/>
  <c r="H42" i="14"/>
  <c r="H43" i="14"/>
  <c r="H44" i="14"/>
  <c r="H45" i="14"/>
  <c r="H46" i="14"/>
  <c r="H47" i="14"/>
  <c r="H48" i="14"/>
  <c r="H49" i="14"/>
  <c r="H50" i="14"/>
  <c r="H51" i="14"/>
  <c r="H52" i="14"/>
  <c r="H53" i="14"/>
  <c r="H54" i="14"/>
  <c r="H55" i="14"/>
  <c r="H56" i="14"/>
  <c r="H57" i="14"/>
  <c r="H58" i="14"/>
  <c r="H59" i="14"/>
  <c r="H60" i="14"/>
  <c r="H61" i="14"/>
  <c r="H62" i="14"/>
  <c r="H63" i="14"/>
  <c r="H64" i="14"/>
  <c r="H65" i="14"/>
  <c r="H66" i="14"/>
  <c r="H67" i="14"/>
  <c r="H68" i="14"/>
  <c r="H69" i="14"/>
  <c r="H70" i="14"/>
  <c r="H71" i="14"/>
  <c r="H72" i="14"/>
  <c r="H73" i="14"/>
  <c r="H74" i="14"/>
  <c r="H75" i="14"/>
  <c r="H76" i="14"/>
  <c r="H77" i="14"/>
  <c r="H78" i="14"/>
  <c r="H79" i="14"/>
  <c r="H80" i="14"/>
  <c r="H81" i="14"/>
  <c r="H82" i="14"/>
  <c r="H83" i="14"/>
  <c r="H84" i="14"/>
  <c r="H85" i="14"/>
  <c r="H86" i="14"/>
  <c r="H87" i="14"/>
  <c r="H88" i="14"/>
  <c r="H89" i="14"/>
  <c r="H90" i="14"/>
  <c r="H91" i="14"/>
  <c r="H92" i="14"/>
  <c r="H93" i="14"/>
  <c r="H94" i="14"/>
  <c r="H95" i="14"/>
  <c r="H96" i="14"/>
  <c r="H97" i="14"/>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Q11" i="15"/>
  <c r="Q12" i="15"/>
  <c r="Q13" i="15"/>
  <c r="Q14" i="15"/>
  <c r="Q15" i="15"/>
  <c r="Q16" i="15"/>
  <c r="Q17" i="15"/>
  <c r="Q18" i="15"/>
  <c r="Q19" i="15"/>
  <c r="Q20" i="15"/>
  <c r="Q21" i="15"/>
  <c r="Q22" i="15"/>
  <c r="Q23" i="15"/>
  <c r="Q24" i="15"/>
  <c r="Q25" i="15"/>
  <c r="Q26" i="15"/>
  <c r="Q27" i="15"/>
  <c r="Q28" i="15"/>
  <c r="Q29" i="15"/>
  <c r="Q30" i="15"/>
  <c r="Q31" i="15"/>
  <c r="Q32" i="15"/>
  <c r="Q33" i="15"/>
  <c r="Q34" i="15"/>
  <c r="Q35" i="15"/>
  <c r="Q36" i="15"/>
  <c r="Q37" i="15"/>
  <c r="Q38" i="15"/>
  <c r="Q39" i="15"/>
  <c r="Q40" i="15"/>
  <c r="Q41" i="15"/>
  <c r="Q42" i="15"/>
  <c r="Q43" i="15"/>
  <c r="Q44" i="15"/>
  <c r="Q45" i="15"/>
  <c r="Q46" i="15"/>
  <c r="Q47" i="15"/>
  <c r="Q48" i="15"/>
  <c r="Q49" i="15"/>
  <c r="Q50" i="15"/>
  <c r="Q51" i="15"/>
  <c r="Q52" i="15"/>
  <c r="Q53" i="15"/>
  <c r="Q54" i="15"/>
  <c r="Q55" i="15"/>
  <c r="Q56" i="15"/>
  <c r="Q57" i="15"/>
  <c r="Q58" i="15"/>
  <c r="Q59" i="15"/>
  <c r="Q60" i="15"/>
  <c r="Q61" i="15"/>
  <c r="Q62" i="15"/>
  <c r="Q63" i="15"/>
  <c r="Q64" i="15"/>
  <c r="Q65" i="15"/>
  <c r="Q66" i="15"/>
  <c r="Q67" i="15"/>
  <c r="Q68" i="15"/>
  <c r="Q69" i="15"/>
  <c r="Q70" i="15"/>
  <c r="Q71" i="15"/>
  <c r="Q72" i="15"/>
  <c r="Q73" i="15"/>
  <c r="Q74" i="15"/>
  <c r="Q75" i="15"/>
  <c r="Q76" i="15"/>
  <c r="Q77" i="15"/>
  <c r="Q78" i="15"/>
  <c r="Q79" i="15"/>
  <c r="Q80" i="15"/>
  <c r="Q81" i="15"/>
  <c r="Q82" i="15"/>
  <c r="Q83" i="15"/>
  <c r="Q84" i="15"/>
  <c r="Q85" i="15"/>
  <c r="Q86" i="15"/>
  <c r="Q87" i="15"/>
  <c r="Q88" i="15"/>
  <c r="Q89" i="15"/>
  <c r="Q90" i="15"/>
  <c r="Q91" i="15"/>
  <c r="Q92" i="15"/>
  <c r="Q93" i="15"/>
  <c r="Q94" i="15"/>
  <c r="Q95" i="15"/>
  <c r="Q96" i="15"/>
  <c r="Q97" i="15"/>
  <c r="Q98" i="15"/>
  <c r="Q99" i="15"/>
  <c r="Q100" i="15"/>
  <c r="Q101" i="15"/>
  <c r="Q102" i="15"/>
  <c r="Q103" i="15"/>
  <c r="Q104" i="15"/>
  <c r="Q105" i="15"/>
  <c r="Q106" i="15"/>
  <c r="Q107" i="15"/>
  <c r="Q108" i="15"/>
  <c r="Q109" i="15"/>
  <c r="Q110" i="15"/>
  <c r="Q111" i="15"/>
  <c r="Q112" i="15"/>
  <c r="Q113" i="15"/>
  <c r="Q114" i="15"/>
  <c r="Q115" i="15"/>
  <c r="Q116" i="15"/>
  <c r="Q117" i="15"/>
  <c r="Q118" i="15"/>
  <c r="Q119" i="15"/>
  <c r="Q120" i="15"/>
  <c r="Q121" i="15"/>
  <c r="Q122" i="15"/>
  <c r="Q123" i="15"/>
  <c r="P11" i="15"/>
  <c r="P12" i="15"/>
  <c r="P13" i="15"/>
  <c r="P14" i="15"/>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93" i="15"/>
  <c r="P94" i="15"/>
  <c r="P95" i="15"/>
  <c r="P96" i="15"/>
  <c r="P97" i="15"/>
  <c r="P98" i="15"/>
  <c r="P99" i="15"/>
  <c r="P100" i="15"/>
  <c r="P101" i="15"/>
  <c r="P102" i="15"/>
  <c r="P103" i="15"/>
  <c r="P104" i="15"/>
  <c r="P105" i="15"/>
  <c r="P106" i="15"/>
  <c r="P107" i="15"/>
  <c r="P108" i="15"/>
  <c r="P109" i="15"/>
  <c r="P110" i="15"/>
  <c r="P111" i="15"/>
  <c r="P112" i="15"/>
  <c r="P113" i="15"/>
  <c r="P114" i="15"/>
  <c r="P115" i="15"/>
  <c r="P116" i="15"/>
  <c r="P117" i="15"/>
  <c r="P118" i="15"/>
  <c r="P119" i="15"/>
  <c r="P120" i="15"/>
  <c r="P121" i="15"/>
  <c r="P122" i="15"/>
  <c r="P123"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73" i="15"/>
  <c r="O74" i="15"/>
  <c r="O75" i="15"/>
  <c r="O76" i="15"/>
  <c r="O77" i="15"/>
  <c r="O78" i="15"/>
  <c r="O79" i="15"/>
  <c r="O80" i="15"/>
  <c r="O81" i="15"/>
  <c r="O82" i="15"/>
  <c r="O83" i="15"/>
  <c r="O84" i="15"/>
  <c r="O85" i="15"/>
  <c r="O86" i="15"/>
  <c r="O87" i="15"/>
  <c r="O88" i="15"/>
  <c r="O89" i="15"/>
  <c r="O90" i="15"/>
  <c r="O91" i="15"/>
  <c r="O92" i="15"/>
  <c r="O93" i="15"/>
  <c r="O94" i="15"/>
  <c r="O95" i="15"/>
  <c r="O96" i="15"/>
  <c r="O97" i="15"/>
  <c r="O98" i="15"/>
  <c r="O99" i="15"/>
  <c r="O100" i="15"/>
  <c r="O101" i="15"/>
  <c r="O102" i="15"/>
  <c r="O103" i="15"/>
  <c r="O104" i="15"/>
  <c r="O105" i="15"/>
  <c r="O106" i="15"/>
  <c r="O107" i="15"/>
  <c r="O108" i="15"/>
  <c r="O109" i="15"/>
  <c r="O110" i="15"/>
  <c r="O111" i="15"/>
  <c r="O112" i="15"/>
  <c r="O113" i="15"/>
  <c r="O114" i="15"/>
  <c r="O115" i="15"/>
  <c r="O116" i="15"/>
  <c r="O117" i="15"/>
  <c r="O118" i="15"/>
  <c r="O119" i="15"/>
  <c r="O120" i="15"/>
  <c r="O121" i="15"/>
  <c r="O122" i="15"/>
  <c r="O123"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I11" i="15"/>
  <c r="I12" i="15"/>
  <c r="I13" i="15"/>
  <c r="I14" i="15"/>
  <c r="I15" i="15"/>
  <c r="I16" i="15"/>
  <c r="I17" i="15"/>
  <c r="I18" i="15"/>
  <c r="I19" i="15"/>
  <c r="I20" i="15"/>
  <c r="I21" i="15"/>
  <c r="I22" i="15"/>
  <c r="I23" i="15"/>
  <c r="I24" i="15"/>
  <c r="I25" i="15"/>
  <c r="I26" i="15"/>
  <c r="I27" i="15"/>
  <c r="I28" i="15"/>
  <c r="I29" i="15"/>
  <c r="I30" i="15"/>
  <c r="I31" i="15"/>
  <c r="I32" i="15"/>
  <c r="I33" i="15"/>
  <c r="I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R72" i="16"/>
  <c r="R71" i="16"/>
  <c r="R70" i="16"/>
  <c r="R69" i="16"/>
  <c r="R68" i="16"/>
  <c r="R67" i="16"/>
  <c r="R66" i="16"/>
  <c r="R65" i="16"/>
  <c r="R64" i="16"/>
  <c r="R63" i="16"/>
  <c r="R62" i="16"/>
  <c r="R61" i="16"/>
  <c r="R60" i="16"/>
  <c r="R59" i="16"/>
  <c r="R58" i="16"/>
  <c r="R57" i="16"/>
  <c r="R56" i="16"/>
  <c r="R55" i="16"/>
  <c r="R54" i="16"/>
  <c r="R53" i="16"/>
  <c r="R52" i="16"/>
  <c r="R51" i="16"/>
  <c r="R50" i="16"/>
  <c r="R49" i="16"/>
  <c r="R48" i="16"/>
  <c r="R47" i="16"/>
  <c r="R46" i="16"/>
  <c r="R45" i="16"/>
  <c r="R44" i="16"/>
  <c r="R43" i="16"/>
  <c r="R42" i="16"/>
  <c r="R41" i="16"/>
  <c r="R40" i="16"/>
  <c r="R39" i="16"/>
  <c r="R38" i="16"/>
  <c r="R37" i="16"/>
  <c r="R36" i="16"/>
  <c r="R35" i="16"/>
  <c r="R34" i="16"/>
  <c r="R33" i="16"/>
  <c r="R32" i="16"/>
  <c r="R31" i="16"/>
  <c r="R30" i="16"/>
  <c r="R29" i="16"/>
  <c r="R28" i="16"/>
  <c r="R27" i="16"/>
  <c r="R26" i="16"/>
  <c r="R25" i="16"/>
  <c r="R24" i="16"/>
  <c r="R23" i="16"/>
  <c r="R22" i="16"/>
  <c r="R21" i="16"/>
  <c r="R20" i="16"/>
  <c r="R19" i="16"/>
  <c r="R18" i="16"/>
  <c r="R17" i="16"/>
  <c r="R16" i="16"/>
  <c r="R15" i="16"/>
  <c r="R14" i="16"/>
  <c r="R13" i="16"/>
  <c r="R12" i="16"/>
  <c r="R11" i="16"/>
  <c r="Q72" i="16"/>
  <c r="Q71" i="16"/>
  <c r="Q70" i="16"/>
  <c r="Q69" i="16"/>
  <c r="Q68" i="16"/>
  <c r="Q67" i="16"/>
  <c r="Q66" i="16"/>
  <c r="Q65" i="16"/>
  <c r="Q64" i="16"/>
  <c r="Q63" i="16"/>
  <c r="Q62" i="16"/>
  <c r="Q61" i="16"/>
  <c r="Q60" i="16"/>
  <c r="Q59" i="16"/>
  <c r="Q58" i="16"/>
  <c r="Q57" i="16"/>
  <c r="Q56" i="16"/>
  <c r="Q55" i="16"/>
  <c r="Q54" i="16"/>
  <c r="Q53" i="16"/>
  <c r="Q52" i="16"/>
  <c r="Q51" i="16"/>
  <c r="Q50" i="16"/>
  <c r="Q49" i="16"/>
  <c r="Q48" i="16"/>
  <c r="Q47" i="16"/>
  <c r="Q46" i="16"/>
  <c r="Q45" i="16"/>
  <c r="Q44" i="16"/>
  <c r="Q43" i="16"/>
  <c r="Q42" i="16"/>
  <c r="Q41" i="16"/>
  <c r="Q40" i="16"/>
  <c r="Q39" i="16"/>
  <c r="Q38" i="16"/>
  <c r="Q37" i="16"/>
  <c r="Q36" i="16"/>
  <c r="Q35" i="16"/>
  <c r="Q34" i="16"/>
  <c r="Q33" i="16"/>
  <c r="Q32" i="16"/>
  <c r="Q31" i="16"/>
  <c r="Q30" i="16"/>
  <c r="Q29" i="16"/>
  <c r="Q28" i="16"/>
  <c r="Q27" i="16"/>
  <c r="Q26" i="16"/>
  <c r="Q25" i="16"/>
  <c r="Q24" i="16"/>
  <c r="Q23" i="16"/>
  <c r="Q22" i="16"/>
  <c r="Q21" i="16"/>
  <c r="Q20" i="16"/>
  <c r="Q19" i="16"/>
  <c r="Q18" i="16"/>
  <c r="Q17" i="16"/>
  <c r="Q16" i="16"/>
  <c r="Q15" i="16"/>
  <c r="Q14" i="16"/>
  <c r="Q13" i="16"/>
  <c r="Q12" i="16"/>
  <c r="Q11" i="16"/>
  <c r="P72" i="16"/>
  <c r="P71" i="16"/>
  <c r="P70" i="16"/>
  <c r="P69" i="16"/>
  <c r="P68" i="16"/>
  <c r="P67" i="16"/>
  <c r="P66" i="16"/>
  <c r="P65" i="16"/>
  <c r="P64" i="16"/>
  <c r="P63" i="16"/>
  <c r="P62" i="16"/>
  <c r="P61" i="16"/>
  <c r="P60" i="16"/>
  <c r="P59" i="16"/>
  <c r="P58" i="16"/>
  <c r="P57" i="16"/>
  <c r="P56" i="16"/>
  <c r="P55" i="16"/>
  <c r="P54" i="16"/>
  <c r="P53" i="16"/>
  <c r="P52" i="16"/>
  <c r="P51" i="16"/>
  <c r="P50" i="16"/>
  <c r="P49" i="16"/>
  <c r="P48" i="16"/>
  <c r="P47" i="16"/>
  <c r="P46" i="16"/>
  <c r="P45" i="16"/>
  <c r="P44" i="16"/>
  <c r="P43" i="16"/>
  <c r="P42" i="16"/>
  <c r="P41" i="16"/>
  <c r="P40" i="16"/>
  <c r="P39" i="16"/>
  <c r="P38" i="16"/>
  <c r="P37" i="16"/>
  <c r="P36" i="16"/>
  <c r="P35" i="16"/>
  <c r="P34" i="16"/>
  <c r="P33" i="16"/>
  <c r="P32" i="16"/>
  <c r="P31" i="16"/>
  <c r="P30" i="16"/>
  <c r="P29" i="16"/>
  <c r="P28" i="16"/>
  <c r="P27" i="16"/>
  <c r="P26" i="16"/>
  <c r="P25" i="16"/>
  <c r="P24" i="16"/>
  <c r="P23" i="16"/>
  <c r="P22" i="16"/>
  <c r="P21" i="16"/>
  <c r="P20" i="16"/>
  <c r="P19" i="16"/>
  <c r="P18" i="16"/>
  <c r="P17" i="16"/>
  <c r="P16" i="16"/>
  <c r="P15" i="16"/>
  <c r="P14" i="16"/>
  <c r="P13" i="16"/>
  <c r="P12" i="16"/>
  <c r="P11"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O32" i="16"/>
  <c r="O31" i="16"/>
  <c r="O30" i="16"/>
  <c r="O29" i="16"/>
  <c r="O28" i="16"/>
  <c r="O27" i="16"/>
  <c r="O26" i="16"/>
  <c r="O25" i="16"/>
  <c r="O24" i="16"/>
  <c r="O23" i="16"/>
  <c r="O22" i="16"/>
  <c r="O21" i="16"/>
  <c r="O20" i="16"/>
  <c r="O19" i="16"/>
  <c r="O18" i="16"/>
  <c r="O17" i="16"/>
  <c r="O16" i="16"/>
  <c r="O15" i="16"/>
  <c r="O14" i="16"/>
  <c r="O13" i="16"/>
  <c r="O12" i="16"/>
  <c r="O11" i="16"/>
  <c r="J72" i="16"/>
  <c r="J71" i="16"/>
  <c r="J70" i="16"/>
  <c r="J69" i="16"/>
  <c r="J68" i="16"/>
  <c r="J67" i="16"/>
  <c r="J66" i="16"/>
  <c r="J65" i="16"/>
  <c r="J64" i="16"/>
  <c r="J63" i="16"/>
  <c r="J62" i="16"/>
  <c r="J61" i="16"/>
  <c r="J60" i="16"/>
  <c r="J59" i="16"/>
  <c r="J58" i="16"/>
  <c r="J57" i="16"/>
  <c r="J56" i="16"/>
  <c r="J55" i="16"/>
  <c r="J54" i="16"/>
  <c r="J53" i="16"/>
  <c r="J52" i="16"/>
  <c r="J51" i="16"/>
  <c r="J50" i="16"/>
  <c r="J49" i="16"/>
  <c r="J48" i="16"/>
  <c r="J47" i="16"/>
  <c r="J46" i="16"/>
  <c r="J45" i="16"/>
  <c r="J44" i="16"/>
  <c r="J43" i="16"/>
  <c r="J42" i="16"/>
  <c r="J41" i="16"/>
  <c r="J40" i="16"/>
  <c r="J39" i="16"/>
  <c r="J38" i="16"/>
  <c r="J37" i="16"/>
  <c r="J36" i="16"/>
  <c r="J35" i="16"/>
  <c r="J34" i="16"/>
  <c r="J33" i="16"/>
  <c r="J32" i="16"/>
  <c r="J31" i="16"/>
  <c r="J30" i="16"/>
  <c r="J29" i="16"/>
  <c r="J28" i="16"/>
  <c r="J27" i="16"/>
  <c r="J26" i="16"/>
  <c r="J25" i="16"/>
  <c r="J24" i="16"/>
  <c r="J23" i="16"/>
  <c r="J22" i="16"/>
  <c r="J21" i="16"/>
  <c r="J20" i="16"/>
  <c r="J19" i="16"/>
  <c r="J18" i="16"/>
  <c r="J17" i="16"/>
  <c r="J16" i="16"/>
  <c r="J15" i="16"/>
  <c r="J14" i="16"/>
  <c r="J13" i="16"/>
  <c r="J12" i="16"/>
  <c r="J11" i="16"/>
  <c r="I72" i="16"/>
  <c r="I71" i="16"/>
  <c r="I70" i="16"/>
  <c r="I69" i="16"/>
  <c r="I68" i="16"/>
  <c r="I67" i="16"/>
  <c r="I66" i="16"/>
  <c r="I65" i="16"/>
  <c r="I64" i="16"/>
  <c r="I63" i="16"/>
  <c r="I62" i="16"/>
  <c r="I61" i="16"/>
  <c r="I60" i="16"/>
  <c r="I59" i="16"/>
  <c r="I58" i="16"/>
  <c r="I57" i="16"/>
  <c r="I56" i="16"/>
  <c r="I55" i="16"/>
  <c r="I54" i="16"/>
  <c r="I53" i="16"/>
  <c r="I52" i="16"/>
  <c r="I51" i="16"/>
  <c r="I50" i="16"/>
  <c r="I49" i="16"/>
  <c r="I48" i="16"/>
  <c r="I47" i="16"/>
  <c r="I46" i="16"/>
  <c r="I45" i="16"/>
  <c r="I44" i="16"/>
  <c r="I43" i="16"/>
  <c r="I42" i="16"/>
  <c r="I41" i="16"/>
  <c r="I40" i="16"/>
  <c r="I39" i="16"/>
  <c r="I38" i="16"/>
  <c r="I37" i="16"/>
  <c r="I36" i="16"/>
  <c r="I35" i="16"/>
  <c r="I34" i="16"/>
  <c r="I33" i="16"/>
  <c r="I32" i="16"/>
  <c r="I31" i="16"/>
  <c r="I30" i="16"/>
  <c r="I29" i="16"/>
  <c r="I28" i="16"/>
  <c r="I27" i="16"/>
  <c r="I26" i="16"/>
  <c r="I25" i="16"/>
  <c r="I24" i="16"/>
  <c r="I23" i="16"/>
  <c r="I22" i="16"/>
  <c r="I21" i="16"/>
  <c r="I20" i="16"/>
  <c r="I19" i="16"/>
  <c r="I18" i="16"/>
  <c r="I17" i="16"/>
  <c r="I16" i="16"/>
  <c r="I15" i="16"/>
  <c r="I14" i="16"/>
  <c r="I13" i="16"/>
  <c r="I12" i="16"/>
  <c r="I11"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G23" i="16"/>
  <c r="G22" i="16"/>
  <c r="G21" i="16"/>
  <c r="G20" i="16"/>
  <c r="G19" i="16"/>
  <c r="G18" i="16"/>
  <c r="G17" i="16"/>
  <c r="G16" i="16"/>
  <c r="G15" i="16"/>
  <c r="G13" i="16"/>
  <c r="G12" i="16"/>
  <c r="G11" i="16"/>
  <c r="G14" i="16"/>
  <c r="C28" i="45" l="1"/>
  <c r="C29" i="45"/>
  <c r="C30" i="45"/>
  <c r="C31" i="45"/>
  <c r="C32" i="45"/>
  <c r="C11" i="45"/>
  <c r="C12" i="45"/>
  <c r="C13" i="45"/>
  <c r="C14" i="45"/>
  <c r="C15" i="45"/>
  <c r="C16" i="45"/>
  <c r="C17" i="45"/>
  <c r="C18" i="45"/>
  <c r="C19" i="45"/>
  <c r="C20" i="45"/>
  <c r="K80" i="73" l="1"/>
  <c r="K79" i="73"/>
  <c r="K78" i="73"/>
  <c r="K77" i="73"/>
  <c r="K76" i="73"/>
  <c r="K75" i="73"/>
  <c r="K74" i="73"/>
  <c r="K73" i="73"/>
  <c r="B67" i="73"/>
  <c r="B66" i="73"/>
  <c r="B65" i="73"/>
  <c r="B64" i="73"/>
  <c r="B63" i="73"/>
  <c r="B62" i="73"/>
  <c r="B61" i="73"/>
  <c r="B60" i="73"/>
  <c r="B59" i="73"/>
  <c r="B58" i="73"/>
  <c r="B57" i="73"/>
  <c r="B56" i="73"/>
  <c r="B55" i="73"/>
  <c r="B54" i="73"/>
  <c r="B53" i="73"/>
  <c r="B52" i="73"/>
  <c r="B51" i="73"/>
  <c r="B50" i="73"/>
  <c r="B49" i="73"/>
  <c r="B48" i="73"/>
  <c r="B47" i="73"/>
  <c r="B46" i="73"/>
  <c r="B45" i="73"/>
  <c r="B44" i="73"/>
  <c r="B43" i="73"/>
  <c r="B42" i="73"/>
  <c r="B41" i="73"/>
  <c r="B40" i="73"/>
  <c r="B39" i="73"/>
  <c r="B38" i="73"/>
  <c r="B37" i="73"/>
  <c r="B36" i="73"/>
  <c r="B35" i="73"/>
  <c r="J133" i="71"/>
  <c r="I133" i="71"/>
  <c r="H133" i="71"/>
  <c r="G133" i="71"/>
  <c r="F133" i="71"/>
  <c r="E133" i="71"/>
  <c r="D133" i="71"/>
  <c r="C133" i="71"/>
  <c r="J132" i="71"/>
  <c r="I132" i="71"/>
  <c r="H132" i="71"/>
  <c r="G132" i="71"/>
  <c r="F132" i="71"/>
  <c r="E132" i="71"/>
  <c r="D132" i="71"/>
  <c r="C132" i="71"/>
  <c r="J131" i="71"/>
  <c r="I131" i="71"/>
  <c r="H131" i="71"/>
  <c r="G131" i="71"/>
  <c r="F131" i="71"/>
  <c r="E131" i="71"/>
  <c r="D131" i="71"/>
  <c r="C131" i="71"/>
  <c r="J130" i="71"/>
  <c r="I130" i="71"/>
  <c r="H130" i="71"/>
  <c r="G130" i="71"/>
  <c r="F130" i="71"/>
  <c r="E130" i="71"/>
  <c r="D130" i="71"/>
  <c r="C130" i="71"/>
  <c r="J129" i="71"/>
  <c r="I129" i="71"/>
  <c r="H129" i="71"/>
  <c r="G129" i="71"/>
  <c r="F129" i="71"/>
  <c r="E129" i="71"/>
  <c r="D129" i="71"/>
  <c r="C129" i="71"/>
  <c r="J128" i="71"/>
  <c r="I128" i="71"/>
  <c r="H128" i="71"/>
  <c r="G128" i="71"/>
  <c r="F128" i="71"/>
  <c r="E128" i="71"/>
  <c r="D128" i="71"/>
  <c r="C128" i="71"/>
  <c r="J127" i="71"/>
  <c r="I127" i="71"/>
  <c r="H127" i="71"/>
  <c r="G127" i="71"/>
  <c r="F127" i="71"/>
  <c r="E127" i="71"/>
  <c r="D127" i="71"/>
  <c r="C127" i="71"/>
  <c r="J126" i="71"/>
  <c r="I126" i="71"/>
  <c r="H126" i="71"/>
  <c r="G126" i="71"/>
  <c r="F126" i="71"/>
  <c r="E126" i="71"/>
  <c r="D126" i="71"/>
  <c r="C126" i="71"/>
  <c r="J125" i="71"/>
  <c r="I125" i="71"/>
  <c r="H125" i="71"/>
  <c r="G125" i="71"/>
  <c r="F125" i="71"/>
  <c r="E125" i="71"/>
  <c r="D125" i="71"/>
  <c r="C125" i="71"/>
  <c r="J124" i="71"/>
  <c r="I124" i="71"/>
  <c r="H124" i="71"/>
  <c r="G124" i="71"/>
  <c r="F124" i="71"/>
  <c r="E124" i="71"/>
  <c r="D124" i="71"/>
  <c r="C124" i="71"/>
  <c r="J123" i="71"/>
  <c r="I123" i="71"/>
  <c r="H123" i="71"/>
  <c r="G123" i="71"/>
  <c r="F123" i="71"/>
  <c r="E123" i="71"/>
  <c r="D123" i="71"/>
  <c r="C123" i="71"/>
  <c r="J122" i="71"/>
  <c r="I122" i="71"/>
  <c r="H122" i="71"/>
  <c r="G122" i="71"/>
  <c r="F122" i="71"/>
  <c r="E122" i="71"/>
  <c r="D122" i="71"/>
  <c r="C122" i="71"/>
  <c r="J121" i="71"/>
  <c r="I121" i="71"/>
  <c r="H121" i="71"/>
  <c r="G121" i="71"/>
  <c r="F121" i="71"/>
  <c r="E121" i="71"/>
  <c r="D121" i="71"/>
  <c r="C121" i="71"/>
  <c r="J120" i="71"/>
  <c r="I120" i="71"/>
  <c r="H120" i="71"/>
  <c r="G120" i="71"/>
  <c r="F120" i="71"/>
  <c r="E120" i="71"/>
  <c r="D120" i="71"/>
  <c r="C120" i="71"/>
  <c r="J119" i="71"/>
  <c r="I119" i="71"/>
  <c r="H119" i="71"/>
  <c r="G119" i="71"/>
  <c r="F119" i="71"/>
  <c r="E119" i="71"/>
  <c r="D119" i="71"/>
  <c r="C119" i="71"/>
  <c r="J118" i="71"/>
  <c r="I118" i="71"/>
  <c r="H118" i="71"/>
  <c r="G118" i="71"/>
  <c r="F118" i="71"/>
  <c r="E118" i="71"/>
  <c r="D118" i="71"/>
  <c r="C118" i="71"/>
  <c r="J117" i="71"/>
  <c r="I117" i="71"/>
  <c r="H117" i="71"/>
  <c r="G117" i="71"/>
  <c r="F117" i="71"/>
  <c r="E117" i="71"/>
  <c r="D117" i="71"/>
  <c r="C117" i="71"/>
  <c r="J116" i="71"/>
  <c r="I116" i="71"/>
  <c r="H116" i="71"/>
  <c r="G116" i="71"/>
  <c r="F116" i="71"/>
  <c r="E116" i="71"/>
  <c r="D116" i="71"/>
  <c r="C116" i="71"/>
  <c r="J115" i="71"/>
  <c r="I115" i="71"/>
  <c r="H115" i="71"/>
  <c r="G115" i="71"/>
  <c r="F115" i="71"/>
  <c r="E115" i="71"/>
  <c r="D115" i="71"/>
  <c r="C115" i="71"/>
  <c r="J114" i="71"/>
  <c r="I114" i="71"/>
  <c r="H114" i="71"/>
  <c r="G114" i="71"/>
  <c r="F114" i="71"/>
  <c r="E114" i="71"/>
  <c r="D114" i="71"/>
  <c r="C114" i="71"/>
  <c r="J113" i="71"/>
  <c r="I113" i="71"/>
  <c r="H113" i="71"/>
  <c r="G113" i="71"/>
  <c r="F113" i="71"/>
  <c r="E113" i="71"/>
  <c r="D113" i="71"/>
  <c r="C113" i="71"/>
  <c r="J112" i="71"/>
  <c r="I112" i="71"/>
  <c r="H112" i="71"/>
  <c r="G112" i="71"/>
  <c r="F112" i="71"/>
  <c r="E112" i="71"/>
  <c r="D112" i="71"/>
  <c r="C112" i="71"/>
  <c r="J111" i="71"/>
  <c r="I111" i="71"/>
  <c r="H111" i="71"/>
  <c r="G111" i="71"/>
  <c r="F111" i="71"/>
  <c r="E111" i="71"/>
  <c r="D111" i="71"/>
  <c r="C111" i="71"/>
  <c r="J110" i="71"/>
  <c r="I110" i="71"/>
  <c r="H110" i="71"/>
  <c r="G110" i="71"/>
  <c r="F110" i="71"/>
  <c r="E110" i="71"/>
  <c r="D110" i="71"/>
  <c r="C110" i="71"/>
  <c r="J109" i="71"/>
  <c r="I109" i="71"/>
  <c r="H109" i="71"/>
  <c r="G109" i="71"/>
  <c r="F109" i="71"/>
  <c r="E109" i="71"/>
  <c r="D109" i="71"/>
  <c r="C109" i="71"/>
  <c r="J108" i="71"/>
  <c r="I108" i="71"/>
  <c r="H108" i="71"/>
  <c r="G108" i="71"/>
  <c r="F108" i="71"/>
  <c r="E108" i="71"/>
  <c r="D108" i="71"/>
  <c r="C108" i="71"/>
  <c r="J107" i="71"/>
  <c r="I107" i="71"/>
  <c r="H107" i="71"/>
  <c r="G107" i="71"/>
  <c r="F107" i="71"/>
  <c r="E107" i="71"/>
  <c r="D107" i="71"/>
  <c r="C107" i="71"/>
  <c r="J106" i="71"/>
  <c r="I106" i="71"/>
  <c r="H106" i="71"/>
  <c r="G106" i="71"/>
  <c r="F106" i="71"/>
  <c r="E106" i="71"/>
  <c r="D106" i="71"/>
  <c r="C106" i="71"/>
  <c r="J105" i="71"/>
  <c r="I105" i="71"/>
  <c r="H105" i="71"/>
  <c r="G105" i="71"/>
  <c r="F105" i="71"/>
  <c r="E105" i="71"/>
  <c r="D105" i="71"/>
  <c r="C105" i="71"/>
  <c r="J104" i="71"/>
  <c r="I104" i="71"/>
  <c r="H104" i="71"/>
  <c r="G104" i="71"/>
  <c r="F104" i="71"/>
  <c r="E104" i="71"/>
  <c r="D104" i="71"/>
  <c r="C104" i="71"/>
  <c r="J103" i="71"/>
  <c r="I103" i="71"/>
  <c r="H103" i="71"/>
  <c r="G103" i="71"/>
  <c r="F103" i="71"/>
  <c r="E103" i="71"/>
  <c r="D103" i="71"/>
  <c r="C103" i="71"/>
  <c r="J102" i="71"/>
  <c r="I102" i="71"/>
  <c r="H102" i="71"/>
  <c r="G102" i="71"/>
  <c r="F102" i="71"/>
  <c r="E102" i="71"/>
  <c r="D102" i="71"/>
  <c r="C102" i="71"/>
  <c r="J101" i="71"/>
  <c r="I101" i="71"/>
  <c r="H101" i="71"/>
  <c r="G101" i="71"/>
  <c r="F101" i="71"/>
  <c r="E101" i="71"/>
  <c r="D101" i="71"/>
  <c r="C101" i="71"/>
  <c r="J100" i="71"/>
  <c r="I100" i="71"/>
  <c r="H100" i="71"/>
  <c r="G100" i="71"/>
  <c r="F100" i="71"/>
  <c r="E100" i="71"/>
  <c r="D100" i="71"/>
  <c r="C100" i="71"/>
  <c r="J99" i="71"/>
  <c r="I99" i="71"/>
  <c r="H99" i="71"/>
  <c r="G99" i="71"/>
  <c r="F99" i="71"/>
  <c r="E99" i="71"/>
  <c r="D99" i="71"/>
  <c r="C99" i="71"/>
  <c r="J98" i="71"/>
  <c r="I98" i="71"/>
  <c r="H98" i="71"/>
  <c r="G98" i="71"/>
  <c r="F98" i="71"/>
  <c r="E98" i="71"/>
  <c r="D98" i="71"/>
  <c r="C98" i="71"/>
  <c r="J97" i="71"/>
  <c r="I97" i="71"/>
  <c r="H97" i="71"/>
  <c r="G97" i="71"/>
  <c r="F97" i="71"/>
  <c r="E97" i="71"/>
  <c r="D97" i="71"/>
  <c r="C97" i="71"/>
  <c r="J96" i="71"/>
  <c r="I96" i="71"/>
  <c r="H96" i="71"/>
  <c r="G96" i="71"/>
  <c r="F96" i="71"/>
  <c r="E96" i="71"/>
  <c r="D96" i="71"/>
  <c r="C96" i="71"/>
  <c r="J95" i="71"/>
  <c r="I95" i="71"/>
  <c r="H95" i="71"/>
  <c r="G95" i="71"/>
  <c r="F95" i="71"/>
  <c r="E95" i="71"/>
  <c r="D95" i="71"/>
  <c r="C95" i="71"/>
  <c r="J94" i="71"/>
  <c r="I94" i="71"/>
  <c r="H94" i="71"/>
  <c r="G94" i="71"/>
  <c r="F94" i="71"/>
  <c r="E94" i="71"/>
  <c r="D94" i="71"/>
  <c r="C94" i="71"/>
  <c r="J93" i="71"/>
  <c r="I93" i="71"/>
  <c r="H93" i="71"/>
  <c r="G93" i="71"/>
  <c r="F93" i="71"/>
  <c r="E93" i="71"/>
  <c r="D93" i="71"/>
  <c r="C93" i="71"/>
  <c r="J92" i="71"/>
  <c r="I92" i="71"/>
  <c r="H92" i="71"/>
  <c r="G92" i="71"/>
  <c r="F92" i="71"/>
  <c r="E92" i="71"/>
  <c r="D92" i="71"/>
  <c r="C92" i="71"/>
  <c r="J91" i="71"/>
  <c r="I91" i="71"/>
  <c r="H91" i="71"/>
  <c r="G91" i="71"/>
  <c r="F91" i="71"/>
  <c r="E91" i="71"/>
  <c r="D91" i="71"/>
  <c r="C91" i="71"/>
  <c r="J90" i="71"/>
  <c r="I90" i="71"/>
  <c r="H90" i="71"/>
  <c r="G90" i="71"/>
  <c r="F90" i="71"/>
  <c r="E90" i="71"/>
  <c r="D90" i="71"/>
  <c r="C90" i="71"/>
  <c r="J89" i="71"/>
  <c r="I89" i="71"/>
  <c r="H89" i="71"/>
  <c r="G89" i="71"/>
  <c r="F89" i="71"/>
  <c r="E89" i="71"/>
  <c r="D89" i="71"/>
  <c r="C89" i="71"/>
  <c r="J88" i="71"/>
  <c r="I88" i="71"/>
  <c r="H88" i="71"/>
  <c r="G88" i="71"/>
  <c r="F88" i="71"/>
  <c r="E88" i="71"/>
  <c r="D88" i="71"/>
  <c r="C88" i="71"/>
  <c r="J87" i="71"/>
  <c r="I87" i="71"/>
  <c r="H87" i="71"/>
  <c r="G87" i="71"/>
  <c r="F87" i="71"/>
  <c r="E87" i="71"/>
  <c r="D87" i="71"/>
  <c r="C87" i="71"/>
  <c r="J86" i="71"/>
  <c r="I86" i="71"/>
  <c r="H86" i="71"/>
  <c r="G86" i="71"/>
  <c r="F86" i="71"/>
  <c r="E86" i="71"/>
  <c r="D86" i="71"/>
  <c r="C86" i="71"/>
  <c r="J85" i="71"/>
  <c r="I85" i="71"/>
  <c r="H85" i="71"/>
  <c r="G85" i="71"/>
  <c r="F85" i="71"/>
  <c r="E85" i="71"/>
  <c r="D85" i="71"/>
  <c r="C85" i="71"/>
  <c r="J84" i="71"/>
  <c r="I84" i="71"/>
  <c r="H84" i="71"/>
  <c r="G84" i="71"/>
  <c r="F84" i="71"/>
  <c r="E84" i="71"/>
  <c r="D84" i="71"/>
  <c r="C84" i="71"/>
  <c r="J83" i="71"/>
  <c r="I83" i="71"/>
  <c r="H83" i="71"/>
  <c r="G83" i="71"/>
  <c r="F83" i="71"/>
  <c r="E83" i="71"/>
  <c r="D83" i="71"/>
  <c r="C83" i="71"/>
  <c r="J82" i="71"/>
  <c r="I82" i="71"/>
  <c r="H82" i="71"/>
  <c r="G82" i="71"/>
  <c r="F82" i="71"/>
  <c r="E82" i="71"/>
  <c r="D82" i="71"/>
  <c r="C82" i="71"/>
  <c r="J81" i="71"/>
  <c r="I81" i="71"/>
  <c r="H81" i="71"/>
  <c r="G81" i="71"/>
  <c r="F81" i="71"/>
  <c r="E81" i="71"/>
  <c r="D81" i="71"/>
  <c r="C81" i="71"/>
  <c r="J80" i="71"/>
  <c r="I80" i="71"/>
  <c r="H80" i="71"/>
  <c r="G80" i="71"/>
  <c r="F80" i="71"/>
  <c r="E80" i="71"/>
  <c r="D80" i="71"/>
  <c r="C80" i="71"/>
  <c r="J79" i="71"/>
  <c r="I79" i="71"/>
  <c r="H79" i="71"/>
  <c r="G79" i="71"/>
  <c r="F79" i="71"/>
  <c r="E79" i="71"/>
  <c r="D79" i="71"/>
  <c r="C79" i="71"/>
  <c r="J78" i="71"/>
  <c r="I78" i="71"/>
  <c r="H78" i="71"/>
  <c r="G78" i="71"/>
  <c r="F78" i="71"/>
  <c r="E78" i="71"/>
  <c r="D78" i="71"/>
  <c r="C78" i="71"/>
  <c r="J77" i="71"/>
  <c r="I77" i="71"/>
  <c r="H77" i="71"/>
  <c r="G77" i="71"/>
  <c r="F77" i="71"/>
  <c r="E77" i="71"/>
  <c r="D77" i="71"/>
  <c r="C77" i="71"/>
  <c r="J76" i="71"/>
  <c r="I76" i="71"/>
  <c r="H76" i="71"/>
  <c r="G76" i="71"/>
  <c r="F76" i="71"/>
  <c r="E76" i="71"/>
  <c r="D76" i="71"/>
  <c r="C76" i="71"/>
  <c r="J75" i="71"/>
  <c r="I75" i="71"/>
  <c r="H75" i="71"/>
  <c r="G75" i="71"/>
  <c r="F75" i="71"/>
  <c r="E75" i="71"/>
  <c r="D75" i="71"/>
  <c r="C75" i="71"/>
  <c r="J74" i="71"/>
  <c r="I74" i="71"/>
  <c r="H74" i="71"/>
  <c r="G74" i="71"/>
  <c r="F74" i="71"/>
  <c r="E74" i="71"/>
  <c r="D74" i="71"/>
  <c r="C74" i="71"/>
  <c r="J73" i="71"/>
  <c r="I73" i="71"/>
  <c r="H73" i="71"/>
  <c r="G73" i="71"/>
  <c r="F73" i="71"/>
  <c r="E73" i="71"/>
  <c r="D73" i="71"/>
  <c r="C73" i="71"/>
  <c r="J72" i="71"/>
  <c r="I72" i="71"/>
  <c r="H72" i="71"/>
  <c r="G72" i="71"/>
  <c r="F72" i="71"/>
  <c r="E72" i="71"/>
  <c r="D72" i="71"/>
  <c r="C72" i="71"/>
  <c r="J71" i="71"/>
  <c r="I71" i="71"/>
  <c r="H71" i="71"/>
  <c r="G71" i="71"/>
  <c r="F71" i="71"/>
  <c r="E71" i="71"/>
  <c r="D71" i="71"/>
  <c r="C71" i="71"/>
  <c r="J70" i="71"/>
  <c r="I70" i="71"/>
  <c r="H70" i="71"/>
  <c r="G70" i="71"/>
  <c r="F70" i="71"/>
  <c r="E70" i="71"/>
  <c r="D70" i="71"/>
  <c r="C70" i="71"/>
  <c r="J69" i="71"/>
  <c r="I69" i="71"/>
  <c r="H69" i="71"/>
  <c r="G69" i="71"/>
  <c r="F69" i="71"/>
  <c r="E69" i="71"/>
  <c r="D69" i="71"/>
  <c r="C69" i="71"/>
  <c r="J68" i="71"/>
  <c r="I68" i="71"/>
  <c r="H68" i="71"/>
  <c r="G68" i="71"/>
  <c r="F68" i="71"/>
  <c r="E68" i="71"/>
  <c r="D68" i="71"/>
  <c r="C68" i="71"/>
  <c r="V67" i="71"/>
  <c r="U67" i="71"/>
  <c r="T67" i="71"/>
  <c r="S67" i="71"/>
  <c r="R67" i="71"/>
  <c r="Q67" i="71"/>
  <c r="P67" i="71"/>
  <c r="O67" i="71"/>
  <c r="J67" i="71"/>
  <c r="I67" i="71"/>
  <c r="H67" i="71"/>
  <c r="G67" i="71"/>
  <c r="F67" i="71"/>
  <c r="E67" i="71"/>
  <c r="D67" i="71"/>
  <c r="C67" i="71"/>
  <c r="V66" i="71"/>
  <c r="U66" i="71"/>
  <c r="T66" i="71"/>
  <c r="S66" i="71"/>
  <c r="R66" i="71"/>
  <c r="Q66" i="71"/>
  <c r="P66" i="71"/>
  <c r="O66" i="71"/>
  <c r="J66" i="71"/>
  <c r="I66" i="71"/>
  <c r="H66" i="71"/>
  <c r="G66" i="71"/>
  <c r="F66" i="71"/>
  <c r="E66" i="71"/>
  <c r="D66" i="71"/>
  <c r="C66" i="71"/>
  <c r="V65" i="71"/>
  <c r="U65" i="71"/>
  <c r="T65" i="71"/>
  <c r="S65" i="71"/>
  <c r="R65" i="71"/>
  <c r="Q65" i="71"/>
  <c r="P65" i="71"/>
  <c r="O65" i="71"/>
  <c r="J65" i="71"/>
  <c r="I65" i="71"/>
  <c r="H65" i="71"/>
  <c r="G65" i="71"/>
  <c r="F65" i="71"/>
  <c r="E65" i="71"/>
  <c r="D65" i="71"/>
  <c r="C65" i="71"/>
  <c r="V64" i="71"/>
  <c r="U64" i="71"/>
  <c r="T64" i="71"/>
  <c r="S64" i="71"/>
  <c r="R64" i="71"/>
  <c r="Q64" i="71"/>
  <c r="P64" i="71"/>
  <c r="O64" i="71"/>
  <c r="J64" i="71"/>
  <c r="I64" i="71"/>
  <c r="H64" i="71"/>
  <c r="G64" i="71"/>
  <c r="F64" i="71"/>
  <c r="E64" i="71"/>
  <c r="D64" i="71"/>
  <c r="C64" i="71"/>
  <c r="V63" i="71"/>
  <c r="U63" i="71"/>
  <c r="T63" i="71"/>
  <c r="S63" i="71"/>
  <c r="R63" i="71"/>
  <c r="Q63" i="71"/>
  <c r="P63" i="71"/>
  <c r="O63" i="71"/>
  <c r="J63" i="71"/>
  <c r="I63" i="71"/>
  <c r="H63" i="71"/>
  <c r="G63" i="71"/>
  <c r="F63" i="71"/>
  <c r="E63" i="71"/>
  <c r="D63" i="71"/>
  <c r="C63" i="71"/>
  <c r="V62" i="71"/>
  <c r="U62" i="71"/>
  <c r="T62" i="71"/>
  <c r="S62" i="71"/>
  <c r="R62" i="71"/>
  <c r="Q62" i="71"/>
  <c r="P62" i="71"/>
  <c r="O62" i="71"/>
  <c r="J62" i="71"/>
  <c r="I62" i="71"/>
  <c r="H62" i="71"/>
  <c r="G62" i="71"/>
  <c r="F62" i="71"/>
  <c r="E62" i="71"/>
  <c r="D62" i="71"/>
  <c r="C62" i="71"/>
  <c r="V61" i="71"/>
  <c r="U61" i="71"/>
  <c r="T61" i="71"/>
  <c r="S61" i="71"/>
  <c r="R61" i="71"/>
  <c r="Q61" i="71"/>
  <c r="P61" i="71"/>
  <c r="O61" i="71"/>
  <c r="J61" i="71"/>
  <c r="I61" i="71"/>
  <c r="H61" i="71"/>
  <c r="G61" i="71"/>
  <c r="F61" i="71"/>
  <c r="E61" i="71"/>
  <c r="D61" i="71"/>
  <c r="C61" i="71"/>
  <c r="V60" i="71"/>
  <c r="U60" i="71"/>
  <c r="T60" i="71"/>
  <c r="S60" i="71"/>
  <c r="R60" i="71"/>
  <c r="Q60" i="71"/>
  <c r="P60" i="71"/>
  <c r="O60" i="71"/>
  <c r="J60" i="71"/>
  <c r="I60" i="71"/>
  <c r="H60" i="71"/>
  <c r="G60" i="71"/>
  <c r="F60" i="71"/>
  <c r="E60" i="71"/>
  <c r="D60" i="71"/>
  <c r="C60" i="71"/>
  <c r="V59" i="71"/>
  <c r="U59" i="71"/>
  <c r="T59" i="71"/>
  <c r="S59" i="71"/>
  <c r="R59" i="71"/>
  <c r="Q59" i="71"/>
  <c r="P59" i="71"/>
  <c r="O59" i="71"/>
  <c r="J59" i="71"/>
  <c r="I59" i="71"/>
  <c r="H59" i="71"/>
  <c r="G59" i="71"/>
  <c r="F59" i="71"/>
  <c r="E59" i="71"/>
  <c r="D59" i="71"/>
  <c r="C59" i="71"/>
  <c r="V58" i="71"/>
  <c r="U58" i="71"/>
  <c r="T58" i="71"/>
  <c r="S58" i="71"/>
  <c r="R58" i="71"/>
  <c r="Q58" i="71"/>
  <c r="P58" i="71"/>
  <c r="O58" i="71"/>
  <c r="J58" i="71"/>
  <c r="I58" i="71"/>
  <c r="H58" i="71"/>
  <c r="G58" i="71"/>
  <c r="F58" i="71"/>
  <c r="E58" i="71"/>
  <c r="D58" i="71"/>
  <c r="C58" i="71"/>
  <c r="V57" i="71"/>
  <c r="U57" i="71"/>
  <c r="T57" i="71"/>
  <c r="S57" i="71"/>
  <c r="R57" i="71"/>
  <c r="Q57" i="71"/>
  <c r="P57" i="71"/>
  <c r="O57" i="71"/>
  <c r="J57" i="71"/>
  <c r="I57" i="71"/>
  <c r="H57" i="71"/>
  <c r="G57" i="71"/>
  <c r="F57" i="71"/>
  <c r="E57" i="71"/>
  <c r="D57" i="71"/>
  <c r="C57" i="71"/>
  <c r="V56" i="71"/>
  <c r="U56" i="71"/>
  <c r="T56" i="71"/>
  <c r="S56" i="71"/>
  <c r="R56" i="71"/>
  <c r="Q56" i="71"/>
  <c r="P56" i="71"/>
  <c r="O56" i="71"/>
  <c r="J56" i="71"/>
  <c r="I56" i="71"/>
  <c r="H56" i="71"/>
  <c r="G56" i="71"/>
  <c r="F56" i="71"/>
  <c r="E56" i="71"/>
  <c r="D56" i="71"/>
  <c r="C56" i="71"/>
  <c r="V55" i="71"/>
  <c r="U55" i="71"/>
  <c r="T55" i="71"/>
  <c r="S55" i="71"/>
  <c r="R55" i="71"/>
  <c r="Q55" i="71"/>
  <c r="P55" i="71"/>
  <c r="O55" i="71"/>
  <c r="J55" i="71"/>
  <c r="I55" i="71"/>
  <c r="H55" i="71"/>
  <c r="G55" i="71"/>
  <c r="F55" i="71"/>
  <c r="E55" i="71"/>
  <c r="D55" i="71"/>
  <c r="C55" i="71"/>
  <c r="V54" i="71"/>
  <c r="U54" i="71"/>
  <c r="T54" i="71"/>
  <c r="S54" i="71"/>
  <c r="R54" i="71"/>
  <c r="Q54" i="71"/>
  <c r="P54" i="71"/>
  <c r="O54" i="71"/>
  <c r="J54" i="71"/>
  <c r="I54" i="71"/>
  <c r="H54" i="71"/>
  <c r="G54" i="71"/>
  <c r="F54" i="71"/>
  <c r="E54" i="71"/>
  <c r="D54" i="71"/>
  <c r="C54" i="71"/>
  <c r="V53" i="71"/>
  <c r="U53" i="71"/>
  <c r="T53" i="71"/>
  <c r="S53" i="71"/>
  <c r="R53" i="71"/>
  <c r="Q53" i="71"/>
  <c r="P53" i="71"/>
  <c r="O53" i="71"/>
  <c r="J53" i="71"/>
  <c r="I53" i="71"/>
  <c r="H53" i="71"/>
  <c r="G53" i="71"/>
  <c r="F53" i="71"/>
  <c r="E53" i="71"/>
  <c r="D53" i="71"/>
  <c r="C53" i="71"/>
  <c r="V52" i="71"/>
  <c r="U52" i="71"/>
  <c r="T52" i="71"/>
  <c r="S52" i="71"/>
  <c r="R52" i="71"/>
  <c r="Q52" i="71"/>
  <c r="P52" i="71"/>
  <c r="O52" i="71"/>
  <c r="J52" i="71"/>
  <c r="I52" i="71"/>
  <c r="H52" i="71"/>
  <c r="G52" i="71"/>
  <c r="F52" i="71"/>
  <c r="E52" i="71"/>
  <c r="D52" i="71"/>
  <c r="C52" i="71"/>
  <c r="V51" i="71"/>
  <c r="U51" i="71"/>
  <c r="T51" i="71"/>
  <c r="S51" i="71"/>
  <c r="R51" i="71"/>
  <c r="Q51" i="71"/>
  <c r="P51" i="71"/>
  <c r="O51" i="71"/>
  <c r="J51" i="71"/>
  <c r="I51" i="71"/>
  <c r="H51" i="71"/>
  <c r="G51" i="71"/>
  <c r="F51" i="71"/>
  <c r="E51" i="71"/>
  <c r="D51" i="71"/>
  <c r="C51" i="71"/>
  <c r="V50" i="71"/>
  <c r="U50" i="71"/>
  <c r="T50" i="71"/>
  <c r="S50" i="71"/>
  <c r="R50" i="71"/>
  <c r="Q50" i="71"/>
  <c r="P50" i="71"/>
  <c r="O50" i="71"/>
  <c r="J50" i="71"/>
  <c r="I50" i="71"/>
  <c r="H50" i="71"/>
  <c r="G50" i="71"/>
  <c r="F50" i="71"/>
  <c r="E50" i="71"/>
  <c r="D50" i="71"/>
  <c r="C50" i="71"/>
  <c r="V49" i="71"/>
  <c r="U49" i="71"/>
  <c r="T49" i="71"/>
  <c r="S49" i="71"/>
  <c r="R49" i="71"/>
  <c r="Q49" i="71"/>
  <c r="P49" i="71"/>
  <c r="O49" i="71"/>
  <c r="J49" i="71"/>
  <c r="I49" i="71"/>
  <c r="H49" i="71"/>
  <c r="G49" i="71"/>
  <c r="F49" i="71"/>
  <c r="E49" i="71"/>
  <c r="D49" i="71"/>
  <c r="C49" i="71"/>
  <c r="V48" i="71"/>
  <c r="U48" i="71"/>
  <c r="T48" i="71"/>
  <c r="S48" i="71"/>
  <c r="R48" i="71"/>
  <c r="Q48" i="71"/>
  <c r="P48" i="71"/>
  <c r="O48" i="71"/>
  <c r="J48" i="71"/>
  <c r="I48" i="71"/>
  <c r="H48" i="71"/>
  <c r="G48" i="71"/>
  <c r="F48" i="71"/>
  <c r="E48" i="71"/>
  <c r="D48" i="71"/>
  <c r="C48" i="71"/>
  <c r="V47" i="71"/>
  <c r="U47" i="71"/>
  <c r="T47" i="71"/>
  <c r="S47" i="71"/>
  <c r="R47" i="71"/>
  <c r="Q47" i="71"/>
  <c r="P47" i="71"/>
  <c r="O47" i="71"/>
  <c r="J47" i="71"/>
  <c r="I47" i="71"/>
  <c r="H47" i="71"/>
  <c r="G47" i="71"/>
  <c r="F47" i="71"/>
  <c r="E47" i="71"/>
  <c r="D47" i="71"/>
  <c r="C47" i="71"/>
  <c r="V46" i="71"/>
  <c r="U46" i="71"/>
  <c r="T46" i="71"/>
  <c r="S46" i="71"/>
  <c r="R46" i="71"/>
  <c r="Q46" i="71"/>
  <c r="P46" i="71"/>
  <c r="O46" i="71"/>
  <c r="J46" i="71"/>
  <c r="I46" i="71"/>
  <c r="H46" i="71"/>
  <c r="G46" i="71"/>
  <c r="F46" i="71"/>
  <c r="E46" i="71"/>
  <c r="D46" i="71"/>
  <c r="C46" i="71"/>
  <c r="V45" i="71"/>
  <c r="U45" i="71"/>
  <c r="T45" i="71"/>
  <c r="S45" i="71"/>
  <c r="R45" i="71"/>
  <c r="Q45" i="71"/>
  <c r="P45" i="71"/>
  <c r="O45" i="71"/>
  <c r="J45" i="71"/>
  <c r="I45" i="71"/>
  <c r="H45" i="71"/>
  <c r="G45" i="71"/>
  <c r="F45" i="71"/>
  <c r="E45" i="71"/>
  <c r="D45" i="71"/>
  <c r="C45" i="71"/>
  <c r="V44" i="71"/>
  <c r="U44" i="71"/>
  <c r="T44" i="71"/>
  <c r="S44" i="71"/>
  <c r="R44" i="71"/>
  <c r="Q44" i="71"/>
  <c r="P44" i="71"/>
  <c r="O44" i="71"/>
  <c r="J44" i="71"/>
  <c r="I44" i="71"/>
  <c r="H44" i="71"/>
  <c r="G44" i="71"/>
  <c r="F44" i="71"/>
  <c r="E44" i="71"/>
  <c r="D44" i="71"/>
  <c r="C44" i="71"/>
  <c r="V43" i="71"/>
  <c r="U43" i="71"/>
  <c r="T43" i="71"/>
  <c r="S43" i="71"/>
  <c r="R43" i="71"/>
  <c r="Q43" i="71"/>
  <c r="P43" i="71"/>
  <c r="O43" i="71"/>
  <c r="J43" i="71"/>
  <c r="I43" i="71"/>
  <c r="H43" i="71"/>
  <c r="G43" i="71"/>
  <c r="F43" i="71"/>
  <c r="E43" i="71"/>
  <c r="D43" i="71"/>
  <c r="C43" i="71"/>
  <c r="V42" i="71"/>
  <c r="U42" i="71"/>
  <c r="T42" i="71"/>
  <c r="S42" i="71"/>
  <c r="R42" i="71"/>
  <c r="Q42" i="71"/>
  <c r="P42" i="71"/>
  <c r="O42" i="71"/>
  <c r="J42" i="71"/>
  <c r="I42" i="71"/>
  <c r="H42" i="71"/>
  <c r="G42" i="71"/>
  <c r="F42" i="71"/>
  <c r="E42" i="71"/>
  <c r="D42" i="71"/>
  <c r="C42" i="71"/>
  <c r="V41" i="71"/>
  <c r="U41" i="71"/>
  <c r="T41" i="71"/>
  <c r="S41" i="71"/>
  <c r="R41" i="71"/>
  <c r="Q41" i="71"/>
  <c r="P41" i="71"/>
  <c r="O41" i="71"/>
  <c r="J41" i="71"/>
  <c r="I41" i="71"/>
  <c r="H41" i="71"/>
  <c r="G41" i="71"/>
  <c r="F41" i="71"/>
  <c r="E41" i="71"/>
  <c r="D41" i="71"/>
  <c r="C41" i="71"/>
  <c r="V40" i="71"/>
  <c r="U40" i="71"/>
  <c r="T40" i="71"/>
  <c r="S40" i="71"/>
  <c r="R40" i="71"/>
  <c r="Q40" i="71"/>
  <c r="P40" i="71"/>
  <c r="O40" i="71"/>
  <c r="J40" i="71"/>
  <c r="I40" i="71"/>
  <c r="H40" i="71"/>
  <c r="G40" i="71"/>
  <c r="F40" i="71"/>
  <c r="E40" i="71"/>
  <c r="D40" i="71"/>
  <c r="C40" i="71"/>
  <c r="V39" i="71"/>
  <c r="U39" i="71"/>
  <c r="T39" i="71"/>
  <c r="S39" i="71"/>
  <c r="R39" i="71"/>
  <c r="Q39" i="71"/>
  <c r="P39" i="71"/>
  <c r="O39" i="71"/>
  <c r="J39" i="71"/>
  <c r="I39" i="71"/>
  <c r="H39" i="71"/>
  <c r="G39" i="71"/>
  <c r="F39" i="71"/>
  <c r="E39" i="71"/>
  <c r="D39" i="71"/>
  <c r="C39" i="71"/>
  <c r="V38" i="71"/>
  <c r="U38" i="71"/>
  <c r="T38" i="71"/>
  <c r="S38" i="71"/>
  <c r="R38" i="71"/>
  <c r="Q38" i="71"/>
  <c r="P38" i="71"/>
  <c r="O38" i="71"/>
  <c r="J38" i="71"/>
  <c r="I38" i="71"/>
  <c r="H38" i="71"/>
  <c r="G38" i="71"/>
  <c r="F38" i="71"/>
  <c r="E38" i="71"/>
  <c r="D38" i="71"/>
  <c r="C38" i="71"/>
  <c r="V37" i="71"/>
  <c r="U37" i="71"/>
  <c r="T37" i="71"/>
  <c r="S37" i="71"/>
  <c r="R37" i="71"/>
  <c r="Q37" i="71"/>
  <c r="P37" i="71"/>
  <c r="O37" i="71"/>
  <c r="J37" i="71"/>
  <c r="I37" i="71"/>
  <c r="H37" i="71"/>
  <c r="G37" i="71"/>
  <c r="F37" i="71"/>
  <c r="E37" i="71"/>
  <c r="D37" i="71"/>
  <c r="C37" i="71"/>
  <c r="V36" i="71"/>
  <c r="U36" i="71"/>
  <c r="T36" i="71"/>
  <c r="S36" i="71"/>
  <c r="R36" i="71"/>
  <c r="Q36" i="71"/>
  <c r="P36" i="71"/>
  <c r="O36" i="71"/>
  <c r="J36" i="71"/>
  <c r="I36" i="71"/>
  <c r="H36" i="71"/>
  <c r="G36" i="71"/>
  <c r="F36" i="71"/>
  <c r="E36" i="71"/>
  <c r="D36" i="71"/>
  <c r="C36" i="71"/>
  <c r="V35" i="71"/>
  <c r="U35" i="71"/>
  <c r="T35" i="71"/>
  <c r="S35" i="71"/>
  <c r="R35" i="71"/>
  <c r="Q35" i="71"/>
  <c r="P35" i="71"/>
  <c r="O35" i="71"/>
  <c r="J35" i="71"/>
  <c r="I35" i="71"/>
  <c r="H35" i="71"/>
  <c r="G35" i="71"/>
  <c r="F35" i="71"/>
  <c r="E35" i="71"/>
  <c r="D35" i="71"/>
  <c r="C35" i="71"/>
  <c r="V34" i="71"/>
  <c r="U34" i="71"/>
  <c r="T34" i="71"/>
  <c r="S34" i="71"/>
  <c r="R34" i="71"/>
  <c r="Q34" i="71"/>
  <c r="P34" i="71"/>
  <c r="O34" i="71"/>
  <c r="J34" i="71"/>
  <c r="I34" i="71"/>
  <c r="H34" i="71"/>
  <c r="G34" i="71"/>
  <c r="F34" i="71"/>
  <c r="E34" i="71"/>
  <c r="D34" i="71"/>
  <c r="C34" i="71"/>
  <c r="V33" i="71"/>
  <c r="U33" i="71"/>
  <c r="T33" i="71"/>
  <c r="S33" i="71"/>
  <c r="R33" i="71"/>
  <c r="Q33" i="71"/>
  <c r="P33" i="71"/>
  <c r="O33" i="71"/>
  <c r="J33" i="71"/>
  <c r="I33" i="71"/>
  <c r="H33" i="71"/>
  <c r="G33" i="71"/>
  <c r="F33" i="71"/>
  <c r="E33" i="71"/>
  <c r="D33" i="71"/>
  <c r="C33" i="71"/>
  <c r="V32" i="71"/>
  <c r="U32" i="71"/>
  <c r="T32" i="71"/>
  <c r="S32" i="71"/>
  <c r="R32" i="71"/>
  <c r="Q32" i="71"/>
  <c r="P32" i="71"/>
  <c r="O32" i="71"/>
  <c r="J32" i="71"/>
  <c r="I32" i="71"/>
  <c r="H32" i="71"/>
  <c r="G32" i="71"/>
  <c r="F32" i="71"/>
  <c r="E32" i="71"/>
  <c r="D32" i="71"/>
  <c r="C32" i="71"/>
  <c r="V31" i="71"/>
  <c r="U31" i="71"/>
  <c r="T31" i="71"/>
  <c r="S31" i="71"/>
  <c r="R31" i="71"/>
  <c r="Q31" i="71"/>
  <c r="P31" i="71"/>
  <c r="O31" i="71"/>
  <c r="J31" i="71"/>
  <c r="I31" i="71"/>
  <c r="H31" i="71"/>
  <c r="G31" i="71"/>
  <c r="F31" i="71"/>
  <c r="E31" i="71"/>
  <c r="D31" i="71"/>
  <c r="C31" i="71"/>
  <c r="V30" i="71"/>
  <c r="U30" i="71"/>
  <c r="T30" i="71"/>
  <c r="S30" i="71"/>
  <c r="R30" i="71"/>
  <c r="Q30" i="71"/>
  <c r="P30" i="71"/>
  <c r="O30" i="71"/>
  <c r="J30" i="71"/>
  <c r="I30" i="71"/>
  <c r="H30" i="71"/>
  <c r="G30" i="71"/>
  <c r="F30" i="71"/>
  <c r="E30" i="71"/>
  <c r="D30" i="71"/>
  <c r="C30" i="71"/>
  <c r="V29" i="71"/>
  <c r="U29" i="71"/>
  <c r="T29" i="71"/>
  <c r="S29" i="71"/>
  <c r="R29" i="71"/>
  <c r="Q29" i="71"/>
  <c r="P29" i="71"/>
  <c r="O29" i="71"/>
  <c r="J29" i="71"/>
  <c r="I29" i="71"/>
  <c r="H29" i="71"/>
  <c r="G29" i="71"/>
  <c r="F29" i="71"/>
  <c r="E29" i="71"/>
  <c r="D29" i="71"/>
  <c r="C29" i="71"/>
  <c r="V28" i="71"/>
  <c r="U28" i="71"/>
  <c r="T28" i="71"/>
  <c r="S28" i="71"/>
  <c r="R28" i="71"/>
  <c r="Q28" i="71"/>
  <c r="P28" i="71"/>
  <c r="O28" i="71"/>
  <c r="J28" i="71"/>
  <c r="I28" i="71"/>
  <c r="H28" i="71"/>
  <c r="G28" i="71"/>
  <c r="F28" i="71"/>
  <c r="E28" i="71"/>
  <c r="D28" i="71"/>
  <c r="C28" i="71"/>
  <c r="V27" i="71"/>
  <c r="U27" i="71"/>
  <c r="T27" i="71"/>
  <c r="S27" i="71"/>
  <c r="R27" i="71"/>
  <c r="Q27" i="71"/>
  <c r="P27" i="71"/>
  <c r="O27" i="71"/>
  <c r="J27" i="71"/>
  <c r="I27" i="71"/>
  <c r="H27" i="71"/>
  <c r="G27" i="71"/>
  <c r="F27" i="71"/>
  <c r="E27" i="71"/>
  <c r="D27" i="71"/>
  <c r="C27" i="71"/>
  <c r="V26" i="71"/>
  <c r="U26" i="71"/>
  <c r="T26" i="71"/>
  <c r="S26" i="71"/>
  <c r="R26" i="71"/>
  <c r="Q26" i="71"/>
  <c r="P26" i="71"/>
  <c r="O26" i="71"/>
  <c r="J26" i="71"/>
  <c r="I26" i="71"/>
  <c r="H26" i="71"/>
  <c r="G26" i="71"/>
  <c r="F26" i="71"/>
  <c r="E26" i="71"/>
  <c r="D26" i="71"/>
  <c r="C26" i="71"/>
  <c r="V25" i="71"/>
  <c r="U25" i="71"/>
  <c r="T25" i="71"/>
  <c r="S25" i="71"/>
  <c r="R25" i="71"/>
  <c r="Q25" i="71"/>
  <c r="P25" i="71"/>
  <c r="O25" i="71"/>
  <c r="J25" i="71"/>
  <c r="I25" i="71"/>
  <c r="H25" i="71"/>
  <c r="G25" i="71"/>
  <c r="F25" i="71"/>
  <c r="E25" i="71"/>
  <c r="D25" i="71"/>
  <c r="C25" i="71"/>
  <c r="V24" i="71"/>
  <c r="U24" i="71"/>
  <c r="T24" i="71"/>
  <c r="S24" i="71"/>
  <c r="R24" i="71"/>
  <c r="Q24" i="71"/>
  <c r="P24" i="71"/>
  <c r="O24" i="71"/>
  <c r="J24" i="71"/>
  <c r="I24" i="71"/>
  <c r="H24" i="71"/>
  <c r="G24" i="71"/>
  <c r="F24" i="71"/>
  <c r="E24" i="71"/>
  <c r="D24" i="71"/>
  <c r="C24" i="71"/>
  <c r="V23" i="71"/>
  <c r="U23" i="71"/>
  <c r="T23" i="71"/>
  <c r="S23" i="71"/>
  <c r="R23" i="71"/>
  <c r="Q23" i="71"/>
  <c r="P23" i="71"/>
  <c r="O23" i="71"/>
  <c r="J23" i="71"/>
  <c r="I23" i="71"/>
  <c r="H23" i="71"/>
  <c r="G23" i="71"/>
  <c r="F23" i="71"/>
  <c r="E23" i="71"/>
  <c r="D23" i="71"/>
  <c r="C23" i="71"/>
  <c r="V22" i="71"/>
  <c r="U22" i="71"/>
  <c r="T22" i="71"/>
  <c r="S22" i="71"/>
  <c r="R22" i="71"/>
  <c r="Q22" i="71"/>
  <c r="P22" i="71"/>
  <c r="O22" i="71"/>
  <c r="J22" i="71"/>
  <c r="I22" i="71"/>
  <c r="H22" i="71"/>
  <c r="G22" i="71"/>
  <c r="F22" i="71"/>
  <c r="E22" i="71"/>
  <c r="D22" i="71"/>
  <c r="C22" i="71"/>
  <c r="V21" i="71"/>
  <c r="U21" i="71"/>
  <c r="T21" i="71"/>
  <c r="S21" i="71"/>
  <c r="R21" i="71"/>
  <c r="Q21" i="71"/>
  <c r="P21" i="71"/>
  <c r="O21" i="71"/>
  <c r="J21" i="71"/>
  <c r="I21" i="71"/>
  <c r="H21" i="71"/>
  <c r="G21" i="71"/>
  <c r="F21" i="71"/>
  <c r="E21" i="71"/>
  <c r="D21" i="71"/>
  <c r="C21" i="71"/>
  <c r="V20" i="71"/>
  <c r="U20" i="71"/>
  <c r="T20" i="71"/>
  <c r="S20" i="71"/>
  <c r="R20" i="71"/>
  <c r="Q20" i="71"/>
  <c r="P20" i="71"/>
  <c r="O20" i="71"/>
  <c r="J20" i="71"/>
  <c r="I20" i="71"/>
  <c r="H20" i="71"/>
  <c r="G20" i="71"/>
  <c r="F20" i="71"/>
  <c r="E20" i="71"/>
  <c r="D20" i="71"/>
  <c r="C20" i="71"/>
  <c r="V19" i="71"/>
  <c r="U19" i="71"/>
  <c r="T19" i="71"/>
  <c r="S19" i="71"/>
  <c r="R19" i="71"/>
  <c r="Q19" i="71"/>
  <c r="P19" i="71"/>
  <c r="O19" i="71"/>
  <c r="J19" i="71"/>
  <c r="I19" i="71"/>
  <c r="H19" i="71"/>
  <c r="G19" i="71"/>
  <c r="F19" i="71"/>
  <c r="E19" i="71"/>
  <c r="D19" i="71"/>
  <c r="C19" i="71"/>
  <c r="V18" i="71"/>
  <c r="U18" i="71"/>
  <c r="T18" i="71"/>
  <c r="S18" i="71"/>
  <c r="R18" i="71"/>
  <c r="Q18" i="71"/>
  <c r="P18" i="71"/>
  <c r="O18" i="71"/>
  <c r="J18" i="71"/>
  <c r="I18" i="71"/>
  <c r="H18" i="71"/>
  <c r="G18" i="71"/>
  <c r="F18" i="71"/>
  <c r="E18" i="71"/>
  <c r="D18" i="71"/>
  <c r="C18" i="71"/>
  <c r="V17" i="71"/>
  <c r="U17" i="71"/>
  <c r="T17" i="71"/>
  <c r="S17" i="71"/>
  <c r="R17" i="71"/>
  <c r="Q17" i="71"/>
  <c r="P17" i="71"/>
  <c r="O17" i="71"/>
  <c r="J17" i="71"/>
  <c r="I17" i="71"/>
  <c r="H17" i="71"/>
  <c r="G17" i="71"/>
  <c r="F17" i="71"/>
  <c r="E17" i="71"/>
  <c r="D17" i="71"/>
  <c r="C17" i="71"/>
  <c r="V16" i="71"/>
  <c r="U16" i="71"/>
  <c r="T16" i="71"/>
  <c r="S16" i="71"/>
  <c r="R16" i="71"/>
  <c r="Q16" i="71"/>
  <c r="P16" i="71"/>
  <c r="O16" i="71"/>
  <c r="J16" i="71"/>
  <c r="I16" i="71"/>
  <c r="H16" i="71"/>
  <c r="G16" i="71"/>
  <c r="F16" i="71"/>
  <c r="E16" i="71"/>
  <c r="D16" i="71"/>
  <c r="C16" i="71"/>
  <c r="V15" i="71"/>
  <c r="U15" i="71"/>
  <c r="T15" i="71"/>
  <c r="S15" i="71"/>
  <c r="R15" i="71"/>
  <c r="Q15" i="71"/>
  <c r="P15" i="71"/>
  <c r="O15" i="71"/>
  <c r="J15" i="71"/>
  <c r="I15" i="71"/>
  <c r="H15" i="71"/>
  <c r="G15" i="71"/>
  <c r="F15" i="71"/>
  <c r="E15" i="71"/>
  <c r="D15" i="71"/>
  <c r="C15" i="71"/>
  <c r="V14" i="71"/>
  <c r="U14" i="71"/>
  <c r="T14" i="71"/>
  <c r="S14" i="71"/>
  <c r="R14" i="71"/>
  <c r="Q14" i="71"/>
  <c r="P14" i="71"/>
  <c r="O14" i="71"/>
  <c r="J14" i="71"/>
  <c r="I14" i="71"/>
  <c r="H14" i="71"/>
  <c r="G14" i="71"/>
  <c r="F14" i="71"/>
  <c r="E14" i="71"/>
  <c r="D14" i="71"/>
  <c r="C14" i="71"/>
  <c r="V13" i="71"/>
  <c r="U13" i="71"/>
  <c r="T13" i="71"/>
  <c r="S13" i="71"/>
  <c r="R13" i="71"/>
  <c r="Q13" i="71"/>
  <c r="P13" i="71"/>
  <c r="O13" i="71"/>
  <c r="J13" i="71"/>
  <c r="I13" i="71"/>
  <c r="H13" i="71"/>
  <c r="G13" i="71"/>
  <c r="F13" i="71"/>
  <c r="E13" i="71"/>
  <c r="D13" i="71"/>
  <c r="C13" i="71"/>
  <c r="V12" i="71"/>
  <c r="U12" i="71"/>
  <c r="T12" i="71"/>
  <c r="S12" i="71"/>
  <c r="R12" i="71"/>
  <c r="Q12" i="71"/>
  <c r="P12" i="71"/>
  <c r="O12" i="71"/>
  <c r="J12" i="71"/>
  <c r="I12" i="71"/>
  <c r="H12" i="71"/>
  <c r="G12" i="71"/>
  <c r="F12" i="71"/>
  <c r="E12" i="71"/>
  <c r="D12" i="71"/>
  <c r="C12" i="71"/>
  <c r="V11" i="71"/>
  <c r="U11" i="71"/>
  <c r="T11" i="71"/>
  <c r="S11" i="71"/>
  <c r="R11" i="71"/>
  <c r="Q11" i="71"/>
  <c r="P11" i="71"/>
  <c r="O11" i="71"/>
  <c r="J11" i="71"/>
  <c r="I11" i="71"/>
  <c r="H11" i="71"/>
  <c r="G11" i="71"/>
  <c r="F11" i="71"/>
  <c r="E11" i="71"/>
  <c r="D11" i="71"/>
  <c r="C11" i="71"/>
  <c r="AI11" i="59"/>
  <c r="A9" i="15"/>
  <c r="B11" i="14"/>
  <c r="B13" i="14"/>
  <c r="B12" i="14"/>
  <c r="B14" i="14"/>
  <c r="B17" i="14"/>
  <c r="B16" i="14"/>
  <c r="B26" i="14"/>
  <c r="B18" i="14"/>
  <c r="B19" i="14"/>
  <c r="B22" i="14"/>
  <c r="B15" i="14"/>
  <c r="B21" i="14"/>
  <c r="B25" i="14"/>
  <c r="B20" i="14"/>
  <c r="B30" i="14"/>
  <c r="B32" i="14"/>
  <c r="B28" i="14"/>
  <c r="B35" i="14"/>
  <c r="B27" i="14"/>
  <c r="B23" i="14"/>
  <c r="B24" i="14"/>
  <c r="B38" i="14"/>
  <c r="B34" i="14"/>
  <c r="B33" i="14"/>
  <c r="B36" i="14"/>
  <c r="B40" i="14"/>
  <c r="B31" i="14"/>
  <c r="B29" i="14"/>
  <c r="B44" i="14"/>
  <c r="B48" i="14"/>
  <c r="B37" i="14"/>
  <c r="B42" i="14"/>
  <c r="B46" i="14"/>
  <c r="B45" i="14"/>
  <c r="B49" i="14"/>
  <c r="B41" i="14"/>
  <c r="B43" i="14"/>
  <c r="B47" i="14"/>
  <c r="B51" i="14"/>
  <c r="B55" i="14"/>
  <c r="B52" i="14"/>
  <c r="B50" i="14"/>
  <c r="B63" i="14"/>
  <c r="B39" i="14"/>
  <c r="B67" i="14"/>
  <c r="B60" i="14"/>
  <c r="B56" i="14"/>
  <c r="B61" i="14"/>
  <c r="B62" i="14"/>
  <c r="B70" i="14"/>
  <c r="B59" i="14"/>
  <c r="B57" i="14"/>
  <c r="B53" i="14"/>
  <c r="B64" i="14"/>
  <c r="B54" i="14"/>
  <c r="B58" i="14"/>
  <c r="B77" i="14"/>
  <c r="B69" i="14"/>
  <c r="B68" i="14"/>
  <c r="B65" i="14"/>
  <c r="B75" i="14"/>
  <c r="B76" i="14"/>
  <c r="B72" i="14"/>
  <c r="B71" i="14"/>
  <c r="B78" i="14"/>
  <c r="B66" i="14"/>
  <c r="B73" i="14"/>
  <c r="B81" i="14"/>
  <c r="B86" i="14"/>
  <c r="B80" i="14"/>
  <c r="B87" i="14"/>
  <c r="B74" i="14"/>
  <c r="B89" i="14"/>
  <c r="B88" i="14"/>
  <c r="B79" i="14"/>
  <c r="B84" i="14"/>
  <c r="B90" i="14"/>
  <c r="B91" i="14"/>
  <c r="B95" i="14"/>
  <c r="B92" i="14"/>
  <c r="B82" i="14"/>
  <c r="B97" i="14"/>
  <c r="B83" i="14"/>
  <c r="B94" i="14"/>
  <c r="B96" i="14"/>
  <c r="B85" i="14"/>
  <c r="B93" i="14"/>
  <c r="A11" i="14"/>
  <c r="A13" i="14"/>
  <c r="A12" i="14"/>
  <c r="A14" i="14"/>
  <c r="A17" i="14"/>
  <c r="A16" i="14"/>
  <c r="A26" i="14"/>
  <c r="A18" i="14"/>
  <c r="A19" i="14"/>
  <c r="A22" i="14"/>
  <c r="A15" i="14"/>
  <c r="A21" i="14"/>
  <c r="A25" i="14"/>
  <c r="A20" i="14"/>
  <c r="A30" i="14"/>
  <c r="A32" i="14"/>
  <c r="A28" i="14"/>
  <c r="A35" i="14"/>
  <c r="A27" i="14"/>
  <c r="A23" i="14"/>
  <c r="A24" i="14"/>
  <c r="A38" i="14"/>
  <c r="A34" i="14"/>
  <c r="A33" i="14"/>
  <c r="A36" i="14"/>
  <c r="A40" i="14"/>
  <c r="A31" i="14"/>
  <c r="A29" i="14"/>
  <c r="A44" i="14"/>
  <c r="A48" i="14"/>
  <c r="A37" i="14"/>
  <c r="A42" i="14"/>
  <c r="A46" i="14"/>
  <c r="A45" i="14"/>
  <c r="A49" i="14"/>
  <c r="A41" i="14"/>
  <c r="A43" i="14"/>
  <c r="A47" i="14"/>
  <c r="A51" i="14"/>
  <c r="A55" i="14"/>
  <c r="A52" i="14"/>
  <c r="A50" i="14"/>
  <c r="A63" i="14"/>
  <c r="A39" i="14"/>
  <c r="A67" i="14"/>
  <c r="A60" i="14"/>
  <c r="A56" i="14"/>
  <c r="A61" i="14"/>
  <c r="A62" i="14"/>
  <c r="A70" i="14"/>
  <c r="A59" i="14"/>
  <c r="A57" i="14"/>
  <c r="A53" i="14"/>
  <c r="A64" i="14"/>
  <c r="A54" i="14"/>
  <c r="A58" i="14"/>
  <c r="A77" i="14"/>
  <c r="A69" i="14"/>
  <c r="A68" i="14"/>
  <c r="A65" i="14"/>
  <c r="A75" i="14"/>
  <c r="A76" i="14"/>
  <c r="A72" i="14"/>
  <c r="A71" i="14"/>
  <c r="A78" i="14"/>
  <c r="A66" i="14"/>
  <c r="A73" i="14"/>
  <c r="A81" i="14"/>
  <c r="A86" i="14"/>
  <c r="A80" i="14"/>
  <c r="A87" i="14"/>
  <c r="A74" i="14"/>
  <c r="A89" i="14"/>
  <c r="A88" i="14"/>
  <c r="A79" i="14"/>
  <c r="A84" i="14"/>
  <c r="A90" i="14"/>
  <c r="A91" i="14"/>
  <c r="A95" i="14"/>
  <c r="A92" i="14"/>
  <c r="A82" i="14"/>
  <c r="A97" i="14"/>
  <c r="A83" i="14"/>
  <c r="A94" i="14"/>
  <c r="A96" i="14"/>
  <c r="A85" i="14"/>
  <c r="A93" i="14"/>
  <c r="B31" i="43"/>
  <c r="C31" i="43" s="1"/>
  <c r="S31" i="43" s="1"/>
  <c r="B37" i="43"/>
  <c r="C37" i="43" s="1"/>
  <c r="S37" i="43" s="1"/>
  <c r="B24" i="43"/>
  <c r="C24" i="43" s="1"/>
  <c r="S24" i="43" s="1"/>
  <c r="B20" i="43"/>
  <c r="C20" i="43" s="1"/>
  <c r="S20" i="43" s="1"/>
  <c r="B15" i="43"/>
  <c r="C15" i="43" s="1"/>
  <c r="B34" i="43"/>
  <c r="C34" i="43" s="1"/>
  <c r="S34" i="43" s="1"/>
  <c r="B29" i="43"/>
  <c r="C29" i="43" s="1"/>
  <c r="S29" i="43" s="1"/>
  <c r="B18" i="43"/>
  <c r="C18" i="43" s="1"/>
  <c r="B22" i="43"/>
  <c r="C22" i="43" s="1"/>
  <c r="S22" i="43" s="1"/>
  <c r="B27" i="43"/>
  <c r="C27" i="43" s="1"/>
  <c r="B13" i="43"/>
  <c r="C13" i="43" s="1"/>
  <c r="S13" i="43" s="1"/>
  <c r="B33" i="43"/>
  <c r="C33" i="43" s="1"/>
  <c r="S33" i="43" s="1"/>
  <c r="B10" i="43"/>
  <c r="C10" i="43" s="1"/>
  <c r="S10" i="43" s="1"/>
  <c r="B30" i="43"/>
  <c r="C30" i="43" s="1"/>
  <c r="S30" i="43" s="1"/>
  <c r="B16" i="43"/>
  <c r="C16" i="43"/>
  <c r="S16" i="43" s="1"/>
  <c r="B26" i="43"/>
  <c r="C26" i="43" s="1"/>
  <c r="S26" i="43" s="1"/>
  <c r="B36" i="43"/>
  <c r="C36" i="43" s="1"/>
  <c r="B21" i="43"/>
  <c r="C21" i="43" s="1"/>
  <c r="B38" i="43"/>
  <c r="C38" i="43" s="1"/>
  <c r="S38" i="43" s="1"/>
  <c r="B19" i="43"/>
  <c r="C19" i="43" s="1"/>
  <c r="S19" i="43" s="1"/>
  <c r="B17" i="43"/>
  <c r="C17" i="43" s="1"/>
  <c r="S17" i="43" s="1"/>
  <c r="B28" i="43"/>
  <c r="C28" i="43" s="1"/>
  <c r="S28" i="43" s="1"/>
  <c r="B35" i="43"/>
  <c r="C35" i="43" s="1"/>
  <c r="B14" i="43"/>
  <c r="C14" i="43" s="1"/>
  <c r="S14" i="43" s="1"/>
  <c r="B32" i="43"/>
  <c r="C32" i="43" s="1"/>
  <c r="B39" i="43"/>
  <c r="F39" i="43" s="1"/>
  <c r="B11" i="43"/>
  <c r="C11" i="43" s="1"/>
  <c r="S11" i="43" s="1"/>
  <c r="B12" i="43"/>
  <c r="C12" i="43" s="1"/>
  <c r="S12" i="43" s="1"/>
  <c r="B23" i="43"/>
  <c r="C23" i="43" s="1"/>
  <c r="S23" i="43" s="1"/>
  <c r="B25" i="43"/>
  <c r="C25" i="43" s="1"/>
  <c r="S25" i="43" s="1"/>
  <c r="A31" i="43"/>
  <c r="A37" i="43"/>
  <c r="A24" i="43"/>
  <c r="A20" i="43"/>
  <c r="A15" i="43"/>
  <c r="A34" i="43"/>
  <c r="A29" i="43"/>
  <c r="A18" i="43"/>
  <c r="A22" i="43"/>
  <c r="A27" i="43"/>
  <c r="A13" i="43"/>
  <c r="A33" i="43"/>
  <c r="A10" i="43"/>
  <c r="A30" i="43"/>
  <c r="A16" i="43"/>
  <c r="A26" i="43"/>
  <c r="A36" i="43"/>
  <c r="A21" i="43"/>
  <c r="A38" i="43"/>
  <c r="A19" i="43"/>
  <c r="A17" i="43"/>
  <c r="A28" i="43"/>
  <c r="A35" i="43"/>
  <c r="A14" i="43"/>
  <c r="A32" i="43"/>
  <c r="A39" i="43"/>
  <c r="A11" i="43"/>
  <c r="A12" i="43"/>
  <c r="A23" i="43"/>
  <c r="A25" i="43"/>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B11" i="15"/>
  <c r="B13" i="15"/>
  <c r="B12" i="15"/>
  <c r="B15" i="15"/>
  <c r="B14" i="15"/>
  <c r="B16" i="15"/>
  <c r="B19" i="15"/>
  <c r="B22" i="15"/>
  <c r="B21" i="15"/>
  <c r="B20" i="15"/>
  <c r="B29" i="15"/>
  <c r="B28" i="15"/>
  <c r="H28" i="15" s="1"/>
  <c r="B24" i="15"/>
  <c r="B26" i="15"/>
  <c r="B18" i="15"/>
  <c r="B17" i="15"/>
  <c r="B27" i="15"/>
  <c r="B23" i="15"/>
  <c r="B31" i="15"/>
  <c r="B39" i="15"/>
  <c r="H39" i="15" s="1"/>
  <c r="B30" i="15"/>
  <c r="B25" i="15"/>
  <c r="B36" i="15"/>
  <c r="B48" i="15"/>
  <c r="B32" i="15"/>
  <c r="B42" i="15"/>
  <c r="B41" i="15"/>
  <c r="B43" i="15"/>
  <c r="H43" i="15" s="1"/>
  <c r="B34" i="15"/>
  <c r="B54" i="15"/>
  <c r="B37" i="15"/>
  <c r="B44" i="15"/>
  <c r="H44" i="15" s="1"/>
  <c r="B33" i="15"/>
  <c r="B40" i="15"/>
  <c r="B46" i="15"/>
  <c r="B38" i="15"/>
  <c r="B62" i="15"/>
  <c r="B49" i="15"/>
  <c r="B53" i="15"/>
  <c r="B35" i="15"/>
  <c r="B50" i="15"/>
  <c r="B52" i="15"/>
  <c r="H52" i="15" s="1"/>
  <c r="B45" i="15"/>
  <c r="B58" i="15"/>
  <c r="B87" i="15"/>
  <c r="B55" i="15"/>
  <c r="B57" i="15"/>
  <c r="B56" i="15"/>
  <c r="H56" i="15" s="1"/>
  <c r="B65" i="15"/>
  <c r="B47" i="15"/>
  <c r="B51" i="15"/>
  <c r="B61" i="15"/>
  <c r="B64" i="15"/>
  <c r="B59" i="15"/>
  <c r="H59" i="15" s="1"/>
  <c r="B80" i="15"/>
  <c r="B73" i="15"/>
  <c r="B83" i="15"/>
  <c r="B67" i="15"/>
  <c r="B69" i="15"/>
  <c r="B75" i="15"/>
  <c r="H75" i="15" s="1"/>
  <c r="B63" i="15"/>
  <c r="B79" i="15"/>
  <c r="B60" i="15"/>
  <c r="B90" i="15"/>
  <c r="B66" i="15"/>
  <c r="B76" i="15"/>
  <c r="H76" i="15" s="1"/>
  <c r="B68" i="15"/>
  <c r="B72" i="15"/>
  <c r="B74" i="15"/>
  <c r="B77" i="15"/>
  <c r="H77" i="15" s="1"/>
  <c r="B86" i="15"/>
  <c r="B82" i="15"/>
  <c r="BC82" i="15" s="1"/>
  <c r="B71" i="15"/>
  <c r="B81" i="15"/>
  <c r="B96" i="15"/>
  <c r="B78" i="15"/>
  <c r="B93" i="15"/>
  <c r="B85" i="15"/>
  <c r="B70" i="15"/>
  <c r="B88" i="15"/>
  <c r="B94" i="15"/>
  <c r="B103" i="15"/>
  <c r="B89" i="15"/>
  <c r="B102" i="15"/>
  <c r="B99" i="15"/>
  <c r="B92" i="15"/>
  <c r="B84" i="15"/>
  <c r="H84" i="15" s="1"/>
  <c r="B106" i="15"/>
  <c r="H106" i="15" s="1"/>
  <c r="B97" i="15"/>
  <c r="B109" i="15"/>
  <c r="B111" i="15"/>
  <c r="B95" i="15"/>
  <c r="H95" i="15" s="1"/>
  <c r="B113" i="15"/>
  <c r="B108" i="15"/>
  <c r="B91" i="15"/>
  <c r="B114" i="15"/>
  <c r="H114" i="15" s="1"/>
  <c r="B107" i="15"/>
  <c r="B120" i="15"/>
  <c r="B100" i="15"/>
  <c r="B112" i="15"/>
  <c r="B117" i="15"/>
  <c r="B105" i="15"/>
  <c r="B115" i="15"/>
  <c r="B101" i="15"/>
  <c r="BC101" i="15" s="1"/>
  <c r="B119" i="15"/>
  <c r="B121" i="15"/>
  <c r="B118" i="15"/>
  <c r="B122" i="15"/>
  <c r="H122" i="15" s="1"/>
  <c r="B98" i="15"/>
  <c r="B116" i="15"/>
  <c r="B123" i="15"/>
  <c r="B110" i="15"/>
  <c r="B104" i="15"/>
  <c r="A11" i="15"/>
  <c r="A13" i="15"/>
  <c r="A12" i="15"/>
  <c r="A15" i="15"/>
  <c r="A14" i="15"/>
  <c r="A16" i="15"/>
  <c r="A19" i="15"/>
  <c r="A22" i="15"/>
  <c r="A21" i="15"/>
  <c r="A20" i="15"/>
  <c r="A29" i="15"/>
  <c r="A28" i="15"/>
  <c r="A24" i="15"/>
  <c r="A26" i="15"/>
  <c r="A18" i="15"/>
  <c r="A17" i="15"/>
  <c r="A27" i="15"/>
  <c r="A23" i="15"/>
  <c r="A31" i="15"/>
  <c r="A39" i="15"/>
  <c r="A30" i="15"/>
  <c r="A25" i="15"/>
  <c r="A36" i="15"/>
  <c r="A48" i="15"/>
  <c r="A32" i="15"/>
  <c r="A42" i="15"/>
  <c r="A41" i="15"/>
  <c r="A43" i="15"/>
  <c r="A34" i="15"/>
  <c r="A54" i="15"/>
  <c r="A37" i="15"/>
  <c r="A44" i="15"/>
  <c r="A33" i="15"/>
  <c r="A40" i="15"/>
  <c r="A46" i="15"/>
  <c r="A38" i="15"/>
  <c r="A62" i="15"/>
  <c r="A49" i="15"/>
  <c r="A53" i="15"/>
  <c r="A35" i="15"/>
  <c r="A50" i="15"/>
  <c r="A52" i="15"/>
  <c r="A45" i="15"/>
  <c r="A58" i="15"/>
  <c r="A87" i="15"/>
  <c r="A55" i="15"/>
  <c r="A57" i="15"/>
  <c r="A56" i="15"/>
  <c r="A65" i="15"/>
  <c r="A47" i="15"/>
  <c r="A51" i="15"/>
  <c r="A61" i="15"/>
  <c r="A64" i="15"/>
  <c r="A59" i="15"/>
  <c r="A80" i="15"/>
  <c r="A73" i="15"/>
  <c r="A83" i="15"/>
  <c r="A67" i="15"/>
  <c r="A69" i="15"/>
  <c r="A75" i="15"/>
  <c r="A63" i="15"/>
  <c r="A79" i="15"/>
  <c r="A60" i="15"/>
  <c r="A90" i="15"/>
  <c r="A66" i="15"/>
  <c r="A76" i="15"/>
  <c r="A68" i="15"/>
  <c r="A72" i="15"/>
  <c r="A74" i="15"/>
  <c r="A77" i="15"/>
  <c r="A86" i="15"/>
  <c r="A82" i="15"/>
  <c r="A71" i="15"/>
  <c r="A81" i="15"/>
  <c r="A96" i="15"/>
  <c r="A78" i="15"/>
  <c r="A93" i="15"/>
  <c r="A85" i="15"/>
  <c r="A70" i="15"/>
  <c r="A88" i="15"/>
  <c r="A94" i="15"/>
  <c r="A103" i="15"/>
  <c r="A89" i="15"/>
  <c r="A102" i="15"/>
  <c r="A99" i="15"/>
  <c r="A92" i="15"/>
  <c r="A84" i="15"/>
  <c r="A106" i="15"/>
  <c r="A97" i="15"/>
  <c r="A109" i="15"/>
  <c r="A111" i="15"/>
  <c r="A95" i="15"/>
  <c r="A113" i="15"/>
  <c r="A108" i="15"/>
  <c r="A91" i="15"/>
  <c r="A114" i="15"/>
  <c r="A107" i="15"/>
  <c r="A120" i="15"/>
  <c r="A100" i="15"/>
  <c r="A112" i="15"/>
  <c r="A117" i="15"/>
  <c r="A105" i="15"/>
  <c r="A115" i="15"/>
  <c r="A101" i="15"/>
  <c r="A119" i="15"/>
  <c r="A121" i="15"/>
  <c r="A118" i="15"/>
  <c r="A122" i="15"/>
  <c r="A98" i="15"/>
  <c r="A116" i="15"/>
  <c r="A123" i="15"/>
  <c r="A110" i="15"/>
  <c r="A104" i="15"/>
  <c r="C44" i="14"/>
  <c r="C22" i="14"/>
  <c r="A12" i="52"/>
  <c r="A13" i="52"/>
  <c r="A18" i="52"/>
  <c r="A11" i="52"/>
  <c r="A17" i="52"/>
  <c r="A14" i="52"/>
  <c r="A16" i="52"/>
  <c r="A19" i="52"/>
  <c r="A15" i="52"/>
  <c r="A21" i="52"/>
  <c r="A23" i="52"/>
  <c r="A26" i="52"/>
  <c r="A24" i="52"/>
  <c r="A22" i="52"/>
  <c r="A20" i="52"/>
  <c r="A35" i="52"/>
  <c r="A33" i="52"/>
  <c r="A25" i="52"/>
  <c r="A28" i="52"/>
  <c r="A31" i="52"/>
  <c r="A36" i="52"/>
  <c r="A34" i="52"/>
  <c r="A29" i="52"/>
  <c r="A27" i="52"/>
  <c r="A32" i="52"/>
  <c r="A30" i="52"/>
  <c r="A37" i="52"/>
  <c r="A38" i="52"/>
  <c r="A39" i="52"/>
  <c r="A41" i="52"/>
  <c r="A40" i="52"/>
  <c r="A42" i="52"/>
  <c r="B12" i="52"/>
  <c r="J12" i="52" s="1"/>
  <c r="B13" i="52"/>
  <c r="B18" i="52"/>
  <c r="AQ18" i="52" s="1"/>
  <c r="B11" i="52"/>
  <c r="B17" i="52"/>
  <c r="J17" i="52" s="1"/>
  <c r="B14" i="52"/>
  <c r="B16" i="52"/>
  <c r="AQ16" i="52" s="1"/>
  <c r="B19" i="52"/>
  <c r="B15" i="52"/>
  <c r="J15" i="52" s="1"/>
  <c r="B21" i="52"/>
  <c r="B23" i="52"/>
  <c r="G23" i="52" s="1"/>
  <c r="B26" i="52"/>
  <c r="B24" i="52"/>
  <c r="J24" i="52" s="1"/>
  <c r="B22" i="52"/>
  <c r="B20" i="52"/>
  <c r="BJ20" i="52" s="1"/>
  <c r="B35" i="52"/>
  <c r="B33" i="52"/>
  <c r="J33" i="52" s="1"/>
  <c r="B25" i="52"/>
  <c r="B28" i="52"/>
  <c r="AQ28" i="52" s="1"/>
  <c r="B31" i="52"/>
  <c r="B36" i="52"/>
  <c r="J36" i="52" s="1"/>
  <c r="B34" i="52"/>
  <c r="J34" i="52" s="1"/>
  <c r="B29" i="52"/>
  <c r="H29" i="52" s="1"/>
  <c r="B27" i="52"/>
  <c r="B32" i="52"/>
  <c r="J32" i="52" s="1"/>
  <c r="B30" i="52"/>
  <c r="B37" i="52"/>
  <c r="AW37" i="52" s="1"/>
  <c r="B38" i="52"/>
  <c r="B39" i="52"/>
  <c r="J39" i="52" s="1"/>
  <c r="B41" i="52"/>
  <c r="B40" i="52"/>
  <c r="J40" i="52" s="1"/>
  <c r="B42" i="52"/>
  <c r="J42" i="52" s="1"/>
  <c r="BC97" i="15"/>
  <c r="BC110" i="15"/>
  <c r="BC122" i="15"/>
  <c r="BC88" i="15"/>
  <c r="BC78" i="15"/>
  <c r="BC90" i="15"/>
  <c r="BC75" i="15"/>
  <c r="BC73" i="15"/>
  <c r="BC61" i="15"/>
  <c r="BC56" i="15"/>
  <c r="BC58" i="15"/>
  <c r="BC35" i="15"/>
  <c r="BC38" i="15"/>
  <c r="BC44" i="15"/>
  <c r="BC43" i="15"/>
  <c r="BC48" i="15"/>
  <c r="BC39" i="15"/>
  <c r="BC17" i="15"/>
  <c r="BC28" i="15"/>
  <c r="BC22" i="15"/>
  <c r="BC15" i="15"/>
  <c r="BC111" i="15"/>
  <c r="BC96" i="15"/>
  <c r="BC69" i="15"/>
  <c r="BC41" i="15"/>
  <c r="BC29" i="15"/>
  <c r="BC121" i="15"/>
  <c r="BC105" i="15"/>
  <c r="BC120" i="15"/>
  <c r="BC108" i="15"/>
  <c r="BC109" i="15"/>
  <c r="BC92" i="15"/>
  <c r="BC103" i="15"/>
  <c r="BC85" i="15"/>
  <c r="BC81" i="15"/>
  <c r="BC77" i="15"/>
  <c r="BC76" i="15"/>
  <c r="BC79" i="15"/>
  <c r="BC67" i="15"/>
  <c r="BC59" i="15"/>
  <c r="BC47" i="15"/>
  <c r="BC55" i="15"/>
  <c r="BC52" i="15"/>
  <c r="BC49" i="15"/>
  <c r="BC40" i="15"/>
  <c r="BC54" i="15"/>
  <c r="BC42" i="15"/>
  <c r="BC25" i="15"/>
  <c r="BC23" i="15"/>
  <c r="BC26" i="15"/>
  <c r="BC20" i="15"/>
  <c r="BC16" i="15"/>
  <c r="BC13" i="15"/>
  <c r="C71" i="16"/>
  <c r="C70" i="16"/>
  <c r="C66" i="16"/>
  <c r="C62" i="16"/>
  <c r="C58" i="16"/>
  <c r="C54" i="16"/>
  <c r="C50" i="16"/>
  <c r="C46" i="16"/>
  <c r="C42" i="16"/>
  <c r="C38" i="16"/>
  <c r="E34" i="16"/>
  <c r="L34" i="16" s="1"/>
  <c r="C30" i="16"/>
  <c r="C26" i="16"/>
  <c r="C22" i="16"/>
  <c r="E18" i="16"/>
  <c r="F18" i="16" s="1"/>
  <c r="N18" i="16" s="1"/>
  <c r="C14" i="16"/>
  <c r="C67" i="16"/>
  <c r="AE67" i="16" s="1"/>
  <c r="C59" i="16"/>
  <c r="AE59" i="16" s="1"/>
  <c r="C51" i="16"/>
  <c r="AE51" i="16" s="1"/>
  <c r="C43" i="16"/>
  <c r="C35" i="16"/>
  <c r="AE35" i="16" s="1"/>
  <c r="C31" i="16"/>
  <c r="AE31" i="16" s="1"/>
  <c r="C27" i="16"/>
  <c r="AE27" i="16" s="1"/>
  <c r="C19" i="16"/>
  <c r="AE19" i="16" s="1"/>
  <c r="C15" i="16"/>
  <c r="AE15" i="16" s="1"/>
  <c r="C11" i="16"/>
  <c r="AE11" i="16" s="1"/>
  <c r="C61" i="16"/>
  <c r="AE61" i="16" s="1"/>
  <c r="C33" i="16"/>
  <c r="AE33" i="16" s="1"/>
  <c r="C69" i="16"/>
  <c r="C65" i="16"/>
  <c r="AE65" i="16" s="1"/>
  <c r="C57" i="16"/>
  <c r="AE57" i="16" s="1"/>
  <c r="C53" i="16"/>
  <c r="AE53" i="16" s="1"/>
  <c r="E49" i="16"/>
  <c r="L49" i="16" s="1"/>
  <c r="C45" i="16"/>
  <c r="C41" i="16"/>
  <c r="C37" i="16"/>
  <c r="C29" i="16"/>
  <c r="C25" i="16"/>
  <c r="C21" i="16"/>
  <c r="C17" i="16"/>
  <c r="C13" i="16"/>
  <c r="C72" i="16"/>
  <c r="C68" i="16"/>
  <c r="C64" i="16"/>
  <c r="C60" i="16"/>
  <c r="C56" i="16"/>
  <c r="C52" i="16"/>
  <c r="C48" i="16"/>
  <c r="C44" i="16"/>
  <c r="C40" i="16"/>
  <c r="C36" i="16"/>
  <c r="C32" i="16"/>
  <c r="C28" i="16"/>
  <c r="C24" i="16"/>
  <c r="C20" i="16"/>
  <c r="C16" i="16"/>
  <c r="C12" i="16"/>
  <c r="C65" i="15"/>
  <c r="AE65" i="15" s="1"/>
  <c r="C110" i="15"/>
  <c r="AE110" i="15" s="1"/>
  <c r="C122" i="15"/>
  <c r="AE122" i="15" s="1"/>
  <c r="C101" i="15"/>
  <c r="AE101" i="15" s="1"/>
  <c r="C112" i="15"/>
  <c r="AE112" i="15" s="1"/>
  <c r="C114" i="15"/>
  <c r="AE114" i="15" s="1"/>
  <c r="C95" i="15"/>
  <c r="C106" i="15"/>
  <c r="AE106" i="15" s="1"/>
  <c r="C102" i="15"/>
  <c r="C88" i="15"/>
  <c r="AE88" i="15" s="1"/>
  <c r="C78" i="15"/>
  <c r="C82" i="15"/>
  <c r="C72" i="15"/>
  <c r="AE72" i="15" s="1"/>
  <c r="C90" i="15"/>
  <c r="AE90" i="15" s="1"/>
  <c r="C75" i="15"/>
  <c r="C73" i="15"/>
  <c r="AE73" i="15" s="1"/>
  <c r="C61" i="15"/>
  <c r="AE61" i="15" s="1"/>
  <c r="C56" i="15"/>
  <c r="AE56" i="15" s="1"/>
  <c r="C58" i="15"/>
  <c r="C35" i="15"/>
  <c r="C38" i="15"/>
  <c r="C44" i="15"/>
  <c r="AE44" i="15" s="1"/>
  <c r="C43" i="15"/>
  <c r="C48" i="15"/>
  <c r="C39" i="15"/>
  <c r="C17" i="15"/>
  <c r="AE17" i="15" s="1"/>
  <c r="C28" i="15"/>
  <c r="C22" i="15"/>
  <c r="AE22" i="15" s="1"/>
  <c r="C15" i="15"/>
  <c r="C123" i="15"/>
  <c r="AE123" i="15" s="1"/>
  <c r="C118" i="15"/>
  <c r="C115" i="15"/>
  <c r="C100" i="15"/>
  <c r="C91" i="15"/>
  <c r="AE91" i="15" s="1"/>
  <c r="C111" i="15"/>
  <c r="C84" i="15"/>
  <c r="C89" i="15"/>
  <c r="C70" i="15"/>
  <c r="AE70" i="15" s="1"/>
  <c r="C96" i="15"/>
  <c r="C86" i="15"/>
  <c r="C68" i="15"/>
  <c r="C60" i="15"/>
  <c r="AE60" i="15" s="1"/>
  <c r="C69" i="15"/>
  <c r="C80" i="15"/>
  <c r="C51" i="15"/>
  <c r="C57" i="15"/>
  <c r="AE57" i="15" s="1"/>
  <c r="C45" i="15"/>
  <c r="C53" i="15"/>
  <c r="C46" i="15"/>
  <c r="C37" i="15"/>
  <c r="AE37" i="15" s="1"/>
  <c r="C41" i="15"/>
  <c r="C36" i="15"/>
  <c r="C31" i="15"/>
  <c r="C18" i="15"/>
  <c r="AE18" i="15" s="1"/>
  <c r="C29" i="15"/>
  <c r="C19" i="15"/>
  <c r="C12" i="15"/>
  <c r="C116" i="15"/>
  <c r="AE116" i="15" s="1"/>
  <c r="C121" i="15"/>
  <c r="C105" i="15"/>
  <c r="C120" i="15"/>
  <c r="AE120" i="15" s="1"/>
  <c r="C108" i="15"/>
  <c r="AE108" i="15" s="1"/>
  <c r="C109" i="15"/>
  <c r="C92" i="15"/>
  <c r="C103" i="15"/>
  <c r="C85" i="15"/>
  <c r="AE85" i="15" s="1"/>
  <c r="C81" i="15"/>
  <c r="C77" i="15"/>
  <c r="C76" i="15"/>
  <c r="AE76" i="15" s="1"/>
  <c r="C79" i="15"/>
  <c r="AE79" i="15" s="1"/>
  <c r="C67" i="15"/>
  <c r="C59" i="15"/>
  <c r="C47" i="15"/>
  <c r="C55" i="15"/>
  <c r="AE55" i="15" s="1"/>
  <c r="C52" i="15"/>
  <c r="C49" i="15"/>
  <c r="C40" i="15"/>
  <c r="AE40" i="15" s="1"/>
  <c r="C54" i="15"/>
  <c r="AE54" i="15" s="1"/>
  <c r="C42" i="15"/>
  <c r="C25" i="15"/>
  <c r="C23" i="15"/>
  <c r="AE23" i="15" s="1"/>
  <c r="C26" i="15"/>
  <c r="AE26" i="15" s="1"/>
  <c r="C20" i="15"/>
  <c r="C16" i="15"/>
  <c r="C13" i="15"/>
  <c r="AE13" i="15" s="1"/>
  <c r="C79" i="14"/>
  <c r="C63" i="14"/>
  <c r="C85" i="14"/>
  <c r="AI85" i="14" s="1"/>
  <c r="C97" i="14"/>
  <c r="C91" i="14"/>
  <c r="C88" i="14"/>
  <c r="C80" i="14"/>
  <c r="AI80" i="14" s="1"/>
  <c r="C66" i="14"/>
  <c r="C76" i="14"/>
  <c r="C69" i="14"/>
  <c r="C64" i="14"/>
  <c r="AI64" i="14" s="1"/>
  <c r="C70" i="14"/>
  <c r="AK60" i="14"/>
  <c r="C50" i="14"/>
  <c r="AK47" i="14"/>
  <c r="C45" i="14"/>
  <c r="C48" i="14"/>
  <c r="C40" i="14"/>
  <c r="C38" i="14"/>
  <c r="AI38" i="14" s="1"/>
  <c r="D35" i="14"/>
  <c r="C20" i="14"/>
  <c r="AK22" i="14"/>
  <c r="C16" i="14"/>
  <c r="AI16" i="14" s="1"/>
  <c r="C13" i="14"/>
  <c r="C93" i="14"/>
  <c r="C96" i="14"/>
  <c r="C82" i="14"/>
  <c r="AI82" i="14" s="1"/>
  <c r="C78" i="14"/>
  <c r="C62" i="14"/>
  <c r="C46" i="14"/>
  <c r="AK44" i="14"/>
  <c r="C36" i="14"/>
  <c r="C24" i="14"/>
  <c r="C28" i="14"/>
  <c r="C25" i="14"/>
  <c r="C19" i="14"/>
  <c r="D17" i="14"/>
  <c r="C11" i="14"/>
  <c r="C94" i="14"/>
  <c r="C92" i="14"/>
  <c r="C84" i="14"/>
  <c r="AI84" i="14" s="1"/>
  <c r="C74" i="14"/>
  <c r="C81" i="14"/>
  <c r="C71" i="14"/>
  <c r="C65" i="14"/>
  <c r="AI65" i="14" s="1"/>
  <c r="C58" i="14"/>
  <c r="C57" i="14"/>
  <c r="C61" i="14"/>
  <c r="C39" i="14"/>
  <c r="AI39" i="14" s="1"/>
  <c r="C55" i="14"/>
  <c r="C41" i="14"/>
  <c r="C42" i="14"/>
  <c r="C29" i="14"/>
  <c r="AI29" i="14" s="1"/>
  <c r="C33" i="14"/>
  <c r="C23" i="14"/>
  <c r="D32" i="14"/>
  <c r="C21" i="14"/>
  <c r="AI21" i="14" s="1"/>
  <c r="D18" i="14"/>
  <c r="C14" i="14"/>
  <c r="I33" i="52"/>
  <c r="L33" i="52"/>
  <c r="H33" i="52"/>
  <c r="K33" i="52"/>
  <c r="G33" i="52"/>
  <c r="L12" i="52"/>
  <c r="H12" i="52"/>
  <c r="K12" i="52"/>
  <c r="G12" i="52"/>
  <c r="I12" i="52"/>
  <c r="L32" i="52"/>
  <c r="H32" i="52"/>
  <c r="K32" i="52"/>
  <c r="G32" i="52"/>
  <c r="I32" i="52"/>
  <c r="L15" i="52"/>
  <c r="H15" i="52"/>
  <c r="K15" i="52"/>
  <c r="G15" i="52"/>
  <c r="I15" i="52"/>
  <c r="L42" i="52"/>
  <c r="H42" i="52"/>
  <c r="K42" i="52"/>
  <c r="G42" i="52"/>
  <c r="I42" i="52"/>
  <c r="H38" i="52"/>
  <c r="H27" i="52"/>
  <c r="L31" i="52"/>
  <c r="I31" i="52"/>
  <c r="K35" i="52"/>
  <c r="H26" i="52"/>
  <c r="L19" i="52"/>
  <c r="I11" i="52"/>
  <c r="G11" i="52"/>
  <c r="I39" i="52"/>
  <c r="L39" i="52"/>
  <c r="H39" i="52"/>
  <c r="K39" i="52"/>
  <c r="G39" i="52"/>
  <c r="L24" i="52"/>
  <c r="H24" i="52"/>
  <c r="K24" i="52"/>
  <c r="G24" i="52"/>
  <c r="I24" i="52"/>
  <c r="L40" i="52"/>
  <c r="H40" i="52"/>
  <c r="K40" i="52"/>
  <c r="G40" i="52"/>
  <c r="I40" i="52"/>
  <c r="I36" i="52"/>
  <c r="L36" i="52"/>
  <c r="H36" i="52"/>
  <c r="K36" i="52"/>
  <c r="G36" i="52"/>
  <c r="I17" i="52"/>
  <c r="L17" i="52"/>
  <c r="H17" i="52"/>
  <c r="K17" i="52"/>
  <c r="G17" i="52"/>
  <c r="H41" i="52"/>
  <c r="K41" i="52"/>
  <c r="I30" i="52"/>
  <c r="L30" i="52"/>
  <c r="G30" i="52"/>
  <c r="I34" i="52"/>
  <c r="K34" i="52"/>
  <c r="G34" i="52"/>
  <c r="K25" i="52"/>
  <c r="G25" i="52"/>
  <c r="L22" i="52"/>
  <c r="H22" i="52"/>
  <c r="I21" i="52"/>
  <c r="L21" i="52"/>
  <c r="G21" i="52"/>
  <c r="L14" i="52"/>
  <c r="G14" i="52"/>
  <c r="I14" i="52"/>
  <c r="C32" i="52"/>
  <c r="AG32" i="52" s="1"/>
  <c r="C24" i="52"/>
  <c r="AG24" i="52" s="1"/>
  <c r="C12" i="52"/>
  <c r="C42" i="52"/>
  <c r="C38" i="52"/>
  <c r="AG38" i="52" s="1"/>
  <c r="C26" i="52"/>
  <c r="AG26" i="52" s="1"/>
  <c r="C39" i="52"/>
  <c r="AG39" i="52" s="1"/>
  <c r="C33" i="52"/>
  <c r="AG33" i="52" s="1"/>
  <c r="C17" i="52"/>
  <c r="AG17" i="52" s="1"/>
  <c r="C40" i="52"/>
  <c r="C36" i="52"/>
  <c r="C15" i="52"/>
  <c r="AG15" i="52" s="1"/>
  <c r="C34" i="52"/>
  <c r="AG34" i="52" s="1"/>
  <c r="C25" i="52"/>
  <c r="AG25" i="52" s="1"/>
  <c r="C14" i="52"/>
  <c r="AG14" i="52" s="1"/>
  <c r="C13" i="52"/>
  <c r="I13" i="52"/>
  <c r="G13" i="52"/>
  <c r="AR54" i="16"/>
  <c r="AR38" i="16"/>
  <c r="AR22" i="16"/>
  <c r="AR70" i="16"/>
  <c r="AR66" i="16"/>
  <c r="AR50" i="16"/>
  <c r="AR34" i="16"/>
  <c r="AR18" i="16"/>
  <c r="AR62" i="16"/>
  <c r="AR46" i="16"/>
  <c r="AR30" i="16"/>
  <c r="X30" i="16" s="1"/>
  <c r="AR14" i="16"/>
  <c r="AR58" i="16"/>
  <c r="AR42" i="16"/>
  <c r="AR26" i="16"/>
  <c r="AR69" i="16"/>
  <c r="AR65" i="16"/>
  <c r="AR61" i="16"/>
  <c r="AR57" i="16"/>
  <c r="AR53" i="16"/>
  <c r="AR49" i="16"/>
  <c r="AR45" i="16"/>
  <c r="AR41" i="16"/>
  <c r="AR37" i="16"/>
  <c r="AR33" i="16"/>
  <c r="AR29" i="16"/>
  <c r="AR25" i="16"/>
  <c r="X25" i="16" s="1"/>
  <c r="AR21" i="16"/>
  <c r="AR17" i="16"/>
  <c r="AR13" i="16"/>
  <c r="AR72" i="16"/>
  <c r="X72" i="16" s="1"/>
  <c r="AR68" i="16"/>
  <c r="AR64" i="16"/>
  <c r="AR60" i="16"/>
  <c r="AR56" i="16"/>
  <c r="AR52" i="16"/>
  <c r="AR48" i="16"/>
  <c r="AR44" i="16"/>
  <c r="AR40" i="16"/>
  <c r="AR36" i="16"/>
  <c r="AR32" i="16"/>
  <c r="AR28" i="16"/>
  <c r="AR24" i="16"/>
  <c r="X24" i="16" s="1"/>
  <c r="AR20" i="16"/>
  <c r="AR16" i="16"/>
  <c r="AR12" i="16"/>
  <c r="AR71" i="16"/>
  <c r="AR67" i="16"/>
  <c r="AR63" i="16"/>
  <c r="AR59" i="16"/>
  <c r="AR55" i="16"/>
  <c r="AR51" i="16"/>
  <c r="AR47" i="16"/>
  <c r="AR43" i="16"/>
  <c r="AR39" i="16"/>
  <c r="X39" i="16" s="1"/>
  <c r="AR35" i="16"/>
  <c r="AR31" i="16"/>
  <c r="AR27" i="16"/>
  <c r="AR23" i="16"/>
  <c r="AR19" i="16"/>
  <c r="AR15" i="16"/>
  <c r="AR11" i="16"/>
  <c r="AN70" i="16"/>
  <c r="V70" i="16" s="1"/>
  <c r="AV70" i="16" s="1"/>
  <c r="AN62" i="16"/>
  <c r="AN54" i="16"/>
  <c r="AN46" i="16"/>
  <c r="AN42" i="16"/>
  <c r="AN34" i="16"/>
  <c r="AN26" i="16"/>
  <c r="AN14" i="16"/>
  <c r="AN69" i="16"/>
  <c r="AN65" i="16"/>
  <c r="AN61" i="16"/>
  <c r="AN57" i="16"/>
  <c r="AN53" i="16"/>
  <c r="AN49" i="16"/>
  <c r="AN45" i="16"/>
  <c r="AN41" i="16"/>
  <c r="AN37" i="16"/>
  <c r="AN33" i="16"/>
  <c r="AN29" i="16"/>
  <c r="AN25" i="16"/>
  <c r="AN21" i="16"/>
  <c r="AN17" i="16"/>
  <c r="AN13" i="16"/>
  <c r="AN66" i="16"/>
  <c r="AN58" i="16"/>
  <c r="AN50" i="16"/>
  <c r="AN38" i="16"/>
  <c r="AN30" i="16"/>
  <c r="AN22" i="16"/>
  <c r="AN18" i="16"/>
  <c r="AN72" i="16"/>
  <c r="AN68" i="16"/>
  <c r="AN64" i="16"/>
  <c r="AN60" i="16"/>
  <c r="AN56" i="16"/>
  <c r="AN52" i="16"/>
  <c r="AN48" i="16"/>
  <c r="AN44" i="16"/>
  <c r="AN40" i="16"/>
  <c r="AN36" i="16"/>
  <c r="AN32" i="16"/>
  <c r="V32" i="16" s="1"/>
  <c r="AV32" i="16" s="1"/>
  <c r="AN28" i="16"/>
  <c r="AN24" i="16"/>
  <c r="AN20" i="16"/>
  <c r="AN16" i="16"/>
  <c r="V16" i="16" s="1"/>
  <c r="AV16" i="16" s="1"/>
  <c r="AN12" i="16"/>
  <c r="AN71" i="16"/>
  <c r="AN67" i="16"/>
  <c r="AN63" i="16"/>
  <c r="V63" i="16" s="1"/>
  <c r="AN59" i="16"/>
  <c r="AN55" i="16"/>
  <c r="AN51" i="16"/>
  <c r="AN47" i="16"/>
  <c r="AN43" i="16"/>
  <c r="AN39" i="16"/>
  <c r="AN35" i="16"/>
  <c r="AN31" i="16"/>
  <c r="AN27" i="16"/>
  <c r="AN23" i="16"/>
  <c r="AN19" i="16"/>
  <c r="AN15" i="16"/>
  <c r="AN11" i="16"/>
  <c r="AJ66" i="16"/>
  <c r="AJ50" i="16"/>
  <c r="AJ34" i="16"/>
  <c r="AJ18" i="16"/>
  <c r="AJ62" i="16"/>
  <c r="AJ46" i="16"/>
  <c r="AJ30" i="16"/>
  <c r="T30" i="16" s="1"/>
  <c r="AJ14" i="16"/>
  <c r="AJ58" i="16"/>
  <c r="AJ42" i="16"/>
  <c r="AJ26" i="16"/>
  <c r="T26" i="16" s="1"/>
  <c r="AJ70" i="16"/>
  <c r="AJ54" i="16"/>
  <c r="AJ38" i="16"/>
  <c r="AJ22" i="16"/>
  <c r="AJ69" i="16"/>
  <c r="AJ65" i="16"/>
  <c r="AJ61" i="16"/>
  <c r="AJ57" i="16"/>
  <c r="T57" i="16" s="1"/>
  <c r="AJ53" i="16"/>
  <c r="AJ49" i="16"/>
  <c r="AJ45" i="16"/>
  <c r="AJ41" i="16"/>
  <c r="AJ37" i="16"/>
  <c r="AJ33" i="16"/>
  <c r="AJ29" i="16"/>
  <c r="AJ25" i="16"/>
  <c r="AJ21" i="16"/>
  <c r="AJ17" i="16"/>
  <c r="AJ13" i="16"/>
  <c r="AJ72" i="16"/>
  <c r="AJ68" i="16"/>
  <c r="AJ64" i="16"/>
  <c r="AJ60" i="16"/>
  <c r="AJ56" i="16"/>
  <c r="T56" i="16" s="1"/>
  <c r="AJ52" i="16"/>
  <c r="AJ48" i="16"/>
  <c r="AJ44" i="16"/>
  <c r="AJ40" i="16"/>
  <c r="AJ36" i="16"/>
  <c r="AJ32" i="16"/>
  <c r="AJ28" i="16"/>
  <c r="AJ24" i="16"/>
  <c r="AJ20" i="16"/>
  <c r="AJ16" i="16"/>
  <c r="AJ12" i="16"/>
  <c r="AJ71" i="16"/>
  <c r="T71" i="16" s="1"/>
  <c r="AJ67" i="16"/>
  <c r="AJ63" i="16"/>
  <c r="AJ59" i="16"/>
  <c r="AJ55" i="16"/>
  <c r="T55" i="16" s="1"/>
  <c r="AJ51" i="16"/>
  <c r="AJ47" i="16"/>
  <c r="AJ43" i="16"/>
  <c r="AJ39" i="16"/>
  <c r="T39" i="16" s="1"/>
  <c r="AJ35" i="16"/>
  <c r="AJ31" i="16"/>
  <c r="AJ27" i="16"/>
  <c r="AJ23" i="16"/>
  <c r="AJ19" i="16"/>
  <c r="AJ15" i="16"/>
  <c r="AJ11" i="16"/>
  <c r="AG70" i="16"/>
  <c r="AG66" i="16"/>
  <c r="AG62" i="16"/>
  <c r="AG58" i="16"/>
  <c r="AG54" i="16"/>
  <c r="AG50" i="16"/>
  <c r="AG46" i="16"/>
  <c r="AG42" i="16"/>
  <c r="S42" i="16" s="1"/>
  <c r="AG38" i="16"/>
  <c r="AG34" i="16"/>
  <c r="AG30" i="16"/>
  <c r="AG26" i="16"/>
  <c r="S26" i="16" s="1"/>
  <c r="AG22" i="16"/>
  <c r="AG18" i="16"/>
  <c r="AG14" i="16"/>
  <c r="AG69" i="16"/>
  <c r="AG65" i="16"/>
  <c r="AG61" i="16"/>
  <c r="AG57" i="16"/>
  <c r="AG53" i="16"/>
  <c r="AG49" i="16"/>
  <c r="AG45" i="16"/>
  <c r="AG41" i="16"/>
  <c r="AG37" i="16"/>
  <c r="AG33" i="16"/>
  <c r="AG29" i="16"/>
  <c r="AG25" i="16"/>
  <c r="AG21" i="16"/>
  <c r="AG17" i="16"/>
  <c r="AG13" i="16"/>
  <c r="AG72" i="16"/>
  <c r="AG68" i="16"/>
  <c r="AG64" i="16"/>
  <c r="AG60" i="16"/>
  <c r="AG56" i="16"/>
  <c r="AG52" i="16"/>
  <c r="S52" i="16" s="1"/>
  <c r="AG48" i="16"/>
  <c r="AG44" i="16"/>
  <c r="AG40" i="16"/>
  <c r="AG36" i="16"/>
  <c r="AG32" i="16"/>
  <c r="AG28" i="16"/>
  <c r="AG24" i="16"/>
  <c r="AG20" i="16"/>
  <c r="AG16" i="16"/>
  <c r="AG12" i="16"/>
  <c r="AG71" i="16"/>
  <c r="AG67" i="16"/>
  <c r="S67" i="16" s="1"/>
  <c r="AG63" i="16"/>
  <c r="AG59" i="16"/>
  <c r="AG55" i="16"/>
  <c r="AG51" i="16"/>
  <c r="AG47" i="16"/>
  <c r="AG43" i="16"/>
  <c r="AG39" i="16"/>
  <c r="AG35" i="16"/>
  <c r="S35" i="16" s="1"/>
  <c r="AG31" i="16"/>
  <c r="AG27" i="16"/>
  <c r="AG23" i="16"/>
  <c r="AG19" i="16"/>
  <c r="AG15" i="16"/>
  <c r="AG11" i="16"/>
  <c r="AR110" i="15"/>
  <c r="AR122" i="15"/>
  <c r="AR101" i="15"/>
  <c r="AR112" i="15"/>
  <c r="AR114" i="15"/>
  <c r="AR95" i="15"/>
  <c r="AR106" i="15"/>
  <c r="AR102" i="15"/>
  <c r="AR88" i="15"/>
  <c r="AR78" i="15"/>
  <c r="AR82" i="15"/>
  <c r="AR72" i="15"/>
  <c r="AR90" i="15"/>
  <c r="AR75" i="15"/>
  <c r="AR73" i="15"/>
  <c r="AR61" i="15"/>
  <c r="AR56" i="15"/>
  <c r="AR58" i="15"/>
  <c r="AR35" i="15"/>
  <c r="AR38" i="15"/>
  <c r="AR44" i="15"/>
  <c r="AR43" i="15"/>
  <c r="AR48" i="15"/>
  <c r="AR39" i="15"/>
  <c r="AR17" i="15"/>
  <c r="AR28" i="15"/>
  <c r="AR22" i="15"/>
  <c r="AR15" i="15"/>
  <c r="AR123" i="15"/>
  <c r="AR118" i="15"/>
  <c r="AR115" i="15"/>
  <c r="AR100" i="15"/>
  <c r="AR91" i="15"/>
  <c r="AR111" i="15"/>
  <c r="AR84" i="15"/>
  <c r="AR89" i="15"/>
  <c r="AR70" i="15"/>
  <c r="AR96" i="15"/>
  <c r="AR86" i="15"/>
  <c r="AR68" i="15"/>
  <c r="AR60" i="15"/>
  <c r="AR69" i="15"/>
  <c r="AR80" i="15"/>
  <c r="AR51" i="15"/>
  <c r="AR57" i="15"/>
  <c r="AR45" i="15"/>
  <c r="AR53" i="15"/>
  <c r="AR46" i="15"/>
  <c r="AR37" i="15"/>
  <c r="AR41" i="15"/>
  <c r="AR36" i="15"/>
  <c r="AR31" i="15"/>
  <c r="AR18" i="15"/>
  <c r="AR29" i="15"/>
  <c r="AR19" i="15"/>
  <c r="AR12" i="15"/>
  <c r="AR116" i="15"/>
  <c r="AR121" i="15"/>
  <c r="AR105" i="15"/>
  <c r="AR120" i="15"/>
  <c r="AR108" i="15"/>
  <c r="AR109" i="15"/>
  <c r="AR92" i="15"/>
  <c r="AR103" i="15"/>
  <c r="AR85" i="15"/>
  <c r="AR81" i="15"/>
  <c r="AR77" i="15"/>
  <c r="AR76" i="15"/>
  <c r="AR79" i="15"/>
  <c r="AR67" i="15"/>
  <c r="AR59" i="15"/>
  <c r="AR47" i="15"/>
  <c r="AR55" i="15"/>
  <c r="AR52" i="15"/>
  <c r="AR49" i="15"/>
  <c r="AR40" i="15"/>
  <c r="AR54" i="15"/>
  <c r="AR42" i="15"/>
  <c r="AR25" i="15"/>
  <c r="AR23" i="15"/>
  <c r="AR26" i="15"/>
  <c r="AR20" i="15"/>
  <c r="AR16" i="15"/>
  <c r="AR13" i="15"/>
  <c r="AN110" i="15"/>
  <c r="AN122" i="15"/>
  <c r="AN101" i="15"/>
  <c r="AN112" i="15"/>
  <c r="AN114" i="15"/>
  <c r="AN95" i="15"/>
  <c r="AN106" i="15"/>
  <c r="AN102" i="15"/>
  <c r="AN88" i="15"/>
  <c r="AN78" i="15"/>
  <c r="AN82" i="15"/>
  <c r="AN72" i="15"/>
  <c r="AN90" i="15"/>
  <c r="AN75" i="15"/>
  <c r="AN73" i="15"/>
  <c r="AN61" i="15"/>
  <c r="AN56" i="15"/>
  <c r="AN58" i="15"/>
  <c r="AN35" i="15"/>
  <c r="AN38" i="15"/>
  <c r="AN44" i="15"/>
  <c r="AN43" i="15"/>
  <c r="AN48" i="15"/>
  <c r="AN39" i="15"/>
  <c r="AN17" i="15"/>
  <c r="AN28" i="15"/>
  <c r="AN22" i="15"/>
  <c r="AN15" i="15"/>
  <c r="AN123" i="15"/>
  <c r="AN118" i="15"/>
  <c r="AN115" i="15"/>
  <c r="AN100" i="15"/>
  <c r="AN91" i="15"/>
  <c r="AN111" i="15"/>
  <c r="AN84" i="15"/>
  <c r="AN89" i="15"/>
  <c r="AN70" i="15"/>
  <c r="AN96" i="15"/>
  <c r="AN86" i="15"/>
  <c r="AN68" i="15"/>
  <c r="AN60" i="15"/>
  <c r="AN69" i="15"/>
  <c r="AN80" i="15"/>
  <c r="AN51" i="15"/>
  <c r="AN57" i="15"/>
  <c r="AN45" i="15"/>
  <c r="AN53" i="15"/>
  <c r="AN46" i="15"/>
  <c r="AN37" i="15"/>
  <c r="AN41" i="15"/>
  <c r="AN36" i="15"/>
  <c r="AN31" i="15"/>
  <c r="AN18" i="15"/>
  <c r="AN29" i="15"/>
  <c r="AN19" i="15"/>
  <c r="AN12" i="15"/>
  <c r="AN116" i="15"/>
  <c r="AN121" i="15"/>
  <c r="AN105" i="15"/>
  <c r="AN120" i="15"/>
  <c r="AN108" i="15"/>
  <c r="AN109" i="15"/>
  <c r="AN92" i="15"/>
  <c r="AN103" i="15"/>
  <c r="AN85" i="15"/>
  <c r="AN81" i="15"/>
  <c r="AN77" i="15"/>
  <c r="AN76" i="15"/>
  <c r="AN79" i="15"/>
  <c r="AN67" i="15"/>
  <c r="AN59" i="15"/>
  <c r="AN47" i="15"/>
  <c r="AN55" i="15"/>
  <c r="AN52" i="15"/>
  <c r="AN49" i="15"/>
  <c r="AN40" i="15"/>
  <c r="AN54" i="15"/>
  <c r="AN42" i="15"/>
  <c r="AN25" i="15"/>
  <c r="AN23" i="15"/>
  <c r="AN26" i="15"/>
  <c r="AN20" i="15"/>
  <c r="AN16" i="15"/>
  <c r="AN13" i="15"/>
  <c r="AJ112" i="15"/>
  <c r="AJ102" i="15"/>
  <c r="AJ72" i="15"/>
  <c r="AJ61" i="15"/>
  <c r="AJ38" i="15"/>
  <c r="AJ39" i="15"/>
  <c r="AJ15" i="15"/>
  <c r="AJ110" i="15"/>
  <c r="AJ114" i="15"/>
  <c r="AJ88" i="15"/>
  <c r="AJ90" i="15"/>
  <c r="AJ56" i="15"/>
  <c r="AJ44" i="15"/>
  <c r="AJ17" i="15"/>
  <c r="AJ122" i="15"/>
  <c r="AJ95" i="15"/>
  <c r="AJ78" i="15"/>
  <c r="AJ75" i="15"/>
  <c r="AJ58" i="15"/>
  <c r="AJ43" i="15"/>
  <c r="AJ28" i="15"/>
  <c r="AJ101" i="15"/>
  <c r="AJ106" i="15"/>
  <c r="AJ82" i="15"/>
  <c r="AJ73" i="15"/>
  <c r="AJ35" i="15"/>
  <c r="AJ48" i="15"/>
  <c r="AJ22" i="15"/>
  <c r="AJ123" i="15"/>
  <c r="AJ118" i="15"/>
  <c r="AJ115" i="15"/>
  <c r="AJ100" i="15"/>
  <c r="AJ91" i="15"/>
  <c r="AJ111" i="15"/>
  <c r="AJ84" i="15"/>
  <c r="AJ89" i="15"/>
  <c r="AJ70" i="15"/>
  <c r="AJ96" i="15"/>
  <c r="AJ86" i="15"/>
  <c r="AJ68" i="15"/>
  <c r="AJ60" i="15"/>
  <c r="AJ69" i="15"/>
  <c r="AJ80" i="15"/>
  <c r="AJ51" i="15"/>
  <c r="AJ57" i="15"/>
  <c r="AJ45" i="15"/>
  <c r="AJ53" i="15"/>
  <c r="AJ46" i="15"/>
  <c r="AJ37" i="15"/>
  <c r="AJ41" i="15"/>
  <c r="AJ36" i="15"/>
  <c r="AJ31" i="15"/>
  <c r="AJ18" i="15"/>
  <c r="AJ29" i="15"/>
  <c r="AJ19" i="15"/>
  <c r="AJ12" i="15"/>
  <c r="AJ116" i="15"/>
  <c r="AJ121" i="15"/>
  <c r="AJ105" i="15"/>
  <c r="AJ120" i="15"/>
  <c r="AJ108" i="15"/>
  <c r="AJ109" i="15"/>
  <c r="AJ92" i="15"/>
  <c r="AJ103" i="15"/>
  <c r="AJ85" i="15"/>
  <c r="AJ81" i="15"/>
  <c r="AJ77" i="15"/>
  <c r="AJ76" i="15"/>
  <c r="AJ79" i="15"/>
  <c r="AJ67" i="15"/>
  <c r="AJ59" i="15"/>
  <c r="AJ47" i="15"/>
  <c r="AJ55" i="15"/>
  <c r="AJ52" i="15"/>
  <c r="AJ49" i="15"/>
  <c r="AJ40" i="15"/>
  <c r="AJ54" i="15"/>
  <c r="AJ42" i="15"/>
  <c r="AJ25" i="15"/>
  <c r="AJ23" i="15"/>
  <c r="AJ26" i="15"/>
  <c r="AJ20" i="15"/>
  <c r="AJ16" i="15"/>
  <c r="AJ13" i="15"/>
  <c r="AJ94" i="15"/>
  <c r="BD21" i="14"/>
  <c r="BH66" i="14"/>
  <c r="BH33" i="14"/>
  <c r="BH22" i="14"/>
  <c r="AG110" i="15"/>
  <c r="AG122" i="15"/>
  <c r="AG101" i="15"/>
  <c r="AG112" i="15"/>
  <c r="AG114" i="15"/>
  <c r="AG95" i="15"/>
  <c r="AG106" i="15"/>
  <c r="AG102" i="15"/>
  <c r="AG88" i="15"/>
  <c r="AG78" i="15"/>
  <c r="AG82" i="15"/>
  <c r="AG72" i="15"/>
  <c r="AG90" i="15"/>
  <c r="AG75" i="15"/>
  <c r="AG73" i="15"/>
  <c r="AG61" i="15"/>
  <c r="AG56" i="15"/>
  <c r="AG58" i="15"/>
  <c r="AG35" i="15"/>
  <c r="AG38" i="15"/>
  <c r="AG44" i="15"/>
  <c r="AG43" i="15"/>
  <c r="AG48" i="15"/>
  <c r="AG39" i="15"/>
  <c r="AG17" i="15"/>
  <c r="AG28" i="15"/>
  <c r="AG22" i="15"/>
  <c r="AG15" i="15"/>
  <c r="BH97" i="14"/>
  <c r="BH93" i="14"/>
  <c r="BH23" i="14"/>
  <c r="BH21" i="14"/>
  <c r="AG123" i="15"/>
  <c r="AG118" i="15"/>
  <c r="AG115" i="15"/>
  <c r="AG100" i="15"/>
  <c r="AG91" i="15"/>
  <c r="AG111" i="15"/>
  <c r="AG84" i="15"/>
  <c r="AG89" i="15"/>
  <c r="AG70" i="15"/>
  <c r="AG96" i="15"/>
  <c r="AG86" i="15"/>
  <c r="AG68" i="15"/>
  <c r="AG60" i="15"/>
  <c r="AG69" i="15"/>
  <c r="AG80" i="15"/>
  <c r="AG51" i="15"/>
  <c r="AG57" i="15"/>
  <c r="AG45" i="15"/>
  <c r="AG53" i="15"/>
  <c r="AG46" i="15"/>
  <c r="AG37" i="15"/>
  <c r="AG41" i="15"/>
  <c r="AG36" i="15"/>
  <c r="AG31" i="15"/>
  <c r="AG18" i="15"/>
  <c r="AG29" i="15"/>
  <c r="AG19" i="15"/>
  <c r="AG12" i="15"/>
  <c r="BH74" i="14"/>
  <c r="BH80" i="14"/>
  <c r="BH45" i="14"/>
  <c r="AG116" i="15"/>
  <c r="AG121" i="15"/>
  <c r="AG105" i="15"/>
  <c r="AG120" i="15"/>
  <c r="AG108" i="15"/>
  <c r="AG109" i="15"/>
  <c r="AG92" i="15"/>
  <c r="AG103" i="15"/>
  <c r="AG85" i="15"/>
  <c r="AG81" i="15"/>
  <c r="AG77" i="15"/>
  <c r="AG76" i="15"/>
  <c r="AG79" i="15"/>
  <c r="AG67" i="15"/>
  <c r="AG59" i="15"/>
  <c r="AG47" i="15"/>
  <c r="AG55" i="15"/>
  <c r="AG52" i="15"/>
  <c r="AG49" i="15"/>
  <c r="AG40" i="15"/>
  <c r="AG54" i="15"/>
  <c r="AG42" i="15"/>
  <c r="AG25" i="15"/>
  <c r="AG23" i="15"/>
  <c r="AG26" i="15"/>
  <c r="AG20" i="15"/>
  <c r="AG16" i="15"/>
  <c r="AG13" i="15"/>
  <c r="BH71" i="14"/>
  <c r="BH81" i="14"/>
  <c r="BH76" i="14"/>
  <c r="BH42" i="14"/>
  <c r="BH16" i="14"/>
  <c r="AZ93" i="14"/>
  <c r="BD93" i="14"/>
  <c r="BH85" i="14"/>
  <c r="BH94" i="14"/>
  <c r="BH95" i="14"/>
  <c r="BH41" i="14"/>
  <c r="BH53" i="14"/>
  <c r="BH57" i="14"/>
  <c r="BH58" i="14"/>
  <c r="BH50" i="14"/>
  <c r="BH29" i="14"/>
  <c r="BH67" i="14"/>
  <c r="BH14" i="14"/>
  <c r="BH40" i="14"/>
  <c r="BH38" i="14"/>
  <c r="BH24" i="14"/>
  <c r="BD36" i="14"/>
  <c r="BH36" i="14"/>
  <c r="BH46" i="14"/>
  <c r="BH17" i="14"/>
  <c r="BD74" i="14"/>
  <c r="BD81" i="14"/>
  <c r="BD23" i="14"/>
  <c r="BD33" i="14"/>
  <c r="BH92" i="14"/>
  <c r="BH84" i="14"/>
  <c r="BH88" i="14"/>
  <c r="BH91" i="14"/>
  <c r="BH69" i="14"/>
  <c r="BH70" i="14"/>
  <c r="BH47" i="14"/>
  <c r="BH35" i="14"/>
  <c r="BH25" i="14"/>
  <c r="BH28" i="14"/>
  <c r="BH55" i="14"/>
  <c r="BH19" i="14"/>
  <c r="BH11" i="14"/>
  <c r="BD71" i="14"/>
  <c r="BD42" i="14"/>
  <c r="BD17" i="14"/>
  <c r="BH96" i="14"/>
  <c r="BH61" i="14"/>
  <c r="BH39" i="14"/>
  <c r="BH64" i="14"/>
  <c r="BH60" i="14"/>
  <c r="BH65" i="14"/>
  <c r="BH48" i="14"/>
  <c r="BH32" i="14"/>
  <c r="BH20" i="14"/>
  <c r="BH44" i="14"/>
  <c r="BH18" i="14"/>
  <c r="BH26" i="14"/>
  <c r="BH13" i="14"/>
  <c r="BD97" i="14"/>
  <c r="AZ74" i="14"/>
  <c r="AZ81" i="14"/>
  <c r="AZ76" i="14"/>
  <c r="AZ42" i="14"/>
  <c r="BD85" i="14"/>
  <c r="BD94" i="14"/>
  <c r="BD41" i="14"/>
  <c r="BD52" i="14"/>
  <c r="BD75" i="14"/>
  <c r="BD57" i="14"/>
  <c r="BD58" i="14"/>
  <c r="BD50" i="14"/>
  <c r="BD29" i="14"/>
  <c r="BD14" i="14"/>
  <c r="BD40" i="14"/>
  <c r="BD38" i="14"/>
  <c r="BD24" i="14"/>
  <c r="BD22" i="14"/>
  <c r="AZ97" i="14"/>
  <c r="AZ80" i="14"/>
  <c r="AZ45" i="14"/>
  <c r="AZ16" i="14"/>
  <c r="BD66" i="14"/>
  <c r="BD80" i="14"/>
  <c r="BD76" i="14"/>
  <c r="BD45" i="14"/>
  <c r="BD16" i="14"/>
  <c r="AZ71" i="14"/>
  <c r="AZ83" i="14"/>
  <c r="AZ33" i="14"/>
  <c r="BD92" i="14"/>
  <c r="BD84" i="14"/>
  <c r="BD49" i="14"/>
  <c r="BD88" i="14"/>
  <c r="BD91" i="14"/>
  <c r="BD69" i="14"/>
  <c r="BD70" i="14"/>
  <c r="BD47" i="14"/>
  <c r="BD35" i="14"/>
  <c r="BD25" i="14"/>
  <c r="BD28" i="14"/>
  <c r="BD55" i="14"/>
  <c r="BD19" i="14"/>
  <c r="BD11" i="14"/>
  <c r="AW21" i="14"/>
  <c r="AZ66" i="14"/>
  <c r="AZ23" i="14"/>
  <c r="AZ21" i="14"/>
  <c r="BD96" i="14"/>
  <c r="BD90" i="14"/>
  <c r="BD61" i="14"/>
  <c r="BD39" i="14"/>
  <c r="BD62" i="14"/>
  <c r="BD64" i="14"/>
  <c r="BD60" i="14"/>
  <c r="BD65" i="14"/>
  <c r="BD48" i="14"/>
  <c r="BD32" i="14"/>
  <c r="BD20" i="14"/>
  <c r="BD44" i="14"/>
  <c r="BD15" i="14"/>
  <c r="BD18" i="14"/>
  <c r="BD13" i="14"/>
  <c r="AZ36" i="14"/>
  <c r="AZ46" i="14"/>
  <c r="AZ17" i="14"/>
  <c r="AS93" i="14"/>
  <c r="AW93" i="14"/>
  <c r="AW46" i="14"/>
  <c r="AZ85" i="14"/>
  <c r="AZ94" i="14"/>
  <c r="AZ41" i="14"/>
  <c r="AZ52" i="14"/>
  <c r="AZ75" i="14"/>
  <c r="AZ57" i="14"/>
  <c r="AZ58" i="14"/>
  <c r="AZ50" i="14"/>
  <c r="AZ29" i="14"/>
  <c r="AZ14" i="14"/>
  <c r="AZ40" i="14"/>
  <c r="AZ38" i="14"/>
  <c r="AZ24" i="14"/>
  <c r="AZ22" i="14"/>
  <c r="AW36" i="14"/>
  <c r="AW74" i="14"/>
  <c r="AW81" i="14"/>
  <c r="AW23" i="14"/>
  <c r="AW33" i="14"/>
  <c r="AZ92" i="14"/>
  <c r="AZ84" i="14"/>
  <c r="AZ72" i="14"/>
  <c r="AZ88" i="14"/>
  <c r="AZ91" i="14"/>
  <c r="AZ69" i="14"/>
  <c r="AZ70" i="14"/>
  <c r="AZ47" i="14"/>
  <c r="AZ35" i="14"/>
  <c r="AZ43" i="14"/>
  <c r="AZ25" i="14"/>
  <c r="AZ28" i="14"/>
  <c r="AZ55" i="14"/>
  <c r="AZ19" i="14"/>
  <c r="AZ12" i="14"/>
  <c r="AZ11" i="14"/>
  <c r="AW71" i="14"/>
  <c r="AW42" i="14"/>
  <c r="AW17" i="14"/>
  <c r="AZ96" i="14"/>
  <c r="AZ61" i="14"/>
  <c r="AZ39" i="14"/>
  <c r="AZ64" i="14"/>
  <c r="AZ60" i="14"/>
  <c r="AZ65" i="14"/>
  <c r="AZ48" i="14"/>
  <c r="AZ32" i="14"/>
  <c r="AZ20" i="14"/>
  <c r="AZ44" i="14"/>
  <c r="AZ15" i="14"/>
  <c r="AZ18" i="14"/>
  <c r="AZ13" i="14"/>
  <c r="AS45" i="14"/>
  <c r="AW66" i="14"/>
  <c r="AW76" i="14"/>
  <c r="AW45" i="14"/>
  <c r="AW16" i="14"/>
  <c r="AS74" i="14"/>
  <c r="AS81" i="14"/>
  <c r="AS76" i="14"/>
  <c r="AS42" i="14"/>
  <c r="AW85" i="14"/>
  <c r="AW94" i="14"/>
  <c r="AW41" i="14"/>
  <c r="AW82" i="14"/>
  <c r="AW57" i="14"/>
  <c r="AW58" i="14"/>
  <c r="AW50" i="14"/>
  <c r="AW29" i="14"/>
  <c r="AW14" i="14"/>
  <c r="AW40" i="14"/>
  <c r="AW38" i="14"/>
  <c r="AW24" i="14"/>
  <c r="AW22" i="14"/>
  <c r="AW80" i="14"/>
  <c r="AO56" i="14"/>
  <c r="AS71" i="14"/>
  <c r="AS33" i="14"/>
  <c r="AW92" i="14"/>
  <c r="AW84" i="14"/>
  <c r="AW88" i="14"/>
  <c r="AW86" i="14"/>
  <c r="AW91" i="14"/>
  <c r="AW69" i="14"/>
  <c r="AW70" i="14"/>
  <c r="AW59" i="14"/>
  <c r="AW47" i="14"/>
  <c r="AW35" i="14"/>
  <c r="AW25" i="14"/>
  <c r="AW28" i="14"/>
  <c r="AW55" i="14"/>
  <c r="AW19" i="14"/>
  <c r="AW11" i="14"/>
  <c r="AS97" i="14"/>
  <c r="AS80" i="14"/>
  <c r="AS16" i="14"/>
  <c r="AW97" i="14"/>
  <c r="AO21" i="14"/>
  <c r="AS66" i="14"/>
  <c r="AS23" i="14"/>
  <c r="AS21" i="14"/>
  <c r="AW96" i="14"/>
  <c r="AW61" i="14"/>
  <c r="AW89" i="14"/>
  <c r="AW39" i="14"/>
  <c r="AW79" i="14"/>
  <c r="AW64" i="14"/>
  <c r="AW60" i="14"/>
  <c r="AW65" i="14"/>
  <c r="AW48" i="14"/>
  <c r="AW32" i="14"/>
  <c r="AW20" i="14"/>
  <c r="AW34" i="14"/>
  <c r="AW44" i="14"/>
  <c r="AW18" i="14"/>
  <c r="AW26" i="14"/>
  <c r="AW13" i="14"/>
  <c r="AO36" i="14"/>
  <c r="AS36" i="14"/>
  <c r="AS17" i="14"/>
  <c r="AO93" i="14"/>
  <c r="AO46" i="14"/>
  <c r="AS85" i="14"/>
  <c r="AS94" i="14"/>
  <c r="AS41" i="14"/>
  <c r="AS52" i="14"/>
  <c r="AS75" i="14"/>
  <c r="AS57" i="14"/>
  <c r="AS58" i="14"/>
  <c r="AS50" i="14"/>
  <c r="AS29" i="14"/>
  <c r="AS14" i="14"/>
  <c r="AS40" i="14"/>
  <c r="AS38" i="14"/>
  <c r="AS24" i="14"/>
  <c r="AS22" i="14"/>
  <c r="AO74" i="14"/>
  <c r="AO81" i="14"/>
  <c r="AO23" i="14"/>
  <c r="AO33" i="14"/>
  <c r="AS92" i="14"/>
  <c r="AS87" i="14"/>
  <c r="AS84" i="14"/>
  <c r="AS49" i="14"/>
  <c r="AS88" i="14"/>
  <c r="AS86" i="14"/>
  <c r="AS91" i="14"/>
  <c r="AS69" i="14"/>
  <c r="AS70" i="14"/>
  <c r="AS47" i="14"/>
  <c r="AS35" i="14"/>
  <c r="AS25" i="14"/>
  <c r="AS28" i="14"/>
  <c r="AS55" i="14"/>
  <c r="AS19" i="14"/>
  <c r="AS11" i="14"/>
  <c r="AO78" i="14"/>
  <c r="AO71" i="14"/>
  <c r="AO83" i="14"/>
  <c r="AO42" i="14"/>
  <c r="AO17" i="14"/>
  <c r="AS96" i="14"/>
  <c r="AS61" i="14"/>
  <c r="AS51" i="14"/>
  <c r="AS39" i="14"/>
  <c r="AS62" i="14"/>
  <c r="AS64" i="14"/>
  <c r="AS60" i="14"/>
  <c r="AS65" i="14"/>
  <c r="AS48" i="14"/>
  <c r="AS32" i="14"/>
  <c r="AS20" i="14"/>
  <c r="AS44" i="14"/>
  <c r="AS18" i="14"/>
  <c r="AS13" i="14"/>
  <c r="AO97" i="14"/>
  <c r="AO80" i="14"/>
  <c r="AO76" i="14"/>
  <c r="AO45" i="14"/>
  <c r="AO16" i="14"/>
  <c r="AO85" i="14"/>
  <c r="AO94" i="14"/>
  <c r="AO95" i="14"/>
  <c r="AO41" i="14"/>
  <c r="AO53" i="14"/>
  <c r="AO31" i="14"/>
  <c r="AO75" i="14"/>
  <c r="AO57" i="14"/>
  <c r="AO58" i="14"/>
  <c r="AO50" i="14"/>
  <c r="AO29" i="14"/>
  <c r="AO63" i="14"/>
  <c r="AO14" i="14"/>
  <c r="AO40" i="14"/>
  <c r="AO38" i="14"/>
  <c r="AO24" i="14"/>
  <c r="AO22" i="14"/>
  <c r="AO92" i="14"/>
  <c r="AO84" i="14"/>
  <c r="AO72" i="14"/>
  <c r="AO88" i="14"/>
  <c r="AO86" i="14"/>
  <c r="AO91" i="14"/>
  <c r="AO69" i="14"/>
  <c r="AO70" i="14"/>
  <c r="AO47" i="14"/>
  <c r="AO35" i="14"/>
  <c r="AO25" i="14"/>
  <c r="AO28" i="14"/>
  <c r="AO55" i="14"/>
  <c r="AO19" i="14"/>
  <c r="AO12" i="14"/>
  <c r="AO11" i="14"/>
  <c r="AO66" i="14"/>
  <c r="AO96" i="14"/>
  <c r="AO61" i="14"/>
  <c r="AO51" i="14"/>
  <c r="AO39" i="14"/>
  <c r="AO62" i="14"/>
  <c r="AO64" i="14"/>
  <c r="AO60" i="14"/>
  <c r="AO65" i="14"/>
  <c r="AO48" i="14"/>
  <c r="AO32" i="14"/>
  <c r="AO20" i="14"/>
  <c r="AO44" i="14"/>
  <c r="AO18" i="14"/>
  <c r="AO13" i="14"/>
  <c r="C60" i="14"/>
  <c r="C47" i="14"/>
  <c r="AK97" i="14"/>
  <c r="AK74" i="14"/>
  <c r="AK71" i="14"/>
  <c r="AK66" i="14"/>
  <c r="AK78" i="14"/>
  <c r="AK93" i="14"/>
  <c r="AK81" i="14"/>
  <c r="AK80" i="14"/>
  <c r="AK76" i="14"/>
  <c r="AK23" i="14"/>
  <c r="AK45" i="14"/>
  <c r="AK42" i="14"/>
  <c r="AK36" i="14"/>
  <c r="AK33" i="14"/>
  <c r="AK17" i="14"/>
  <c r="AK21" i="14"/>
  <c r="AK16" i="14"/>
  <c r="AK85" i="14"/>
  <c r="AK94" i="14"/>
  <c r="AK41" i="14"/>
  <c r="AK77" i="14"/>
  <c r="AK57" i="14"/>
  <c r="AK58" i="14"/>
  <c r="AK50" i="14"/>
  <c r="AK29" i="14"/>
  <c r="AK14" i="14"/>
  <c r="AK40" i="14"/>
  <c r="AK38" i="14"/>
  <c r="AK24" i="14"/>
  <c r="AK30" i="14"/>
  <c r="AK92" i="14"/>
  <c r="AK84" i="14"/>
  <c r="AK88" i="14"/>
  <c r="AK91" i="14"/>
  <c r="AK69" i="14"/>
  <c r="AK70" i="14"/>
  <c r="AK59" i="14"/>
  <c r="AK35" i="14"/>
  <c r="AK25" i="14"/>
  <c r="AK28" i="14"/>
  <c r="AK55" i="14"/>
  <c r="AK19" i="14"/>
  <c r="AK12" i="14"/>
  <c r="AK11" i="14"/>
  <c r="AK96" i="14"/>
  <c r="AK61" i="14"/>
  <c r="AK39" i="14"/>
  <c r="AK64" i="14"/>
  <c r="AK65" i="14"/>
  <c r="AK48" i="14"/>
  <c r="AK32" i="14"/>
  <c r="AK20" i="14"/>
  <c r="AK18" i="14"/>
  <c r="AK26" i="14"/>
  <c r="AK13" i="14"/>
  <c r="BJ26" i="52"/>
  <c r="BJ41" i="52"/>
  <c r="BJ25" i="52"/>
  <c r="BF17" i="52"/>
  <c r="BJ40" i="52"/>
  <c r="BJ32" i="52"/>
  <c r="BJ24" i="52"/>
  <c r="BJ17" i="52"/>
  <c r="BJ42" i="52"/>
  <c r="BJ14" i="52"/>
  <c r="BJ12" i="52"/>
  <c r="BJ15" i="52"/>
  <c r="BF25" i="52"/>
  <c r="BF21" i="52"/>
  <c r="BJ39" i="52"/>
  <c r="BJ36" i="52"/>
  <c r="BJ33" i="52"/>
  <c r="BJ22" i="52"/>
  <c r="BJ13" i="52"/>
  <c r="BF26" i="52"/>
  <c r="BF40" i="52"/>
  <c r="BF34" i="52"/>
  <c r="BF32" i="52"/>
  <c r="BF24" i="52"/>
  <c r="BF19" i="52"/>
  <c r="BF42" i="52"/>
  <c r="BF12" i="52"/>
  <c r="BF15" i="52"/>
  <c r="BF39" i="52"/>
  <c r="BF36" i="52"/>
  <c r="BF33" i="52"/>
  <c r="BF22" i="52"/>
  <c r="BC30" i="52"/>
  <c r="BC41" i="52"/>
  <c r="BC17" i="52"/>
  <c r="BC40" i="52"/>
  <c r="BC32" i="52"/>
  <c r="BC24" i="52"/>
  <c r="BC42" i="52"/>
  <c r="BC12" i="52"/>
  <c r="BC15" i="52"/>
  <c r="BC39" i="52"/>
  <c r="BC36" i="52"/>
  <c r="BC33" i="52"/>
  <c r="BC22" i="52"/>
  <c r="AY41" i="52"/>
  <c r="AY25" i="52"/>
  <c r="AY17" i="52"/>
  <c r="AU17" i="52"/>
  <c r="AY40" i="52"/>
  <c r="AY38" i="52"/>
  <c r="AY32" i="52"/>
  <c r="AY24" i="52"/>
  <c r="AY11" i="52"/>
  <c r="AY21" i="52"/>
  <c r="AY42" i="52"/>
  <c r="AY27" i="52"/>
  <c r="AY14" i="52"/>
  <c r="AY12" i="52"/>
  <c r="AY15" i="52"/>
  <c r="AU25" i="52"/>
  <c r="AU21" i="52"/>
  <c r="AY39" i="52"/>
  <c r="AY36" i="52"/>
  <c r="AY33" i="52"/>
  <c r="AY22" i="52"/>
  <c r="AY13" i="52"/>
  <c r="AU40" i="52"/>
  <c r="AU34" i="52"/>
  <c r="AU32" i="52"/>
  <c r="AU24" i="52"/>
  <c r="AU11" i="52"/>
  <c r="AU42" i="52"/>
  <c r="AU27" i="52"/>
  <c r="AU12" i="52"/>
  <c r="AU15" i="52"/>
  <c r="AU39" i="52"/>
  <c r="AU36" i="52"/>
  <c r="AU33" i="52"/>
  <c r="AU22" i="52"/>
  <c r="AQ30" i="52"/>
  <c r="AQ41" i="52"/>
  <c r="AQ17" i="52"/>
  <c r="AQ26" i="52"/>
  <c r="AM25" i="52"/>
  <c r="AQ40" i="52"/>
  <c r="AQ38" i="52"/>
  <c r="AQ32" i="52"/>
  <c r="AQ24" i="52"/>
  <c r="AQ11" i="52"/>
  <c r="AQ42" i="52"/>
  <c r="AQ27" i="52"/>
  <c r="AQ12" i="52"/>
  <c r="AQ15" i="52"/>
  <c r="AQ39" i="52"/>
  <c r="AQ36" i="52"/>
  <c r="AQ33" i="52"/>
  <c r="AM17" i="52"/>
  <c r="AM40" i="52"/>
  <c r="AM38" i="52"/>
  <c r="AM34" i="52"/>
  <c r="AM32" i="52"/>
  <c r="AM24" i="52"/>
  <c r="AM42" i="52"/>
  <c r="AM27" i="52"/>
  <c r="AM12" i="52"/>
  <c r="AM15" i="52"/>
  <c r="AM39" i="52"/>
  <c r="AM36" i="52"/>
  <c r="AM33" i="52"/>
  <c r="AM22" i="52"/>
  <c r="AI30" i="52"/>
  <c r="AI25" i="52"/>
  <c r="AI21" i="52"/>
  <c r="AI40" i="52"/>
  <c r="AI34" i="52"/>
  <c r="AI32" i="52"/>
  <c r="AI31" i="52"/>
  <c r="AI24" i="52"/>
  <c r="AI17" i="52"/>
  <c r="AI42" i="52"/>
  <c r="AI12" i="52"/>
  <c r="AI15" i="52"/>
  <c r="AI39" i="52"/>
  <c r="AI36" i="52"/>
  <c r="AI33" i="52"/>
  <c r="AI22" i="52"/>
  <c r="U11" i="43"/>
  <c r="U35" i="43"/>
  <c r="U16" i="43"/>
  <c r="U13" i="43"/>
  <c r="U24" i="43"/>
  <c r="U25" i="43"/>
  <c r="U21" i="43"/>
  <c r="U30" i="43"/>
  <c r="U27" i="43"/>
  <c r="U17" i="43"/>
  <c r="U15" i="43"/>
  <c r="F11" i="43"/>
  <c r="K11" i="43" s="1"/>
  <c r="F35" i="43"/>
  <c r="L35" i="43" s="1"/>
  <c r="F16" i="43"/>
  <c r="K16" i="43" s="1"/>
  <c r="F13" i="43"/>
  <c r="J13" i="43" s="1"/>
  <c r="F29" i="43"/>
  <c r="L29" i="43" s="1"/>
  <c r="F24" i="43"/>
  <c r="J24" i="43" s="1"/>
  <c r="F21" i="43"/>
  <c r="J21" i="43" s="1"/>
  <c r="F30" i="43"/>
  <c r="K30" i="43" s="1"/>
  <c r="F37" i="43"/>
  <c r="F17" i="43"/>
  <c r="E19" i="43"/>
  <c r="I19" i="43" s="1"/>
  <c r="E11" i="43"/>
  <c r="I11" i="43" s="1"/>
  <c r="E35" i="43"/>
  <c r="E16" i="43"/>
  <c r="E13" i="43"/>
  <c r="I13" i="43" s="1"/>
  <c r="E29" i="43"/>
  <c r="I29" i="43" s="1"/>
  <c r="E24" i="43"/>
  <c r="I24" i="43" s="1"/>
  <c r="E39" i="43"/>
  <c r="E21" i="43"/>
  <c r="I21" i="43" s="1"/>
  <c r="E30" i="43"/>
  <c r="E27" i="43"/>
  <c r="I27" i="43" s="1"/>
  <c r="E37" i="43"/>
  <c r="I37" i="43" s="1"/>
  <c r="E17" i="43"/>
  <c r="D19" i="43"/>
  <c r="D33" i="43"/>
  <c r="D11" i="43"/>
  <c r="D35" i="43"/>
  <c r="D16" i="43"/>
  <c r="D13" i="43"/>
  <c r="D24" i="43"/>
  <c r="D21" i="43"/>
  <c r="D34" i="43"/>
  <c r="D17" i="43"/>
  <c r="D10" i="43"/>
  <c r="D49" i="16"/>
  <c r="D34" i="16"/>
  <c r="D18" i="16"/>
  <c r="E70" i="16"/>
  <c r="L70" i="16" s="1"/>
  <c r="E69" i="16"/>
  <c r="E66" i="16"/>
  <c r="M66" i="16" s="1"/>
  <c r="E60" i="16"/>
  <c r="E56" i="16"/>
  <c r="E53" i="16"/>
  <c r="L53" i="16" s="1"/>
  <c r="E46" i="16"/>
  <c r="K46" i="16" s="1"/>
  <c r="E42" i="16"/>
  <c r="E38" i="16"/>
  <c r="M38" i="16" s="1"/>
  <c r="E30" i="16"/>
  <c r="K30" i="16" s="1"/>
  <c r="E26" i="16"/>
  <c r="K26" i="16" s="1"/>
  <c r="E22" i="16"/>
  <c r="E14" i="16"/>
  <c r="L14" i="16" s="1"/>
  <c r="D70" i="16"/>
  <c r="D60" i="16"/>
  <c r="D46" i="16"/>
  <c r="D30" i="16"/>
  <c r="D14" i="16"/>
  <c r="E65" i="16"/>
  <c r="E63" i="16"/>
  <c r="E59" i="16"/>
  <c r="M59" i="16" s="1"/>
  <c r="E55" i="16"/>
  <c r="L55" i="16" s="1"/>
  <c r="E52" i="16"/>
  <c r="L52" i="16" s="1"/>
  <c r="E48" i="16"/>
  <c r="K48" i="16" s="1"/>
  <c r="E45" i="16"/>
  <c r="E41" i="16"/>
  <c r="L41" i="16" s="1"/>
  <c r="E37" i="16"/>
  <c r="F37" i="16" s="1"/>
  <c r="E33" i="16"/>
  <c r="K33" i="16" s="1"/>
  <c r="E29" i="16"/>
  <c r="M29" i="16" s="1"/>
  <c r="E25" i="16"/>
  <c r="L25" i="16" s="1"/>
  <c r="E21" i="16"/>
  <c r="L21" i="16" s="1"/>
  <c r="E17" i="16"/>
  <c r="E13" i="16"/>
  <c r="M13" i="16" s="1"/>
  <c r="D69" i="16"/>
  <c r="D56" i="16"/>
  <c r="D42" i="16"/>
  <c r="D26" i="16"/>
  <c r="E72" i="16"/>
  <c r="E68" i="16"/>
  <c r="L68" i="16" s="1"/>
  <c r="E62" i="16"/>
  <c r="E58" i="16"/>
  <c r="E51" i="16"/>
  <c r="F51" i="16" s="1"/>
  <c r="N51" i="16" s="1"/>
  <c r="E47" i="16"/>
  <c r="L47" i="16" s="1"/>
  <c r="E44" i="16"/>
  <c r="E40" i="16"/>
  <c r="E36" i="16"/>
  <c r="L36" i="16" s="1"/>
  <c r="E32" i="16"/>
  <c r="M32" i="16" s="1"/>
  <c r="E28" i="16"/>
  <c r="E24" i="16"/>
  <c r="F24" i="16" s="1"/>
  <c r="N24" i="16" s="1"/>
  <c r="E20" i="16"/>
  <c r="L20" i="16" s="1"/>
  <c r="E16" i="16"/>
  <c r="E12" i="16"/>
  <c r="D66" i="16"/>
  <c r="D53" i="16"/>
  <c r="D38" i="16"/>
  <c r="D22" i="16"/>
  <c r="E71" i="16"/>
  <c r="K71" i="16" s="1"/>
  <c r="E67" i="16"/>
  <c r="L67" i="16" s="1"/>
  <c r="E64" i="16"/>
  <c r="E61" i="16"/>
  <c r="E57" i="16"/>
  <c r="F57" i="16" s="1"/>
  <c r="E54" i="16"/>
  <c r="F54" i="16" s="1"/>
  <c r="N54" i="16" s="1"/>
  <c r="E50" i="16"/>
  <c r="M50" i="16" s="1"/>
  <c r="E43" i="16"/>
  <c r="E39" i="16"/>
  <c r="M39" i="16" s="1"/>
  <c r="E35" i="16"/>
  <c r="L35" i="16" s="1"/>
  <c r="E31" i="16"/>
  <c r="F31" i="16" s="1"/>
  <c r="E27" i="16"/>
  <c r="E23" i="16"/>
  <c r="L23" i="16" s="1"/>
  <c r="E19" i="16"/>
  <c r="L19" i="16" s="1"/>
  <c r="E15" i="16"/>
  <c r="K15" i="16" s="1"/>
  <c r="E11" i="16"/>
  <c r="F11" i="16" s="1"/>
  <c r="AU11" i="16" s="1"/>
  <c r="D65" i="16"/>
  <c r="D63" i="16"/>
  <c r="D59" i="16"/>
  <c r="D55" i="16"/>
  <c r="D52" i="16"/>
  <c r="D48" i="16"/>
  <c r="D45" i="16"/>
  <c r="D41" i="16"/>
  <c r="D37" i="16"/>
  <c r="D33" i="16"/>
  <c r="D29" i="16"/>
  <c r="D25" i="16"/>
  <c r="D21" i="16"/>
  <c r="D17" i="16"/>
  <c r="D13" i="16"/>
  <c r="D72" i="16"/>
  <c r="D68" i="16"/>
  <c r="D62" i="16"/>
  <c r="D58" i="16"/>
  <c r="D51" i="16"/>
  <c r="D47" i="16"/>
  <c r="D44" i="16"/>
  <c r="D40" i="16"/>
  <c r="D36" i="16"/>
  <c r="D32" i="16"/>
  <c r="D28" i="16"/>
  <c r="D24" i="16"/>
  <c r="D20" i="16"/>
  <c r="D16" i="16"/>
  <c r="D12" i="16"/>
  <c r="D71" i="16"/>
  <c r="D67" i="16"/>
  <c r="D64" i="16"/>
  <c r="D61" i="16"/>
  <c r="D57" i="16"/>
  <c r="D54" i="16"/>
  <c r="D50" i="16"/>
  <c r="D43" i="16"/>
  <c r="D39" i="16"/>
  <c r="D35" i="16"/>
  <c r="D31" i="16"/>
  <c r="D27" i="16"/>
  <c r="D23" i="16"/>
  <c r="D19" i="16"/>
  <c r="D15" i="16"/>
  <c r="D11" i="16"/>
  <c r="C49" i="16"/>
  <c r="C34" i="16"/>
  <c r="AE34" i="16" s="1"/>
  <c r="C18" i="16"/>
  <c r="E121" i="15"/>
  <c r="K121" i="15" s="1"/>
  <c r="E91" i="15"/>
  <c r="E111" i="15"/>
  <c r="F111" i="15" s="1"/>
  <c r="N111" i="15" s="1"/>
  <c r="E84" i="15"/>
  <c r="L84" i="15" s="1"/>
  <c r="E70" i="15"/>
  <c r="L70" i="15" s="1"/>
  <c r="E96" i="15"/>
  <c r="F96" i="15" s="1"/>
  <c r="E82" i="15"/>
  <c r="E72" i="15"/>
  <c r="M72" i="15" s="1"/>
  <c r="E90" i="15"/>
  <c r="L90" i="15" s="1"/>
  <c r="E75" i="15"/>
  <c r="E73" i="15"/>
  <c r="F73" i="15" s="1"/>
  <c r="N73" i="15" s="1"/>
  <c r="E61" i="15"/>
  <c r="E56" i="15"/>
  <c r="K56" i="15" s="1"/>
  <c r="E58" i="15"/>
  <c r="F58" i="15" s="1"/>
  <c r="E35" i="15"/>
  <c r="E38" i="15"/>
  <c r="M38" i="15" s="1"/>
  <c r="E44" i="15"/>
  <c r="L44" i="15" s="1"/>
  <c r="E43" i="15"/>
  <c r="E48" i="15"/>
  <c r="L48" i="15" s="1"/>
  <c r="E39" i="15"/>
  <c r="L39" i="15" s="1"/>
  <c r="E17" i="15"/>
  <c r="E28" i="15"/>
  <c r="M28" i="15" s="1"/>
  <c r="E22" i="15"/>
  <c r="E15" i="15"/>
  <c r="M15" i="15" s="1"/>
  <c r="E110" i="15"/>
  <c r="E120" i="15"/>
  <c r="L120" i="15" s="1"/>
  <c r="E108" i="15"/>
  <c r="E109" i="15"/>
  <c r="K109" i="15" s="1"/>
  <c r="E92" i="15"/>
  <c r="M92" i="15" s="1"/>
  <c r="E103" i="15"/>
  <c r="E85" i="15"/>
  <c r="E81" i="15"/>
  <c r="M81" i="15" s="1"/>
  <c r="E86" i="15"/>
  <c r="K86" i="15" s="1"/>
  <c r="E68" i="15"/>
  <c r="K68" i="15" s="1"/>
  <c r="E60" i="15"/>
  <c r="F60" i="15" s="1"/>
  <c r="AQ60" i="15" s="1"/>
  <c r="E69" i="15"/>
  <c r="E80" i="15"/>
  <c r="M80" i="15" s="1"/>
  <c r="E51" i="15"/>
  <c r="F51" i="15" s="1"/>
  <c r="E57" i="15"/>
  <c r="E45" i="15"/>
  <c r="L45" i="15" s="1"/>
  <c r="E53" i="15"/>
  <c r="F53" i="15" s="1"/>
  <c r="N53" i="15" s="1"/>
  <c r="E46" i="15"/>
  <c r="M46" i="15" s="1"/>
  <c r="E37" i="15"/>
  <c r="M37" i="15" s="1"/>
  <c r="E41" i="15"/>
  <c r="E36" i="15"/>
  <c r="M36" i="15" s="1"/>
  <c r="E31" i="15"/>
  <c r="L31" i="15" s="1"/>
  <c r="E18" i="15"/>
  <c r="E29" i="15"/>
  <c r="F29" i="15" s="1"/>
  <c r="E19" i="15"/>
  <c r="K19" i="15" s="1"/>
  <c r="E12" i="15"/>
  <c r="L12" i="15" s="1"/>
  <c r="E123" i="15"/>
  <c r="E122" i="15"/>
  <c r="M122" i="15" s="1"/>
  <c r="E101" i="15"/>
  <c r="M101" i="15" s="1"/>
  <c r="E112" i="15"/>
  <c r="E77" i="15"/>
  <c r="E76" i="15"/>
  <c r="E79" i="15"/>
  <c r="E67" i="15"/>
  <c r="E59" i="15"/>
  <c r="E47" i="15"/>
  <c r="M47" i="15" s="1"/>
  <c r="E55" i="15"/>
  <c r="E52" i="15"/>
  <c r="L52" i="15" s="1"/>
  <c r="E49" i="15"/>
  <c r="E40" i="15"/>
  <c r="L40" i="15" s="1"/>
  <c r="E54" i="15"/>
  <c r="E42" i="15"/>
  <c r="E25" i="15"/>
  <c r="M25" i="15" s="1"/>
  <c r="E23" i="15"/>
  <c r="L23" i="15" s="1"/>
  <c r="E26" i="15"/>
  <c r="E20" i="15"/>
  <c r="L20" i="15" s="1"/>
  <c r="E16" i="15"/>
  <c r="L16" i="15" s="1"/>
  <c r="E13" i="15"/>
  <c r="E105" i="15"/>
  <c r="E89" i="15"/>
  <c r="M89" i="15" s="1"/>
  <c r="E116" i="15"/>
  <c r="E118" i="15"/>
  <c r="K118" i="15" s="1"/>
  <c r="E115" i="15"/>
  <c r="F115" i="15" s="1"/>
  <c r="N115" i="15" s="1"/>
  <c r="E100" i="15"/>
  <c r="K100" i="15" s="1"/>
  <c r="E114" i="15"/>
  <c r="L114" i="15" s="1"/>
  <c r="E95" i="15"/>
  <c r="M95" i="15" s="1"/>
  <c r="E106" i="15"/>
  <c r="E102" i="15"/>
  <c r="L102" i="15" s="1"/>
  <c r="E88" i="15"/>
  <c r="E78" i="15"/>
  <c r="D105" i="15"/>
  <c r="D91" i="15"/>
  <c r="D89" i="15"/>
  <c r="D96" i="15"/>
  <c r="D72" i="15"/>
  <c r="D75" i="15"/>
  <c r="D61" i="15"/>
  <c r="D58" i="15"/>
  <c r="D38" i="15"/>
  <c r="D43" i="15"/>
  <c r="D48" i="15"/>
  <c r="D17" i="15"/>
  <c r="D15" i="15"/>
  <c r="D110" i="15"/>
  <c r="D120" i="15"/>
  <c r="D108" i="15"/>
  <c r="D109" i="15"/>
  <c r="D92" i="15"/>
  <c r="D103" i="15"/>
  <c r="D85" i="15"/>
  <c r="D81" i="15"/>
  <c r="D86" i="15"/>
  <c r="D68" i="15"/>
  <c r="D60" i="15"/>
  <c r="D69" i="15"/>
  <c r="D80" i="15"/>
  <c r="D51" i="15"/>
  <c r="D57" i="15"/>
  <c r="D45" i="15"/>
  <c r="D53" i="15"/>
  <c r="D46" i="15"/>
  <c r="D37" i="15"/>
  <c r="D41" i="15"/>
  <c r="D36" i="15"/>
  <c r="D31" i="15"/>
  <c r="D18" i="15"/>
  <c r="D29" i="15"/>
  <c r="D19" i="15"/>
  <c r="D12" i="15"/>
  <c r="D121" i="15"/>
  <c r="D111" i="15"/>
  <c r="D84" i="15"/>
  <c r="D70" i="15"/>
  <c r="D82" i="15"/>
  <c r="D90" i="15"/>
  <c r="D73" i="15"/>
  <c r="D56" i="15"/>
  <c r="D35" i="15"/>
  <c r="D44" i="15"/>
  <c r="D39" i="15"/>
  <c r="D28" i="15"/>
  <c r="D22" i="15"/>
  <c r="D123" i="15"/>
  <c r="D122" i="15"/>
  <c r="D101" i="15"/>
  <c r="D112" i="15"/>
  <c r="D77" i="15"/>
  <c r="D76" i="15"/>
  <c r="D79" i="15"/>
  <c r="D67" i="15"/>
  <c r="D59" i="15"/>
  <c r="D47" i="15"/>
  <c r="D55" i="15"/>
  <c r="D52" i="15"/>
  <c r="D49" i="15"/>
  <c r="D40" i="15"/>
  <c r="D54" i="15"/>
  <c r="D42" i="15"/>
  <c r="D25" i="15"/>
  <c r="D23" i="15"/>
  <c r="D26" i="15"/>
  <c r="D20" i="15"/>
  <c r="D16" i="15"/>
  <c r="D13" i="15"/>
  <c r="D116" i="15"/>
  <c r="D118" i="15"/>
  <c r="D115" i="15"/>
  <c r="D100" i="15"/>
  <c r="D114" i="15"/>
  <c r="D95" i="15"/>
  <c r="D106" i="15"/>
  <c r="D102" i="15"/>
  <c r="D88" i="15"/>
  <c r="D78" i="15"/>
  <c r="E41" i="14"/>
  <c r="E58" i="14"/>
  <c r="E60" i="14"/>
  <c r="E26" i="14"/>
  <c r="E27" i="14"/>
  <c r="E80" i="14"/>
  <c r="O80" i="14" s="1"/>
  <c r="E18" i="14"/>
  <c r="O18" i="14" s="1"/>
  <c r="E35" i="14"/>
  <c r="N35" i="14" s="1"/>
  <c r="E32" i="14"/>
  <c r="O32" i="14" s="1"/>
  <c r="E17" i="14"/>
  <c r="F17" i="14" s="1"/>
  <c r="Q17" i="14" s="1"/>
  <c r="E81" i="14"/>
  <c r="P81" i="14" s="1"/>
  <c r="E71" i="14"/>
  <c r="F71" i="14" s="1"/>
  <c r="Q71" i="14" s="1"/>
  <c r="E75" i="14"/>
  <c r="E11" i="14"/>
  <c r="P11" i="14" s="1"/>
  <c r="E54" i="14"/>
  <c r="E57" i="14"/>
  <c r="N57" i="14" s="1"/>
  <c r="E70" i="14"/>
  <c r="E24" i="14"/>
  <c r="N24" i="14" s="1"/>
  <c r="E31" i="14"/>
  <c r="O31" i="14" s="1"/>
  <c r="E23" i="14"/>
  <c r="F23" i="14" s="1"/>
  <c r="Q23" i="14" s="1"/>
  <c r="E40" i="14"/>
  <c r="E88" i="14"/>
  <c r="E36" i="14"/>
  <c r="E33" i="14"/>
  <c r="P33" i="14" s="1"/>
  <c r="E74" i="14"/>
  <c r="E94" i="14"/>
  <c r="O94" i="14" s="1"/>
  <c r="E48" i="14"/>
  <c r="E97" i="14"/>
  <c r="O97" i="14" s="1"/>
  <c r="E44" i="14"/>
  <c r="E72" i="14"/>
  <c r="E65" i="14"/>
  <c r="E69" i="14"/>
  <c r="F69" i="14" s="1"/>
  <c r="E64" i="14"/>
  <c r="E61" i="14"/>
  <c r="E67" i="14"/>
  <c r="E14" i="14"/>
  <c r="P14" i="14" s="1"/>
  <c r="E50" i="14"/>
  <c r="E55" i="14"/>
  <c r="P55" i="14" s="1"/>
  <c r="E89" i="14"/>
  <c r="P89" i="14" s="1"/>
  <c r="E28" i="14"/>
  <c r="F28" i="14" s="1"/>
  <c r="E16" i="14"/>
  <c r="E45" i="14"/>
  <c r="E96" i="14"/>
  <c r="E84" i="14"/>
  <c r="N84" i="14" s="1"/>
  <c r="E20" i="14"/>
  <c r="E19" i="14"/>
  <c r="E66" i="14"/>
  <c r="E76" i="14"/>
  <c r="P76" i="14" s="1"/>
  <c r="E29" i="14"/>
  <c r="E25" i="14"/>
  <c r="E39" i="14"/>
  <c r="P39" i="14" s="1"/>
  <c r="E38" i="14"/>
  <c r="F38" i="14" s="1"/>
  <c r="Q38" i="14" s="1"/>
  <c r="E93" i="14"/>
  <c r="E47" i="14"/>
  <c r="E85" i="14"/>
  <c r="E21" i="14"/>
  <c r="E13" i="14"/>
  <c r="E87" i="14"/>
  <c r="N87" i="14" s="1"/>
  <c r="E42" i="14"/>
  <c r="E92" i="14"/>
  <c r="P92" i="14" s="1"/>
  <c r="E22" i="14"/>
  <c r="E91" i="14"/>
  <c r="D59" i="14"/>
  <c r="D12" i="14"/>
  <c r="D80" i="14"/>
  <c r="D26" i="14"/>
  <c r="D58" i="14"/>
  <c r="D60" i="14"/>
  <c r="D51" i="14"/>
  <c r="D41" i="14"/>
  <c r="D81" i="14"/>
  <c r="D71" i="14"/>
  <c r="D11" i="14"/>
  <c r="D54" i="14"/>
  <c r="D57" i="14"/>
  <c r="D70" i="14"/>
  <c r="D24" i="14"/>
  <c r="D31" i="14"/>
  <c r="D23" i="14"/>
  <c r="D63" i="14"/>
  <c r="D40" i="14"/>
  <c r="D88" i="14"/>
  <c r="D36" i="14"/>
  <c r="D33" i="14"/>
  <c r="D49" i="14"/>
  <c r="D74" i="14"/>
  <c r="D94" i="14"/>
  <c r="D30" i="14"/>
  <c r="D48" i="14"/>
  <c r="D97" i="14"/>
  <c r="D44" i="14"/>
  <c r="D73" i="14"/>
  <c r="D72" i="14"/>
  <c r="D65" i="14"/>
  <c r="D69" i="14"/>
  <c r="D64" i="14"/>
  <c r="D62" i="14"/>
  <c r="D61" i="14"/>
  <c r="D14" i="14"/>
  <c r="D50" i="14"/>
  <c r="D55" i="14"/>
  <c r="D79" i="14"/>
  <c r="D28" i="14"/>
  <c r="D16" i="14"/>
  <c r="D45" i="14"/>
  <c r="D96" i="14"/>
  <c r="D84" i="14"/>
  <c r="D15" i="14"/>
  <c r="D20" i="14"/>
  <c r="D19" i="14"/>
  <c r="D66" i="14"/>
  <c r="D76" i="14"/>
  <c r="D68" i="14"/>
  <c r="D29" i="14"/>
  <c r="D25" i="14"/>
  <c r="D56" i="14"/>
  <c r="D39" i="14"/>
  <c r="D38" i="14"/>
  <c r="D52" i="14"/>
  <c r="D93" i="14"/>
  <c r="D47" i="14"/>
  <c r="D85" i="14"/>
  <c r="D21" i="14"/>
  <c r="D13" i="14"/>
  <c r="D87" i="14"/>
  <c r="D42" i="14"/>
  <c r="D92" i="14"/>
  <c r="D83" i="14"/>
  <c r="D22" i="14"/>
  <c r="D91" i="14"/>
  <c r="C18" i="14"/>
  <c r="AI18" i="14" s="1"/>
  <c r="C35" i="14"/>
  <c r="AI35" i="14" s="1"/>
  <c r="C32" i="14"/>
  <c r="C17" i="14"/>
  <c r="AI17" i="14" s="1"/>
  <c r="C95" i="14"/>
  <c r="E42" i="52"/>
  <c r="O42" i="52" s="1"/>
  <c r="E40" i="52"/>
  <c r="E19" i="52"/>
  <c r="E30" i="52"/>
  <c r="O30" i="52" s="1"/>
  <c r="E34" i="52"/>
  <c r="E21" i="52"/>
  <c r="E14" i="52"/>
  <c r="F14" i="52" s="1"/>
  <c r="E39" i="52"/>
  <c r="M39" i="52" s="1"/>
  <c r="E32" i="52"/>
  <c r="E36" i="52"/>
  <c r="E33" i="52"/>
  <c r="M33" i="52" s="1"/>
  <c r="E24" i="52"/>
  <c r="M24" i="52" s="1"/>
  <c r="E15" i="52"/>
  <c r="E17" i="52"/>
  <c r="E12" i="52"/>
  <c r="N12" i="52" s="1"/>
  <c r="D35" i="52"/>
  <c r="D38" i="52"/>
  <c r="D19" i="52"/>
  <c r="D42" i="52"/>
  <c r="D40" i="52"/>
  <c r="D41" i="52"/>
  <c r="D25" i="52"/>
  <c r="D22" i="52"/>
  <c r="D13" i="52"/>
  <c r="D39" i="52"/>
  <c r="D32" i="52"/>
  <c r="D36" i="52"/>
  <c r="D33" i="52"/>
  <c r="D24" i="52"/>
  <c r="D15" i="52"/>
  <c r="D17" i="52"/>
  <c r="D12" i="52"/>
  <c r="K18" i="16"/>
  <c r="L18" i="16"/>
  <c r="K34" i="16"/>
  <c r="M18" i="16"/>
  <c r="F34" i="16"/>
  <c r="N34" i="16" s="1"/>
  <c r="M34" i="16"/>
  <c r="L17" i="43"/>
  <c r="K17" i="43"/>
  <c r="J17" i="43"/>
  <c r="L13" i="43"/>
  <c r="K13" i="43"/>
  <c r="H21" i="43"/>
  <c r="H13" i="43"/>
  <c r="L31" i="16"/>
  <c r="L71" i="16"/>
  <c r="M51" i="16"/>
  <c r="M41" i="16"/>
  <c r="L56" i="16"/>
  <c r="M56" i="16"/>
  <c r="M70" i="16"/>
  <c r="M19" i="16"/>
  <c r="M35" i="16"/>
  <c r="M24" i="16"/>
  <c r="L40" i="16"/>
  <c r="L13" i="16"/>
  <c r="L29" i="16"/>
  <c r="L45" i="16"/>
  <c r="M45" i="16"/>
  <c r="L59" i="16"/>
  <c r="M20" i="16"/>
  <c r="M25" i="16"/>
  <c r="L38" i="16"/>
  <c r="M23" i="16"/>
  <c r="L39" i="16"/>
  <c r="M54" i="16"/>
  <c r="M67" i="16"/>
  <c r="L58" i="16"/>
  <c r="M46" i="16"/>
  <c r="M36" i="16"/>
  <c r="M55" i="16"/>
  <c r="M14" i="16"/>
  <c r="L57" i="16"/>
  <c r="M57" i="16"/>
  <c r="L72" i="16"/>
  <c r="M72" i="16"/>
  <c r="M65" i="16"/>
  <c r="L30" i="16"/>
  <c r="M30" i="16"/>
  <c r="M53" i="16"/>
  <c r="L69" i="16"/>
  <c r="M69" i="16"/>
  <c r="K57" i="16"/>
  <c r="F47" i="16"/>
  <c r="F72" i="16"/>
  <c r="N72" i="16"/>
  <c r="K72" i="16"/>
  <c r="K21" i="16"/>
  <c r="F30" i="16"/>
  <c r="N30" i="16" s="1"/>
  <c r="F53" i="16"/>
  <c r="N53" i="16" s="1"/>
  <c r="K53" i="16"/>
  <c r="F69" i="16"/>
  <c r="N69" i="16" s="1"/>
  <c r="K69" i="16"/>
  <c r="K39" i="16"/>
  <c r="F58" i="16"/>
  <c r="AQ58" i="16" s="1"/>
  <c r="F36" i="16"/>
  <c r="K36" i="16"/>
  <c r="K51" i="16"/>
  <c r="K25" i="16"/>
  <c r="F41" i="16"/>
  <c r="F55" i="16"/>
  <c r="N55" i="16" s="1"/>
  <c r="K55" i="16"/>
  <c r="F14" i="16"/>
  <c r="K14" i="16"/>
  <c r="K38" i="16"/>
  <c r="F56" i="16"/>
  <c r="N56" i="16" s="1"/>
  <c r="K56" i="16"/>
  <c r="K70" i="16"/>
  <c r="F23" i="16"/>
  <c r="N23" i="16" s="1"/>
  <c r="K23" i="16"/>
  <c r="F67" i="16"/>
  <c r="N67" i="16" s="1"/>
  <c r="K67" i="16"/>
  <c r="F19" i="16"/>
  <c r="K19" i="16"/>
  <c r="K24" i="16"/>
  <c r="F40" i="16"/>
  <c r="N40" i="16" s="1"/>
  <c r="F13" i="16"/>
  <c r="N13" i="16"/>
  <c r="K13" i="16"/>
  <c r="K29" i="16"/>
  <c r="F45" i="16"/>
  <c r="N45" i="16" s="1"/>
  <c r="K45" i="16"/>
  <c r="K59" i="16"/>
  <c r="M20" i="15"/>
  <c r="L42" i="15"/>
  <c r="L67" i="15"/>
  <c r="L101" i="15"/>
  <c r="L36" i="15"/>
  <c r="L92" i="15"/>
  <c r="L105" i="15"/>
  <c r="M105" i="15"/>
  <c r="L26" i="15"/>
  <c r="M26" i="15"/>
  <c r="L54" i="15"/>
  <c r="M54" i="15"/>
  <c r="L55" i="15"/>
  <c r="M55" i="15"/>
  <c r="L79" i="15"/>
  <c r="M79" i="15"/>
  <c r="L29" i="15"/>
  <c r="M29" i="15"/>
  <c r="M41" i="15"/>
  <c r="M45" i="15"/>
  <c r="M69" i="15"/>
  <c r="L81" i="15"/>
  <c r="M109" i="15"/>
  <c r="L28" i="15"/>
  <c r="L58" i="15"/>
  <c r="M58" i="15"/>
  <c r="M96" i="15"/>
  <c r="M91" i="15"/>
  <c r="M60" i="15"/>
  <c r="M78" i="15"/>
  <c r="L95" i="15"/>
  <c r="M118" i="15"/>
  <c r="L110" i="15"/>
  <c r="M110" i="15"/>
  <c r="L15" i="15"/>
  <c r="L38" i="15"/>
  <c r="L72" i="15"/>
  <c r="K114" i="15"/>
  <c r="K20" i="15"/>
  <c r="K42" i="15"/>
  <c r="K67" i="15"/>
  <c r="F101" i="15"/>
  <c r="N101" i="15" s="1"/>
  <c r="K36" i="15"/>
  <c r="F80" i="15"/>
  <c r="N80" i="15" s="1"/>
  <c r="K92" i="15"/>
  <c r="F48" i="15"/>
  <c r="F105" i="15"/>
  <c r="N105" i="15" s="1"/>
  <c r="K105" i="15"/>
  <c r="F26" i="15"/>
  <c r="K26" i="15"/>
  <c r="F54" i="15"/>
  <c r="N54" i="15"/>
  <c r="K54" i="15"/>
  <c r="F55" i="15"/>
  <c r="N55" i="15" s="1"/>
  <c r="K55" i="15"/>
  <c r="F79" i="15"/>
  <c r="N79" i="15" s="1"/>
  <c r="K79" i="15"/>
  <c r="K122" i="15"/>
  <c r="K29" i="15"/>
  <c r="K41" i="15"/>
  <c r="F45" i="15"/>
  <c r="N45" i="15" s="1"/>
  <c r="K69" i="15"/>
  <c r="F81" i="15"/>
  <c r="K81" i="15"/>
  <c r="F28" i="15"/>
  <c r="N28" i="15" s="1"/>
  <c r="K28" i="15"/>
  <c r="K58" i="15"/>
  <c r="K75" i="15"/>
  <c r="K91" i="15"/>
  <c r="F123" i="15"/>
  <c r="N123" i="15" s="1"/>
  <c r="K85" i="15"/>
  <c r="K78" i="15"/>
  <c r="F95" i="15"/>
  <c r="N95" i="15" s="1"/>
  <c r="K95" i="15"/>
  <c r="F16" i="15"/>
  <c r="N16" i="15" s="1"/>
  <c r="F110" i="15"/>
  <c r="K110" i="15"/>
  <c r="K15" i="15"/>
  <c r="F38" i="15"/>
  <c r="K72" i="15"/>
  <c r="F84" i="15"/>
  <c r="N84" i="15" s="1"/>
  <c r="O50" i="14"/>
  <c r="P50" i="14"/>
  <c r="P40" i="14"/>
  <c r="P91" i="14"/>
  <c r="O92" i="14"/>
  <c r="O93" i="14"/>
  <c r="P93" i="14"/>
  <c r="O29" i="14"/>
  <c r="P29" i="14"/>
  <c r="P45" i="14"/>
  <c r="O72" i="14"/>
  <c r="P70" i="14"/>
  <c r="P75" i="14"/>
  <c r="P27" i="14"/>
  <c r="P58" i="14"/>
  <c r="P20" i="14"/>
  <c r="O24" i="14"/>
  <c r="P24" i="14"/>
  <c r="O16" i="14"/>
  <c r="P16" i="14"/>
  <c r="O64" i="14"/>
  <c r="P64" i="14"/>
  <c r="P74" i="14"/>
  <c r="P36" i="14"/>
  <c r="P71" i="14"/>
  <c r="P32" i="14"/>
  <c r="P80" i="14"/>
  <c r="O26" i="14"/>
  <c r="O41" i="14"/>
  <c r="P41" i="14"/>
  <c r="O13" i="14"/>
  <c r="P13" i="14"/>
  <c r="O22" i="14"/>
  <c r="P22" i="14"/>
  <c r="P87" i="14"/>
  <c r="O25" i="14"/>
  <c r="O55" i="14"/>
  <c r="O61" i="14"/>
  <c r="O44" i="14"/>
  <c r="P44" i="14"/>
  <c r="P88" i="14"/>
  <c r="O35" i="14"/>
  <c r="N20" i="14"/>
  <c r="F50" i="14"/>
  <c r="Q50" i="14" s="1"/>
  <c r="N50" i="14"/>
  <c r="F40" i="14"/>
  <c r="Q40" i="14" s="1"/>
  <c r="N91" i="14"/>
  <c r="N21" i="14"/>
  <c r="F93" i="14"/>
  <c r="Q93" i="14" s="1"/>
  <c r="N93" i="14"/>
  <c r="F29" i="14"/>
  <c r="Q29" i="14" s="1"/>
  <c r="N29" i="14"/>
  <c r="F14" i="14"/>
  <c r="F33" i="14"/>
  <c r="F75" i="14"/>
  <c r="Q75" i="14" s="1"/>
  <c r="N27" i="14"/>
  <c r="F58" i="14"/>
  <c r="F13" i="14"/>
  <c r="N13" i="14"/>
  <c r="F24" i="14"/>
  <c r="F16" i="14"/>
  <c r="AV16" i="14" s="1"/>
  <c r="N16" i="14"/>
  <c r="F64" i="14"/>
  <c r="Q64" i="14" s="1"/>
  <c r="N64" i="14"/>
  <c r="F74" i="14"/>
  <c r="Q74" i="14" s="1"/>
  <c r="F57" i="14"/>
  <c r="F32" i="14"/>
  <c r="Q32" i="14" s="1"/>
  <c r="N32" i="14"/>
  <c r="F80" i="14"/>
  <c r="N80" i="14"/>
  <c r="F41" i="14"/>
  <c r="Q41" i="14" s="1"/>
  <c r="N41" i="14"/>
  <c r="F22" i="14"/>
  <c r="N22" i="14"/>
  <c r="N85" i="14"/>
  <c r="F25" i="14"/>
  <c r="F55" i="14"/>
  <c r="N55" i="14"/>
  <c r="F44" i="14"/>
  <c r="BK44" i="14" s="1"/>
  <c r="N44" i="14"/>
  <c r="F88" i="14"/>
  <c r="N54" i="14"/>
  <c r="N40" i="52"/>
  <c r="O40" i="52"/>
  <c r="N17" i="52"/>
  <c r="O17" i="52"/>
  <c r="N36" i="52"/>
  <c r="O36" i="52"/>
  <c r="O34" i="52"/>
  <c r="F40" i="52"/>
  <c r="P40" i="52"/>
  <c r="M40" i="52"/>
  <c r="F17" i="52"/>
  <c r="M17" i="52"/>
  <c r="F36" i="52"/>
  <c r="P36" i="52" s="1"/>
  <c r="M36" i="52"/>
  <c r="M21" i="52"/>
  <c r="AB67" i="59"/>
  <c r="AB71" i="59"/>
  <c r="AC67" i="59"/>
  <c r="AC71" i="59"/>
  <c r="J69" i="59"/>
  <c r="K69" i="59"/>
  <c r="D193" i="59"/>
  <c r="D198" i="59"/>
  <c r="D189" i="59"/>
  <c r="D195" i="59"/>
  <c r="D211" i="59"/>
  <c r="D207" i="59"/>
  <c r="D200" i="59"/>
  <c r="D216" i="59"/>
  <c r="D214" i="59"/>
  <c r="D202" i="59"/>
  <c r="D223" i="59"/>
  <c r="D224" i="59"/>
  <c r="D231" i="59"/>
  <c r="D238" i="59"/>
  <c r="D227" i="59"/>
  <c r="D229" i="59"/>
  <c r="D250" i="59"/>
  <c r="D234" i="59"/>
  <c r="D220" i="59"/>
  <c r="D239" i="59"/>
  <c r="D228" i="59"/>
  <c r="D232" i="59"/>
  <c r="D222" i="59"/>
  <c r="D235" i="59"/>
  <c r="D212" i="59"/>
  <c r="D236" i="59"/>
  <c r="D240" i="59"/>
  <c r="D251" i="59"/>
  <c r="D237" i="59"/>
  <c r="D252" i="59"/>
  <c r="D266" i="59"/>
  <c r="E193" i="59"/>
  <c r="F193" i="59"/>
  <c r="E198" i="59"/>
  <c r="F198" i="59" s="1"/>
  <c r="E189" i="59"/>
  <c r="F189" i="59"/>
  <c r="E195" i="59"/>
  <c r="F195" i="59" s="1"/>
  <c r="E211" i="59"/>
  <c r="F211" i="59"/>
  <c r="E207" i="59"/>
  <c r="F207" i="59" s="1"/>
  <c r="E200" i="59"/>
  <c r="F200" i="59"/>
  <c r="E216" i="59"/>
  <c r="F216" i="59" s="1"/>
  <c r="E214" i="59"/>
  <c r="F214" i="59"/>
  <c r="E202" i="59"/>
  <c r="F202" i="59" s="1"/>
  <c r="E223" i="59"/>
  <c r="F223" i="59"/>
  <c r="E224" i="59"/>
  <c r="F224" i="59" s="1"/>
  <c r="E231" i="59"/>
  <c r="F231" i="59"/>
  <c r="E238" i="59"/>
  <c r="F238" i="59" s="1"/>
  <c r="E227" i="59"/>
  <c r="F227" i="59"/>
  <c r="E229" i="59"/>
  <c r="F229" i="59" s="1"/>
  <c r="E250" i="59"/>
  <c r="F250" i="59"/>
  <c r="E234" i="59"/>
  <c r="F234" i="59" s="1"/>
  <c r="E220" i="59"/>
  <c r="F220" i="59"/>
  <c r="E239" i="59"/>
  <c r="F239" i="59" s="1"/>
  <c r="E228" i="59"/>
  <c r="F228" i="59"/>
  <c r="E232" i="59"/>
  <c r="F232" i="59" s="1"/>
  <c r="E222" i="59"/>
  <c r="F222" i="59"/>
  <c r="E235" i="59"/>
  <c r="F235" i="59" s="1"/>
  <c r="E212" i="59"/>
  <c r="F212" i="59"/>
  <c r="E236" i="59"/>
  <c r="F236" i="59" s="1"/>
  <c r="E240" i="59"/>
  <c r="F240" i="59"/>
  <c r="E251" i="59"/>
  <c r="F251" i="59" s="1"/>
  <c r="E237" i="59"/>
  <c r="F237" i="59"/>
  <c r="E252" i="59"/>
  <c r="F252" i="59" s="1"/>
  <c r="E266" i="59"/>
  <c r="F266" i="59"/>
  <c r="D18" i="45"/>
  <c r="D17" i="45"/>
  <c r="D19" i="45"/>
  <c r="AH11" i="59"/>
  <c r="AH12" i="59"/>
  <c r="AH13" i="59"/>
  <c r="AH16" i="59"/>
  <c r="AH25" i="59"/>
  <c r="AH26" i="59"/>
  <c r="AH27" i="59"/>
  <c r="AH21" i="59"/>
  <c r="AH14" i="59"/>
  <c r="AH15" i="59"/>
  <c r="AH18" i="59"/>
  <c r="AH17" i="59"/>
  <c r="AH23" i="59"/>
  <c r="AH24" i="59"/>
  <c r="AH30" i="59"/>
  <c r="AH35" i="59"/>
  <c r="AH31" i="59"/>
  <c r="AH32" i="59"/>
  <c r="AH22" i="59"/>
  <c r="AH19" i="59"/>
  <c r="AH20" i="59"/>
  <c r="AH36" i="59"/>
  <c r="AH29" i="59"/>
  <c r="AH28" i="59"/>
  <c r="AH33" i="59"/>
  <c r="AH39" i="59"/>
  <c r="AH40" i="59"/>
  <c r="AH37" i="59"/>
  <c r="AH34" i="59"/>
  <c r="AH41" i="59"/>
  <c r="AH38" i="59"/>
  <c r="AB14" i="59"/>
  <c r="AB19" i="59"/>
  <c r="AB12" i="59"/>
  <c r="AB18" i="59"/>
  <c r="AB34" i="59"/>
  <c r="AB17" i="59"/>
  <c r="AB55" i="59"/>
  <c r="AB30" i="59"/>
  <c r="AB16" i="59"/>
  <c r="AB24" i="59"/>
  <c r="AB13" i="59"/>
  <c r="AB22" i="59"/>
  <c r="AB38" i="59"/>
  <c r="AB27" i="59"/>
  <c r="AB36" i="59"/>
  <c r="AB70" i="59"/>
  <c r="AB28" i="59"/>
  <c r="AB29" i="59"/>
  <c r="AB72" i="59"/>
  <c r="AB53" i="59"/>
  <c r="AB11" i="59"/>
  <c r="AB31" i="59"/>
  <c r="AB20" i="59"/>
  <c r="AB23" i="59"/>
  <c r="AB21" i="59"/>
  <c r="AB25" i="59"/>
  <c r="AB50" i="59"/>
  <c r="AB37" i="59"/>
  <c r="AB32" i="59"/>
  <c r="AB44" i="59"/>
  <c r="AB26" i="59"/>
  <c r="AB46" i="59"/>
  <c r="AB33" i="59"/>
  <c r="AB83" i="59"/>
  <c r="AB65" i="59"/>
  <c r="AB15" i="59"/>
  <c r="AB77" i="59"/>
  <c r="AB75" i="59"/>
  <c r="AB47" i="59"/>
  <c r="AB40" i="59"/>
  <c r="AB79" i="59"/>
  <c r="AB41" i="59"/>
  <c r="AB76" i="59"/>
  <c r="AB57" i="59"/>
  <c r="AB39" i="59"/>
  <c r="AB60" i="59"/>
  <c r="AB43" i="59"/>
  <c r="AB74" i="59"/>
  <c r="AB56" i="59"/>
  <c r="AB81" i="59"/>
  <c r="AB69" i="59"/>
  <c r="AB68" i="59"/>
  <c r="AB49" i="59"/>
  <c r="AB35" i="59"/>
  <c r="AB52" i="59"/>
  <c r="AB78" i="59"/>
  <c r="AB80" i="59"/>
  <c r="AB54" i="59"/>
  <c r="AB61" i="59"/>
  <c r="AB73" i="59"/>
  <c r="AB58" i="59"/>
  <c r="AB82" i="59"/>
  <c r="AB48" i="59"/>
  <c r="AB63" i="59"/>
  <c r="AB51" i="59"/>
  <c r="AB84" i="59"/>
  <c r="AB45" i="59"/>
  <c r="AB64" i="59"/>
  <c r="AB42" i="59"/>
  <c r="AB66" i="59"/>
  <c r="AB62" i="59"/>
  <c r="AB59" i="59"/>
  <c r="V15" i="59"/>
  <c r="V26" i="59"/>
  <c r="V23" i="59"/>
  <c r="V32" i="59"/>
  <c r="V34" i="59"/>
  <c r="V11" i="59"/>
  <c r="V43" i="59"/>
  <c r="V19" i="59"/>
  <c r="V13" i="59"/>
  <c r="V17" i="59"/>
  <c r="V44" i="59"/>
  <c r="V31" i="59"/>
  <c r="V16" i="59"/>
  <c r="V22" i="59"/>
  <c r="V18" i="59"/>
  <c r="V29" i="59"/>
  <c r="V33" i="59"/>
  <c r="V28" i="59"/>
  <c r="V21" i="59"/>
  <c r="V45" i="59"/>
  <c r="V24" i="59"/>
  <c r="V25" i="59"/>
  <c r="V30" i="59"/>
  <c r="V35" i="59"/>
  <c r="V39" i="59"/>
  <c r="V12" i="59"/>
  <c r="V40" i="59"/>
  <c r="V14" i="59"/>
  <c r="V49" i="59"/>
  <c r="V37" i="59"/>
  <c r="V42" i="59"/>
  <c r="V38" i="59"/>
  <c r="V20" i="59"/>
  <c r="V27" i="59"/>
  <c r="V41" i="59"/>
  <c r="V61" i="59"/>
  <c r="V50" i="59"/>
  <c r="V59" i="59"/>
  <c r="V36" i="59"/>
  <c r="V51" i="59"/>
  <c r="V67" i="59"/>
  <c r="V48" i="59"/>
  <c r="V53" i="59"/>
  <c r="V52" i="59"/>
  <c r="V55" i="59"/>
  <c r="V63" i="59"/>
  <c r="V57" i="59"/>
  <c r="V79" i="59"/>
  <c r="V64" i="59"/>
  <c r="V85" i="59"/>
  <c r="V46" i="59"/>
  <c r="V90" i="59"/>
  <c r="V73" i="59"/>
  <c r="V54" i="59"/>
  <c r="V47" i="59"/>
  <c r="V60" i="59"/>
  <c r="V65" i="59"/>
  <c r="V74" i="59"/>
  <c r="V69" i="59"/>
  <c r="V66" i="59"/>
  <c r="V62" i="59"/>
  <c r="V72" i="59"/>
  <c r="V78" i="59"/>
  <c r="V75" i="59"/>
  <c r="V68" i="59"/>
  <c r="V98" i="59"/>
  <c r="V83" i="59"/>
  <c r="V56" i="59"/>
  <c r="V80" i="59"/>
  <c r="V99" i="59"/>
  <c r="V82" i="59"/>
  <c r="V81" i="59"/>
  <c r="V77" i="59"/>
  <c r="V58" i="59"/>
  <c r="V70" i="59"/>
  <c r="V76" i="59"/>
  <c r="V88" i="59"/>
  <c r="V96" i="59"/>
  <c r="V89" i="59"/>
  <c r="V95" i="59"/>
  <c r="V71" i="59"/>
  <c r="V108" i="59"/>
  <c r="V86" i="59"/>
  <c r="V106" i="59"/>
  <c r="V91" i="59"/>
  <c r="V97" i="59"/>
  <c r="V122" i="59"/>
  <c r="V105" i="59"/>
  <c r="V84" i="59"/>
  <c r="V87" i="59"/>
  <c r="V94" i="59"/>
  <c r="V104" i="59"/>
  <c r="V93" i="59"/>
  <c r="V92" i="59"/>
  <c r="V121" i="59"/>
  <c r="V111" i="59"/>
  <c r="V116" i="59"/>
  <c r="V103" i="59"/>
  <c r="V101" i="59"/>
  <c r="V114" i="59"/>
  <c r="V100" i="59"/>
  <c r="V112" i="59"/>
  <c r="V102" i="59"/>
  <c r="V110" i="59"/>
  <c r="V109" i="59"/>
  <c r="V107" i="59"/>
  <c r="V117" i="59"/>
  <c r="V113" i="59"/>
  <c r="V126" i="59"/>
  <c r="V120" i="59"/>
  <c r="V118" i="59"/>
  <c r="V115" i="59"/>
  <c r="V125" i="59"/>
  <c r="V127" i="59"/>
  <c r="V128" i="59"/>
  <c r="V123" i="59"/>
  <c r="V119" i="59"/>
  <c r="V124" i="59"/>
  <c r="V129" i="59"/>
  <c r="V130" i="59"/>
  <c r="V132" i="59"/>
  <c r="V134" i="59"/>
  <c r="V135" i="59"/>
  <c r="V133" i="59"/>
  <c r="V131" i="59"/>
  <c r="V141" i="59"/>
  <c r="V145" i="59"/>
  <c r="V138" i="59"/>
  <c r="V137" i="59"/>
  <c r="V136" i="59"/>
  <c r="V144" i="59"/>
  <c r="V139" i="59"/>
  <c r="V140" i="59"/>
  <c r="V142" i="59"/>
  <c r="V143" i="59"/>
  <c r="V146" i="59"/>
  <c r="V147" i="59"/>
  <c r="V148" i="59"/>
  <c r="V149" i="59"/>
  <c r="V151" i="59"/>
  <c r="V150" i="59"/>
  <c r="V152" i="59"/>
  <c r="V153" i="59"/>
  <c r="V154" i="59"/>
  <c r="P11" i="59"/>
  <c r="P12" i="59"/>
  <c r="P13" i="59"/>
  <c r="P14" i="59"/>
  <c r="P15" i="59"/>
  <c r="P16" i="59"/>
  <c r="P17" i="59"/>
  <c r="P18" i="59"/>
  <c r="P19" i="59"/>
  <c r="P20" i="59"/>
  <c r="P21" i="59"/>
  <c r="P22" i="59"/>
  <c r="P23" i="59"/>
  <c r="P24" i="59"/>
  <c r="P25" i="59"/>
  <c r="P26" i="59"/>
  <c r="P27" i="59"/>
  <c r="P34" i="59"/>
  <c r="P32" i="59"/>
  <c r="P29" i="59"/>
  <c r="P28" i="59"/>
  <c r="P31" i="59"/>
  <c r="P30" i="59"/>
  <c r="P33" i="59"/>
  <c r="P35" i="59"/>
  <c r="P36" i="59"/>
  <c r="P37" i="59"/>
  <c r="P38" i="59"/>
  <c r="P39" i="59"/>
  <c r="P40" i="59"/>
  <c r="P44" i="59"/>
  <c r="P43" i="59"/>
  <c r="P42" i="59"/>
  <c r="P41" i="59"/>
  <c r="P45" i="59"/>
  <c r="P46" i="59"/>
  <c r="P47" i="59"/>
  <c r="P48" i="59"/>
  <c r="P49" i="59"/>
  <c r="P50" i="59"/>
  <c r="P51" i="59"/>
  <c r="P52" i="59"/>
  <c r="P53" i="59"/>
  <c r="P54" i="59"/>
  <c r="P55" i="59"/>
  <c r="P60" i="59"/>
  <c r="P58" i="59"/>
  <c r="P59" i="59"/>
  <c r="P68" i="59"/>
  <c r="P61" i="59"/>
  <c r="P63" i="59"/>
  <c r="P71" i="59"/>
  <c r="P72" i="59"/>
  <c r="P70" i="59"/>
  <c r="P56" i="59"/>
  <c r="P65" i="59"/>
  <c r="P62" i="59"/>
  <c r="P74" i="59"/>
  <c r="P69" i="59"/>
  <c r="P57" i="59"/>
  <c r="P67" i="59"/>
  <c r="P66" i="59"/>
  <c r="P73" i="59"/>
  <c r="P64" i="59"/>
  <c r="P78" i="59"/>
  <c r="P80" i="59"/>
  <c r="P77" i="59"/>
  <c r="P75" i="59"/>
  <c r="P93" i="59"/>
  <c r="P76" i="59"/>
  <c r="P85" i="59"/>
  <c r="P86" i="59"/>
  <c r="P84" i="59"/>
  <c r="P92" i="59"/>
  <c r="P83" i="59"/>
  <c r="P89" i="59"/>
  <c r="P79" i="59"/>
  <c r="P91" i="59"/>
  <c r="P88" i="59"/>
  <c r="P87" i="59"/>
  <c r="P90" i="59"/>
  <c r="P81" i="59"/>
  <c r="P82" i="59"/>
  <c r="P94" i="59"/>
  <c r="P98" i="59"/>
  <c r="P99" i="59"/>
  <c r="P97" i="59"/>
  <c r="P95" i="59"/>
  <c r="P96" i="59"/>
  <c r="P105" i="59"/>
  <c r="P101" i="59"/>
  <c r="P104" i="59"/>
  <c r="P100" i="59"/>
  <c r="P103" i="59"/>
  <c r="P102" i="59"/>
  <c r="P106" i="59"/>
  <c r="P109" i="59"/>
  <c r="P108" i="59"/>
  <c r="P111" i="59"/>
  <c r="P110" i="59"/>
  <c r="P112" i="59"/>
  <c r="P107" i="59"/>
  <c r="J11" i="59"/>
  <c r="J12" i="59"/>
  <c r="J13" i="59"/>
  <c r="J14" i="59"/>
  <c r="J15" i="59"/>
  <c r="J16" i="59"/>
  <c r="J17" i="59"/>
  <c r="J18" i="59"/>
  <c r="J19" i="59"/>
  <c r="J20" i="59"/>
  <c r="J21" i="59"/>
  <c r="J22" i="59"/>
  <c r="J23" i="59"/>
  <c r="J24" i="59"/>
  <c r="J25" i="59"/>
  <c r="J26" i="59"/>
  <c r="J27" i="59"/>
  <c r="J28" i="59"/>
  <c r="J29" i="59"/>
  <c r="J30" i="59"/>
  <c r="J31" i="59"/>
  <c r="J32" i="59"/>
  <c r="J33" i="59"/>
  <c r="J34" i="59"/>
  <c r="J35" i="59"/>
  <c r="J36" i="59"/>
  <c r="J37" i="59"/>
  <c r="J38" i="59"/>
  <c r="J39" i="59"/>
  <c r="J40" i="59"/>
  <c r="J41" i="59"/>
  <c r="J42" i="59"/>
  <c r="J43" i="59"/>
  <c r="J44" i="59"/>
  <c r="J45" i="59"/>
  <c r="J46" i="59"/>
  <c r="J47" i="59"/>
  <c r="J48" i="59"/>
  <c r="J49" i="59"/>
  <c r="J50" i="59"/>
  <c r="J51" i="59"/>
  <c r="J52" i="59"/>
  <c r="J53" i="59"/>
  <c r="J54" i="59"/>
  <c r="J55" i="59"/>
  <c r="J56" i="59"/>
  <c r="J57" i="59"/>
  <c r="J58" i="59"/>
  <c r="J59" i="59"/>
  <c r="J60" i="59"/>
  <c r="J61" i="59"/>
  <c r="J62" i="59"/>
  <c r="J63" i="59"/>
  <c r="J64" i="59"/>
  <c r="J65" i="59"/>
  <c r="J66" i="59"/>
  <c r="J67" i="59"/>
  <c r="J68" i="59"/>
  <c r="D344" i="59"/>
  <c r="D343" i="59"/>
  <c r="D342" i="59"/>
  <c r="D338" i="59"/>
  <c r="D336" i="59"/>
  <c r="D337" i="59"/>
  <c r="D334" i="59"/>
  <c r="D331" i="59"/>
  <c r="D330" i="59"/>
  <c r="D325" i="59"/>
  <c r="D319" i="59"/>
  <c r="D322" i="59"/>
  <c r="D313" i="59"/>
  <c r="D328" i="59"/>
  <c r="D312" i="59"/>
  <c r="D308" i="59"/>
  <c r="D310" i="59"/>
  <c r="D317" i="59"/>
  <c r="D309" i="59"/>
  <c r="D305" i="59"/>
  <c r="D300" i="59"/>
  <c r="D302" i="59"/>
  <c r="D306" i="59"/>
  <c r="D304" i="59"/>
  <c r="D298" i="59"/>
  <c r="D299" i="59"/>
  <c r="D295" i="59"/>
  <c r="D294" i="59"/>
  <c r="D292" i="59"/>
  <c r="D284" i="59"/>
  <c r="D291" i="59"/>
  <c r="D296" i="59"/>
  <c r="D282" i="59"/>
  <c r="D290" i="59"/>
  <c r="D287" i="59"/>
  <c r="D297" i="59"/>
  <c r="D277" i="59"/>
  <c r="D269" i="59"/>
  <c r="D276" i="59"/>
  <c r="D271" i="59"/>
  <c r="D256" i="59"/>
  <c r="D260" i="59"/>
  <c r="D280" i="59"/>
  <c r="D245" i="59"/>
  <c r="D278" i="59"/>
  <c r="D244" i="59"/>
  <c r="D268" i="59"/>
  <c r="D265" i="59"/>
  <c r="D258" i="59"/>
  <c r="D289" i="59"/>
  <c r="D218" i="59"/>
  <c r="D242" i="59"/>
  <c r="D243" i="59"/>
  <c r="D247" i="59"/>
  <c r="D217" i="59"/>
  <c r="D208" i="59"/>
  <c r="D230" i="59"/>
  <c r="D248" i="59"/>
  <c r="D233" i="59"/>
  <c r="D241" i="59"/>
  <c r="D209" i="59"/>
  <c r="D197" i="59"/>
  <c r="D203" i="59"/>
  <c r="D182" i="59"/>
  <c r="D187" i="59"/>
  <c r="D255" i="59"/>
  <c r="D176" i="59"/>
  <c r="D192" i="59"/>
  <c r="D201" i="59"/>
  <c r="D179" i="59"/>
  <c r="D169" i="59"/>
  <c r="D184" i="59"/>
  <c r="D178" i="59"/>
  <c r="D186" i="59"/>
  <c r="D221" i="59"/>
  <c r="D206" i="59"/>
  <c r="D168" i="59"/>
  <c r="D183" i="59"/>
  <c r="D225" i="59"/>
  <c r="D174" i="59"/>
  <c r="D164" i="59"/>
  <c r="D188" i="59"/>
  <c r="D172" i="59"/>
  <c r="D140" i="59"/>
  <c r="D132" i="59"/>
  <c r="D175" i="59"/>
  <c r="D167" i="59"/>
  <c r="D152" i="59"/>
  <c r="D151" i="59"/>
  <c r="D122" i="59"/>
  <c r="D156" i="59"/>
  <c r="D143" i="59"/>
  <c r="D180" i="59"/>
  <c r="D84" i="59"/>
  <c r="D173" i="59"/>
  <c r="D160" i="59"/>
  <c r="D146" i="59"/>
  <c r="D139" i="59"/>
  <c r="D157" i="59"/>
  <c r="D86" i="59"/>
  <c r="D110" i="59"/>
  <c r="D121" i="59"/>
  <c r="D117" i="59"/>
  <c r="D142" i="59"/>
  <c r="D144" i="59"/>
  <c r="D115" i="59"/>
  <c r="D118" i="59"/>
  <c r="D119" i="59"/>
  <c r="D116" i="59"/>
  <c r="D76" i="59"/>
  <c r="D74" i="59"/>
  <c r="D91" i="59"/>
  <c r="D12" i="59"/>
  <c r="D100" i="59"/>
  <c r="D95" i="59"/>
  <c r="D128" i="59"/>
  <c r="D107" i="59"/>
  <c r="D55" i="59"/>
  <c r="D94" i="59"/>
  <c r="D96" i="59"/>
  <c r="D79" i="59"/>
  <c r="D59" i="59"/>
  <c r="D70" i="59"/>
  <c r="D42" i="59"/>
  <c r="D80" i="59"/>
  <c r="D53" i="59"/>
  <c r="D23" i="59"/>
  <c r="D19" i="59"/>
  <c r="D104" i="59"/>
  <c r="D14" i="59"/>
  <c r="D27" i="59"/>
  <c r="D22" i="59"/>
  <c r="D56" i="59"/>
  <c r="D103" i="59"/>
  <c r="D30" i="59"/>
  <c r="D50" i="59"/>
  <c r="D51" i="59"/>
  <c r="D64" i="59"/>
  <c r="D67" i="59"/>
  <c r="D102" i="59"/>
  <c r="D11" i="59"/>
  <c r="D75" i="59"/>
  <c r="D58" i="59"/>
  <c r="D49" i="59"/>
  <c r="D346" i="59"/>
  <c r="D340" i="59"/>
  <c r="D335" i="59"/>
  <c r="D333" i="59"/>
  <c r="D341" i="59"/>
  <c r="D345" i="59"/>
  <c r="D339" i="59"/>
  <c r="D327" i="59"/>
  <c r="D332" i="59"/>
  <c r="D326" i="59"/>
  <c r="D323" i="59"/>
  <c r="D324" i="59"/>
  <c r="D329" i="59"/>
  <c r="D320" i="59"/>
  <c r="D316" i="59"/>
  <c r="D318" i="59"/>
  <c r="D315" i="59"/>
  <c r="D321" i="59"/>
  <c r="D314" i="59"/>
  <c r="D303" i="59"/>
  <c r="D279" i="59"/>
  <c r="D275" i="59"/>
  <c r="D285" i="59"/>
  <c r="D272" i="59"/>
  <c r="D311" i="59"/>
  <c r="D293" i="59"/>
  <c r="D286" i="59"/>
  <c r="D307" i="59"/>
  <c r="D283" i="59"/>
  <c r="D274" i="59"/>
  <c r="D301" i="59"/>
  <c r="D281" i="59"/>
  <c r="D263" i="59"/>
  <c r="D288" i="59"/>
  <c r="D273" i="59"/>
  <c r="D267" i="59"/>
  <c r="D270" i="59"/>
  <c r="D264" i="59"/>
  <c r="D226" i="59"/>
  <c r="D261" i="59"/>
  <c r="D262" i="59"/>
  <c r="D210" i="59"/>
  <c r="D253" i="59"/>
  <c r="D185" i="59"/>
  <c r="D259" i="59"/>
  <c r="D257" i="59"/>
  <c r="D215" i="59"/>
  <c r="D254" i="59"/>
  <c r="D219" i="59"/>
  <c r="D249" i="59"/>
  <c r="D246" i="59"/>
  <c r="D199" i="59"/>
  <c r="D191" i="59"/>
  <c r="D213" i="59"/>
  <c r="D205" i="59"/>
  <c r="D204" i="59"/>
  <c r="D190" i="59"/>
  <c r="D181" i="59"/>
  <c r="D154" i="59"/>
  <c r="D155" i="59"/>
  <c r="D158" i="59"/>
  <c r="D150" i="59"/>
  <c r="D138" i="59"/>
  <c r="D136" i="59"/>
  <c r="D126" i="59"/>
  <c r="D133" i="59"/>
  <c r="D135" i="59"/>
  <c r="D120" i="59"/>
  <c r="D111" i="59"/>
  <c r="D114" i="59"/>
  <c r="D109" i="59"/>
  <c r="D113" i="59"/>
  <c r="D101" i="59"/>
  <c r="D105" i="59"/>
  <c r="D106" i="59"/>
  <c r="D93" i="59"/>
  <c r="D98" i="59"/>
  <c r="D99" i="59"/>
  <c r="D88" i="59"/>
  <c r="D87" i="59"/>
  <c r="D89" i="59"/>
  <c r="D85" i="59"/>
  <c r="D82" i="59"/>
  <c r="D92" i="59"/>
  <c r="D83" i="59"/>
  <c r="D78" i="59"/>
  <c r="D81" i="59"/>
  <c r="D77" i="59"/>
  <c r="D71" i="59"/>
  <c r="D72" i="59"/>
  <c r="D68" i="59"/>
  <c r="D66" i="59"/>
  <c r="D60" i="59"/>
  <c r="D57" i="59"/>
  <c r="D54" i="59"/>
  <c r="D52" i="59"/>
  <c r="D40" i="59"/>
  <c r="D35" i="59"/>
  <c r="D34" i="59"/>
  <c r="D33" i="59"/>
  <c r="D24" i="59"/>
  <c r="D21" i="59"/>
  <c r="D196" i="59"/>
  <c r="D194" i="59"/>
  <c r="D177" i="59"/>
  <c r="D171" i="59"/>
  <c r="D170" i="59"/>
  <c r="D166" i="59"/>
  <c r="D165" i="59"/>
  <c r="D163" i="59"/>
  <c r="D162" i="59"/>
  <c r="D161" i="59"/>
  <c r="D159" i="59"/>
  <c r="D153" i="59"/>
  <c r="D149" i="59"/>
  <c r="D148" i="59"/>
  <c r="D147" i="59"/>
  <c r="D145" i="59"/>
  <c r="D141" i="59"/>
  <c r="D137" i="59"/>
  <c r="D134" i="59"/>
  <c r="D131" i="59"/>
  <c r="D130" i="59"/>
  <c r="D129" i="59"/>
  <c r="D127" i="59"/>
  <c r="D125" i="59"/>
  <c r="D124" i="59"/>
  <c r="D123" i="59"/>
  <c r="D112" i="59"/>
  <c r="D108" i="59"/>
  <c r="D97" i="59"/>
  <c r="D90" i="59"/>
  <c r="D73" i="59"/>
  <c r="D69" i="59"/>
  <c r="D65" i="59"/>
  <c r="D63" i="59"/>
  <c r="D62" i="59"/>
  <c r="D61" i="59"/>
  <c r="D48" i="59"/>
  <c r="D47" i="59"/>
  <c r="D46" i="59"/>
  <c r="D45" i="59"/>
  <c r="D44" i="59"/>
  <c r="D43" i="59"/>
  <c r="D41" i="59"/>
  <c r="D39" i="59"/>
  <c r="D38" i="59"/>
  <c r="D37" i="59"/>
  <c r="D36" i="59"/>
  <c r="D32" i="59"/>
  <c r="D31" i="59"/>
  <c r="D29" i="59"/>
  <c r="D28" i="59"/>
  <c r="D26" i="59"/>
  <c r="D25" i="59"/>
  <c r="D20" i="59"/>
  <c r="D18" i="59"/>
  <c r="D17" i="59"/>
  <c r="D16" i="59"/>
  <c r="D15" i="59"/>
  <c r="D13" i="59"/>
  <c r="E16" i="59"/>
  <c r="E17" i="59"/>
  <c r="E18" i="59"/>
  <c r="E25" i="59"/>
  <c r="E28" i="59"/>
  <c r="E37" i="59"/>
  <c r="E38" i="59"/>
  <c r="E39" i="59"/>
  <c r="E41" i="59"/>
  <c r="E48" i="59"/>
  <c r="E62" i="59"/>
  <c r="E63" i="59"/>
  <c r="E65" i="59"/>
  <c r="E90" i="59"/>
  <c r="E108" i="59"/>
  <c r="E123" i="59"/>
  <c r="E130" i="59"/>
  <c r="E131" i="59"/>
  <c r="E137" i="59"/>
  <c r="E141" i="59"/>
  <c r="E159" i="59"/>
  <c r="E161" i="59"/>
  <c r="E162" i="59"/>
  <c r="E171" i="59"/>
  <c r="E194" i="59"/>
  <c r="E40" i="59"/>
  <c r="E71" i="59"/>
  <c r="E109" i="59"/>
  <c r="E133" i="59"/>
  <c r="E136" i="59"/>
  <c r="E262" i="59"/>
  <c r="E261" i="59"/>
  <c r="E264" i="59"/>
  <c r="E270" i="59"/>
  <c r="E263" i="59"/>
  <c r="E281" i="59"/>
  <c r="E274" i="59"/>
  <c r="E286" i="59"/>
  <c r="E293" i="59"/>
  <c r="E311" i="59"/>
  <c r="E303" i="59"/>
  <c r="E315" i="59"/>
  <c r="E345" i="59"/>
  <c r="E341" i="59"/>
  <c r="E335" i="59"/>
  <c r="E49" i="59"/>
  <c r="E11" i="59"/>
  <c r="E102" i="59"/>
  <c r="E67" i="59"/>
  <c r="E64" i="59"/>
  <c r="E51" i="59"/>
  <c r="E14" i="59"/>
  <c r="E96" i="59"/>
  <c r="E107" i="59"/>
  <c r="E20" i="59"/>
  <c r="E26" i="59"/>
  <c r="E29" i="59"/>
  <c r="E32" i="59"/>
  <c r="E43" i="59"/>
  <c r="E36" i="59"/>
  <c r="E45" i="59"/>
  <c r="E46" i="59"/>
  <c r="E61" i="59"/>
  <c r="E97" i="59"/>
  <c r="E112" i="59"/>
  <c r="E124" i="59"/>
  <c r="E134" i="59"/>
  <c r="E145" i="59"/>
  <c r="E34" i="59"/>
  <c r="E24" i="59"/>
  <c r="E54" i="59"/>
  <c r="E78" i="59"/>
  <c r="E35" i="59"/>
  <c r="E57" i="59"/>
  <c r="E81" i="59"/>
  <c r="E60" i="59"/>
  <c r="E68" i="59"/>
  <c r="E85" i="59"/>
  <c r="E92" i="59"/>
  <c r="E83" i="59"/>
  <c r="E99" i="59"/>
  <c r="E88" i="59"/>
  <c r="E89" i="59"/>
  <c r="E113" i="59"/>
  <c r="E105" i="59"/>
  <c r="E114" i="59"/>
  <c r="E101" i="59"/>
  <c r="E111" i="59"/>
  <c r="E138" i="59"/>
  <c r="E126" i="59"/>
  <c r="E120" i="59"/>
  <c r="E150" i="59"/>
  <c r="E154" i="59"/>
  <c r="E205" i="59"/>
  <c r="E288" i="59"/>
  <c r="E226" i="59"/>
  <c r="E254" i="59"/>
  <c r="E283" i="59"/>
  <c r="E275" i="59"/>
  <c r="E316" i="59"/>
  <c r="E320" i="59"/>
  <c r="E324" i="59"/>
  <c r="E314" i="59"/>
  <c r="E318" i="59"/>
  <c r="E346" i="59"/>
  <c r="E333" i="59"/>
  <c r="E339" i="59"/>
  <c r="E30" i="59"/>
  <c r="E272" i="59"/>
  <c r="E329" i="59"/>
  <c r="E104" i="59"/>
  <c r="E22" i="59"/>
  <c r="E103" i="59"/>
  <c r="E340" i="59"/>
  <c r="F340" i="59" s="1"/>
  <c r="E80" i="59"/>
  <c r="E55" i="59"/>
  <c r="E94" i="59"/>
  <c r="E12" i="59"/>
  <c r="F158" i="59" s="1"/>
  <c r="E121" i="59"/>
  <c r="E23" i="59"/>
  <c r="E76" i="59"/>
  <c r="E86" i="59"/>
  <c r="E91" i="59"/>
  <c r="E116" i="59"/>
  <c r="E139" i="59"/>
  <c r="E117" i="59"/>
  <c r="F117" i="59" s="1"/>
  <c r="E110" i="59"/>
  <c r="E146" i="59"/>
  <c r="E95" i="59"/>
  <c r="E118" i="59"/>
  <c r="E74" i="59"/>
  <c r="E157" i="59"/>
  <c r="E152" i="59"/>
  <c r="E186" i="59"/>
  <c r="E140" i="59"/>
  <c r="E183" i="59"/>
  <c r="E188" i="59"/>
  <c r="E168" i="59"/>
  <c r="F168" i="59" s="1"/>
  <c r="E242" i="59"/>
  <c r="E192" i="59"/>
  <c r="E184" i="59"/>
  <c r="E197" i="59"/>
  <c r="E218" i="59"/>
  <c r="E209" i="59"/>
  <c r="E291" i="59"/>
  <c r="E300" i="59"/>
  <c r="E292" i="59"/>
  <c r="E256" i="59"/>
  <c r="E271" i="59"/>
  <c r="E290" i="59"/>
  <c r="E304" i="59"/>
  <c r="E15" i="59"/>
  <c r="E13" i="59"/>
  <c r="E170" i="59"/>
  <c r="E47" i="59"/>
  <c r="E66" i="59"/>
  <c r="E73" i="59"/>
  <c r="E93" i="59"/>
  <c r="E127" i="59"/>
  <c r="E129" i="59"/>
  <c r="E246" i="59"/>
  <c r="E125" i="59"/>
  <c r="F125" i="59" s="1"/>
  <c r="E82" i="59"/>
  <c r="E77" i="59"/>
  <c r="E196" i="59"/>
  <c r="E177" i="59"/>
  <c r="F177" i="59" s="1"/>
  <c r="E166" i="59"/>
  <c r="E249" i="59"/>
  <c r="E52" i="59"/>
  <c r="E153" i="59"/>
  <c r="E165" i="59"/>
  <c r="E148" i="59"/>
  <c r="E219" i="59"/>
  <c r="E149" i="59"/>
  <c r="E163" i="59"/>
  <c r="E21" i="59"/>
  <c r="E158" i="59"/>
  <c r="E44" i="59"/>
  <c r="F44" i="59" s="1"/>
  <c r="E87" i="59"/>
  <c r="E72" i="59"/>
  <c r="E135" i="59"/>
  <c r="E191" i="59"/>
  <c r="E204" i="59"/>
  <c r="E33" i="59"/>
  <c r="E215" i="59"/>
  <c r="E301" i="59"/>
  <c r="E69" i="59"/>
  <c r="E213" i="59"/>
  <c r="E199" i="59"/>
  <c r="E147" i="59"/>
  <c r="E190" i="59"/>
  <c r="E31" i="59"/>
  <c r="E98" i="59"/>
  <c r="E106" i="59"/>
  <c r="F106" i="59" s="1"/>
  <c r="E253" i="59"/>
  <c r="E210" i="59"/>
  <c r="E326" i="59"/>
  <c r="E259" i="59"/>
  <c r="E321" i="59"/>
  <c r="E185" i="59"/>
  <c r="E267" i="59"/>
  <c r="E257" i="59"/>
  <c r="F257" i="59" s="1"/>
  <c r="E181" i="59"/>
  <c r="E285" i="59"/>
  <c r="E332" i="59"/>
  <c r="E50" i="59"/>
  <c r="F50" i="59" s="1"/>
  <c r="E155" i="59"/>
  <c r="E70" i="59"/>
  <c r="E323" i="59"/>
  <c r="E273" i="59"/>
  <c r="E327" i="59"/>
  <c r="E27" i="59"/>
  <c r="E58" i="59"/>
  <c r="E307" i="59"/>
  <c r="E279" i="59"/>
  <c r="E119" i="59"/>
  <c r="E56" i="59"/>
  <c r="E201" i="59"/>
  <c r="E79" i="59"/>
  <c r="E180" i="59"/>
  <c r="E179" i="59"/>
  <c r="E53" i="59"/>
  <c r="E128" i="59"/>
  <c r="E75" i="59"/>
  <c r="E173" i="59"/>
  <c r="E144" i="59"/>
  <c r="F144" i="59" s="1"/>
  <c r="E19" i="59"/>
  <c r="E84" i="59"/>
  <c r="E59" i="59"/>
  <c r="E100" i="59"/>
  <c r="E244" i="59"/>
  <c r="E142" i="59"/>
  <c r="E151" i="59"/>
  <c r="E233" i="59"/>
  <c r="E241" i="59"/>
  <c r="E268" i="59"/>
  <c r="E176" i="59"/>
  <c r="E156" i="59"/>
  <c r="E132" i="59"/>
  <c r="E258" i="59"/>
  <c r="E217" i="59"/>
  <c r="E230" i="59"/>
  <c r="E221" i="59"/>
  <c r="E312" i="59"/>
  <c r="E276" i="59"/>
  <c r="E297" i="59"/>
  <c r="F297" i="59" s="1"/>
  <c r="E287" i="59"/>
  <c r="E247" i="59"/>
  <c r="E302" i="59"/>
  <c r="E289" i="59"/>
  <c r="F289" i="59" s="1"/>
  <c r="E309" i="59"/>
  <c r="E269" i="59"/>
  <c r="E245" i="59"/>
  <c r="E296" i="59"/>
  <c r="E294" i="59"/>
  <c r="E282" i="59"/>
  <c r="E299" i="59"/>
  <c r="E331" i="59"/>
  <c r="E308" i="59"/>
  <c r="E328" i="59"/>
  <c r="E317" i="59"/>
  <c r="E330" i="59"/>
  <c r="E313" i="59"/>
  <c r="E310" i="59"/>
  <c r="E319" i="59"/>
  <c r="E322" i="59"/>
  <c r="E325" i="59"/>
  <c r="E337" i="59"/>
  <c r="E334" i="59"/>
  <c r="E342" i="59"/>
  <c r="E344" i="59"/>
  <c r="E338" i="59"/>
  <c r="E336" i="59"/>
  <c r="E343" i="59"/>
  <c r="E42" i="59"/>
  <c r="E115" i="59"/>
  <c r="E160" i="59"/>
  <c r="E175" i="59"/>
  <c r="E203" i="59"/>
  <c r="E182" i="59"/>
  <c r="E187" i="59"/>
  <c r="E225" i="59"/>
  <c r="E143" i="59"/>
  <c r="E122" i="59"/>
  <c r="E172" i="59"/>
  <c r="E167" i="59"/>
  <c r="E178" i="59"/>
  <c r="E169" i="59"/>
  <c r="E208" i="59"/>
  <c r="E260" i="59"/>
  <c r="E243" i="59"/>
  <c r="E265" i="59"/>
  <c r="E206" i="59"/>
  <c r="E164" i="59"/>
  <c r="F164" i="59" s="1"/>
  <c r="E174" i="59"/>
  <c r="E277" i="59"/>
  <c r="E248" i="59"/>
  <c r="E255" i="59"/>
  <c r="E278" i="59"/>
  <c r="E298" i="59"/>
  <c r="E306" i="59"/>
  <c r="E284" i="59"/>
  <c r="F284" i="59" s="1"/>
  <c r="E280" i="59"/>
  <c r="E305" i="59"/>
  <c r="E295" i="59"/>
  <c r="AI12" i="59"/>
  <c r="AJ12" i="59" s="1"/>
  <c r="AI13" i="59"/>
  <c r="AI16" i="59"/>
  <c r="AI25" i="59"/>
  <c r="AI26" i="59"/>
  <c r="AJ26" i="59" s="1"/>
  <c r="AI27" i="59"/>
  <c r="AI21" i="59"/>
  <c r="AI14" i="59"/>
  <c r="AI15" i="59"/>
  <c r="AJ15" i="59" s="1"/>
  <c r="AI18" i="59"/>
  <c r="AI17" i="59"/>
  <c r="AI23" i="59"/>
  <c r="AI24" i="59"/>
  <c r="AJ24" i="59" s="1"/>
  <c r="AI30" i="59"/>
  <c r="AI35" i="59"/>
  <c r="AI31" i="59"/>
  <c r="AI32" i="59"/>
  <c r="AJ32" i="59" s="1"/>
  <c r="AI22" i="59"/>
  <c r="AI19" i="59"/>
  <c r="AI20" i="59"/>
  <c r="AI36" i="59"/>
  <c r="AJ36" i="59" s="1"/>
  <c r="AI29" i="59"/>
  <c r="AI28" i="59"/>
  <c r="AI33" i="59"/>
  <c r="AI39" i="59"/>
  <c r="AJ39" i="59" s="1"/>
  <c r="AI40" i="59"/>
  <c r="AI37" i="59"/>
  <c r="AI34" i="59"/>
  <c r="AI41" i="59"/>
  <c r="AJ41" i="59" s="1"/>
  <c r="AI38" i="59"/>
  <c r="AC14" i="59"/>
  <c r="AC19" i="59"/>
  <c r="AC12" i="59"/>
  <c r="AD41" i="59" s="1"/>
  <c r="AC18" i="59"/>
  <c r="AC34" i="59"/>
  <c r="AC17" i="59"/>
  <c r="AC55" i="59"/>
  <c r="AC30" i="59"/>
  <c r="AC16" i="59"/>
  <c r="AC24" i="59"/>
  <c r="AC13" i="59"/>
  <c r="AD13" i="59" s="1"/>
  <c r="AC22" i="59"/>
  <c r="AC38" i="59"/>
  <c r="AC27" i="59"/>
  <c r="AC36" i="59"/>
  <c r="AC70" i="59"/>
  <c r="AC28" i="59"/>
  <c r="AC29" i="59"/>
  <c r="AC72" i="59"/>
  <c r="AC53" i="59"/>
  <c r="AC11" i="59"/>
  <c r="AC31" i="59"/>
  <c r="AC20" i="59"/>
  <c r="AC23" i="59"/>
  <c r="AC21" i="59"/>
  <c r="AC25" i="59"/>
  <c r="AC50" i="59"/>
  <c r="AC37" i="59"/>
  <c r="AC32" i="59"/>
  <c r="AC44" i="59"/>
  <c r="AC26" i="59"/>
  <c r="AC46" i="59"/>
  <c r="AC33" i="59"/>
  <c r="AC83" i="59"/>
  <c r="AC65" i="59"/>
  <c r="AC15" i="59"/>
  <c r="AC77" i="59"/>
  <c r="AC75" i="59"/>
  <c r="AC47" i="59"/>
  <c r="AC40" i="59"/>
  <c r="AC79" i="59"/>
  <c r="AC41" i="59"/>
  <c r="AC76" i="59"/>
  <c r="AD76" i="59" s="1"/>
  <c r="AC57" i="59"/>
  <c r="AC39" i="59"/>
  <c r="AC60" i="59"/>
  <c r="AC43" i="59"/>
  <c r="AC74" i="59"/>
  <c r="AC56" i="59"/>
  <c r="AC81" i="59"/>
  <c r="AC69" i="59"/>
  <c r="AC68" i="59"/>
  <c r="AC49" i="59"/>
  <c r="AC35" i="59"/>
  <c r="AC52" i="59"/>
  <c r="AC78" i="59"/>
  <c r="AC80" i="59"/>
  <c r="AC54" i="59"/>
  <c r="AC61" i="59"/>
  <c r="AC73" i="59"/>
  <c r="AC58" i="59"/>
  <c r="AC82" i="59"/>
  <c r="AC48" i="59"/>
  <c r="AD48" i="59" s="1"/>
  <c r="AC63" i="59"/>
  <c r="AC51" i="59"/>
  <c r="AC84" i="59"/>
  <c r="AC45" i="59"/>
  <c r="AC64" i="59"/>
  <c r="AC42" i="59"/>
  <c r="AC66" i="59"/>
  <c r="AC62" i="59"/>
  <c r="AD62" i="59" s="1"/>
  <c r="AC59" i="59"/>
  <c r="W15" i="59"/>
  <c r="W26" i="59"/>
  <c r="W23" i="59"/>
  <c r="W32" i="59"/>
  <c r="W34" i="59"/>
  <c r="W11" i="59"/>
  <c r="W43" i="59"/>
  <c r="W19" i="59"/>
  <c r="W13" i="59"/>
  <c r="W17" i="59"/>
  <c r="W44" i="59"/>
  <c r="W31" i="59"/>
  <c r="W16" i="59"/>
  <c r="W22" i="59"/>
  <c r="W18" i="59"/>
  <c r="X113" i="59" s="1"/>
  <c r="W29" i="59"/>
  <c r="W33" i="59"/>
  <c r="W28" i="59"/>
  <c r="W21" i="59"/>
  <c r="W45" i="59"/>
  <c r="W24" i="59"/>
  <c r="W25" i="59"/>
  <c r="W30" i="59"/>
  <c r="W35" i="59"/>
  <c r="W39" i="59"/>
  <c r="W12" i="59"/>
  <c r="W40" i="59"/>
  <c r="W14" i="59"/>
  <c r="W49" i="59"/>
  <c r="W37" i="59"/>
  <c r="W42" i="59"/>
  <c r="X42" i="59" s="1"/>
  <c r="W38" i="59"/>
  <c r="W20" i="59"/>
  <c r="W27" i="59"/>
  <c r="W41" i="59"/>
  <c r="X41" i="59" s="1"/>
  <c r="W61" i="59"/>
  <c r="W50" i="59"/>
  <c r="W59" i="59"/>
  <c r="W36" i="59"/>
  <c r="W51" i="59"/>
  <c r="W67" i="59"/>
  <c r="W48" i="59"/>
  <c r="W53" i="59"/>
  <c r="W52" i="59"/>
  <c r="W55" i="59"/>
  <c r="W63" i="59"/>
  <c r="W57" i="59"/>
  <c r="W79" i="59"/>
  <c r="W64" i="59"/>
  <c r="W85" i="59"/>
  <c r="W46" i="59"/>
  <c r="W90" i="59"/>
  <c r="W73" i="59"/>
  <c r="W54" i="59"/>
  <c r="W47" i="59"/>
  <c r="W60" i="59"/>
  <c r="W65" i="59"/>
  <c r="W74" i="59"/>
  <c r="W69" i="59"/>
  <c r="W66" i="59"/>
  <c r="W62" i="59"/>
  <c r="W72" i="59"/>
  <c r="W78" i="59"/>
  <c r="W75" i="59"/>
  <c r="W68" i="59"/>
  <c r="W98" i="59"/>
  <c r="W83" i="59"/>
  <c r="X83" i="59" s="1"/>
  <c r="W56" i="59"/>
  <c r="W80" i="59"/>
  <c r="W99" i="59"/>
  <c r="W82" i="59"/>
  <c r="W81" i="59"/>
  <c r="W77" i="59"/>
  <c r="W58" i="59"/>
  <c r="W70" i="59"/>
  <c r="W76" i="59"/>
  <c r="W88" i="59"/>
  <c r="W96" i="59"/>
  <c r="W89" i="59"/>
  <c r="W95" i="59"/>
  <c r="W71" i="59"/>
  <c r="W108" i="59"/>
  <c r="W86" i="59"/>
  <c r="W106" i="59"/>
  <c r="W91" i="59"/>
  <c r="W97" i="59"/>
  <c r="W122" i="59"/>
  <c r="X122" i="59" s="1"/>
  <c r="W105" i="59"/>
  <c r="W84" i="59"/>
  <c r="W87" i="59"/>
  <c r="W94" i="59"/>
  <c r="W104" i="59"/>
  <c r="W93" i="59"/>
  <c r="W92" i="59"/>
  <c r="W121" i="59"/>
  <c r="W111" i="59"/>
  <c r="W116" i="59"/>
  <c r="W103" i="59"/>
  <c r="W101" i="59"/>
  <c r="X101" i="59" s="1"/>
  <c r="W114" i="59"/>
  <c r="W100" i="59"/>
  <c r="W112" i="59"/>
  <c r="W102" i="59"/>
  <c r="W110" i="59"/>
  <c r="W109" i="59"/>
  <c r="W107" i="59"/>
  <c r="W117" i="59"/>
  <c r="W113" i="59"/>
  <c r="W126" i="59"/>
  <c r="W120" i="59"/>
  <c r="W118" i="59"/>
  <c r="W115" i="59"/>
  <c r="W125" i="59"/>
  <c r="W127" i="59"/>
  <c r="W128" i="59"/>
  <c r="W123" i="59"/>
  <c r="W119" i="59"/>
  <c r="W124" i="59"/>
  <c r="W129" i="59"/>
  <c r="W130" i="59"/>
  <c r="W132" i="59"/>
  <c r="W134" i="59"/>
  <c r="W135" i="59"/>
  <c r="W133" i="59"/>
  <c r="W131" i="59"/>
  <c r="W141" i="59"/>
  <c r="W145" i="59"/>
  <c r="W138" i="59"/>
  <c r="W137" i="59"/>
  <c r="W136" i="59"/>
  <c r="W144" i="59"/>
  <c r="W139" i="59"/>
  <c r="W140" i="59"/>
  <c r="W142" i="59"/>
  <c r="W143" i="59"/>
  <c r="W146" i="59"/>
  <c r="W147" i="59"/>
  <c r="W148" i="59"/>
  <c r="W149" i="59"/>
  <c r="X149" i="59" s="1"/>
  <c r="W151" i="59"/>
  <c r="W150" i="59"/>
  <c r="W152" i="59"/>
  <c r="W153" i="59"/>
  <c r="X153" i="59" s="1"/>
  <c r="W154" i="59"/>
  <c r="Q11" i="59"/>
  <c r="Q12" i="59"/>
  <c r="Q13" i="59"/>
  <c r="R33" i="59" s="1"/>
  <c r="Q14" i="59"/>
  <c r="Q15" i="59"/>
  <c r="Q16" i="59"/>
  <c r="Q17" i="59"/>
  <c r="Q18" i="59"/>
  <c r="Q19" i="59"/>
  <c r="Q20" i="59"/>
  <c r="Q21" i="59"/>
  <c r="Q22" i="59"/>
  <c r="Q23" i="59"/>
  <c r="Q24" i="59"/>
  <c r="Q25" i="59"/>
  <c r="Q26" i="59"/>
  <c r="Q27" i="59"/>
  <c r="Q34" i="59"/>
  <c r="Q32" i="59"/>
  <c r="R32" i="59" s="1"/>
  <c r="Q29" i="59"/>
  <c r="Q28" i="59"/>
  <c r="Q31" i="59"/>
  <c r="Q30" i="59"/>
  <c r="Q33" i="59"/>
  <c r="Q35" i="59"/>
  <c r="Q36" i="59"/>
  <c r="Q37" i="59"/>
  <c r="Q38" i="59"/>
  <c r="Q39" i="59"/>
  <c r="Q40" i="59"/>
  <c r="Q44" i="59"/>
  <c r="Q43" i="59"/>
  <c r="Q42" i="59"/>
  <c r="Q41" i="59"/>
  <c r="Q45" i="59"/>
  <c r="Q46" i="59"/>
  <c r="Q47" i="59"/>
  <c r="Q48" i="59"/>
  <c r="Q49" i="59"/>
  <c r="Q50" i="59"/>
  <c r="Q51" i="59"/>
  <c r="Q52" i="59"/>
  <c r="Q53" i="59"/>
  <c r="Q54" i="59"/>
  <c r="Q55" i="59"/>
  <c r="Q60" i="59"/>
  <c r="Q58" i="59"/>
  <c r="Q59" i="59"/>
  <c r="Q68" i="59"/>
  <c r="Q61" i="59"/>
  <c r="Q63" i="59"/>
  <c r="R63" i="59" s="1"/>
  <c r="Q71" i="59"/>
  <c r="Q72" i="59"/>
  <c r="Q70" i="59"/>
  <c r="Q56" i="59"/>
  <c r="Q65" i="59"/>
  <c r="Q62" i="59"/>
  <c r="Q74" i="59"/>
  <c r="Q69" i="59"/>
  <c r="Q57" i="59"/>
  <c r="Q67" i="59"/>
  <c r="Q66" i="59"/>
  <c r="Q73" i="59"/>
  <c r="Q64" i="59"/>
  <c r="Q78" i="59"/>
  <c r="Q80" i="59"/>
  <c r="Q77" i="59"/>
  <c r="R77" i="59" s="1"/>
  <c r="Q75" i="59"/>
  <c r="Q93" i="59"/>
  <c r="Q76" i="59"/>
  <c r="Q85" i="59"/>
  <c r="Q86" i="59"/>
  <c r="Q84" i="59"/>
  <c r="Q92" i="59"/>
  <c r="Q83" i="59"/>
  <c r="Q89" i="59"/>
  <c r="Q79" i="59"/>
  <c r="Q91" i="59"/>
  <c r="Q88" i="59"/>
  <c r="Q87" i="59"/>
  <c r="Q90" i="59"/>
  <c r="Q81" i="59"/>
  <c r="Q82" i="59"/>
  <c r="Q94" i="59"/>
  <c r="Q98" i="59"/>
  <c r="Q99" i="59"/>
  <c r="Q97" i="59"/>
  <c r="Q95" i="59"/>
  <c r="Q96" i="59"/>
  <c r="Q105" i="59"/>
  <c r="Q101" i="59"/>
  <c r="Q104" i="59"/>
  <c r="Q100" i="59"/>
  <c r="Q103" i="59"/>
  <c r="Q102" i="59"/>
  <c r="Q106" i="59"/>
  <c r="Q109" i="59"/>
  <c r="Q108" i="59"/>
  <c r="Q111" i="59"/>
  <c r="R111" i="59" s="1"/>
  <c r="Q110" i="59"/>
  <c r="Q112" i="59"/>
  <c r="Q107" i="59"/>
  <c r="K11" i="59"/>
  <c r="L66" i="59" s="1"/>
  <c r="K12" i="59"/>
  <c r="K13" i="59"/>
  <c r="K14" i="59"/>
  <c r="K15" i="59"/>
  <c r="K16" i="59"/>
  <c r="K17" i="59"/>
  <c r="K18" i="59"/>
  <c r="K19" i="59"/>
  <c r="K20" i="59"/>
  <c r="K21" i="59"/>
  <c r="K22" i="59"/>
  <c r="K23" i="59"/>
  <c r="K24" i="59"/>
  <c r="K25" i="59"/>
  <c r="K26" i="59"/>
  <c r="K27" i="59"/>
  <c r="K28" i="59"/>
  <c r="K29" i="59"/>
  <c r="K30" i="59"/>
  <c r="K31" i="59"/>
  <c r="K32" i="59"/>
  <c r="K33" i="59"/>
  <c r="K34" i="59"/>
  <c r="K35" i="59"/>
  <c r="K36" i="59"/>
  <c r="K37" i="59"/>
  <c r="K38" i="59"/>
  <c r="K39" i="59"/>
  <c r="K40" i="59"/>
  <c r="K41" i="59"/>
  <c r="K42" i="59"/>
  <c r="K43" i="59"/>
  <c r="K44" i="59"/>
  <c r="K45" i="59"/>
  <c r="K46" i="59"/>
  <c r="K47" i="59"/>
  <c r="L47" i="59" s="1"/>
  <c r="K48" i="59"/>
  <c r="K49" i="59"/>
  <c r="K50" i="59"/>
  <c r="K51" i="59"/>
  <c r="K52" i="59"/>
  <c r="K53" i="59"/>
  <c r="K54" i="59"/>
  <c r="K55" i="59"/>
  <c r="K56" i="59"/>
  <c r="K57" i="59"/>
  <c r="K58" i="59"/>
  <c r="K59" i="59"/>
  <c r="K60" i="59"/>
  <c r="K61" i="59"/>
  <c r="K62" i="59"/>
  <c r="K63" i="59"/>
  <c r="K64" i="59"/>
  <c r="K65" i="59"/>
  <c r="K66" i="59"/>
  <c r="K67" i="59"/>
  <c r="L67" i="59" s="1"/>
  <c r="K68" i="59"/>
  <c r="B7" i="45"/>
  <c r="A8" i="43"/>
  <c r="A9" i="16"/>
  <c r="A9" i="14"/>
  <c r="W8" i="59"/>
  <c r="K8" i="59"/>
  <c r="F174" i="59"/>
  <c r="X111" i="59"/>
  <c r="X61" i="59"/>
  <c r="L15" i="59"/>
  <c r="AD61" i="59"/>
  <c r="F132" i="59"/>
  <c r="F20" i="59"/>
  <c r="X144" i="59"/>
  <c r="X11" i="59"/>
  <c r="AJ34" i="59"/>
  <c r="AJ33" i="59"/>
  <c r="AJ20" i="59"/>
  <c r="AJ31" i="59"/>
  <c r="AJ23" i="59"/>
  <c r="AJ14" i="59"/>
  <c r="AJ25" i="59"/>
  <c r="AJ11" i="59"/>
  <c r="AJ8" i="59"/>
  <c r="F342" i="59"/>
  <c r="F31" i="59"/>
  <c r="F121" i="59"/>
  <c r="F270" i="59"/>
  <c r="R100" i="59"/>
  <c r="R93" i="59"/>
  <c r="R60" i="59"/>
  <c r="X141" i="59"/>
  <c r="X72" i="59"/>
  <c r="X39" i="59"/>
  <c r="X22" i="59"/>
  <c r="AD50" i="59"/>
  <c r="AJ37" i="59"/>
  <c r="AJ28" i="59"/>
  <c r="AJ19" i="59"/>
  <c r="AJ35" i="59"/>
  <c r="AJ17" i="59"/>
  <c r="AJ21" i="59"/>
  <c r="AJ16" i="59"/>
  <c r="F307" i="59"/>
  <c r="F15" i="59"/>
  <c r="F324" i="59"/>
  <c r="F67" i="59"/>
  <c r="X140" i="59"/>
  <c r="X100" i="59"/>
  <c r="X80" i="59"/>
  <c r="X50" i="59"/>
  <c r="X32" i="59"/>
  <c r="AD83" i="59"/>
  <c r="AJ38" i="59"/>
  <c r="AJ40" i="59"/>
  <c r="AJ29" i="59"/>
  <c r="AJ22" i="59"/>
  <c r="AJ30" i="59"/>
  <c r="AJ18" i="59"/>
  <c r="AJ27" i="59"/>
  <c r="AJ13" i="59"/>
  <c r="F338" i="59"/>
  <c r="F258" i="59"/>
  <c r="F268" i="59"/>
  <c r="F58" i="59"/>
  <c r="F301" i="59"/>
  <c r="F304" i="59"/>
  <c r="F94" i="59"/>
  <c r="F34" i="59"/>
  <c r="F311" i="59"/>
  <c r="F261" i="59"/>
  <c r="F95" i="59"/>
  <c r="F102" i="59"/>
  <c r="F150" i="59"/>
  <c r="F293" i="59"/>
  <c r="F104" i="59"/>
  <c r="F171" i="59"/>
  <c r="F87" i="59"/>
  <c r="F86" i="59"/>
  <c r="F24" i="59"/>
  <c r="F133" i="59"/>
  <c r="D11" i="45"/>
  <c r="I11" i="55"/>
  <c r="H2" i="54"/>
  <c r="H3" i="54"/>
  <c r="H4" i="54"/>
  <c r="H5" i="54"/>
  <c r="H6" i="54"/>
  <c r="H7" i="54"/>
  <c r="H8" i="54"/>
  <c r="H9" i="54"/>
  <c r="H10" i="54"/>
  <c r="H11" i="54"/>
  <c r="H12" i="54"/>
  <c r="H13" i="54"/>
  <c r="H14" i="54"/>
  <c r="H15" i="54"/>
  <c r="H16" i="54"/>
  <c r="H17" i="54"/>
  <c r="H18" i="54"/>
  <c r="H19" i="54"/>
  <c r="H20" i="54"/>
  <c r="H21" i="54"/>
  <c r="H22" i="54"/>
  <c r="H23" i="54"/>
  <c r="H24" i="54"/>
  <c r="H25" i="54"/>
  <c r="H26" i="54"/>
  <c r="H27" i="54"/>
  <c r="H28" i="54"/>
  <c r="H29" i="54"/>
  <c r="H30" i="54"/>
  <c r="H31" i="54"/>
  <c r="H32" i="54"/>
  <c r="H33" i="54"/>
  <c r="H34" i="54"/>
  <c r="H35" i="54"/>
  <c r="H36" i="54"/>
  <c r="H37" i="54"/>
  <c r="H38" i="54"/>
  <c r="H39" i="54"/>
  <c r="H40" i="54"/>
  <c r="H41" i="54"/>
  <c r="H42" i="54"/>
  <c r="H43" i="54"/>
  <c r="H44" i="54"/>
  <c r="H45" i="54"/>
  <c r="H46" i="54"/>
  <c r="H47" i="54"/>
  <c r="H48" i="54"/>
  <c r="H49" i="54"/>
  <c r="H50" i="54"/>
  <c r="H51" i="54"/>
  <c r="H52" i="54"/>
  <c r="H53" i="54"/>
  <c r="H54" i="54"/>
  <c r="H55" i="54"/>
  <c r="H56" i="54"/>
  <c r="H57" i="54"/>
  <c r="H58" i="54"/>
  <c r="H59" i="54"/>
  <c r="H60" i="54"/>
  <c r="H61" i="54"/>
  <c r="H62" i="54"/>
  <c r="H63" i="54"/>
  <c r="H64" i="54"/>
  <c r="H65" i="54"/>
  <c r="H66" i="54"/>
  <c r="H67" i="54"/>
  <c r="H68" i="54"/>
  <c r="H69" i="54"/>
  <c r="H70" i="54"/>
  <c r="H71" i="54"/>
  <c r="H72" i="54"/>
  <c r="H73" i="54"/>
  <c r="H74" i="54"/>
  <c r="H75" i="54"/>
  <c r="H76" i="54"/>
  <c r="H77" i="54"/>
  <c r="H78" i="54"/>
  <c r="H79" i="54"/>
  <c r="H80" i="54"/>
  <c r="H81" i="54"/>
  <c r="H82" i="54"/>
  <c r="H83" i="54"/>
  <c r="H84" i="54"/>
  <c r="H85" i="54"/>
  <c r="H86" i="54"/>
  <c r="H87" i="54"/>
  <c r="H88" i="54"/>
  <c r="H89" i="54"/>
  <c r="H90" i="54"/>
  <c r="H91" i="54"/>
  <c r="H92" i="54"/>
  <c r="H93" i="54"/>
  <c r="H94" i="54"/>
  <c r="H95" i="54"/>
  <c r="H96" i="54"/>
  <c r="H97" i="54"/>
  <c r="H98" i="54"/>
  <c r="H99" i="54"/>
  <c r="H100" i="54"/>
  <c r="H101" i="54"/>
  <c r="H102" i="54"/>
  <c r="H103" i="54"/>
  <c r="H104" i="54"/>
  <c r="H105" i="54"/>
  <c r="H106" i="54"/>
  <c r="H107" i="54"/>
  <c r="H108" i="54"/>
  <c r="H109" i="54"/>
  <c r="H110" i="54"/>
  <c r="H111" i="54"/>
  <c r="H112" i="54"/>
  <c r="H113" i="54"/>
  <c r="H114" i="54"/>
  <c r="H115" i="54"/>
  <c r="H116" i="54"/>
  <c r="H117" i="54"/>
  <c r="H118" i="54"/>
  <c r="H119" i="54"/>
  <c r="H120" i="54"/>
  <c r="H121" i="54"/>
  <c r="H122" i="54"/>
  <c r="H123" i="54"/>
  <c r="H124" i="54"/>
  <c r="H125" i="54"/>
  <c r="H126" i="54"/>
  <c r="H127" i="54"/>
  <c r="H128" i="54"/>
  <c r="H129" i="54"/>
  <c r="H130" i="54"/>
  <c r="H131" i="54"/>
  <c r="H132" i="54"/>
  <c r="H133" i="54"/>
  <c r="H134" i="54"/>
  <c r="H135" i="54"/>
  <c r="H136" i="54"/>
  <c r="H137" i="54"/>
  <c r="H138" i="54"/>
  <c r="H139" i="54"/>
  <c r="H140" i="54"/>
  <c r="H141" i="54"/>
  <c r="H142" i="54"/>
  <c r="H143" i="54"/>
  <c r="H144" i="54"/>
  <c r="H145" i="54"/>
  <c r="H146" i="54"/>
  <c r="H147" i="54"/>
  <c r="H148" i="54"/>
  <c r="H149" i="54"/>
  <c r="H150" i="54"/>
  <c r="H151" i="54"/>
  <c r="H152" i="54"/>
  <c r="H153" i="54"/>
  <c r="H154" i="54"/>
  <c r="H155" i="54"/>
  <c r="H156" i="54"/>
  <c r="H157" i="54"/>
  <c r="H158" i="54"/>
  <c r="H159" i="54"/>
  <c r="H160" i="54"/>
  <c r="H161" i="54"/>
  <c r="H162" i="54"/>
  <c r="H163" i="54"/>
  <c r="H164" i="54"/>
  <c r="H165" i="54"/>
  <c r="H166" i="54"/>
  <c r="H167" i="54"/>
  <c r="H168" i="54"/>
  <c r="H169" i="54"/>
  <c r="H170" i="54"/>
  <c r="H171" i="54"/>
  <c r="H172" i="54"/>
  <c r="H173" i="54"/>
  <c r="H174" i="54"/>
  <c r="H175" i="54"/>
  <c r="H176" i="54"/>
  <c r="H177" i="54"/>
  <c r="H178" i="54"/>
  <c r="H179" i="54"/>
  <c r="H180" i="54"/>
  <c r="H181" i="54"/>
  <c r="H182" i="54"/>
  <c r="H183" i="54"/>
  <c r="H184" i="54"/>
  <c r="H185" i="54"/>
  <c r="H186" i="54"/>
  <c r="H187" i="54"/>
  <c r="H188" i="54"/>
  <c r="H189" i="54"/>
  <c r="H190" i="54"/>
  <c r="H191" i="54"/>
  <c r="H192" i="54"/>
  <c r="H193" i="54"/>
  <c r="H194" i="54"/>
  <c r="H195" i="54"/>
  <c r="H196" i="54"/>
  <c r="H197" i="54"/>
  <c r="H198" i="54"/>
  <c r="H199" i="54"/>
  <c r="H200" i="54"/>
  <c r="H201" i="54"/>
  <c r="H202" i="54"/>
  <c r="H203" i="54"/>
  <c r="H204" i="54"/>
  <c r="H205" i="54"/>
  <c r="H206" i="54"/>
  <c r="H207" i="54"/>
  <c r="H208" i="54"/>
  <c r="H209" i="54"/>
  <c r="H210" i="54"/>
  <c r="H211" i="54"/>
  <c r="H212" i="54"/>
  <c r="H213" i="54"/>
  <c r="H214" i="54"/>
  <c r="H215" i="54"/>
  <c r="H216" i="54"/>
  <c r="H217" i="54"/>
  <c r="H218" i="54"/>
  <c r="H219" i="54"/>
  <c r="H220" i="54"/>
  <c r="H221" i="54"/>
  <c r="H222" i="54"/>
  <c r="H223" i="54"/>
  <c r="H224" i="54"/>
  <c r="H225" i="54"/>
  <c r="H226" i="54"/>
  <c r="H227" i="54"/>
  <c r="H228" i="54"/>
  <c r="H229" i="54"/>
  <c r="H230" i="54"/>
  <c r="H231" i="54"/>
  <c r="H232" i="54"/>
  <c r="H233" i="54"/>
  <c r="H234" i="54"/>
  <c r="H235" i="54"/>
  <c r="H236" i="54"/>
  <c r="H237" i="54"/>
  <c r="H238" i="54"/>
  <c r="H239" i="54"/>
  <c r="H240" i="54"/>
  <c r="H241" i="54"/>
  <c r="H242" i="54"/>
  <c r="H243" i="54"/>
  <c r="H244" i="54"/>
  <c r="H245" i="54"/>
  <c r="H246" i="54"/>
  <c r="H247" i="54"/>
  <c r="H248" i="54"/>
  <c r="H249" i="54"/>
  <c r="H250" i="54"/>
  <c r="H251" i="54"/>
  <c r="H252" i="54"/>
  <c r="H253" i="54"/>
  <c r="H254" i="54"/>
  <c r="H255" i="54"/>
  <c r="H256" i="54"/>
  <c r="H257" i="54"/>
  <c r="H258" i="54"/>
  <c r="H259" i="54"/>
  <c r="H260" i="54"/>
  <c r="H261" i="54"/>
  <c r="H262" i="54"/>
  <c r="H263" i="54"/>
  <c r="H264" i="54"/>
  <c r="H265" i="54"/>
  <c r="H266" i="54"/>
  <c r="H267" i="54"/>
  <c r="H268" i="54"/>
  <c r="H269" i="54"/>
  <c r="H270" i="54"/>
  <c r="H271" i="54"/>
  <c r="H272" i="54"/>
  <c r="H273" i="54"/>
  <c r="H274" i="54"/>
  <c r="H275" i="54"/>
  <c r="H276" i="54"/>
  <c r="H277" i="54"/>
  <c r="H278" i="54"/>
  <c r="H279" i="54"/>
  <c r="H280" i="54"/>
  <c r="H281" i="54"/>
  <c r="H282" i="54"/>
  <c r="H283" i="54"/>
  <c r="H284" i="54"/>
  <c r="H285" i="54"/>
  <c r="H286" i="54"/>
  <c r="H287" i="54"/>
  <c r="H288" i="54"/>
  <c r="H289" i="54"/>
  <c r="H290" i="54"/>
  <c r="H291" i="54"/>
  <c r="H292" i="54"/>
  <c r="H293" i="54"/>
  <c r="H294" i="54"/>
  <c r="H295" i="54"/>
  <c r="H296" i="54"/>
  <c r="H297" i="54"/>
  <c r="H298" i="54"/>
  <c r="H299" i="54"/>
  <c r="H300" i="54"/>
  <c r="H301" i="54"/>
  <c r="H302" i="54"/>
  <c r="H303" i="54"/>
  <c r="H304" i="54"/>
  <c r="H305" i="54"/>
  <c r="H306" i="54"/>
  <c r="H307" i="54"/>
  <c r="H308" i="54"/>
  <c r="H309" i="54"/>
  <c r="H310" i="54"/>
  <c r="H311" i="54"/>
  <c r="H312" i="54"/>
  <c r="H313" i="54"/>
  <c r="H314" i="54"/>
  <c r="H315" i="54"/>
  <c r="H316" i="54"/>
  <c r="H317" i="54"/>
  <c r="H318" i="54"/>
  <c r="H319" i="54"/>
  <c r="H320" i="54"/>
  <c r="H321" i="54"/>
  <c r="H322" i="54"/>
  <c r="H323" i="54"/>
  <c r="H324" i="54"/>
  <c r="H325" i="54"/>
  <c r="H326" i="54"/>
  <c r="H327" i="54"/>
  <c r="H328" i="54"/>
  <c r="H329" i="54"/>
  <c r="G2" i="54"/>
  <c r="G3" i="54"/>
  <c r="G4" i="54"/>
  <c r="G5" i="54"/>
  <c r="G6" i="54"/>
  <c r="G7" i="54"/>
  <c r="G8" i="54"/>
  <c r="G9" i="54"/>
  <c r="G10" i="54"/>
  <c r="G11" i="54"/>
  <c r="G12" i="54"/>
  <c r="G13" i="54"/>
  <c r="G14" i="54"/>
  <c r="G15" i="54"/>
  <c r="G16" i="54"/>
  <c r="G17" i="54"/>
  <c r="G18" i="54"/>
  <c r="G19" i="54"/>
  <c r="G20" i="54"/>
  <c r="G21" i="54"/>
  <c r="G22" i="54"/>
  <c r="G23" i="54"/>
  <c r="G24" i="54"/>
  <c r="G25" i="54"/>
  <c r="G26" i="54"/>
  <c r="G27" i="54"/>
  <c r="G28" i="54"/>
  <c r="G29" i="54"/>
  <c r="G30" i="54"/>
  <c r="G31" i="54"/>
  <c r="G32" i="54"/>
  <c r="G33" i="54"/>
  <c r="G34" i="54"/>
  <c r="G35" i="54"/>
  <c r="G36" i="54"/>
  <c r="G37" i="54"/>
  <c r="G38" i="54"/>
  <c r="G39" i="54"/>
  <c r="G40" i="54"/>
  <c r="G41" i="54"/>
  <c r="G42" i="54"/>
  <c r="G43" i="54"/>
  <c r="G44" i="54"/>
  <c r="G45" i="54"/>
  <c r="G46" i="54"/>
  <c r="G47" i="54"/>
  <c r="G48" i="54"/>
  <c r="G49" i="54"/>
  <c r="G50" i="54"/>
  <c r="G51" i="54"/>
  <c r="G52" i="54"/>
  <c r="G53" i="54"/>
  <c r="G54" i="54"/>
  <c r="G55" i="54"/>
  <c r="G56" i="54"/>
  <c r="G57" i="54"/>
  <c r="G58" i="54"/>
  <c r="G59" i="54"/>
  <c r="G60" i="54"/>
  <c r="G61" i="54"/>
  <c r="G62" i="54"/>
  <c r="G63" i="54"/>
  <c r="G64" i="54"/>
  <c r="G65" i="54"/>
  <c r="G66" i="54"/>
  <c r="G67" i="54"/>
  <c r="G68" i="54"/>
  <c r="G69" i="54"/>
  <c r="G70" i="54"/>
  <c r="G71" i="54"/>
  <c r="G72" i="54"/>
  <c r="G73" i="54"/>
  <c r="G74" i="54"/>
  <c r="G75" i="54"/>
  <c r="G76" i="54"/>
  <c r="G77" i="54"/>
  <c r="G78" i="54"/>
  <c r="G79" i="54"/>
  <c r="G80" i="54"/>
  <c r="G81" i="54"/>
  <c r="G82" i="54"/>
  <c r="G83" i="54"/>
  <c r="G84" i="54"/>
  <c r="G85" i="54"/>
  <c r="G86" i="54"/>
  <c r="G87" i="54"/>
  <c r="G88" i="54"/>
  <c r="G89" i="54"/>
  <c r="G90" i="54"/>
  <c r="G91" i="54"/>
  <c r="G92" i="54"/>
  <c r="G93" i="54"/>
  <c r="G94" i="54"/>
  <c r="G95" i="54"/>
  <c r="G96" i="54"/>
  <c r="G97" i="54"/>
  <c r="G98" i="54"/>
  <c r="G99" i="54"/>
  <c r="G100" i="54"/>
  <c r="G101" i="54"/>
  <c r="G102" i="54"/>
  <c r="G103" i="54"/>
  <c r="G104" i="54"/>
  <c r="G105" i="54"/>
  <c r="G106" i="54"/>
  <c r="G107" i="54"/>
  <c r="G108" i="54"/>
  <c r="G109" i="54"/>
  <c r="G110" i="54"/>
  <c r="G111" i="54"/>
  <c r="G112" i="54"/>
  <c r="G113" i="54"/>
  <c r="G114" i="54"/>
  <c r="G115" i="54"/>
  <c r="G116" i="54"/>
  <c r="G117" i="54"/>
  <c r="G118" i="54"/>
  <c r="G119" i="54"/>
  <c r="G120" i="54"/>
  <c r="G121" i="54"/>
  <c r="G122" i="54"/>
  <c r="G123" i="54"/>
  <c r="G124" i="54"/>
  <c r="G125" i="54"/>
  <c r="G126" i="54"/>
  <c r="G127" i="54"/>
  <c r="G128" i="54"/>
  <c r="G129" i="54"/>
  <c r="G130" i="54"/>
  <c r="G131" i="54"/>
  <c r="G132" i="54"/>
  <c r="G133" i="54"/>
  <c r="G134" i="54"/>
  <c r="G135" i="54"/>
  <c r="G136" i="54"/>
  <c r="G137" i="54"/>
  <c r="G138" i="54"/>
  <c r="G139" i="54"/>
  <c r="G140" i="54"/>
  <c r="G141" i="54"/>
  <c r="G142" i="54"/>
  <c r="G143" i="54"/>
  <c r="G144" i="54"/>
  <c r="G145" i="54"/>
  <c r="G146" i="54"/>
  <c r="G147" i="54"/>
  <c r="G148" i="54"/>
  <c r="G149" i="54"/>
  <c r="G150" i="54"/>
  <c r="G151" i="54"/>
  <c r="G152" i="54"/>
  <c r="G153" i="54"/>
  <c r="G154" i="54"/>
  <c r="G155" i="54"/>
  <c r="G156" i="54"/>
  <c r="G157" i="54"/>
  <c r="G158" i="54"/>
  <c r="G159" i="54"/>
  <c r="G160" i="54"/>
  <c r="G161" i="54"/>
  <c r="G162" i="54"/>
  <c r="G163" i="54"/>
  <c r="G164" i="54"/>
  <c r="G165" i="54"/>
  <c r="G166" i="54"/>
  <c r="G167" i="54"/>
  <c r="G168" i="54"/>
  <c r="G169" i="54"/>
  <c r="G170" i="54"/>
  <c r="G171" i="54"/>
  <c r="G172" i="54"/>
  <c r="G173" i="54"/>
  <c r="G174" i="54"/>
  <c r="G175" i="54"/>
  <c r="G176" i="54"/>
  <c r="G177" i="54"/>
  <c r="G178" i="54"/>
  <c r="G179" i="54"/>
  <c r="G180" i="54"/>
  <c r="G181" i="54"/>
  <c r="G182" i="54"/>
  <c r="G183" i="54"/>
  <c r="G184" i="54"/>
  <c r="G185" i="54"/>
  <c r="G186" i="54"/>
  <c r="G187" i="54"/>
  <c r="G188" i="54"/>
  <c r="G189" i="54"/>
  <c r="G190" i="54"/>
  <c r="G191" i="54"/>
  <c r="G192" i="54"/>
  <c r="G193" i="54"/>
  <c r="G194" i="54"/>
  <c r="G195" i="54"/>
  <c r="G196" i="54"/>
  <c r="G197" i="54"/>
  <c r="G198" i="54"/>
  <c r="G199" i="54"/>
  <c r="G200" i="54"/>
  <c r="G201" i="54"/>
  <c r="G202" i="54"/>
  <c r="G203" i="54"/>
  <c r="G204" i="54"/>
  <c r="G205" i="54"/>
  <c r="G206" i="54"/>
  <c r="G207" i="54"/>
  <c r="G208" i="54"/>
  <c r="G209" i="54"/>
  <c r="G210" i="54"/>
  <c r="G211" i="54"/>
  <c r="G212" i="54"/>
  <c r="G213" i="54"/>
  <c r="G214" i="54"/>
  <c r="G215" i="54"/>
  <c r="G216" i="54"/>
  <c r="G217" i="54"/>
  <c r="G218" i="54"/>
  <c r="G219" i="54"/>
  <c r="G220" i="54"/>
  <c r="G221" i="54"/>
  <c r="G222" i="54"/>
  <c r="G223" i="54"/>
  <c r="G224" i="54"/>
  <c r="G225" i="54"/>
  <c r="G226" i="54"/>
  <c r="G227" i="54"/>
  <c r="G228" i="54"/>
  <c r="G229" i="54"/>
  <c r="G230" i="54"/>
  <c r="G231" i="54"/>
  <c r="G232" i="54"/>
  <c r="G233" i="54"/>
  <c r="G234" i="54"/>
  <c r="G235" i="54"/>
  <c r="G236" i="54"/>
  <c r="G237" i="54"/>
  <c r="G238" i="54"/>
  <c r="G239" i="54"/>
  <c r="G240" i="54"/>
  <c r="G241" i="54"/>
  <c r="G242" i="54"/>
  <c r="G243" i="54"/>
  <c r="G244" i="54"/>
  <c r="G245" i="54"/>
  <c r="G246" i="54"/>
  <c r="G247" i="54"/>
  <c r="G248" i="54"/>
  <c r="G249" i="54"/>
  <c r="G250" i="54"/>
  <c r="G251" i="54"/>
  <c r="G252" i="54"/>
  <c r="G253" i="54"/>
  <c r="G254" i="54"/>
  <c r="G255" i="54"/>
  <c r="G256" i="54"/>
  <c r="G257" i="54"/>
  <c r="G258" i="54"/>
  <c r="G259" i="54"/>
  <c r="G260" i="54"/>
  <c r="G261" i="54"/>
  <c r="G262" i="54"/>
  <c r="G263" i="54"/>
  <c r="G264" i="54"/>
  <c r="G265" i="54"/>
  <c r="G266" i="54"/>
  <c r="G267" i="54"/>
  <c r="G268" i="54"/>
  <c r="G269" i="54"/>
  <c r="G270" i="54"/>
  <c r="G271" i="54"/>
  <c r="G272" i="54"/>
  <c r="G273" i="54"/>
  <c r="G274" i="54"/>
  <c r="G275" i="54"/>
  <c r="G276" i="54"/>
  <c r="G277" i="54"/>
  <c r="G278" i="54"/>
  <c r="G279" i="54"/>
  <c r="G280" i="54"/>
  <c r="G281" i="54"/>
  <c r="G282" i="54"/>
  <c r="G283" i="54"/>
  <c r="G284" i="54"/>
  <c r="G285" i="54"/>
  <c r="G286" i="54"/>
  <c r="G287" i="54"/>
  <c r="G288" i="54"/>
  <c r="G289" i="54"/>
  <c r="G290" i="54"/>
  <c r="G291" i="54"/>
  <c r="G292" i="54"/>
  <c r="G293" i="54"/>
  <c r="G294" i="54"/>
  <c r="G295" i="54"/>
  <c r="G296" i="54"/>
  <c r="G297" i="54"/>
  <c r="G298" i="54"/>
  <c r="G299" i="54"/>
  <c r="G300" i="54"/>
  <c r="G301" i="54"/>
  <c r="G302" i="54"/>
  <c r="G303" i="54"/>
  <c r="G304" i="54"/>
  <c r="G305" i="54"/>
  <c r="G306" i="54"/>
  <c r="G307" i="54"/>
  <c r="G308" i="54"/>
  <c r="G309" i="54"/>
  <c r="G310" i="54"/>
  <c r="G311" i="54"/>
  <c r="G312" i="54"/>
  <c r="G313" i="54"/>
  <c r="G314" i="54"/>
  <c r="G315" i="54"/>
  <c r="G316" i="54"/>
  <c r="G317" i="54"/>
  <c r="G318" i="54"/>
  <c r="G319" i="54"/>
  <c r="G320" i="54"/>
  <c r="G321" i="54"/>
  <c r="G322" i="54"/>
  <c r="G323" i="54"/>
  <c r="G324" i="54"/>
  <c r="G325" i="54"/>
  <c r="G326" i="54"/>
  <c r="G327" i="54"/>
  <c r="G328" i="54"/>
  <c r="G329" i="54"/>
  <c r="G21" i="55"/>
  <c r="S21" i="55" s="1"/>
  <c r="G34" i="55"/>
  <c r="S34" i="55" s="1"/>
  <c r="G16" i="55"/>
  <c r="S16" i="55" s="1"/>
  <c r="G24" i="55"/>
  <c r="S24" i="55" s="1"/>
  <c r="E21" i="55"/>
  <c r="E34" i="55"/>
  <c r="Q34" i="55" s="1"/>
  <c r="E16" i="55"/>
  <c r="Q16" i="55" s="1"/>
  <c r="E24" i="55"/>
  <c r="Q24" i="55" s="1"/>
  <c r="G45" i="55"/>
  <c r="S45" i="55" s="1"/>
  <c r="G29" i="55"/>
  <c r="S29" i="55" s="1"/>
  <c r="G30" i="55"/>
  <c r="S30" i="55" s="1"/>
  <c r="G35" i="55"/>
  <c r="S35" i="55" s="1"/>
  <c r="E45" i="55"/>
  <c r="Q45" i="55" s="1"/>
  <c r="E29" i="55"/>
  <c r="Q29" i="55" s="1"/>
  <c r="E30" i="55"/>
  <c r="Q30" i="55" s="1"/>
  <c r="E35" i="55"/>
  <c r="Q35" i="55" s="1"/>
  <c r="D45" i="55"/>
  <c r="D29" i="55"/>
  <c r="P29" i="55" s="1"/>
  <c r="D30" i="55"/>
  <c r="H30" i="55" s="1"/>
  <c r="D35" i="55"/>
  <c r="H35" i="55" s="1"/>
  <c r="D43" i="55"/>
  <c r="G26" i="55"/>
  <c r="S26" i="55" s="1"/>
  <c r="E26" i="55"/>
  <c r="Q26" i="55" s="1"/>
  <c r="D26" i="55"/>
  <c r="H26" i="55" s="1"/>
  <c r="E28" i="55"/>
  <c r="D37" i="55"/>
  <c r="P37" i="55" s="1"/>
  <c r="D24" i="55"/>
  <c r="L24" i="55" s="1"/>
  <c r="G17" i="55"/>
  <c r="S17" i="55" s="1"/>
  <c r="G19" i="55"/>
  <c r="S19" i="55" s="1"/>
  <c r="G33" i="55"/>
  <c r="S33" i="55" s="1"/>
  <c r="G23" i="55"/>
  <c r="S23" i="55" s="1"/>
  <c r="E17" i="55"/>
  <c r="E19" i="55"/>
  <c r="I19" i="55" s="1"/>
  <c r="E33" i="55"/>
  <c r="Q33" i="55" s="1"/>
  <c r="E23" i="55"/>
  <c r="Q23" i="55" s="1"/>
  <c r="D17" i="55"/>
  <c r="D19" i="55"/>
  <c r="H19" i="55" s="1"/>
  <c r="D33" i="55"/>
  <c r="P33" i="55" s="1"/>
  <c r="D23" i="55"/>
  <c r="P23" i="55" s="1"/>
  <c r="D46" i="55"/>
  <c r="G27" i="55"/>
  <c r="S27" i="55" s="1"/>
  <c r="D40" i="55"/>
  <c r="L40" i="55" s="1"/>
  <c r="D27" i="55"/>
  <c r="H27" i="55" s="1"/>
  <c r="E37" i="55"/>
  <c r="Q37" i="55" s="1"/>
  <c r="D21" i="55"/>
  <c r="G41" i="55"/>
  <c r="S41" i="55" s="1"/>
  <c r="G15" i="55"/>
  <c r="S15" i="55" s="1"/>
  <c r="G46" i="55"/>
  <c r="S46" i="55" s="1"/>
  <c r="G43" i="55"/>
  <c r="E41" i="55"/>
  <c r="Q41" i="55" s="1"/>
  <c r="E15" i="55"/>
  <c r="Q15" i="55" s="1"/>
  <c r="E46" i="55"/>
  <c r="Q46" i="55" s="1"/>
  <c r="E43" i="55"/>
  <c r="D41" i="55"/>
  <c r="P41" i="55" s="1"/>
  <c r="D15" i="55"/>
  <c r="H15" i="55" s="1"/>
  <c r="G38" i="55"/>
  <c r="S38" i="55" s="1"/>
  <c r="E38" i="55"/>
  <c r="M38" i="55" s="1"/>
  <c r="D38" i="55"/>
  <c r="P38" i="55" s="1"/>
  <c r="E39" i="55"/>
  <c r="Q39" i="55" s="1"/>
  <c r="D28" i="55"/>
  <c r="P28" i="55" s="1"/>
  <c r="G42" i="55"/>
  <c r="S42" i="55" s="1"/>
  <c r="G36" i="55"/>
  <c r="S36" i="55" s="1"/>
  <c r="G44" i="55"/>
  <c r="S44" i="55" s="1"/>
  <c r="G22" i="55"/>
  <c r="E42" i="55"/>
  <c r="Q42" i="55" s="1"/>
  <c r="E36" i="55"/>
  <c r="Q36" i="55" s="1"/>
  <c r="E44" i="55"/>
  <c r="Q44" i="55" s="1"/>
  <c r="E22" i="55"/>
  <c r="D42" i="55"/>
  <c r="L42" i="55" s="1"/>
  <c r="D36" i="55"/>
  <c r="H36" i="55" s="1"/>
  <c r="D44" i="55"/>
  <c r="P44" i="55" s="1"/>
  <c r="D22" i="55"/>
  <c r="G40" i="55"/>
  <c r="S40" i="55" s="1"/>
  <c r="E40" i="55"/>
  <c r="Q40" i="55" s="1"/>
  <c r="E27" i="55"/>
  <c r="Q27" i="55" s="1"/>
  <c r="E32" i="55"/>
  <c r="M32" i="55" s="1"/>
  <c r="D39" i="55"/>
  <c r="H39" i="55" s="1"/>
  <c r="D16" i="55"/>
  <c r="G20" i="55"/>
  <c r="S20" i="55" s="1"/>
  <c r="G18" i="55"/>
  <c r="G31" i="55"/>
  <c r="S31" i="55" s="1"/>
  <c r="G25" i="55"/>
  <c r="E20" i="55"/>
  <c r="Q20" i="55" s="1"/>
  <c r="E18" i="55"/>
  <c r="E31" i="55"/>
  <c r="Q31" i="55" s="1"/>
  <c r="E25" i="55"/>
  <c r="D20" i="55"/>
  <c r="L20" i="55" s="1"/>
  <c r="D18" i="55"/>
  <c r="D31" i="55"/>
  <c r="L31" i="55" s="1"/>
  <c r="D25" i="55"/>
  <c r="H25" i="55" s="1"/>
  <c r="G32" i="55"/>
  <c r="S32" i="55" s="1"/>
  <c r="G39" i="55"/>
  <c r="G28" i="55"/>
  <c r="S28" i="55" s="1"/>
  <c r="G37" i="55"/>
  <c r="S37" i="55" s="1"/>
  <c r="D32" i="55"/>
  <c r="H32" i="55" s="1"/>
  <c r="D34" i="55"/>
  <c r="H34" i="55" s="1"/>
  <c r="V16" i="43"/>
  <c r="V13" i="43"/>
  <c r="V24" i="43"/>
  <c r="V39" i="43"/>
  <c r="V35" i="43"/>
  <c r="V36" i="43"/>
  <c r="V21" i="43"/>
  <c r="V17" i="43"/>
  <c r="V19" i="43"/>
  <c r="V11" i="43"/>
  <c r="W17" i="43"/>
  <c r="W10" i="43"/>
  <c r="W21" i="43"/>
  <c r="W19" i="43"/>
  <c r="W23" i="43"/>
  <c r="W11" i="43"/>
  <c r="W35" i="43"/>
  <c r="W16" i="43"/>
  <c r="W13" i="43"/>
  <c r="W24" i="43"/>
  <c r="O43" i="55"/>
  <c r="K25" i="55"/>
  <c r="K19" i="55"/>
  <c r="O19" i="55"/>
  <c r="K17" i="55"/>
  <c r="O16" i="55"/>
  <c r="K30" i="55"/>
  <c r="H37" i="55"/>
  <c r="M16" i="55"/>
  <c r="L22" i="55"/>
  <c r="L43" i="55"/>
  <c r="M43" i="55"/>
  <c r="L38" i="55"/>
  <c r="L21" i="55"/>
  <c r="L18" i="55"/>
  <c r="I28" i="55"/>
  <c r="I16" i="55"/>
  <c r="M33" i="55"/>
  <c r="M27" i="55"/>
  <c r="M37" i="55"/>
  <c r="P19" i="55"/>
  <c r="L19" i="55"/>
  <c r="M45" i="55"/>
  <c r="I45" i="55"/>
  <c r="AV41" i="52"/>
  <c r="BK38" i="52"/>
  <c r="BG24" i="52"/>
  <c r="AS21" i="52"/>
  <c r="AS36" i="52"/>
  <c r="AJ40" i="52"/>
  <c r="AJ39" i="52"/>
  <c r="AK15" i="52"/>
  <c r="AV17" i="52"/>
  <c r="AN12" i="52"/>
  <c r="BL39" i="52"/>
  <c r="AW39" i="52"/>
  <c r="AJ38" i="52"/>
  <c r="AR39" i="52"/>
  <c r="BG39" i="52"/>
  <c r="AN39" i="52"/>
  <c r="BG40" i="52"/>
  <c r="BD39" i="52"/>
  <c r="AV39" i="52"/>
  <c r="AK39" i="52"/>
  <c r="BL15" i="52"/>
  <c r="AO15" i="52"/>
  <c r="AR30" i="52"/>
  <c r="BD15" i="52"/>
  <c r="AJ15" i="52"/>
  <c r="BH39" i="52"/>
  <c r="BA39" i="52"/>
  <c r="AS39" i="52"/>
  <c r="BL17" i="52"/>
  <c r="BK15" i="52"/>
  <c r="BA15" i="52"/>
  <c r="BK12" i="52"/>
  <c r="BK39" i="52"/>
  <c r="AZ39" i="52"/>
  <c r="AO39" i="52"/>
  <c r="AV15" i="52"/>
  <c r="AN15" i="52"/>
  <c r="AZ12" i="52"/>
  <c r="BG22" i="52"/>
  <c r="AS30" i="52"/>
  <c r="BG15" i="52"/>
  <c r="AZ15" i="52"/>
  <c r="AS15" i="52"/>
  <c r="AW31" i="52"/>
  <c r="BH33" i="52"/>
  <c r="BA17" i="52"/>
  <c r="BH12" i="52"/>
  <c r="AW12" i="52"/>
  <c r="AS31" i="52"/>
  <c r="BG12" i="52"/>
  <c r="AV12" i="52"/>
  <c r="BK31" i="52"/>
  <c r="AO31" i="52"/>
  <c r="AN33" i="52"/>
  <c r="AS12" i="52"/>
  <c r="BD12" i="52"/>
  <c r="AK31" i="52"/>
  <c r="BL12" i="52"/>
  <c r="BA12" i="52"/>
  <c r="AK12" i="52"/>
  <c r="AR41" i="52"/>
  <c r="AZ40" i="52"/>
  <c r="AK33" i="52"/>
  <c r="BH14" i="52"/>
  <c r="AZ14" i="52"/>
  <c r="BG17" i="52"/>
  <c r="AK17" i="52"/>
  <c r="AR40" i="52"/>
  <c r="BA33" i="52"/>
  <c r="AS33" i="52"/>
  <c r="AJ33" i="52"/>
  <c r="BD41" i="52"/>
  <c r="AN41" i="52"/>
  <c r="AK40" i="52"/>
  <c r="AW30" i="52"/>
  <c r="AO30" i="52"/>
  <c r="AZ33" i="52"/>
  <c r="BA27" i="52"/>
  <c r="AV14" i="52"/>
  <c r="AO14" i="52"/>
  <c r="AW42" i="52"/>
  <c r="AG42" i="52"/>
  <c r="BL40" i="52"/>
  <c r="AW40" i="52"/>
  <c r="AK19" i="52"/>
  <c r="AS19" i="52"/>
  <c r="BG19" i="52"/>
  <c r="AR22" i="52"/>
  <c r="AW22" i="52"/>
  <c r="AS22" i="52"/>
  <c r="BD22" i="52"/>
  <c r="AZ22" i="52"/>
  <c r="BK22" i="52"/>
  <c r="AG40" i="52"/>
  <c r="AN40" i="52"/>
  <c r="AS40" i="52"/>
  <c r="BD40" i="52"/>
  <c r="AO40" i="52"/>
  <c r="AO25" i="52"/>
  <c r="AZ34" i="52"/>
  <c r="AK34" i="52"/>
  <c r="AR34" i="52"/>
  <c r="AW34" i="52"/>
  <c r="AK32" i="52"/>
  <c r="AV32" i="52"/>
  <c r="BA32" i="52"/>
  <c r="AW21" i="52"/>
  <c r="BH21" i="52"/>
  <c r="AK21" i="52"/>
  <c r="BA21" i="52"/>
  <c r="AO21" i="52"/>
  <c r="BD21" i="52"/>
  <c r="BL21" i="52"/>
  <c r="AV22" i="52"/>
  <c r="BK40" i="52"/>
  <c r="AV40" i="52"/>
  <c r="AK41" i="52"/>
  <c r="BH41" i="52"/>
  <c r="AR38" i="52"/>
  <c r="BH40" i="52"/>
  <c r="BA40" i="52"/>
  <c r="BL34" i="52"/>
  <c r="AS34" i="52"/>
  <c r="AK24" i="52"/>
  <c r="BL24" i="52"/>
  <c r="AS24" i="52"/>
  <c r="BA24" i="52"/>
  <c r="AR17" i="52"/>
  <c r="AW17" i="52"/>
  <c r="BH17" i="52"/>
  <c r="AN17" i="52"/>
  <c r="AS17" i="52"/>
  <c r="BD17" i="52"/>
  <c r="AJ17" i="52"/>
  <c r="AO17" i="52"/>
  <c r="AZ17" i="52"/>
  <c r="BK17" i="52"/>
  <c r="BL22" i="52"/>
  <c r="BG31" i="52"/>
  <c r="BL33" i="52"/>
  <c r="BD33" i="52"/>
  <c r="AV33" i="52"/>
  <c r="AO33" i="52"/>
  <c r="BH15" i="52"/>
  <c r="AW15" i="52"/>
  <c r="AR15" i="52"/>
  <c r="BK35" i="52"/>
  <c r="AW35" i="52"/>
  <c r="AO12" i="52"/>
  <c r="AG36" i="52"/>
  <c r="AG13" i="52"/>
  <c r="AJ12" i="52"/>
  <c r="AG12" i="52"/>
  <c r="BG35" i="52"/>
  <c r="AK35" i="52"/>
  <c r="AR12" i="52"/>
  <c r="BK41" i="52"/>
  <c r="BG41" i="52"/>
  <c r="AW41" i="52"/>
  <c r="AZ38" i="52"/>
  <c r="AS38" i="52"/>
  <c r="BA38" i="52"/>
  <c r="BH42" i="52"/>
  <c r="AZ41" i="52"/>
  <c r="AS41" i="52"/>
  <c r="BD38" i="52"/>
  <c r="AW38" i="52"/>
  <c r="AZ42" i="52"/>
  <c r="AJ41" i="52"/>
  <c r="AO41" i="52"/>
  <c r="BL30" i="52"/>
  <c r="BG30" i="52"/>
  <c r="BA30" i="52"/>
  <c r="AV30" i="52"/>
  <c r="AK30" i="52"/>
  <c r="AW19" i="52"/>
  <c r="BK33" i="52"/>
  <c r="BG33" i="52"/>
  <c r="AW33" i="52"/>
  <c r="AR33" i="52"/>
  <c r="BK32" i="52"/>
  <c r="BG32" i="52"/>
  <c r="AW32" i="52"/>
  <c r="BK14" i="52"/>
  <c r="BG14" i="52"/>
  <c r="AW14" i="52"/>
  <c r="AR14" i="52"/>
  <c r="BH24" i="52"/>
  <c r="AW36" i="52"/>
  <c r="AZ32" i="52"/>
  <c r="AO32" i="52"/>
  <c r="AJ14" i="52"/>
  <c r="BK24" i="52"/>
  <c r="AO36" i="52"/>
  <c r="AO27" i="52"/>
  <c r="BL32" i="52"/>
  <c r="BH32" i="52"/>
  <c r="BD32" i="52"/>
  <c r="AS32" i="52"/>
  <c r="BD24" i="52"/>
  <c r="AW24" i="52"/>
  <c r="AO24" i="52"/>
  <c r="BA36" i="52"/>
  <c r="AK36" i="52"/>
  <c r="BD42" i="52"/>
  <c r="AR42" i="52"/>
  <c r="AJ42" i="52"/>
  <c r="BG42" i="52"/>
  <c r="BK42" i="52"/>
  <c r="AK42" i="52"/>
  <c r="AO42" i="52"/>
  <c r="AS42" i="52"/>
  <c r="BL42" i="52"/>
  <c r="BA42" i="52"/>
  <c r="AV42" i="52"/>
  <c r="AN42" i="52"/>
  <c r="AJ25" i="52"/>
  <c r="AN25" i="52"/>
  <c r="AR25" i="52"/>
  <c r="AV25" i="52"/>
  <c r="AZ25" i="52"/>
  <c r="BD25" i="52"/>
  <c r="BH25" i="52"/>
  <c r="BL25" i="52"/>
  <c r="BG25" i="52"/>
  <c r="AW25" i="52"/>
  <c r="BK26" i="52"/>
  <c r="AK26" i="52"/>
  <c r="AW26" i="52"/>
  <c r="BA26" i="52"/>
  <c r="AZ26" i="52"/>
  <c r="BH26" i="52"/>
  <c r="BD26" i="52"/>
  <c r="BL26" i="52"/>
  <c r="BK25" i="52"/>
  <c r="BA25" i="52"/>
  <c r="AK25" i="52"/>
  <c r="BH19" i="52"/>
  <c r="BD19" i="52"/>
  <c r="AR19" i="52"/>
  <c r="AN19" i="52"/>
  <c r="BH31" i="52"/>
  <c r="BD31" i="52"/>
  <c r="AR31" i="52"/>
  <c r="AN31" i="52"/>
  <c r="BH27" i="52"/>
  <c r="BD27" i="52"/>
  <c r="AR27" i="52"/>
  <c r="AN27" i="52"/>
  <c r="AJ32" i="52"/>
  <c r="AN32" i="52"/>
  <c r="AR32" i="52"/>
  <c r="BD35" i="52"/>
  <c r="AZ35" i="52"/>
  <c r="AN35" i="52"/>
  <c r="AJ35" i="52"/>
  <c r="AZ24" i="52"/>
  <c r="AV24" i="52"/>
  <c r="AR24" i="52"/>
  <c r="AN24" i="52"/>
  <c r="AJ24" i="52"/>
  <c r="BG13" i="52"/>
  <c r="BK13" i="52"/>
  <c r="AJ13" i="52"/>
  <c r="AN13" i="52"/>
  <c r="AR13" i="52"/>
  <c r="AV13" i="52"/>
  <c r="AZ13" i="52"/>
  <c r="BD13" i="52"/>
  <c r="BH13" i="52"/>
  <c r="BL13" i="52"/>
  <c r="AK13" i="52"/>
  <c r="AO13" i="52"/>
  <c r="AS13" i="52"/>
  <c r="AW13" i="52"/>
  <c r="BA13" i="52"/>
  <c r="AJ11" i="52"/>
  <c r="AN11" i="52"/>
  <c r="AZ11" i="52"/>
  <c r="BD11" i="52"/>
  <c r="AK11" i="52"/>
  <c r="AO11" i="52"/>
  <c r="BA11" i="52"/>
  <c r="BG21" i="52"/>
  <c r="BK21" i="52"/>
  <c r="AJ21" i="52"/>
  <c r="AN21" i="52"/>
  <c r="AR21" i="52"/>
  <c r="AV21" i="52"/>
  <c r="AZ21" i="52"/>
  <c r="BG36" i="52"/>
  <c r="BK36" i="52"/>
  <c r="AJ36" i="52"/>
  <c r="AN36" i="52"/>
  <c r="AR36" i="52"/>
  <c r="AV36" i="52"/>
  <c r="AZ36" i="52"/>
  <c r="BD36" i="52"/>
  <c r="BH36" i="52"/>
  <c r="BL36" i="52"/>
  <c r="E19" i="45"/>
  <c r="F17" i="45"/>
  <c r="S19" i="45"/>
  <c r="E17" i="45"/>
  <c r="AZ43" i="15"/>
  <c r="AW44" i="15"/>
  <c r="AE72" i="16"/>
  <c r="AE52" i="16"/>
  <c r="AE68" i="16"/>
  <c r="AE45" i="16"/>
  <c r="AE24" i="16"/>
  <c r="AE13" i="16"/>
  <c r="AE70" i="16"/>
  <c r="AE62" i="16"/>
  <c r="AE48" i="16"/>
  <c r="AE40" i="16"/>
  <c r="AE30" i="16"/>
  <c r="AE22" i="16"/>
  <c r="AE20" i="16"/>
  <c r="AE18" i="16"/>
  <c r="AE64" i="16"/>
  <c r="AE43" i="16"/>
  <c r="AE71" i="16"/>
  <c r="AE32" i="16"/>
  <c r="AE36" i="16"/>
  <c r="AE42" i="16"/>
  <c r="AE21" i="16"/>
  <c r="AE17" i="16"/>
  <c r="AE16" i="16"/>
  <c r="AE12" i="16"/>
  <c r="AE56" i="16"/>
  <c r="AE58" i="16"/>
  <c r="AE28" i="16"/>
  <c r="AE41" i="16"/>
  <c r="AE66" i="16"/>
  <c r="AE69" i="16"/>
  <c r="AE49" i="16"/>
  <c r="AE54" i="16"/>
  <c r="AE60" i="16"/>
  <c r="AE46" i="16"/>
  <c r="AE50" i="16"/>
  <c r="AE44" i="16"/>
  <c r="AE38" i="16"/>
  <c r="AE26" i="16"/>
  <c r="AE25" i="16"/>
  <c r="AE29" i="16"/>
  <c r="AE37" i="16"/>
  <c r="AE14" i="16"/>
  <c r="AE100" i="15"/>
  <c r="AE77" i="15"/>
  <c r="AE75" i="15"/>
  <c r="AE86" i="15"/>
  <c r="AE58" i="15"/>
  <c r="AE25" i="15"/>
  <c r="AE36" i="15"/>
  <c r="AE12" i="15"/>
  <c r="AE92" i="15"/>
  <c r="AE78" i="15"/>
  <c r="AE89" i="15"/>
  <c r="AE81" i="15"/>
  <c r="AE80" i="15"/>
  <c r="AE39" i="15"/>
  <c r="AE16" i="15"/>
  <c r="AE20" i="15"/>
  <c r="AE105" i="15"/>
  <c r="AE121" i="15"/>
  <c r="AE67" i="15"/>
  <c r="AE95" i="15"/>
  <c r="AE96" i="15"/>
  <c r="AE51" i="15"/>
  <c r="AE45" i="15"/>
  <c r="AE41" i="15"/>
  <c r="AE15" i="15"/>
  <c r="AE115" i="15"/>
  <c r="AE103" i="15"/>
  <c r="AE84" i="15"/>
  <c r="AE69" i="15"/>
  <c r="AE59" i="15"/>
  <c r="AE52" i="15"/>
  <c r="AE49" i="15"/>
  <c r="AE43" i="15"/>
  <c r="AE19" i="15"/>
  <c r="BA25" i="15"/>
  <c r="AE47" i="15"/>
  <c r="AE38" i="15"/>
  <c r="AE46" i="15"/>
  <c r="AE48" i="15"/>
  <c r="AE118" i="15"/>
  <c r="AE111" i="15"/>
  <c r="AE102" i="15"/>
  <c r="AE109" i="15"/>
  <c r="AE82" i="15"/>
  <c r="AE68" i="15"/>
  <c r="AE53" i="15"/>
  <c r="AE35" i="15"/>
  <c r="AE31" i="15"/>
  <c r="AE42" i="15"/>
  <c r="AE29" i="15"/>
  <c r="AI58" i="14"/>
  <c r="AI50" i="14"/>
  <c r="AI45" i="14"/>
  <c r="AI95" i="14"/>
  <c r="AI94" i="14"/>
  <c r="AI70" i="14"/>
  <c r="AI57" i="14"/>
  <c r="AI25" i="14"/>
  <c r="AI24" i="14"/>
  <c r="AI40" i="14"/>
  <c r="AI36" i="14"/>
  <c r="AI41" i="14"/>
  <c r="AI48" i="14"/>
  <c r="AI92" i="14"/>
  <c r="AI42" i="14"/>
  <c r="AI19" i="14"/>
  <c r="AI97" i="14"/>
  <c r="AI81" i="14"/>
  <c r="AI71" i="14"/>
  <c r="AI11" i="14"/>
  <c r="AI63" i="14"/>
  <c r="AI14" i="14"/>
  <c r="AI88" i="14"/>
  <c r="AI79" i="14"/>
  <c r="AI32" i="14"/>
  <c r="AI96" i="14"/>
  <c r="AI44" i="14"/>
  <c r="AI78" i="14"/>
  <c r="AI60" i="14"/>
  <c r="AI28" i="14"/>
  <c r="AI74" i="14"/>
  <c r="AI91" i="14"/>
  <c r="AI66" i="14"/>
  <c r="AI76" i="14"/>
  <c r="AI69" i="14"/>
  <c r="AI61" i="14"/>
  <c r="AI62" i="14"/>
  <c r="AI23" i="14"/>
  <c r="AI55" i="14"/>
  <c r="AI47" i="14"/>
  <c r="AI93" i="14"/>
  <c r="AI33" i="14"/>
  <c r="AI13" i="14"/>
  <c r="AI46" i="14"/>
  <c r="AI20" i="14"/>
  <c r="AI22" i="14"/>
  <c r="AI20" i="15"/>
  <c r="AW23" i="15"/>
  <c r="AZ47" i="15"/>
  <c r="AV16" i="15"/>
  <c r="AZ39" i="15"/>
  <c r="AI56" i="15"/>
  <c r="AW38" i="15"/>
  <c r="AX26" i="15"/>
  <c r="AI26" i="15"/>
  <c r="AZ112" i="15"/>
  <c r="AL96" i="15"/>
  <c r="AV51" i="15"/>
  <c r="AI45" i="15"/>
  <c r="BA40" i="15"/>
  <c r="AZ37" i="15"/>
  <c r="BA18" i="15"/>
  <c r="BA15" i="15"/>
  <c r="BA111" i="15"/>
  <c r="BA102" i="15"/>
  <c r="AW82" i="15"/>
  <c r="AV90" i="15"/>
  <c r="AI85" i="15"/>
  <c r="AZ61" i="15"/>
  <c r="BA68" i="15"/>
  <c r="AI35" i="15"/>
  <c r="AV55" i="15"/>
  <c r="AY31" i="15"/>
  <c r="AY54" i="15"/>
  <c r="BA29" i="15"/>
  <c r="AV13" i="15"/>
  <c r="AZ115" i="15"/>
  <c r="AZ100" i="15"/>
  <c r="BA77" i="15"/>
  <c r="AY69" i="15"/>
  <c r="AI59" i="15"/>
  <c r="BA58" i="15"/>
  <c r="BA49" i="15"/>
  <c r="BA36" i="15"/>
  <c r="AW19" i="15"/>
  <c r="AI51" i="16"/>
  <c r="AI70" i="16"/>
  <c r="AI62" i="16"/>
  <c r="AI61" i="16"/>
  <c r="AI48" i="16"/>
  <c r="AI57" i="16"/>
  <c r="AI47" i="16"/>
  <c r="AI40" i="16"/>
  <c r="AI23" i="16"/>
  <c r="AI34" i="16"/>
  <c r="AI30" i="16"/>
  <c r="AI22" i="16"/>
  <c r="AI20" i="16"/>
  <c r="AI19" i="16"/>
  <c r="AI18" i="16"/>
  <c r="AI55" i="16"/>
  <c r="AI65" i="16"/>
  <c r="AI71" i="16"/>
  <c r="AI63" i="16"/>
  <c r="AI32" i="16"/>
  <c r="AI36" i="16"/>
  <c r="AI42" i="16"/>
  <c r="AI53" i="16"/>
  <c r="AI27" i="16"/>
  <c r="AI31" i="16"/>
  <c r="AI21" i="16"/>
  <c r="AI17" i="16"/>
  <c r="AI16" i="16"/>
  <c r="AI12" i="16"/>
  <c r="AI66" i="16"/>
  <c r="AI69" i="16"/>
  <c r="AI49" i="16"/>
  <c r="AI54" i="16"/>
  <c r="AI60" i="16"/>
  <c r="S60" i="16" s="1"/>
  <c r="AI46" i="16"/>
  <c r="AI50" i="16"/>
  <c r="AI44" i="16"/>
  <c r="AI38" i="16"/>
  <c r="AI39" i="16"/>
  <c r="AI26" i="16"/>
  <c r="AI25" i="16"/>
  <c r="AI29" i="16"/>
  <c r="AI37" i="16"/>
  <c r="AI14" i="16"/>
  <c r="AI72" i="16"/>
  <c r="AI52" i="16"/>
  <c r="AI67" i="16"/>
  <c r="AI56" i="16"/>
  <c r="AI58" i="16"/>
  <c r="AI64" i="16"/>
  <c r="AI68" i="16"/>
  <c r="AI59" i="16"/>
  <c r="AI43" i="16"/>
  <c r="AI35" i="16"/>
  <c r="AI45" i="16"/>
  <c r="AI28" i="16"/>
  <c r="AI33" i="16"/>
  <c r="AI24" i="16"/>
  <c r="S24" i="16" s="1"/>
  <c r="AI41" i="16"/>
  <c r="AI15" i="16"/>
  <c r="AI13" i="16"/>
  <c r="AI11" i="16"/>
  <c r="S11" i="16" s="1"/>
  <c r="S16" i="45"/>
  <c r="AT46" i="16"/>
  <c r="AT38" i="16"/>
  <c r="AT66" i="16"/>
  <c r="AT29" i="16"/>
  <c r="AP38" i="16"/>
  <c r="AT50" i="16"/>
  <c r="AT39" i="16"/>
  <c r="AT37" i="16"/>
  <c r="AT69" i="16"/>
  <c r="AT54" i="16"/>
  <c r="AT44" i="16"/>
  <c r="AT26" i="16"/>
  <c r="AT14" i="16"/>
  <c r="AT49" i="16"/>
  <c r="AT60" i="16"/>
  <c r="AT25" i="16"/>
  <c r="AT11" i="16"/>
  <c r="AP66" i="16"/>
  <c r="AP29" i="16"/>
  <c r="AT72" i="16"/>
  <c r="AT52" i="16"/>
  <c r="AT67" i="16"/>
  <c r="AT56" i="16"/>
  <c r="AT58" i="16"/>
  <c r="AT64" i="16"/>
  <c r="AT68" i="16"/>
  <c r="AT59" i="16"/>
  <c r="AT43" i="16"/>
  <c r="AT35" i="16"/>
  <c r="AT45" i="16"/>
  <c r="AT28" i="16"/>
  <c r="AT33" i="16"/>
  <c r="AT24" i="16"/>
  <c r="AT41" i="16"/>
  <c r="AT15" i="16"/>
  <c r="AT13" i="16"/>
  <c r="AT51" i="16"/>
  <c r="AT70" i="16"/>
  <c r="AT62" i="16"/>
  <c r="AT61" i="16"/>
  <c r="AT48" i="16"/>
  <c r="AT57" i="16"/>
  <c r="AT47" i="16"/>
  <c r="AT40" i="16"/>
  <c r="AT23" i="16"/>
  <c r="AT34" i="16"/>
  <c r="AT30" i="16"/>
  <c r="AT22" i="16"/>
  <c r="AT20" i="16"/>
  <c r="AT19" i="16"/>
  <c r="X19" i="16" s="1"/>
  <c r="AT18" i="16"/>
  <c r="AP46" i="16"/>
  <c r="AT55" i="16"/>
  <c r="AT65" i="16"/>
  <c r="AT71" i="16"/>
  <c r="AT63" i="16"/>
  <c r="AT32" i="16"/>
  <c r="AT36" i="16"/>
  <c r="AT42" i="16"/>
  <c r="AT53" i="16"/>
  <c r="AT27" i="16"/>
  <c r="AT31" i="16"/>
  <c r="AT21" i="16"/>
  <c r="AT17" i="16"/>
  <c r="AT16" i="16"/>
  <c r="AT12" i="16"/>
  <c r="AL26" i="16"/>
  <c r="AP50" i="16"/>
  <c r="AP39" i="16"/>
  <c r="AP37" i="16"/>
  <c r="AP69" i="16"/>
  <c r="AP54" i="16"/>
  <c r="AP44" i="16"/>
  <c r="AP26" i="16"/>
  <c r="AP14" i="16"/>
  <c r="AP49" i="16"/>
  <c r="AP60" i="16"/>
  <c r="AP25" i="16"/>
  <c r="AP11" i="16"/>
  <c r="AL69" i="16"/>
  <c r="AL14" i="16"/>
  <c r="AP72" i="16"/>
  <c r="V72" i="16" s="1"/>
  <c r="AV72" i="16" s="1"/>
  <c r="AP52" i="16"/>
  <c r="AP67" i="16"/>
  <c r="AP56" i="16"/>
  <c r="AP58" i="16"/>
  <c r="AP64" i="16"/>
  <c r="AP68" i="16"/>
  <c r="AP59" i="16"/>
  <c r="AP43" i="16"/>
  <c r="AP35" i="16"/>
  <c r="AP45" i="16"/>
  <c r="AP28" i="16"/>
  <c r="AP33" i="16"/>
  <c r="AP24" i="16"/>
  <c r="AP41" i="16"/>
  <c r="AP15" i="16"/>
  <c r="AP13" i="16"/>
  <c r="AL54" i="16"/>
  <c r="AP51" i="16"/>
  <c r="AP70" i="16"/>
  <c r="AP62" i="16"/>
  <c r="AP61" i="16"/>
  <c r="AP48" i="16"/>
  <c r="AP57" i="16"/>
  <c r="AP47" i="16"/>
  <c r="AP40" i="16"/>
  <c r="AP23" i="16"/>
  <c r="AP34" i="16"/>
  <c r="AP30" i="16"/>
  <c r="V30" i="16" s="1"/>
  <c r="AP22" i="16"/>
  <c r="AP20" i="16"/>
  <c r="AP19" i="16"/>
  <c r="AP18" i="16"/>
  <c r="AL44" i="16"/>
  <c r="AP55" i="16"/>
  <c r="AP65" i="16"/>
  <c r="AP71" i="16"/>
  <c r="V71" i="16" s="1"/>
  <c r="AP63" i="16"/>
  <c r="AP32" i="16"/>
  <c r="AP36" i="16"/>
  <c r="AP42" i="16"/>
  <c r="AP53" i="16"/>
  <c r="AP27" i="16"/>
  <c r="AP31" i="16"/>
  <c r="AP21" i="16"/>
  <c r="AP17" i="16"/>
  <c r="AP16" i="16"/>
  <c r="AP12" i="16"/>
  <c r="AL49" i="16"/>
  <c r="AL60" i="16"/>
  <c r="AL25" i="16"/>
  <c r="AL11" i="16"/>
  <c r="AL66" i="16"/>
  <c r="AL46" i="16"/>
  <c r="AL38" i="16"/>
  <c r="AL29" i="16"/>
  <c r="AL50" i="16"/>
  <c r="AL39" i="16"/>
  <c r="AL37" i="16"/>
  <c r="AL72" i="16"/>
  <c r="AL52" i="16"/>
  <c r="AL67" i="16"/>
  <c r="AL56" i="16"/>
  <c r="AL58" i="16"/>
  <c r="AL64" i="16"/>
  <c r="AL68" i="16"/>
  <c r="AL59" i="16"/>
  <c r="AL43" i="16"/>
  <c r="AL35" i="16"/>
  <c r="AL45" i="16"/>
  <c r="AL28" i="16"/>
  <c r="AL33" i="16"/>
  <c r="AL24" i="16"/>
  <c r="AL41" i="16"/>
  <c r="AL15" i="16"/>
  <c r="AL13" i="16"/>
  <c r="AL51" i="16"/>
  <c r="AL70" i="16"/>
  <c r="AL62" i="16"/>
  <c r="AL61" i="16"/>
  <c r="AL48" i="16"/>
  <c r="T48" i="16" s="1"/>
  <c r="AL57" i="16"/>
  <c r="AL47" i="16"/>
  <c r="AL40" i="16"/>
  <c r="AL23" i="16"/>
  <c r="AL34" i="16"/>
  <c r="AL30" i="16"/>
  <c r="AL22" i="16"/>
  <c r="AL20" i="16"/>
  <c r="T20" i="16" s="1"/>
  <c r="AL19" i="16"/>
  <c r="AL18" i="16"/>
  <c r="AL55" i="16"/>
  <c r="AL65" i="16"/>
  <c r="AL71" i="16"/>
  <c r="AL63" i="16"/>
  <c r="AL32" i="16"/>
  <c r="AL36" i="16"/>
  <c r="T36" i="16" s="1"/>
  <c r="AL42" i="16"/>
  <c r="AL53" i="16"/>
  <c r="AL27" i="16"/>
  <c r="AL31" i="16"/>
  <c r="AL21" i="16"/>
  <c r="AL17" i="16"/>
  <c r="AL16" i="16"/>
  <c r="AL12" i="16"/>
  <c r="T12" i="16" s="1"/>
  <c r="BA38" i="15"/>
  <c r="BA44" i="15"/>
  <c r="BA19" i="15"/>
  <c r="BA82" i="15"/>
  <c r="BA23" i="15"/>
  <c r="AW114" i="15"/>
  <c r="AZ114" i="15"/>
  <c r="AY92" i="15"/>
  <c r="BA92" i="15"/>
  <c r="AY78" i="15"/>
  <c r="BA78" i="15"/>
  <c r="AY112" i="15"/>
  <c r="BA112" i="15"/>
  <c r="AY115" i="15"/>
  <c r="BA115" i="15"/>
  <c r="AY108" i="15"/>
  <c r="BA108" i="15"/>
  <c r="AY100" i="15"/>
  <c r="BA100" i="15"/>
  <c r="AY120" i="15"/>
  <c r="BA120" i="15"/>
  <c r="AY88" i="15"/>
  <c r="BA88" i="15"/>
  <c r="AY60" i="15"/>
  <c r="BA60" i="15"/>
  <c r="AY61" i="15"/>
  <c r="BA61" i="15"/>
  <c r="AY96" i="15"/>
  <c r="BA96" i="15"/>
  <c r="AY47" i="15"/>
  <c r="BA47" i="15"/>
  <c r="AY76" i="15"/>
  <c r="BA76" i="15"/>
  <c r="AY53" i="15"/>
  <c r="BA53" i="15"/>
  <c r="AY48" i="15"/>
  <c r="BA48" i="15"/>
  <c r="AY37" i="15"/>
  <c r="BA37" i="15"/>
  <c r="AY17" i="15"/>
  <c r="BA17" i="15"/>
  <c r="AY41" i="15"/>
  <c r="BA41" i="15"/>
  <c r="AY43" i="15"/>
  <c r="BA43" i="15"/>
  <c r="AY39" i="15"/>
  <c r="BA39" i="15"/>
  <c r="AY12" i="15"/>
  <c r="BA12" i="15"/>
  <c r="AZ120" i="15"/>
  <c r="AZ60" i="15"/>
  <c r="AZ96" i="15"/>
  <c r="AZ76" i="15"/>
  <c r="AZ53" i="15"/>
  <c r="AZ17" i="15"/>
  <c r="AZ12" i="15"/>
  <c r="AV123" i="15"/>
  <c r="AZ123" i="15"/>
  <c r="BA123" i="15"/>
  <c r="AI121" i="15"/>
  <c r="AZ121" i="15"/>
  <c r="BA121" i="15"/>
  <c r="AW95" i="15"/>
  <c r="AZ95" i="15"/>
  <c r="BA95" i="15"/>
  <c r="AZ92" i="15"/>
  <c r="AZ78" i="15"/>
  <c r="AZ108" i="15"/>
  <c r="AZ88" i="15"/>
  <c r="AZ48" i="15"/>
  <c r="AZ41" i="15"/>
  <c r="BA114" i="15"/>
  <c r="AI69" i="15"/>
  <c r="AY116" i="15"/>
  <c r="BA116" i="15"/>
  <c r="AY118" i="15"/>
  <c r="BA118" i="15"/>
  <c r="AY110" i="15"/>
  <c r="BA110" i="15"/>
  <c r="AY67" i="15"/>
  <c r="BA67" i="15"/>
  <c r="AY106" i="15"/>
  <c r="BA106" i="15"/>
  <c r="AY75" i="15"/>
  <c r="BA75" i="15"/>
  <c r="AX79" i="15"/>
  <c r="BA79" i="15"/>
  <c r="AY109" i="15"/>
  <c r="BA109" i="15"/>
  <c r="AY72" i="15"/>
  <c r="BA72" i="15"/>
  <c r="AY45" i="15"/>
  <c r="BA45" i="15"/>
  <c r="AY57" i="15"/>
  <c r="BA57" i="15"/>
  <c r="AY73" i="15"/>
  <c r="BA73" i="15"/>
  <c r="AY81" i="15"/>
  <c r="BA81" i="15"/>
  <c r="AY59" i="15"/>
  <c r="BA59" i="15"/>
  <c r="AY46" i="15"/>
  <c r="BA46" i="15"/>
  <c r="AY56" i="15"/>
  <c r="BA56" i="15"/>
  <c r="AY28" i="15"/>
  <c r="BA28" i="15"/>
  <c r="AY42" i="15"/>
  <c r="BA42" i="15"/>
  <c r="AY26" i="15"/>
  <c r="BA26" i="15"/>
  <c r="AY20" i="15"/>
  <c r="BA20" i="15"/>
  <c r="AX22" i="15"/>
  <c r="BA22" i="15"/>
  <c r="AZ116" i="15"/>
  <c r="AZ118" i="15"/>
  <c r="AZ110" i="15"/>
  <c r="AZ67" i="15"/>
  <c r="AZ106" i="15"/>
  <c r="AZ75" i="15"/>
  <c r="AZ79" i="15"/>
  <c r="AZ109" i="15"/>
  <c r="AZ72" i="15"/>
  <c r="AZ45" i="15"/>
  <c r="AZ57" i="15"/>
  <c r="AZ73" i="15"/>
  <c r="AZ81" i="15"/>
  <c r="AZ59" i="15"/>
  <c r="AZ46" i="15"/>
  <c r="AZ56" i="15"/>
  <c r="AZ28" i="15"/>
  <c r="AZ42" i="15"/>
  <c r="AZ26" i="15"/>
  <c r="AZ20" i="15"/>
  <c r="AZ22" i="15"/>
  <c r="BA51" i="15"/>
  <c r="BA90" i="15"/>
  <c r="BA55" i="15"/>
  <c r="BA16" i="15"/>
  <c r="BA13" i="15"/>
  <c r="AX101" i="15"/>
  <c r="BA101" i="15"/>
  <c r="AY105" i="15"/>
  <c r="BA105" i="15"/>
  <c r="AY91" i="15"/>
  <c r="BA91" i="15"/>
  <c r="AY103" i="15"/>
  <c r="BA103" i="15"/>
  <c r="AY122" i="15"/>
  <c r="BA122" i="15"/>
  <c r="AX70" i="15"/>
  <c r="BA70" i="15"/>
  <c r="AX89" i="15"/>
  <c r="BA89" i="15"/>
  <c r="AX86" i="15"/>
  <c r="BA86" i="15"/>
  <c r="AX84" i="15"/>
  <c r="BA84" i="15"/>
  <c r="AX52" i="15"/>
  <c r="BA52" i="15"/>
  <c r="AX80" i="15"/>
  <c r="BA80" i="15"/>
  <c r="AZ101" i="15"/>
  <c r="AZ105" i="15"/>
  <c r="AZ91" i="15"/>
  <c r="AZ103" i="15"/>
  <c r="AZ122" i="15"/>
  <c r="AZ111" i="15"/>
  <c r="AZ70" i="15"/>
  <c r="AZ89" i="15"/>
  <c r="AZ77" i="15"/>
  <c r="AZ102" i="15"/>
  <c r="AZ86" i="15"/>
  <c r="AZ84" i="15"/>
  <c r="AZ40" i="15"/>
  <c r="AZ58" i="15"/>
  <c r="AZ49" i="15"/>
  <c r="AZ52" i="15"/>
  <c r="AZ68" i="15"/>
  <c r="AZ80" i="15"/>
  <c r="AZ25" i="15"/>
  <c r="AZ36" i="15"/>
  <c r="AZ18" i="15"/>
  <c r="AZ29" i="15"/>
  <c r="AZ15" i="15"/>
  <c r="BA85" i="15"/>
  <c r="BA69" i="15"/>
  <c r="BA35" i="15"/>
  <c r="BA54" i="15"/>
  <c r="AX75" i="15"/>
  <c r="AZ85" i="15"/>
  <c r="AZ82" i="15"/>
  <c r="AZ51" i="15"/>
  <c r="AZ38" i="15"/>
  <c r="AZ90" i="15"/>
  <c r="AZ69" i="15"/>
  <c r="AZ44" i="15"/>
  <c r="AZ55" i="15"/>
  <c r="AZ35" i="15"/>
  <c r="AZ31" i="15"/>
  <c r="AZ19" i="15"/>
  <c r="AZ16" i="15"/>
  <c r="AZ54" i="15"/>
  <c r="AZ23" i="15"/>
  <c r="AZ13" i="15"/>
  <c r="BA31" i="15"/>
  <c r="AI38" i="15"/>
  <c r="AI31" i="15"/>
  <c r="AL23" i="15"/>
  <c r="AX45" i="15"/>
  <c r="AI95" i="15"/>
  <c r="AI55" i="15"/>
  <c r="AI54" i="15"/>
  <c r="AX67" i="15"/>
  <c r="AX56" i="15"/>
  <c r="AY38" i="15"/>
  <c r="AI115" i="15"/>
  <c r="AL76" i="15"/>
  <c r="AX116" i="15"/>
  <c r="AX110" i="15"/>
  <c r="AX106" i="15"/>
  <c r="AX81" i="15"/>
  <c r="AX28" i="15"/>
  <c r="AY114" i="15"/>
  <c r="AY44" i="15"/>
  <c r="AL120" i="15"/>
  <c r="AL53" i="15"/>
  <c r="AX118" i="15"/>
  <c r="AX109" i="15"/>
  <c r="AX57" i="15"/>
  <c r="AX59" i="15"/>
  <c r="AX42" i="15"/>
  <c r="AX20" i="15"/>
  <c r="AY95" i="15"/>
  <c r="AY19" i="15"/>
  <c r="AL60" i="15"/>
  <c r="AL17" i="15"/>
  <c r="AX72" i="15"/>
  <c r="AX73" i="15"/>
  <c r="AX46" i="15"/>
  <c r="AY82" i="15"/>
  <c r="AY23" i="15"/>
  <c r="AV111" i="15"/>
  <c r="AY111" i="15"/>
  <c r="AV77" i="15"/>
  <c r="AY77" i="15"/>
  <c r="AV102" i="15"/>
  <c r="AY102" i="15"/>
  <c r="AV40" i="15"/>
  <c r="AY40" i="15"/>
  <c r="AV58" i="15"/>
  <c r="AY58" i="15"/>
  <c r="AV49" i="15"/>
  <c r="AY49" i="15"/>
  <c r="AV68" i="15"/>
  <c r="AY68" i="15"/>
  <c r="AV25" i="15"/>
  <c r="AY25" i="15"/>
  <c r="AV36" i="15"/>
  <c r="AY36" i="15"/>
  <c r="AV18" i="15"/>
  <c r="AY18" i="15"/>
  <c r="AV29" i="15"/>
  <c r="AY29" i="15"/>
  <c r="AV15" i="15"/>
  <c r="AY15" i="15"/>
  <c r="AX105" i="15"/>
  <c r="AX91" i="15"/>
  <c r="AX103" i="15"/>
  <c r="AX122" i="15"/>
  <c r="AX111" i="15"/>
  <c r="AX77" i="15"/>
  <c r="AX102" i="15"/>
  <c r="AX40" i="15"/>
  <c r="AX58" i="15"/>
  <c r="AX49" i="15"/>
  <c r="AX68" i="15"/>
  <c r="AX25" i="15"/>
  <c r="AX36" i="15"/>
  <c r="AX18" i="15"/>
  <c r="AX29" i="15"/>
  <c r="AX15" i="15"/>
  <c r="AY123" i="15"/>
  <c r="AY51" i="15"/>
  <c r="AY90" i="15"/>
  <c r="AY55" i="15"/>
  <c r="AY16" i="15"/>
  <c r="AY13" i="15"/>
  <c r="AV70" i="15"/>
  <c r="AY70" i="15"/>
  <c r="AV86" i="15"/>
  <c r="AY86" i="15"/>
  <c r="AV84" i="15"/>
  <c r="AY84" i="15"/>
  <c r="AV52" i="15"/>
  <c r="AY52" i="15"/>
  <c r="AV80" i="15"/>
  <c r="AY80" i="15"/>
  <c r="AX114" i="15"/>
  <c r="AX123" i="15"/>
  <c r="AX121" i="15"/>
  <c r="AX95" i="15"/>
  <c r="AX85" i="15"/>
  <c r="AX82" i="15"/>
  <c r="AX51" i="15"/>
  <c r="AX38" i="15"/>
  <c r="AX90" i="15"/>
  <c r="AX69" i="15"/>
  <c r="AX44" i="15"/>
  <c r="AX55" i="15"/>
  <c r="AX35" i="15"/>
  <c r="AX31" i="15"/>
  <c r="AX19" i="15"/>
  <c r="AX16" i="15"/>
  <c r="AX54" i="15"/>
  <c r="AX23" i="15"/>
  <c r="AX13" i="15"/>
  <c r="AY121" i="15"/>
  <c r="AY85" i="15"/>
  <c r="AY35" i="15"/>
  <c r="AV101" i="15"/>
  <c r="AY101" i="15"/>
  <c r="AV89" i="15"/>
  <c r="AY89" i="15"/>
  <c r="AI79" i="15"/>
  <c r="AY79" i="15"/>
  <c r="AI22" i="15"/>
  <c r="AY22" i="15"/>
  <c r="AX92" i="15"/>
  <c r="AX78" i="15"/>
  <c r="AX112" i="15"/>
  <c r="AX115" i="15"/>
  <c r="AX108" i="15"/>
  <c r="AX100" i="15"/>
  <c r="AX120" i="15"/>
  <c r="AX88" i="15"/>
  <c r="AX60" i="15"/>
  <c r="AX61" i="15"/>
  <c r="AX96" i="15"/>
  <c r="AX47" i="15"/>
  <c r="AX76" i="15"/>
  <c r="AX53" i="15"/>
  <c r="AX48" i="15"/>
  <c r="AX37" i="15"/>
  <c r="AX17" i="15"/>
  <c r="AX41" i="15"/>
  <c r="AX43" i="15"/>
  <c r="AX39" i="15"/>
  <c r="AX12" i="15"/>
  <c r="AI51" i="15"/>
  <c r="AI19" i="15"/>
  <c r="AI114" i="15"/>
  <c r="AI23" i="15"/>
  <c r="AI123" i="15"/>
  <c r="AI82" i="15"/>
  <c r="AI90" i="15"/>
  <c r="AI13" i="15"/>
  <c r="AI44" i="15"/>
  <c r="AI16" i="15"/>
  <c r="AV95" i="15"/>
  <c r="AV19" i="15"/>
  <c r="AV82" i="15"/>
  <c r="AV23" i="15"/>
  <c r="AW58" i="15"/>
  <c r="AT38" i="15"/>
  <c r="AV38" i="15"/>
  <c r="AW101" i="15"/>
  <c r="AW80" i="15"/>
  <c r="AT23" i="15"/>
  <c r="AV114" i="15"/>
  <c r="AV44" i="15"/>
  <c r="AW89" i="15"/>
  <c r="AT118" i="15"/>
  <c r="AW118" i="15"/>
  <c r="AV118" i="15"/>
  <c r="AT110" i="15"/>
  <c r="AW110" i="15"/>
  <c r="AV110" i="15"/>
  <c r="AT67" i="15"/>
  <c r="AW67" i="15"/>
  <c r="AV67" i="15"/>
  <c r="AT75" i="15"/>
  <c r="AW75" i="15"/>
  <c r="AV75" i="15"/>
  <c r="AT109" i="15"/>
  <c r="AW109" i="15"/>
  <c r="AV109" i="15"/>
  <c r="AV50" i="15"/>
  <c r="AT59" i="15"/>
  <c r="AW59" i="15"/>
  <c r="AV59" i="15"/>
  <c r="AT56" i="15"/>
  <c r="X56" i="15" s="1"/>
  <c r="AW56" i="15"/>
  <c r="AV56" i="15"/>
  <c r="AT42" i="15"/>
  <c r="AW42" i="15"/>
  <c r="AV42" i="15"/>
  <c r="AT26" i="15"/>
  <c r="AW26" i="15"/>
  <c r="AV26" i="15"/>
  <c r="AT20" i="15"/>
  <c r="AW20" i="15"/>
  <c r="AV20" i="15"/>
  <c r="AT11" i="15"/>
  <c r="AV105" i="15"/>
  <c r="AW105" i="15"/>
  <c r="AV91" i="15"/>
  <c r="AW91" i="15"/>
  <c r="AV103" i="15"/>
  <c r="AW103" i="15"/>
  <c r="AV122" i="15"/>
  <c r="AW122" i="15"/>
  <c r="AT106" i="15"/>
  <c r="AW106" i="15"/>
  <c r="AV106" i="15"/>
  <c r="AT79" i="15"/>
  <c r="AW79" i="15"/>
  <c r="AV79" i="15"/>
  <c r="AT72" i="15"/>
  <c r="AW72" i="15"/>
  <c r="AV72" i="15"/>
  <c r="AT57" i="15"/>
  <c r="AW57" i="15"/>
  <c r="AV57" i="15"/>
  <c r="AI57" i="15"/>
  <c r="AT73" i="15"/>
  <c r="AW73" i="15"/>
  <c r="AV73" i="15"/>
  <c r="AT81" i="15"/>
  <c r="AW81" i="15"/>
  <c r="AV81" i="15"/>
  <c r="AT46" i="15"/>
  <c r="AW46" i="15"/>
  <c r="AV46" i="15"/>
  <c r="AI46" i="15"/>
  <c r="AT28" i="15"/>
  <c r="AW28" i="15"/>
  <c r="AV28" i="15"/>
  <c r="AI28" i="15"/>
  <c r="AV14" i="15"/>
  <c r="AT22" i="15"/>
  <c r="AW22" i="15"/>
  <c r="AV22" i="15"/>
  <c r="AI72" i="15"/>
  <c r="AI73" i="15"/>
  <c r="AI81" i="15"/>
  <c r="AT116" i="15"/>
  <c r="AW116" i="15"/>
  <c r="AV116" i="15"/>
  <c r="AT45" i="15"/>
  <c r="AW45" i="15"/>
  <c r="AV45" i="15"/>
  <c r="AI67" i="15"/>
  <c r="AI75" i="15"/>
  <c r="AI109" i="15"/>
  <c r="AI42" i="15"/>
  <c r="AT114" i="15"/>
  <c r="AT44" i="15"/>
  <c r="AW77" i="15"/>
  <c r="AW84" i="15"/>
  <c r="AW49" i="15"/>
  <c r="AW25" i="15"/>
  <c r="AW18" i="15"/>
  <c r="AT123" i="15"/>
  <c r="AW123" i="15"/>
  <c r="AT121" i="15"/>
  <c r="AW121" i="15"/>
  <c r="AT85" i="15"/>
  <c r="AW85" i="15"/>
  <c r="AT51" i="15"/>
  <c r="AW51" i="15"/>
  <c r="AW113" i="15"/>
  <c r="AT90" i="15"/>
  <c r="AW90" i="15"/>
  <c r="AT69" i="15"/>
  <c r="AW69" i="15"/>
  <c r="AT55" i="15"/>
  <c r="AW55" i="15"/>
  <c r="AT35" i="15"/>
  <c r="AW35" i="15"/>
  <c r="AT31" i="15"/>
  <c r="AW31" i="15"/>
  <c r="AT16" i="15"/>
  <c r="AW16" i="15"/>
  <c r="AT54" i="15"/>
  <c r="AW54" i="15"/>
  <c r="AW24" i="15"/>
  <c r="AT13" i="15"/>
  <c r="AW13" i="15"/>
  <c r="AT95" i="15"/>
  <c r="AT19" i="15"/>
  <c r="AV121" i="15"/>
  <c r="AV85" i="15"/>
  <c r="AV69" i="15"/>
  <c r="AV35" i="15"/>
  <c r="AV54" i="15"/>
  <c r="AW111" i="15"/>
  <c r="AW102" i="15"/>
  <c r="AW40" i="15"/>
  <c r="AW52" i="15"/>
  <c r="AW29" i="15"/>
  <c r="AT92" i="15"/>
  <c r="AW92" i="15"/>
  <c r="AV92" i="15"/>
  <c r="AT78" i="15"/>
  <c r="AW78" i="15"/>
  <c r="AV78" i="15"/>
  <c r="AT112" i="15"/>
  <c r="AW112" i="15"/>
  <c r="AV112" i="15"/>
  <c r="AT115" i="15"/>
  <c r="AW115" i="15"/>
  <c r="AV115" i="15"/>
  <c r="AT108" i="15"/>
  <c r="AW108" i="15"/>
  <c r="AV108" i="15"/>
  <c r="AT100" i="15"/>
  <c r="AW100" i="15"/>
  <c r="AV100" i="15"/>
  <c r="AT120" i="15"/>
  <c r="AW120" i="15"/>
  <c r="AV120" i="15"/>
  <c r="AT88" i="15"/>
  <c r="AW88" i="15"/>
  <c r="AV88" i="15"/>
  <c r="AT60" i="15"/>
  <c r="AW60" i="15"/>
  <c r="AV60" i="15"/>
  <c r="AT61" i="15"/>
  <c r="AW61" i="15"/>
  <c r="AV61" i="15"/>
  <c r="AT96" i="15"/>
  <c r="AW96" i="15"/>
  <c r="AV96" i="15"/>
  <c r="AT47" i="15"/>
  <c r="AW47" i="15"/>
  <c r="AV47" i="15"/>
  <c r="AT76" i="15"/>
  <c r="AW76" i="15"/>
  <c r="AV76" i="15"/>
  <c r="AV33" i="15"/>
  <c r="AT53" i="15"/>
  <c r="AW53" i="15"/>
  <c r="AV53" i="15"/>
  <c r="AT48" i="15"/>
  <c r="AW48" i="15"/>
  <c r="AV48" i="15"/>
  <c r="AT37" i="15"/>
  <c r="AW37" i="15"/>
  <c r="AV37" i="15"/>
  <c r="AT17" i="15"/>
  <c r="AW17" i="15"/>
  <c r="AV17" i="15"/>
  <c r="AT41" i="15"/>
  <c r="AW41" i="15"/>
  <c r="AV41" i="15"/>
  <c r="AT43" i="15"/>
  <c r="AW43" i="15"/>
  <c r="AV43" i="15"/>
  <c r="AT39" i="15"/>
  <c r="AW39" i="15"/>
  <c r="AV39" i="15"/>
  <c r="AT12" i="15"/>
  <c r="AW12" i="15"/>
  <c r="AV12" i="15"/>
  <c r="AT82" i="15"/>
  <c r="AV31" i="15"/>
  <c r="AW70" i="15"/>
  <c r="AW86" i="15"/>
  <c r="AW68" i="15"/>
  <c r="AW36" i="15"/>
  <c r="AW15" i="15"/>
  <c r="AI12" i="15"/>
  <c r="AI47" i="15"/>
  <c r="AL92" i="15"/>
  <c r="AL78" i="15"/>
  <c r="AL41" i="15"/>
  <c r="AI112" i="15"/>
  <c r="AI61" i="15"/>
  <c r="AI37" i="15"/>
  <c r="AL88" i="15"/>
  <c r="AI39" i="15"/>
  <c r="AI92" i="15"/>
  <c r="AI78" i="15"/>
  <c r="AI118" i="15"/>
  <c r="AI108" i="15"/>
  <c r="AI88" i="15"/>
  <c r="AI48" i="15"/>
  <c r="AI41" i="15"/>
  <c r="AL112" i="15"/>
  <c r="AL100" i="15"/>
  <c r="AL61" i="15"/>
  <c r="AL47" i="15"/>
  <c r="AL83" i="15"/>
  <c r="AL37" i="15"/>
  <c r="AL43" i="15"/>
  <c r="AI101" i="15"/>
  <c r="AT101" i="15"/>
  <c r="AI105" i="15"/>
  <c r="AT105" i="15"/>
  <c r="AI91" i="15"/>
  <c r="AT91" i="15"/>
  <c r="AI103" i="15"/>
  <c r="AT103" i="15"/>
  <c r="AI122" i="15"/>
  <c r="AT122" i="15"/>
  <c r="AI111" i="15"/>
  <c r="AT111" i="15"/>
  <c r="AI70" i="15"/>
  <c r="AT70" i="15"/>
  <c r="AI89" i="15"/>
  <c r="AT89" i="15"/>
  <c r="AI77" i="15"/>
  <c r="AT77" i="15"/>
  <c r="AI102" i="15"/>
  <c r="AT102" i="15"/>
  <c r="AI86" i="15"/>
  <c r="AT86" i="15"/>
  <c r="AI84" i="15"/>
  <c r="AT84" i="15"/>
  <c r="AI40" i="15"/>
  <c r="AT40" i="15"/>
  <c r="AI58" i="15"/>
  <c r="AT58" i="15"/>
  <c r="AI49" i="15"/>
  <c r="AT49" i="15"/>
  <c r="AI52" i="15"/>
  <c r="AT52" i="15"/>
  <c r="AI68" i="15"/>
  <c r="AT68" i="15"/>
  <c r="AI80" i="15"/>
  <c r="AT80" i="15"/>
  <c r="AI25" i="15"/>
  <c r="AT25" i="15"/>
  <c r="AI36" i="15"/>
  <c r="AT36" i="15"/>
  <c r="AI18" i="15"/>
  <c r="AT18" i="15"/>
  <c r="AI29" i="15"/>
  <c r="AT29" i="15"/>
  <c r="AL15" i="15"/>
  <c r="AT15" i="15"/>
  <c r="AI100" i="15"/>
  <c r="AI43" i="15"/>
  <c r="AL108" i="15"/>
  <c r="AL48" i="15"/>
  <c r="AI116" i="15"/>
  <c r="AI110" i="15"/>
  <c r="AI120" i="15"/>
  <c r="AI106" i="15"/>
  <c r="AI60" i="15"/>
  <c r="AI96" i="15"/>
  <c r="AI76" i="15"/>
  <c r="AI53" i="15"/>
  <c r="AI17" i="15"/>
  <c r="AL115" i="15"/>
  <c r="AI15" i="15"/>
  <c r="AL29" i="15"/>
  <c r="AP15" i="15"/>
  <c r="AP115" i="15"/>
  <c r="AP21" i="15"/>
  <c r="AP29" i="15"/>
  <c r="AP122" i="15"/>
  <c r="AP70" i="15"/>
  <c r="AP102" i="15"/>
  <c r="AP40" i="15"/>
  <c r="AL58" i="15"/>
  <c r="AP58" i="15"/>
  <c r="AP52" i="15"/>
  <c r="AL80" i="15"/>
  <c r="AP80" i="15"/>
  <c r="AL25" i="15"/>
  <c r="AP25" i="15"/>
  <c r="AL36" i="15"/>
  <c r="AP36" i="15"/>
  <c r="AL18" i="15"/>
  <c r="AP18" i="15"/>
  <c r="AP114" i="15"/>
  <c r="AL123" i="15"/>
  <c r="AP123" i="15"/>
  <c r="AP121" i="15"/>
  <c r="AL95" i="15"/>
  <c r="AP95" i="15"/>
  <c r="AL85" i="15"/>
  <c r="AP85" i="15"/>
  <c r="AL82" i="15"/>
  <c r="AP82" i="15"/>
  <c r="AL51" i="15"/>
  <c r="AP51" i="15"/>
  <c r="AL38" i="15"/>
  <c r="AP38" i="15"/>
  <c r="AL90" i="15"/>
  <c r="AP90" i="15"/>
  <c r="AP69" i="15"/>
  <c r="AP44" i="15"/>
  <c r="AL55" i="15"/>
  <c r="AP55" i="15"/>
  <c r="AL35" i="15"/>
  <c r="AP35" i="15"/>
  <c r="AL31" i="15"/>
  <c r="AP31" i="15"/>
  <c r="AL19" i="15"/>
  <c r="AP19" i="15"/>
  <c r="AL16" i="15"/>
  <c r="AP16" i="15"/>
  <c r="AL54" i="15"/>
  <c r="AP54" i="15"/>
  <c r="AP23" i="15"/>
  <c r="AP13" i="15"/>
  <c r="AP120" i="15"/>
  <c r="AP60" i="15"/>
  <c r="AP96" i="15"/>
  <c r="AP76" i="15"/>
  <c r="AP53" i="15"/>
  <c r="AP17" i="15"/>
  <c r="AP105" i="15"/>
  <c r="AP91" i="15"/>
  <c r="AP89" i="15"/>
  <c r="AP39" i="15"/>
  <c r="AP12" i="15"/>
  <c r="AP92" i="15"/>
  <c r="AP78" i="15"/>
  <c r="AP108" i="15"/>
  <c r="AP88" i="15"/>
  <c r="AP48" i="15"/>
  <c r="AP41" i="15"/>
  <c r="AP101" i="15"/>
  <c r="AP103" i="15"/>
  <c r="AP111" i="15"/>
  <c r="AP77" i="15"/>
  <c r="AP86" i="15"/>
  <c r="AL84" i="15"/>
  <c r="AP84" i="15"/>
  <c r="AL49" i="15"/>
  <c r="AP49" i="15"/>
  <c r="AL68" i="15"/>
  <c r="AP68" i="15"/>
  <c r="AP116" i="15"/>
  <c r="AL118" i="15"/>
  <c r="AP118" i="15"/>
  <c r="AP110" i="15"/>
  <c r="AP67" i="15"/>
  <c r="AP106" i="15"/>
  <c r="AP75" i="15"/>
  <c r="AP79" i="15"/>
  <c r="AL109" i="15"/>
  <c r="AP109" i="15"/>
  <c r="AP72" i="15"/>
  <c r="AP45" i="15"/>
  <c r="AP57" i="15"/>
  <c r="AL73" i="15"/>
  <c r="AP73" i="15"/>
  <c r="AL81" i="15"/>
  <c r="AP81" i="15"/>
  <c r="AP59" i="15"/>
  <c r="AL46" i="15"/>
  <c r="AP46" i="15"/>
  <c r="AL56" i="15"/>
  <c r="AP56" i="15"/>
  <c r="AL28" i="15"/>
  <c r="AP28" i="15"/>
  <c r="AL42" i="15"/>
  <c r="AP42" i="15"/>
  <c r="AP32" i="15"/>
  <c r="AL26" i="15"/>
  <c r="AP26" i="15"/>
  <c r="AL20" i="15"/>
  <c r="AP20" i="15"/>
  <c r="AP22" i="15"/>
  <c r="AP112" i="15"/>
  <c r="AP100" i="15"/>
  <c r="AP61" i="15"/>
  <c r="AP47" i="15"/>
  <c r="AP37" i="15"/>
  <c r="AP43" i="15"/>
  <c r="AL39" i="15"/>
  <c r="AL12" i="15"/>
  <c r="AL101" i="15"/>
  <c r="AL105" i="15"/>
  <c r="AL91" i="15"/>
  <c r="AL103" i="15"/>
  <c r="AL122" i="15"/>
  <c r="AL111" i="15"/>
  <c r="AL70" i="15"/>
  <c r="AL89" i="15"/>
  <c r="AL77" i="15"/>
  <c r="AL102" i="15"/>
  <c r="AL86" i="15"/>
  <c r="AL40" i="15"/>
  <c r="AL52" i="15"/>
  <c r="AL22" i="15"/>
  <c r="AL114" i="15"/>
  <c r="AL121" i="15"/>
  <c r="AL117" i="15"/>
  <c r="AL69" i="15"/>
  <c r="AL44" i="15"/>
  <c r="AL13" i="15"/>
  <c r="AL116" i="15"/>
  <c r="AL110" i="15"/>
  <c r="AL67" i="15"/>
  <c r="AL106" i="15"/>
  <c r="AL75" i="15"/>
  <c r="AL79" i="15"/>
  <c r="AL72" i="15"/>
  <c r="AL45" i="15"/>
  <c r="AL57" i="15"/>
  <c r="AL59" i="15"/>
  <c r="U23" i="21"/>
  <c r="U26" i="21"/>
  <c r="BB96" i="14"/>
  <c r="AY96" i="14"/>
  <c r="BJ96" i="14"/>
  <c r="BF96" i="14"/>
  <c r="AU96" i="14"/>
  <c r="AQ96" i="14"/>
  <c r="AL96" i="14"/>
  <c r="AM96" i="14"/>
  <c r="AX96" i="14"/>
  <c r="V96" i="14" s="1"/>
  <c r="BB48" i="14"/>
  <c r="BJ48" i="14"/>
  <c r="BF48" i="14"/>
  <c r="AY48" i="14"/>
  <c r="V48" i="14" s="1"/>
  <c r="AU48" i="14"/>
  <c r="AQ48" i="14"/>
  <c r="AL48" i="14"/>
  <c r="AM48" i="14"/>
  <c r="AX48" i="14"/>
  <c r="BB12" i="14"/>
  <c r="BJ12" i="14"/>
  <c r="BF12" i="14"/>
  <c r="AY12" i="14"/>
  <c r="AU12" i="14"/>
  <c r="AQ12" i="14"/>
  <c r="AL12" i="14"/>
  <c r="R12" i="14" s="1"/>
  <c r="AM12" i="14"/>
  <c r="AX12" i="14"/>
  <c r="BB66" i="14"/>
  <c r="AY66" i="14"/>
  <c r="V66" i="14" s="1"/>
  <c r="BJ66" i="14"/>
  <c r="BF66" i="14"/>
  <c r="AU66" i="14"/>
  <c r="AQ66" i="14"/>
  <c r="AL66" i="14"/>
  <c r="AM66" i="14"/>
  <c r="AX66" i="14"/>
  <c r="BB71" i="14"/>
  <c r="BJ71" i="14"/>
  <c r="BF71" i="14"/>
  <c r="AY71" i="14"/>
  <c r="AU71" i="14"/>
  <c r="AQ71" i="14"/>
  <c r="AL71" i="14"/>
  <c r="AM71" i="14"/>
  <c r="AX71" i="14"/>
  <c r="V71" i="14" s="1"/>
  <c r="BB59" i="14"/>
  <c r="BJ59" i="14"/>
  <c r="BF59" i="14"/>
  <c r="AY59" i="14"/>
  <c r="V59" i="14" s="1"/>
  <c r="AU59" i="14"/>
  <c r="AQ59" i="14"/>
  <c r="AL59" i="14"/>
  <c r="AM59" i="14"/>
  <c r="R59" i="14" s="1"/>
  <c r="AX59" i="14"/>
  <c r="BJ21" i="14"/>
  <c r="BF21" i="14"/>
  <c r="BB21" i="14"/>
  <c r="AY21" i="14"/>
  <c r="AU21" i="14"/>
  <c r="AQ21" i="14"/>
  <c r="AL21" i="14"/>
  <c r="R21" i="14" s="1"/>
  <c r="AX21" i="14"/>
  <c r="AM21" i="14"/>
  <c r="BJ50" i="14"/>
  <c r="BF50" i="14"/>
  <c r="BB50" i="14"/>
  <c r="AY50" i="14"/>
  <c r="AU50" i="14"/>
  <c r="AQ50" i="14"/>
  <c r="AL50" i="14"/>
  <c r="AX50" i="14"/>
  <c r="AM50" i="14"/>
  <c r="BB65" i="14"/>
  <c r="AY65" i="14"/>
  <c r="BJ65" i="14"/>
  <c r="BF65" i="14"/>
  <c r="AU65" i="14"/>
  <c r="AQ65" i="14"/>
  <c r="AL65" i="14"/>
  <c r="AX65" i="14"/>
  <c r="AM65" i="14"/>
  <c r="BJ55" i="14"/>
  <c r="BF55" i="14"/>
  <c r="BB55" i="14"/>
  <c r="AY55" i="14"/>
  <c r="AU55" i="14"/>
  <c r="AQ55" i="14"/>
  <c r="AL55" i="14"/>
  <c r="AX55" i="14"/>
  <c r="V55" i="14" s="1"/>
  <c r="AM55" i="14"/>
  <c r="BB16" i="14"/>
  <c r="BJ16" i="14"/>
  <c r="BF16" i="14"/>
  <c r="AY16" i="14"/>
  <c r="AU16" i="14"/>
  <c r="AQ16" i="14"/>
  <c r="AL16" i="14"/>
  <c r="R16" i="14" s="1"/>
  <c r="AX16" i="14"/>
  <c r="AM16" i="14"/>
  <c r="BB36" i="14"/>
  <c r="AY36" i="14"/>
  <c r="V36" i="14" s="1"/>
  <c r="BJ36" i="14"/>
  <c r="BF36" i="14"/>
  <c r="AU36" i="14"/>
  <c r="AQ36" i="14"/>
  <c r="AL36" i="14"/>
  <c r="AX36" i="14"/>
  <c r="AM36" i="14"/>
  <c r="BJ68" i="14"/>
  <c r="BF68" i="14"/>
  <c r="BB68" i="14"/>
  <c r="AY68" i="14"/>
  <c r="AU68" i="14"/>
  <c r="AQ68" i="14"/>
  <c r="AL68" i="14"/>
  <c r="AX68" i="14"/>
  <c r="AM68" i="14"/>
  <c r="BB51" i="14"/>
  <c r="BJ51" i="14"/>
  <c r="BF51" i="14"/>
  <c r="AY51" i="14"/>
  <c r="AU51" i="14"/>
  <c r="AQ51" i="14"/>
  <c r="AL51" i="14"/>
  <c r="AX51" i="14"/>
  <c r="AM51" i="14"/>
  <c r="BB32" i="14"/>
  <c r="BJ32" i="14"/>
  <c r="BF32" i="14"/>
  <c r="AY32" i="14"/>
  <c r="AU32" i="14"/>
  <c r="AQ32" i="14"/>
  <c r="AL32" i="14"/>
  <c r="R32" i="14" s="1"/>
  <c r="AX32" i="14"/>
  <c r="AM32" i="14"/>
  <c r="BB40" i="14"/>
  <c r="AY40" i="14"/>
  <c r="V40" i="14" s="1"/>
  <c r="BJ40" i="14"/>
  <c r="BF40" i="14"/>
  <c r="AU40" i="14"/>
  <c r="AQ40" i="14"/>
  <c r="AM40" i="14"/>
  <c r="AL40" i="14"/>
  <c r="R40" i="14" s="1"/>
  <c r="AX40" i="14"/>
  <c r="BB93" i="14"/>
  <c r="BJ93" i="14"/>
  <c r="BF93" i="14"/>
  <c r="AY93" i="14"/>
  <c r="AU93" i="14"/>
  <c r="AQ93" i="14"/>
  <c r="AL93" i="14"/>
  <c r="AX93" i="14"/>
  <c r="AM93" i="14"/>
  <c r="R93" i="14" s="1"/>
  <c r="BB15" i="14"/>
  <c r="BJ15" i="14"/>
  <c r="BF15" i="14"/>
  <c r="AY15" i="14"/>
  <c r="AU15" i="14"/>
  <c r="AQ15" i="14"/>
  <c r="AM15" i="14"/>
  <c r="AL15" i="14"/>
  <c r="AX15" i="14"/>
  <c r="BB85" i="14"/>
  <c r="BJ85" i="14"/>
  <c r="BF85" i="14"/>
  <c r="AY85" i="14"/>
  <c r="AU85" i="14"/>
  <c r="AQ85" i="14"/>
  <c r="AL85" i="14"/>
  <c r="R85" i="14" s="1"/>
  <c r="AX85" i="14"/>
  <c r="AM85" i="14"/>
  <c r="BB46" i="14"/>
  <c r="BJ46" i="14"/>
  <c r="BF46" i="14"/>
  <c r="AY46" i="14"/>
  <c r="AU46" i="14"/>
  <c r="AQ46" i="14"/>
  <c r="AM46" i="14"/>
  <c r="AL46" i="14"/>
  <c r="AX46" i="14"/>
  <c r="BB80" i="14"/>
  <c r="BJ80" i="14"/>
  <c r="AY80" i="14"/>
  <c r="BF80" i="14"/>
  <c r="AU80" i="14"/>
  <c r="AQ80" i="14"/>
  <c r="AM80" i="14"/>
  <c r="AL80" i="14"/>
  <c r="AX80" i="14"/>
  <c r="BJ81" i="14"/>
  <c r="BF81" i="14"/>
  <c r="AY81" i="14"/>
  <c r="BB81" i="14"/>
  <c r="AQ81" i="14"/>
  <c r="AU81" i="14"/>
  <c r="AM81" i="14"/>
  <c r="AL81" i="14"/>
  <c r="R81" i="14" s="1"/>
  <c r="AX81" i="14"/>
  <c r="BJ70" i="14"/>
  <c r="BF70" i="14"/>
  <c r="AY70" i="14"/>
  <c r="BB70" i="14"/>
  <c r="AQ70" i="14"/>
  <c r="AU70" i="14"/>
  <c r="AM70" i="14"/>
  <c r="R70" i="14" s="1"/>
  <c r="AL70" i="14"/>
  <c r="AX70" i="14"/>
  <c r="BJ41" i="14"/>
  <c r="BF41" i="14"/>
  <c r="AY41" i="14"/>
  <c r="BB41" i="14"/>
  <c r="AQ41" i="14"/>
  <c r="AU41" i="14"/>
  <c r="AM41" i="14"/>
  <c r="AL41" i="14"/>
  <c r="AX41" i="14"/>
  <c r="BJ75" i="14"/>
  <c r="BF75" i="14"/>
  <c r="AY75" i="14"/>
  <c r="BB75" i="14"/>
  <c r="AQ75" i="14"/>
  <c r="AU75" i="14"/>
  <c r="AM75" i="14"/>
  <c r="AL75" i="14"/>
  <c r="AX75" i="14"/>
  <c r="BB76" i="14"/>
  <c r="BJ76" i="14"/>
  <c r="BF76" i="14"/>
  <c r="AY76" i="14"/>
  <c r="V76" i="14" s="1"/>
  <c r="AQ76" i="14"/>
  <c r="AU76" i="14"/>
  <c r="AM76" i="14"/>
  <c r="AL76" i="14"/>
  <c r="R76" i="14" s="1"/>
  <c r="AX76" i="14"/>
  <c r="BB39" i="14"/>
  <c r="BJ39" i="14"/>
  <c r="BF39" i="14"/>
  <c r="AY39" i="14"/>
  <c r="AQ39" i="14"/>
  <c r="AU39" i="14"/>
  <c r="AM39" i="14"/>
  <c r="R39" i="14" s="1"/>
  <c r="AL39" i="14"/>
  <c r="AX39" i="14"/>
  <c r="BB77" i="14"/>
  <c r="BJ77" i="14"/>
  <c r="BF77" i="14"/>
  <c r="AY77" i="14"/>
  <c r="AU77" i="14"/>
  <c r="AQ77" i="14"/>
  <c r="AM77" i="14"/>
  <c r="AL77" i="14"/>
  <c r="R77" i="14" s="1"/>
  <c r="AX77" i="14"/>
  <c r="BB49" i="14"/>
  <c r="BJ49" i="14"/>
  <c r="BF49" i="14"/>
  <c r="AY49" i="14"/>
  <c r="AU49" i="14"/>
  <c r="AQ49" i="14"/>
  <c r="AM49" i="14"/>
  <c r="AL49" i="14"/>
  <c r="AX49" i="14"/>
  <c r="BB30" i="14"/>
  <c r="BJ30" i="14"/>
  <c r="BF30" i="14"/>
  <c r="AY30" i="14"/>
  <c r="AU30" i="14"/>
  <c r="AQ30" i="14"/>
  <c r="AM30" i="14"/>
  <c r="AL30" i="14"/>
  <c r="R30" i="14" s="1"/>
  <c r="AX30" i="14"/>
  <c r="BB25" i="14"/>
  <c r="BJ25" i="14"/>
  <c r="BF25" i="14"/>
  <c r="AY25" i="14"/>
  <c r="AU25" i="14"/>
  <c r="AQ25" i="14"/>
  <c r="AM25" i="14"/>
  <c r="AL25" i="14"/>
  <c r="AX25" i="14"/>
  <c r="BB52" i="14"/>
  <c r="BJ52" i="14"/>
  <c r="BF52" i="14"/>
  <c r="AY52" i="14"/>
  <c r="AU52" i="14"/>
  <c r="AQ52" i="14"/>
  <c r="AM52" i="14"/>
  <c r="AL52" i="14"/>
  <c r="AX52" i="14"/>
  <c r="BB38" i="14"/>
  <c r="BJ38" i="14"/>
  <c r="BF38" i="14"/>
  <c r="AY38" i="14"/>
  <c r="AU38" i="14"/>
  <c r="AQ38" i="14"/>
  <c r="AM38" i="14"/>
  <c r="AL38" i="14"/>
  <c r="AX38" i="14"/>
  <c r="BB13" i="14"/>
  <c r="BJ13" i="14"/>
  <c r="BF13" i="14"/>
  <c r="AY13" i="14"/>
  <c r="AU13" i="14"/>
  <c r="AQ13" i="14"/>
  <c r="AM13" i="14"/>
  <c r="AL13" i="14"/>
  <c r="AX13" i="14"/>
  <c r="BB33" i="14"/>
  <c r="BJ33" i="14"/>
  <c r="BF33" i="14"/>
  <c r="AY33" i="14"/>
  <c r="AU33" i="14"/>
  <c r="AQ33" i="14"/>
  <c r="AM33" i="14"/>
  <c r="R33" i="14" s="1"/>
  <c r="AL33" i="14"/>
  <c r="AX33" i="14"/>
  <c r="BB88" i="14"/>
  <c r="BJ88" i="14"/>
  <c r="BF88" i="14"/>
  <c r="AY88" i="14"/>
  <c r="AU88" i="14"/>
  <c r="AQ88" i="14"/>
  <c r="AM88" i="14"/>
  <c r="AL88" i="14"/>
  <c r="AX88" i="14"/>
  <c r="BB89" i="14"/>
  <c r="BJ89" i="14"/>
  <c r="BF89" i="14"/>
  <c r="AY89" i="14"/>
  <c r="AU89" i="14"/>
  <c r="AQ89" i="14"/>
  <c r="AM89" i="14"/>
  <c r="AL89" i="14"/>
  <c r="AX89" i="14"/>
  <c r="V89" i="14" s="1"/>
  <c r="BB24" i="14"/>
  <c r="BJ24" i="14"/>
  <c r="BF24" i="14"/>
  <c r="AY24" i="14"/>
  <c r="AU24" i="14"/>
  <c r="AQ24" i="14"/>
  <c r="AM24" i="14"/>
  <c r="AL24" i="14"/>
  <c r="R24" i="14" s="1"/>
  <c r="AX24" i="14"/>
  <c r="BB42" i="14"/>
  <c r="BJ42" i="14"/>
  <c r="BF42" i="14"/>
  <c r="AY42" i="14"/>
  <c r="AU42" i="14"/>
  <c r="AQ42" i="14"/>
  <c r="AM42" i="14"/>
  <c r="AL42" i="14"/>
  <c r="AX42" i="14"/>
  <c r="BB20" i="14"/>
  <c r="BJ20" i="14"/>
  <c r="BF20" i="14"/>
  <c r="AY20" i="14"/>
  <c r="AU20" i="14"/>
  <c r="AQ20" i="14"/>
  <c r="AM20" i="14"/>
  <c r="AL20" i="14"/>
  <c r="AX20" i="14"/>
  <c r="BB91" i="14"/>
  <c r="BJ91" i="14"/>
  <c r="BF91" i="14"/>
  <c r="AY91" i="14"/>
  <c r="AU91" i="14"/>
  <c r="AQ91" i="14"/>
  <c r="AM91" i="14"/>
  <c r="AL91" i="14"/>
  <c r="AX91" i="14"/>
  <c r="V91" i="14" s="1"/>
  <c r="BB44" i="14"/>
  <c r="BJ44" i="14"/>
  <c r="BF44" i="14"/>
  <c r="AY44" i="14"/>
  <c r="AU44" i="14"/>
  <c r="AQ44" i="14"/>
  <c r="AM44" i="14"/>
  <c r="AX44" i="14"/>
  <c r="AL44" i="14"/>
  <c r="BJ64" i="14"/>
  <c r="BF64" i="14"/>
  <c r="AY64" i="14"/>
  <c r="BB64" i="14"/>
  <c r="AQ64" i="14"/>
  <c r="AU64" i="14"/>
  <c r="AM64" i="14"/>
  <c r="R64" i="14" s="1"/>
  <c r="AL64" i="14"/>
  <c r="AX64" i="14"/>
  <c r="BJ73" i="14"/>
  <c r="BF73" i="14"/>
  <c r="AY73" i="14"/>
  <c r="BB73" i="14"/>
  <c r="AQ73" i="14"/>
  <c r="AU73" i="14"/>
  <c r="AM73" i="14"/>
  <c r="AL73" i="14"/>
  <c r="AX73" i="14"/>
  <c r="BJ53" i="14"/>
  <c r="BF53" i="14"/>
  <c r="AY53" i="14"/>
  <c r="BB53" i="14"/>
  <c r="AQ53" i="14"/>
  <c r="AU53" i="14"/>
  <c r="AM53" i="14"/>
  <c r="AL53" i="14"/>
  <c r="AX53" i="14"/>
  <c r="BJ60" i="14"/>
  <c r="BF60" i="14"/>
  <c r="AY60" i="14"/>
  <c r="BB60" i="14"/>
  <c r="AQ60" i="14"/>
  <c r="AU60" i="14"/>
  <c r="AM60" i="14"/>
  <c r="AL60" i="14"/>
  <c r="AX60" i="14"/>
  <c r="BB27" i="14"/>
  <c r="BJ27" i="14"/>
  <c r="BF27" i="14"/>
  <c r="AY27" i="14"/>
  <c r="AQ27" i="14"/>
  <c r="AU27" i="14"/>
  <c r="AM27" i="14"/>
  <c r="AL27" i="14"/>
  <c r="AX27" i="14"/>
  <c r="BB69" i="14"/>
  <c r="BJ69" i="14"/>
  <c r="BF69" i="14"/>
  <c r="AY69" i="14"/>
  <c r="AQ69" i="14"/>
  <c r="AU69" i="14"/>
  <c r="AM69" i="14"/>
  <c r="AL69" i="14"/>
  <c r="R69" i="14" s="1"/>
  <c r="AX69" i="14"/>
  <c r="BB26" i="14"/>
  <c r="BJ26" i="14"/>
  <c r="BF26" i="14"/>
  <c r="AY26" i="14"/>
  <c r="AU26" i="14"/>
  <c r="AQ26" i="14"/>
  <c r="AM26" i="14"/>
  <c r="AL26" i="14"/>
  <c r="AX26" i="14"/>
  <c r="V26" i="14" s="1"/>
  <c r="BB18" i="14"/>
  <c r="BJ18" i="14"/>
  <c r="BF18" i="14"/>
  <c r="AY18" i="14"/>
  <c r="V18" i="14" s="1"/>
  <c r="AU18" i="14"/>
  <c r="AQ18" i="14"/>
  <c r="AM18" i="14"/>
  <c r="AL18" i="14"/>
  <c r="AX18" i="14"/>
  <c r="BB67" i="14"/>
  <c r="BJ67" i="14"/>
  <c r="BF67" i="14"/>
  <c r="AY67" i="14"/>
  <c r="AU67" i="14"/>
  <c r="AQ67" i="14"/>
  <c r="AM67" i="14"/>
  <c r="AL67" i="14"/>
  <c r="AX67" i="14"/>
  <c r="BB58" i="14"/>
  <c r="BJ58" i="14"/>
  <c r="BF58" i="14"/>
  <c r="AY58" i="14"/>
  <c r="AU58" i="14"/>
  <c r="AQ58" i="14"/>
  <c r="AM58" i="14"/>
  <c r="AL58" i="14"/>
  <c r="R58" i="14" s="1"/>
  <c r="AX58" i="14"/>
  <c r="BB34" i="14"/>
  <c r="BJ34" i="14"/>
  <c r="BF34" i="14"/>
  <c r="AY34" i="14"/>
  <c r="AU34" i="14"/>
  <c r="AQ34" i="14"/>
  <c r="AM34" i="14"/>
  <c r="AL34" i="14"/>
  <c r="AX34" i="14"/>
  <c r="BB62" i="14"/>
  <c r="BJ62" i="14"/>
  <c r="BF62" i="14"/>
  <c r="AY62" i="14"/>
  <c r="AU62" i="14"/>
  <c r="AQ62" i="14"/>
  <c r="AM62" i="14"/>
  <c r="AL62" i="14"/>
  <c r="AX62" i="14"/>
  <c r="BB61" i="14"/>
  <c r="BJ61" i="14"/>
  <c r="BF61" i="14"/>
  <c r="AY61" i="14"/>
  <c r="AU61" i="14"/>
  <c r="AQ61" i="14"/>
  <c r="AM61" i="14"/>
  <c r="R61" i="14" s="1"/>
  <c r="AL61" i="14"/>
  <c r="AX61" i="14"/>
  <c r="BB57" i="14"/>
  <c r="BJ57" i="14"/>
  <c r="BF57" i="14"/>
  <c r="AY57" i="14"/>
  <c r="V57" i="14" s="1"/>
  <c r="AU57" i="14"/>
  <c r="AQ57" i="14"/>
  <c r="AM57" i="14"/>
  <c r="AL57" i="14"/>
  <c r="R57" i="14" s="1"/>
  <c r="AX57" i="14"/>
  <c r="BB79" i="14"/>
  <c r="BJ79" i="14"/>
  <c r="BF79" i="14"/>
  <c r="AY79" i="14"/>
  <c r="AU79" i="14"/>
  <c r="AQ79" i="14"/>
  <c r="AM79" i="14"/>
  <c r="AL79" i="14"/>
  <c r="AX79" i="14"/>
  <c r="BB92" i="14"/>
  <c r="BJ92" i="14"/>
  <c r="BF92" i="14"/>
  <c r="AY92" i="14"/>
  <c r="V92" i="14" s="1"/>
  <c r="AU92" i="14"/>
  <c r="AQ92" i="14"/>
  <c r="AM92" i="14"/>
  <c r="AL92" i="14"/>
  <c r="AX92" i="14"/>
  <c r="BB84" i="14"/>
  <c r="BJ84" i="14"/>
  <c r="BF84" i="14"/>
  <c r="AY84" i="14"/>
  <c r="AU84" i="14"/>
  <c r="AQ84" i="14"/>
  <c r="AM84" i="14"/>
  <c r="R84" i="14" s="1"/>
  <c r="AL84" i="14"/>
  <c r="AX84" i="14"/>
  <c r="V84" i="14" s="1"/>
  <c r="BB82" i="14"/>
  <c r="BJ82" i="14"/>
  <c r="BF82" i="14"/>
  <c r="AY82" i="14"/>
  <c r="AU82" i="14"/>
  <c r="AQ82" i="14"/>
  <c r="AL82" i="14"/>
  <c r="AM82" i="14"/>
  <c r="AX82" i="14"/>
  <c r="BB43" i="14"/>
  <c r="BJ43" i="14"/>
  <c r="BF43" i="14"/>
  <c r="AY43" i="14"/>
  <c r="AU43" i="14"/>
  <c r="AQ43" i="14"/>
  <c r="AM43" i="14"/>
  <c r="AL43" i="14"/>
  <c r="AX43" i="14"/>
  <c r="BB94" i="14"/>
  <c r="BJ94" i="14"/>
  <c r="BF94" i="14"/>
  <c r="AY94" i="14"/>
  <c r="V94" i="14" s="1"/>
  <c r="AU94" i="14"/>
  <c r="AQ94" i="14"/>
  <c r="AL94" i="14"/>
  <c r="AM94" i="14"/>
  <c r="R94" i="14" s="1"/>
  <c r="AX94" i="14"/>
  <c r="BB37" i="14"/>
  <c r="BJ37" i="14"/>
  <c r="BF37" i="14"/>
  <c r="AY37" i="14"/>
  <c r="AU37" i="14"/>
  <c r="AQ37" i="14"/>
  <c r="AM37" i="14"/>
  <c r="AL37" i="14"/>
  <c r="AX37" i="14"/>
  <c r="BB87" i="14"/>
  <c r="BJ87" i="14"/>
  <c r="BF87" i="14"/>
  <c r="AY87" i="14"/>
  <c r="AU87" i="14"/>
  <c r="AQ87" i="14"/>
  <c r="AL87" i="14"/>
  <c r="AM87" i="14"/>
  <c r="AX87" i="14"/>
  <c r="BB97" i="14"/>
  <c r="BJ97" i="14"/>
  <c r="BF97" i="14"/>
  <c r="AY97" i="14"/>
  <c r="AU97" i="14"/>
  <c r="AQ97" i="14"/>
  <c r="AM97" i="14"/>
  <c r="AL97" i="14"/>
  <c r="AX97" i="14"/>
  <c r="BB22" i="14"/>
  <c r="BJ22" i="14"/>
  <c r="BF22" i="14"/>
  <c r="AY22" i="14"/>
  <c r="AT22" i="14"/>
  <c r="AU22" i="14"/>
  <c r="AQ22" i="14"/>
  <c r="AL22" i="14"/>
  <c r="R22" i="14" s="1"/>
  <c r="AM22" i="14"/>
  <c r="AX22" i="14"/>
  <c r="BJ72" i="14"/>
  <c r="BF72" i="14"/>
  <c r="BB72" i="14"/>
  <c r="AY72" i="14"/>
  <c r="AU72" i="14"/>
  <c r="AQ72" i="14"/>
  <c r="AL72" i="14"/>
  <c r="AM72" i="14"/>
  <c r="AX72" i="14"/>
  <c r="BJ11" i="14"/>
  <c r="BF11" i="14"/>
  <c r="BB11" i="14"/>
  <c r="AY11" i="14"/>
  <c r="AU11" i="14"/>
  <c r="AQ11" i="14"/>
  <c r="AL11" i="14"/>
  <c r="R11" i="14" s="1"/>
  <c r="AM11" i="14"/>
  <c r="AX11" i="14"/>
  <c r="V11" i="14" s="1"/>
  <c r="BJ78" i="14"/>
  <c r="BF78" i="14"/>
  <c r="BB78" i="14"/>
  <c r="AY78" i="14"/>
  <c r="AU78" i="14"/>
  <c r="AQ78" i="14"/>
  <c r="AL78" i="14"/>
  <c r="AM78" i="14"/>
  <c r="AX78" i="14"/>
  <c r="BJ31" i="14"/>
  <c r="BF31" i="14"/>
  <c r="BB31" i="14"/>
  <c r="AY31" i="14"/>
  <c r="AU31" i="14"/>
  <c r="AQ31" i="14"/>
  <c r="AL31" i="14"/>
  <c r="AM31" i="14"/>
  <c r="AX31" i="14"/>
  <c r="BJ47" i="14"/>
  <c r="BF47" i="14"/>
  <c r="BB47" i="14"/>
  <c r="AY47" i="14"/>
  <c r="AU47" i="14"/>
  <c r="AQ47" i="14"/>
  <c r="AL47" i="14"/>
  <c r="AM47" i="14"/>
  <c r="AX47" i="14"/>
  <c r="BJ29" i="14"/>
  <c r="BF29" i="14"/>
  <c r="BB29" i="14"/>
  <c r="AY29" i="14"/>
  <c r="AU29" i="14"/>
  <c r="AQ29" i="14"/>
  <c r="AL29" i="14"/>
  <c r="R29" i="14" s="1"/>
  <c r="AM29" i="14"/>
  <c r="AX29" i="14"/>
  <c r="V29" i="14" s="1"/>
  <c r="BJ56" i="14"/>
  <c r="BF56" i="14"/>
  <c r="BB56" i="14"/>
  <c r="AY56" i="14"/>
  <c r="AU56" i="14"/>
  <c r="AQ56" i="14"/>
  <c r="AL56" i="14"/>
  <c r="AM56" i="14"/>
  <c r="AX56" i="14"/>
  <c r="BJ23" i="14"/>
  <c r="BF23" i="14"/>
  <c r="AU23" i="14"/>
  <c r="BB23" i="14"/>
  <c r="AY23" i="14"/>
  <c r="AQ23" i="14"/>
  <c r="AL23" i="14"/>
  <c r="R23" i="14" s="1"/>
  <c r="AM23" i="14"/>
  <c r="AX23" i="14"/>
  <c r="V23" i="14" s="1"/>
  <c r="BJ63" i="14"/>
  <c r="BF63" i="14"/>
  <c r="AU63" i="14"/>
  <c r="BB63" i="14"/>
  <c r="AY63" i="14"/>
  <c r="AQ63" i="14"/>
  <c r="AL63" i="14"/>
  <c r="AM63" i="14"/>
  <c r="AX63" i="14"/>
  <c r="BJ35" i="14"/>
  <c r="BF35" i="14"/>
  <c r="AU35" i="14"/>
  <c r="BB35" i="14"/>
  <c r="AY35" i="14"/>
  <c r="AQ35" i="14"/>
  <c r="AL35" i="14"/>
  <c r="R35" i="14" s="1"/>
  <c r="AM35" i="14"/>
  <c r="AX35" i="14"/>
  <c r="V35" i="14" s="1"/>
  <c r="BJ54" i="14"/>
  <c r="BF54" i="14"/>
  <c r="AU54" i="14"/>
  <c r="BB54" i="14"/>
  <c r="AY54" i="14"/>
  <c r="AQ54" i="14"/>
  <c r="AL54" i="14"/>
  <c r="AM54" i="14"/>
  <c r="AX54" i="14"/>
  <c r="BJ74" i="14"/>
  <c r="BF74" i="14"/>
  <c r="BB74" i="14"/>
  <c r="AU74" i="14"/>
  <c r="AY74" i="14"/>
  <c r="AQ74" i="14"/>
  <c r="AL74" i="14"/>
  <c r="R74" i="14" s="1"/>
  <c r="AM74" i="14"/>
  <c r="AX74" i="14"/>
  <c r="BJ14" i="14"/>
  <c r="BF14" i="14"/>
  <c r="AU14" i="14"/>
  <c r="BB14" i="14"/>
  <c r="AY14" i="14"/>
  <c r="AQ14" i="14"/>
  <c r="AM14" i="14"/>
  <c r="AL14" i="14"/>
  <c r="R14" i="14" s="1"/>
  <c r="AX14" i="14"/>
  <c r="V14" i="14" s="1"/>
  <c r="BJ45" i="14"/>
  <c r="BF45" i="14"/>
  <c r="AU45" i="14"/>
  <c r="BB45" i="14"/>
  <c r="AY45" i="14"/>
  <c r="AQ45" i="14"/>
  <c r="AM45" i="14"/>
  <c r="AL45" i="14"/>
  <c r="AX45" i="14"/>
  <c r="BJ83" i="14"/>
  <c r="BF83" i="14"/>
  <c r="AU83" i="14"/>
  <c r="BB83" i="14"/>
  <c r="AY83" i="14"/>
  <c r="AQ83" i="14"/>
  <c r="AM83" i="14"/>
  <c r="AL83" i="14"/>
  <c r="AX83" i="14"/>
  <c r="BJ90" i="14"/>
  <c r="BF90" i="14"/>
  <c r="BB90" i="14"/>
  <c r="AU90" i="14"/>
  <c r="AY90" i="14"/>
  <c r="AQ90" i="14"/>
  <c r="AM90" i="14"/>
  <c r="AL90" i="14"/>
  <c r="AX90" i="14"/>
  <c r="BJ28" i="14"/>
  <c r="BF28" i="14"/>
  <c r="AU28" i="14"/>
  <c r="BB28" i="14"/>
  <c r="AY28" i="14"/>
  <c r="AQ28" i="14"/>
  <c r="AM28" i="14"/>
  <c r="AL28" i="14"/>
  <c r="AX28" i="14"/>
  <c r="V28" i="14" s="1"/>
  <c r="BJ95" i="14"/>
  <c r="BF95" i="14"/>
  <c r="AU95" i="14"/>
  <c r="BB95" i="14"/>
  <c r="AY95" i="14"/>
  <c r="AQ95" i="14"/>
  <c r="AM95" i="14"/>
  <c r="AL95" i="14"/>
  <c r="AX95" i="14"/>
  <c r="BJ86" i="14"/>
  <c r="BF86" i="14"/>
  <c r="AU86" i="14"/>
  <c r="BB86" i="14"/>
  <c r="AY86" i="14"/>
  <c r="AQ86" i="14"/>
  <c r="AM86" i="14"/>
  <c r="AL86" i="14"/>
  <c r="AX86" i="14"/>
  <c r="BJ19" i="14"/>
  <c r="BF19" i="14"/>
  <c r="BB19" i="14"/>
  <c r="AU19" i="14"/>
  <c r="AY19" i="14"/>
  <c r="AQ19" i="14"/>
  <c r="AM19" i="14"/>
  <c r="R19" i="14" s="1"/>
  <c r="AL19" i="14"/>
  <c r="AX19" i="14"/>
  <c r="V19" i="14" s="1"/>
  <c r="BJ17" i="14"/>
  <c r="BF17" i="14"/>
  <c r="AU17" i="14"/>
  <c r="BB17" i="14"/>
  <c r="AY17" i="14"/>
  <c r="AQ17" i="14"/>
  <c r="AM17" i="14"/>
  <c r="AL17" i="14"/>
  <c r="AX17" i="14"/>
  <c r="AP22" i="14"/>
  <c r="S22" i="14" s="1"/>
  <c r="BL22" i="14" s="1"/>
  <c r="R80" i="14"/>
  <c r="H17" i="45"/>
  <c r="R42" i="14"/>
  <c r="R88" i="14"/>
  <c r="R20" i="14"/>
  <c r="R13" i="14"/>
  <c r="H12" i="45" s="1"/>
  <c r="R25" i="14"/>
  <c r="R66" i="14"/>
  <c r="R48" i="14"/>
  <c r="R44" i="14"/>
  <c r="R71" i="14"/>
  <c r="R96" i="14"/>
  <c r="R55" i="14"/>
  <c r="R91" i="14"/>
  <c r="R41" i="14"/>
  <c r="R36" i="14"/>
  <c r="R65" i="14"/>
  <c r="R50" i="14"/>
  <c r="V16" i="14"/>
  <c r="V81" i="14"/>
  <c r="V80" i="14"/>
  <c r="V46" i="14"/>
  <c r="V41" i="14"/>
  <c r="V69" i="14"/>
  <c r="V61" i="14"/>
  <c r="V20" i="14"/>
  <c r="V42" i="14"/>
  <c r="V24" i="14"/>
  <c r="V85" i="14"/>
  <c r="V93" i="14"/>
  <c r="V32" i="14"/>
  <c r="V50" i="14"/>
  <c r="V21" i="14"/>
  <c r="V17" i="14"/>
  <c r="V86" i="14"/>
  <c r="V60" i="14"/>
  <c r="L17" i="45"/>
  <c r="V33" i="14"/>
  <c r="V38" i="14"/>
  <c r="P107" i="43"/>
  <c r="Q107" i="43"/>
  <c r="R107" i="43"/>
  <c r="M107" i="43"/>
  <c r="N107" i="43"/>
  <c r="O107" i="43"/>
  <c r="P103" i="43"/>
  <c r="Q103" i="43"/>
  <c r="R103" i="43"/>
  <c r="M103" i="43"/>
  <c r="N103" i="43"/>
  <c r="O103" i="43"/>
  <c r="P99" i="43"/>
  <c r="Q99" i="43"/>
  <c r="R99" i="43"/>
  <c r="M99" i="43"/>
  <c r="N99" i="43"/>
  <c r="O99" i="43"/>
  <c r="P95" i="43"/>
  <c r="Q95" i="43"/>
  <c r="R95" i="43"/>
  <c r="M95" i="43"/>
  <c r="N95" i="43"/>
  <c r="O95" i="43"/>
  <c r="P91" i="43"/>
  <c r="Q91" i="43"/>
  <c r="R91" i="43"/>
  <c r="M91" i="43"/>
  <c r="N91" i="43"/>
  <c r="O91" i="43"/>
  <c r="P87" i="43"/>
  <c r="Q87" i="43"/>
  <c r="R87" i="43"/>
  <c r="M87" i="43"/>
  <c r="N87" i="43"/>
  <c r="O87" i="43"/>
  <c r="P83" i="43"/>
  <c r="Q83" i="43"/>
  <c r="R83" i="43"/>
  <c r="M83" i="43"/>
  <c r="N83" i="43"/>
  <c r="O83" i="43"/>
  <c r="P79" i="43"/>
  <c r="Q79" i="43"/>
  <c r="R79" i="43"/>
  <c r="M79" i="43"/>
  <c r="N79" i="43"/>
  <c r="O79" i="43"/>
  <c r="P75" i="43"/>
  <c r="Q75" i="43"/>
  <c r="R75" i="43"/>
  <c r="M75" i="43"/>
  <c r="N75" i="43"/>
  <c r="O75" i="43"/>
  <c r="P71" i="43"/>
  <c r="Q71" i="43"/>
  <c r="R71" i="43"/>
  <c r="M71" i="43"/>
  <c r="N71" i="43"/>
  <c r="O71" i="43"/>
  <c r="P67" i="43"/>
  <c r="Q67" i="43"/>
  <c r="R67" i="43"/>
  <c r="M67" i="43"/>
  <c r="N67" i="43"/>
  <c r="O67" i="43"/>
  <c r="P63" i="43"/>
  <c r="Q63" i="43"/>
  <c r="R63" i="43"/>
  <c r="M63" i="43"/>
  <c r="N63" i="43"/>
  <c r="O63" i="43"/>
  <c r="P59" i="43"/>
  <c r="Q59" i="43"/>
  <c r="R59" i="43"/>
  <c r="M59" i="43"/>
  <c r="N59" i="43"/>
  <c r="O59" i="43"/>
  <c r="P55" i="43"/>
  <c r="Q55" i="43"/>
  <c r="R55" i="43"/>
  <c r="M55" i="43"/>
  <c r="N55" i="43"/>
  <c r="O55" i="43"/>
  <c r="P51" i="43"/>
  <c r="Q51" i="43"/>
  <c r="R51" i="43"/>
  <c r="M51" i="43"/>
  <c r="N51" i="43"/>
  <c r="O51" i="43"/>
  <c r="P47" i="43"/>
  <c r="Q47" i="43"/>
  <c r="R47" i="43"/>
  <c r="M47" i="43"/>
  <c r="N47" i="43"/>
  <c r="O47" i="43"/>
  <c r="P43" i="43"/>
  <c r="Q43" i="43"/>
  <c r="R43" i="43"/>
  <c r="M43" i="43"/>
  <c r="N43" i="43"/>
  <c r="O43" i="43"/>
  <c r="Q110" i="43"/>
  <c r="R110" i="43"/>
  <c r="M110" i="43"/>
  <c r="N110" i="43"/>
  <c r="O110" i="43"/>
  <c r="P110" i="43"/>
  <c r="Q106" i="43"/>
  <c r="R106" i="43"/>
  <c r="P106" i="43"/>
  <c r="N106" i="43"/>
  <c r="O106" i="43"/>
  <c r="M106" i="43"/>
  <c r="Q102" i="43"/>
  <c r="R102" i="43"/>
  <c r="M102" i="43"/>
  <c r="N102" i="43"/>
  <c r="O102" i="43"/>
  <c r="P102" i="43"/>
  <c r="Q98" i="43"/>
  <c r="R98" i="43"/>
  <c r="P98" i="43"/>
  <c r="N98" i="43"/>
  <c r="O98" i="43"/>
  <c r="M98" i="43"/>
  <c r="Q94" i="43"/>
  <c r="R94" i="43"/>
  <c r="M94" i="43"/>
  <c r="N94" i="43"/>
  <c r="O94" i="43"/>
  <c r="P94" i="43"/>
  <c r="Q90" i="43"/>
  <c r="R90" i="43"/>
  <c r="P90" i="43"/>
  <c r="N90" i="43"/>
  <c r="O90" i="43"/>
  <c r="M90" i="43"/>
  <c r="Q86" i="43"/>
  <c r="R86" i="43"/>
  <c r="M86" i="43"/>
  <c r="N86" i="43"/>
  <c r="O86" i="43"/>
  <c r="P86" i="43"/>
  <c r="Q82" i="43"/>
  <c r="R82" i="43"/>
  <c r="P82" i="43"/>
  <c r="N82" i="43"/>
  <c r="O82" i="43"/>
  <c r="M82" i="43"/>
  <c r="Q78" i="43"/>
  <c r="R78" i="43"/>
  <c r="M78" i="43"/>
  <c r="N78" i="43"/>
  <c r="O78" i="43"/>
  <c r="P78" i="43"/>
  <c r="Q74" i="43"/>
  <c r="R74" i="43"/>
  <c r="P74" i="43"/>
  <c r="N74" i="43"/>
  <c r="O74" i="43"/>
  <c r="M74" i="43"/>
  <c r="Q70" i="43"/>
  <c r="R70" i="43"/>
  <c r="M70" i="43"/>
  <c r="N70" i="43"/>
  <c r="O70" i="43"/>
  <c r="P70" i="43"/>
  <c r="Q66" i="43"/>
  <c r="R66" i="43"/>
  <c r="P66" i="43"/>
  <c r="N66" i="43"/>
  <c r="O66" i="43"/>
  <c r="M66" i="43"/>
  <c r="Q62" i="43"/>
  <c r="R62" i="43"/>
  <c r="M62" i="43"/>
  <c r="N62" i="43"/>
  <c r="O62" i="43"/>
  <c r="P62" i="43"/>
  <c r="Q58" i="43"/>
  <c r="R58" i="43"/>
  <c r="P58" i="43"/>
  <c r="N58" i="43"/>
  <c r="O58" i="43"/>
  <c r="M58" i="43"/>
  <c r="Q54" i="43"/>
  <c r="R54" i="43"/>
  <c r="M54" i="43"/>
  <c r="N54" i="43"/>
  <c r="O54" i="43"/>
  <c r="P54" i="43"/>
  <c r="Q50" i="43"/>
  <c r="R50" i="43"/>
  <c r="P50" i="43"/>
  <c r="N50" i="43"/>
  <c r="O50" i="43"/>
  <c r="M50" i="43"/>
  <c r="Q46" i="43"/>
  <c r="R46" i="43"/>
  <c r="M46" i="43"/>
  <c r="N46" i="43"/>
  <c r="O46" i="43"/>
  <c r="P46" i="43"/>
  <c r="Q42" i="43"/>
  <c r="R42" i="43"/>
  <c r="P42" i="43"/>
  <c r="N42" i="43"/>
  <c r="O42" i="43"/>
  <c r="M42" i="43"/>
  <c r="Q109" i="43"/>
  <c r="R109" i="43"/>
  <c r="P109" i="43"/>
  <c r="O109" i="43"/>
  <c r="M109" i="43"/>
  <c r="N109" i="43"/>
  <c r="Q105" i="43"/>
  <c r="R105" i="43"/>
  <c r="P105" i="43"/>
  <c r="N105" i="43"/>
  <c r="O105" i="43"/>
  <c r="M105" i="43"/>
  <c r="Q101" i="43"/>
  <c r="R101" i="43"/>
  <c r="P101" i="43"/>
  <c r="O101" i="43"/>
  <c r="M101" i="43"/>
  <c r="N101" i="43"/>
  <c r="Q97" i="43"/>
  <c r="R97" i="43"/>
  <c r="P97" i="43"/>
  <c r="N97" i="43"/>
  <c r="O97" i="43"/>
  <c r="M97" i="43"/>
  <c r="Q93" i="43"/>
  <c r="R93" i="43"/>
  <c r="P93" i="43"/>
  <c r="N93" i="43"/>
  <c r="O93" i="43"/>
  <c r="M93" i="43"/>
  <c r="Q89" i="43"/>
  <c r="R89" i="43"/>
  <c r="P89" i="43"/>
  <c r="N89" i="43"/>
  <c r="O89" i="43"/>
  <c r="M89" i="43"/>
  <c r="Q85" i="43"/>
  <c r="R85" i="43"/>
  <c r="P85" i="43"/>
  <c r="N85" i="43"/>
  <c r="O85" i="43"/>
  <c r="M85" i="43"/>
  <c r="Q81" i="43"/>
  <c r="R81" i="43"/>
  <c r="P81" i="43"/>
  <c r="N81" i="43"/>
  <c r="O81" i="43"/>
  <c r="M81" i="43"/>
  <c r="Q77" i="43"/>
  <c r="R77" i="43"/>
  <c r="P77" i="43"/>
  <c r="N77" i="43"/>
  <c r="O77" i="43"/>
  <c r="M77" i="43"/>
  <c r="Q73" i="43"/>
  <c r="R73" i="43"/>
  <c r="P73" i="43"/>
  <c r="N73" i="43"/>
  <c r="O73" i="43"/>
  <c r="M73" i="43"/>
  <c r="Q69" i="43"/>
  <c r="R69" i="43"/>
  <c r="P69" i="43"/>
  <c r="N69" i="43"/>
  <c r="O69" i="43"/>
  <c r="M69" i="43"/>
  <c r="Q65" i="43"/>
  <c r="R65" i="43"/>
  <c r="P65" i="43"/>
  <c r="N65" i="43"/>
  <c r="O65" i="43"/>
  <c r="M65" i="43"/>
  <c r="Q61" i="43"/>
  <c r="R61" i="43"/>
  <c r="P61" i="43"/>
  <c r="N61" i="43"/>
  <c r="O61" i="43"/>
  <c r="M61" i="43"/>
  <c r="Q57" i="43"/>
  <c r="R57" i="43"/>
  <c r="P57" i="43"/>
  <c r="N57" i="43"/>
  <c r="O57" i="43"/>
  <c r="M57" i="43"/>
  <c r="Q53" i="43"/>
  <c r="R53" i="43"/>
  <c r="P53" i="43"/>
  <c r="N53" i="43"/>
  <c r="O53" i="43"/>
  <c r="M53" i="43"/>
  <c r="Q49" i="43"/>
  <c r="R49" i="43"/>
  <c r="P49" i="43"/>
  <c r="N49" i="43"/>
  <c r="O49" i="43"/>
  <c r="M49" i="43"/>
  <c r="Q45" i="43"/>
  <c r="R45" i="43"/>
  <c r="P45" i="43"/>
  <c r="N45" i="43"/>
  <c r="O45" i="43"/>
  <c r="M45" i="43"/>
  <c r="Q41" i="43"/>
  <c r="R41" i="43"/>
  <c r="P41" i="43"/>
  <c r="N41" i="43"/>
  <c r="O41" i="43"/>
  <c r="M41" i="43"/>
  <c r="R108" i="43"/>
  <c r="Q108" i="43"/>
  <c r="O108" i="43"/>
  <c r="P108" i="43"/>
  <c r="M108" i="43"/>
  <c r="N108" i="43"/>
  <c r="R104" i="43"/>
  <c r="Q104" i="43"/>
  <c r="P104" i="43"/>
  <c r="O104" i="43"/>
  <c r="M104" i="43"/>
  <c r="N104" i="43"/>
  <c r="R100" i="43"/>
  <c r="Q100" i="43"/>
  <c r="O100" i="43"/>
  <c r="P100" i="43"/>
  <c r="M100" i="43"/>
  <c r="N100" i="43"/>
  <c r="R96" i="43"/>
  <c r="Q96" i="43"/>
  <c r="P96" i="43"/>
  <c r="O96" i="43"/>
  <c r="M96" i="43"/>
  <c r="N96" i="43"/>
  <c r="R92" i="43"/>
  <c r="Q92" i="43"/>
  <c r="O92" i="43"/>
  <c r="P92" i="43"/>
  <c r="M92" i="43"/>
  <c r="N92" i="43"/>
  <c r="R88" i="43"/>
  <c r="Q88" i="43"/>
  <c r="P88" i="43"/>
  <c r="O88" i="43"/>
  <c r="M88" i="43"/>
  <c r="N88" i="43"/>
  <c r="R84" i="43"/>
  <c r="Q84" i="43"/>
  <c r="O84" i="43"/>
  <c r="P84" i="43"/>
  <c r="M84" i="43"/>
  <c r="N84" i="43"/>
  <c r="R80" i="43"/>
  <c r="Q80" i="43"/>
  <c r="P80" i="43"/>
  <c r="O80" i="43"/>
  <c r="M80" i="43"/>
  <c r="N80" i="43"/>
  <c r="R76" i="43"/>
  <c r="Q76" i="43"/>
  <c r="O76" i="43"/>
  <c r="P76" i="43"/>
  <c r="M76" i="43"/>
  <c r="N76" i="43"/>
  <c r="R72" i="43"/>
  <c r="Q72" i="43"/>
  <c r="P72" i="43"/>
  <c r="O72" i="43"/>
  <c r="M72" i="43"/>
  <c r="N72" i="43"/>
  <c r="R68" i="43"/>
  <c r="Q68" i="43"/>
  <c r="O68" i="43"/>
  <c r="P68" i="43"/>
  <c r="M68" i="43"/>
  <c r="N68" i="43"/>
  <c r="R64" i="43"/>
  <c r="Q64" i="43"/>
  <c r="P64" i="43"/>
  <c r="O64" i="43"/>
  <c r="M64" i="43"/>
  <c r="N64" i="43"/>
  <c r="R60" i="43"/>
  <c r="Q60" i="43"/>
  <c r="O60" i="43"/>
  <c r="P60" i="43"/>
  <c r="M60" i="43"/>
  <c r="N60" i="43"/>
  <c r="R56" i="43"/>
  <c r="Q56" i="43"/>
  <c r="P56" i="43"/>
  <c r="O56" i="43"/>
  <c r="M56" i="43"/>
  <c r="N56" i="43"/>
  <c r="R52" i="43"/>
  <c r="Q52" i="43"/>
  <c r="O52" i="43"/>
  <c r="P52" i="43"/>
  <c r="M52" i="43"/>
  <c r="N52" i="43"/>
  <c r="R48" i="43"/>
  <c r="Q48" i="43"/>
  <c r="P48" i="43"/>
  <c r="O48" i="43"/>
  <c r="M48" i="43"/>
  <c r="N48" i="43"/>
  <c r="R44" i="43"/>
  <c r="Q44" i="43"/>
  <c r="O44" i="43"/>
  <c r="P44" i="43"/>
  <c r="M44" i="43"/>
  <c r="N44" i="43"/>
  <c r="R40" i="43"/>
  <c r="Q40" i="43"/>
  <c r="P40" i="43"/>
  <c r="O40" i="43"/>
  <c r="M40" i="43"/>
  <c r="N40" i="43"/>
  <c r="L12" i="45"/>
  <c r="L11" i="45"/>
  <c r="W218" i="29"/>
  <c r="V218" i="29"/>
  <c r="U218" i="29"/>
  <c r="W217" i="29"/>
  <c r="V217" i="29"/>
  <c r="U217" i="29"/>
  <c r="W216" i="29"/>
  <c r="V216" i="29"/>
  <c r="U216" i="29"/>
  <c r="W215" i="29"/>
  <c r="V215" i="29"/>
  <c r="U215" i="29"/>
  <c r="W214" i="29"/>
  <c r="V214" i="29"/>
  <c r="U214" i="29"/>
  <c r="W213" i="29"/>
  <c r="V213" i="29"/>
  <c r="U213" i="29"/>
  <c r="W212" i="29"/>
  <c r="V212" i="29"/>
  <c r="U212" i="29"/>
  <c r="W211" i="29"/>
  <c r="V211" i="29"/>
  <c r="U211" i="29"/>
  <c r="W210" i="29"/>
  <c r="V210" i="29"/>
  <c r="U210" i="29"/>
  <c r="W209" i="29"/>
  <c r="V209" i="29"/>
  <c r="U209" i="29"/>
  <c r="W208" i="29"/>
  <c r="V208" i="29"/>
  <c r="U208" i="29"/>
  <c r="W207" i="29"/>
  <c r="V207" i="29"/>
  <c r="U207" i="29"/>
  <c r="W206" i="29"/>
  <c r="V206" i="29"/>
  <c r="U206" i="29"/>
  <c r="W205" i="29"/>
  <c r="V205" i="29"/>
  <c r="U205" i="29"/>
  <c r="W204" i="29"/>
  <c r="V204" i="29"/>
  <c r="U204" i="29"/>
  <c r="W203" i="29"/>
  <c r="V203" i="29"/>
  <c r="U203" i="29"/>
  <c r="W202" i="29"/>
  <c r="V202" i="29"/>
  <c r="U202" i="29"/>
  <c r="W201" i="29"/>
  <c r="V201" i="29"/>
  <c r="U201" i="29"/>
  <c r="W200" i="29"/>
  <c r="V200" i="29"/>
  <c r="U200" i="29"/>
  <c r="W199" i="29"/>
  <c r="V199" i="29"/>
  <c r="U199" i="29"/>
  <c r="W198" i="29"/>
  <c r="V198" i="29"/>
  <c r="U198" i="29"/>
  <c r="W197" i="29"/>
  <c r="V197" i="29"/>
  <c r="U197" i="29"/>
  <c r="W196" i="29"/>
  <c r="V196" i="29"/>
  <c r="U196" i="29"/>
  <c r="W195" i="29"/>
  <c r="V195" i="29"/>
  <c r="U195" i="29"/>
  <c r="W194" i="29"/>
  <c r="V194" i="29"/>
  <c r="U194" i="29"/>
  <c r="W193" i="29"/>
  <c r="V193" i="29"/>
  <c r="U193" i="29"/>
  <c r="W192" i="29"/>
  <c r="V192" i="29"/>
  <c r="U192" i="29"/>
  <c r="W191" i="29"/>
  <c r="V191" i="29"/>
  <c r="U191" i="29"/>
  <c r="W190" i="29"/>
  <c r="V190" i="29"/>
  <c r="U190" i="29"/>
  <c r="W189" i="29"/>
  <c r="V189" i="29"/>
  <c r="U189" i="29"/>
  <c r="W188" i="29"/>
  <c r="V188" i="29"/>
  <c r="U188" i="29"/>
  <c r="W187" i="29"/>
  <c r="V187" i="29"/>
  <c r="U187" i="29"/>
  <c r="W186" i="29"/>
  <c r="V186" i="29"/>
  <c r="U186" i="29"/>
  <c r="W182" i="29"/>
  <c r="V182" i="29"/>
  <c r="U182" i="29"/>
  <c r="W181" i="29"/>
  <c r="V181" i="29"/>
  <c r="U181" i="29"/>
  <c r="W180" i="29"/>
  <c r="V180" i="29"/>
  <c r="U180" i="29"/>
  <c r="W179" i="29"/>
  <c r="V179" i="29"/>
  <c r="U179" i="29"/>
  <c r="W178" i="29"/>
  <c r="V178" i="29"/>
  <c r="U178" i="29"/>
  <c r="W177" i="29"/>
  <c r="V177" i="29"/>
  <c r="U177" i="29"/>
  <c r="W176" i="29"/>
  <c r="V176" i="29"/>
  <c r="U176" i="29"/>
  <c r="W175" i="29"/>
  <c r="V175" i="29"/>
  <c r="U175" i="29"/>
  <c r="W174" i="29"/>
  <c r="V174" i="29"/>
  <c r="U174" i="29"/>
  <c r="W173" i="29"/>
  <c r="V173" i="29"/>
  <c r="U173" i="29"/>
  <c r="W172" i="29"/>
  <c r="V172" i="29"/>
  <c r="U172" i="29"/>
  <c r="W171" i="29"/>
  <c r="V171" i="29"/>
  <c r="U171" i="29"/>
  <c r="W170" i="29"/>
  <c r="V170" i="29"/>
  <c r="U170" i="29"/>
  <c r="W169" i="29"/>
  <c r="V169" i="29"/>
  <c r="U169" i="29"/>
  <c r="W168" i="29"/>
  <c r="V168" i="29"/>
  <c r="U168" i="29"/>
  <c r="W167" i="29"/>
  <c r="V167" i="29"/>
  <c r="U167" i="29"/>
  <c r="W166" i="29"/>
  <c r="V166" i="29"/>
  <c r="U166" i="29"/>
  <c r="W165" i="29"/>
  <c r="V165" i="29"/>
  <c r="U165" i="29"/>
  <c r="W164" i="29"/>
  <c r="V164" i="29"/>
  <c r="U164" i="29"/>
  <c r="W163" i="29"/>
  <c r="V163" i="29"/>
  <c r="U163" i="29"/>
  <c r="W162" i="29"/>
  <c r="V162" i="29"/>
  <c r="U162" i="29"/>
  <c r="W161" i="29"/>
  <c r="V161" i="29"/>
  <c r="U161" i="29"/>
  <c r="W160" i="29"/>
  <c r="V160" i="29"/>
  <c r="U160" i="29"/>
  <c r="W159" i="29"/>
  <c r="V159" i="29"/>
  <c r="U159" i="29"/>
  <c r="W158" i="29"/>
  <c r="V158" i="29"/>
  <c r="U158" i="29"/>
  <c r="W157" i="29"/>
  <c r="V157" i="29"/>
  <c r="U157" i="29"/>
  <c r="W156" i="29"/>
  <c r="V156" i="29"/>
  <c r="U156" i="29"/>
  <c r="W155" i="29"/>
  <c r="V155" i="29"/>
  <c r="U155" i="29"/>
  <c r="W154" i="29"/>
  <c r="V154" i="29"/>
  <c r="U154" i="29"/>
  <c r="W153" i="29"/>
  <c r="V153" i="29"/>
  <c r="U153" i="29"/>
  <c r="W152" i="29"/>
  <c r="V152" i="29"/>
  <c r="U152" i="29"/>
  <c r="W151" i="29"/>
  <c r="V151" i="29"/>
  <c r="U151" i="29"/>
  <c r="W150" i="29"/>
  <c r="V150" i="29"/>
  <c r="U150" i="29"/>
  <c r="W149" i="29"/>
  <c r="V149" i="29"/>
  <c r="U149" i="29"/>
  <c r="W148" i="29"/>
  <c r="V148" i="29"/>
  <c r="U148" i="29"/>
  <c r="W147" i="29"/>
  <c r="V147" i="29"/>
  <c r="U147" i="29"/>
  <c r="W146" i="29"/>
  <c r="V146" i="29"/>
  <c r="U146" i="29"/>
  <c r="W145" i="29"/>
  <c r="V145" i="29"/>
  <c r="U145" i="29"/>
  <c r="W144" i="29"/>
  <c r="V144" i="29"/>
  <c r="U144" i="29"/>
  <c r="W143" i="29"/>
  <c r="V143" i="29"/>
  <c r="U143" i="29"/>
  <c r="W142" i="29"/>
  <c r="V142" i="29"/>
  <c r="U142" i="29"/>
  <c r="W141" i="29"/>
  <c r="V141" i="29"/>
  <c r="U141" i="29"/>
  <c r="W140" i="29"/>
  <c r="V140" i="29"/>
  <c r="U140" i="29"/>
  <c r="W139" i="29"/>
  <c r="V139" i="29"/>
  <c r="U139" i="29"/>
  <c r="W138" i="29"/>
  <c r="V138" i="29"/>
  <c r="U138" i="29"/>
  <c r="W137" i="29"/>
  <c r="V137" i="29"/>
  <c r="U137" i="29"/>
  <c r="W136" i="29"/>
  <c r="V136" i="29"/>
  <c r="U136" i="29"/>
  <c r="W135" i="29"/>
  <c r="V135" i="29"/>
  <c r="U135" i="29"/>
  <c r="W134" i="29"/>
  <c r="V134" i="29"/>
  <c r="U134" i="29"/>
  <c r="W133" i="29"/>
  <c r="V133" i="29"/>
  <c r="U133" i="29"/>
  <c r="W132" i="29"/>
  <c r="V132" i="29"/>
  <c r="U132" i="29"/>
  <c r="W128" i="29"/>
  <c r="V128" i="29"/>
  <c r="U128" i="29"/>
  <c r="W127" i="29"/>
  <c r="V127" i="29"/>
  <c r="U127" i="29"/>
  <c r="W126" i="29"/>
  <c r="V126" i="29"/>
  <c r="U126" i="29"/>
  <c r="W125" i="29"/>
  <c r="V125" i="29"/>
  <c r="U125" i="29"/>
  <c r="W124" i="29"/>
  <c r="V124" i="29"/>
  <c r="U124" i="29"/>
  <c r="W123" i="29"/>
  <c r="V123" i="29"/>
  <c r="U123" i="29"/>
  <c r="W122" i="29"/>
  <c r="V122" i="29"/>
  <c r="U122" i="29"/>
  <c r="W121" i="29"/>
  <c r="V121" i="29"/>
  <c r="U121" i="29"/>
  <c r="W120" i="29"/>
  <c r="V120" i="29"/>
  <c r="U120" i="29"/>
  <c r="W119" i="29"/>
  <c r="V119" i="29"/>
  <c r="U119" i="29"/>
  <c r="W118" i="29"/>
  <c r="V118" i="29"/>
  <c r="U118" i="29"/>
  <c r="W117" i="29"/>
  <c r="V117" i="29"/>
  <c r="U117" i="29"/>
  <c r="W116" i="29"/>
  <c r="V116" i="29"/>
  <c r="U116" i="29"/>
  <c r="W115" i="29"/>
  <c r="V115" i="29"/>
  <c r="U115" i="29"/>
  <c r="W114" i="29"/>
  <c r="V114" i="29"/>
  <c r="U114" i="29"/>
  <c r="W113" i="29"/>
  <c r="V113" i="29"/>
  <c r="U113" i="29"/>
  <c r="W112" i="29"/>
  <c r="V112" i="29"/>
  <c r="U112" i="29"/>
  <c r="W111" i="29"/>
  <c r="V111" i="29"/>
  <c r="U111" i="29"/>
  <c r="W110" i="29"/>
  <c r="V110" i="29"/>
  <c r="U110" i="29"/>
  <c r="W109" i="29"/>
  <c r="V109" i="29"/>
  <c r="U109" i="29"/>
  <c r="W108" i="29"/>
  <c r="V108" i="29"/>
  <c r="U108" i="29"/>
  <c r="W107" i="29"/>
  <c r="V107" i="29"/>
  <c r="U107" i="29"/>
  <c r="W106" i="29"/>
  <c r="V106" i="29"/>
  <c r="U106" i="29"/>
  <c r="W105" i="29"/>
  <c r="V105" i="29"/>
  <c r="U105" i="29"/>
  <c r="W104" i="29"/>
  <c r="V104" i="29"/>
  <c r="U104" i="29"/>
  <c r="W103" i="29"/>
  <c r="V103" i="29"/>
  <c r="U103" i="29"/>
  <c r="W102" i="29"/>
  <c r="V102" i="29"/>
  <c r="U102" i="29"/>
  <c r="W101" i="29"/>
  <c r="V101" i="29"/>
  <c r="U101" i="29"/>
  <c r="W100" i="29"/>
  <c r="V100" i="29"/>
  <c r="U100" i="29"/>
  <c r="W99" i="29"/>
  <c r="V99" i="29"/>
  <c r="U99" i="29"/>
  <c r="W98" i="29"/>
  <c r="V98" i="29"/>
  <c r="U98" i="29"/>
  <c r="W97" i="29"/>
  <c r="V97" i="29"/>
  <c r="U97" i="29"/>
  <c r="W96" i="29"/>
  <c r="V96" i="29"/>
  <c r="U96" i="29"/>
  <c r="W95" i="29"/>
  <c r="V95" i="29"/>
  <c r="U95" i="29"/>
  <c r="W94" i="29"/>
  <c r="V94" i="29"/>
  <c r="U94" i="29"/>
  <c r="W93" i="29"/>
  <c r="V93" i="29"/>
  <c r="U93" i="29"/>
  <c r="W92" i="29"/>
  <c r="V92" i="29"/>
  <c r="U92" i="29"/>
  <c r="W91" i="29"/>
  <c r="V91" i="29"/>
  <c r="U91" i="29"/>
  <c r="W90" i="29"/>
  <c r="V90" i="29"/>
  <c r="U90" i="29"/>
  <c r="W89" i="29"/>
  <c r="V89" i="29"/>
  <c r="U89" i="29"/>
  <c r="W88" i="29"/>
  <c r="V88" i="29"/>
  <c r="U88" i="29"/>
  <c r="W87" i="29"/>
  <c r="V87" i="29"/>
  <c r="U87" i="29"/>
  <c r="W86" i="29"/>
  <c r="V86" i="29"/>
  <c r="U86" i="29"/>
  <c r="W85" i="29"/>
  <c r="V85" i="29"/>
  <c r="U85" i="29"/>
  <c r="W84" i="29"/>
  <c r="V84" i="29"/>
  <c r="U84" i="29"/>
  <c r="W83" i="29"/>
  <c r="V83" i="29"/>
  <c r="U83" i="29"/>
  <c r="W82" i="29"/>
  <c r="V82" i="29"/>
  <c r="U82" i="29"/>
  <c r="W81" i="29"/>
  <c r="V81" i="29"/>
  <c r="U81" i="29"/>
  <c r="W77" i="29"/>
  <c r="V77" i="29"/>
  <c r="U77" i="29"/>
  <c r="W76" i="29"/>
  <c r="V76" i="29"/>
  <c r="U76" i="29"/>
  <c r="W75" i="29"/>
  <c r="V75" i="29"/>
  <c r="U75" i="29"/>
  <c r="W74" i="29"/>
  <c r="V74" i="29"/>
  <c r="U74" i="29"/>
  <c r="W73" i="29"/>
  <c r="V73" i="29"/>
  <c r="U73" i="29"/>
  <c r="W72" i="29"/>
  <c r="V72" i="29"/>
  <c r="U72" i="29"/>
  <c r="W71" i="29"/>
  <c r="V71" i="29"/>
  <c r="U71" i="29"/>
  <c r="W70" i="29"/>
  <c r="V70" i="29"/>
  <c r="U70" i="29"/>
  <c r="W69" i="29"/>
  <c r="V69" i="29"/>
  <c r="U69" i="29"/>
  <c r="W68" i="29"/>
  <c r="V68" i="29"/>
  <c r="U68" i="29"/>
  <c r="W67" i="29"/>
  <c r="V67" i="29"/>
  <c r="U67" i="29"/>
  <c r="W66" i="29"/>
  <c r="V66" i="29"/>
  <c r="U66" i="29"/>
  <c r="W65" i="29"/>
  <c r="V65" i="29"/>
  <c r="U65" i="29"/>
  <c r="W64" i="29"/>
  <c r="V64" i="29"/>
  <c r="U64" i="29"/>
  <c r="W63" i="29"/>
  <c r="V63" i="29"/>
  <c r="U63" i="29"/>
  <c r="W62" i="29"/>
  <c r="V62" i="29"/>
  <c r="U62" i="29"/>
  <c r="W61" i="29"/>
  <c r="V61" i="29"/>
  <c r="U61" i="29"/>
  <c r="W60" i="29"/>
  <c r="V60" i="29"/>
  <c r="U60" i="29"/>
  <c r="W59" i="29"/>
  <c r="V59" i="29"/>
  <c r="U59" i="29"/>
  <c r="W58" i="29"/>
  <c r="V58" i="29"/>
  <c r="U58" i="29"/>
  <c r="W57" i="29"/>
  <c r="V57" i="29"/>
  <c r="U57" i="29"/>
  <c r="W56" i="29"/>
  <c r="V56" i="29"/>
  <c r="U56" i="29"/>
  <c r="W55" i="29"/>
  <c r="V55" i="29"/>
  <c r="U55" i="29"/>
  <c r="W54" i="29"/>
  <c r="V54" i="29"/>
  <c r="U54" i="29"/>
  <c r="W53" i="29"/>
  <c r="V53" i="29"/>
  <c r="U53" i="29"/>
  <c r="W52" i="29"/>
  <c r="V52" i="29"/>
  <c r="U52" i="29"/>
  <c r="W51" i="29"/>
  <c r="V51" i="29"/>
  <c r="U51" i="29"/>
  <c r="W50" i="29"/>
  <c r="V50" i="29"/>
  <c r="U50" i="29"/>
  <c r="W49" i="29"/>
  <c r="V49" i="29"/>
  <c r="U49" i="29"/>
  <c r="W48" i="29"/>
  <c r="V48" i="29"/>
  <c r="U48" i="29"/>
  <c r="W47" i="29"/>
  <c r="V47" i="29"/>
  <c r="U47" i="29"/>
  <c r="W46" i="29"/>
  <c r="V46" i="29"/>
  <c r="U46" i="29"/>
  <c r="AH20" i="15"/>
  <c r="M17" i="24"/>
  <c r="L17" i="24"/>
  <c r="K17" i="24"/>
  <c r="M10" i="24"/>
  <c r="L10" i="24"/>
  <c r="K10" i="24"/>
  <c r="M24" i="24"/>
  <c r="L24" i="24"/>
  <c r="K24" i="24"/>
  <c r="M4" i="24"/>
  <c r="L4" i="24"/>
  <c r="K4" i="24"/>
  <c r="M21" i="24"/>
  <c r="L21" i="24"/>
  <c r="K21" i="24"/>
  <c r="M19" i="24"/>
  <c r="L19" i="24"/>
  <c r="K19" i="24"/>
  <c r="M30" i="24"/>
  <c r="L30" i="24"/>
  <c r="K30" i="24"/>
  <c r="M8" i="24"/>
  <c r="L8" i="24"/>
  <c r="K8" i="24"/>
  <c r="M31" i="24"/>
  <c r="L31" i="24"/>
  <c r="K31" i="24"/>
  <c r="M5" i="24"/>
  <c r="L5" i="24"/>
  <c r="K5" i="24"/>
  <c r="M14" i="24"/>
  <c r="L14" i="24"/>
  <c r="K14" i="24"/>
  <c r="M6" i="24"/>
  <c r="L6" i="24"/>
  <c r="K6" i="24"/>
  <c r="M26" i="24"/>
  <c r="L26" i="24"/>
  <c r="K26" i="24"/>
  <c r="M9" i="24"/>
  <c r="L9" i="24"/>
  <c r="K9" i="24"/>
  <c r="M33" i="24"/>
  <c r="L33" i="24"/>
  <c r="K33" i="24"/>
  <c r="M20" i="24"/>
  <c r="L20" i="24"/>
  <c r="K20" i="24"/>
  <c r="M7" i="24"/>
  <c r="L7" i="24"/>
  <c r="K7" i="24"/>
  <c r="M13" i="24"/>
  <c r="L13" i="24"/>
  <c r="K13" i="24"/>
  <c r="M2" i="24"/>
  <c r="L2" i="24"/>
  <c r="K2" i="24"/>
  <c r="M18" i="24"/>
  <c r="L18" i="24"/>
  <c r="K18" i="24"/>
  <c r="M28" i="24"/>
  <c r="L28" i="24"/>
  <c r="K28" i="24"/>
  <c r="M11" i="24"/>
  <c r="L11" i="24"/>
  <c r="K11" i="24"/>
  <c r="M29" i="24"/>
  <c r="L29" i="24"/>
  <c r="K29" i="24"/>
  <c r="M15" i="24"/>
  <c r="L15" i="24"/>
  <c r="K15" i="24"/>
  <c r="M27" i="24"/>
  <c r="L27" i="24"/>
  <c r="K27" i="24"/>
  <c r="M32" i="24"/>
  <c r="L32" i="24"/>
  <c r="K32" i="24"/>
  <c r="M16" i="24"/>
  <c r="L16" i="24"/>
  <c r="K16" i="24"/>
  <c r="M3" i="24"/>
  <c r="L3" i="24"/>
  <c r="K3" i="24"/>
  <c r="M12" i="24"/>
  <c r="L12" i="24"/>
  <c r="K12" i="24"/>
  <c r="M25" i="24"/>
  <c r="L25" i="24"/>
  <c r="K25" i="24"/>
  <c r="M23" i="24"/>
  <c r="L23" i="24"/>
  <c r="K23" i="24"/>
  <c r="M22" i="24"/>
  <c r="L22" i="24"/>
  <c r="K22" i="24"/>
  <c r="M11" i="23"/>
  <c r="L11" i="23"/>
  <c r="K11" i="23"/>
  <c r="M3" i="23"/>
  <c r="L3" i="23"/>
  <c r="K3" i="23"/>
  <c r="M29" i="23"/>
  <c r="L29" i="23"/>
  <c r="K29" i="23"/>
  <c r="M28" i="23"/>
  <c r="L28" i="23"/>
  <c r="K28" i="23"/>
  <c r="M18" i="23"/>
  <c r="L18" i="23"/>
  <c r="K18" i="23"/>
  <c r="M14" i="23"/>
  <c r="L14" i="23"/>
  <c r="K14" i="23"/>
  <c r="M10" i="23"/>
  <c r="L10" i="23"/>
  <c r="K10" i="23"/>
  <c r="M6" i="23"/>
  <c r="L6" i="23"/>
  <c r="K6" i="23"/>
  <c r="M2" i="23"/>
  <c r="L2" i="23"/>
  <c r="K2" i="23"/>
  <c r="M7" i="23"/>
  <c r="L7" i="23"/>
  <c r="K7" i="23"/>
  <c r="M13" i="23"/>
  <c r="L13" i="23"/>
  <c r="K13" i="23"/>
  <c r="M8" i="23"/>
  <c r="L8" i="23"/>
  <c r="K8" i="23"/>
  <c r="M25" i="23"/>
  <c r="L25" i="23"/>
  <c r="K25" i="23"/>
  <c r="M20" i="23"/>
  <c r="L20" i="23"/>
  <c r="K20" i="23"/>
  <c r="M12" i="23"/>
  <c r="L12" i="23"/>
  <c r="K12" i="23"/>
  <c r="M16" i="23"/>
  <c r="L16" i="23"/>
  <c r="K16" i="23"/>
  <c r="M24" i="23"/>
  <c r="L24" i="23"/>
  <c r="K24" i="23"/>
  <c r="M30" i="23"/>
  <c r="L30" i="23"/>
  <c r="K30" i="23"/>
  <c r="M19" i="23"/>
  <c r="L19" i="23"/>
  <c r="K19" i="23"/>
  <c r="M21" i="23"/>
  <c r="L21" i="23"/>
  <c r="K21" i="23"/>
  <c r="M23" i="23"/>
  <c r="L23" i="23"/>
  <c r="K23" i="23"/>
  <c r="M32" i="23"/>
  <c r="L32" i="23"/>
  <c r="K32" i="23"/>
  <c r="M5" i="23"/>
  <c r="L5" i="23"/>
  <c r="K5" i="23"/>
  <c r="M17" i="23"/>
  <c r="L17" i="23"/>
  <c r="K17" i="23"/>
  <c r="M15" i="23"/>
  <c r="L15" i="23"/>
  <c r="K15" i="23"/>
  <c r="M31" i="23"/>
  <c r="L31" i="23"/>
  <c r="K31" i="23"/>
  <c r="M22" i="23"/>
  <c r="L22" i="23"/>
  <c r="K22" i="23"/>
  <c r="M4" i="23"/>
  <c r="L4" i="23"/>
  <c r="K4" i="23"/>
  <c r="M33" i="23"/>
  <c r="L33" i="23"/>
  <c r="K33" i="23"/>
  <c r="M27" i="23"/>
  <c r="L27" i="23"/>
  <c r="K27" i="23"/>
  <c r="M26" i="23"/>
  <c r="L26" i="23"/>
  <c r="K26" i="23"/>
  <c r="M9" i="23"/>
  <c r="L9" i="23"/>
  <c r="K9" i="23"/>
  <c r="S29" i="22"/>
  <c r="R29" i="22"/>
  <c r="Q29" i="22"/>
  <c r="P29" i="22"/>
  <c r="O29" i="22"/>
  <c r="N29" i="22"/>
  <c r="S24" i="22"/>
  <c r="R24" i="22"/>
  <c r="Q24" i="22"/>
  <c r="P24" i="22"/>
  <c r="O24" i="22"/>
  <c r="N24" i="22"/>
  <c r="S27" i="22"/>
  <c r="R27" i="22"/>
  <c r="Q27" i="22"/>
  <c r="P27" i="22"/>
  <c r="O27" i="22"/>
  <c r="N27" i="22"/>
  <c r="S17" i="22"/>
  <c r="R17" i="22"/>
  <c r="Q17" i="22"/>
  <c r="P17" i="22"/>
  <c r="O17" i="22"/>
  <c r="N17" i="22"/>
  <c r="S32" i="22"/>
  <c r="R32" i="22"/>
  <c r="Q32" i="22"/>
  <c r="P32" i="22"/>
  <c r="O32" i="22"/>
  <c r="N32" i="22"/>
  <c r="S21" i="22"/>
  <c r="R21" i="22"/>
  <c r="Q21" i="22"/>
  <c r="P21" i="22"/>
  <c r="O21" i="22"/>
  <c r="N21" i="22"/>
  <c r="S4" i="22"/>
  <c r="R4" i="22"/>
  <c r="Q4" i="22"/>
  <c r="P4" i="22"/>
  <c r="O4" i="22"/>
  <c r="N4" i="22"/>
  <c r="S2" i="22"/>
  <c r="R2" i="22"/>
  <c r="Q2" i="22"/>
  <c r="P2" i="22"/>
  <c r="O2" i="22"/>
  <c r="N2" i="22"/>
  <c r="S20" i="22"/>
  <c r="R20" i="22"/>
  <c r="Q20" i="22"/>
  <c r="P20" i="22"/>
  <c r="O20" i="22"/>
  <c r="N20" i="22"/>
  <c r="S14" i="22"/>
  <c r="R14" i="22"/>
  <c r="Q14" i="22"/>
  <c r="P14" i="22"/>
  <c r="O14" i="22"/>
  <c r="N14" i="22"/>
  <c r="S11" i="22"/>
  <c r="R11" i="22"/>
  <c r="Q11" i="22"/>
  <c r="P11" i="22"/>
  <c r="O11" i="22"/>
  <c r="N11" i="22"/>
  <c r="S8" i="22"/>
  <c r="R8" i="22"/>
  <c r="Q8" i="22"/>
  <c r="P8" i="22"/>
  <c r="O8" i="22"/>
  <c r="N8" i="22"/>
  <c r="S6" i="22"/>
  <c r="R6" i="22"/>
  <c r="Q6" i="22"/>
  <c r="P6" i="22"/>
  <c r="O6" i="22"/>
  <c r="N6" i="22"/>
  <c r="S31" i="22"/>
  <c r="R31" i="22"/>
  <c r="Q31" i="22"/>
  <c r="P31" i="22"/>
  <c r="O31" i="22"/>
  <c r="N31" i="22"/>
  <c r="S13" i="22"/>
  <c r="R13" i="22"/>
  <c r="Q13" i="22"/>
  <c r="P13" i="22"/>
  <c r="O13" i="22"/>
  <c r="N13" i="22"/>
  <c r="S5" i="22"/>
  <c r="R5" i="22"/>
  <c r="Q5" i="22"/>
  <c r="P5" i="22"/>
  <c r="O5" i="22"/>
  <c r="N5" i="22"/>
  <c r="S25" i="22"/>
  <c r="R25" i="22"/>
  <c r="Q25" i="22"/>
  <c r="P25" i="22"/>
  <c r="O25" i="22"/>
  <c r="N25" i="22"/>
  <c r="S33" i="22"/>
  <c r="R33" i="22"/>
  <c r="Q33" i="22"/>
  <c r="P33" i="22"/>
  <c r="O33" i="22"/>
  <c r="N33" i="22"/>
  <c r="S9" i="22"/>
  <c r="R9" i="22"/>
  <c r="Q9" i="22"/>
  <c r="P9" i="22"/>
  <c r="O9" i="22"/>
  <c r="N9" i="22"/>
  <c r="S12" i="22"/>
  <c r="R12" i="22"/>
  <c r="Q12" i="22"/>
  <c r="P12" i="22"/>
  <c r="O12" i="22"/>
  <c r="N12" i="22"/>
  <c r="S18" i="22"/>
  <c r="R18" i="22"/>
  <c r="Q18" i="22"/>
  <c r="P18" i="22"/>
  <c r="O18" i="22"/>
  <c r="N18" i="22"/>
  <c r="S15" i="22"/>
  <c r="R15" i="22"/>
  <c r="Q15" i="22"/>
  <c r="P15" i="22"/>
  <c r="O15" i="22"/>
  <c r="N15" i="22"/>
  <c r="S7" i="22"/>
  <c r="R7" i="22"/>
  <c r="Q7" i="22"/>
  <c r="P7" i="22"/>
  <c r="O7" i="22"/>
  <c r="N7" i="22"/>
  <c r="S16" i="22"/>
  <c r="R16" i="22"/>
  <c r="Q16" i="22"/>
  <c r="P16" i="22"/>
  <c r="O16" i="22"/>
  <c r="N16" i="22"/>
  <c r="S10" i="22"/>
  <c r="R10" i="22"/>
  <c r="Q10" i="22"/>
  <c r="P10" i="22"/>
  <c r="O10" i="22"/>
  <c r="N10" i="22"/>
  <c r="S23" i="22"/>
  <c r="R23" i="22"/>
  <c r="Q23" i="22"/>
  <c r="P23" i="22"/>
  <c r="O23" i="22"/>
  <c r="N23" i="22"/>
  <c r="S26" i="22"/>
  <c r="R26" i="22"/>
  <c r="Q26" i="22"/>
  <c r="P26" i="22"/>
  <c r="O26" i="22"/>
  <c r="N26" i="22"/>
  <c r="S3" i="22"/>
  <c r="R3" i="22"/>
  <c r="Q3" i="22"/>
  <c r="P3" i="22"/>
  <c r="O3" i="22"/>
  <c r="N3" i="22"/>
  <c r="S28" i="22"/>
  <c r="R28" i="22"/>
  <c r="Q28" i="22"/>
  <c r="P28" i="22"/>
  <c r="O28" i="22"/>
  <c r="N28" i="22"/>
  <c r="S30" i="22"/>
  <c r="R30" i="22"/>
  <c r="Q30" i="22"/>
  <c r="P30" i="22"/>
  <c r="O30" i="22"/>
  <c r="N30" i="22"/>
  <c r="S22" i="22"/>
  <c r="R22" i="22"/>
  <c r="Q22" i="22"/>
  <c r="P22" i="22"/>
  <c r="O22" i="22"/>
  <c r="N22" i="22"/>
  <c r="S19" i="22"/>
  <c r="R19" i="22"/>
  <c r="Q19" i="22"/>
  <c r="P19" i="22"/>
  <c r="O19" i="22"/>
  <c r="N19" i="22"/>
  <c r="W11" i="21"/>
  <c r="V11" i="21"/>
  <c r="U11" i="21"/>
  <c r="T11" i="21"/>
  <c r="S11" i="21"/>
  <c r="R11" i="21"/>
  <c r="Q11" i="21"/>
  <c r="P11" i="21"/>
  <c r="W29" i="21"/>
  <c r="V29" i="21"/>
  <c r="U29" i="21"/>
  <c r="T29" i="21"/>
  <c r="S29" i="21"/>
  <c r="R29" i="21"/>
  <c r="Q29" i="21"/>
  <c r="P29" i="21"/>
  <c r="W8" i="21"/>
  <c r="V8" i="21"/>
  <c r="U8" i="21"/>
  <c r="T8" i="21"/>
  <c r="S8" i="21"/>
  <c r="R8" i="21"/>
  <c r="Q8" i="21"/>
  <c r="P8" i="21"/>
  <c r="W10" i="21"/>
  <c r="V10" i="21"/>
  <c r="U10" i="21"/>
  <c r="T10" i="21"/>
  <c r="S10" i="21"/>
  <c r="R10" i="21"/>
  <c r="Q10" i="21"/>
  <c r="P10" i="21"/>
  <c r="W13" i="21"/>
  <c r="V13" i="21"/>
  <c r="U13" i="21"/>
  <c r="T13" i="21"/>
  <c r="S13" i="21"/>
  <c r="R13" i="21"/>
  <c r="Q13" i="21"/>
  <c r="P13" i="21"/>
  <c r="W14" i="21"/>
  <c r="V14" i="21"/>
  <c r="U14" i="21"/>
  <c r="T14" i="21"/>
  <c r="S14" i="21"/>
  <c r="R14" i="21"/>
  <c r="Q14" i="21"/>
  <c r="P14" i="21"/>
  <c r="W3" i="21"/>
  <c r="V3" i="21"/>
  <c r="U3" i="21"/>
  <c r="T3" i="21"/>
  <c r="S3" i="21"/>
  <c r="R3" i="21"/>
  <c r="Q3" i="21"/>
  <c r="P3" i="21"/>
  <c r="W28" i="21"/>
  <c r="V28" i="21"/>
  <c r="U28" i="21"/>
  <c r="T28" i="21"/>
  <c r="S28" i="21"/>
  <c r="R28" i="21"/>
  <c r="Q28" i="21"/>
  <c r="P28" i="21"/>
  <c r="W6" i="21"/>
  <c r="V6" i="21"/>
  <c r="U6" i="21"/>
  <c r="T6" i="21"/>
  <c r="S6" i="21"/>
  <c r="R6" i="21"/>
  <c r="Q6" i="21"/>
  <c r="P6" i="21"/>
  <c r="W24" i="21"/>
  <c r="V24" i="21"/>
  <c r="U24" i="21"/>
  <c r="T24" i="21"/>
  <c r="S24" i="21"/>
  <c r="R24" i="21"/>
  <c r="Q24" i="21"/>
  <c r="P24" i="21"/>
  <c r="W30" i="21"/>
  <c r="V30" i="21"/>
  <c r="U30" i="21"/>
  <c r="T30" i="21"/>
  <c r="S30" i="21"/>
  <c r="R30" i="21"/>
  <c r="Q30" i="21"/>
  <c r="P30" i="21"/>
  <c r="W2" i="21"/>
  <c r="V2" i="21"/>
  <c r="U2" i="21"/>
  <c r="T2" i="21"/>
  <c r="S2" i="21"/>
  <c r="R2" i="21"/>
  <c r="Q2" i="21"/>
  <c r="P2" i="21"/>
  <c r="W18" i="21"/>
  <c r="V18" i="21"/>
  <c r="U18" i="21"/>
  <c r="T18" i="21"/>
  <c r="S18" i="21"/>
  <c r="R18" i="21"/>
  <c r="Q18" i="21"/>
  <c r="P18" i="21"/>
  <c r="W20" i="21"/>
  <c r="V20" i="21"/>
  <c r="U20" i="21"/>
  <c r="T20" i="21"/>
  <c r="S20" i="21"/>
  <c r="R20" i="21"/>
  <c r="Q20" i="21"/>
  <c r="P20" i="21"/>
  <c r="W17" i="21"/>
  <c r="V17" i="21"/>
  <c r="U17" i="21"/>
  <c r="T17" i="21"/>
  <c r="S17" i="21"/>
  <c r="R17" i="21"/>
  <c r="Q17" i="21"/>
  <c r="P17" i="21"/>
  <c r="W21" i="21"/>
  <c r="V21" i="21"/>
  <c r="U21" i="21"/>
  <c r="T21" i="21"/>
  <c r="S21" i="21"/>
  <c r="R21" i="21"/>
  <c r="Q21" i="21"/>
  <c r="P21" i="21"/>
  <c r="W4" i="21"/>
  <c r="V4" i="21"/>
  <c r="U4" i="21"/>
  <c r="T4" i="21"/>
  <c r="S4" i="21"/>
  <c r="R4" i="21"/>
  <c r="Q4" i="21"/>
  <c r="P4" i="21"/>
  <c r="W5" i="21"/>
  <c r="V5" i="21"/>
  <c r="U5" i="21"/>
  <c r="T5" i="21"/>
  <c r="S5" i="21"/>
  <c r="R5" i="21"/>
  <c r="Q5" i="21"/>
  <c r="P5" i="21"/>
  <c r="W19" i="21"/>
  <c r="V19" i="21"/>
  <c r="U19" i="21"/>
  <c r="T19" i="21"/>
  <c r="S19" i="21"/>
  <c r="R19" i="21"/>
  <c r="Q19" i="21"/>
  <c r="P19" i="21"/>
  <c r="W25" i="21"/>
  <c r="V25" i="21"/>
  <c r="U25" i="21"/>
  <c r="T25" i="21"/>
  <c r="S25" i="21"/>
  <c r="R25" i="21"/>
  <c r="Q25" i="21"/>
  <c r="P25" i="21"/>
  <c r="W12" i="21"/>
  <c r="V12" i="21"/>
  <c r="U12" i="21"/>
  <c r="T12" i="21"/>
  <c r="S12" i="21"/>
  <c r="R12" i="21"/>
  <c r="Q12" i="21"/>
  <c r="P12" i="21"/>
  <c r="W31" i="21"/>
  <c r="V31" i="21"/>
  <c r="U31" i="21"/>
  <c r="T31" i="21"/>
  <c r="S31" i="21"/>
  <c r="R31" i="21"/>
  <c r="Q31" i="21"/>
  <c r="P31" i="21"/>
  <c r="W7" i="21"/>
  <c r="V7" i="21"/>
  <c r="U7" i="21"/>
  <c r="T7" i="21"/>
  <c r="S7" i="21"/>
  <c r="R7" i="21"/>
  <c r="Q7" i="21"/>
  <c r="P7" i="21"/>
  <c r="W33" i="21"/>
  <c r="V33" i="21"/>
  <c r="U33" i="21"/>
  <c r="T33" i="21"/>
  <c r="S33" i="21"/>
  <c r="R33" i="21"/>
  <c r="Q33" i="21"/>
  <c r="P33" i="21"/>
  <c r="W15" i="21"/>
  <c r="V15" i="21"/>
  <c r="U15" i="21"/>
  <c r="T15" i="21"/>
  <c r="S15" i="21"/>
  <c r="R15" i="21"/>
  <c r="Q15" i="21"/>
  <c r="P15" i="21"/>
  <c r="W27" i="21"/>
  <c r="V27" i="21"/>
  <c r="U27" i="21"/>
  <c r="T27" i="21"/>
  <c r="S27" i="21"/>
  <c r="R27" i="21"/>
  <c r="Q27" i="21"/>
  <c r="P27" i="21"/>
  <c r="W9" i="21"/>
  <c r="V9" i="21"/>
  <c r="U9" i="21"/>
  <c r="T9" i="21"/>
  <c r="S9" i="21"/>
  <c r="R9" i="21"/>
  <c r="Q9" i="21"/>
  <c r="P9" i="21"/>
  <c r="W32" i="21"/>
  <c r="V32" i="21"/>
  <c r="U32" i="21"/>
  <c r="T32" i="21"/>
  <c r="S32" i="21"/>
  <c r="R32" i="21"/>
  <c r="Q32" i="21"/>
  <c r="P32" i="21"/>
  <c r="W16" i="21"/>
  <c r="V16" i="21"/>
  <c r="U16" i="21"/>
  <c r="T16" i="21"/>
  <c r="S16" i="21"/>
  <c r="R16" i="21"/>
  <c r="Q16" i="21"/>
  <c r="P16" i="21"/>
  <c r="W26" i="21"/>
  <c r="V26" i="21"/>
  <c r="T26" i="21"/>
  <c r="S26" i="21"/>
  <c r="R26" i="21"/>
  <c r="Q26" i="21"/>
  <c r="P26" i="21"/>
  <c r="W23" i="21"/>
  <c r="V23" i="21"/>
  <c r="T23" i="21"/>
  <c r="S23" i="21"/>
  <c r="R23" i="21"/>
  <c r="Q23" i="21"/>
  <c r="P23" i="21"/>
  <c r="W22" i="21"/>
  <c r="V22" i="21"/>
  <c r="U22" i="21"/>
  <c r="T22" i="21"/>
  <c r="S22" i="21"/>
  <c r="R22" i="21"/>
  <c r="Q22" i="21"/>
  <c r="P22" i="21"/>
  <c r="D15" i="45"/>
  <c r="D14" i="45"/>
  <c r="D20" i="45"/>
  <c r="D13" i="45"/>
  <c r="D12" i="45"/>
  <c r="D16" i="45"/>
  <c r="D28" i="45"/>
  <c r="D31" i="45"/>
  <c r="D32" i="45"/>
  <c r="D29" i="45"/>
  <c r="D30" i="45"/>
  <c r="S21" i="43"/>
  <c r="S18" i="43"/>
  <c r="BE17" i="52"/>
  <c r="X17" i="52" s="1"/>
  <c r="BE40" i="52"/>
  <c r="AP40" i="52"/>
  <c r="R40" i="52"/>
  <c r="BB40" i="52"/>
  <c r="W40" i="52" s="1"/>
  <c r="AL40" i="52"/>
  <c r="Q40" i="52" s="1"/>
  <c r="AX40" i="52"/>
  <c r="BM40" i="52"/>
  <c r="AT40" i="52"/>
  <c r="BI40" i="52"/>
  <c r="BK22" i="14"/>
  <c r="AN22" i="14"/>
  <c r="BC22" i="14"/>
  <c r="AV22" i="14"/>
  <c r="AS12" i="16"/>
  <c r="AO12" i="16"/>
  <c r="V12" i="16" s="1"/>
  <c r="AK12" i="16"/>
  <c r="AH12" i="16"/>
  <c r="S12" i="16" s="1"/>
  <c r="AS33" i="16"/>
  <c r="X33" i="16"/>
  <c r="AK33" i="16"/>
  <c r="AO33" i="16"/>
  <c r="AH33" i="16"/>
  <c r="AS45" i="16"/>
  <c r="X45" i="16" s="1"/>
  <c r="AO45" i="16"/>
  <c r="AK45" i="16"/>
  <c r="AH45" i="16"/>
  <c r="AS50" i="16"/>
  <c r="X50" i="16" s="1"/>
  <c r="AO50" i="16"/>
  <c r="AK50" i="16"/>
  <c r="AH50" i="16"/>
  <c r="S50" i="16" s="1"/>
  <c r="AS65" i="16"/>
  <c r="X65" i="16" s="1"/>
  <c r="AO65" i="16"/>
  <c r="AK65" i="16"/>
  <c r="AH65" i="16"/>
  <c r="AS11" i="16"/>
  <c r="X11" i="16"/>
  <c r="AO11" i="16"/>
  <c r="AK11" i="16"/>
  <c r="T11" i="16" s="1"/>
  <c r="AH11" i="16"/>
  <c r="AS15" i="16"/>
  <c r="X15" i="16" s="1"/>
  <c r="AO15" i="16"/>
  <c r="AK15" i="16"/>
  <c r="T15" i="16" s="1"/>
  <c r="AH15" i="16"/>
  <c r="AS21" i="16"/>
  <c r="AO21" i="16"/>
  <c r="AK21" i="16"/>
  <c r="T21" i="16" s="1"/>
  <c r="AH21" i="16"/>
  <c r="AS41" i="16"/>
  <c r="AO41" i="16"/>
  <c r="AK41" i="16"/>
  <c r="T41" i="16" s="1"/>
  <c r="AH41" i="16"/>
  <c r="S41" i="16" s="1"/>
  <c r="AS25" i="16"/>
  <c r="AO25" i="16"/>
  <c r="AK25" i="16"/>
  <c r="AH25" i="16"/>
  <c r="AS26" i="16"/>
  <c r="AO26" i="16"/>
  <c r="AK26" i="16"/>
  <c r="AH26" i="16"/>
  <c r="AS23" i="16"/>
  <c r="X23" i="16"/>
  <c r="AO23" i="16"/>
  <c r="AK23" i="16"/>
  <c r="AH23" i="16"/>
  <c r="S23" i="16" s="1"/>
  <c r="AS53" i="16"/>
  <c r="X53" i="16" s="1"/>
  <c r="AO53" i="16"/>
  <c r="AK53" i="16"/>
  <c r="AH53" i="16"/>
  <c r="AS17" i="16"/>
  <c r="X17" i="16" s="1"/>
  <c r="AO17" i="16"/>
  <c r="AK17" i="16"/>
  <c r="T17" i="16" s="1"/>
  <c r="AH17" i="16"/>
  <c r="S17" i="16" s="1"/>
  <c r="AS40" i="16"/>
  <c r="AO40" i="16"/>
  <c r="AK40" i="16"/>
  <c r="AH40" i="16"/>
  <c r="S40" i="16" s="1"/>
  <c r="AS51" i="16"/>
  <c r="X51" i="16" s="1"/>
  <c r="AO51" i="16"/>
  <c r="V51" i="16" s="1"/>
  <c r="AV51" i="16" s="1"/>
  <c r="AH51" i="16"/>
  <c r="AK51" i="16"/>
  <c r="AS66" i="16"/>
  <c r="X66" i="16" s="1"/>
  <c r="AO66" i="16"/>
  <c r="V66" i="16" s="1"/>
  <c r="AK66" i="16"/>
  <c r="AH66" i="16"/>
  <c r="AS61" i="16"/>
  <c r="X61" i="16"/>
  <c r="AO61" i="16"/>
  <c r="AH61" i="16"/>
  <c r="S61" i="16" s="1"/>
  <c r="AK61" i="16"/>
  <c r="AS44" i="16"/>
  <c r="X44" i="16" s="1"/>
  <c r="AO44" i="16"/>
  <c r="V44" i="16" s="1"/>
  <c r="AV44" i="16" s="1"/>
  <c r="AH44" i="16"/>
  <c r="AK44" i="16"/>
  <c r="AS72" i="16"/>
  <c r="AO72" i="16"/>
  <c r="AH72" i="16"/>
  <c r="AK72" i="16"/>
  <c r="AS55" i="16"/>
  <c r="AO55" i="16"/>
  <c r="V55" i="16" s="1"/>
  <c r="AK55" i="16"/>
  <c r="AH55" i="16"/>
  <c r="S55" i="16" s="1"/>
  <c r="AS52" i="16"/>
  <c r="X52" i="16" s="1"/>
  <c r="AO52" i="16"/>
  <c r="AK52" i="16"/>
  <c r="AH52" i="16"/>
  <c r="AS20" i="16"/>
  <c r="X20" i="16" s="1"/>
  <c r="AK20" i="16"/>
  <c r="AO20" i="16"/>
  <c r="AH20" i="16"/>
  <c r="S20" i="16" s="1"/>
  <c r="AS43" i="16"/>
  <c r="X43" i="16" s="1"/>
  <c r="AK43" i="16"/>
  <c r="AH43" i="16"/>
  <c r="S43" i="16" s="1"/>
  <c r="AO43" i="16"/>
  <c r="AS31" i="16"/>
  <c r="AO31" i="16"/>
  <c r="AK31" i="16"/>
  <c r="AH31" i="16"/>
  <c r="S31" i="16" s="1"/>
  <c r="AS62" i="16"/>
  <c r="X62" i="16"/>
  <c r="AO62" i="16"/>
  <c r="AK62" i="16"/>
  <c r="T62" i="16" s="1"/>
  <c r="AH62" i="16"/>
  <c r="AS27" i="16"/>
  <c r="X27" i="16" s="1"/>
  <c r="AO27" i="16"/>
  <c r="V27" i="16" s="1"/>
  <c r="AK27" i="16"/>
  <c r="AH27" i="16"/>
  <c r="AS64" i="16"/>
  <c r="X64" i="16"/>
  <c r="AO64" i="16"/>
  <c r="AH64" i="16"/>
  <c r="AK64" i="16"/>
  <c r="AS18" i="16"/>
  <c r="X18" i="16" s="1"/>
  <c r="AO18" i="16"/>
  <c r="V18" i="16" s="1"/>
  <c r="AV18" i="16" s="1"/>
  <c r="AK18" i="16"/>
  <c r="AH18" i="16"/>
  <c r="S18" i="16" s="1"/>
  <c r="AS14" i="16"/>
  <c r="X14" i="16" s="1"/>
  <c r="AO14" i="16"/>
  <c r="AK14" i="16"/>
  <c r="T14" i="16" s="1"/>
  <c r="AH14" i="16"/>
  <c r="S14" i="16" s="1"/>
  <c r="AS38" i="16"/>
  <c r="AO38" i="16"/>
  <c r="V38" i="16" s="1"/>
  <c r="AV38" i="16" s="1"/>
  <c r="AK38" i="16"/>
  <c r="AH38" i="16"/>
  <c r="AS47" i="16"/>
  <c r="X47" i="16" s="1"/>
  <c r="AO47" i="16"/>
  <c r="AK47" i="16"/>
  <c r="T47" i="16" s="1"/>
  <c r="AH47" i="16"/>
  <c r="AS28" i="16"/>
  <c r="X28" i="16" s="1"/>
  <c r="AO28" i="16"/>
  <c r="V28" i="16" s="1"/>
  <c r="AK28" i="16"/>
  <c r="T28" i="16" s="1"/>
  <c r="AH28" i="16"/>
  <c r="S28" i="16" s="1"/>
  <c r="AS24" i="16"/>
  <c r="AO24" i="16"/>
  <c r="V24" i="16" s="1"/>
  <c r="AV24" i="16" s="1"/>
  <c r="AK24" i="16"/>
  <c r="AH24" i="16"/>
  <c r="AS57" i="16"/>
  <c r="AO57" i="16"/>
  <c r="V57" i="16" s="1"/>
  <c r="AV57" i="16" s="1"/>
  <c r="AK57" i="16"/>
  <c r="AH57" i="16"/>
  <c r="AS39" i="16"/>
  <c r="AO39" i="16"/>
  <c r="AK39" i="16"/>
  <c r="AH39" i="16"/>
  <c r="S39" i="16" s="1"/>
  <c r="AS46" i="16"/>
  <c r="X46" i="16" s="1"/>
  <c r="AO46" i="16"/>
  <c r="V46" i="16" s="1"/>
  <c r="AK46" i="16"/>
  <c r="AH46" i="16"/>
  <c r="S46" i="16" s="1"/>
  <c r="AS68" i="16"/>
  <c r="AO68" i="16"/>
  <c r="AK68" i="16"/>
  <c r="T68" i="16" s="1"/>
  <c r="AH68" i="16"/>
  <c r="S68" i="16" s="1"/>
  <c r="AS60" i="16"/>
  <c r="X60" i="16" s="1"/>
  <c r="AO60" i="16"/>
  <c r="V60" i="16" s="1"/>
  <c r="AV60" i="16" s="1"/>
  <c r="AK60" i="16"/>
  <c r="T60" i="16" s="1"/>
  <c r="AH60" i="16"/>
  <c r="AS32" i="16"/>
  <c r="X32" i="16" s="1"/>
  <c r="AO32" i="16"/>
  <c r="AK32" i="16"/>
  <c r="AH32" i="16"/>
  <c r="AS71" i="16"/>
  <c r="AO71" i="16"/>
  <c r="AH71" i="16"/>
  <c r="AK71" i="16"/>
  <c r="AS19" i="16"/>
  <c r="AK19" i="16"/>
  <c r="T19" i="16" s="1"/>
  <c r="AH19" i="16"/>
  <c r="S19" i="16" s="1"/>
  <c r="AO19" i="16"/>
  <c r="AS16" i="16"/>
  <c r="X16" i="16" s="1"/>
  <c r="AK16" i="16"/>
  <c r="T16" i="16" s="1"/>
  <c r="AO16" i="16"/>
  <c r="AH16" i="16"/>
  <c r="AS30" i="16"/>
  <c r="AK30" i="16"/>
  <c r="AO30" i="16"/>
  <c r="AH30" i="16"/>
  <c r="S30" i="16" s="1"/>
  <c r="AS70" i="16"/>
  <c r="AO70" i="16"/>
  <c r="AK70" i="16"/>
  <c r="AH70" i="16"/>
  <c r="AS67" i="16"/>
  <c r="AO67" i="16"/>
  <c r="V67" i="16" s="1"/>
  <c r="AV67" i="16" s="1"/>
  <c r="AK67" i="16"/>
  <c r="T67" i="16" s="1"/>
  <c r="AH67" i="16"/>
  <c r="AS58" i="16"/>
  <c r="X58" i="16" s="1"/>
  <c r="AO58" i="16"/>
  <c r="V58" i="16" s="1"/>
  <c r="AV58" i="16" s="1"/>
  <c r="AK58" i="16"/>
  <c r="T58" i="16" s="1"/>
  <c r="AH58" i="16"/>
  <c r="AS69" i="16"/>
  <c r="X69" i="16"/>
  <c r="AO69" i="16"/>
  <c r="AH69" i="16"/>
  <c r="AK69" i="16"/>
  <c r="AS13" i="16"/>
  <c r="X13" i="16" s="1"/>
  <c r="AO13" i="16"/>
  <c r="AK13" i="16"/>
  <c r="AH13" i="16"/>
  <c r="AO37" i="16"/>
  <c r="AK37" i="16"/>
  <c r="T37" i="16" s="1"/>
  <c r="AS37" i="16"/>
  <c r="X37" i="16" s="1"/>
  <c r="AH37" i="16"/>
  <c r="AS29" i="16"/>
  <c r="X29" i="16" s="1"/>
  <c r="AO29" i="16"/>
  <c r="V29" i="16" s="1"/>
  <c r="AK29" i="16"/>
  <c r="AH29" i="16"/>
  <c r="AS34" i="16"/>
  <c r="X34" i="16" s="1"/>
  <c r="AO34" i="16"/>
  <c r="AK34" i="16"/>
  <c r="AH34" i="16"/>
  <c r="AO22" i="16"/>
  <c r="AK22" i="16"/>
  <c r="AS22" i="16"/>
  <c r="AH22" i="16"/>
  <c r="S22" i="16" s="1"/>
  <c r="AS35" i="16"/>
  <c r="X35" i="16" s="1"/>
  <c r="AO35" i="16"/>
  <c r="AK35" i="16"/>
  <c r="AH35" i="16"/>
  <c r="AS54" i="16"/>
  <c r="X54" i="16" s="1"/>
  <c r="AH54" i="16"/>
  <c r="AO54" i="16"/>
  <c r="V54" i="16" s="1"/>
  <c r="AV54" i="16" s="1"/>
  <c r="AK54" i="16"/>
  <c r="AS42" i="16"/>
  <c r="X42" i="16"/>
  <c r="AO42" i="16"/>
  <c r="AK42" i="16"/>
  <c r="AH42" i="16"/>
  <c r="AS36" i="16"/>
  <c r="AO36" i="16"/>
  <c r="V36" i="16" s="1"/>
  <c r="AV36" i="16" s="1"/>
  <c r="AK36" i="16"/>
  <c r="AH36" i="16"/>
  <c r="AS63" i="16"/>
  <c r="X63" i="16"/>
  <c r="AK63" i="16"/>
  <c r="AO63" i="16"/>
  <c r="AH63" i="16"/>
  <c r="AS56" i="16"/>
  <c r="AK56" i="16"/>
  <c r="AH56" i="16"/>
  <c r="AO56" i="16"/>
  <c r="V56" i="16" s="1"/>
  <c r="AS49" i="16"/>
  <c r="AK49" i="16"/>
  <c r="AO49" i="16"/>
  <c r="V49" i="16" s="1"/>
  <c r="AV49" i="16" s="1"/>
  <c r="AH49" i="16"/>
  <c r="S49" i="16" s="1"/>
  <c r="AS59" i="16"/>
  <c r="X59" i="16" s="1"/>
  <c r="AK59" i="16"/>
  <c r="AO59" i="16"/>
  <c r="AH59" i="16"/>
  <c r="S59" i="16" s="1"/>
  <c r="AS48" i="16"/>
  <c r="X48" i="16" s="1"/>
  <c r="AK48" i="16"/>
  <c r="AO48" i="16"/>
  <c r="V48" i="16" s="1"/>
  <c r="AH48" i="16"/>
  <c r="AH18" i="15"/>
  <c r="AH17" i="15"/>
  <c r="S17" i="15" s="1"/>
  <c r="AH48" i="15"/>
  <c r="AH65" i="15"/>
  <c r="AH19" i="15"/>
  <c r="AH54" i="15"/>
  <c r="AH46" i="15"/>
  <c r="AH55" i="15"/>
  <c r="S55" i="15" s="1"/>
  <c r="AH73" i="15"/>
  <c r="AH59" i="15"/>
  <c r="AH86" i="15"/>
  <c r="S86" i="15" s="1"/>
  <c r="AH45" i="15"/>
  <c r="S45" i="15" s="1"/>
  <c r="AH49" i="15"/>
  <c r="AH120" i="15"/>
  <c r="AH40" i="15"/>
  <c r="AH77" i="15"/>
  <c r="AH108" i="15"/>
  <c r="S108" i="15" s="1"/>
  <c r="AH12" i="15"/>
  <c r="AH88" i="15"/>
  <c r="AH101" i="15"/>
  <c r="AH39" i="15"/>
  <c r="AH61" i="15"/>
  <c r="AH118" i="15"/>
  <c r="S118" i="15" s="1"/>
  <c r="AH16" i="15"/>
  <c r="AH24" i="15"/>
  <c r="AH53" i="15"/>
  <c r="AH80" i="15"/>
  <c r="AH47" i="15"/>
  <c r="AH35" i="15"/>
  <c r="S35" i="15" s="1"/>
  <c r="AH36" i="15"/>
  <c r="AH52" i="15"/>
  <c r="AH38" i="15"/>
  <c r="S38" i="15" s="1"/>
  <c r="AH60" i="15"/>
  <c r="AH82" i="15"/>
  <c r="AH112" i="15"/>
  <c r="AH79" i="15"/>
  <c r="AH13" i="15"/>
  <c r="AH122" i="15"/>
  <c r="AH92" i="15"/>
  <c r="AH22" i="15"/>
  <c r="AH91" i="15"/>
  <c r="AH103" i="15"/>
  <c r="AH29" i="15"/>
  <c r="AH28" i="15"/>
  <c r="AH41" i="15"/>
  <c r="AH44" i="15"/>
  <c r="AH25" i="15"/>
  <c r="S25" i="15" s="1"/>
  <c r="AH31" i="15"/>
  <c r="AH76" i="15"/>
  <c r="AH81" i="15"/>
  <c r="AH85" i="15"/>
  <c r="S85" i="15" s="1"/>
  <c r="AH89" i="15"/>
  <c r="AH96" i="15"/>
  <c r="AH123" i="15"/>
  <c r="S123" i="15" s="1"/>
  <c r="AH57" i="15"/>
  <c r="AH67" i="15"/>
  <c r="AH115" i="15"/>
  <c r="AH114" i="15"/>
  <c r="AH116" i="15"/>
  <c r="S116" i="15"/>
  <c r="AH26" i="15"/>
  <c r="AH42" i="15"/>
  <c r="S42" i="15" s="1"/>
  <c r="AH56" i="15"/>
  <c r="AH90" i="15"/>
  <c r="AH37" i="15"/>
  <c r="AH68" i="15"/>
  <c r="AH69" i="15"/>
  <c r="AH72" i="15"/>
  <c r="AH58" i="15"/>
  <c r="AH51" i="15"/>
  <c r="AH75" i="15"/>
  <c r="AH70" i="15"/>
  <c r="S70" i="15" s="1"/>
  <c r="AH111" i="15"/>
  <c r="AH78" i="15"/>
  <c r="AH106" i="15"/>
  <c r="AH84" i="15"/>
  <c r="AH110" i="15"/>
  <c r="AH102" i="15"/>
  <c r="AH95" i="15"/>
  <c r="AH109" i="15"/>
  <c r="AH105" i="15"/>
  <c r="AH100" i="15"/>
  <c r="AH121" i="15"/>
  <c r="S121" i="15" s="1"/>
  <c r="AH15" i="15"/>
  <c r="AH23" i="15"/>
  <c r="AO18" i="15"/>
  <c r="AS18" i="15"/>
  <c r="AK18" i="15"/>
  <c r="T18" i="15" s="1"/>
  <c r="AO48" i="15"/>
  <c r="AS48" i="15"/>
  <c r="AK48" i="15"/>
  <c r="AO19" i="15"/>
  <c r="AS19" i="15"/>
  <c r="AK19" i="15"/>
  <c r="AO55" i="15"/>
  <c r="AS55" i="15"/>
  <c r="AK55" i="15"/>
  <c r="AO59" i="15"/>
  <c r="AS59" i="15"/>
  <c r="X59" i="15" s="1"/>
  <c r="AK59" i="15"/>
  <c r="AO45" i="15"/>
  <c r="AS45" i="15"/>
  <c r="AK45" i="15"/>
  <c r="AS113" i="15"/>
  <c r="AO40" i="15"/>
  <c r="AS40" i="15"/>
  <c r="AK40" i="15"/>
  <c r="AK74" i="15"/>
  <c r="AO108" i="15"/>
  <c r="AS108" i="15"/>
  <c r="AK108" i="15"/>
  <c r="AO39" i="15"/>
  <c r="AS39" i="15"/>
  <c r="AK39" i="15"/>
  <c r="AS118" i="15"/>
  <c r="AK118" i="15"/>
  <c r="T118" i="15" s="1"/>
  <c r="AO118" i="15"/>
  <c r="AO20" i="15"/>
  <c r="AK20" i="15"/>
  <c r="AS20" i="15"/>
  <c r="X20" i="15" s="1"/>
  <c r="AO16" i="15"/>
  <c r="AK16" i="15"/>
  <c r="AS16" i="15"/>
  <c r="X16" i="15" s="1"/>
  <c r="AS24" i="15"/>
  <c r="AO53" i="15"/>
  <c r="AS53" i="15"/>
  <c r="AK53" i="15"/>
  <c r="AO80" i="15"/>
  <c r="V80" i="15" s="1"/>
  <c r="BB80" i="15" s="1"/>
  <c r="AS80" i="15"/>
  <c r="AK80" i="15"/>
  <c r="AO47" i="15"/>
  <c r="AS47" i="15"/>
  <c r="AK47" i="15"/>
  <c r="AO35" i="15"/>
  <c r="AK35" i="15"/>
  <c r="AS35" i="15"/>
  <c r="X35" i="15" s="1"/>
  <c r="AO36" i="15"/>
  <c r="AS36" i="15"/>
  <c r="AK36" i="15"/>
  <c r="AO52" i="15"/>
  <c r="AS52" i="15"/>
  <c r="AK52" i="15"/>
  <c r="AO38" i="15"/>
  <c r="AK38" i="15"/>
  <c r="AS38" i="15"/>
  <c r="X38" i="15" s="1"/>
  <c r="AO60" i="15"/>
  <c r="AS60" i="15"/>
  <c r="AK60" i="15"/>
  <c r="T60" i="15" s="1"/>
  <c r="AO82" i="15"/>
  <c r="AS82" i="15"/>
  <c r="AK82" i="15"/>
  <c r="AO112" i="15"/>
  <c r="AS112" i="15"/>
  <c r="X112" i="15" s="1"/>
  <c r="AK112" i="15"/>
  <c r="AO79" i="15"/>
  <c r="AK79" i="15"/>
  <c r="AS79" i="15"/>
  <c r="AO13" i="15"/>
  <c r="AS13" i="15"/>
  <c r="AK13" i="15"/>
  <c r="AO122" i="15"/>
  <c r="AK122" i="15"/>
  <c r="AS122" i="15"/>
  <c r="AS92" i="15"/>
  <c r="AK92" i="15"/>
  <c r="T92" i="15" s="1"/>
  <c r="AO92" i="15"/>
  <c r="V92" i="15" s="1"/>
  <c r="BB92" i="15" s="1"/>
  <c r="AS22" i="15"/>
  <c r="AK22" i="15"/>
  <c r="AO22" i="15"/>
  <c r="V22" i="15" s="1"/>
  <c r="AS91" i="15"/>
  <c r="AK91" i="15"/>
  <c r="AO91" i="15"/>
  <c r="V91" i="15" s="1"/>
  <c r="BB91" i="15" s="1"/>
  <c r="AS103" i="15"/>
  <c r="AK103" i="15"/>
  <c r="AO103" i="15"/>
  <c r="AK29" i="15"/>
  <c r="AS29" i="15"/>
  <c r="AO29" i="15"/>
  <c r="AO17" i="15"/>
  <c r="AS17" i="15"/>
  <c r="AK17" i="15"/>
  <c r="T17" i="15" s="1"/>
  <c r="AO54" i="15"/>
  <c r="AS54" i="15"/>
  <c r="AK54" i="15"/>
  <c r="AO93" i="15"/>
  <c r="AO49" i="15"/>
  <c r="V49" i="15" s="1"/>
  <c r="BB49" i="15" s="1"/>
  <c r="AS49" i="15"/>
  <c r="AK49" i="15"/>
  <c r="AO120" i="15"/>
  <c r="V120" i="15" s="1"/>
  <c r="BB120" i="15" s="1"/>
  <c r="AS120" i="15"/>
  <c r="AK120" i="15"/>
  <c r="T120" i="15" s="1"/>
  <c r="AO66" i="15"/>
  <c r="AO32" i="15"/>
  <c r="AK62" i="15"/>
  <c r="AS25" i="15"/>
  <c r="AO25" i="15"/>
  <c r="AK25" i="15"/>
  <c r="AS31" i="15"/>
  <c r="AO31" i="15"/>
  <c r="AK31" i="15"/>
  <c r="AS76" i="15"/>
  <c r="AO76" i="15"/>
  <c r="V76" i="15" s="1"/>
  <c r="BB76" i="15" s="1"/>
  <c r="AK76" i="15"/>
  <c r="T76" i="15" s="1"/>
  <c r="AK83" i="15"/>
  <c r="AS81" i="15"/>
  <c r="AO81" i="15"/>
  <c r="AK81" i="15"/>
  <c r="AS50" i="15"/>
  <c r="AO27" i="15"/>
  <c r="AK87" i="15"/>
  <c r="AS85" i="15"/>
  <c r="AO85" i="15"/>
  <c r="AK85" i="15"/>
  <c r="AS89" i="15"/>
  <c r="AO89" i="15"/>
  <c r="AK89" i="15"/>
  <c r="AS96" i="15"/>
  <c r="AO96" i="15"/>
  <c r="AK96" i="15"/>
  <c r="AS123" i="15"/>
  <c r="AO123" i="15"/>
  <c r="AK123" i="15"/>
  <c r="AK63" i="15"/>
  <c r="AS57" i="15"/>
  <c r="X57" i="15" s="1"/>
  <c r="AO57" i="15"/>
  <c r="AK57" i="15"/>
  <c r="T57" i="15" s="1"/>
  <c r="AS97" i="15"/>
  <c r="AO117" i="15"/>
  <c r="AS67" i="15"/>
  <c r="AO67" i="15"/>
  <c r="AK67" i="15"/>
  <c r="AS115" i="15"/>
  <c r="AO115" i="15"/>
  <c r="AK115" i="15"/>
  <c r="AS98" i="15"/>
  <c r="AS114" i="15"/>
  <c r="X114" i="15" s="1"/>
  <c r="AO114" i="15"/>
  <c r="AK114" i="15"/>
  <c r="AS116" i="15"/>
  <c r="AO116" i="15"/>
  <c r="AK116" i="15"/>
  <c r="T116" i="15" s="1"/>
  <c r="AO94" i="15"/>
  <c r="AO46" i="15"/>
  <c r="V46" i="15" s="1"/>
  <c r="BB46" i="15" s="1"/>
  <c r="AS46" i="15"/>
  <c r="AK46" i="15"/>
  <c r="AO73" i="15"/>
  <c r="AS73" i="15"/>
  <c r="X73" i="15" s="1"/>
  <c r="AK73" i="15"/>
  <c r="AO86" i="15"/>
  <c r="V86" i="15" s="1"/>
  <c r="AS86" i="15"/>
  <c r="AK86" i="15"/>
  <c r="AO77" i="15"/>
  <c r="V77" i="15" s="1"/>
  <c r="BB77" i="15" s="1"/>
  <c r="AS77" i="15"/>
  <c r="AK77" i="15"/>
  <c r="AO12" i="15"/>
  <c r="V12" i="15" s="1"/>
  <c r="BB12" i="15" s="1"/>
  <c r="AS12" i="15"/>
  <c r="AK12" i="15"/>
  <c r="T12" i="15" s="1"/>
  <c r="AO88" i="15"/>
  <c r="AS88" i="15"/>
  <c r="AK88" i="15"/>
  <c r="AO101" i="15"/>
  <c r="AS101" i="15"/>
  <c r="AK101" i="15"/>
  <c r="AS61" i="15"/>
  <c r="AK61" i="15"/>
  <c r="AO61" i="15"/>
  <c r="AO14" i="15"/>
  <c r="AS28" i="15"/>
  <c r="AO28" i="15"/>
  <c r="V28" i="15" s="1"/>
  <c r="AK28" i="15"/>
  <c r="AS41" i="15"/>
  <c r="X41" i="15" s="1"/>
  <c r="AO41" i="15"/>
  <c r="AK41" i="15"/>
  <c r="AS44" i="15"/>
  <c r="AO44" i="15"/>
  <c r="AK44" i="15"/>
  <c r="T44" i="15" s="1"/>
  <c r="AS26" i="15"/>
  <c r="X26" i="15" s="1"/>
  <c r="AO26" i="15"/>
  <c r="AK26" i="15"/>
  <c r="T26" i="15" s="1"/>
  <c r="AS42" i="15"/>
  <c r="AO42" i="15"/>
  <c r="AK42" i="15"/>
  <c r="AS56" i="15"/>
  <c r="AO56" i="15"/>
  <c r="AK56" i="15"/>
  <c r="T56" i="15" s="1"/>
  <c r="AS90" i="15"/>
  <c r="AO90" i="15"/>
  <c r="V90" i="15" s="1"/>
  <c r="BB90" i="15" s="1"/>
  <c r="AK90" i="15"/>
  <c r="T90" i="15" s="1"/>
  <c r="AS37" i="15"/>
  <c r="AO37" i="15"/>
  <c r="AK37" i="15"/>
  <c r="AK21" i="15"/>
  <c r="AS68" i="15"/>
  <c r="X68" i="15" s="1"/>
  <c r="AO68" i="15"/>
  <c r="AK68" i="15"/>
  <c r="AS69" i="15"/>
  <c r="AO69" i="15"/>
  <c r="AK69" i="15"/>
  <c r="T69" i="15" s="1"/>
  <c r="AS72" i="15"/>
  <c r="X72" i="15" s="1"/>
  <c r="AO72" i="15"/>
  <c r="AK72" i="15"/>
  <c r="AS58" i="15"/>
  <c r="X58" i="15" s="1"/>
  <c r="AO58" i="15"/>
  <c r="AK58" i="15"/>
  <c r="T58" i="15" s="1"/>
  <c r="AS51" i="15"/>
  <c r="AO51" i="15"/>
  <c r="V51" i="15" s="1"/>
  <c r="AK51" i="15"/>
  <c r="AS75" i="15"/>
  <c r="AO75" i="15"/>
  <c r="AK75" i="15"/>
  <c r="AS70" i="15"/>
  <c r="AO70" i="15"/>
  <c r="AK70" i="15"/>
  <c r="AS111" i="15"/>
  <c r="X111" i="15" s="1"/>
  <c r="AO111" i="15"/>
  <c r="AK111" i="15"/>
  <c r="AS78" i="15"/>
  <c r="AO78" i="15"/>
  <c r="AK78" i="15"/>
  <c r="T78" i="15" s="1"/>
  <c r="AS106" i="15"/>
  <c r="AO106" i="15"/>
  <c r="AK106" i="15"/>
  <c r="T106" i="15" s="1"/>
  <c r="AS84" i="15"/>
  <c r="X84" i="15" s="1"/>
  <c r="AO84" i="15"/>
  <c r="AK84" i="15"/>
  <c r="AS110" i="15"/>
  <c r="X110" i="15" s="1"/>
  <c r="AO110" i="15"/>
  <c r="AK110" i="15"/>
  <c r="AS102" i="15"/>
  <c r="AO102" i="15"/>
  <c r="V102" i="15" s="1"/>
  <c r="BB102" i="15" s="1"/>
  <c r="AK102" i="15"/>
  <c r="T102" i="15" s="1"/>
  <c r="AS107" i="15"/>
  <c r="AS95" i="15"/>
  <c r="AO95" i="15"/>
  <c r="AK95" i="15"/>
  <c r="AS109" i="15"/>
  <c r="AO109" i="15"/>
  <c r="AK109" i="15"/>
  <c r="AS105" i="15"/>
  <c r="AO105" i="15"/>
  <c r="AK105" i="15"/>
  <c r="AS100" i="15"/>
  <c r="X100" i="15" s="1"/>
  <c r="AO100" i="15"/>
  <c r="AK100" i="15"/>
  <c r="AS121" i="15"/>
  <c r="AO121" i="15"/>
  <c r="V121" i="15" s="1"/>
  <c r="AK121" i="15"/>
  <c r="AS15" i="15"/>
  <c r="X15" i="15" s="1"/>
  <c r="AO15" i="15"/>
  <c r="V15" i="15" s="1"/>
  <c r="BB15" i="15" s="1"/>
  <c r="AK15" i="15"/>
  <c r="AK119" i="15"/>
  <c r="AS23" i="15"/>
  <c r="AO23" i="15"/>
  <c r="V23" i="15" s="1"/>
  <c r="BB23" i="15" s="1"/>
  <c r="AK23" i="15"/>
  <c r="F19" i="45"/>
  <c r="R19" i="45"/>
  <c r="O19" i="45"/>
  <c r="M14" i="45"/>
  <c r="L18" i="45"/>
  <c r="L14" i="45"/>
  <c r="E16" i="45"/>
  <c r="E14" i="45"/>
  <c r="S72" i="16"/>
  <c r="S44" i="16"/>
  <c r="S69" i="16"/>
  <c r="V68" i="16"/>
  <c r="V39" i="16"/>
  <c r="AV39" i="16" s="1"/>
  <c r="V14" i="16"/>
  <c r="N19" i="45"/>
  <c r="T27" i="16"/>
  <c r="T40" i="16"/>
  <c r="T53" i="16"/>
  <c r="S13" i="16"/>
  <c r="V34" i="16"/>
  <c r="AV34" i="16" s="1"/>
  <c r="S32" i="16"/>
  <c r="S57" i="16"/>
  <c r="S27" i="16"/>
  <c r="S62" i="16"/>
  <c r="S25" i="16"/>
  <c r="T69" i="16"/>
  <c r="S47" i="16"/>
  <c r="M19" i="45"/>
  <c r="T64" i="16"/>
  <c r="T44" i="16"/>
  <c r="T33" i="16"/>
  <c r="L19" i="45"/>
  <c r="S64" i="16"/>
  <c r="V40" i="16"/>
  <c r="AV40" i="16" s="1"/>
  <c r="V17" i="16"/>
  <c r="T70" i="16"/>
  <c r="T32" i="16"/>
  <c r="U32" i="16" s="1"/>
  <c r="T46" i="16"/>
  <c r="T24" i="16"/>
  <c r="T38" i="16"/>
  <c r="T18" i="16"/>
  <c r="S56" i="16"/>
  <c r="T43" i="16"/>
  <c r="T54" i="16"/>
  <c r="S21" i="16"/>
  <c r="S15" i="16"/>
  <c r="S45" i="16"/>
  <c r="S33" i="16"/>
  <c r="S36" i="16"/>
  <c r="T50" i="16"/>
  <c r="T45" i="16"/>
  <c r="T61" i="16"/>
  <c r="T51" i="16"/>
  <c r="T59" i="16"/>
  <c r="T49" i="16"/>
  <c r="T63" i="16"/>
  <c r="T42" i="16"/>
  <c r="T29" i="16"/>
  <c r="T13" i="16"/>
  <c r="V23" i="16"/>
  <c r="AV23" i="16" s="1"/>
  <c r="V41" i="16"/>
  <c r="AV41" i="16" s="1"/>
  <c r="V11" i="16"/>
  <c r="AV11" i="16" s="1"/>
  <c r="V65" i="16"/>
  <c r="V50" i="16"/>
  <c r="AV50" i="16" s="1"/>
  <c r="V45" i="16"/>
  <c r="AV45" i="16" s="1"/>
  <c r="V59" i="16"/>
  <c r="AV59" i="16" s="1"/>
  <c r="V35" i="16"/>
  <c r="AV35" i="16" s="1"/>
  <c r="T22" i="16"/>
  <c r="V19" i="16"/>
  <c r="V43" i="16"/>
  <c r="AV43" i="16" s="1"/>
  <c r="V20" i="16"/>
  <c r="AV20" i="16" s="1"/>
  <c r="F14" i="45"/>
  <c r="AM58" i="16"/>
  <c r="AM30" i="16"/>
  <c r="AM24" i="16"/>
  <c r="AM41" i="16"/>
  <c r="G19" i="45"/>
  <c r="AM45" i="16"/>
  <c r="AM54" i="16"/>
  <c r="AM57" i="16"/>
  <c r="AM55" i="16"/>
  <c r="AM72" i="16"/>
  <c r="AM18" i="16"/>
  <c r="AM34" i="16"/>
  <c r="AM40" i="16"/>
  <c r="AM53" i="16"/>
  <c r="AM23" i="16"/>
  <c r="AM69" i="16"/>
  <c r="AM19" i="16"/>
  <c r="AM13" i="16"/>
  <c r="F16" i="45"/>
  <c r="AM73" i="15"/>
  <c r="AM29" i="15"/>
  <c r="AU38" i="15"/>
  <c r="AM53" i="15"/>
  <c r="AU53" i="15"/>
  <c r="AM54" i="15"/>
  <c r="AU54" i="15"/>
  <c r="AM115" i="15"/>
  <c r="AU115" i="15"/>
  <c r="AM105" i="15"/>
  <c r="AU105" i="15"/>
  <c r="AM95" i="15"/>
  <c r="AM110" i="15"/>
  <c r="AM84" i="15"/>
  <c r="AU84" i="15"/>
  <c r="AU58" i="15"/>
  <c r="AU26" i="15"/>
  <c r="AM80" i="15"/>
  <c r="AU80" i="15"/>
  <c r="AM60" i="15"/>
  <c r="AM45" i="15"/>
  <c r="AM55" i="15"/>
  <c r="AU55" i="15"/>
  <c r="AU123" i="15"/>
  <c r="AU96" i="15"/>
  <c r="AM28" i="15"/>
  <c r="AU28" i="15"/>
  <c r="AU72" i="16"/>
  <c r="AQ72" i="16"/>
  <c r="AU69" i="16"/>
  <c r="AQ69" i="16"/>
  <c r="AU67" i="16"/>
  <c r="AU45" i="16"/>
  <c r="AQ45" i="16"/>
  <c r="AU36" i="16"/>
  <c r="AU54" i="16"/>
  <c r="AU34" i="16"/>
  <c r="AQ34" i="16"/>
  <c r="AU13" i="16"/>
  <c r="AQ13" i="16"/>
  <c r="AU57" i="16"/>
  <c r="AU24" i="16"/>
  <c r="AQ24" i="16"/>
  <c r="AU14" i="16"/>
  <c r="AQ14" i="16"/>
  <c r="AU53" i="16"/>
  <c r="AQ53" i="16"/>
  <c r="AU51" i="16"/>
  <c r="AU23" i="16"/>
  <c r="AQ23" i="16"/>
  <c r="AQ47" i="16"/>
  <c r="AU18" i="16"/>
  <c r="AQ18" i="16"/>
  <c r="AQ31" i="16"/>
  <c r="AU30" i="16"/>
  <c r="AQ30" i="16"/>
  <c r="AU19" i="16"/>
  <c r="AU55" i="16"/>
  <c r="AQ55" i="16"/>
  <c r="AU40" i="16"/>
  <c r="AQ40" i="16"/>
  <c r="AU41" i="16"/>
  <c r="AH43" i="15"/>
  <c r="AO43" i="15"/>
  <c r="AK43" i="15"/>
  <c r="AS43" i="15"/>
  <c r="BI75" i="14"/>
  <c r="BI62" i="14"/>
  <c r="BI45" i="14"/>
  <c r="BI13" i="14"/>
  <c r="Y13" i="14" s="1"/>
  <c r="BI77" i="14"/>
  <c r="BI43" i="14"/>
  <c r="BI49" i="14"/>
  <c r="BI54" i="14"/>
  <c r="BI23" i="14"/>
  <c r="BI97" i="14"/>
  <c r="Y97" i="14" s="1"/>
  <c r="BI48" i="14"/>
  <c r="Y48" i="14" s="1"/>
  <c r="O17" i="45"/>
  <c r="BI65" i="14"/>
  <c r="Y65" i="14" s="1"/>
  <c r="BI89" i="14"/>
  <c r="BI60" i="14"/>
  <c r="Y60" i="14" s="1"/>
  <c r="BI20" i="14"/>
  <c r="BI27" i="14"/>
  <c r="BI63" i="14"/>
  <c r="BI64" i="14"/>
  <c r="Y64" i="14" s="1"/>
  <c r="BI79" i="14"/>
  <c r="BI93" i="14"/>
  <c r="Y93" i="14" s="1"/>
  <c r="BI42" i="14"/>
  <c r="Y42" i="14" s="1"/>
  <c r="BI22" i="14"/>
  <c r="BI90" i="14"/>
  <c r="BI44" i="14"/>
  <c r="Y44" i="14" s="1"/>
  <c r="BI66" i="14"/>
  <c r="Y66" i="14" s="1"/>
  <c r="BI53" i="14"/>
  <c r="BI40" i="14"/>
  <c r="Y40" i="14" s="1"/>
  <c r="BI95" i="14"/>
  <c r="BI18" i="14"/>
  <c r="Y18" i="14" s="1"/>
  <c r="BI57" i="14"/>
  <c r="BI34" i="14"/>
  <c r="BI74" i="14"/>
  <c r="BI12" i="14"/>
  <c r="BI83" i="14"/>
  <c r="BI81" i="14"/>
  <c r="Y81" i="14" s="1"/>
  <c r="BI68" i="14"/>
  <c r="BI86" i="14"/>
  <c r="BI72" i="14"/>
  <c r="BI73" i="14"/>
  <c r="AT85" i="14"/>
  <c r="U85" i="14" s="1"/>
  <c r="AP85" i="14"/>
  <c r="S85" i="14"/>
  <c r="BL85" i="14" s="1"/>
  <c r="BI85" i="14"/>
  <c r="Y85" i="14" s="1"/>
  <c r="BE85" i="14"/>
  <c r="X85" i="14" s="1"/>
  <c r="BA85" i="14"/>
  <c r="W85" i="14" s="1"/>
  <c r="BI37" i="14"/>
  <c r="BI39" i="14"/>
  <c r="Y39" i="14" s="1"/>
  <c r="BI35" i="14"/>
  <c r="Y35" i="14" s="1"/>
  <c r="BI91" i="14"/>
  <c r="Y91" i="14" s="1"/>
  <c r="BI47" i="14"/>
  <c r="Y47" i="14" s="1"/>
  <c r="BI50" i="14"/>
  <c r="Y50" i="14" s="1"/>
  <c r="BI17" i="14"/>
  <c r="Y17" i="14" s="1"/>
  <c r="BI24" i="14"/>
  <c r="Y24" i="14" s="1"/>
  <c r="BI94" i="14"/>
  <c r="Y94" i="14" s="1"/>
  <c r="BI33" i="14"/>
  <c r="Y33" i="14" s="1"/>
  <c r="BI70" i="14"/>
  <c r="Y70" i="14" s="1"/>
  <c r="BI80" i="14"/>
  <c r="Y80" i="14" s="1"/>
  <c r="BI30" i="14"/>
  <c r="BI82" i="14"/>
  <c r="BI16" i="14"/>
  <c r="Y16" i="14" s="1"/>
  <c r="BI25" i="14"/>
  <c r="Y25" i="14" s="1"/>
  <c r="BI67" i="14"/>
  <c r="Y67" i="14" s="1"/>
  <c r="BI55" i="14"/>
  <c r="Y55" i="14" s="1"/>
  <c r="BI29" i="14"/>
  <c r="Y29" i="14" s="1"/>
  <c r="BI21" i="14"/>
  <c r="Y21" i="14" s="1"/>
  <c r="BI71" i="14"/>
  <c r="Y71" i="14" s="1"/>
  <c r="BI11" i="14"/>
  <c r="BI88" i="14"/>
  <c r="Y88" i="14" s="1"/>
  <c r="BI84" i="14"/>
  <c r="Y84" i="14" s="1"/>
  <c r="BI28" i="14"/>
  <c r="Y28" i="14" s="1"/>
  <c r="BI32" i="14"/>
  <c r="Y32" i="14" s="1"/>
  <c r="BI61" i="14"/>
  <c r="Y61" i="14" s="1"/>
  <c r="BI52" i="14"/>
  <c r="BI69" i="14"/>
  <c r="BI96" i="14"/>
  <c r="Y96" i="14" s="1"/>
  <c r="BI19" i="14"/>
  <c r="BI58" i="14"/>
  <c r="BI15" i="14"/>
  <c r="BI41" i="14"/>
  <c r="Y41" i="14" s="1"/>
  <c r="BI59" i="14"/>
  <c r="BI38" i="14"/>
  <c r="Y38" i="14" s="1"/>
  <c r="BI78" i="14"/>
  <c r="BI26" i="14"/>
  <c r="Y26" i="14" s="1"/>
  <c r="BI87" i="14"/>
  <c r="BI14" i="14"/>
  <c r="Y14" i="14" s="1"/>
  <c r="BI36" i="14"/>
  <c r="Y36" i="14" s="1"/>
  <c r="BI76" i="14"/>
  <c r="Y76" i="14" s="1"/>
  <c r="BI46" i="14"/>
  <c r="BI56" i="14"/>
  <c r="BI92" i="14"/>
  <c r="BI51" i="14"/>
  <c r="BI31" i="14"/>
  <c r="AQ115" i="15"/>
  <c r="AQ123" i="15"/>
  <c r="AQ38" i="15"/>
  <c r="AQ55" i="15"/>
  <c r="AQ80" i="15"/>
  <c r="AQ53" i="15"/>
  <c r="AQ96" i="15"/>
  <c r="AQ54" i="15"/>
  <c r="AQ110" i="15"/>
  <c r="AQ111" i="15"/>
  <c r="AQ58" i="15"/>
  <c r="AQ28" i="15"/>
  <c r="AQ105" i="15"/>
  <c r="AQ84" i="15"/>
  <c r="BA22" i="14"/>
  <c r="W22" i="14" s="1"/>
  <c r="BE22" i="14"/>
  <c r="X22" i="14" s="1"/>
  <c r="BE90" i="14"/>
  <c r="X90" i="14" s="1"/>
  <c r="BA90" i="14"/>
  <c r="AT90" i="14"/>
  <c r="AP90" i="14"/>
  <c r="BE40" i="14"/>
  <c r="X40" i="14" s="1"/>
  <c r="BA40" i="14"/>
  <c r="W40" i="14" s="1"/>
  <c r="AT40" i="14"/>
  <c r="U40" i="14" s="1"/>
  <c r="AP40" i="14"/>
  <c r="BE18" i="14"/>
  <c r="X18" i="14" s="1"/>
  <c r="BA18" i="14"/>
  <c r="W18" i="14" s="1"/>
  <c r="AT18" i="14"/>
  <c r="U18" i="14" s="1"/>
  <c r="AP18" i="14"/>
  <c r="S18" i="14" s="1"/>
  <c r="BL18" i="14" s="1"/>
  <c r="BE57" i="14"/>
  <c r="X57" i="14" s="1"/>
  <c r="BA57" i="14"/>
  <c r="W57" i="14" s="1"/>
  <c r="AT57" i="14"/>
  <c r="U57" i="14" s="1"/>
  <c r="AP57" i="14"/>
  <c r="BE74" i="14"/>
  <c r="X74" i="14" s="1"/>
  <c r="BA74" i="14"/>
  <c r="AT74" i="14"/>
  <c r="U74" i="14" s="1"/>
  <c r="AP74" i="14"/>
  <c r="S74" i="14" s="1"/>
  <c r="BL74" i="14" s="1"/>
  <c r="BE83" i="14"/>
  <c r="BA83" i="14"/>
  <c r="AT83" i="14"/>
  <c r="AP83" i="14"/>
  <c r="BE86" i="14"/>
  <c r="BA86" i="14"/>
  <c r="AT86" i="14"/>
  <c r="U86" i="14" s="1"/>
  <c r="AP86" i="14"/>
  <c r="BE72" i="14"/>
  <c r="BA72" i="14"/>
  <c r="W72" i="14" s="1"/>
  <c r="AT72" i="14"/>
  <c r="AP72" i="14"/>
  <c r="BE37" i="14"/>
  <c r="BA37" i="14"/>
  <c r="AP37" i="14"/>
  <c r="AT37" i="14"/>
  <c r="BE39" i="14"/>
  <c r="X39" i="14" s="1"/>
  <c r="BA39" i="14"/>
  <c r="W39" i="14" s="1"/>
  <c r="AP39" i="14"/>
  <c r="S39" i="14" s="1"/>
  <c r="BL39" i="14" s="1"/>
  <c r="AT39" i="14"/>
  <c r="U39" i="14" s="1"/>
  <c r="BE91" i="14"/>
  <c r="X91" i="14" s="1"/>
  <c r="BA91" i="14"/>
  <c r="AP91" i="14"/>
  <c r="S91" i="14" s="1"/>
  <c r="AT91" i="14"/>
  <c r="BE50" i="14"/>
  <c r="X50" i="14" s="1"/>
  <c r="BA50" i="14"/>
  <c r="W50" i="14" s="1"/>
  <c r="AP50" i="14"/>
  <c r="AT50" i="14"/>
  <c r="U50" i="14" s="1"/>
  <c r="BE24" i="14"/>
  <c r="X24" i="14" s="1"/>
  <c r="BA24" i="14"/>
  <c r="W24" i="14" s="1"/>
  <c r="AP24" i="14"/>
  <c r="S24" i="14" s="1"/>
  <c r="BL24" i="14" s="1"/>
  <c r="AT24" i="14"/>
  <c r="U24" i="14" s="1"/>
  <c r="BE33" i="14"/>
  <c r="X33" i="14" s="1"/>
  <c r="BA33" i="14"/>
  <c r="W33" i="14" s="1"/>
  <c r="AP33" i="14"/>
  <c r="S33" i="14" s="1"/>
  <c r="AT33" i="14"/>
  <c r="U33" i="14" s="1"/>
  <c r="BE80" i="14"/>
  <c r="X80" i="14" s="1"/>
  <c r="BA80" i="14"/>
  <c r="AP80" i="14"/>
  <c r="S80" i="14" s="1"/>
  <c r="BL80" i="14" s="1"/>
  <c r="AT80" i="14"/>
  <c r="BE82" i="14"/>
  <c r="BA82" i="14"/>
  <c r="AP82" i="14"/>
  <c r="AT82" i="14"/>
  <c r="BA67" i="14"/>
  <c r="AP67" i="14"/>
  <c r="AT67" i="14"/>
  <c r="BE67" i="14"/>
  <c r="BA55" i="14"/>
  <c r="W55" i="14" s="1"/>
  <c r="BE55" i="14"/>
  <c r="X55" i="14" s="1"/>
  <c r="AP55" i="14"/>
  <c r="S55" i="14" s="1"/>
  <c r="BL55" i="14" s="1"/>
  <c r="AT55" i="14"/>
  <c r="U55" i="14" s="1"/>
  <c r="BA71" i="14"/>
  <c r="AP71" i="14"/>
  <c r="S71" i="14" s="1"/>
  <c r="BL71" i="14" s="1"/>
  <c r="AT71" i="14"/>
  <c r="BE71" i="14"/>
  <c r="X71" i="14" s="1"/>
  <c r="BE84" i="14"/>
  <c r="AT84" i="14"/>
  <c r="AP84" i="14"/>
  <c r="S84" i="14" s="1"/>
  <c r="BL84" i="14" s="1"/>
  <c r="BA84" i="14"/>
  <c r="W84" i="14" s="1"/>
  <c r="BE28" i="14"/>
  <c r="AT28" i="14"/>
  <c r="U28" i="14" s="1"/>
  <c r="BA28" i="14"/>
  <c r="AP28" i="14"/>
  <c r="S28" i="14" s="1"/>
  <c r="BE52" i="14"/>
  <c r="X52" i="14"/>
  <c r="BA52" i="14"/>
  <c r="W52" i="14" s="1"/>
  <c r="AT52" i="14"/>
  <c r="U52" i="14" s="1"/>
  <c r="AP52" i="14"/>
  <c r="BE96" i="14"/>
  <c r="X96" i="14" s="1"/>
  <c r="BA96" i="14"/>
  <c r="AT96" i="14"/>
  <c r="U96" i="14" s="1"/>
  <c r="AP96" i="14"/>
  <c r="S96" i="14" s="1"/>
  <c r="BE58" i="14"/>
  <c r="X58" i="14" s="1"/>
  <c r="BA58" i="14"/>
  <c r="W58" i="14" s="1"/>
  <c r="AT58" i="14"/>
  <c r="U58" i="14" s="1"/>
  <c r="AP58" i="14"/>
  <c r="BE41" i="14"/>
  <c r="BA41" i="14"/>
  <c r="W41" i="14" s="1"/>
  <c r="AT41" i="14"/>
  <c r="U41" i="14" s="1"/>
  <c r="AP41" i="14"/>
  <c r="S41" i="14" s="1"/>
  <c r="BL41" i="14" s="1"/>
  <c r="BA59" i="14"/>
  <c r="AT59" i="14"/>
  <c r="BE59" i="14"/>
  <c r="AP59" i="14"/>
  <c r="BA78" i="14"/>
  <c r="AT78" i="14"/>
  <c r="BE78" i="14"/>
  <c r="AP78" i="14"/>
  <c r="BA87" i="14"/>
  <c r="AT87" i="14"/>
  <c r="U87" i="14" s="1"/>
  <c r="BE87" i="14"/>
  <c r="AP87" i="14"/>
  <c r="BE14" i="14"/>
  <c r="AT14" i="14"/>
  <c r="U14" i="14" s="1"/>
  <c r="AP14" i="14"/>
  <c r="S14" i="14" s="1"/>
  <c r="BL14" i="14" s="1"/>
  <c r="BA14" i="14"/>
  <c r="BA36" i="14"/>
  <c r="W36" i="14" s="1"/>
  <c r="AT36" i="14"/>
  <c r="U36" i="14" s="1"/>
  <c r="BE36" i="14"/>
  <c r="X36" i="14" s="1"/>
  <c r="AP36" i="14"/>
  <c r="BA46" i="14"/>
  <c r="W46" i="14" s="1"/>
  <c r="AT46" i="14"/>
  <c r="AP46" i="14"/>
  <c r="S46" i="14" s="1"/>
  <c r="BL46" i="14" s="1"/>
  <c r="BE46" i="14"/>
  <c r="BE56" i="14"/>
  <c r="AT56" i="14"/>
  <c r="BA56" i="14"/>
  <c r="AP56" i="14"/>
  <c r="BA92" i="14"/>
  <c r="W92" i="14" s="1"/>
  <c r="AT92" i="14"/>
  <c r="U92" i="14" s="1"/>
  <c r="BE92" i="14"/>
  <c r="X92" i="14" s="1"/>
  <c r="AP92" i="14"/>
  <c r="S92" i="14" s="1"/>
  <c r="BL92" i="14" s="1"/>
  <c r="BE51" i="14"/>
  <c r="AT51" i="14"/>
  <c r="U51" i="14" s="1"/>
  <c r="AP51" i="14"/>
  <c r="S51" i="14" s="1"/>
  <c r="BL51" i="14" s="1"/>
  <c r="BA51" i="14"/>
  <c r="BA31" i="14"/>
  <c r="AT31" i="14"/>
  <c r="BE31" i="14"/>
  <c r="AP31" i="14"/>
  <c r="S31" i="14" s="1"/>
  <c r="BL31" i="14" s="1"/>
  <c r="BA42" i="14"/>
  <c r="W42" i="14" s="1"/>
  <c r="BE42" i="14"/>
  <c r="AT42" i="14"/>
  <c r="U42" i="14" s="1"/>
  <c r="AP42" i="14"/>
  <c r="S42" i="14" s="1"/>
  <c r="BL42" i="14" s="1"/>
  <c r="BE44" i="14"/>
  <c r="X44" i="14" s="1"/>
  <c r="BA44" i="14"/>
  <c r="W44" i="14" s="1"/>
  <c r="AT44" i="14"/>
  <c r="U44" i="14" s="1"/>
  <c r="AP44" i="14"/>
  <c r="S44" i="14" s="1"/>
  <c r="BL44" i="14" s="1"/>
  <c r="BA66" i="14"/>
  <c r="W66" i="14" s="1"/>
  <c r="BE66" i="14"/>
  <c r="X66" i="14" s="1"/>
  <c r="AT66" i="14"/>
  <c r="U66" i="14" s="1"/>
  <c r="AP66" i="14"/>
  <c r="BE53" i="14"/>
  <c r="BA53" i="14"/>
  <c r="AT53" i="14"/>
  <c r="AP53" i="14"/>
  <c r="BE95" i="14"/>
  <c r="BA95" i="14"/>
  <c r="AT95" i="14"/>
  <c r="AP95" i="14"/>
  <c r="S95" i="14" s="1"/>
  <c r="BL95" i="14" s="1"/>
  <c r="BE34" i="14"/>
  <c r="BA34" i="14"/>
  <c r="AT34" i="14"/>
  <c r="AP34" i="14"/>
  <c r="BE12" i="14"/>
  <c r="BA12" i="14"/>
  <c r="W12" i="14" s="1"/>
  <c r="AT12" i="14"/>
  <c r="AP12" i="14"/>
  <c r="S12" i="14" s="1"/>
  <c r="BL12" i="14" s="1"/>
  <c r="BE81" i="14"/>
  <c r="X81" i="14" s="1"/>
  <c r="BA81" i="14"/>
  <c r="AT81" i="14"/>
  <c r="U81" i="14" s="1"/>
  <c r="AP81" i="14"/>
  <c r="S81" i="14" s="1"/>
  <c r="BL81" i="14" s="1"/>
  <c r="BE68" i="14"/>
  <c r="BA68" i="14"/>
  <c r="AT68" i="14"/>
  <c r="AP68" i="14"/>
  <c r="BE73" i="14"/>
  <c r="BA73" i="14"/>
  <c r="AT73" i="14"/>
  <c r="AP73" i="14"/>
  <c r="BE35" i="14"/>
  <c r="X35" i="14" s="1"/>
  <c r="BA35" i="14"/>
  <c r="W35" i="14" s="1"/>
  <c r="AP35" i="14"/>
  <c r="S35" i="14" s="1"/>
  <c r="AT35" i="14"/>
  <c r="BE47" i="14"/>
  <c r="BA47" i="14"/>
  <c r="W47" i="14" s="1"/>
  <c r="AP47" i="14"/>
  <c r="AT47" i="14"/>
  <c r="U47" i="14" s="1"/>
  <c r="BE17" i="14"/>
  <c r="BA17" i="14"/>
  <c r="AP17" i="14"/>
  <c r="AT17" i="14"/>
  <c r="U17" i="14" s="1"/>
  <c r="BE94" i="14"/>
  <c r="X94" i="14" s="1"/>
  <c r="BA94" i="14"/>
  <c r="W94" i="14" s="1"/>
  <c r="AP94" i="14"/>
  <c r="S94" i="14" s="1"/>
  <c r="AT94" i="14"/>
  <c r="U94" i="14" s="1"/>
  <c r="BE70" i="14"/>
  <c r="X70" i="14" s="1"/>
  <c r="BA70" i="14"/>
  <c r="W70" i="14" s="1"/>
  <c r="AP70" i="14"/>
  <c r="S70" i="14" s="1"/>
  <c r="AT70" i="14"/>
  <c r="U70" i="14" s="1"/>
  <c r="BE30" i="14"/>
  <c r="BA30" i="14"/>
  <c r="AP30" i="14"/>
  <c r="AT30" i="14"/>
  <c r="BA16" i="14"/>
  <c r="W16" i="14" s="1"/>
  <c r="BE16" i="14"/>
  <c r="X16" i="14" s="1"/>
  <c r="AP16" i="14"/>
  <c r="S16" i="14" s="1"/>
  <c r="AT16" i="14"/>
  <c r="U16" i="14" s="1"/>
  <c r="BE25" i="14"/>
  <c r="BA25" i="14"/>
  <c r="W25" i="14" s="1"/>
  <c r="AP25" i="14"/>
  <c r="S25" i="14" s="1"/>
  <c r="BL25" i="14" s="1"/>
  <c r="AT25" i="14"/>
  <c r="U25" i="14" s="1"/>
  <c r="BE29" i="14"/>
  <c r="X29" i="14" s="1"/>
  <c r="BA29" i="14"/>
  <c r="AP29" i="14"/>
  <c r="S29" i="14" s="1"/>
  <c r="BL29" i="14" s="1"/>
  <c r="AT29" i="14"/>
  <c r="BE21" i="14"/>
  <c r="X21" i="14" s="1"/>
  <c r="BA21" i="14"/>
  <c r="W21" i="14" s="1"/>
  <c r="AP21" i="14"/>
  <c r="S21" i="14" s="1"/>
  <c r="AT21" i="14"/>
  <c r="U21" i="14" s="1"/>
  <c r="BA11" i="14"/>
  <c r="W11" i="14" s="1"/>
  <c r="M11" i="45" s="1"/>
  <c r="AP11" i="14"/>
  <c r="S11" i="14" s="1"/>
  <c r="BL11" i="14" s="1"/>
  <c r="AT11" i="14"/>
  <c r="BE11" i="14"/>
  <c r="X11" i="14" s="1"/>
  <c r="BE88" i="14"/>
  <c r="X88" i="14" s="1"/>
  <c r="AT88" i="14"/>
  <c r="U88" i="14" s="1"/>
  <c r="BA88" i="14"/>
  <c r="W88" i="14" s="1"/>
  <c r="AP88" i="14"/>
  <c r="BE32" i="14"/>
  <c r="BA32" i="14"/>
  <c r="W32" i="14" s="1"/>
  <c r="AT32" i="14"/>
  <c r="U32" i="14" s="1"/>
  <c r="AP32" i="14"/>
  <c r="S32" i="14" s="1"/>
  <c r="BE61" i="14"/>
  <c r="AT61" i="14"/>
  <c r="U61" i="14" s="1"/>
  <c r="BA61" i="14"/>
  <c r="W61" i="14" s="1"/>
  <c r="AP61" i="14"/>
  <c r="S61" i="14" s="1"/>
  <c r="BE69" i="14"/>
  <c r="X69" i="14" s="1"/>
  <c r="AT69" i="14"/>
  <c r="U69" i="14" s="1"/>
  <c r="AP69" i="14"/>
  <c r="S69" i="14" s="1"/>
  <c r="BL69" i="14" s="1"/>
  <c r="BA69" i="14"/>
  <c r="W69" i="14" s="1"/>
  <c r="BE19" i="14"/>
  <c r="X19" i="14" s="1"/>
  <c r="AT19" i="14"/>
  <c r="U19" i="14" s="1"/>
  <c r="BA19" i="14"/>
  <c r="AP19" i="14"/>
  <c r="S19" i="14" s="1"/>
  <c r="BL19" i="14" s="1"/>
  <c r="BE15" i="14"/>
  <c r="X15" i="14" s="1"/>
  <c r="AT15" i="14"/>
  <c r="AP15" i="14"/>
  <c r="BA15" i="14"/>
  <c r="W15" i="14" s="1"/>
  <c r="BE38" i="14"/>
  <c r="X38" i="14" s="1"/>
  <c r="AT38" i="14"/>
  <c r="U38" i="14" s="1"/>
  <c r="AP38" i="14"/>
  <c r="S38" i="14" s="1"/>
  <c r="BA38" i="14"/>
  <c r="BE26" i="14"/>
  <c r="AT26" i="14"/>
  <c r="BA26" i="14"/>
  <c r="AP26" i="14"/>
  <c r="BE76" i="14"/>
  <c r="X76" i="14" s="1"/>
  <c r="AT76" i="14"/>
  <c r="U76" i="14" s="1"/>
  <c r="AP76" i="14"/>
  <c r="S76" i="14" s="1"/>
  <c r="BA76" i="14"/>
  <c r="W76" i="14" s="1"/>
  <c r="BE75" i="14"/>
  <c r="X75" i="14" s="1"/>
  <c r="AT75" i="14"/>
  <c r="U75" i="14" s="1"/>
  <c r="AP75" i="14"/>
  <c r="BA75" i="14"/>
  <c r="W75" i="14" s="1"/>
  <c r="BE62" i="14"/>
  <c r="X62" i="14" s="1"/>
  <c r="BA62" i="14"/>
  <c r="AT62" i="14"/>
  <c r="U62" i="14" s="1"/>
  <c r="AP62" i="14"/>
  <c r="S62" i="14" s="1"/>
  <c r="BE45" i="14"/>
  <c r="X45" i="14" s="1"/>
  <c r="AT45" i="14"/>
  <c r="BA45" i="14"/>
  <c r="W45" i="14" s="1"/>
  <c r="AP45" i="14"/>
  <c r="S45" i="14" s="1"/>
  <c r="BE13" i="14"/>
  <c r="X13" i="14" s="1"/>
  <c r="N12" i="45" s="1"/>
  <c r="BA13" i="14"/>
  <c r="W13" i="14" s="1"/>
  <c r="AT13" i="14"/>
  <c r="U13" i="14" s="1"/>
  <c r="K12" i="45" s="1"/>
  <c r="AP13" i="14"/>
  <c r="S13" i="14" s="1"/>
  <c r="BL13" i="14" s="1"/>
  <c r="BE77" i="14"/>
  <c r="AT77" i="14"/>
  <c r="AP77" i="14"/>
  <c r="BA77" i="14"/>
  <c r="BE43" i="14"/>
  <c r="BA43" i="14"/>
  <c r="W43" i="14" s="1"/>
  <c r="AT43" i="14"/>
  <c r="AP43" i="14"/>
  <c r="BE49" i="14"/>
  <c r="X49" i="14" s="1"/>
  <c r="AT49" i="14"/>
  <c r="U49" i="14" s="1"/>
  <c r="BA49" i="14"/>
  <c r="AP49" i="14"/>
  <c r="BE54" i="14"/>
  <c r="AT54" i="14"/>
  <c r="BA54" i="14"/>
  <c r="AP54" i="14"/>
  <c r="BE23" i="14"/>
  <c r="X23" i="14" s="1"/>
  <c r="AT23" i="14"/>
  <c r="U23" i="14" s="1"/>
  <c r="BA23" i="14"/>
  <c r="W23" i="14" s="1"/>
  <c r="AP23" i="14"/>
  <c r="S23" i="14" s="1"/>
  <c r="BL23" i="14" s="1"/>
  <c r="BE97" i="14"/>
  <c r="X97" i="14" s="1"/>
  <c r="BA97" i="14"/>
  <c r="W97" i="14" s="1"/>
  <c r="AT97" i="14"/>
  <c r="AP97" i="14"/>
  <c r="S97" i="14" s="1"/>
  <c r="BL97" i="14" s="1"/>
  <c r="BE48" i="14"/>
  <c r="X48" i="14" s="1"/>
  <c r="AT48" i="14"/>
  <c r="U48" i="14" s="1"/>
  <c r="AP48" i="14"/>
  <c r="S48" i="14" s="1"/>
  <c r="BL48" i="14" s="1"/>
  <c r="BA48" i="14"/>
  <c r="W48" i="14" s="1"/>
  <c r="N17" i="45"/>
  <c r="M17" i="45"/>
  <c r="K17" i="45"/>
  <c r="I17" i="45"/>
  <c r="BE65" i="14"/>
  <c r="X65" i="14" s="1"/>
  <c r="BA65" i="14"/>
  <c r="W65" i="14" s="1"/>
  <c r="AT65" i="14"/>
  <c r="AP65" i="14"/>
  <c r="S65" i="14" s="1"/>
  <c r="BL65" i="14" s="1"/>
  <c r="BE89" i="14"/>
  <c r="AT89" i="14"/>
  <c r="BA89" i="14"/>
  <c r="AP89" i="14"/>
  <c r="BE60" i="14"/>
  <c r="X60" i="14" s="1"/>
  <c r="AT60" i="14"/>
  <c r="U60" i="14" s="1"/>
  <c r="BA60" i="14"/>
  <c r="AP60" i="14"/>
  <c r="S60" i="14" s="1"/>
  <c r="BE20" i="14"/>
  <c r="X20" i="14" s="1"/>
  <c r="AT20" i="14"/>
  <c r="U20" i="14" s="1"/>
  <c r="AP20" i="14"/>
  <c r="BA20" i="14"/>
  <c r="W20" i="14" s="1"/>
  <c r="BE27" i="14"/>
  <c r="BA27" i="14"/>
  <c r="AT27" i="14"/>
  <c r="AP27" i="14"/>
  <c r="BE63" i="14"/>
  <c r="AT63" i="14"/>
  <c r="BA63" i="14"/>
  <c r="AP63" i="14"/>
  <c r="BE64" i="14"/>
  <c r="X64" i="14" s="1"/>
  <c r="AT64" i="14"/>
  <c r="U64" i="14" s="1"/>
  <c r="BA64" i="14"/>
  <c r="W64" i="14" s="1"/>
  <c r="AP64" i="14"/>
  <c r="S64" i="14" s="1"/>
  <c r="BL64" i="14" s="1"/>
  <c r="BE79" i="14"/>
  <c r="AT79" i="14"/>
  <c r="BA79" i="14"/>
  <c r="AP79" i="14"/>
  <c r="BE93" i="14"/>
  <c r="X93" i="14" s="1"/>
  <c r="AT93" i="14"/>
  <c r="AP93" i="14"/>
  <c r="S93" i="14" s="1"/>
  <c r="BA93" i="14"/>
  <c r="W93" i="14"/>
  <c r="F11" i="45"/>
  <c r="E11" i="45"/>
  <c r="F12" i="45"/>
  <c r="E12" i="45"/>
  <c r="M16" i="45"/>
  <c r="L16" i="45"/>
  <c r="S31" i="45"/>
  <c r="AV68" i="16"/>
  <c r="N16" i="45"/>
  <c r="R16" i="45"/>
  <c r="O16" i="45"/>
  <c r="O13" i="45"/>
  <c r="N13" i="45"/>
  <c r="AN71" i="14"/>
  <c r="AN29" i="14"/>
  <c r="AN25" i="14"/>
  <c r="AN24" i="14"/>
  <c r="AN57" i="14"/>
  <c r="AN23" i="14"/>
  <c r="AN13" i="14"/>
  <c r="AN44" i="14"/>
  <c r="AN58" i="14"/>
  <c r="AN93" i="14"/>
  <c r="AN64" i="14"/>
  <c r="H11" i="45"/>
  <c r="AN55" i="14"/>
  <c r="AN33" i="14"/>
  <c r="AN50" i="14"/>
  <c r="AN14" i="14"/>
  <c r="AN38" i="14"/>
  <c r="AN41" i="14"/>
  <c r="AN32" i="14"/>
  <c r="AN74" i="14"/>
  <c r="G17" i="45"/>
  <c r="AN75" i="14"/>
  <c r="AN40" i="14"/>
  <c r="BK16" i="14"/>
  <c r="N11" i="45"/>
  <c r="BK13" i="14"/>
  <c r="BG13" i="14"/>
  <c r="BC13" i="14"/>
  <c r="AR13" i="14"/>
  <c r="BK29" i="14"/>
  <c r="BG29" i="14"/>
  <c r="BC29" i="14"/>
  <c r="AV29" i="14"/>
  <c r="AR29" i="14"/>
  <c r="BK25" i="14"/>
  <c r="BG25" i="14"/>
  <c r="BC25" i="14"/>
  <c r="AR25" i="14"/>
  <c r="BK33" i="14"/>
  <c r="BG33" i="14"/>
  <c r="AV33" i="14"/>
  <c r="AR33" i="14"/>
  <c r="BK24" i="14"/>
  <c r="BC24" i="14"/>
  <c r="AV24" i="14"/>
  <c r="AR24" i="14"/>
  <c r="BK32" i="14"/>
  <c r="BG32" i="14"/>
  <c r="BC32" i="14"/>
  <c r="AV32" i="14"/>
  <c r="AR32" i="14"/>
  <c r="BK88" i="14"/>
  <c r="BC88" i="14"/>
  <c r="AV88" i="14"/>
  <c r="AR88" i="14"/>
  <c r="BG44" i="14"/>
  <c r="BK41" i="14"/>
  <c r="BG41" i="14"/>
  <c r="BC41" i="14"/>
  <c r="AV41" i="14"/>
  <c r="AR41" i="14"/>
  <c r="BK71" i="14"/>
  <c r="BG71" i="14"/>
  <c r="BC71" i="14"/>
  <c r="AV71" i="14"/>
  <c r="AR71" i="14"/>
  <c r="BK55" i="14"/>
  <c r="BG55" i="14"/>
  <c r="AV55" i="14"/>
  <c r="AR55" i="14"/>
  <c r="BK80" i="14"/>
  <c r="O12" i="45"/>
  <c r="BG80" i="14"/>
  <c r="BC80" i="14"/>
  <c r="M12" i="45"/>
  <c r="AR80" i="14"/>
  <c r="BK50" i="14"/>
  <c r="BG50" i="14"/>
  <c r="BC50" i="14"/>
  <c r="AV50" i="14"/>
  <c r="AR50" i="14"/>
  <c r="BK57" i="14"/>
  <c r="BC57" i="14"/>
  <c r="AV57" i="14"/>
  <c r="AR57" i="14"/>
  <c r="BG58" i="14"/>
  <c r="BC58" i="14"/>
  <c r="AV58" i="14"/>
  <c r="BK28" i="14"/>
  <c r="BG28" i="14"/>
  <c r="BC28" i="14"/>
  <c r="AV28" i="14"/>
  <c r="AR28" i="14"/>
  <c r="BC74" i="14"/>
  <c r="BK74" i="14"/>
  <c r="AV74" i="14"/>
  <c r="BG74" i="14"/>
  <c r="AR74" i="14"/>
  <c r="BK93" i="14"/>
  <c r="BG93" i="14"/>
  <c r="AR93" i="14"/>
  <c r="BC93" i="14"/>
  <c r="AV93" i="14"/>
  <c r="BK23" i="14"/>
  <c r="AR23" i="14"/>
  <c r="BC23" i="14"/>
  <c r="AV23" i="14"/>
  <c r="BG23" i="14"/>
  <c r="BG40" i="14"/>
  <c r="BK40" i="14"/>
  <c r="BC40" i="14"/>
  <c r="AV40" i="14"/>
  <c r="AR40" i="14"/>
  <c r="AR22" i="14"/>
  <c r="BK17" i="14"/>
  <c r="BG17" i="14"/>
  <c r="BC17" i="14"/>
  <c r="AV17" i="14"/>
  <c r="AR17" i="14"/>
  <c r="BK14" i="14"/>
  <c r="BG14" i="14"/>
  <c r="BC14" i="14"/>
  <c r="AR14" i="14"/>
  <c r="BK38" i="14"/>
  <c r="BG38" i="14"/>
  <c r="BC38" i="14"/>
  <c r="AV38" i="14"/>
  <c r="AR38" i="14"/>
  <c r="BK69" i="14"/>
  <c r="BG69" i="14"/>
  <c r="BC69" i="14"/>
  <c r="AR69" i="14"/>
  <c r="AV69" i="14"/>
  <c r="BK64" i="14"/>
  <c r="BG64" i="14"/>
  <c r="AR64" i="14"/>
  <c r="AV64" i="14"/>
  <c r="BC64" i="14"/>
  <c r="BG75" i="14"/>
  <c r="T19" i="45"/>
  <c r="G11" i="45"/>
  <c r="G12" i="45"/>
  <c r="I11" i="45"/>
  <c r="I12" i="45"/>
  <c r="U19" i="45"/>
  <c r="T16" i="45"/>
  <c r="T13" i="45"/>
  <c r="J17" i="45"/>
  <c r="G16" i="45"/>
  <c r="G14" i="45"/>
  <c r="P17" i="45"/>
  <c r="Q17" i="45"/>
  <c r="R17" i="45"/>
  <c r="U16" i="45"/>
  <c r="U13" i="45"/>
  <c r="S14" i="45"/>
  <c r="T17" i="45"/>
  <c r="U17" i="45"/>
  <c r="S17" i="45"/>
  <c r="N35" i="43"/>
  <c r="AB60" i="14" l="1"/>
  <c r="AB48" i="14"/>
  <c r="AB36" i="14"/>
  <c r="Z35" i="14"/>
  <c r="P42" i="14"/>
  <c r="F42" i="14"/>
  <c r="O42" i="14"/>
  <c r="O96" i="14"/>
  <c r="F96" i="14"/>
  <c r="P65" i="14"/>
  <c r="N65" i="14"/>
  <c r="O65" i="14"/>
  <c r="O36" i="14"/>
  <c r="F36" i="14"/>
  <c r="P54" i="14"/>
  <c r="O54" i="14"/>
  <c r="F54" i="14"/>
  <c r="O60" i="14"/>
  <c r="F60" i="14"/>
  <c r="N60" i="14"/>
  <c r="M116" i="15"/>
  <c r="F116" i="15"/>
  <c r="L116" i="15"/>
  <c r="K116" i="15"/>
  <c r="L49" i="15"/>
  <c r="K49" i="15"/>
  <c r="L123" i="15"/>
  <c r="K123" i="15"/>
  <c r="M123" i="15"/>
  <c r="L57" i="15"/>
  <c r="F57" i="15"/>
  <c r="K57" i="15"/>
  <c r="M57" i="15"/>
  <c r="F108" i="15"/>
  <c r="L108" i="15"/>
  <c r="K108" i="15"/>
  <c r="M42" i="16"/>
  <c r="F42" i="16"/>
  <c r="I35" i="43"/>
  <c r="G35" i="43"/>
  <c r="H35" i="43"/>
  <c r="BC75" i="14"/>
  <c r="BK75" i="14"/>
  <c r="AR44" i="14"/>
  <c r="AR16" i="14"/>
  <c r="AN16" i="14"/>
  <c r="AM123" i="15"/>
  <c r="AM16" i="15"/>
  <c r="AM56" i="16"/>
  <c r="I32" i="55"/>
  <c r="F31" i="14"/>
  <c r="N42" i="14"/>
  <c r="Q13" i="14"/>
  <c r="AV13" i="14"/>
  <c r="Q33" i="14"/>
  <c r="BC33" i="14"/>
  <c r="K60" i="15"/>
  <c r="N26" i="15"/>
  <c r="AM26" i="15"/>
  <c r="AQ26" i="15"/>
  <c r="F114" i="15"/>
  <c r="L60" i="15"/>
  <c r="M114" i="15"/>
  <c r="N19" i="16"/>
  <c r="AQ19" i="16"/>
  <c r="AX14" i="52"/>
  <c r="BM14" i="52"/>
  <c r="N47" i="14"/>
  <c r="P47" i="14"/>
  <c r="P25" i="14"/>
  <c r="N25" i="14"/>
  <c r="F19" i="14"/>
  <c r="O19" i="14"/>
  <c r="P19" i="14"/>
  <c r="N19" i="14"/>
  <c r="F61" i="14"/>
  <c r="P61" i="14"/>
  <c r="N61" i="14"/>
  <c r="P72" i="14"/>
  <c r="N72" i="14"/>
  <c r="F72" i="14"/>
  <c r="N58" i="15"/>
  <c r="AM58" i="15"/>
  <c r="N96" i="15"/>
  <c r="AM96" i="15"/>
  <c r="N81" i="14"/>
  <c r="O81" i="14"/>
  <c r="M59" i="15"/>
  <c r="K59" i="15"/>
  <c r="L85" i="15"/>
  <c r="F85" i="15"/>
  <c r="M85" i="15"/>
  <c r="L37" i="43"/>
  <c r="J37" i="43"/>
  <c r="AR75" i="14"/>
  <c r="AQ73" i="15"/>
  <c r="AQ56" i="16"/>
  <c r="AU111" i="15"/>
  <c r="Q38" i="55"/>
  <c r="I38" i="55"/>
  <c r="Q43" i="55"/>
  <c r="I43" i="55"/>
  <c r="S43" i="55"/>
  <c r="K43" i="55"/>
  <c r="H21" i="55"/>
  <c r="P21" i="55"/>
  <c r="Q19" i="55"/>
  <c r="M19" i="55"/>
  <c r="Q28" i="55"/>
  <c r="M28" i="55"/>
  <c r="P43" i="55"/>
  <c r="H43" i="55"/>
  <c r="H45" i="55"/>
  <c r="P45" i="55"/>
  <c r="L45" i="55"/>
  <c r="Q21" i="55"/>
  <c r="M21" i="55"/>
  <c r="I21" i="55"/>
  <c r="Q88" i="14"/>
  <c r="AN88" i="14"/>
  <c r="BG88" i="14"/>
  <c r="Q55" i="14"/>
  <c r="BC55" i="14"/>
  <c r="Q22" i="14"/>
  <c r="BG22" i="14"/>
  <c r="Q57" i="14"/>
  <c r="BG57" i="14"/>
  <c r="Q24" i="14"/>
  <c r="BG24" i="14"/>
  <c r="Q58" i="14"/>
  <c r="BK58" i="14"/>
  <c r="AR58" i="14"/>
  <c r="Q14" i="14"/>
  <c r="AV14" i="14"/>
  <c r="N39" i="14"/>
  <c r="N110" i="15"/>
  <c r="AU110" i="15"/>
  <c r="K37" i="15"/>
  <c r="L37" i="15"/>
  <c r="L111" i="15"/>
  <c r="N41" i="16"/>
  <c r="AQ41" i="16"/>
  <c r="N36" i="16"/>
  <c r="AM36" i="16"/>
  <c r="AQ36" i="16"/>
  <c r="Q44" i="14"/>
  <c r="AV44" i="14"/>
  <c r="Q16" i="14"/>
  <c r="BG16" i="14"/>
  <c r="N48" i="15"/>
  <c r="AM48" i="15"/>
  <c r="N58" i="16"/>
  <c r="AU58" i="16"/>
  <c r="O85" i="14"/>
  <c r="F85" i="14"/>
  <c r="O66" i="14"/>
  <c r="F66" i="14"/>
  <c r="P66" i="14"/>
  <c r="P67" i="14"/>
  <c r="N67" i="14"/>
  <c r="N48" i="14"/>
  <c r="O48" i="14"/>
  <c r="P48" i="14"/>
  <c r="F48" i="14"/>
  <c r="P31" i="14"/>
  <c r="N31" i="14"/>
  <c r="P18" i="14"/>
  <c r="N18" i="14"/>
  <c r="M88" i="15"/>
  <c r="F88" i="15"/>
  <c r="L88" i="15"/>
  <c r="K88" i="15"/>
  <c r="L77" i="15"/>
  <c r="F77" i="15"/>
  <c r="N77" i="15" s="1"/>
  <c r="L18" i="15"/>
  <c r="F18" i="15"/>
  <c r="K18" i="15"/>
  <c r="N60" i="15"/>
  <c r="AU60" i="15"/>
  <c r="AV75" i="14"/>
  <c r="BC44" i="14"/>
  <c r="BC16" i="14"/>
  <c r="AQ48" i="15"/>
  <c r="AU56" i="16"/>
  <c r="AM111" i="15"/>
  <c r="AU48" i="15"/>
  <c r="AU73" i="15"/>
  <c r="W57" i="16"/>
  <c r="S39" i="55"/>
  <c r="O39" i="55"/>
  <c r="P18" i="55"/>
  <c r="H18" i="55"/>
  <c r="Q18" i="55"/>
  <c r="I18" i="55"/>
  <c r="S18" i="55"/>
  <c r="O18" i="55"/>
  <c r="K18" i="55"/>
  <c r="H22" i="55"/>
  <c r="P22" i="55"/>
  <c r="Q22" i="55"/>
  <c r="I22" i="55"/>
  <c r="M22" i="55"/>
  <c r="S22" i="55"/>
  <c r="K22" i="55"/>
  <c r="P46" i="55"/>
  <c r="H46" i="55"/>
  <c r="P17" i="55"/>
  <c r="L17" i="55"/>
  <c r="Q17" i="55"/>
  <c r="I17" i="55"/>
  <c r="M17" i="55"/>
  <c r="F81" i="14"/>
  <c r="Q25" i="14"/>
  <c r="AV25" i="14"/>
  <c r="F65" i="14"/>
  <c r="Q80" i="14"/>
  <c r="AN80" i="14"/>
  <c r="AV80" i="14"/>
  <c r="N36" i="14"/>
  <c r="N96" i="14"/>
  <c r="N66" i="14"/>
  <c r="F18" i="14"/>
  <c r="N38" i="15"/>
  <c r="AM38" i="15"/>
  <c r="F25" i="15"/>
  <c r="F37" i="15"/>
  <c r="N81" i="15"/>
  <c r="AQ81" i="15"/>
  <c r="L25" i="15"/>
  <c r="M108" i="15"/>
  <c r="M18" i="15"/>
  <c r="N14" i="16"/>
  <c r="AM14" i="16"/>
  <c r="N47" i="16"/>
  <c r="AM47" i="16"/>
  <c r="AU47" i="16"/>
  <c r="N29" i="15"/>
  <c r="AQ29" i="15"/>
  <c r="N57" i="16"/>
  <c r="AQ57" i="16"/>
  <c r="O88" i="14"/>
  <c r="N88" i="14"/>
  <c r="O58" i="14"/>
  <c r="N58" i="14"/>
  <c r="M42" i="15"/>
  <c r="F42" i="15"/>
  <c r="M67" i="15"/>
  <c r="F67" i="15"/>
  <c r="L43" i="15"/>
  <c r="F43" i="15"/>
  <c r="L75" i="15"/>
  <c r="F75" i="15"/>
  <c r="L91" i="15"/>
  <c r="F91" i="15"/>
  <c r="K64" i="16"/>
  <c r="M64" i="16"/>
  <c r="M16" i="16"/>
  <c r="L16" i="16"/>
  <c r="AN17" i="14"/>
  <c r="M42" i="52"/>
  <c r="N94" i="14"/>
  <c r="F76" i="14"/>
  <c r="N11" i="14"/>
  <c r="P94" i="14"/>
  <c r="P69" i="14"/>
  <c r="P17" i="14"/>
  <c r="O11" i="14"/>
  <c r="F39" i="15"/>
  <c r="K96" i="15"/>
  <c r="K45" i="15"/>
  <c r="K52" i="15"/>
  <c r="F20" i="15"/>
  <c r="N20" i="15" s="1"/>
  <c r="L96" i="15"/>
  <c r="M43" i="15"/>
  <c r="M52" i="15"/>
  <c r="K50" i="16"/>
  <c r="F71" i="16"/>
  <c r="F39" i="16"/>
  <c r="L24" i="16"/>
  <c r="M71" i="16"/>
  <c r="L30" i="43"/>
  <c r="F94" i="14"/>
  <c r="N17" i="14"/>
  <c r="F11" i="14"/>
  <c r="O17" i="14"/>
  <c r="K43" i="15"/>
  <c r="F52" i="15"/>
  <c r="M75" i="15"/>
  <c r="K66" i="16"/>
  <c r="P26" i="14"/>
  <c r="N26" i="14"/>
  <c r="L78" i="15"/>
  <c r="F78" i="15"/>
  <c r="L118" i="15"/>
  <c r="F118" i="15"/>
  <c r="L122" i="15"/>
  <c r="F122" i="15"/>
  <c r="L41" i="15"/>
  <c r="F41" i="15"/>
  <c r="L69" i="15"/>
  <c r="F69" i="15"/>
  <c r="L109" i="15"/>
  <c r="F109" i="15"/>
  <c r="L61" i="15"/>
  <c r="K61" i="15"/>
  <c r="M40" i="16"/>
  <c r="K40" i="16"/>
  <c r="M58" i="16"/>
  <c r="K58" i="16"/>
  <c r="F59" i="16"/>
  <c r="F29" i="16"/>
  <c r="F70" i="16"/>
  <c r="F38" i="16"/>
  <c r="N16" i="43"/>
  <c r="I35" i="55"/>
  <c r="I46" i="55"/>
  <c r="M46" i="55"/>
  <c r="H28" i="55"/>
  <c r="K46" i="55"/>
  <c r="W26" i="43"/>
  <c r="W37" i="43"/>
  <c r="V15" i="43"/>
  <c r="L11" i="43"/>
  <c r="E15" i="43"/>
  <c r="I15" i="43" s="1"/>
  <c r="E14" i="43"/>
  <c r="I14" i="43" s="1"/>
  <c r="F26" i="43"/>
  <c r="L26" i="43" s="1"/>
  <c r="U10" i="43"/>
  <c r="U26" i="43"/>
  <c r="M20" i="55"/>
  <c r="I27" i="55"/>
  <c r="L44" i="55"/>
  <c r="L28" i="55"/>
  <c r="L46" i="55"/>
  <c r="O46" i="55"/>
  <c r="K20" i="55"/>
  <c r="W14" i="43"/>
  <c r="V37" i="43"/>
  <c r="H19" i="43"/>
  <c r="D37" i="43"/>
  <c r="E10" i="43"/>
  <c r="I10" i="43" s="1"/>
  <c r="F15" i="43"/>
  <c r="F19" i="43"/>
  <c r="L19" i="43" s="1"/>
  <c r="U19" i="43"/>
  <c r="H17" i="55"/>
  <c r="I37" i="55"/>
  <c r="I20" i="55"/>
  <c r="L35" i="55"/>
  <c r="O38" i="55"/>
  <c r="K38" i="55"/>
  <c r="W15" i="43"/>
  <c r="V26" i="43"/>
  <c r="D15" i="43"/>
  <c r="D26" i="43"/>
  <c r="E26" i="43"/>
  <c r="G26" i="43" s="1"/>
  <c r="F14" i="43"/>
  <c r="L14" i="43" s="1"/>
  <c r="U37" i="43"/>
  <c r="V31" i="16"/>
  <c r="AV31" i="16" s="1"/>
  <c r="V15" i="16"/>
  <c r="AV15" i="16" s="1"/>
  <c r="T34" i="16"/>
  <c r="Z34" i="16" s="1"/>
  <c r="AB34" i="16" s="1"/>
  <c r="F25" i="16"/>
  <c r="V47" i="16"/>
  <c r="AV47" i="16" s="1"/>
  <c r="T72" i="16"/>
  <c r="Z72" i="16" s="1"/>
  <c r="V53" i="16"/>
  <c r="AV53" i="16" s="1"/>
  <c r="Z53" i="16" s="1"/>
  <c r="K40" i="73"/>
  <c r="S65" i="15"/>
  <c r="E104" i="15"/>
  <c r="F104" i="15" s="1"/>
  <c r="N104" i="15" s="1"/>
  <c r="AR104" i="15"/>
  <c r="D104" i="15"/>
  <c r="BC104" i="15"/>
  <c r="C104" i="15"/>
  <c r="AE104" i="15" s="1"/>
  <c r="AN104" i="15"/>
  <c r="AG104" i="15"/>
  <c r="AZ104" i="15"/>
  <c r="AJ104" i="15"/>
  <c r="AY104" i="15"/>
  <c r="BA104" i="15"/>
  <c r="AW104" i="15"/>
  <c r="AI104" i="15"/>
  <c r="AP104" i="15"/>
  <c r="AL104" i="15"/>
  <c r="AO104" i="15"/>
  <c r="V104" i="15" s="1"/>
  <c r="AT104" i="15"/>
  <c r="AK104" i="15"/>
  <c r="T104" i="15" s="1"/>
  <c r="AX104" i="15"/>
  <c r="AS104" i="15"/>
  <c r="H98" i="15"/>
  <c r="AJ98" i="15"/>
  <c r="AG98" i="15"/>
  <c r="E98" i="15"/>
  <c r="AR98" i="15"/>
  <c r="D98" i="15"/>
  <c r="AY98" i="15"/>
  <c r="AZ98" i="15"/>
  <c r="C98" i="15"/>
  <c r="AE98" i="15" s="1"/>
  <c r="BA98" i="15"/>
  <c r="AX98" i="15"/>
  <c r="AN98" i="15"/>
  <c r="AI98" i="15"/>
  <c r="AL98" i="15"/>
  <c r="AH98" i="15"/>
  <c r="AT98" i="15"/>
  <c r="AP98" i="15"/>
  <c r="AW98" i="15"/>
  <c r="BC119" i="15"/>
  <c r="AN119" i="15"/>
  <c r="AJ119" i="15"/>
  <c r="D119" i="15"/>
  <c r="C119" i="15"/>
  <c r="AE119" i="15" s="1"/>
  <c r="AG119" i="15"/>
  <c r="E119" i="15"/>
  <c r="AZ119" i="15"/>
  <c r="AX119" i="15"/>
  <c r="AY119" i="15"/>
  <c r="AT119" i="15"/>
  <c r="AW119" i="15"/>
  <c r="BA119" i="15"/>
  <c r="AV119" i="15"/>
  <c r="AP119" i="15"/>
  <c r="AH119" i="15"/>
  <c r="H117" i="15"/>
  <c r="C117" i="15"/>
  <c r="AR117" i="15"/>
  <c r="AN117" i="15"/>
  <c r="AJ117" i="15"/>
  <c r="D117" i="15"/>
  <c r="BA117" i="15"/>
  <c r="AZ117" i="15"/>
  <c r="AI117" i="15"/>
  <c r="AG117" i="15"/>
  <c r="E117" i="15"/>
  <c r="F117" i="15" s="1"/>
  <c r="AV117" i="15"/>
  <c r="AP117" i="15"/>
  <c r="AH117" i="15"/>
  <c r="AY117" i="15"/>
  <c r="AX117" i="15"/>
  <c r="AT117" i="15"/>
  <c r="BC107" i="15"/>
  <c r="AG107" i="15"/>
  <c r="AR107" i="15"/>
  <c r="E107" i="15"/>
  <c r="D107" i="15"/>
  <c r="AN107" i="15"/>
  <c r="C107" i="15"/>
  <c r="AE107" i="15" s="1"/>
  <c r="AX107" i="15"/>
  <c r="AJ107" i="15"/>
  <c r="BA107" i="15"/>
  <c r="AZ107" i="15"/>
  <c r="AI107" i="15"/>
  <c r="AV107" i="15"/>
  <c r="AW107" i="15"/>
  <c r="AT107" i="15"/>
  <c r="AY107" i="15"/>
  <c r="AL107" i="15"/>
  <c r="AJ113" i="15"/>
  <c r="C113" i="15"/>
  <c r="AE113" i="15" s="1"/>
  <c r="AG113" i="15"/>
  <c r="AR113" i="15"/>
  <c r="E113" i="15"/>
  <c r="D113" i="15"/>
  <c r="AI113" i="15"/>
  <c r="AZ113" i="15"/>
  <c r="AX113" i="15"/>
  <c r="AN113" i="15"/>
  <c r="AY113" i="15"/>
  <c r="AL113" i="15"/>
  <c r="AK113" i="15"/>
  <c r="T113" i="15" s="1"/>
  <c r="BA113" i="15"/>
  <c r="AT113" i="15"/>
  <c r="AV113" i="15"/>
  <c r="AP113" i="15"/>
  <c r="AO113" i="15"/>
  <c r="AN97" i="15"/>
  <c r="AJ97" i="15"/>
  <c r="C97" i="15"/>
  <c r="AE97" i="15" s="1"/>
  <c r="AG97" i="15"/>
  <c r="AR97" i="15"/>
  <c r="X97" i="15" s="1"/>
  <c r="E97" i="15"/>
  <c r="F97" i="15" s="1"/>
  <c r="D97" i="15"/>
  <c r="AZ97" i="15"/>
  <c r="AX97" i="15"/>
  <c r="AP97" i="15"/>
  <c r="AH97" i="15"/>
  <c r="BA97" i="15"/>
  <c r="AI97" i="15"/>
  <c r="AT97" i="15"/>
  <c r="AL97" i="15"/>
  <c r="AY97" i="15"/>
  <c r="AW97" i="15"/>
  <c r="BC99" i="15"/>
  <c r="C99" i="15"/>
  <c r="AE99" i="15" s="1"/>
  <c r="AR99" i="15"/>
  <c r="E99" i="15"/>
  <c r="M99" i="15" s="1"/>
  <c r="D99" i="15"/>
  <c r="AN99" i="15"/>
  <c r="AJ99" i="15"/>
  <c r="AY99" i="15"/>
  <c r="AX99" i="15"/>
  <c r="AZ99" i="15"/>
  <c r="BA99" i="15"/>
  <c r="AI99" i="15"/>
  <c r="AL99" i="15"/>
  <c r="AO99" i="15"/>
  <c r="AG99" i="15"/>
  <c r="AV99" i="15"/>
  <c r="AT99" i="15"/>
  <c r="AP99" i="15"/>
  <c r="AH99" i="15"/>
  <c r="AK99" i="15"/>
  <c r="T99" i="15" s="1"/>
  <c r="AW99" i="15"/>
  <c r="AS99" i="15"/>
  <c r="BC94" i="15"/>
  <c r="AG94" i="15"/>
  <c r="AR94" i="15"/>
  <c r="E94" i="15"/>
  <c r="D94" i="15"/>
  <c r="AN94" i="15"/>
  <c r="C94" i="15"/>
  <c r="AE94" i="15" s="1"/>
  <c r="AY94" i="15"/>
  <c r="AZ94" i="15"/>
  <c r="BA94" i="15"/>
  <c r="AX94" i="15"/>
  <c r="AW94" i="15"/>
  <c r="AL94" i="15"/>
  <c r="AP94" i="15"/>
  <c r="AV94" i="15"/>
  <c r="AH94" i="15"/>
  <c r="H93" i="15"/>
  <c r="BD93" i="15" s="1"/>
  <c r="AJ93" i="15"/>
  <c r="T93" i="15" s="1"/>
  <c r="C93" i="15"/>
  <c r="AE93" i="15" s="1"/>
  <c r="AG93" i="15"/>
  <c r="AR93" i="15"/>
  <c r="E93" i="15"/>
  <c r="D93" i="15"/>
  <c r="AN93" i="15"/>
  <c r="V93" i="15" s="1"/>
  <c r="BB93" i="15" s="1"/>
  <c r="AI93" i="15"/>
  <c r="AZ93" i="15"/>
  <c r="AY93" i="15"/>
  <c r="AL93" i="15"/>
  <c r="BA93" i="15"/>
  <c r="AT93" i="15"/>
  <c r="AX93" i="15"/>
  <c r="AW93" i="15"/>
  <c r="C71" i="15"/>
  <c r="AE71" i="15" s="1"/>
  <c r="AN71" i="15"/>
  <c r="BC71" i="15"/>
  <c r="AJ71" i="15"/>
  <c r="AG71" i="15"/>
  <c r="S71" i="15" s="1"/>
  <c r="AX71" i="15"/>
  <c r="AZ71" i="15"/>
  <c r="AR71" i="15"/>
  <c r="X71" i="15" s="1"/>
  <c r="D71" i="15"/>
  <c r="BA71" i="15"/>
  <c r="AW71" i="15"/>
  <c r="AH71" i="15"/>
  <c r="AI71" i="15"/>
  <c r="AV71" i="15"/>
  <c r="AP71" i="15"/>
  <c r="AO71" i="15"/>
  <c r="AY71" i="15"/>
  <c r="AL71" i="15"/>
  <c r="AK71" i="15"/>
  <c r="T71" i="15" s="1"/>
  <c r="AR74" i="15"/>
  <c r="E74" i="15"/>
  <c r="L74" i="15" s="1"/>
  <c r="AN74" i="15"/>
  <c r="D74" i="15"/>
  <c r="BC74" i="15"/>
  <c r="C74" i="15"/>
  <c r="AE74" i="15" s="1"/>
  <c r="AJ74" i="15"/>
  <c r="T74" i="15" s="1"/>
  <c r="AG74" i="15"/>
  <c r="BA74" i="15"/>
  <c r="AZ74" i="15"/>
  <c r="AI74" i="15"/>
  <c r="AX74" i="15"/>
  <c r="AL74" i="15"/>
  <c r="AV74" i="15"/>
  <c r="AP74" i="15"/>
  <c r="AO74" i="15"/>
  <c r="AT74" i="15"/>
  <c r="AH74" i="15"/>
  <c r="S74" i="15" s="1"/>
  <c r="AS74" i="15"/>
  <c r="AG66" i="15"/>
  <c r="C66" i="15"/>
  <c r="AE66" i="15" s="1"/>
  <c r="AR66" i="15"/>
  <c r="E66" i="15"/>
  <c r="AN66" i="15"/>
  <c r="AJ66" i="15"/>
  <c r="AZ66" i="15"/>
  <c r="D66" i="15"/>
  <c r="AY66" i="15"/>
  <c r="AX66" i="15"/>
  <c r="AW66" i="15"/>
  <c r="AL66" i="15"/>
  <c r="AV66" i="15"/>
  <c r="BA66" i="15"/>
  <c r="AI66" i="15"/>
  <c r="AH66" i="15"/>
  <c r="H63" i="15"/>
  <c r="AJ63" i="15"/>
  <c r="AG63" i="15"/>
  <c r="AR63" i="15"/>
  <c r="X63" i="15" s="1"/>
  <c r="E63" i="15"/>
  <c r="AN63" i="15"/>
  <c r="AZ63" i="15"/>
  <c r="BA63" i="15"/>
  <c r="C63" i="15"/>
  <c r="AX63" i="15"/>
  <c r="AI63" i="15"/>
  <c r="AY63" i="15"/>
  <c r="AT63" i="15"/>
  <c r="D63" i="15"/>
  <c r="AW63" i="15"/>
  <c r="AV63" i="15"/>
  <c r="AL63" i="15"/>
  <c r="AH63" i="15"/>
  <c r="AN83" i="15"/>
  <c r="AJ83" i="15"/>
  <c r="C83" i="15"/>
  <c r="AE83" i="15" s="1"/>
  <c r="AG83" i="15"/>
  <c r="BC83" i="15"/>
  <c r="E83" i="15"/>
  <c r="D83" i="15"/>
  <c r="AY83" i="15"/>
  <c r="BA83" i="15"/>
  <c r="AR83" i="15"/>
  <c r="AV83" i="15"/>
  <c r="AP83" i="15"/>
  <c r="AZ83" i="15"/>
  <c r="AX83" i="15"/>
  <c r="AI83" i="15"/>
  <c r="AH83" i="15"/>
  <c r="AT83" i="15"/>
  <c r="BC64" i="15"/>
  <c r="C64" i="15"/>
  <c r="AE64" i="15" s="1"/>
  <c r="AR64" i="15"/>
  <c r="E64" i="15"/>
  <c r="AN64" i="15"/>
  <c r="V64" i="15" s="1"/>
  <c r="D64" i="15"/>
  <c r="AJ64" i="15"/>
  <c r="AY64" i="15"/>
  <c r="AX64" i="15"/>
  <c r="AG64" i="15"/>
  <c r="BA64" i="15"/>
  <c r="AZ64" i="15"/>
  <c r="AV64" i="15"/>
  <c r="AI64" i="15"/>
  <c r="AL64" i="15"/>
  <c r="T64" i="15" s="1"/>
  <c r="AO64" i="15"/>
  <c r="AP64" i="15"/>
  <c r="AH64" i="15"/>
  <c r="S64" i="15" s="1"/>
  <c r="AS64" i="15"/>
  <c r="X64" i="15" s="1"/>
  <c r="AT64" i="15"/>
  <c r="AK64" i="15"/>
  <c r="AG65" i="15"/>
  <c r="BC65" i="15"/>
  <c r="AR65" i="15"/>
  <c r="E65" i="15"/>
  <c r="AN65" i="15"/>
  <c r="AJ65" i="15"/>
  <c r="D65" i="15"/>
  <c r="AZ65" i="15"/>
  <c r="BA65" i="15"/>
  <c r="AX65" i="15"/>
  <c r="AI65" i="15"/>
  <c r="AL65" i="15"/>
  <c r="AT65" i="15"/>
  <c r="AP65" i="15"/>
  <c r="AJ87" i="15"/>
  <c r="C87" i="15"/>
  <c r="AE87" i="15" s="1"/>
  <c r="AG87" i="15"/>
  <c r="BC87" i="15"/>
  <c r="AR87" i="15"/>
  <c r="X87" i="15" s="1"/>
  <c r="E87" i="15"/>
  <c r="AX87" i="15"/>
  <c r="AZ87" i="15"/>
  <c r="AY87" i="15"/>
  <c r="AN87" i="15"/>
  <c r="D87" i="15"/>
  <c r="BA87" i="15"/>
  <c r="AW87" i="15"/>
  <c r="AP87" i="15"/>
  <c r="AV87" i="15"/>
  <c r="AH87" i="15"/>
  <c r="AI87" i="15"/>
  <c r="C50" i="15"/>
  <c r="AE50" i="15" s="1"/>
  <c r="AN50" i="15"/>
  <c r="V50" i="15" s="1"/>
  <c r="AJ50" i="15"/>
  <c r="AG50" i="15"/>
  <c r="BC50" i="15"/>
  <c r="E50" i="15"/>
  <c r="F50" i="15" s="1"/>
  <c r="AI50" i="15"/>
  <c r="AZ50" i="15"/>
  <c r="AX50" i="15"/>
  <c r="AY50" i="15"/>
  <c r="AR50" i="15"/>
  <c r="X50" i="15" s="1"/>
  <c r="BA50" i="15"/>
  <c r="AT50" i="15"/>
  <c r="AL50" i="15"/>
  <c r="D50" i="15"/>
  <c r="AW50" i="15"/>
  <c r="AP50" i="15"/>
  <c r="BC62" i="15"/>
  <c r="AR62" i="15"/>
  <c r="X62" i="15" s="1"/>
  <c r="E62" i="15"/>
  <c r="K62" i="15" s="1"/>
  <c r="AN62" i="15"/>
  <c r="D62" i="15"/>
  <c r="C62" i="15"/>
  <c r="AE62" i="15" s="1"/>
  <c r="AJ62" i="15"/>
  <c r="BA62" i="15"/>
  <c r="AZ62" i="15"/>
  <c r="AG62" i="15"/>
  <c r="AV62" i="15"/>
  <c r="AI62" i="15"/>
  <c r="S62" i="15" s="1"/>
  <c r="AH62" i="15"/>
  <c r="AX62" i="15"/>
  <c r="AT62" i="15"/>
  <c r="AL62" i="15"/>
  <c r="T62" i="15" s="1"/>
  <c r="AY62" i="15"/>
  <c r="AW62" i="15"/>
  <c r="AP62" i="15"/>
  <c r="AG33" i="15"/>
  <c r="BC33" i="15"/>
  <c r="C33" i="15"/>
  <c r="AE33" i="15" s="1"/>
  <c r="AR33" i="15"/>
  <c r="E33" i="15"/>
  <c r="AN33" i="15"/>
  <c r="V33" i="15" s="1"/>
  <c r="D33" i="15"/>
  <c r="AZ33" i="15"/>
  <c r="AJ33" i="15"/>
  <c r="T33" i="15" s="1"/>
  <c r="AY33" i="15"/>
  <c r="AI33" i="15"/>
  <c r="AP33" i="15"/>
  <c r="AO33" i="15"/>
  <c r="AT33" i="15"/>
  <c r="AH33" i="15"/>
  <c r="AK33" i="15"/>
  <c r="AX33" i="15"/>
  <c r="AW33" i="15"/>
  <c r="AL33" i="15"/>
  <c r="AS33" i="15"/>
  <c r="AJ34" i="15"/>
  <c r="AG34" i="15"/>
  <c r="BC34" i="15"/>
  <c r="AR34" i="15"/>
  <c r="E34" i="15"/>
  <c r="D34" i="15"/>
  <c r="AY34" i="15"/>
  <c r="C34" i="15"/>
  <c r="AE34" i="15" s="1"/>
  <c r="AX34" i="15"/>
  <c r="AW34" i="15"/>
  <c r="AI34" i="15"/>
  <c r="AK34" i="15"/>
  <c r="AV34" i="15"/>
  <c r="AP34" i="15"/>
  <c r="V34" i="15" s="1"/>
  <c r="AN34" i="15"/>
  <c r="BA34" i="15"/>
  <c r="AZ34" i="15"/>
  <c r="AL34" i="15"/>
  <c r="T34" i="15" s="1"/>
  <c r="AO34" i="15"/>
  <c r="AN32" i="15"/>
  <c r="AJ32" i="15"/>
  <c r="C32" i="15"/>
  <c r="AE32" i="15" s="1"/>
  <c r="AG32" i="15"/>
  <c r="AR32" i="15"/>
  <c r="X32" i="15" s="1"/>
  <c r="AY32" i="15"/>
  <c r="AZ32" i="15"/>
  <c r="BA32" i="15"/>
  <c r="BC32" i="15"/>
  <c r="E32" i="15"/>
  <c r="D32" i="15"/>
  <c r="AX32" i="15"/>
  <c r="AV32" i="15"/>
  <c r="AH32" i="15"/>
  <c r="AT32" i="15"/>
  <c r="AL32" i="15"/>
  <c r="H30" i="15"/>
  <c r="BC30" i="15"/>
  <c r="C30" i="15"/>
  <c r="AE30" i="15" s="1"/>
  <c r="AR30" i="15"/>
  <c r="E30" i="15"/>
  <c r="L30" i="15" s="1"/>
  <c r="AN30" i="15"/>
  <c r="D30" i="15"/>
  <c r="AJ30" i="15"/>
  <c r="AX30" i="15"/>
  <c r="BA30" i="15"/>
  <c r="AV30" i="15"/>
  <c r="AZ30" i="15"/>
  <c r="AY30" i="15"/>
  <c r="AI30" i="15"/>
  <c r="AL30" i="15"/>
  <c r="AK30" i="15"/>
  <c r="AT30" i="15"/>
  <c r="X30" i="15" s="1"/>
  <c r="AP30" i="15"/>
  <c r="AG30" i="15"/>
  <c r="AW30" i="15"/>
  <c r="AO30" i="15"/>
  <c r="AG27" i="15"/>
  <c r="BC27" i="15"/>
  <c r="AR27" i="15"/>
  <c r="X27" i="15" s="1"/>
  <c r="E27" i="15"/>
  <c r="AN27" i="15"/>
  <c r="C27" i="15"/>
  <c r="AE27" i="15" s="1"/>
  <c r="AZ27" i="15"/>
  <c r="AY27" i="15"/>
  <c r="AJ27" i="15"/>
  <c r="T27" i="15" s="1"/>
  <c r="AI27" i="15"/>
  <c r="AH27" i="15"/>
  <c r="AT27" i="15"/>
  <c r="AP27" i="15"/>
  <c r="BA27" i="15"/>
  <c r="AX27" i="15"/>
  <c r="AW27" i="15"/>
  <c r="AL27" i="15"/>
  <c r="C24" i="15"/>
  <c r="AE24" i="15" s="1"/>
  <c r="AJ24" i="15"/>
  <c r="AG24" i="15"/>
  <c r="BC24" i="15"/>
  <c r="AR24" i="15"/>
  <c r="E24" i="15"/>
  <c r="AN24" i="15"/>
  <c r="D24" i="15"/>
  <c r="BA24" i="15"/>
  <c r="AZ24" i="15"/>
  <c r="AI24" i="15"/>
  <c r="AX24" i="15"/>
  <c r="AP24" i="15"/>
  <c r="AK24" i="15"/>
  <c r="AY24" i="15"/>
  <c r="AV24" i="15"/>
  <c r="AL24" i="15"/>
  <c r="AT24" i="15"/>
  <c r="AO24" i="15"/>
  <c r="AN21" i="15"/>
  <c r="C21" i="15"/>
  <c r="AE21" i="15" s="1"/>
  <c r="AJ21" i="15"/>
  <c r="T21" i="15" s="1"/>
  <c r="AG21" i="15"/>
  <c r="AI21" i="15"/>
  <c r="AR21" i="15"/>
  <c r="X21" i="15" s="1"/>
  <c r="D21" i="15"/>
  <c r="AY21" i="15"/>
  <c r="BC21" i="15"/>
  <c r="E21" i="15"/>
  <c r="K21" i="15" s="1"/>
  <c r="AT21" i="15"/>
  <c r="AL21" i="15"/>
  <c r="AH21" i="15"/>
  <c r="AX21" i="15"/>
  <c r="AW21" i="15"/>
  <c r="BC14" i="15"/>
  <c r="AR14" i="15"/>
  <c r="E14" i="15"/>
  <c r="M14" i="15" s="1"/>
  <c r="C14" i="15"/>
  <c r="AE14" i="15" s="1"/>
  <c r="AN14" i="15"/>
  <c r="V14" i="15" s="1"/>
  <c r="D14" i="15"/>
  <c r="AJ14" i="15"/>
  <c r="AG14" i="15"/>
  <c r="AY14" i="15"/>
  <c r="BA14" i="15"/>
  <c r="AZ14" i="15"/>
  <c r="AI14" i="15"/>
  <c r="AH14" i="15"/>
  <c r="AT14" i="15"/>
  <c r="AW14" i="15"/>
  <c r="AL14" i="15"/>
  <c r="H11" i="15"/>
  <c r="AG11" i="15"/>
  <c r="BC11" i="15"/>
  <c r="AR11" i="15"/>
  <c r="E11" i="15"/>
  <c r="C11" i="15"/>
  <c r="AE11" i="15" s="1"/>
  <c r="AN11" i="15"/>
  <c r="AJ11" i="15"/>
  <c r="T11" i="15" s="1"/>
  <c r="F18" i="45"/>
  <c r="E13" i="45"/>
  <c r="AZ11" i="15"/>
  <c r="D11" i="15"/>
  <c r="AY11" i="15"/>
  <c r="BA11" i="15"/>
  <c r="AX11" i="15"/>
  <c r="AW11" i="15"/>
  <c r="F13" i="45"/>
  <c r="N18" i="45"/>
  <c r="AV11" i="15"/>
  <c r="M18" i="45"/>
  <c r="AL11" i="15"/>
  <c r="AI11" i="15"/>
  <c r="S15" i="45"/>
  <c r="U14" i="45"/>
  <c r="T15" i="45"/>
  <c r="U18" i="45"/>
  <c r="R15" i="45"/>
  <c r="R14" i="45"/>
  <c r="N15" i="45"/>
  <c r="F15" i="45"/>
  <c r="E15" i="45"/>
  <c r="L15" i="45"/>
  <c r="AO119" i="15"/>
  <c r="T68" i="15"/>
  <c r="AO21" i="15"/>
  <c r="V21" i="15" s="1"/>
  <c r="BB21" i="15" s="1"/>
  <c r="AS14" i="15"/>
  <c r="X14" i="15" s="1"/>
  <c r="AK65" i="15"/>
  <c r="AS117" i="15"/>
  <c r="T85" i="15"/>
  <c r="U85" i="15" s="1"/>
  <c r="AO87" i="15"/>
  <c r="AS27" i="15"/>
  <c r="AO83" i="15"/>
  <c r="AO62" i="15"/>
  <c r="AS32" i="15"/>
  <c r="AK11" i="15"/>
  <c r="AS30" i="15"/>
  <c r="AH34" i="15"/>
  <c r="S34" i="15" s="1"/>
  <c r="AH30" i="15"/>
  <c r="AH113" i="15"/>
  <c r="AH93" i="15"/>
  <c r="AP11" i="15"/>
  <c r="AP14" i="15"/>
  <c r="AP66" i="15"/>
  <c r="AP107" i="15"/>
  <c r="AV65" i="15"/>
  <c r="AW83" i="15"/>
  <c r="AV97" i="15"/>
  <c r="AI32" i="15"/>
  <c r="AW32" i="15"/>
  <c r="AW64" i="15"/>
  <c r="AI119" i="15"/>
  <c r="AZ21" i="15"/>
  <c r="AY74" i="15"/>
  <c r="AR119" i="15"/>
  <c r="X98" i="15"/>
  <c r="S18" i="45"/>
  <c r="U15" i="45"/>
  <c r="O15" i="45"/>
  <c r="R18" i="45"/>
  <c r="M15" i="45"/>
  <c r="AK107" i="15"/>
  <c r="T107" i="15" s="1"/>
  <c r="AS21" i="15"/>
  <c r="X101" i="15"/>
  <c r="AK94" i="15"/>
  <c r="T94" i="15" s="1"/>
  <c r="AS65" i="15"/>
  <c r="AK98" i="15"/>
  <c r="AK97" i="15"/>
  <c r="AO63" i="15"/>
  <c r="AS87" i="15"/>
  <c r="AK50" i="15"/>
  <c r="AS83" i="15"/>
  <c r="AS62" i="15"/>
  <c r="AK66" i="15"/>
  <c r="AS11" i="15"/>
  <c r="AK93" i="15"/>
  <c r="AS71" i="15"/>
  <c r="AH107" i="15"/>
  <c r="AH11" i="15"/>
  <c r="AL119" i="15"/>
  <c r="AP63" i="15"/>
  <c r="AP93" i="15"/>
  <c r="AV27" i="15"/>
  <c r="AT34" i="15"/>
  <c r="AV21" i="15"/>
  <c r="AT94" i="15"/>
  <c r="AV93" i="15"/>
  <c r="AT66" i="15"/>
  <c r="AW117" i="15"/>
  <c r="AT71" i="15"/>
  <c r="AV98" i="15"/>
  <c r="BA21" i="15"/>
  <c r="D27" i="15"/>
  <c r="T18" i="45"/>
  <c r="O14" i="45"/>
  <c r="N14" i="45"/>
  <c r="S13" i="45"/>
  <c r="G15" i="45"/>
  <c r="G13" i="45"/>
  <c r="T14" i="45"/>
  <c r="R13" i="45"/>
  <c r="L13" i="45"/>
  <c r="O18" i="45"/>
  <c r="M13" i="45"/>
  <c r="G18" i="45"/>
  <c r="AS119" i="15"/>
  <c r="AO107" i="15"/>
  <c r="AK14" i="15"/>
  <c r="AS94" i="15"/>
  <c r="X94" i="15" s="1"/>
  <c r="AO65" i="15"/>
  <c r="AO98" i="15"/>
  <c r="V98" i="15" s="1"/>
  <c r="BB98" i="15" s="1"/>
  <c r="AK117" i="15"/>
  <c r="AO97" i="15"/>
  <c r="V97" i="15" s="1"/>
  <c r="AS63" i="15"/>
  <c r="AK27" i="15"/>
  <c r="AO50" i="15"/>
  <c r="AK32" i="15"/>
  <c r="T32" i="15" s="1"/>
  <c r="AS66" i="15"/>
  <c r="AO11" i="15"/>
  <c r="AS93" i="15"/>
  <c r="AS34" i="15"/>
  <c r="X34" i="15" s="1"/>
  <c r="X19" i="15"/>
  <c r="AH50" i="15"/>
  <c r="AH104" i="15"/>
  <c r="S79" i="15"/>
  <c r="E18" i="45"/>
  <c r="AL87" i="15"/>
  <c r="T87" i="15" s="1"/>
  <c r="AT87" i="15"/>
  <c r="AI94" i="15"/>
  <c r="AW65" i="15"/>
  <c r="AW74" i="15"/>
  <c r="AV104" i="15"/>
  <c r="AX14" i="15"/>
  <c r="BA33" i="15"/>
  <c r="AY65" i="15"/>
  <c r="E71" i="15"/>
  <c r="K71" i="15" s="1"/>
  <c r="M106" i="15"/>
  <c r="K106" i="15"/>
  <c r="S67" i="15"/>
  <c r="X82" i="15"/>
  <c r="V47" i="15"/>
  <c r="BB47" i="15" s="1"/>
  <c r="V53" i="15"/>
  <c r="BB53" i="15" s="1"/>
  <c r="T108" i="15"/>
  <c r="U108" i="15" s="1"/>
  <c r="S82" i="15"/>
  <c r="T72" i="15"/>
  <c r="L22" i="15"/>
  <c r="F22" i="15"/>
  <c r="AQ22" i="15" s="1"/>
  <c r="M22" i="15"/>
  <c r="K22" i="15"/>
  <c r="M48" i="15"/>
  <c r="K48" i="15"/>
  <c r="L35" i="15"/>
  <c r="F35" i="15"/>
  <c r="N35" i="15" s="1"/>
  <c r="M35" i="15"/>
  <c r="K35" i="15"/>
  <c r="M73" i="15"/>
  <c r="K73" i="15"/>
  <c r="L82" i="15"/>
  <c r="F82" i="15"/>
  <c r="AU82" i="15" s="1"/>
  <c r="M82" i="15"/>
  <c r="K82" i="15"/>
  <c r="M111" i="15"/>
  <c r="K111" i="15"/>
  <c r="X36" i="15"/>
  <c r="T39" i="15"/>
  <c r="X45" i="15"/>
  <c r="X48" i="15"/>
  <c r="S72" i="15"/>
  <c r="L73" i="15"/>
  <c r="V116" i="15"/>
  <c r="BB116" i="15" s="1"/>
  <c r="X95" i="15"/>
  <c r="X37" i="15"/>
  <c r="BC95" i="15"/>
  <c r="V48" i="15"/>
  <c r="BB48" i="15" s="1"/>
  <c r="BC114" i="15"/>
  <c r="N51" i="15"/>
  <c r="AQ51" i="15"/>
  <c r="AM51" i="15"/>
  <c r="AU51" i="15"/>
  <c r="AM43" i="15"/>
  <c r="AQ101" i="15"/>
  <c r="AQ95" i="15"/>
  <c r="AQ79" i="15"/>
  <c r="AU81" i="15"/>
  <c r="AU20" i="15"/>
  <c r="AU104" i="15"/>
  <c r="AU101" i="15"/>
  <c r="AU35" i="15"/>
  <c r="AU79" i="15"/>
  <c r="AU77" i="15"/>
  <c r="T109" i="15"/>
  <c r="V107" i="15"/>
  <c r="BB107" i="15" s="1"/>
  <c r="X78" i="15"/>
  <c r="V73" i="15"/>
  <c r="BB73" i="15" s="1"/>
  <c r="T63" i="15"/>
  <c r="V66" i="15"/>
  <c r="BB66" i="15" s="1"/>
  <c r="X120" i="15"/>
  <c r="Z120" i="15" s="1"/>
  <c r="AB120" i="15" s="1"/>
  <c r="X122" i="15"/>
  <c r="T20" i="15"/>
  <c r="S11" i="15"/>
  <c r="AE63" i="15"/>
  <c r="L104" i="15"/>
  <c r="T95" i="15"/>
  <c r="S69" i="15"/>
  <c r="U69" i="15" s="1"/>
  <c r="AQ45" i="15"/>
  <c r="AQ52" i="15"/>
  <c r="AQ104" i="15"/>
  <c r="AQ20" i="15"/>
  <c r="AM81" i="15"/>
  <c r="AM20" i="15"/>
  <c r="AM104" i="15"/>
  <c r="AM101" i="15"/>
  <c r="AM79" i="15"/>
  <c r="AM77" i="15"/>
  <c r="T14" i="15"/>
  <c r="T61" i="15"/>
  <c r="T46" i="15"/>
  <c r="T115" i="15"/>
  <c r="X117" i="15"/>
  <c r="X123" i="15"/>
  <c r="X18" i="15"/>
  <c r="S21" i="15"/>
  <c r="S117" i="15"/>
  <c r="S81" i="15"/>
  <c r="F120" i="15"/>
  <c r="K102" i="15"/>
  <c r="L14" i="15"/>
  <c r="BD84" i="15"/>
  <c r="X29" i="15"/>
  <c r="S83" i="15"/>
  <c r="AQ43" i="15"/>
  <c r="AQ77" i="15"/>
  <c r="AQ16" i="15"/>
  <c r="AU45" i="15"/>
  <c r="AU16" i="15"/>
  <c r="AU75" i="15"/>
  <c r="AU95" i="15"/>
  <c r="AU29" i="15"/>
  <c r="AU52" i="15"/>
  <c r="V111" i="15"/>
  <c r="BB111" i="15" s="1"/>
  <c r="X70" i="15"/>
  <c r="T42" i="15"/>
  <c r="U42" i="15" s="1"/>
  <c r="V54" i="15"/>
  <c r="BB54" i="15" s="1"/>
  <c r="V122" i="15"/>
  <c r="BB122" i="15" s="1"/>
  <c r="V79" i="15"/>
  <c r="BB79" i="15" s="1"/>
  <c r="T82" i="15"/>
  <c r="V38" i="15"/>
  <c r="BB38" i="15" s="1"/>
  <c r="X99" i="15"/>
  <c r="X47" i="15"/>
  <c r="V30" i="15"/>
  <c r="BB30" i="15" s="1"/>
  <c r="T53" i="15"/>
  <c r="V16" i="15"/>
  <c r="BB16" i="15" s="1"/>
  <c r="X39" i="15"/>
  <c r="V108" i="15"/>
  <c r="BB108" i="15" s="1"/>
  <c r="X40" i="15"/>
  <c r="F90" i="15"/>
  <c r="L68" i="15"/>
  <c r="M44" i="15"/>
  <c r="BD76" i="15"/>
  <c r="BD52" i="15"/>
  <c r="T105" i="15"/>
  <c r="T84" i="15"/>
  <c r="V75" i="15"/>
  <c r="BB75" i="15" s="1"/>
  <c r="T88" i="15"/>
  <c r="X116" i="15"/>
  <c r="T97" i="15"/>
  <c r="T89" i="15"/>
  <c r="S23" i="15"/>
  <c r="S26" i="15"/>
  <c r="U26" i="15" s="1"/>
  <c r="T43" i="15"/>
  <c r="V106" i="15"/>
  <c r="BB106" i="15" s="1"/>
  <c r="T28" i="15"/>
  <c r="T98" i="15"/>
  <c r="V39" i="15"/>
  <c r="BB39" i="15" s="1"/>
  <c r="S106" i="15"/>
  <c r="U106" i="15" s="1"/>
  <c r="S97" i="15"/>
  <c r="S103" i="15"/>
  <c r="V43" i="15"/>
  <c r="V105" i="15"/>
  <c r="BB105" i="15" s="1"/>
  <c r="X109" i="15"/>
  <c r="X107" i="15"/>
  <c r="T41" i="15"/>
  <c r="X88" i="15"/>
  <c r="T65" i="15"/>
  <c r="X115" i="15"/>
  <c r="V57" i="15"/>
  <c r="BB57" i="15" s="1"/>
  <c r="X81" i="15"/>
  <c r="V25" i="15"/>
  <c r="BB25" i="15" s="1"/>
  <c r="X11" i="15"/>
  <c r="T49" i="15"/>
  <c r="X93" i="15"/>
  <c r="V103" i="15"/>
  <c r="BB103" i="15" s="1"/>
  <c r="X52" i="15"/>
  <c r="V99" i="15"/>
  <c r="BB99" i="15" s="1"/>
  <c r="X80" i="15"/>
  <c r="V74" i="15"/>
  <c r="V55" i="15"/>
  <c r="BB55" i="15" s="1"/>
  <c r="T48" i="15"/>
  <c r="S78" i="15"/>
  <c r="U78" i="15" s="1"/>
  <c r="S51" i="15"/>
  <c r="S57" i="15"/>
  <c r="U57" i="15" s="1"/>
  <c r="S44" i="15"/>
  <c r="U44" i="15" s="1"/>
  <c r="S88" i="15"/>
  <c r="X102" i="15"/>
  <c r="T23" i="15"/>
  <c r="T121" i="15"/>
  <c r="U121" i="15" s="1"/>
  <c r="X105" i="15"/>
  <c r="V72" i="15"/>
  <c r="BB72" i="15" s="1"/>
  <c r="V61" i="15"/>
  <c r="BB61" i="15" s="1"/>
  <c r="T123" i="15"/>
  <c r="U123" i="15" s="1"/>
  <c r="V96" i="15"/>
  <c r="BB96" i="15" s="1"/>
  <c r="X89" i="15"/>
  <c r="V27" i="15"/>
  <c r="BB27" i="15" s="1"/>
  <c r="V31" i="15"/>
  <c r="BB31" i="15" s="1"/>
  <c r="T103" i="15"/>
  <c r="V52" i="15"/>
  <c r="BB52" i="15" s="1"/>
  <c r="T40" i="15"/>
  <c r="S109" i="15"/>
  <c r="S56" i="15"/>
  <c r="U56" i="15" s="1"/>
  <c r="S50" i="15"/>
  <c r="S22" i="15"/>
  <c r="W22" i="15" s="1"/>
  <c r="S13" i="15"/>
  <c r="S47" i="15"/>
  <c r="S48" i="15"/>
  <c r="BD98" i="15"/>
  <c r="AB24" i="14"/>
  <c r="AB50" i="14"/>
  <c r="AB39" i="14"/>
  <c r="AA85" i="14"/>
  <c r="U18" i="16"/>
  <c r="T117" i="15"/>
  <c r="T81" i="15"/>
  <c r="V45" i="15"/>
  <c r="W45" i="15" s="1"/>
  <c r="V62" i="15"/>
  <c r="BB62" i="15" s="1"/>
  <c r="V40" i="15"/>
  <c r="BB40" i="15" s="1"/>
  <c r="S43" i="15"/>
  <c r="S122" i="15"/>
  <c r="X23" i="15"/>
  <c r="BD39" i="15"/>
  <c r="H15" i="15"/>
  <c r="BD15" i="15" s="1"/>
  <c r="H42" i="15"/>
  <c r="BD42" i="15" s="1"/>
  <c r="H37" i="15"/>
  <c r="BD37" i="15" s="1"/>
  <c r="H82" i="15"/>
  <c r="BD82" i="15" s="1"/>
  <c r="BD59" i="15"/>
  <c r="BC113" i="15"/>
  <c r="BC72" i="15"/>
  <c r="BC102" i="15"/>
  <c r="BC112" i="15"/>
  <c r="BC98" i="15"/>
  <c r="BC63" i="15"/>
  <c r="BC93" i="15"/>
  <c r="BC117" i="15"/>
  <c r="H38" i="15"/>
  <c r="BD38" i="15" s="1"/>
  <c r="H90" i="15"/>
  <c r="BD90" i="15" s="1"/>
  <c r="H104" i="15"/>
  <c r="BD104" i="15" s="1"/>
  <c r="T24" i="15"/>
  <c r="T70" i="15"/>
  <c r="U70" i="15" s="1"/>
  <c r="V100" i="15"/>
  <c r="BB100" i="15" s="1"/>
  <c r="V20" i="15"/>
  <c r="BB20" i="15" s="1"/>
  <c r="V42" i="15"/>
  <c r="BB42" i="15" s="1"/>
  <c r="V109" i="15"/>
  <c r="BB109" i="15" s="1"/>
  <c r="V87" i="15"/>
  <c r="V17" i="15"/>
  <c r="BB17" i="15" s="1"/>
  <c r="V24" i="15"/>
  <c r="BB24" i="15" s="1"/>
  <c r="T16" i="15"/>
  <c r="T55" i="15"/>
  <c r="V69" i="15"/>
  <c r="T30" i="15"/>
  <c r="S99" i="15"/>
  <c r="T37" i="15"/>
  <c r="X108" i="15"/>
  <c r="X92" i="15"/>
  <c r="Z92" i="15" s="1"/>
  <c r="AB92" i="15" s="1"/>
  <c r="T96" i="15"/>
  <c r="S20" i="15"/>
  <c r="BD77" i="15"/>
  <c r="BD11" i="15"/>
  <c r="BD28" i="15"/>
  <c r="BD43" i="15"/>
  <c r="BD95" i="15"/>
  <c r="BC106" i="15"/>
  <c r="BC66" i="15"/>
  <c r="H20" i="15"/>
  <c r="BD20" i="15" s="1"/>
  <c r="H65" i="15"/>
  <c r="BD65" i="15" s="1"/>
  <c r="H22" i="15"/>
  <c r="BD22" i="15" s="1"/>
  <c r="H58" i="15"/>
  <c r="BD58" i="15" s="1"/>
  <c r="AA16" i="14"/>
  <c r="X47" i="14"/>
  <c r="V44" i="14"/>
  <c r="U93" i="14"/>
  <c r="AB93" i="14" s="1"/>
  <c r="V13" i="14"/>
  <c r="V65" i="14"/>
  <c r="V25" i="14"/>
  <c r="V70" i="14"/>
  <c r="T71" i="14"/>
  <c r="H23" i="45"/>
  <c r="H22" i="45"/>
  <c r="I23" i="45"/>
  <c r="I22" i="45"/>
  <c r="Q25" i="55"/>
  <c r="M25" i="55"/>
  <c r="I25" i="55"/>
  <c r="S25" i="55"/>
  <c r="O25" i="55"/>
  <c r="H16" i="55"/>
  <c r="P16" i="55"/>
  <c r="AV46" i="16"/>
  <c r="W46" i="16"/>
  <c r="L16" i="55"/>
  <c r="Q28" i="14"/>
  <c r="AN28" i="14"/>
  <c r="Q69" i="14"/>
  <c r="AN69" i="14"/>
  <c r="N31" i="16"/>
  <c r="AM31" i="16"/>
  <c r="AU31" i="16"/>
  <c r="N37" i="16"/>
  <c r="AU37" i="16"/>
  <c r="AQ37" i="16"/>
  <c r="AM37" i="16"/>
  <c r="Z88" i="14"/>
  <c r="AB96" i="14"/>
  <c r="U47" i="16"/>
  <c r="T41" i="14"/>
  <c r="Z25" i="14"/>
  <c r="M26" i="55"/>
  <c r="I39" i="55"/>
  <c r="P34" i="55"/>
  <c r="O30" i="55"/>
  <c r="K39" i="55"/>
  <c r="K36" i="55"/>
  <c r="F26" i="14"/>
  <c r="N23" i="14"/>
  <c r="N97" i="14"/>
  <c r="N38" i="14"/>
  <c r="O71" i="14"/>
  <c r="K31" i="15"/>
  <c r="M74" i="15"/>
  <c r="F50" i="16"/>
  <c r="F66" i="16"/>
  <c r="K52" i="16"/>
  <c r="K32" i="16"/>
  <c r="L26" i="16"/>
  <c r="L50" i="16"/>
  <c r="W28" i="16"/>
  <c r="W12" i="16"/>
  <c r="Z50" i="14"/>
  <c r="T44" i="14"/>
  <c r="Z57" i="14"/>
  <c r="Z40" i="14"/>
  <c r="F42" i="52"/>
  <c r="N71" i="14"/>
  <c r="N92" i="14"/>
  <c r="P23" i="14"/>
  <c r="O33" i="14"/>
  <c r="F31" i="15"/>
  <c r="K70" i="15"/>
  <c r="K44" i="15"/>
  <c r="F47" i="15"/>
  <c r="K104" i="15"/>
  <c r="K30" i="15"/>
  <c r="K16" i="16"/>
  <c r="M37" i="16"/>
  <c r="M15" i="16"/>
  <c r="L16" i="43"/>
  <c r="K21" i="43"/>
  <c r="AA81" i="14"/>
  <c r="Z66" i="14"/>
  <c r="Z36" i="14"/>
  <c r="U61" i="16"/>
  <c r="V40" i="52"/>
  <c r="M40" i="55"/>
  <c r="K16" i="55"/>
  <c r="N42" i="52"/>
  <c r="N33" i="14"/>
  <c r="F92" i="14"/>
  <c r="O23" i="14"/>
  <c r="K120" i="15"/>
  <c r="F99" i="15"/>
  <c r="F70" i="15"/>
  <c r="F44" i="15"/>
  <c r="F40" i="15"/>
  <c r="M120" i="15"/>
  <c r="M104" i="15"/>
  <c r="F16" i="16"/>
  <c r="L66" i="16"/>
  <c r="G19" i="43"/>
  <c r="O21" i="14"/>
  <c r="F21" i="14"/>
  <c r="P21" i="14"/>
  <c r="O38" i="14"/>
  <c r="P38" i="14"/>
  <c r="O84" i="14"/>
  <c r="F84" i="14"/>
  <c r="P84" i="14"/>
  <c r="O28" i="14"/>
  <c r="P28" i="14"/>
  <c r="N28" i="14"/>
  <c r="N14" i="14"/>
  <c r="O14" i="14"/>
  <c r="O57" i="14"/>
  <c r="P57" i="14"/>
  <c r="P35" i="14"/>
  <c r="F35" i="14"/>
  <c r="K14" i="15"/>
  <c r="F14" i="15"/>
  <c r="F62" i="15"/>
  <c r="L62" i="15"/>
  <c r="M62" i="15"/>
  <c r="L64" i="15"/>
  <c r="F64" i="15"/>
  <c r="K74" i="15"/>
  <c r="F74" i="15"/>
  <c r="F100" i="15"/>
  <c r="L100" i="15"/>
  <c r="M100" i="15"/>
  <c r="L13" i="15"/>
  <c r="K13" i="15"/>
  <c r="F23" i="15"/>
  <c r="M23" i="15"/>
  <c r="K23" i="15"/>
  <c r="K47" i="15"/>
  <c r="L47" i="15"/>
  <c r="L76" i="15"/>
  <c r="K76" i="15"/>
  <c r="K99" i="15"/>
  <c r="L99" i="15"/>
  <c r="L112" i="15"/>
  <c r="K112" i="15"/>
  <c r="F12" i="15"/>
  <c r="M12" i="15"/>
  <c r="K12" i="15"/>
  <c r="F46" i="15"/>
  <c r="L46" i="15"/>
  <c r="K46" i="15"/>
  <c r="L51" i="15"/>
  <c r="K51" i="15"/>
  <c r="M68" i="15"/>
  <c r="F68" i="15"/>
  <c r="L103" i="15"/>
  <c r="F103" i="15"/>
  <c r="K103" i="15"/>
  <c r="L17" i="15"/>
  <c r="F17" i="15"/>
  <c r="K17" i="15"/>
  <c r="L56" i="15"/>
  <c r="F56" i="15"/>
  <c r="M90" i="15"/>
  <c r="K90" i="15"/>
  <c r="L121" i="15"/>
  <c r="M121" i="15"/>
  <c r="F121" i="15"/>
  <c r="F15" i="16"/>
  <c r="L15" i="16"/>
  <c r="M31" i="16"/>
  <c r="K31" i="16"/>
  <c r="F64" i="16"/>
  <c r="L64" i="16"/>
  <c r="F32" i="16"/>
  <c r="L32" i="16"/>
  <c r="M47" i="16"/>
  <c r="K47" i="16"/>
  <c r="M68" i="16"/>
  <c r="F68" i="16"/>
  <c r="K68" i="16"/>
  <c r="M21" i="16"/>
  <c r="F21" i="16"/>
  <c r="K37" i="16"/>
  <c r="L37" i="16"/>
  <c r="M52" i="16"/>
  <c r="F52" i="16"/>
  <c r="F65" i="16"/>
  <c r="L65" i="16"/>
  <c r="K65" i="16"/>
  <c r="M26" i="16"/>
  <c r="F26" i="16"/>
  <c r="L46" i="16"/>
  <c r="F46" i="16"/>
  <c r="I16" i="43"/>
  <c r="G16" i="43"/>
  <c r="K15" i="43"/>
  <c r="L15" i="43"/>
  <c r="J19" i="43"/>
  <c r="P85" i="14"/>
  <c r="P96" i="14"/>
  <c r="L89" i="15"/>
  <c r="Z40" i="52"/>
  <c r="BD114" i="15"/>
  <c r="BD106" i="15"/>
  <c r="BD75" i="15"/>
  <c r="BD56" i="15"/>
  <c r="BD44" i="15"/>
  <c r="BD122" i="15"/>
  <c r="N89" i="14"/>
  <c r="F83" i="15"/>
  <c r="K89" i="15"/>
  <c r="L59" i="15"/>
  <c r="L106" i="15"/>
  <c r="L80" i="15"/>
  <c r="U42" i="16"/>
  <c r="Z58" i="14"/>
  <c r="AA62" i="14"/>
  <c r="AB25" i="14"/>
  <c r="AB14" i="14"/>
  <c r="W23" i="15"/>
  <c r="AB32" i="14"/>
  <c r="AA33" i="14"/>
  <c r="AA91" i="14"/>
  <c r="AA39" i="14"/>
  <c r="AA74" i="14"/>
  <c r="U46" i="16"/>
  <c r="U72" i="16"/>
  <c r="AA55" i="14"/>
  <c r="T91" i="14"/>
  <c r="AB18" i="14"/>
  <c r="U30" i="16"/>
  <c r="U15" i="16"/>
  <c r="W50" i="16"/>
  <c r="Z65" i="14"/>
  <c r="U81" i="15"/>
  <c r="AB38" i="14"/>
  <c r="Z69" i="14"/>
  <c r="AB21" i="14"/>
  <c r="AB94" i="14"/>
  <c r="U118" i="15"/>
  <c r="Z84" i="14"/>
  <c r="T24" i="14"/>
  <c r="Z33" i="14"/>
  <c r="Z76" i="14"/>
  <c r="T81" i="14"/>
  <c r="Z93" i="14"/>
  <c r="Z16" i="14"/>
  <c r="U36" i="16"/>
  <c r="W60" i="16"/>
  <c r="C21" i="45"/>
  <c r="C22" i="45" s="1"/>
  <c r="N15" i="43"/>
  <c r="L39" i="43"/>
  <c r="K39" i="43"/>
  <c r="J39" i="43"/>
  <c r="I29" i="55"/>
  <c r="P39" i="55"/>
  <c r="K33" i="55"/>
  <c r="W33" i="43"/>
  <c r="W39" i="43"/>
  <c r="V23" i="43"/>
  <c r="N24" i="43"/>
  <c r="P24" i="43" s="1"/>
  <c r="K37" i="43"/>
  <c r="U23" i="43"/>
  <c r="N23" i="43" s="1"/>
  <c r="N21" i="43"/>
  <c r="P21" i="43" s="1"/>
  <c r="N13" i="43"/>
  <c r="P13" i="43" s="1"/>
  <c r="U18" i="43"/>
  <c r="M42" i="55"/>
  <c r="M29" i="55"/>
  <c r="H40" i="55"/>
  <c r="P40" i="55"/>
  <c r="L34" i="55"/>
  <c r="I33" i="55"/>
  <c r="L37" i="55"/>
  <c r="O42" i="55"/>
  <c r="O33" i="55"/>
  <c r="V33" i="43"/>
  <c r="J35" i="43"/>
  <c r="D23" i="43"/>
  <c r="D39" i="43"/>
  <c r="U39" i="43"/>
  <c r="I34" i="55"/>
  <c r="M41" i="55"/>
  <c r="H29" i="55"/>
  <c r="L29" i="55"/>
  <c r="K29" i="55"/>
  <c r="E23" i="43"/>
  <c r="G23" i="43" s="1"/>
  <c r="E33" i="43"/>
  <c r="I33" i="43" s="1"/>
  <c r="F23" i="43"/>
  <c r="S35" i="43"/>
  <c r="P35" i="43"/>
  <c r="L27" i="55"/>
  <c r="I36" i="55"/>
  <c r="P15" i="55"/>
  <c r="L36" i="55"/>
  <c r="L23" i="55"/>
  <c r="L15" i="55"/>
  <c r="O31" i="55"/>
  <c r="O35" i="55"/>
  <c r="K37" i="55"/>
  <c r="V38" i="43"/>
  <c r="N26" i="43"/>
  <c r="O7" i="73" s="1"/>
  <c r="N17" i="43"/>
  <c r="P17" i="43" s="1"/>
  <c r="Q32" i="55"/>
  <c r="E12" i="43"/>
  <c r="U33" i="43"/>
  <c r="M39" i="55"/>
  <c r="L39" i="55"/>
  <c r="M36" i="55"/>
  <c r="H24" i="55"/>
  <c r="K35" i="55"/>
  <c r="O36" i="55"/>
  <c r="W12" i="43"/>
  <c r="G11" i="43"/>
  <c r="J15" i="43"/>
  <c r="J11" i="43"/>
  <c r="E38" i="43"/>
  <c r="E20" i="45"/>
  <c r="F18" i="43"/>
  <c r="U12" i="43"/>
  <c r="P16" i="43"/>
  <c r="I26" i="55"/>
  <c r="I40" i="55"/>
  <c r="I31" i="55"/>
  <c r="I24" i="55"/>
  <c r="M24" i="55"/>
  <c r="P24" i="55"/>
  <c r="K15" i="55"/>
  <c r="W18" i="43"/>
  <c r="V18" i="43"/>
  <c r="V12" i="43"/>
  <c r="G13" i="43"/>
  <c r="H11" i="43"/>
  <c r="D28" i="43"/>
  <c r="D18" i="43"/>
  <c r="D12" i="43"/>
  <c r="E18" i="43"/>
  <c r="F33" i="43"/>
  <c r="F12" i="43"/>
  <c r="N19" i="43"/>
  <c r="P19" i="43" s="1"/>
  <c r="S15" i="43"/>
  <c r="P15" i="43"/>
  <c r="S27" i="43"/>
  <c r="P27" i="55"/>
  <c r="I42" i="55"/>
  <c r="I41" i="55"/>
  <c r="P42" i="55"/>
  <c r="L26" i="55"/>
  <c r="H23" i="55"/>
  <c r="H42" i="55"/>
  <c r="O17" i="55"/>
  <c r="O41" i="55"/>
  <c r="N11" i="43"/>
  <c r="P11" i="43" s="1"/>
  <c r="V31" i="43"/>
  <c r="V25" i="43"/>
  <c r="G38" i="43"/>
  <c r="H29" i="43"/>
  <c r="J29" i="43"/>
  <c r="J14" i="43"/>
  <c r="K35" i="43"/>
  <c r="L21" i="43"/>
  <c r="D27" i="43"/>
  <c r="D25" i="43"/>
  <c r="U38" i="43"/>
  <c r="M34" i="55"/>
  <c r="M35" i="55"/>
  <c r="M18" i="55"/>
  <c r="P35" i="55"/>
  <c r="P26" i="55"/>
  <c r="H38" i="55"/>
  <c r="O22" i="55"/>
  <c r="O28" i="55"/>
  <c r="K34" i="55"/>
  <c r="O34" i="55"/>
  <c r="O37" i="55"/>
  <c r="W38" i="43"/>
  <c r="W25" i="43"/>
  <c r="V20" i="43"/>
  <c r="G29" i="43"/>
  <c r="G21" i="43"/>
  <c r="H27" i="43"/>
  <c r="H37" i="43"/>
  <c r="L18" i="43"/>
  <c r="K29" i="43"/>
  <c r="K14" i="43"/>
  <c r="D38" i="43"/>
  <c r="D20" i="43"/>
  <c r="E31" i="43"/>
  <c r="I31" i="43" s="1"/>
  <c r="E25" i="43"/>
  <c r="F10" i="43"/>
  <c r="L10" i="43" s="1"/>
  <c r="F27" i="43"/>
  <c r="F25" i="43"/>
  <c r="U29" i="43"/>
  <c r="U14" i="43"/>
  <c r="K42" i="55"/>
  <c r="K41" i="55"/>
  <c r="W29" i="43"/>
  <c r="W20" i="43"/>
  <c r="W27" i="43"/>
  <c r="V29" i="43"/>
  <c r="V14" i="43"/>
  <c r="V10" i="43"/>
  <c r="N10" i="43" s="1"/>
  <c r="V27" i="43"/>
  <c r="G27" i="43"/>
  <c r="H18" i="43"/>
  <c r="D29" i="43"/>
  <c r="D14" i="43"/>
  <c r="E20" i="43"/>
  <c r="F38" i="43"/>
  <c r="F20" i="43"/>
  <c r="L20" i="43" s="1"/>
  <c r="U20" i="43"/>
  <c r="S36" i="43"/>
  <c r="S32" i="43"/>
  <c r="M23" i="55"/>
  <c r="I44" i="55"/>
  <c r="I30" i="55"/>
  <c r="P20" i="55"/>
  <c r="P36" i="55"/>
  <c r="P30" i="55"/>
  <c r="K24" i="55"/>
  <c r="K23" i="55"/>
  <c r="K40" i="55"/>
  <c r="O27" i="55"/>
  <c r="O21" i="55"/>
  <c r="K26" i="55"/>
  <c r="W34" i="43"/>
  <c r="W31" i="43"/>
  <c r="W36" i="43"/>
  <c r="K21" i="55"/>
  <c r="V22" i="43"/>
  <c r="V32" i="43"/>
  <c r="G37" i="43"/>
  <c r="H10" i="43"/>
  <c r="K23" i="43"/>
  <c r="D22" i="43"/>
  <c r="D32" i="43"/>
  <c r="E32" i="43"/>
  <c r="E34" i="43"/>
  <c r="F31" i="43"/>
  <c r="F36" i="43"/>
  <c r="L36" i="43" s="1"/>
  <c r="U31" i="43"/>
  <c r="U36" i="43"/>
  <c r="O10" i="73"/>
  <c r="M15" i="55"/>
  <c r="H41" i="55"/>
  <c r="H33" i="55"/>
  <c r="I23" i="55"/>
  <c r="L25" i="55"/>
  <c r="K44" i="55"/>
  <c r="O45" i="55"/>
  <c r="O40" i="55"/>
  <c r="O44" i="55"/>
  <c r="W30" i="43"/>
  <c r="W22" i="43"/>
  <c r="V30" i="43"/>
  <c r="G10" i="43"/>
  <c r="H39" i="43"/>
  <c r="H14" i="43"/>
  <c r="H24" i="43"/>
  <c r="H31" i="43"/>
  <c r="J30" i="43"/>
  <c r="J16" i="43"/>
  <c r="I39" i="43"/>
  <c r="D30" i="43"/>
  <c r="E36" i="43"/>
  <c r="F34" i="43"/>
  <c r="F28" i="43"/>
  <c r="U34" i="43"/>
  <c r="U28" i="43"/>
  <c r="F20" i="45"/>
  <c r="I15" i="55"/>
  <c r="M30" i="55"/>
  <c r="P32" i="55"/>
  <c r="M44" i="55"/>
  <c r="L41" i="55"/>
  <c r="L33" i="55"/>
  <c r="P25" i="55"/>
  <c r="L30" i="55"/>
  <c r="O24" i="55"/>
  <c r="K27" i="55"/>
  <c r="K45" i="55"/>
  <c r="O26" i="55"/>
  <c r="W28" i="43"/>
  <c r="W32" i="43"/>
  <c r="V28" i="43"/>
  <c r="V34" i="43"/>
  <c r="G39" i="43"/>
  <c r="G14" i="43"/>
  <c r="G24" i="43"/>
  <c r="G31" i="43"/>
  <c r="H16" i="43"/>
  <c r="H33" i="43"/>
  <c r="D31" i="43"/>
  <c r="D36" i="43"/>
  <c r="E22" i="43"/>
  <c r="C15" i="55" s="1"/>
  <c r="F15" i="55" s="1"/>
  <c r="E28" i="43"/>
  <c r="F22" i="43"/>
  <c r="F32" i="43"/>
  <c r="U22" i="43"/>
  <c r="U32" i="43"/>
  <c r="N32" i="43" s="1"/>
  <c r="P32" i="43" s="1"/>
  <c r="G15" i="43"/>
  <c r="H15" i="43"/>
  <c r="I17" i="43"/>
  <c r="H17" i="43"/>
  <c r="G17" i="43"/>
  <c r="H20" i="55"/>
  <c r="L32" i="55"/>
  <c r="P31" i="55"/>
  <c r="K31" i="55"/>
  <c r="O20" i="55"/>
  <c r="O32" i="55"/>
  <c r="K28" i="55"/>
  <c r="O23" i="55"/>
  <c r="I30" i="43"/>
  <c r="H30" i="43"/>
  <c r="G30" i="43"/>
  <c r="M31" i="55"/>
  <c r="H31" i="55"/>
  <c r="H44" i="55"/>
  <c r="K32" i="55"/>
  <c r="O15" i="55"/>
  <c r="O29" i="55"/>
  <c r="C44" i="55"/>
  <c r="F44" i="55" s="1"/>
  <c r="I34" i="43"/>
  <c r="H34" i="43"/>
  <c r="G34" i="43"/>
  <c r="K36" i="43"/>
  <c r="J36" i="43"/>
  <c r="L24" i="43"/>
  <c r="K24" i="43"/>
  <c r="K20" i="43"/>
  <c r="J20" i="43"/>
  <c r="O19" i="73"/>
  <c r="O23" i="73"/>
  <c r="O27" i="73"/>
  <c r="C41" i="55"/>
  <c r="F41" i="55" s="1"/>
  <c r="C21" i="55"/>
  <c r="F21" i="55" s="1"/>
  <c r="C39" i="43"/>
  <c r="O16" i="73"/>
  <c r="O32" i="73"/>
  <c r="O5" i="73"/>
  <c r="U57" i="16"/>
  <c r="S34" i="16"/>
  <c r="W34" i="16" s="1"/>
  <c r="S29" i="16"/>
  <c r="U29" i="16" s="1"/>
  <c r="S37" i="16"/>
  <c r="U37" i="16" s="1"/>
  <c r="X67" i="16"/>
  <c r="Z67" i="16" s="1"/>
  <c r="AB67" i="16" s="1"/>
  <c r="X70" i="16"/>
  <c r="Z70" i="16" s="1"/>
  <c r="U19" i="16"/>
  <c r="S71" i="16"/>
  <c r="U71" i="16" s="1"/>
  <c r="U60" i="16"/>
  <c r="X38" i="16"/>
  <c r="Z38" i="16" s="1"/>
  <c r="R289" i="73" s="1"/>
  <c r="V62" i="16"/>
  <c r="AV62" i="16" s="1"/>
  <c r="T31" i="16"/>
  <c r="U31" i="16" s="1"/>
  <c r="T52" i="16"/>
  <c r="U52" i="16" s="1"/>
  <c r="V26" i="16"/>
  <c r="AV26" i="16" s="1"/>
  <c r="V25" i="16"/>
  <c r="AV25" i="16" s="1"/>
  <c r="U41" i="16"/>
  <c r="X12" i="16"/>
  <c r="U56" i="16"/>
  <c r="U55" i="16"/>
  <c r="U27" i="16"/>
  <c r="X49" i="16"/>
  <c r="Z49" i="16" s="1"/>
  <c r="T35" i="16"/>
  <c r="U35" i="16" s="1"/>
  <c r="S58" i="16"/>
  <c r="W58" i="16" s="1"/>
  <c r="S70" i="16"/>
  <c r="U70" i="16" s="1"/>
  <c r="S38" i="16"/>
  <c r="W38" i="16" s="1"/>
  <c r="S66" i="16"/>
  <c r="W66" i="16" s="1"/>
  <c r="W40" i="16"/>
  <c r="S53" i="16"/>
  <c r="U53" i="16" s="1"/>
  <c r="W23" i="16"/>
  <c r="V21" i="16"/>
  <c r="AV21" i="16" s="1"/>
  <c r="T65" i="16"/>
  <c r="V33" i="16"/>
  <c r="AV33" i="16" s="1"/>
  <c r="U45" i="16"/>
  <c r="U69" i="16"/>
  <c r="U59" i="16"/>
  <c r="X36" i="16"/>
  <c r="Z36" i="16" s="1"/>
  <c r="V13" i="16"/>
  <c r="W13" i="16" s="1"/>
  <c r="X68" i="16"/>
  <c r="Z24" i="16"/>
  <c r="AB24" i="16" s="1"/>
  <c r="X31" i="16"/>
  <c r="Z44" i="16"/>
  <c r="AB44" i="16" s="1"/>
  <c r="T66" i="16"/>
  <c r="U66" i="16" s="1"/>
  <c r="S51" i="16"/>
  <c r="U51" i="16" s="1"/>
  <c r="Z51" i="16"/>
  <c r="AB51" i="16" s="1"/>
  <c r="Z45" i="16"/>
  <c r="U50" i="16"/>
  <c r="U39" i="16"/>
  <c r="W11" i="16"/>
  <c r="W32" i="16"/>
  <c r="U14" i="16"/>
  <c r="U17" i="16"/>
  <c r="AV30" i="16"/>
  <c r="Z30" i="16" s="1"/>
  <c r="AB30" i="16" s="1"/>
  <c r="U44" i="16"/>
  <c r="U12" i="16"/>
  <c r="U40" i="16"/>
  <c r="Z58" i="16"/>
  <c r="K65" i="73" s="1"/>
  <c r="Z16" i="16"/>
  <c r="AB16" i="16" s="1"/>
  <c r="U68" i="16"/>
  <c r="W20" i="16"/>
  <c r="W30" i="16"/>
  <c r="U22" i="16"/>
  <c r="U24" i="16"/>
  <c r="U26" i="16"/>
  <c r="W44" i="16"/>
  <c r="Z59" i="16"/>
  <c r="U28" i="16"/>
  <c r="V61" i="16"/>
  <c r="V52" i="16"/>
  <c r="X21" i="16"/>
  <c r="S63" i="16"/>
  <c r="W63" i="16" s="1"/>
  <c r="S16" i="16"/>
  <c r="W16" i="16" s="1"/>
  <c r="S48" i="16"/>
  <c r="W48" i="16" s="1"/>
  <c r="T23" i="16"/>
  <c r="U23" i="16" s="1"/>
  <c r="V37" i="16"/>
  <c r="V69" i="16"/>
  <c r="V42" i="16"/>
  <c r="AV42" i="16" s="1"/>
  <c r="Z42" i="16" s="1"/>
  <c r="X71" i="16"/>
  <c r="AV65" i="16"/>
  <c r="U43" i="16"/>
  <c r="W43" i="16"/>
  <c r="W56" i="16"/>
  <c r="AV66" i="16"/>
  <c r="AV17" i="16"/>
  <c r="Z17" i="16" s="1"/>
  <c r="U67" i="16"/>
  <c r="W67" i="16"/>
  <c r="W49" i="16"/>
  <c r="W17" i="16"/>
  <c r="Z15" i="16"/>
  <c r="AB15" i="16" s="1"/>
  <c r="Z47" i="16"/>
  <c r="W47" i="16"/>
  <c r="N11" i="16"/>
  <c r="AM11" i="16"/>
  <c r="AQ11" i="16"/>
  <c r="U62" i="16"/>
  <c r="AV12" i="16"/>
  <c r="AV56" i="16"/>
  <c r="AV19" i="16"/>
  <c r="W19" i="16"/>
  <c r="AV63" i="16"/>
  <c r="Z63" i="16" s="1"/>
  <c r="AV48" i="16"/>
  <c r="U64" i="16"/>
  <c r="S65" i="16"/>
  <c r="S54" i="16"/>
  <c r="U49" i="16"/>
  <c r="W18" i="16"/>
  <c r="W39" i="16"/>
  <c r="W59" i="16"/>
  <c r="W45" i="16"/>
  <c r="Z18" i="16"/>
  <c r="K7" i="73" s="1"/>
  <c r="AV29" i="16"/>
  <c r="Z29" i="16" s="1"/>
  <c r="AQ42" i="16"/>
  <c r="AQ67" i="16"/>
  <c r="AM67" i="16"/>
  <c r="AM25" i="16"/>
  <c r="U20" i="16"/>
  <c r="W36" i="16"/>
  <c r="U21" i="16"/>
  <c r="L43" i="16"/>
  <c r="M43" i="16"/>
  <c r="F43" i="16"/>
  <c r="L28" i="16"/>
  <c r="K28" i="16"/>
  <c r="M28" i="16"/>
  <c r="F28" i="16"/>
  <c r="K44" i="16"/>
  <c r="L44" i="16"/>
  <c r="F44" i="16"/>
  <c r="F62" i="16"/>
  <c r="L62" i="16"/>
  <c r="K62" i="16"/>
  <c r="F17" i="16"/>
  <c r="L17" i="16"/>
  <c r="L33" i="16"/>
  <c r="M33" i="16"/>
  <c r="F33" i="16"/>
  <c r="F48" i="16"/>
  <c r="L48" i="16"/>
  <c r="L63" i="16"/>
  <c r="F63" i="16"/>
  <c r="M63" i="16"/>
  <c r="K63" i="16"/>
  <c r="L22" i="16"/>
  <c r="F22" i="16"/>
  <c r="M22" i="16"/>
  <c r="K22" i="16"/>
  <c r="K42" i="16"/>
  <c r="L42" i="16"/>
  <c r="L60" i="16"/>
  <c r="K60" i="16"/>
  <c r="M60" i="16"/>
  <c r="F60" i="16"/>
  <c r="F49" i="16"/>
  <c r="K49" i="16"/>
  <c r="M49" i="16"/>
  <c r="L11" i="16"/>
  <c r="M11" i="16"/>
  <c r="K11" i="16"/>
  <c r="K27" i="16"/>
  <c r="L27" i="16"/>
  <c r="F27" i="16"/>
  <c r="L61" i="16"/>
  <c r="F61" i="16"/>
  <c r="M61" i="16"/>
  <c r="K61" i="16"/>
  <c r="K12" i="16"/>
  <c r="L12" i="16"/>
  <c r="W15" i="16"/>
  <c r="Z43" i="16"/>
  <c r="AB43" i="16" s="1"/>
  <c r="AQ51" i="16"/>
  <c r="AQ66" i="16"/>
  <c r="AQ54" i="16"/>
  <c r="AM51" i="16"/>
  <c r="U63" i="16"/>
  <c r="W35" i="16"/>
  <c r="W24" i="16"/>
  <c r="K17" i="16"/>
  <c r="K43" i="16"/>
  <c r="F12" i="16"/>
  <c r="M62" i="16"/>
  <c r="M48" i="16"/>
  <c r="M44" i="16"/>
  <c r="U13" i="16"/>
  <c r="M27" i="16"/>
  <c r="M17" i="16"/>
  <c r="M12" i="16"/>
  <c r="T25" i="16"/>
  <c r="U25" i="16" s="1"/>
  <c r="V64" i="16"/>
  <c r="V22" i="16"/>
  <c r="W22" i="16" s="1"/>
  <c r="X55" i="16"/>
  <c r="X40" i="16"/>
  <c r="Z40" i="16" s="1"/>
  <c r="K37" i="73" s="1"/>
  <c r="X56" i="16"/>
  <c r="X41" i="16"/>
  <c r="Z41" i="16" s="1"/>
  <c r="R282" i="73" s="1"/>
  <c r="X57" i="16"/>
  <c r="Z57" i="16" s="1"/>
  <c r="K63" i="73" s="1"/>
  <c r="X26" i="16"/>
  <c r="X22" i="16"/>
  <c r="W72" i="16"/>
  <c r="F35" i="16"/>
  <c r="F20" i="16"/>
  <c r="K54" i="16"/>
  <c r="L54" i="16"/>
  <c r="L51" i="16"/>
  <c r="C63" i="16"/>
  <c r="AE63" i="16" s="1"/>
  <c r="C55" i="16"/>
  <c r="AE55" i="16" s="1"/>
  <c r="C47" i="16"/>
  <c r="AE47" i="16" s="1"/>
  <c r="C39" i="16"/>
  <c r="AE39" i="16" s="1"/>
  <c r="C23" i="16"/>
  <c r="AE23" i="16" s="1"/>
  <c r="K84" i="73"/>
  <c r="K83" i="73"/>
  <c r="R316" i="73"/>
  <c r="R296" i="73"/>
  <c r="K82" i="73"/>
  <c r="K68" i="73"/>
  <c r="K48" i="73"/>
  <c r="K81" i="73"/>
  <c r="R288" i="73"/>
  <c r="K35" i="16"/>
  <c r="K41" i="16"/>
  <c r="K20" i="16"/>
  <c r="BB87" i="15"/>
  <c r="S59" i="15"/>
  <c r="BB86" i="15"/>
  <c r="W86" i="15"/>
  <c r="X121" i="15"/>
  <c r="V110" i="15"/>
  <c r="BB110" i="15" s="1"/>
  <c r="T51" i="15"/>
  <c r="U51" i="15" s="1"/>
  <c r="V58" i="15"/>
  <c r="BB58" i="15" s="1"/>
  <c r="Z58" i="15" s="1"/>
  <c r="Z72" i="15"/>
  <c r="AB72" i="15" s="1"/>
  <c r="X69" i="15"/>
  <c r="V89" i="15"/>
  <c r="BB89" i="15" s="1"/>
  <c r="X85" i="15"/>
  <c r="X54" i="15"/>
  <c r="X17" i="15"/>
  <c r="X13" i="15"/>
  <c r="X60" i="15"/>
  <c r="BB74" i="15"/>
  <c r="S100" i="15"/>
  <c r="S107" i="15"/>
  <c r="S114" i="15"/>
  <c r="S89" i="15"/>
  <c r="S73" i="15"/>
  <c r="S54" i="15"/>
  <c r="T101" i="15"/>
  <c r="T86" i="15"/>
  <c r="U86" i="15" s="1"/>
  <c r="T114" i="15"/>
  <c r="X67" i="15"/>
  <c r="X53" i="15"/>
  <c r="S120" i="15"/>
  <c r="U120" i="15" s="1"/>
  <c r="X51" i="15"/>
  <c r="X96" i="15"/>
  <c r="X79" i="15"/>
  <c r="S90" i="15"/>
  <c r="U90" i="15" s="1"/>
  <c r="X43" i="15"/>
  <c r="T110" i="15"/>
  <c r="V84" i="15"/>
  <c r="BB84" i="15" s="1"/>
  <c r="X106" i="15"/>
  <c r="V70" i="15"/>
  <c r="X75" i="15"/>
  <c r="X90" i="15"/>
  <c r="Z90" i="15" s="1"/>
  <c r="X42" i="15"/>
  <c r="V88" i="15"/>
  <c r="T77" i="15"/>
  <c r="X65" i="15"/>
  <c r="V85" i="15"/>
  <c r="BB85" i="15" s="1"/>
  <c r="X83" i="15"/>
  <c r="X76" i="15"/>
  <c r="Z76" i="15" s="1"/>
  <c r="AB76" i="15" s="1"/>
  <c r="T25" i="15"/>
  <c r="U25" i="15" s="1"/>
  <c r="V32" i="15"/>
  <c r="BB32" i="15" s="1"/>
  <c r="T122" i="15"/>
  <c r="T13" i="15"/>
  <c r="T79" i="15"/>
  <c r="T36" i="15"/>
  <c r="T35" i="15"/>
  <c r="U35" i="15" s="1"/>
  <c r="T45" i="15"/>
  <c r="U45" i="15" s="1"/>
  <c r="T59" i="15"/>
  <c r="X55" i="15"/>
  <c r="S84" i="15"/>
  <c r="S111" i="15"/>
  <c r="W111" i="15" s="1"/>
  <c r="S58" i="15"/>
  <c r="U58" i="15" s="1"/>
  <c r="S68" i="15"/>
  <c r="S63" i="15"/>
  <c r="S32" i="15"/>
  <c r="S91" i="15"/>
  <c r="W91" i="15" s="1"/>
  <c r="S112" i="15"/>
  <c r="S52" i="15"/>
  <c r="S53" i="15"/>
  <c r="S61" i="15"/>
  <c r="S113" i="15"/>
  <c r="S93" i="15"/>
  <c r="S18" i="15"/>
  <c r="U18" i="15" s="1"/>
  <c r="S36" i="15"/>
  <c r="S80" i="15"/>
  <c r="W80" i="15" s="1"/>
  <c r="S77" i="15"/>
  <c r="W77" i="15" s="1"/>
  <c r="S24" i="15"/>
  <c r="S49" i="15"/>
  <c r="W49" i="15" s="1"/>
  <c r="T15" i="15"/>
  <c r="Z15" i="15" s="1"/>
  <c r="T100" i="15"/>
  <c r="V95" i="15"/>
  <c r="BB95" i="15" s="1"/>
  <c r="Z102" i="15"/>
  <c r="AB102" i="15" s="1"/>
  <c r="V37" i="15"/>
  <c r="BB37" i="15" s="1"/>
  <c r="V56" i="15"/>
  <c r="BB56" i="15" s="1"/>
  <c r="Z56" i="15" s="1"/>
  <c r="AB56" i="15" s="1"/>
  <c r="X44" i="15"/>
  <c r="X28" i="15"/>
  <c r="X61" i="15"/>
  <c r="X12" i="15"/>
  <c r="Z12" i="15" s="1"/>
  <c r="T73" i="15"/>
  <c r="X46" i="15"/>
  <c r="Z46" i="15" s="1"/>
  <c r="V115" i="15"/>
  <c r="BB115" i="15" s="1"/>
  <c r="V67" i="15"/>
  <c r="V117" i="15"/>
  <c r="BB117" i="15" s="1"/>
  <c r="V123" i="15"/>
  <c r="T50" i="15"/>
  <c r="U50" i="15" s="1"/>
  <c r="T66" i="15"/>
  <c r="T54" i="15"/>
  <c r="V29" i="15"/>
  <c r="T91" i="15"/>
  <c r="X22" i="15"/>
  <c r="V13" i="15"/>
  <c r="T52" i="15"/>
  <c r="V71" i="15"/>
  <c r="BB71" i="15" s="1"/>
  <c r="T47" i="15"/>
  <c r="T80" i="15"/>
  <c r="X24" i="15"/>
  <c r="X118" i="15"/>
  <c r="X74" i="15"/>
  <c r="T19" i="15"/>
  <c r="S102" i="15"/>
  <c r="W102" i="15" s="1"/>
  <c r="S75" i="15"/>
  <c r="S98" i="15"/>
  <c r="S31" i="15"/>
  <c r="S41" i="15"/>
  <c r="S29" i="15"/>
  <c r="S104" i="15"/>
  <c r="S60" i="15"/>
  <c r="U60" i="15" s="1"/>
  <c r="S101" i="15"/>
  <c r="S40" i="15"/>
  <c r="U55" i="15"/>
  <c r="V101" i="15"/>
  <c r="U17" i="15"/>
  <c r="T119" i="15"/>
  <c r="V35" i="15"/>
  <c r="W35" i="15" s="1"/>
  <c r="V44" i="15"/>
  <c r="V82" i="15"/>
  <c r="BB82" i="15" s="1"/>
  <c r="X25" i="15"/>
  <c r="X49" i="15"/>
  <c r="X77" i="15"/>
  <c r="X103" i="15"/>
  <c r="X66" i="15"/>
  <c r="U116" i="15"/>
  <c r="BB121" i="15"/>
  <c r="W121" i="15"/>
  <c r="BB22" i="15"/>
  <c r="V118" i="15"/>
  <c r="BB28" i="15"/>
  <c r="BB51" i="15"/>
  <c r="W51" i="15"/>
  <c r="T111" i="15"/>
  <c r="V26" i="15"/>
  <c r="V94" i="15"/>
  <c r="V114" i="15"/>
  <c r="T67" i="15"/>
  <c r="T83" i="15"/>
  <c r="X31" i="15"/>
  <c r="T29" i="15"/>
  <c r="T22" i="15"/>
  <c r="V112" i="15"/>
  <c r="T38" i="15"/>
  <c r="V36" i="15"/>
  <c r="V59" i="15"/>
  <c r="S119" i="15"/>
  <c r="S110" i="15"/>
  <c r="S76" i="15"/>
  <c r="W76" i="15" s="1"/>
  <c r="S28" i="15"/>
  <c r="S92" i="15"/>
  <c r="S39" i="15"/>
  <c r="S12" i="15"/>
  <c r="W12" i="15" s="1"/>
  <c r="V78" i="15"/>
  <c r="T75" i="15"/>
  <c r="V68" i="15"/>
  <c r="V41" i="15"/>
  <c r="X86" i="15"/>
  <c r="V81" i="15"/>
  <c r="T31" i="15"/>
  <c r="X91" i="15"/>
  <c r="T112" i="15"/>
  <c r="V60" i="15"/>
  <c r="V19" i="15"/>
  <c r="S15" i="15"/>
  <c r="W15" i="15" s="1"/>
  <c r="S105" i="15"/>
  <c r="S96" i="15"/>
  <c r="S30" i="15"/>
  <c r="S19" i="15"/>
  <c r="V18" i="15"/>
  <c r="S95" i="15"/>
  <c r="S37" i="15"/>
  <c r="S115" i="15"/>
  <c r="S16" i="15"/>
  <c r="W16" i="15" s="1"/>
  <c r="S46" i="15"/>
  <c r="K84" i="15"/>
  <c r="F61" i="15"/>
  <c r="K39" i="15"/>
  <c r="F112" i="15"/>
  <c r="K77" i="15"/>
  <c r="F49" i="15"/>
  <c r="K16" i="15"/>
  <c r="F76" i="15"/>
  <c r="K40" i="15"/>
  <c r="F13" i="15"/>
  <c r="K115" i="15"/>
  <c r="F71" i="15"/>
  <c r="K50" i="15"/>
  <c r="F102" i="15"/>
  <c r="K64" i="15"/>
  <c r="F30" i="15"/>
  <c r="K117" i="15"/>
  <c r="F86" i="15"/>
  <c r="K53" i="15"/>
  <c r="F19" i="15"/>
  <c r="K97" i="15"/>
  <c r="M84" i="15"/>
  <c r="M61" i="15"/>
  <c r="M39" i="15"/>
  <c r="M103" i="15"/>
  <c r="M51" i="15"/>
  <c r="M31" i="15"/>
  <c r="M112" i="15"/>
  <c r="M77" i="15"/>
  <c r="M49" i="15"/>
  <c r="M16" i="15"/>
  <c r="M70" i="15"/>
  <c r="M56" i="15"/>
  <c r="M17" i="15"/>
  <c r="M76" i="15"/>
  <c r="M40" i="15"/>
  <c r="M13" i="15"/>
  <c r="M115" i="15"/>
  <c r="M71" i="15"/>
  <c r="M50" i="15"/>
  <c r="M102" i="15"/>
  <c r="M64" i="15"/>
  <c r="M30" i="15"/>
  <c r="M117" i="15"/>
  <c r="M86" i="15"/>
  <c r="M53" i="15"/>
  <c r="M19" i="15"/>
  <c r="M97" i="15"/>
  <c r="H123" i="15"/>
  <c r="BD123" i="15" s="1"/>
  <c r="BC123" i="15"/>
  <c r="H118" i="15"/>
  <c r="BD118" i="15" s="1"/>
  <c r="BC115" i="15"/>
  <c r="H115" i="15"/>
  <c r="BD115" i="15" s="1"/>
  <c r="H100" i="15"/>
  <c r="BD100" i="15" s="1"/>
  <c r="BC100" i="15"/>
  <c r="BC91" i="15"/>
  <c r="H111" i="15"/>
  <c r="BD111" i="15" s="1"/>
  <c r="BC84" i="15"/>
  <c r="H89" i="15"/>
  <c r="BD89" i="15" s="1"/>
  <c r="BC89" i="15"/>
  <c r="H70" i="15"/>
  <c r="BD70" i="15" s="1"/>
  <c r="BC70" i="15"/>
  <c r="H96" i="15"/>
  <c r="BD96" i="15" s="1"/>
  <c r="BC86" i="15"/>
  <c r="H68" i="15"/>
  <c r="BD68" i="15" s="1"/>
  <c r="BC68" i="15"/>
  <c r="H60" i="15"/>
  <c r="BD60" i="15" s="1"/>
  <c r="BC60" i="15"/>
  <c r="H69" i="15"/>
  <c r="BD69" i="15" s="1"/>
  <c r="BC80" i="15"/>
  <c r="H80" i="15"/>
  <c r="BD80" i="15" s="1"/>
  <c r="BC51" i="15"/>
  <c r="H51" i="15"/>
  <c r="BD51" i="15" s="1"/>
  <c r="H57" i="15"/>
  <c r="BD57" i="15" s="1"/>
  <c r="BC57" i="15"/>
  <c r="H45" i="15"/>
  <c r="BD45" i="15" s="1"/>
  <c r="H53" i="15"/>
  <c r="BD53" i="15" s="1"/>
  <c r="BC53" i="15"/>
  <c r="H46" i="15"/>
  <c r="BD46" i="15" s="1"/>
  <c r="BC46" i="15"/>
  <c r="BC37" i="15"/>
  <c r="H41" i="15"/>
  <c r="BD41" i="15" s="1"/>
  <c r="H36" i="15"/>
  <c r="BD36" i="15" s="1"/>
  <c r="BC36" i="15"/>
  <c r="H31" i="15"/>
  <c r="BD31" i="15" s="1"/>
  <c r="BC31" i="15"/>
  <c r="H18" i="15"/>
  <c r="BD18" i="15" s="1"/>
  <c r="BC18" i="15"/>
  <c r="BC19" i="15"/>
  <c r="H19" i="15"/>
  <c r="BD19" i="15" s="1"/>
  <c r="H12" i="15"/>
  <c r="BD12" i="15" s="1"/>
  <c r="BC12" i="15"/>
  <c r="H91" i="15"/>
  <c r="BD91" i="15" s="1"/>
  <c r="AE28" i="15"/>
  <c r="F72" i="15"/>
  <c r="K38" i="15"/>
  <c r="F15" i="15"/>
  <c r="F59" i="15"/>
  <c r="K25" i="15"/>
  <c r="F106" i="15"/>
  <c r="K83" i="15"/>
  <c r="F32" i="15"/>
  <c r="F92" i="15"/>
  <c r="K80" i="15"/>
  <c r="F36" i="15"/>
  <c r="K101" i="15"/>
  <c r="F89" i="15"/>
  <c r="L115" i="15"/>
  <c r="L71" i="15"/>
  <c r="L50" i="15"/>
  <c r="L117" i="15"/>
  <c r="L86" i="15"/>
  <c r="L53" i="15"/>
  <c r="L19" i="15"/>
  <c r="L97" i="15"/>
  <c r="BC45" i="15"/>
  <c r="BC118" i="15"/>
  <c r="H29" i="15"/>
  <c r="BD29" i="15" s="1"/>
  <c r="H86" i="15"/>
  <c r="BD86" i="15" s="1"/>
  <c r="H129" i="73"/>
  <c r="H145" i="73"/>
  <c r="H121" i="15"/>
  <c r="BD121" i="15" s="1"/>
  <c r="H105" i="15"/>
  <c r="BD105" i="15" s="1"/>
  <c r="H92" i="15"/>
  <c r="BD92" i="15" s="1"/>
  <c r="H103" i="15"/>
  <c r="BD103" i="15" s="1"/>
  <c r="H85" i="15"/>
  <c r="BD85" i="15" s="1"/>
  <c r="H26" i="15"/>
  <c r="BD26" i="15" s="1"/>
  <c r="H35" i="15"/>
  <c r="BD35" i="15" s="1"/>
  <c r="H33" i="15"/>
  <c r="H62" i="15"/>
  <c r="BD62" i="15" s="1"/>
  <c r="H49" i="15"/>
  <c r="BD49" i="15" s="1"/>
  <c r="H67" i="15"/>
  <c r="BD67" i="15" s="1"/>
  <c r="H79" i="15"/>
  <c r="BD79" i="15" s="1"/>
  <c r="H116" i="15"/>
  <c r="BD116" i="15" s="1"/>
  <c r="H119" i="15"/>
  <c r="BD119" i="15" s="1"/>
  <c r="H107" i="15"/>
  <c r="BD107" i="15" s="1"/>
  <c r="H113" i="15"/>
  <c r="H97" i="15"/>
  <c r="BD97" i="15" s="1"/>
  <c r="H99" i="15"/>
  <c r="H94" i="15"/>
  <c r="BD94" i="15" s="1"/>
  <c r="H71" i="15"/>
  <c r="BD71" i="15" s="1"/>
  <c r="H64" i="15"/>
  <c r="BD64" i="15" s="1"/>
  <c r="H164" i="73"/>
  <c r="H160" i="73"/>
  <c r="H156" i="73"/>
  <c r="H152" i="73"/>
  <c r="H148" i="73"/>
  <c r="H144" i="73"/>
  <c r="H140" i="73"/>
  <c r="H136" i="73"/>
  <c r="H132" i="73"/>
  <c r="H128" i="73"/>
  <c r="H124" i="73"/>
  <c r="H120" i="73"/>
  <c r="H163" i="73"/>
  <c r="H159" i="73"/>
  <c r="H155" i="73"/>
  <c r="H151" i="73"/>
  <c r="H147" i="73"/>
  <c r="H143" i="73"/>
  <c r="H139" i="73"/>
  <c r="H135" i="73"/>
  <c r="H131" i="73"/>
  <c r="H127" i="73"/>
  <c r="H123" i="73"/>
  <c r="R172" i="73"/>
  <c r="H162" i="73"/>
  <c r="H158" i="73"/>
  <c r="H154" i="73"/>
  <c r="H150" i="73"/>
  <c r="H146" i="73"/>
  <c r="H142" i="73"/>
  <c r="H138" i="73"/>
  <c r="H134" i="73"/>
  <c r="H130" i="73"/>
  <c r="H126" i="73"/>
  <c r="H122" i="73"/>
  <c r="H41" i="73"/>
  <c r="H157" i="73"/>
  <c r="H141" i="73"/>
  <c r="H125" i="73"/>
  <c r="H153" i="73"/>
  <c r="H137" i="73"/>
  <c r="H121" i="73"/>
  <c r="H165" i="73"/>
  <c r="H149" i="73"/>
  <c r="H133" i="73"/>
  <c r="H13" i="15"/>
  <c r="BD13" i="15" s="1"/>
  <c r="H16" i="15"/>
  <c r="BD16" i="15" s="1"/>
  <c r="H23" i="15"/>
  <c r="BD23" i="15" s="1"/>
  <c r="H24" i="15"/>
  <c r="BD24" i="15" s="1"/>
  <c r="H27" i="15"/>
  <c r="BD27" i="15" s="1"/>
  <c r="H32" i="15"/>
  <c r="BD32" i="15" s="1"/>
  <c r="H40" i="15"/>
  <c r="BD40" i="15" s="1"/>
  <c r="H83" i="15"/>
  <c r="BD83" i="15" s="1"/>
  <c r="H34" i="15"/>
  <c r="BD34" i="15" s="1"/>
  <c r="H54" i="15"/>
  <c r="BD54" i="15" s="1"/>
  <c r="H87" i="15"/>
  <c r="BD87" i="15" s="1"/>
  <c r="H47" i="15"/>
  <c r="BD47" i="15" s="1"/>
  <c r="H74" i="15"/>
  <c r="BD74" i="15" s="1"/>
  <c r="H108" i="15"/>
  <c r="BD108" i="15" s="1"/>
  <c r="H88" i="15"/>
  <c r="BD88" i="15" s="1"/>
  <c r="H109" i="15"/>
  <c r="BD109" i="15" s="1"/>
  <c r="H161" i="73"/>
  <c r="BC116" i="15"/>
  <c r="H110" i="15"/>
  <c r="BD110" i="15" s="1"/>
  <c r="H101" i="15"/>
  <c r="BD101" i="15" s="1"/>
  <c r="H112" i="15"/>
  <c r="BD112" i="15" s="1"/>
  <c r="H102" i="15"/>
  <c r="BD102" i="15" s="1"/>
  <c r="H72" i="15"/>
  <c r="BD72" i="15" s="1"/>
  <c r="H14" i="15"/>
  <c r="BD14" i="15" s="1"/>
  <c r="H21" i="15"/>
  <c r="BD21" i="15" s="1"/>
  <c r="H25" i="15"/>
  <c r="BD25" i="15" s="1"/>
  <c r="H17" i="15"/>
  <c r="BD17" i="15" s="1"/>
  <c r="H48" i="15"/>
  <c r="BD48" i="15" s="1"/>
  <c r="H50" i="15"/>
  <c r="BD50" i="15" s="1"/>
  <c r="H73" i="15"/>
  <c r="BD73" i="15" s="1"/>
  <c r="H66" i="15"/>
  <c r="BD66" i="15" s="1"/>
  <c r="H61" i="15"/>
  <c r="BD61" i="15" s="1"/>
  <c r="H55" i="15"/>
  <c r="BD55" i="15" s="1"/>
  <c r="H81" i="15"/>
  <c r="BD81" i="15" s="1"/>
  <c r="H78" i="15"/>
  <c r="BD78" i="15" s="1"/>
  <c r="H120" i="15"/>
  <c r="BD120" i="15" s="1"/>
  <c r="T39" i="14"/>
  <c r="Z39" i="14"/>
  <c r="Z70" i="14"/>
  <c r="AB41" i="14"/>
  <c r="AB88" i="14"/>
  <c r="V45" i="14"/>
  <c r="AA24" i="14"/>
  <c r="AA64" i="14"/>
  <c r="T80" i="14"/>
  <c r="BL91" i="14"/>
  <c r="X61" i="14"/>
  <c r="AA61" i="14" s="1"/>
  <c r="X32" i="14"/>
  <c r="AA32" i="14" s="1"/>
  <c r="X25" i="14"/>
  <c r="AA25" i="14" s="1"/>
  <c r="X17" i="14"/>
  <c r="W81" i="14"/>
  <c r="Z81" i="14" s="1"/>
  <c r="X42" i="14"/>
  <c r="AA42" i="14" s="1"/>
  <c r="W96" i="14"/>
  <c r="Z96" i="14" s="1"/>
  <c r="U71" i="14"/>
  <c r="AB71" i="14" s="1"/>
  <c r="U80" i="14"/>
  <c r="AB80" i="14" s="1"/>
  <c r="U91" i="14"/>
  <c r="AB91" i="14" s="1"/>
  <c r="S72" i="14"/>
  <c r="BL72" i="14" s="1"/>
  <c r="S57" i="14"/>
  <c r="S40" i="14"/>
  <c r="AA40" i="14" s="1"/>
  <c r="Y11" i="14"/>
  <c r="O11" i="45" s="1"/>
  <c r="Y95" i="14"/>
  <c r="Y23" i="14"/>
  <c r="AB23" i="14" s="1"/>
  <c r="Z13" i="14"/>
  <c r="P12" i="45" s="1"/>
  <c r="V82" i="14"/>
  <c r="V58" i="14"/>
  <c r="BL28" i="14"/>
  <c r="S63" i="14"/>
  <c r="BL63" i="14" s="1"/>
  <c r="W38" i="14"/>
  <c r="S88" i="14"/>
  <c r="BL88" i="14" s="1"/>
  <c r="AA11" i="14"/>
  <c r="Q11" i="45" s="1"/>
  <c r="U29" i="14"/>
  <c r="AB29" i="14" s="1"/>
  <c r="Z42" i="14"/>
  <c r="X41" i="14"/>
  <c r="AA41" i="14" s="1"/>
  <c r="T33" i="14"/>
  <c r="Y58" i="14"/>
  <c r="AB58" i="14" s="1"/>
  <c r="V74" i="14"/>
  <c r="V64" i="14"/>
  <c r="V39" i="14"/>
  <c r="Z94" i="14"/>
  <c r="AB76" i="14"/>
  <c r="Z32" i="14"/>
  <c r="Z21" i="14"/>
  <c r="T32" i="14"/>
  <c r="AB16" i="14"/>
  <c r="X14" i="14"/>
  <c r="AA14" i="14" s="1"/>
  <c r="S50" i="14"/>
  <c r="Y69" i="14"/>
  <c r="AB69" i="14" s="1"/>
  <c r="AB47" i="14"/>
  <c r="AB40" i="14"/>
  <c r="Y20" i="14"/>
  <c r="AB20" i="14" s="1"/>
  <c r="AA22" i="14"/>
  <c r="Z64" i="14"/>
  <c r="S20" i="14"/>
  <c r="AA20" i="14" s="1"/>
  <c r="W60" i="14"/>
  <c r="U65" i="14"/>
  <c r="AB65" i="14" s="1"/>
  <c r="U97" i="14"/>
  <c r="AB97" i="14" s="1"/>
  <c r="AB13" i="14"/>
  <c r="R12" i="45" s="1"/>
  <c r="S75" i="14"/>
  <c r="BL75" i="14" s="1"/>
  <c r="W19" i="14"/>
  <c r="Z19" i="14" s="1"/>
  <c r="U11" i="14"/>
  <c r="T25" i="14"/>
  <c r="S17" i="14"/>
  <c r="BL17" i="14" s="1"/>
  <c r="S47" i="14"/>
  <c r="BL47" i="14" s="1"/>
  <c r="U35" i="14"/>
  <c r="AB35" i="14" s="1"/>
  <c r="S53" i="14"/>
  <c r="BL53" i="14" s="1"/>
  <c r="S66" i="14"/>
  <c r="AA66" i="14" s="1"/>
  <c r="S56" i="14"/>
  <c r="BL56" i="14" s="1"/>
  <c r="S36" i="14"/>
  <c r="AA36" i="14" s="1"/>
  <c r="S58" i="14"/>
  <c r="X28" i="14"/>
  <c r="AA28" i="14" s="1"/>
  <c r="X84" i="14"/>
  <c r="AA84" i="14" s="1"/>
  <c r="W71" i="14"/>
  <c r="Z71" i="14" s="1"/>
  <c r="W80" i="14"/>
  <c r="Z80" i="14" s="1"/>
  <c r="W91" i="14"/>
  <c r="Z91" i="14" s="1"/>
  <c r="W83" i="14"/>
  <c r="W74" i="14"/>
  <c r="Z74" i="14" s="1"/>
  <c r="Y46" i="14"/>
  <c r="Y19" i="14"/>
  <c r="AB19" i="14" s="1"/>
  <c r="Y57" i="14"/>
  <c r="AB57" i="14" s="1"/>
  <c r="Y53" i="14"/>
  <c r="Y45" i="14"/>
  <c r="AB85" i="14"/>
  <c r="AD85" i="14" s="1"/>
  <c r="BL93" i="14"/>
  <c r="AA93" i="14"/>
  <c r="T94" i="14"/>
  <c r="AA94" i="14"/>
  <c r="BL94" i="14"/>
  <c r="AA96" i="14"/>
  <c r="T96" i="14"/>
  <c r="BL96" i="14"/>
  <c r="AA92" i="14"/>
  <c r="AA23" i="14"/>
  <c r="Z41" i="14"/>
  <c r="T65" i="14"/>
  <c r="T12" i="14"/>
  <c r="T13" i="14"/>
  <c r="J12" i="45" s="1"/>
  <c r="T74" i="14"/>
  <c r="AA97" i="14"/>
  <c r="T22" i="14"/>
  <c r="BL33" i="14"/>
  <c r="Z23" i="14"/>
  <c r="AA76" i="14"/>
  <c r="Z61" i="14"/>
  <c r="R92" i="14"/>
  <c r="Z92" i="14" s="1"/>
  <c r="AA19" i="14"/>
  <c r="Z44" i="14"/>
  <c r="T42" i="14"/>
  <c r="T23" i="14"/>
  <c r="T19" i="14"/>
  <c r="AA71" i="14"/>
  <c r="Z24" i="14"/>
  <c r="Z22" i="14"/>
  <c r="AB28" i="14"/>
  <c r="AB55" i="14"/>
  <c r="AB33" i="14"/>
  <c r="R45" i="14"/>
  <c r="T45" i="14" s="1"/>
  <c r="R47" i="14"/>
  <c r="Z47" i="14" s="1"/>
  <c r="V47" i="14"/>
  <c r="U22" i="14"/>
  <c r="R97" i="14"/>
  <c r="Z97" i="14" s="1"/>
  <c r="R26" i="14"/>
  <c r="V88" i="14"/>
  <c r="R38" i="14"/>
  <c r="T38" i="14" s="1"/>
  <c r="AA65" i="14"/>
  <c r="AA13" i="14"/>
  <c r="Q12" i="45" s="1"/>
  <c r="AA80" i="14"/>
  <c r="AB81" i="14"/>
  <c r="AB17" i="14"/>
  <c r="BL62" i="14"/>
  <c r="AB64" i="14"/>
  <c r="U45" i="14"/>
  <c r="W29" i="14"/>
  <c r="Z29" i="14" s="1"/>
  <c r="AB66" i="14"/>
  <c r="W14" i="14"/>
  <c r="Z14" i="14" s="1"/>
  <c r="U84" i="14"/>
  <c r="AB84" i="14" s="1"/>
  <c r="Y92" i="14"/>
  <c r="AB92" i="14" s="1"/>
  <c r="F20" i="14"/>
  <c r="O20" i="14"/>
  <c r="O74" i="14"/>
  <c r="N74" i="14"/>
  <c r="O40" i="14"/>
  <c r="N40" i="14"/>
  <c r="N70" i="14"/>
  <c r="O70" i="14"/>
  <c r="F70" i="14"/>
  <c r="O75" i="14"/>
  <c r="N75" i="14"/>
  <c r="O27" i="14"/>
  <c r="F27" i="14"/>
  <c r="W17" i="14"/>
  <c r="AB44" i="14"/>
  <c r="AB42" i="14"/>
  <c r="S78" i="14"/>
  <c r="S86" i="14"/>
  <c r="BL86" i="14" s="1"/>
  <c r="Y74" i="14"/>
  <c r="AB74" i="14" s="1"/>
  <c r="Y22" i="14"/>
  <c r="R78" i="14"/>
  <c r="V97" i="14"/>
  <c r="V79" i="14"/>
  <c r="V34" i="14"/>
  <c r="R18" i="14"/>
  <c r="R60" i="14"/>
  <c r="T60" i="14" s="1"/>
  <c r="P60" i="14"/>
  <c r="O76" i="14"/>
  <c r="N76" i="14"/>
  <c r="O69" i="14"/>
  <c r="N69" i="14"/>
  <c r="P97" i="14"/>
  <c r="F97" i="14"/>
  <c r="W28" i="14"/>
  <c r="S83" i="14"/>
  <c r="BL83" i="14" s="1"/>
  <c r="O39" i="14"/>
  <c r="F39" i="14"/>
  <c r="O89" i="14"/>
  <c r="F89" i="14"/>
  <c r="O67" i="14"/>
  <c r="F67" i="14"/>
  <c r="AK82" i="14"/>
  <c r="E82" i="14"/>
  <c r="D82" i="14"/>
  <c r="BH82" i="14"/>
  <c r="Y82" i="14" s="1"/>
  <c r="BD82" i="14"/>
  <c r="X82" i="14" s="1"/>
  <c r="AZ82" i="14"/>
  <c r="W82" i="14" s="1"/>
  <c r="AS82" i="14"/>
  <c r="U82" i="14" s="1"/>
  <c r="AB82" i="14" s="1"/>
  <c r="AO82" i="14"/>
  <c r="S82" i="14" s="1"/>
  <c r="AZ90" i="14"/>
  <c r="W90" i="14" s="1"/>
  <c r="AS90" i="14"/>
  <c r="U90" i="14" s="1"/>
  <c r="AO90" i="14"/>
  <c r="S90" i="14" s="1"/>
  <c r="C90" i="14"/>
  <c r="AI90" i="14" s="1"/>
  <c r="BH90" i="14"/>
  <c r="Y90" i="14" s="1"/>
  <c r="AK90" i="14"/>
  <c r="E90" i="14"/>
  <c r="D90" i="14"/>
  <c r="AW90" i="14"/>
  <c r="BH89" i="14"/>
  <c r="Y89" i="14" s="1"/>
  <c r="AK89" i="14"/>
  <c r="R89" i="14" s="1"/>
  <c r="AZ89" i="14"/>
  <c r="W89" i="14" s="1"/>
  <c r="AS89" i="14"/>
  <c r="U89" i="14" s="1"/>
  <c r="AO89" i="14"/>
  <c r="S89" i="14" s="1"/>
  <c r="C89" i="14"/>
  <c r="AI89" i="14" s="1"/>
  <c r="BD89" i="14"/>
  <c r="X89" i="14" s="1"/>
  <c r="D89" i="14"/>
  <c r="C86" i="14"/>
  <c r="AI86" i="14" s="1"/>
  <c r="BD86" i="14"/>
  <c r="X86" i="14" s="1"/>
  <c r="AK86" i="14"/>
  <c r="R86" i="14" s="1"/>
  <c r="BH86" i="14"/>
  <c r="Y86" i="14" s="1"/>
  <c r="AB86" i="14" s="1"/>
  <c r="AZ86" i="14"/>
  <c r="W86" i="14" s="1"/>
  <c r="E86" i="14"/>
  <c r="D86" i="14"/>
  <c r="BH78" i="14"/>
  <c r="Y78" i="14" s="1"/>
  <c r="AW78" i="14"/>
  <c r="V78" i="14" s="1"/>
  <c r="BD78" i="14"/>
  <c r="X78" i="14" s="1"/>
  <c r="AZ78" i="14"/>
  <c r="W78" i="14" s="1"/>
  <c r="AS78" i="14"/>
  <c r="U78" i="14" s="1"/>
  <c r="E78" i="14"/>
  <c r="D78" i="14"/>
  <c r="BH75" i="14"/>
  <c r="Y75" i="14" s="1"/>
  <c r="AB75" i="14" s="1"/>
  <c r="C75" i="14"/>
  <c r="AI75" i="14" s="1"/>
  <c r="AK75" i="14"/>
  <c r="R75" i="14" s="1"/>
  <c r="Z75" i="14" s="1"/>
  <c r="AW75" i="14"/>
  <c r="V75" i="14" s="1"/>
  <c r="D75" i="14"/>
  <c r="BD77" i="14"/>
  <c r="X77" i="14" s="1"/>
  <c r="AZ77" i="14"/>
  <c r="W77" i="14" s="1"/>
  <c r="Z77" i="14" s="1"/>
  <c r="AS77" i="14"/>
  <c r="U77" i="14" s="1"/>
  <c r="AO77" i="14"/>
  <c r="S77" i="14" s="1"/>
  <c r="AW77" i="14"/>
  <c r="V77" i="14" s="1"/>
  <c r="E77" i="14"/>
  <c r="C77" i="14"/>
  <c r="AI77" i="14" s="1"/>
  <c r="BH77" i="14"/>
  <c r="Y77" i="14" s="1"/>
  <c r="D77" i="14"/>
  <c r="C53" i="14"/>
  <c r="AI53" i="14" s="1"/>
  <c r="AW53" i="14"/>
  <c r="V53" i="14" s="1"/>
  <c r="BD53" i="14"/>
  <c r="X53" i="14" s="1"/>
  <c r="AZ53" i="14"/>
  <c r="W53" i="14" s="1"/>
  <c r="AS53" i="14"/>
  <c r="U53" i="14" s="1"/>
  <c r="D53" i="14"/>
  <c r="AK53" i="14"/>
  <c r="R53" i="14" s="1"/>
  <c r="E53" i="14"/>
  <c r="AZ62" i="14"/>
  <c r="W62" i="14" s="1"/>
  <c r="AW62" i="14"/>
  <c r="V62" i="14" s="1"/>
  <c r="BH62" i="14"/>
  <c r="Y62" i="14" s="1"/>
  <c r="AB62" i="14" s="1"/>
  <c r="AK62" i="14"/>
  <c r="R62" i="14" s="1"/>
  <c r="E62" i="14"/>
  <c r="AW67" i="14"/>
  <c r="V67" i="14" s="1"/>
  <c r="C67" i="14"/>
  <c r="AI67" i="14" s="1"/>
  <c r="BD67" i="14"/>
  <c r="X67" i="14" s="1"/>
  <c r="AZ67" i="14"/>
  <c r="W67" i="14" s="1"/>
  <c r="AS67" i="14"/>
  <c r="U67" i="14" s="1"/>
  <c r="AB67" i="14" s="1"/>
  <c r="AO67" i="14"/>
  <c r="S67" i="14" s="1"/>
  <c r="AK67" i="14"/>
  <c r="R67" i="14" s="1"/>
  <c r="D67" i="14"/>
  <c r="BH52" i="14"/>
  <c r="Y52" i="14" s="1"/>
  <c r="AB52" i="14" s="1"/>
  <c r="AO52" i="14"/>
  <c r="S52" i="14" s="1"/>
  <c r="AK52" i="14"/>
  <c r="R52" i="14" s="1"/>
  <c r="Z52" i="14" s="1"/>
  <c r="C52" i="14"/>
  <c r="AI52" i="14" s="1"/>
  <c r="AW52" i="14"/>
  <c r="V52" i="14" s="1"/>
  <c r="E52" i="14"/>
  <c r="C43" i="14"/>
  <c r="AI43" i="14" s="1"/>
  <c r="BH43" i="14"/>
  <c r="Y43" i="14" s="1"/>
  <c r="AW43" i="14"/>
  <c r="V43" i="14" s="1"/>
  <c r="BD43" i="14"/>
  <c r="X43" i="14" s="1"/>
  <c r="AK43" i="14"/>
  <c r="R43" i="14" s="1"/>
  <c r="Z43" i="14" s="1"/>
  <c r="D43" i="14"/>
  <c r="AS43" i="14"/>
  <c r="U43" i="14" s="1"/>
  <c r="AO43" i="14"/>
  <c r="S43" i="14" s="1"/>
  <c r="E43" i="14"/>
  <c r="V90" i="14"/>
  <c r="R82" i="14"/>
  <c r="O91" i="14"/>
  <c r="F91" i="14"/>
  <c r="F87" i="14"/>
  <c r="O87" i="14"/>
  <c r="O47" i="14"/>
  <c r="F47" i="14"/>
  <c r="F45" i="14"/>
  <c r="O45" i="14"/>
  <c r="N45" i="14"/>
  <c r="E46" i="14"/>
  <c r="BD46" i="14"/>
  <c r="X46" i="14" s="1"/>
  <c r="AA46" i="14" s="1"/>
  <c r="D46" i="14"/>
  <c r="AK46" i="14"/>
  <c r="R46" i="14" s="1"/>
  <c r="AS46" i="14"/>
  <c r="U46" i="14" s="1"/>
  <c r="T35" i="14"/>
  <c r="AA35" i="14"/>
  <c r="BL35" i="14"/>
  <c r="BL70" i="14"/>
  <c r="AA70" i="14"/>
  <c r="T70" i="14"/>
  <c r="AB61" i="14"/>
  <c r="AA18" i="14"/>
  <c r="AA44" i="14"/>
  <c r="R17" i="14"/>
  <c r="R28" i="14"/>
  <c r="BD83" i="14"/>
  <c r="X83" i="14" s="1"/>
  <c r="E83" i="14"/>
  <c r="BH83" i="14"/>
  <c r="Y83" i="14" s="1"/>
  <c r="AS83" i="14"/>
  <c r="U83" i="14" s="1"/>
  <c r="AK83" i="14"/>
  <c r="C83" i="14"/>
  <c r="AW83" i="14"/>
  <c r="V83" i="14" s="1"/>
  <c r="D95" i="14"/>
  <c r="BD95" i="14"/>
  <c r="X95" i="14" s="1"/>
  <c r="AA95" i="14" s="1"/>
  <c r="AZ95" i="14"/>
  <c r="W95" i="14" s="1"/>
  <c r="AK95" i="14"/>
  <c r="R95" i="14" s="1"/>
  <c r="T95" i="14" s="1"/>
  <c r="AW95" i="14"/>
  <c r="V95" i="14" s="1"/>
  <c r="AS95" i="14"/>
  <c r="U95" i="14" s="1"/>
  <c r="E95" i="14"/>
  <c r="BD79" i="14"/>
  <c r="X79" i="14" s="1"/>
  <c r="AZ79" i="14"/>
  <c r="W79" i="14" s="1"/>
  <c r="AK79" i="14"/>
  <c r="R79" i="14" s="1"/>
  <c r="AS79" i="14"/>
  <c r="U79" i="14" s="1"/>
  <c r="AO79" i="14"/>
  <c r="S79" i="14" s="1"/>
  <c r="E79" i="14"/>
  <c r="AZ87" i="14"/>
  <c r="W87" i="14" s="1"/>
  <c r="AO87" i="14"/>
  <c r="S87" i="14" s="1"/>
  <c r="C87" i="14"/>
  <c r="AI87" i="14" s="1"/>
  <c r="AW87" i="14"/>
  <c r="V87" i="14" s="1"/>
  <c r="AK87" i="14"/>
  <c r="R87" i="14" s="1"/>
  <c r="BH87" i="14"/>
  <c r="Y87" i="14" s="1"/>
  <c r="AB87" i="14" s="1"/>
  <c r="C73" i="14"/>
  <c r="AI73" i="14" s="1"/>
  <c r="BD73" i="14"/>
  <c r="X73" i="14" s="1"/>
  <c r="AS73" i="14"/>
  <c r="U73" i="14" s="1"/>
  <c r="AZ73" i="14"/>
  <c r="W73" i="14" s="1"/>
  <c r="AO73" i="14"/>
  <c r="S73" i="14" s="1"/>
  <c r="AW73" i="14"/>
  <c r="V73" i="14" s="1"/>
  <c r="AK73" i="14"/>
  <c r="R73" i="14" s="1"/>
  <c r="E73" i="14"/>
  <c r="AW72" i="14"/>
  <c r="V72" i="14" s="1"/>
  <c r="AK72" i="14"/>
  <c r="R72" i="14" s="1"/>
  <c r="BH72" i="14"/>
  <c r="C72" i="14"/>
  <c r="AI72" i="14" s="1"/>
  <c r="BD72" i="14"/>
  <c r="X72" i="14" s="1"/>
  <c r="AS72" i="14"/>
  <c r="U72" i="14" s="1"/>
  <c r="BD68" i="14"/>
  <c r="X68" i="14" s="1"/>
  <c r="AZ68" i="14"/>
  <c r="W68" i="14" s="1"/>
  <c r="AK68" i="14"/>
  <c r="R68" i="14" s="1"/>
  <c r="E68" i="14"/>
  <c r="C68" i="14"/>
  <c r="AI68" i="14" s="1"/>
  <c r="AS68" i="14"/>
  <c r="U68" i="14" s="1"/>
  <c r="AO68" i="14"/>
  <c r="S68" i="14" s="1"/>
  <c r="BH68" i="14"/>
  <c r="AW68" i="14"/>
  <c r="V68" i="14" s="1"/>
  <c r="BD54" i="14"/>
  <c r="X54" i="14" s="1"/>
  <c r="AZ54" i="14"/>
  <c r="W54" i="14" s="1"/>
  <c r="AK54" i="14"/>
  <c r="AS54" i="14"/>
  <c r="U54" i="14" s="1"/>
  <c r="AO54" i="14"/>
  <c r="S54" i="14" s="1"/>
  <c r="BH54" i="14"/>
  <c r="Y54" i="14" s="1"/>
  <c r="AW54" i="14"/>
  <c r="V54" i="14" s="1"/>
  <c r="BH59" i="14"/>
  <c r="Y59" i="14" s="1"/>
  <c r="BD59" i="14"/>
  <c r="X59" i="14" s="1"/>
  <c r="AS59" i="14"/>
  <c r="C59" i="14"/>
  <c r="AI59" i="14" s="1"/>
  <c r="AZ59" i="14"/>
  <c r="W59" i="14" s="1"/>
  <c r="Z59" i="14" s="1"/>
  <c r="AO59" i="14"/>
  <c r="S59" i="14" s="1"/>
  <c r="E59" i="14"/>
  <c r="C56" i="14"/>
  <c r="AI56" i="14" s="1"/>
  <c r="AS56" i="14"/>
  <c r="E56" i="14"/>
  <c r="AW56" i="14"/>
  <c r="AZ56" i="14"/>
  <c r="W56" i="14" s="1"/>
  <c r="AK56" i="14"/>
  <c r="BD63" i="14"/>
  <c r="X63" i="14" s="1"/>
  <c r="AZ63" i="14"/>
  <c r="W63" i="14" s="1"/>
  <c r="AK63" i="14"/>
  <c r="R63" i="14" s="1"/>
  <c r="E63" i="14"/>
  <c r="BH63" i="14"/>
  <c r="Y63" i="14" s="1"/>
  <c r="AW63" i="14"/>
  <c r="V63" i="14" s="1"/>
  <c r="AS63" i="14"/>
  <c r="U63" i="14" s="1"/>
  <c r="BH51" i="14"/>
  <c r="AW51" i="14"/>
  <c r="V51" i="14" s="1"/>
  <c r="E51" i="14"/>
  <c r="C51" i="14"/>
  <c r="AI51" i="14" s="1"/>
  <c r="BD51" i="14"/>
  <c r="X51" i="14" s="1"/>
  <c r="AA51" i="14" s="1"/>
  <c r="AZ51" i="14"/>
  <c r="W51" i="14" s="1"/>
  <c r="AK51" i="14"/>
  <c r="R51" i="14" s="1"/>
  <c r="C49" i="14"/>
  <c r="AI49" i="14" s="1"/>
  <c r="AZ49" i="14"/>
  <c r="W49" i="14" s="1"/>
  <c r="AO49" i="14"/>
  <c r="S49" i="14" s="1"/>
  <c r="AW49" i="14"/>
  <c r="V49" i="14" s="1"/>
  <c r="AK49" i="14"/>
  <c r="R49" i="14" s="1"/>
  <c r="BH49" i="14"/>
  <c r="E49" i="14"/>
  <c r="AZ37" i="14"/>
  <c r="AW37" i="14"/>
  <c r="V37" i="14" s="1"/>
  <c r="D37" i="14"/>
  <c r="C37" i="14"/>
  <c r="AI37" i="14" s="1"/>
  <c r="AK37" i="14"/>
  <c r="R37" i="14" s="1"/>
  <c r="E37" i="14"/>
  <c r="BH37" i="14"/>
  <c r="Y37" i="14" s="1"/>
  <c r="BD37" i="14"/>
  <c r="X37" i="14" s="1"/>
  <c r="AS37" i="14"/>
  <c r="U37" i="14" s="1"/>
  <c r="AO37" i="14"/>
  <c r="S37" i="14" s="1"/>
  <c r="BD31" i="14"/>
  <c r="X31" i="14" s="1"/>
  <c r="AA31" i="14" s="1"/>
  <c r="AZ31" i="14"/>
  <c r="BH31" i="14"/>
  <c r="Y31" i="14" s="1"/>
  <c r="AK31" i="14"/>
  <c r="R31" i="14" s="1"/>
  <c r="T31" i="14" s="1"/>
  <c r="C31" i="14"/>
  <c r="AI31" i="14" s="1"/>
  <c r="AW31" i="14"/>
  <c r="V31" i="14" s="1"/>
  <c r="AS31" i="14"/>
  <c r="U31" i="14" s="1"/>
  <c r="AK34" i="14"/>
  <c r="R34" i="14" s="1"/>
  <c r="E34" i="14"/>
  <c r="BD34" i="14"/>
  <c r="X34" i="14" s="1"/>
  <c r="AZ34" i="14"/>
  <c r="W34" i="14" s="1"/>
  <c r="Z34" i="14" s="1"/>
  <c r="AS34" i="14"/>
  <c r="U34" i="14" s="1"/>
  <c r="AO34" i="14"/>
  <c r="S34" i="14" s="1"/>
  <c r="D34" i="14"/>
  <c r="BD27" i="14"/>
  <c r="X27" i="14" s="1"/>
  <c r="AS27" i="14"/>
  <c r="U27" i="14" s="1"/>
  <c r="AZ27" i="14"/>
  <c r="W27" i="14" s="1"/>
  <c r="AO27" i="14"/>
  <c r="S27" i="14" s="1"/>
  <c r="AK27" i="14"/>
  <c r="R27" i="14" s="1"/>
  <c r="C27" i="14"/>
  <c r="AI27" i="14" s="1"/>
  <c r="AW27" i="14"/>
  <c r="V27" i="14" s="1"/>
  <c r="D27" i="14"/>
  <c r="C30" i="14"/>
  <c r="BH30" i="14"/>
  <c r="Y30" i="14" s="1"/>
  <c r="AW30" i="14"/>
  <c r="V30" i="14" s="1"/>
  <c r="AS30" i="14"/>
  <c r="U30" i="14" s="1"/>
  <c r="AO30" i="14"/>
  <c r="S30" i="14" s="1"/>
  <c r="T30" i="14" s="1"/>
  <c r="BD30" i="14"/>
  <c r="X30" i="14" s="1"/>
  <c r="AZ30" i="14"/>
  <c r="W30" i="14" s="1"/>
  <c r="Z30" i="14" s="1"/>
  <c r="E30" i="14"/>
  <c r="AS15" i="14"/>
  <c r="U15" i="14" s="1"/>
  <c r="AO15" i="14"/>
  <c r="S15" i="14" s="1"/>
  <c r="BH15" i="14"/>
  <c r="AW15" i="14"/>
  <c r="V15" i="14" s="1"/>
  <c r="AK15" i="14"/>
  <c r="R15" i="14" s="1"/>
  <c r="Z15" i="14" s="1"/>
  <c r="E15" i="14"/>
  <c r="C26" i="14"/>
  <c r="AI26" i="14" s="1"/>
  <c r="BD26" i="14"/>
  <c r="X26" i="14" s="1"/>
  <c r="AZ26" i="14"/>
  <c r="W26" i="14" s="1"/>
  <c r="AS26" i="14"/>
  <c r="U26" i="14" s="1"/>
  <c r="AB26" i="14" s="1"/>
  <c r="AO26" i="14"/>
  <c r="S26" i="14" s="1"/>
  <c r="C12" i="14"/>
  <c r="AI12" i="14" s="1"/>
  <c r="AW12" i="14"/>
  <c r="V12" i="14" s="1"/>
  <c r="E12" i="14"/>
  <c r="BH12" i="14"/>
  <c r="Y12" i="14" s="1"/>
  <c r="BD12" i="14"/>
  <c r="X12" i="14" s="1"/>
  <c r="AA12" i="14" s="1"/>
  <c r="AS12" i="14"/>
  <c r="U12" i="14" s="1"/>
  <c r="Y51" i="14"/>
  <c r="AB51" i="14" s="1"/>
  <c r="Y15" i="14"/>
  <c r="Y68" i="14"/>
  <c r="Y49" i="14"/>
  <c r="AB49" i="14" s="1"/>
  <c r="R83" i="14"/>
  <c r="R54" i="14"/>
  <c r="R56" i="14"/>
  <c r="V56" i="14"/>
  <c r="V22" i="14"/>
  <c r="BD87" i="14"/>
  <c r="X87" i="14" s="1"/>
  <c r="BH27" i="14"/>
  <c r="Y27" i="14" s="1"/>
  <c r="BD56" i="14"/>
  <c r="X56" i="14" s="1"/>
  <c r="BH56" i="14"/>
  <c r="Y56" i="14" s="1"/>
  <c r="C34" i="14"/>
  <c r="AI34" i="14" s="1"/>
  <c r="W31" i="14"/>
  <c r="U56" i="14"/>
  <c r="U59" i="14"/>
  <c r="W37" i="14"/>
  <c r="Y72" i="14"/>
  <c r="BH34" i="14"/>
  <c r="Y34" i="14" s="1"/>
  <c r="BH79" i="14"/>
  <c r="Y79" i="14" s="1"/>
  <c r="BH73" i="14"/>
  <c r="Y73" i="14" s="1"/>
  <c r="C54" i="14"/>
  <c r="AI54" i="14" s="1"/>
  <c r="C15" i="14"/>
  <c r="AI15" i="14" s="1"/>
  <c r="E57" i="73"/>
  <c r="AA29" i="14"/>
  <c r="AB70" i="14"/>
  <c r="BL38" i="14"/>
  <c r="T21" i="14"/>
  <c r="BL21" i="14"/>
  <c r="AA48" i="14"/>
  <c r="AD48" i="14" s="1"/>
  <c r="T69" i="14"/>
  <c r="AA38" i="14"/>
  <c r="AA69" i="14"/>
  <c r="T29" i="14"/>
  <c r="BL16" i="14"/>
  <c r="T16" i="14"/>
  <c r="AA21" i="14"/>
  <c r="AA60" i="14"/>
  <c r="BL60" i="14"/>
  <c r="BL45" i="14"/>
  <c r="AA45" i="14"/>
  <c r="T61" i="14"/>
  <c r="BL61" i="14"/>
  <c r="BL32" i="14"/>
  <c r="AA88" i="14"/>
  <c r="T85" i="14"/>
  <c r="T84" i="14"/>
  <c r="T14" i="14"/>
  <c r="T64" i="14"/>
  <c r="Z12" i="14"/>
  <c r="R90" i="14"/>
  <c r="T55" i="14"/>
  <c r="Z11" i="14"/>
  <c r="P11" i="45" s="1"/>
  <c r="T48" i="14"/>
  <c r="Z20" i="14"/>
  <c r="E104" i="73"/>
  <c r="E108" i="73"/>
  <c r="E112" i="73"/>
  <c r="E116" i="73"/>
  <c r="E120" i="73"/>
  <c r="R129" i="73"/>
  <c r="R133" i="73"/>
  <c r="E97" i="73"/>
  <c r="E101" i="73"/>
  <c r="E105" i="73"/>
  <c r="E109" i="73"/>
  <c r="E113" i="73"/>
  <c r="E117" i="73"/>
  <c r="R122" i="73"/>
  <c r="E90" i="73"/>
  <c r="E102" i="73"/>
  <c r="E106" i="73"/>
  <c r="E110" i="73"/>
  <c r="E114" i="73"/>
  <c r="E118" i="73"/>
  <c r="R87" i="73"/>
  <c r="R131" i="73"/>
  <c r="E55" i="73"/>
  <c r="E99" i="73"/>
  <c r="E103" i="73"/>
  <c r="E107" i="73"/>
  <c r="E111" i="73"/>
  <c r="E115" i="73"/>
  <c r="E119" i="73"/>
  <c r="Y40" i="52"/>
  <c r="X40" i="52"/>
  <c r="O31" i="45"/>
  <c r="AO20" i="52"/>
  <c r="H32" i="45"/>
  <c r="G28" i="45"/>
  <c r="N39" i="52"/>
  <c r="T29" i="45"/>
  <c r="S32" i="45"/>
  <c r="M28" i="45"/>
  <c r="I31" i="45"/>
  <c r="Q28" i="45"/>
  <c r="BD16" i="52"/>
  <c r="BL29" i="52"/>
  <c r="L20" i="52"/>
  <c r="R32" i="45"/>
  <c r="L29" i="45"/>
  <c r="M31" i="45"/>
  <c r="I28" i="45"/>
  <c r="K29" i="45"/>
  <c r="AP36" i="52"/>
  <c r="AW16" i="52"/>
  <c r="AZ37" i="52"/>
  <c r="AJ23" i="52"/>
  <c r="O33" i="52"/>
  <c r="P32" i="45"/>
  <c r="N29" i="45"/>
  <c r="J31" i="45"/>
  <c r="AL36" i="52"/>
  <c r="F28" i="45"/>
  <c r="AJ28" i="52"/>
  <c r="T28" i="45"/>
  <c r="T31" i="45"/>
  <c r="R29" i="45"/>
  <c r="S28" i="45"/>
  <c r="L28" i="45"/>
  <c r="L31" i="45"/>
  <c r="P29" i="45"/>
  <c r="O28" i="45"/>
  <c r="M29" i="45"/>
  <c r="N28" i="45"/>
  <c r="N31" i="45"/>
  <c r="H29" i="45"/>
  <c r="J28" i="45"/>
  <c r="I30" i="45"/>
  <c r="G30" i="45"/>
  <c r="G29" i="45"/>
  <c r="Q30" i="45"/>
  <c r="K28" i="45"/>
  <c r="BE14" i="52"/>
  <c r="AX36" i="52"/>
  <c r="BI36" i="52"/>
  <c r="Y36" i="52" s="1"/>
  <c r="F29" i="45"/>
  <c r="AZ28" i="52"/>
  <c r="AK20" i="52"/>
  <c r="AV16" i="52"/>
  <c r="AS16" i="52"/>
  <c r="AV37" i="52"/>
  <c r="AK29" i="52"/>
  <c r="AZ29" i="52"/>
  <c r="AW23" i="52"/>
  <c r="E29" i="52"/>
  <c r="M29" i="52" s="1"/>
  <c r="BC16" i="52"/>
  <c r="BJ18" i="52"/>
  <c r="K37" i="52"/>
  <c r="T30" i="45"/>
  <c r="R28" i="45"/>
  <c r="R31" i="45"/>
  <c r="S30" i="45"/>
  <c r="L30" i="45"/>
  <c r="P28" i="45"/>
  <c r="P31" i="45"/>
  <c r="O32" i="45"/>
  <c r="M32" i="45"/>
  <c r="N30" i="45"/>
  <c r="H28" i="45"/>
  <c r="H31" i="45"/>
  <c r="J30" i="45"/>
  <c r="I32" i="45"/>
  <c r="G31" i="45"/>
  <c r="Q29" i="45"/>
  <c r="Q32" i="45"/>
  <c r="K32" i="45"/>
  <c r="BB14" i="52"/>
  <c r="AT36" i="52"/>
  <c r="BE36" i="52"/>
  <c r="X36" i="52" s="1"/>
  <c r="AS18" i="52"/>
  <c r="AN20" i="52"/>
  <c r="BG20" i="52"/>
  <c r="AS28" i="52"/>
  <c r="AZ16" i="52"/>
  <c r="BK16" i="52"/>
  <c r="AJ37" i="52"/>
  <c r="BG29" i="52"/>
  <c r="AV29" i="52"/>
  <c r="AK23" i="52"/>
  <c r="BG23" i="52"/>
  <c r="AR28" i="52"/>
  <c r="T40" i="52"/>
  <c r="BA29" i="52"/>
  <c r="O39" i="52"/>
  <c r="D37" i="52"/>
  <c r="AI37" i="52"/>
  <c r="AY23" i="52"/>
  <c r="BF16" i="52"/>
  <c r="C16" i="52"/>
  <c r="AG16" i="52" s="1"/>
  <c r="H18" i="52"/>
  <c r="T32" i="45"/>
  <c r="R30" i="45"/>
  <c r="S29" i="45"/>
  <c r="L32" i="45"/>
  <c r="P30" i="45"/>
  <c r="O30" i="45"/>
  <c r="O29" i="45"/>
  <c r="M30" i="45"/>
  <c r="N32" i="45"/>
  <c r="H30" i="45"/>
  <c r="I29" i="45"/>
  <c r="J32" i="45"/>
  <c r="J29" i="45"/>
  <c r="G32" i="45"/>
  <c r="Q31" i="45"/>
  <c r="K31" i="45"/>
  <c r="K30" i="45"/>
  <c r="BM36" i="52"/>
  <c r="Z36" i="52" s="1"/>
  <c r="BB36" i="52"/>
  <c r="AV20" i="52"/>
  <c r="BA20" i="52"/>
  <c r="AO28" i="52"/>
  <c r="AR16" i="52"/>
  <c r="BG16" i="52"/>
  <c r="BL37" i="52"/>
  <c r="BK29" i="52"/>
  <c r="AJ29" i="52"/>
  <c r="AU23" i="52"/>
  <c r="C29" i="52"/>
  <c r="AG29" i="52" s="1"/>
  <c r="I20" i="52"/>
  <c r="V36" i="52"/>
  <c r="J38" i="52"/>
  <c r="K38" i="52"/>
  <c r="BJ38" i="52"/>
  <c r="BC38" i="52"/>
  <c r="AI38" i="52"/>
  <c r="BL38" i="52"/>
  <c r="AK38" i="52"/>
  <c r="AO38" i="52"/>
  <c r="BH38" i="52"/>
  <c r="I38" i="52"/>
  <c r="G38" i="52"/>
  <c r="BF38" i="52"/>
  <c r="E38" i="52"/>
  <c r="BG38" i="52"/>
  <c r="AV38" i="52"/>
  <c r="AN38" i="52"/>
  <c r="L38" i="52"/>
  <c r="AU38" i="52"/>
  <c r="J27" i="52"/>
  <c r="K27" i="52"/>
  <c r="C27" i="52"/>
  <c r="AG27" i="52" s="1"/>
  <c r="BC27" i="52"/>
  <c r="E27" i="52"/>
  <c r="AK27" i="52"/>
  <c r="AZ27" i="52"/>
  <c r="AJ27" i="52"/>
  <c r="G27" i="52"/>
  <c r="BJ27" i="52"/>
  <c r="BF27" i="52"/>
  <c r="AI27" i="52"/>
  <c r="D27" i="52"/>
  <c r="AS27" i="52"/>
  <c r="BG27" i="52"/>
  <c r="BK27" i="52"/>
  <c r="AW27" i="52"/>
  <c r="BL27" i="52"/>
  <c r="AV27" i="52"/>
  <c r="L27" i="52"/>
  <c r="I27" i="52"/>
  <c r="J31" i="52"/>
  <c r="H31" i="52"/>
  <c r="BF31" i="52"/>
  <c r="E31" i="52"/>
  <c r="O31" i="52" s="1"/>
  <c r="D31" i="52"/>
  <c r="BA31" i="52"/>
  <c r="AZ31" i="52"/>
  <c r="AJ31" i="52"/>
  <c r="K31" i="52"/>
  <c r="C31" i="52"/>
  <c r="AG31" i="52" s="1"/>
  <c r="AY31" i="52"/>
  <c r="AU31" i="52"/>
  <c r="AQ31" i="52"/>
  <c r="BL31" i="52"/>
  <c r="AV31" i="52"/>
  <c r="G31" i="52"/>
  <c r="BJ31" i="52"/>
  <c r="BC31" i="52"/>
  <c r="AM31" i="52"/>
  <c r="J35" i="52"/>
  <c r="I35" i="52"/>
  <c r="G35" i="52"/>
  <c r="AU35" i="52"/>
  <c r="AO35" i="52"/>
  <c r="BA35" i="52"/>
  <c r="BL35" i="52"/>
  <c r="AV35" i="52"/>
  <c r="L35" i="52"/>
  <c r="AY35" i="52"/>
  <c r="AQ35" i="52"/>
  <c r="AM35" i="52"/>
  <c r="AS35" i="52"/>
  <c r="BH35" i="52"/>
  <c r="AR35" i="52"/>
  <c r="H35" i="52"/>
  <c r="C35" i="52"/>
  <c r="AG35" i="52" s="1"/>
  <c r="BJ35" i="52"/>
  <c r="BF35" i="52"/>
  <c r="BC35" i="52"/>
  <c r="AI35" i="52"/>
  <c r="E35" i="52"/>
  <c r="M35" i="52" s="1"/>
  <c r="J26" i="52"/>
  <c r="K26" i="52"/>
  <c r="AI26" i="52"/>
  <c r="D26" i="52"/>
  <c r="AO26" i="52"/>
  <c r="AJ26" i="52"/>
  <c r="AN26" i="52"/>
  <c r="I26" i="52"/>
  <c r="G26" i="52"/>
  <c r="BC26" i="52"/>
  <c r="AU26" i="52"/>
  <c r="AM26" i="52"/>
  <c r="E26" i="52"/>
  <c r="M26" i="52" s="1"/>
  <c r="BG26" i="52"/>
  <c r="AS26" i="52"/>
  <c r="AR26" i="52"/>
  <c r="AV26" i="52"/>
  <c r="L26" i="52"/>
  <c r="AY26" i="52"/>
  <c r="J19" i="52"/>
  <c r="H19" i="52"/>
  <c r="C19" i="52"/>
  <c r="AG19" i="52" s="1"/>
  <c r="AY19" i="52"/>
  <c r="AU19" i="52"/>
  <c r="AQ19" i="52"/>
  <c r="BA19" i="52"/>
  <c r="AO19" i="52"/>
  <c r="AZ19" i="52"/>
  <c r="AJ19" i="52"/>
  <c r="K19" i="52"/>
  <c r="BJ19" i="52"/>
  <c r="BC19" i="52"/>
  <c r="AM19" i="52"/>
  <c r="BK19" i="52"/>
  <c r="BL19" i="52"/>
  <c r="AV19" i="52"/>
  <c r="F31" i="45"/>
  <c r="I19" i="52"/>
  <c r="G19" i="52"/>
  <c r="AI19" i="52"/>
  <c r="J11" i="52"/>
  <c r="L11" i="52"/>
  <c r="BJ11" i="52"/>
  <c r="BC11" i="52"/>
  <c r="AM11" i="52"/>
  <c r="BG11" i="52"/>
  <c r="AR11" i="52"/>
  <c r="BH11" i="52"/>
  <c r="AS11" i="52"/>
  <c r="H11" i="52"/>
  <c r="C11" i="52"/>
  <c r="AG11" i="52" s="1"/>
  <c r="AI11" i="52"/>
  <c r="E11" i="52"/>
  <c r="D11" i="52"/>
  <c r="BK11" i="52"/>
  <c r="AV11" i="52"/>
  <c r="BL11" i="52"/>
  <c r="AW11" i="52"/>
  <c r="K11" i="52"/>
  <c r="BF11" i="52"/>
  <c r="P17" i="52"/>
  <c r="BM17" i="52"/>
  <c r="Z17" i="52" s="1"/>
  <c r="AL17" i="52"/>
  <c r="Q17" i="52" s="1"/>
  <c r="AP17" i="52"/>
  <c r="R17" i="52" s="1"/>
  <c r="BB17" i="52"/>
  <c r="W17" i="52" s="1"/>
  <c r="AX17" i="52"/>
  <c r="V17" i="52" s="1"/>
  <c r="BI17" i="52"/>
  <c r="Y17" i="52" s="1"/>
  <c r="AT17" i="52"/>
  <c r="T17" i="52" s="1"/>
  <c r="BN17" i="52" s="1"/>
  <c r="BA18" i="52"/>
  <c r="AJ20" i="52"/>
  <c r="F39" i="52"/>
  <c r="BC18" i="52"/>
  <c r="BC29" i="52"/>
  <c r="K16" i="52"/>
  <c r="H28" i="52"/>
  <c r="AR18" i="52"/>
  <c r="E30" i="45"/>
  <c r="BD23" i="52"/>
  <c r="BH20" i="52"/>
  <c r="D23" i="52"/>
  <c r="E16" i="52"/>
  <c r="M16" i="52" s="1"/>
  <c r="AM28" i="52"/>
  <c r="AM18" i="52"/>
  <c r="AM29" i="52"/>
  <c r="AQ29" i="52"/>
  <c r="AY29" i="52"/>
  <c r="BF20" i="52"/>
  <c r="N15" i="52"/>
  <c r="M15" i="52"/>
  <c r="O15" i="52"/>
  <c r="F15" i="52"/>
  <c r="F32" i="52"/>
  <c r="N32" i="52"/>
  <c r="N19" i="52"/>
  <c r="F19" i="52"/>
  <c r="O19" i="52"/>
  <c r="M19" i="52"/>
  <c r="O29" i="52"/>
  <c r="J37" i="52"/>
  <c r="I37" i="52"/>
  <c r="G37" i="52"/>
  <c r="BC37" i="52"/>
  <c r="AY37" i="52"/>
  <c r="AQ37" i="52"/>
  <c r="BK37" i="52"/>
  <c r="AK37" i="52"/>
  <c r="L37" i="52"/>
  <c r="BF37" i="52"/>
  <c r="AU37" i="52"/>
  <c r="BG37" i="52"/>
  <c r="AN37" i="52"/>
  <c r="BD37" i="52"/>
  <c r="H37" i="52"/>
  <c r="C37" i="52"/>
  <c r="AG37" i="52" s="1"/>
  <c r="BJ37" i="52"/>
  <c r="AM37" i="52"/>
  <c r="E37" i="52"/>
  <c r="F37" i="52" s="1"/>
  <c r="BA37" i="52"/>
  <c r="AS37" i="52"/>
  <c r="AO37" i="52"/>
  <c r="AR37" i="52"/>
  <c r="BH37" i="52"/>
  <c r="J29" i="52"/>
  <c r="K29" i="52"/>
  <c r="AI29" i="52"/>
  <c r="D29" i="52"/>
  <c r="I29" i="52"/>
  <c r="G29" i="52"/>
  <c r="BF29" i="52"/>
  <c r="AN29" i="52"/>
  <c r="BD29" i="52"/>
  <c r="AO29" i="52"/>
  <c r="AS29" i="52"/>
  <c r="L29" i="52"/>
  <c r="BJ29" i="52"/>
  <c r="AU29" i="52"/>
  <c r="AR29" i="52"/>
  <c r="BH29" i="52"/>
  <c r="AW29" i="52"/>
  <c r="J28" i="52"/>
  <c r="K28" i="52"/>
  <c r="C28" i="52"/>
  <c r="AG28" i="52" s="1"/>
  <c r="BC28" i="52"/>
  <c r="AI28" i="52"/>
  <c r="E28" i="52"/>
  <c r="BH28" i="52"/>
  <c r="G28" i="52"/>
  <c r="BJ28" i="52"/>
  <c r="BF28" i="52"/>
  <c r="D28" i="52"/>
  <c r="AN28" i="52"/>
  <c r="BL28" i="52"/>
  <c r="BD28" i="52"/>
  <c r="AW28" i="52"/>
  <c r="L28" i="52"/>
  <c r="I28" i="52"/>
  <c r="AY28" i="52"/>
  <c r="AU28" i="52"/>
  <c r="AV28" i="52"/>
  <c r="BG28" i="52"/>
  <c r="AK28" i="52"/>
  <c r="BA28" i="52"/>
  <c r="BK28" i="52"/>
  <c r="J20" i="52"/>
  <c r="H20" i="52"/>
  <c r="AY20" i="52"/>
  <c r="AU20" i="52"/>
  <c r="AR20" i="52"/>
  <c r="K20" i="52"/>
  <c r="C20" i="52"/>
  <c r="AG20" i="52" s="1"/>
  <c r="AQ20" i="52"/>
  <c r="AM20" i="52"/>
  <c r="E20" i="52"/>
  <c r="M20" i="52" s="1"/>
  <c r="AS20" i="52"/>
  <c r="BK20" i="52"/>
  <c r="BL20" i="52"/>
  <c r="G20" i="52"/>
  <c r="BC20" i="52"/>
  <c r="AI20" i="52"/>
  <c r="D20" i="52"/>
  <c r="AZ20" i="52"/>
  <c r="AW20" i="52"/>
  <c r="BD20" i="52"/>
  <c r="J23" i="52"/>
  <c r="L23" i="52"/>
  <c r="I23" i="52"/>
  <c r="AQ23" i="52"/>
  <c r="AM23" i="52"/>
  <c r="AS23" i="52"/>
  <c r="BL23" i="52"/>
  <c r="BH23" i="52"/>
  <c r="H23" i="52"/>
  <c r="BC23" i="52"/>
  <c r="AI23" i="52"/>
  <c r="AN23" i="52"/>
  <c r="AZ23" i="52"/>
  <c r="AR23" i="52"/>
  <c r="BA23" i="52"/>
  <c r="K23" i="52"/>
  <c r="C23" i="52"/>
  <c r="AG23" i="52" s="1"/>
  <c r="BJ23" i="52"/>
  <c r="BF23" i="52"/>
  <c r="E23" i="52"/>
  <c r="AO23" i="52"/>
  <c r="BK23" i="52"/>
  <c r="AV23" i="52"/>
  <c r="J16" i="52"/>
  <c r="G16" i="52"/>
  <c r="BJ16" i="52"/>
  <c r="AY16" i="52"/>
  <c r="AU16" i="52"/>
  <c r="AM16" i="52"/>
  <c r="D16" i="52"/>
  <c r="L16" i="52"/>
  <c r="I16" i="52"/>
  <c r="AK16" i="52"/>
  <c r="BA16" i="52"/>
  <c r="BH16" i="52"/>
  <c r="BL16" i="52"/>
  <c r="H16" i="52"/>
  <c r="AI16" i="52"/>
  <c r="AO16" i="52"/>
  <c r="AJ16" i="52"/>
  <c r="AN16" i="52"/>
  <c r="J18" i="52"/>
  <c r="K18" i="52"/>
  <c r="C18" i="52"/>
  <c r="AG18" i="52" s="1"/>
  <c r="AY18" i="52"/>
  <c r="AI18" i="52"/>
  <c r="E18" i="52"/>
  <c r="AZ18" i="52"/>
  <c r="E32" i="45"/>
  <c r="AJ18" i="52"/>
  <c r="BH18" i="52"/>
  <c r="AV18" i="52"/>
  <c r="I18" i="52"/>
  <c r="BF18" i="52"/>
  <c r="D18" i="52"/>
  <c r="AW18" i="52"/>
  <c r="BL18" i="52"/>
  <c r="AN18" i="52"/>
  <c r="AO18" i="52"/>
  <c r="F32" i="45"/>
  <c r="L18" i="52"/>
  <c r="G18" i="52"/>
  <c r="AU18" i="52"/>
  <c r="BK18" i="52"/>
  <c r="E31" i="45"/>
  <c r="BD18" i="52"/>
  <c r="BG18" i="52"/>
  <c r="AK18" i="52"/>
  <c r="F30" i="45"/>
  <c r="U40" i="52"/>
  <c r="M32" i="52"/>
  <c r="W36" i="52"/>
  <c r="Q36" i="52"/>
  <c r="O32" i="52"/>
  <c r="N16" i="52"/>
  <c r="BN40" i="52"/>
  <c r="AB40" i="52" s="1"/>
  <c r="AD40" i="52" s="1"/>
  <c r="S40" i="52"/>
  <c r="P14" i="52"/>
  <c r="AP14" i="52"/>
  <c r="AL14" i="52"/>
  <c r="BI14" i="52"/>
  <c r="AT14" i="52"/>
  <c r="F12" i="52"/>
  <c r="O12" i="52"/>
  <c r="M12" i="52"/>
  <c r="F33" i="52"/>
  <c r="N33" i="52"/>
  <c r="N26" i="52"/>
  <c r="O26" i="52"/>
  <c r="F26" i="52"/>
  <c r="F34" i="52"/>
  <c r="N34" i="52"/>
  <c r="M34" i="52"/>
  <c r="M38" i="52"/>
  <c r="N38" i="52"/>
  <c r="N20" i="52"/>
  <c r="O20" i="52"/>
  <c r="R36" i="52"/>
  <c r="T36" i="52"/>
  <c r="M30" i="52"/>
  <c r="F30" i="52"/>
  <c r="N30" i="52"/>
  <c r="N14" i="52"/>
  <c r="M14" i="52"/>
  <c r="O14" i="52"/>
  <c r="N24" i="52"/>
  <c r="F24" i="52"/>
  <c r="O24" i="52"/>
  <c r="N21" i="52"/>
  <c r="F21" i="52"/>
  <c r="O21" i="52"/>
  <c r="N35" i="52"/>
  <c r="O35" i="52"/>
  <c r="M37" i="52"/>
  <c r="J41" i="52"/>
  <c r="G41" i="52"/>
  <c r="C41" i="52"/>
  <c r="AG41" i="52" s="1"/>
  <c r="BF41" i="52"/>
  <c r="AU41" i="52"/>
  <c r="AI41" i="52"/>
  <c r="BL41" i="52"/>
  <c r="L41" i="52"/>
  <c r="I41" i="52"/>
  <c r="AM41" i="52"/>
  <c r="E41" i="52"/>
  <c r="BA41" i="52"/>
  <c r="J30" i="52"/>
  <c r="H30" i="52"/>
  <c r="AM30" i="52"/>
  <c r="D30" i="52"/>
  <c r="BH30" i="52"/>
  <c r="AJ30" i="52"/>
  <c r="BK30" i="52"/>
  <c r="K30" i="52"/>
  <c r="C30" i="52"/>
  <c r="AG30" i="52" s="1"/>
  <c r="BJ30" i="52"/>
  <c r="BF30" i="52"/>
  <c r="AY30" i="52"/>
  <c r="AU30" i="52"/>
  <c r="AZ30" i="52"/>
  <c r="AN30" i="52"/>
  <c r="BD30" i="52"/>
  <c r="L34" i="52"/>
  <c r="BH34" i="52"/>
  <c r="BD34" i="52"/>
  <c r="AJ34" i="52"/>
  <c r="AV34" i="52"/>
  <c r="BG34" i="52"/>
  <c r="H34" i="52"/>
  <c r="BJ34" i="52"/>
  <c r="BC34" i="52"/>
  <c r="AY34" i="52"/>
  <c r="AQ34" i="52"/>
  <c r="D34" i="52"/>
  <c r="AN34" i="52"/>
  <c r="AO34" i="52"/>
  <c r="BA34" i="52"/>
  <c r="BK34" i="52"/>
  <c r="L25" i="52"/>
  <c r="I25" i="52"/>
  <c r="BC25" i="52"/>
  <c r="AQ25" i="52"/>
  <c r="E25" i="52"/>
  <c r="AS25" i="52"/>
  <c r="J25" i="52"/>
  <c r="H25" i="52"/>
  <c r="J22" i="52"/>
  <c r="K22" i="52"/>
  <c r="C22" i="52"/>
  <c r="AG22" i="52" s="1"/>
  <c r="AQ22" i="52"/>
  <c r="AK22" i="52"/>
  <c r="BH22" i="52"/>
  <c r="AJ22" i="52"/>
  <c r="I22" i="52"/>
  <c r="G22" i="52"/>
  <c r="E22" i="52"/>
  <c r="BA22" i="52"/>
  <c r="AN22" i="52"/>
  <c r="AO22" i="52"/>
  <c r="H21" i="52"/>
  <c r="BJ21" i="52"/>
  <c r="D21" i="52"/>
  <c r="K21" i="52"/>
  <c r="C21" i="52"/>
  <c r="AG21" i="52" s="1"/>
  <c r="BC21" i="52"/>
  <c r="AQ21" i="52"/>
  <c r="AM21" i="52"/>
  <c r="H14" i="52"/>
  <c r="BC14" i="52"/>
  <c r="AQ14" i="52"/>
  <c r="AS14" i="52"/>
  <c r="BL14" i="52"/>
  <c r="Z14" i="52" s="1"/>
  <c r="J14" i="52"/>
  <c r="K14" i="52"/>
  <c r="BF14" i="52"/>
  <c r="Y14" i="52" s="1"/>
  <c r="AU14" i="52"/>
  <c r="V14" i="52" s="1"/>
  <c r="AM14" i="52"/>
  <c r="AI14" i="52"/>
  <c r="D14" i="52"/>
  <c r="BA14" i="52"/>
  <c r="W14" i="52" s="1"/>
  <c r="AN14" i="52"/>
  <c r="AK14" i="52"/>
  <c r="BD14" i="52"/>
  <c r="J13" i="52"/>
  <c r="L13" i="52"/>
  <c r="BF13" i="52"/>
  <c r="BC13" i="52"/>
  <c r="AU13" i="52"/>
  <c r="AM13" i="52"/>
  <c r="AI13" i="52"/>
  <c r="E13" i="52"/>
  <c r="E29" i="45"/>
  <c r="K13" i="52"/>
  <c r="H13" i="52"/>
  <c r="AQ13" i="52"/>
  <c r="E28" i="45"/>
  <c r="J21" i="52"/>
  <c r="L45" i="59"/>
  <c r="L55" i="59"/>
  <c r="L39" i="59"/>
  <c r="R82" i="59"/>
  <c r="R45" i="59"/>
  <c r="R25" i="59"/>
  <c r="X143" i="59"/>
  <c r="X129" i="59"/>
  <c r="X117" i="59"/>
  <c r="X86" i="59"/>
  <c r="X82" i="59"/>
  <c r="X46" i="59"/>
  <c r="AD47" i="59"/>
  <c r="AD36" i="59"/>
  <c r="F260" i="59"/>
  <c r="F175" i="59"/>
  <c r="F322" i="59"/>
  <c r="F100" i="59"/>
  <c r="F264" i="59"/>
  <c r="F57" i="59"/>
  <c r="F152" i="59"/>
  <c r="F17" i="59"/>
  <c r="F136" i="59"/>
  <c r="F52" i="59"/>
  <c r="F51" i="59"/>
  <c r="F140" i="59"/>
  <c r="F35" i="59"/>
  <c r="F25" i="59"/>
  <c r="F254" i="59"/>
  <c r="F76" i="59"/>
  <c r="F127" i="59"/>
  <c r="F79" i="59"/>
  <c r="F247" i="59"/>
  <c r="AD24" i="59"/>
  <c r="X16" i="59"/>
  <c r="X55" i="59"/>
  <c r="X88" i="59"/>
  <c r="X126" i="59"/>
  <c r="X150" i="59"/>
  <c r="F29" i="59"/>
  <c r="F77" i="59"/>
  <c r="F151" i="59"/>
  <c r="X96" i="59"/>
  <c r="X152" i="59"/>
  <c r="R66" i="59"/>
  <c r="L16" i="59"/>
  <c r="F64" i="59"/>
  <c r="F279" i="59"/>
  <c r="F23" i="59"/>
  <c r="F344" i="59"/>
  <c r="R23" i="59"/>
  <c r="X76" i="59"/>
  <c r="X138" i="59"/>
  <c r="F277" i="59"/>
  <c r="L51" i="59"/>
  <c r="L35" i="59"/>
  <c r="L23" i="59"/>
  <c r="R102" i="59"/>
  <c r="R88" i="59"/>
  <c r="R69" i="59"/>
  <c r="R58" i="59"/>
  <c r="R30" i="59"/>
  <c r="X145" i="59"/>
  <c r="X102" i="59"/>
  <c r="X94" i="59"/>
  <c r="X89" i="59"/>
  <c r="X57" i="59"/>
  <c r="X40" i="59"/>
  <c r="X21" i="59"/>
  <c r="X18" i="59"/>
  <c r="X52" i="59"/>
  <c r="X31" i="59"/>
  <c r="X104" i="59"/>
  <c r="X79" i="59"/>
  <c r="X146" i="59"/>
  <c r="X105" i="59"/>
  <c r="X51" i="59"/>
  <c r="X25" i="59"/>
  <c r="X19" i="59"/>
  <c r="X29" i="59"/>
  <c r="X66" i="59"/>
  <c r="X114" i="59"/>
  <c r="X136" i="59"/>
  <c r="X127" i="59"/>
  <c r="X103" i="59"/>
  <c r="X108" i="59"/>
  <c r="X98" i="59"/>
  <c r="X85" i="59"/>
  <c r="X27" i="59"/>
  <c r="X28" i="59"/>
  <c r="X15" i="59"/>
  <c r="X139" i="59"/>
  <c r="X60" i="59"/>
  <c r="X110" i="59"/>
  <c r="X90" i="59"/>
  <c r="X12" i="59"/>
  <c r="X8" i="59" s="1"/>
  <c r="X148" i="59"/>
  <c r="X134" i="59"/>
  <c r="X107" i="59"/>
  <c r="X87" i="59"/>
  <c r="X58" i="59"/>
  <c r="X74" i="59"/>
  <c r="X48" i="59"/>
  <c r="X49" i="59"/>
  <c r="X17" i="59"/>
  <c r="X33" i="59"/>
  <c r="X106" i="59"/>
  <c r="X142" i="59"/>
  <c r="X112" i="59"/>
  <c r="X99" i="59"/>
  <c r="X59" i="59"/>
  <c r="X34" i="59"/>
  <c r="X147" i="59"/>
  <c r="X132" i="59"/>
  <c r="X109" i="59"/>
  <c r="X84" i="59"/>
  <c r="X77" i="59"/>
  <c r="X65" i="59"/>
  <c r="X67" i="59"/>
  <c r="X14" i="59"/>
  <c r="X13" i="59"/>
  <c r="X133" i="59"/>
  <c r="X124" i="59"/>
  <c r="X97" i="59"/>
  <c r="X54" i="59"/>
  <c r="X137" i="59"/>
  <c r="X125" i="59"/>
  <c r="X116" i="59"/>
  <c r="X71" i="59"/>
  <c r="X68" i="59"/>
  <c r="X64" i="59"/>
  <c r="X20" i="59"/>
  <c r="X24" i="59"/>
  <c r="AD43" i="59"/>
  <c r="AD55" i="59"/>
  <c r="AD82" i="59"/>
  <c r="AD56" i="59"/>
  <c r="AD33" i="59"/>
  <c r="AD28" i="59"/>
  <c r="AD19" i="59"/>
  <c r="AD42" i="59"/>
  <c r="AD15" i="59"/>
  <c r="AD53" i="59"/>
  <c r="AD18" i="59"/>
  <c r="AD67" i="59"/>
  <c r="AD84" i="59"/>
  <c r="AD77" i="59"/>
  <c r="AD34" i="59"/>
  <c r="AD23" i="59"/>
  <c r="AD73" i="59"/>
  <c r="AD68" i="59"/>
  <c r="AD11" i="59"/>
  <c r="AD59" i="59"/>
  <c r="AD40" i="59"/>
  <c r="AD30" i="59"/>
  <c r="AD64" i="59"/>
  <c r="AD35" i="59"/>
  <c r="AD38" i="59"/>
  <c r="AD46" i="59"/>
  <c r="AD81" i="59"/>
  <c r="AD80" i="59"/>
  <c r="AD75" i="59"/>
  <c r="AD31" i="59"/>
  <c r="AD17" i="59"/>
  <c r="AD39" i="59"/>
  <c r="AD51" i="59"/>
  <c r="AD63" i="59"/>
  <c r="AD12" i="59"/>
  <c r="AD60" i="59"/>
  <c r="AD44" i="59"/>
  <c r="AD27" i="59"/>
  <c r="F167" i="59"/>
  <c r="F16" i="59"/>
  <c r="F274" i="59"/>
  <c r="F85" i="59"/>
  <c r="F184" i="59"/>
  <c r="F37" i="59"/>
  <c r="F32" i="59"/>
  <c r="F108" i="59"/>
  <c r="F134" i="59"/>
  <c r="F99" i="59"/>
  <c r="F123" i="59"/>
  <c r="F14" i="59"/>
  <c r="F339" i="59"/>
  <c r="F157" i="59"/>
  <c r="F166" i="59"/>
  <c r="F267" i="59"/>
  <c r="F142" i="59"/>
  <c r="F282" i="59"/>
  <c r="AD29" i="59"/>
  <c r="AD49" i="59"/>
  <c r="X35" i="59"/>
  <c r="X73" i="59"/>
  <c r="X91" i="59"/>
  <c r="X119" i="59"/>
  <c r="F65" i="59"/>
  <c r="F88" i="59"/>
  <c r="F69" i="59"/>
  <c r="F302" i="59"/>
  <c r="AD54" i="59"/>
  <c r="X38" i="59"/>
  <c r="X92" i="59"/>
  <c r="R24" i="59"/>
  <c r="L32" i="59"/>
  <c r="F81" i="59"/>
  <c r="F13" i="59"/>
  <c r="AD70" i="59"/>
  <c r="AD14" i="59"/>
  <c r="R55" i="59"/>
  <c r="R54" i="59"/>
  <c r="L42" i="59"/>
  <c r="F248" i="59"/>
  <c r="AI8" i="59"/>
  <c r="L65" i="59"/>
  <c r="L61" i="59"/>
  <c r="L57" i="59"/>
  <c r="L53" i="59"/>
  <c r="L49" i="59"/>
  <c r="L41" i="59"/>
  <c r="L13" i="59"/>
  <c r="L63" i="59"/>
  <c r="L43" i="59"/>
  <c r="L27" i="59"/>
  <c r="R101" i="59"/>
  <c r="R83" i="59"/>
  <c r="R73" i="59"/>
  <c r="R53" i="59"/>
  <c r="R44" i="59"/>
  <c r="R21" i="59"/>
  <c r="R17" i="59"/>
  <c r="R50" i="59"/>
  <c r="R46" i="59"/>
  <c r="R57" i="59"/>
  <c r="R106" i="59"/>
  <c r="R87" i="59"/>
  <c r="R64" i="59"/>
  <c r="R68" i="59"/>
  <c r="R42" i="59"/>
  <c r="R27" i="59"/>
  <c r="R11" i="59"/>
  <c r="R105" i="59"/>
  <c r="R92" i="59"/>
  <c r="R43" i="59"/>
  <c r="R71" i="59"/>
  <c r="R59" i="59"/>
  <c r="R94" i="59"/>
  <c r="R72" i="59"/>
  <c r="R28" i="59"/>
  <c r="R78" i="59"/>
  <c r="R61" i="59"/>
  <c r="R41" i="59"/>
  <c r="R34" i="59"/>
  <c r="R12" i="59"/>
  <c r="R18" i="59"/>
  <c r="R107" i="59"/>
  <c r="R75" i="59"/>
  <c r="R47" i="59"/>
  <c r="R15" i="59"/>
  <c r="R91" i="59"/>
  <c r="R84" i="59"/>
  <c r="R74" i="59"/>
  <c r="R52" i="59"/>
  <c r="R36" i="59"/>
  <c r="R20" i="59"/>
  <c r="R22" i="59"/>
  <c r="R67" i="59"/>
  <c r="R76" i="59"/>
  <c r="R13" i="59"/>
  <c r="R98" i="59"/>
  <c r="R70" i="59"/>
  <c r="R31" i="59"/>
  <c r="R108" i="59"/>
  <c r="R104" i="59"/>
  <c r="R39" i="59"/>
  <c r="R48" i="59"/>
  <c r="R16" i="59"/>
  <c r="X135" i="59"/>
  <c r="X128" i="59"/>
  <c r="X121" i="59"/>
  <c r="X70" i="59"/>
  <c r="X69" i="59"/>
  <c r="X47" i="59"/>
  <c r="X36" i="59"/>
  <c r="X30" i="59"/>
  <c r="AD45" i="59"/>
  <c r="AD69" i="59"/>
  <c r="AD26" i="59"/>
  <c r="AD20" i="59"/>
  <c r="F225" i="59"/>
  <c r="F156" i="59"/>
  <c r="F28" i="59"/>
  <c r="F45" i="59"/>
  <c r="F114" i="59"/>
  <c r="F148" i="59"/>
  <c r="F131" i="59"/>
  <c r="F288" i="59"/>
  <c r="F194" i="59"/>
  <c r="F83" i="59"/>
  <c r="F154" i="59"/>
  <c r="F161" i="59"/>
  <c r="F97" i="59"/>
  <c r="F103" i="59"/>
  <c r="F209" i="59"/>
  <c r="F163" i="59"/>
  <c r="F155" i="59"/>
  <c r="F310" i="59"/>
  <c r="AD25" i="59"/>
  <c r="X62" i="59"/>
  <c r="X93" i="59"/>
  <c r="X131" i="59"/>
  <c r="F162" i="59"/>
  <c r="F205" i="59"/>
  <c r="F291" i="59"/>
  <c r="F319" i="59"/>
  <c r="X63" i="59"/>
  <c r="X120" i="59"/>
  <c r="R40" i="59"/>
  <c r="R79" i="59"/>
  <c r="L48" i="59"/>
  <c r="F120" i="59"/>
  <c r="AD74" i="59"/>
  <c r="R99" i="59"/>
  <c r="AD32" i="59"/>
  <c r="R89" i="59"/>
  <c r="L50" i="59"/>
  <c r="R110" i="59"/>
  <c r="X95" i="59"/>
  <c r="L59" i="59"/>
  <c r="L31" i="59"/>
  <c r="L19" i="59"/>
  <c r="L30" i="59"/>
  <c r="L62" i="59"/>
  <c r="L68" i="59"/>
  <c r="L34" i="59"/>
  <c r="L11" i="59"/>
  <c r="L69" i="59"/>
  <c r="L46" i="59"/>
  <c r="L22" i="59"/>
  <c r="L64" i="59"/>
  <c r="L54" i="59"/>
  <c r="L52" i="59"/>
  <c r="L36" i="59"/>
  <c r="L20" i="59"/>
  <c r="L38" i="59"/>
  <c r="L18" i="59"/>
  <c r="L58" i="59"/>
  <c r="L26" i="59"/>
  <c r="L44" i="59"/>
  <c r="L28" i="59"/>
  <c r="L12" i="59"/>
  <c r="L14" i="59"/>
  <c r="L24" i="59"/>
  <c r="L60" i="59"/>
  <c r="L40" i="59"/>
  <c r="R97" i="59"/>
  <c r="R85" i="59"/>
  <c r="R56" i="59"/>
  <c r="R49" i="59"/>
  <c r="R37" i="59"/>
  <c r="X118" i="59"/>
  <c r="X78" i="59"/>
  <c r="X53" i="59"/>
  <c r="X44" i="59"/>
  <c r="X43" i="59"/>
  <c r="X23" i="59"/>
  <c r="AD52" i="59"/>
  <c r="AD65" i="59"/>
  <c r="AD72" i="59"/>
  <c r="F255" i="59"/>
  <c r="F343" i="59"/>
  <c r="F330" i="59"/>
  <c r="F331" i="59"/>
  <c r="F296" i="59"/>
  <c r="F230" i="59"/>
  <c r="F233" i="59"/>
  <c r="F53" i="59"/>
  <c r="F201" i="59"/>
  <c r="F273" i="59"/>
  <c r="F259" i="59"/>
  <c r="F147" i="59"/>
  <c r="F191" i="59"/>
  <c r="F149" i="59"/>
  <c r="F153" i="59"/>
  <c r="F93" i="59"/>
  <c r="F170" i="59"/>
  <c r="F290" i="59"/>
  <c r="F300" i="59"/>
  <c r="F197" i="59"/>
  <c r="F186" i="59"/>
  <c r="F118" i="59"/>
  <c r="F306" i="59"/>
  <c r="F172" i="59"/>
  <c r="F278" i="59"/>
  <c r="F143" i="59"/>
  <c r="F325" i="59"/>
  <c r="F309" i="59"/>
  <c r="F241" i="59"/>
  <c r="F179" i="59"/>
  <c r="F215" i="59"/>
  <c r="F74" i="59"/>
  <c r="F22" i="59"/>
  <c r="F113" i="59"/>
  <c r="F11" i="59"/>
  <c r="F38" i="59"/>
  <c r="E8" i="59"/>
  <c r="F219" i="59"/>
  <c r="F206" i="59"/>
  <c r="F160" i="59"/>
  <c r="F243" i="59"/>
  <c r="F42" i="59"/>
  <c r="F308" i="59"/>
  <c r="F221" i="59"/>
  <c r="F19" i="59"/>
  <c r="F27" i="59"/>
  <c r="F98" i="59"/>
  <c r="F292" i="59"/>
  <c r="F116" i="59"/>
  <c r="F316" i="59"/>
  <c r="F43" i="59"/>
  <c r="F71" i="59"/>
  <c r="F208" i="59"/>
  <c r="F169" i="59"/>
  <c r="F178" i="59"/>
  <c r="F287" i="59"/>
  <c r="F135" i="59"/>
  <c r="F146" i="59"/>
  <c r="F60" i="59"/>
  <c r="F18" i="59"/>
  <c r="F56" i="59"/>
  <c r="F321" i="59"/>
  <c r="F72" i="59"/>
  <c r="F73" i="59"/>
  <c r="F91" i="59"/>
  <c r="F314" i="59"/>
  <c r="F92" i="59"/>
  <c r="F334" i="59"/>
  <c r="F245" i="59"/>
  <c r="F176" i="59"/>
  <c r="F332" i="59"/>
  <c r="F190" i="59"/>
  <c r="F295" i="59"/>
  <c r="F305" i="59"/>
  <c r="F280" i="59"/>
  <c r="F313" i="59"/>
  <c r="F244" i="59"/>
  <c r="F210" i="59"/>
  <c r="F318" i="59"/>
  <c r="F263" i="59"/>
  <c r="F128" i="59"/>
  <c r="F323" i="59"/>
  <c r="F213" i="59"/>
  <c r="F196" i="59"/>
  <c r="F30" i="59"/>
  <c r="F101" i="59"/>
  <c r="F54" i="59"/>
  <c r="F40" i="59"/>
  <c r="F317" i="59"/>
  <c r="F276" i="59"/>
  <c r="F59" i="59"/>
  <c r="F327" i="59"/>
  <c r="F204" i="59"/>
  <c r="F66" i="59"/>
  <c r="F188" i="59"/>
  <c r="F187" i="59"/>
  <c r="F203" i="59"/>
  <c r="F294" i="59"/>
  <c r="F199" i="59"/>
  <c r="F226" i="59"/>
  <c r="F180" i="59"/>
  <c r="F33" i="59"/>
  <c r="F46" i="59"/>
  <c r="F48" i="59"/>
  <c r="F299" i="59"/>
  <c r="F173" i="59"/>
  <c r="F253" i="59"/>
  <c r="F129" i="59"/>
  <c r="F96" i="59"/>
  <c r="F130" i="59"/>
  <c r="F328" i="59"/>
  <c r="F312" i="59"/>
  <c r="F84" i="59"/>
  <c r="F326" i="59"/>
  <c r="F82" i="59"/>
  <c r="F256" i="59"/>
  <c r="F139" i="59"/>
  <c r="F272" i="59"/>
  <c r="F138" i="59"/>
  <c r="F36" i="59"/>
  <c r="F281" i="59"/>
  <c r="F141" i="59"/>
  <c r="F192" i="59"/>
  <c r="F105" i="59"/>
  <c r="F26" i="59"/>
  <c r="F55" i="59"/>
  <c r="F78" i="59"/>
  <c r="F345" i="59"/>
  <c r="F159" i="59"/>
  <c r="F80" i="59"/>
  <c r="F124" i="59"/>
  <c r="F182" i="59"/>
  <c r="F75" i="59"/>
  <c r="F218" i="59"/>
  <c r="F137" i="59"/>
  <c r="F181" i="59"/>
  <c r="F246" i="59"/>
  <c r="F110" i="59"/>
  <c r="F89" i="59"/>
  <c r="F315" i="59"/>
  <c r="F336" i="59"/>
  <c r="F217" i="59"/>
  <c r="F70" i="59"/>
  <c r="F249" i="59"/>
  <c r="F271" i="59"/>
  <c r="F12" i="59"/>
  <c r="F112" i="59"/>
  <c r="F303" i="59"/>
  <c r="F41" i="59"/>
  <c r="F337" i="59"/>
  <c r="F269" i="59"/>
  <c r="F119" i="59"/>
  <c r="F285" i="59"/>
  <c r="F165" i="59"/>
  <c r="F47" i="59"/>
  <c r="F183" i="59"/>
  <c r="F346" i="59"/>
  <c r="F145" i="59"/>
  <c r="F341" i="59"/>
  <c r="F109" i="59"/>
  <c r="F63" i="59"/>
  <c r="F320" i="59"/>
  <c r="F68" i="59"/>
  <c r="F39" i="59"/>
  <c r="F242" i="59"/>
  <c r="F111" i="59"/>
  <c r="F61" i="59"/>
  <c r="F262" i="59"/>
  <c r="F62" i="59"/>
  <c r="F275" i="59"/>
  <c r="F335" i="59"/>
  <c r="F90" i="59"/>
  <c r="F21" i="59"/>
  <c r="F329" i="59"/>
  <c r="F333" i="59"/>
  <c r="F283" i="59"/>
  <c r="F126" i="59"/>
  <c r="L37" i="59"/>
  <c r="L33" i="59"/>
  <c r="L29" i="59"/>
  <c r="L25" i="59"/>
  <c r="L21" i="59"/>
  <c r="L17" i="59"/>
  <c r="R112" i="59"/>
  <c r="R109" i="59"/>
  <c r="R96" i="59"/>
  <c r="R90" i="59"/>
  <c r="F107" i="59"/>
  <c r="F49" i="59"/>
  <c r="F286" i="59"/>
  <c r="R62" i="59"/>
  <c r="R51" i="59"/>
  <c r="R35" i="59"/>
  <c r="R19" i="59"/>
  <c r="Q8" i="59"/>
  <c r="X151" i="59"/>
  <c r="AD58" i="59"/>
  <c r="AD79" i="59"/>
  <c r="AD21" i="59"/>
  <c r="AD71" i="59"/>
  <c r="AD16" i="59"/>
  <c r="F298" i="59"/>
  <c r="F265" i="59"/>
  <c r="F122" i="59"/>
  <c r="F115" i="59"/>
  <c r="F185" i="59"/>
  <c r="L56" i="59"/>
  <c r="R14" i="59"/>
  <c r="R65" i="59"/>
  <c r="X154" i="59"/>
  <c r="AC8" i="59"/>
  <c r="AD22" i="59"/>
  <c r="AD37" i="59"/>
  <c r="AD57" i="59"/>
  <c r="X26" i="59"/>
  <c r="X37" i="59"/>
  <c r="R80" i="59"/>
  <c r="R81" i="59"/>
  <c r="AD78" i="59"/>
  <c r="R86" i="59"/>
  <c r="R95" i="59"/>
  <c r="R38" i="59"/>
  <c r="X75" i="59"/>
  <c r="X115" i="59"/>
  <c r="R26" i="59"/>
  <c r="R103" i="59"/>
  <c r="X81" i="59"/>
  <c r="X130" i="59"/>
  <c r="X45" i="59"/>
  <c r="X56" i="59"/>
  <c r="X123" i="59"/>
  <c r="R29" i="59"/>
  <c r="AD66" i="59"/>
  <c r="R274" i="73"/>
  <c r="AB45" i="16"/>
  <c r="K54" i="73"/>
  <c r="AB59" i="16"/>
  <c r="R302" i="73"/>
  <c r="K25" i="73"/>
  <c r="R273" i="73"/>
  <c r="R256" i="73"/>
  <c r="K8" i="73"/>
  <c r="R268" i="73"/>
  <c r="K20" i="73"/>
  <c r="Z20" i="16"/>
  <c r="Z11" i="16"/>
  <c r="K30" i="73"/>
  <c r="R278" i="73"/>
  <c r="W41" i="16"/>
  <c r="AV71" i="16"/>
  <c r="AV55" i="16"/>
  <c r="W55" i="16"/>
  <c r="AV28" i="16"/>
  <c r="Z28" i="16" s="1"/>
  <c r="R281" i="73" s="1"/>
  <c r="Z46" i="16"/>
  <c r="K35" i="73" s="1"/>
  <c r="AV22" i="16"/>
  <c r="Z32" i="16"/>
  <c r="Z39" i="16"/>
  <c r="Z23" i="16"/>
  <c r="R261" i="73" s="1"/>
  <c r="Z50" i="16"/>
  <c r="R285" i="73"/>
  <c r="K50" i="73"/>
  <c r="R298" i="73"/>
  <c r="R284" i="73"/>
  <c r="K36" i="73"/>
  <c r="Z19" i="16"/>
  <c r="R258" i="73" s="1"/>
  <c r="Z48" i="16"/>
  <c r="U33" i="16"/>
  <c r="U11" i="16"/>
  <c r="W27" i="16"/>
  <c r="AV27" i="16"/>
  <c r="Z27" i="16" s="1"/>
  <c r="AV14" i="16"/>
  <c r="Z14" i="16" s="1"/>
  <c r="W14" i="16"/>
  <c r="Z68" i="16"/>
  <c r="K67" i="73" s="1"/>
  <c r="W68" i="16"/>
  <c r="Z54" i="16"/>
  <c r="K52" i="73" s="1"/>
  <c r="Z60" i="16"/>
  <c r="R309" i="73" s="1"/>
  <c r="K27" i="73"/>
  <c r="R292" i="73"/>
  <c r="K44" i="73"/>
  <c r="R187" i="73"/>
  <c r="H56" i="73"/>
  <c r="H11" i="73"/>
  <c r="R142" i="73"/>
  <c r="H95" i="73"/>
  <c r="R226" i="73"/>
  <c r="R232" i="73"/>
  <c r="H101" i="73"/>
  <c r="R243" i="73"/>
  <c r="H112" i="73"/>
  <c r="H26" i="73"/>
  <c r="R157" i="73"/>
  <c r="R156" i="73"/>
  <c r="H25" i="73"/>
  <c r="R244" i="73"/>
  <c r="H113" i="73"/>
  <c r="R136" i="73"/>
  <c r="H5" i="73"/>
  <c r="R235" i="73"/>
  <c r="H104" i="73"/>
  <c r="R247" i="73"/>
  <c r="H116" i="73"/>
  <c r="H50" i="73"/>
  <c r="R181" i="73"/>
  <c r="R228" i="73"/>
  <c r="H97" i="73"/>
  <c r="R185" i="73"/>
  <c r="H87" i="73"/>
  <c r="R218" i="73"/>
  <c r="E14" i="73"/>
  <c r="R46" i="73"/>
  <c r="E85" i="73"/>
  <c r="R117" i="73"/>
  <c r="R108" i="73"/>
  <c r="E76" i="73"/>
  <c r="E34" i="73"/>
  <c r="R66" i="73"/>
  <c r="E62" i="73"/>
  <c r="R94" i="73"/>
  <c r="R72" i="73"/>
  <c r="E40" i="73"/>
  <c r="E74" i="73"/>
  <c r="R106" i="73"/>
  <c r="T11" i="14"/>
  <c r="J11" i="45" s="1"/>
  <c r="BL76" i="14"/>
  <c r="T76" i="14"/>
  <c r="R81" i="73"/>
  <c r="Z55" i="14"/>
  <c r="Z85" i="14"/>
  <c r="Z48" i="14"/>
  <c r="T93" i="14"/>
  <c r="R89" i="73"/>
  <c r="T92" i="14" l="1"/>
  <c r="AD16" i="14"/>
  <c r="BL36" i="14"/>
  <c r="AD36" i="14" s="1"/>
  <c r="AD55" i="14"/>
  <c r="AF55" i="14" s="1"/>
  <c r="AD97" i="14"/>
  <c r="R132" i="73" s="1"/>
  <c r="T36" i="14"/>
  <c r="AA56" i="14"/>
  <c r="AB43" i="14"/>
  <c r="Z31" i="14"/>
  <c r="AD84" i="14"/>
  <c r="AF84" i="14" s="1"/>
  <c r="T88" i="14"/>
  <c r="AD39" i="14"/>
  <c r="AF39" i="14" s="1"/>
  <c r="AD76" i="14"/>
  <c r="AB22" i="14"/>
  <c r="AD22" i="14" s="1"/>
  <c r="AD33" i="14"/>
  <c r="AF33" i="14" s="1"/>
  <c r="AD25" i="14"/>
  <c r="AF25" i="14" s="1"/>
  <c r="AD24" i="14"/>
  <c r="R60" i="73" s="1"/>
  <c r="AA86" i="14"/>
  <c r="AD86" i="14" s="1"/>
  <c r="AD41" i="14"/>
  <c r="AF41" i="14" s="1"/>
  <c r="U72" i="15"/>
  <c r="W73" i="15"/>
  <c r="W47" i="15"/>
  <c r="U39" i="15"/>
  <c r="U68" i="15"/>
  <c r="Z55" i="15"/>
  <c r="AB55" i="15" s="1"/>
  <c r="BB45" i="15"/>
  <c r="U43" i="15"/>
  <c r="Z82" i="15"/>
  <c r="AB82" i="15" s="1"/>
  <c r="W17" i="15"/>
  <c r="W99" i="15"/>
  <c r="M23" i="45"/>
  <c r="U71" i="15"/>
  <c r="O23" i="45"/>
  <c r="W105" i="15"/>
  <c r="W116" i="15"/>
  <c r="N23" i="45"/>
  <c r="U64" i="15"/>
  <c r="W64" i="15"/>
  <c r="U67" i="15"/>
  <c r="W55" i="15"/>
  <c r="Z103" i="15"/>
  <c r="AB103" i="15" s="1"/>
  <c r="Z116" i="15"/>
  <c r="H114" i="73" s="1"/>
  <c r="W48" i="15"/>
  <c r="Z105" i="15"/>
  <c r="AB105" i="15" s="1"/>
  <c r="AF24" i="14"/>
  <c r="N22" i="45"/>
  <c r="Z95" i="15"/>
  <c r="R236" i="73" s="1"/>
  <c r="Z48" i="15"/>
  <c r="R170" i="73" s="1"/>
  <c r="Z39" i="15"/>
  <c r="BD63" i="15"/>
  <c r="AD61" i="14"/>
  <c r="AF61" i="14" s="1"/>
  <c r="Z28" i="14"/>
  <c r="Z108" i="15"/>
  <c r="AB108" i="15" s="1"/>
  <c r="U47" i="15"/>
  <c r="U53" i="15"/>
  <c r="W32" i="15"/>
  <c r="Z53" i="15"/>
  <c r="W38" i="15"/>
  <c r="U20" i="15"/>
  <c r="R35" i="73"/>
  <c r="Z17" i="14"/>
  <c r="AD74" i="14"/>
  <c r="E65" i="73" s="1"/>
  <c r="U95" i="15"/>
  <c r="W75" i="15"/>
  <c r="W42" i="15"/>
  <c r="R300" i="73"/>
  <c r="U65" i="16"/>
  <c r="Z22" i="16"/>
  <c r="Z31" i="16"/>
  <c r="R297" i="73" s="1"/>
  <c r="W33" i="16"/>
  <c r="W42" i="16"/>
  <c r="W31" i="16"/>
  <c r="R283" i="73"/>
  <c r="W70" i="16"/>
  <c r="U48" i="16"/>
  <c r="AB58" i="16"/>
  <c r="R313" i="73"/>
  <c r="Z55" i="16"/>
  <c r="AB55" i="16" s="1"/>
  <c r="Z66" i="16"/>
  <c r="AB66" i="16" s="1"/>
  <c r="AF85" i="14"/>
  <c r="AE85" i="14" s="1"/>
  <c r="R126" i="73"/>
  <c r="N70" i="16"/>
  <c r="AQ70" i="16"/>
  <c r="AU70" i="16"/>
  <c r="AM70" i="16"/>
  <c r="Q11" i="14"/>
  <c r="BC11" i="14"/>
  <c r="BG11" i="14"/>
  <c r="AN11" i="14"/>
  <c r="AV11" i="14"/>
  <c r="BK11" i="14"/>
  <c r="AR11" i="14"/>
  <c r="N39" i="15"/>
  <c r="AM39" i="15"/>
  <c r="AQ39" i="15"/>
  <c r="AU39" i="15"/>
  <c r="N75" i="15"/>
  <c r="AM75" i="15"/>
  <c r="AQ75" i="15"/>
  <c r="N67" i="15"/>
  <c r="AM67" i="15"/>
  <c r="AU67" i="15"/>
  <c r="AQ67" i="15"/>
  <c r="Q81" i="14"/>
  <c r="BK81" i="14"/>
  <c r="AN81" i="14"/>
  <c r="BG81" i="14"/>
  <c r="BC81" i="14"/>
  <c r="AR81" i="14"/>
  <c r="AV81" i="14"/>
  <c r="N18" i="15"/>
  <c r="AM18" i="15"/>
  <c r="AQ18" i="15"/>
  <c r="AU18" i="15"/>
  <c r="Q48" i="14"/>
  <c r="AN48" i="14"/>
  <c r="BC48" i="14"/>
  <c r="BK48" i="14"/>
  <c r="AV48" i="14"/>
  <c r="BG48" i="14"/>
  <c r="AR48" i="14"/>
  <c r="Q61" i="14"/>
  <c r="BK61" i="14"/>
  <c r="AR61" i="14"/>
  <c r="AN61" i="14"/>
  <c r="BG61" i="14"/>
  <c r="AV61" i="14"/>
  <c r="BC61" i="14"/>
  <c r="Q19" i="14"/>
  <c r="AN19" i="14"/>
  <c r="BK19" i="14"/>
  <c r="AR19" i="14"/>
  <c r="BG19" i="14"/>
  <c r="BC19" i="14"/>
  <c r="AV19" i="14"/>
  <c r="O37" i="52"/>
  <c r="F35" i="52"/>
  <c r="F20" i="52"/>
  <c r="N29" i="52"/>
  <c r="AD64" i="14"/>
  <c r="AD81" i="14"/>
  <c r="R113" i="73" s="1"/>
  <c r="AB47" i="16"/>
  <c r="AA47" i="14"/>
  <c r="U23" i="15"/>
  <c r="W103" i="15"/>
  <c r="AU22" i="15"/>
  <c r="AM35" i="15"/>
  <c r="N29" i="16"/>
  <c r="AM29" i="16"/>
  <c r="AQ29" i="16"/>
  <c r="AU29" i="16"/>
  <c r="N109" i="15"/>
  <c r="AM109" i="15"/>
  <c r="AQ109" i="15"/>
  <c r="AU109" i="15"/>
  <c r="N41" i="15"/>
  <c r="AM41" i="15"/>
  <c r="AQ41" i="15"/>
  <c r="AU41" i="15"/>
  <c r="N118" i="15"/>
  <c r="AU118" i="15"/>
  <c r="AQ118" i="15"/>
  <c r="AM118" i="15"/>
  <c r="N52" i="15"/>
  <c r="AM52" i="15"/>
  <c r="Q65" i="14"/>
  <c r="BC65" i="14"/>
  <c r="AR65" i="14"/>
  <c r="AN65" i="14"/>
  <c r="AV65" i="14"/>
  <c r="BK65" i="14"/>
  <c r="BG65" i="14"/>
  <c r="Q85" i="14"/>
  <c r="BC85" i="14"/>
  <c r="BG85" i="14"/>
  <c r="AV85" i="14"/>
  <c r="AN85" i="14"/>
  <c r="BK85" i="14"/>
  <c r="AR85" i="14"/>
  <c r="N85" i="15"/>
  <c r="AM85" i="15"/>
  <c r="AU85" i="15"/>
  <c r="AQ85" i="15"/>
  <c r="Q31" i="14"/>
  <c r="BK31" i="14"/>
  <c r="AR31" i="14"/>
  <c r="BG31" i="14"/>
  <c r="BC31" i="14"/>
  <c r="AN31" i="14"/>
  <c r="AV31" i="14"/>
  <c r="N57" i="15"/>
  <c r="AM57" i="15"/>
  <c r="AU57" i="15"/>
  <c r="AQ57" i="15"/>
  <c r="Q60" i="14"/>
  <c r="AN60" i="14"/>
  <c r="BK60" i="14"/>
  <c r="AV60" i="14"/>
  <c r="BG60" i="14"/>
  <c r="BC60" i="14"/>
  <c r="AR60" i="14"/>
  <c r="T78" i="14"/>
  <c r="AD71" i="14"/>
  <c r="AF71" i="14" s="1"/>
  <c r="C43" i="55"/>
  <c r="F43" i="55" s="1"/>
  <c r="U117" i="15"/>
  <c r="AQ82" i="15"/>
  <c r="L22" i="45"/>
  <c r="U11" i="15"/>
  <c r="U21" i="15"/>
  <c r="W74" i="15"/>
  <c r="U74" i="15"/>
  <c r="U99" i="15"/>
  <c r="N59" i="16"/>
  <c r="AQ59" i="16"/>
  <c r="AM59" i="16"/>
  <c r="AU59" i="16"/>
  <c r="Q94" i="14"/>
  <c r="BK94" i="14"/>
  <c r="AR94" i="14"/>
  <c r="BG94" i="14"/>
  <c r="BC94" i="14"/>
  <c r="AN94" i="14"/>
  <c r="AV94" i="14"/>
  <c r="N39" i="16"/>
  <c r="AQ39" i="16"/>
  <c r="AU39" i="16"/>
  <c r="AM39" i="16"/>
  <c r="Q76" i="14"/>
  <c r="BK76" i="14"/>
  <c r="AR76" i="14"/>
  <c r="BG76" i="14"/>
  <c r="AN76" i="14"/>
  <c r="BC76" i="14"/>
  <c r="AV76" i="14"/>
  <c r="N91" i="15"/>
  <c r="AU91" i="15"/>
  <c r="AM91" i="15"/>
  <c r="AQ91" i="15"/>
  <c r="N43" i="15"/>
  <c r="AU43" i="15"/>
  <c r="N42" i="15"/>
  <c r="AU42" i="15"/>
  <c r="AM42" i="15"/>
  <c r="AQ42" i="15"/>
  <c r="N37" i="15"/>
  <c r="AM37" i="15"/>
  <c r="AQ37" i="15"/>
  <c r="AU37" i="15"/>
  <c r="Q18" i="14"/>
  <c r="AN18" i="14"/>
  <c r="BG18" i="14"/>
  <c r="AR18" i="14"/>
  <c r="BC18" i="14"/>
  <c r="BK18" i="14"/>
  <c r="AV18" i="14"/>
  <c r="N88" i="15"/>
  <c r="AM88" i="15"/>
  <c r="AU88" i="15"/>
  <c r="AQ88" i="15"/>
  <c r="N42" i="16"/>
  <c r="AM42" i="16"/>
  <c r="AU42" i="16"/>
  <c r="N108" i="15"/>
  <c r="AM108" i="15"/>
  <c r="AQ108" i="15"/>
  <c r="AU108" i="15"/>
  <c r="N116" i="15"/>
  <c r="AU116" i="15"/>
  <c r="AQ116" i="15"/>
  <c r="AM116" i="15"/>
  <c r="Q36" i="14"/>
  <c r="BK36" i="14"/>
  <c r="AR36" i="14"/>
  <c r="BC36" i="14"/>
  <c r="AN36" i="14"/>
  <c r="AV36" i="14"/>
  <c r="BG36" i="14"/>
  <c r="Q42" i="14"/>
  <c r="BK42" i="14"/>
  <c r="BC42" i="14"/>
  <c r="BG42" i="14"/>
  <c r="AV42" i="14"/>
  <c r="AN42" i="14"/>
  <c r="AR42" i="14"/>
  <c r="N37" i="52"/>
  <c r="F29" i="52"/>
  <c r="U88" i="15"/>
  <c r="W72" i="15"/>
  <c r="U82" i="15"/>
  <c r="M22" i="45"/>
  <c r="N38" i="16"/>
  <c r="AQ38" i="16"/>
  <c r="AU38" i="16"/>
  <c r="AM38" i="16"/>
  <c r="N69" i="15"/>
  <c r="AQ69" i="15"/>
  <c r="AM69" i="15"/>
  <c r="AU69" i="15"/>
  <c r="N122" i="15"/>
  <c r="AM122" i="15"/>
  <c r="AU122" i="15"/>
  <c r="AQ122" i="15"/>
  <c r="N78" i="15"/>
  <c r="AU78" i="15"/>
  <c r="AM78" i="15"/>
  <c r="AQ78" i="15"/>
  <c r="AM71" i="16"/>
  <c r="AQ71" i="16"/>
  <c r="N71" i="16"/>
  <c r="AU71" i="16"/>
  <c r="N25" i="15"/>
  <c r="AQ25" i="15"/>
  <c r="AM25" i="15"/>
  <c r="AU25" i="15"/>
  <c r="Q66" i="14"/>
  <c r="BK66" i="14"/>
  <c r="AV66" i="14"/>
  <c r="AN66" i="14"/>
  <c r="AR66" i="14"/>
  <c r="BC66" i="14"/>
  <c r="BG66" i="14"/>
  <c r="Q72" i="14"/>
  <c r="BG72" i="14"/>
  <c r="AN72" i="14"/>
  <c r="BK72" i="14"/>
  <c r="BC72" i="14"/>
  <c r="AV72" i="14"/>
  <c r="AR72" i="14"/>
  <c r="N114" i="15"/>
  <c r="AQ114" i="15"/>
  <c r="AM114" i="15"/>
  <c r="AU114" i="15"/>
  <c r="Q54" i="14"/>
  <c r="AN54" i="14"/>
  <c r="BC54" i="14"/>
  <c r="AR54" i="14"/>
  <c r="BK54" i="14"/>
  <c r="AV54" i="14"/>
  <c r="BG54" i="14"/>
  <c r="Q96" i="14"/>
  <c r="AV96" i="14"/>
  <c r="BG96" i="14"/>
  <c r="AN96" i="14"/>
  <c r="BK96" i="14"/>
  <c r="BC96" i="14"/>
  <c r="AR96" i="14"/>
  <c r="C24" i="55"/>
  <c r="F24" i="55" s="1"/>
  <c r="P23" i="43"/>
  <c r="O25" i="73"/>
  <c r="J26" i="43"/>
  <c r="N37" i="43"/>
  <c r="H23" i="43"/>
  <c r="N31" i="43"/>
  <c r="O24" i="73" s="1"/>
  <c r="I26" i="43"/>
  <c r="H26" i="43"/>
  <c r="K26" i="43"/>
  <c r="K19" i="43"/>
  <c r="Z35" i="16"/>
  <c r="AB35" i="16" s="1"/>
  <c r="Z65" i="16"/>
  <c r="K71" i="73" s="1"/>
  <c r="N25" i="16"/>
  <c r="AQ25" i="16"/>
  <c r="AU25" i="16"/>
  <c r="AB15" i="15"/>
  <c r="H7" i="73"/>
  <c r="BB97" i="15"/>
  <c r="Z97" i="15" s="1"/>
  <c r="AB97" i="15" s="1"/>
  <c r="W97" i="15"/>
  <c r="BB14" i="15"/>
  <c r="Z14" i="15" s="1"/>
  <c r="AB14" i="15" s="1"/>
  <c r="Z27" i="15"/>
  <c r="AB27" i="15" s="1"/>
  <c r="BB34" i="15"/>
  <c r="Z34" i="15" s="1"/>
  <c r="AB34" i="15" s="1"/>
  <c r="BB33" i="15"/>
  <c r="U62" i="15"/>
  <c r="BB50" i="15"/>
  <c r="Z50" i="15" s="1"/>
  <c r="W50" i="15"/>
  <c r="BB104" i="15"/>
  <c r="F11" i="15"/>
  <c r="L11" i="15"/>
  <c r="K11" i="15"/>
  <c r="M11" i="15"/>
  <c r="L113" i="15"/>
  <c r="M113" i="15"/>
  <c r="F113" i="15"/>
  <c r="K113" i="15"/>
  <c r="L119" i="15"/>
  <c r="M119" i="15"/>
  <c r="F119" i="15"/>
  <c r="K119" i="15"/>
  <c r="L98" i="15"/>
  <c r="M98" i="15"/>
  <c r="F98" i="15"/>
  <c r="K98" i="15"/>
  <c r="L21" i="15"/>
  <c r="U112" i="15"/>
  <c r="W108" i="15"/>
  <c r="U48" i="15"/>
  <c r="U52" i="15"/>
  <c r="U24" i="15"/>
  <c r="W61" i="15"/>
  <c r="W54" i="15"/>
  <c r="W21" i="15"/>
  <c r="W122" i="15"/>
  <c r="U103" i="15"/>
  <c r="U65" i="15"/>
  <c r="AQ35" i="15"/>
  <c r="N82" i="15"/>
  <c r="AM82" i="15"/>
  <c r="N22" i="15"/>
  <c r="AM22" i="15"/>
  <c r="V83" i="15"/>
  <c r="BB83" i="15" s="1"/>
  <c r="M34" i="15"/>
  <c r="F34" i="15"/>
  <c r="K34" i="15"/>
  <c r="L34" i="15"/>
  <c r="X33" i="15"/>
  <c r="S87" i="15"/>
  <c r="W87" i="15" s="1"/>
  <c r="M83" i="15"/>
  <c r="L83" i="15"/>
  <c r="F66" i="15"/>
  <c r="L66" i="15"/>
  <c r="K66" i="15"/>
  <c r="M66" i="15"/>
  <c r="M94" i="15"/>
  <c r="F94" i="15"/>
  <c r="K94" i="15"/>
  <c r="L94" i="15"/>
  <c r="X113" i="15"/>
  <c r="BD117" i="15"/>
  <c r="AE117" i="15"/>
  <c r="W83" i="15"/>
  <c r="L107" i="15"/>
  <c r="M107" i="15"/>
  <c r="F107" i="15"/>
  <c r="K107" i="15"/>
  <c r="BD33" i="15"/>
  <c r="U22" i="15"/>
  <c r="Z40" i="15"/>
  <c r="H32" i="73" s="1"/>
  <c r="Z49" i="15"/>
  <c r="H28" i="73" s="1"/>
  <c r="U40" i="15"/>
  <c r="Z61" i="15"/>
  <c r="AB61" i="15" s="1"/>
  <c r="U79" i="15"/>
  <c r="V11" i="15"/>
  <c r="V119" i="15"/>
  <c r="BB119" i="15" s="1"/>
  <c r="S14" i="15"/>
  <c r="W14" i="15" s="1"/>
  <c r="L24" i="15"/>
  <c r="M24" i="15"/>
  <c r="F24" i="15"/>
  <c r="K24" i="15"/>
  <c r="S27" i="15"/>
  <c r="U27" i="15" s="1"/>
  <c r="M32" i="15"/>
  <c r="K32" i="15"/>
  <c r="L32" i="15"/>
  <c r="S33" i="15"/>
  <c r="U33" i="15" s="1"/>
  <c r="F33" i="15"/>
  <c r="L33" i="15"/>
  <c r="K33" i="15"/>
  <c r="M33" i="15"/>
  <c r="V65" i="15"/>
  <c r="V63" i="15"/>
  <c r="BB63" i="15" s="1"/>
  <c r="M93" i="15"/>
  <c r="F93" i="15"/>
  <c r="K93" i="15"/>
  <c r="L93" i="15"/>
  <c r="L65" i="15"/>
  <c r="K65" i="15"/>
  <c r="M65" i="15"/>
  <c r="F65" i="15"/>
  <c r="L23" i="45"/>
  <c r="BD99" i="15"/>
  <c r="BD113" i="15"/>
  <c r="M21" i="15"/>
  <c r="F21" i="15"/>
  <c r="Z98" i="15"/>
  <c r="AB98" i="15" s="1"/>
  <c r="U98" i="15"/>
  <c r="W93" i="15"/>
  <c r="W52" i="15"/>
  <c r="U63" i="15"/>
  <c r="U84" i="15"/>
  <c r="BD30" i="15"/>
  <c r="U109" i="15"/>
  <c r="Z107" i="15"/>
  <c r="X119" i="15"/>
  <c r="L27" i="15"/>
  <c r="K27" i="15"/>
  <c r="M27" i="15"/>
  <c r="F27" i="15"/>
  <c r="N50" i="15"/>
  <c r="AM50" i="15"/>
  <c r="AU50" i="15"/>
  <c r="AQ50" i="15"/>
  <c r="L87" i="15"/>
  <c r="M87" i="15"/>
  <c r="F87" i="15"/>
  <c r="K87" i="15"/>
  <c r="M63" i="15"/>
  <c r="F63" i="15"/>
  <c r="K63" i="15"/>
  <c r="L63" i="15"/>
  <c r="S66" i="15"/>
  <c r="W66" i="15" s="1"/>
  <c r="S94" i="15"/>
  <c r="U94" i="15" s="1"/>
  <c r="N97" i="15"/>
  <c r="AU97" i="15"/>
  <c r="AQ97" i="15"/>
  <c r="AM97" i="15"/>
  <c r="V113" i="15"/>
  <c r="BB113" i="15" s="1"/>
  <c r="N117" i="15"/>
  <c r="AM117" i="15"/>
  <c r="AQ117" i="15"/>
  <c r="AU117" i="15"/>
  <c r="X104" i="15"/>
  <c r="H22" i="73"/>
  <c r="R153" i="73"/>
  <c r="Z20" i="15"/>
  <c r="AB20" i="15" s="1"/>
  <c r="W104" i="15"/>
  <c r="W34" i="15"/>
  <c r="R245" i="73"/>
  <c r="W79" i="15"/>
  <c r="W106" i="15"/>
  <c r="Z71" i="15"/>
  <c r="H82" i="73" s="1"/>
  <c r="Z57" i="15"/>
  <c r="H70" i="73" s="1"/>
  <c r="Z16" i="15"/>
  <c r="AB16" i="15" s="1"/>
  <c r="W69" i="15"/>
  <c r="H53" i="73"/>
  <c r="U83" i="15"/>
  <c r="W20" i="15"/>
  <c r="Z117" i="15"/>
  <c r="AB117" i="15" s="1"/>
  <c r="W25" i="15"/>
  <c r="W107" i="15"/>
  <c r="W43" i="15"/>
  <c r="N90" i="15"/>
  <c r="AM90" i="15"/>
  <c r="AQ90" i="15"/>
  <c r="AU90" i="15"/>
  <c r="Z23" i="15"/>
  <c r="AB23" i="15" s="1"/>
  <c r="N120" i="15"/>
  <c r="AU120" i="15"/>
  <c r="AQ120" i="15"/>
  <c r="AM120" i="15"/>
  <c r="H36" i="73"/>
  <c r="R167" i="73"/>
  <c r="AB39" i="15"/>
  <c r="BB43" i="15"/>
  <c r="Z43" i="15" s="1"/>
  <c r="H31" i="73" s="1"/>
  <c r="W110" i="15"/>
  <c r="U41" i="15"/>
  <c r="U13" i="15"/>
  <c r="Z21" i="15"/>
  <c r="R150" i="73" s="1"/>
  <c r="U97" i="15"/>
  <c r="W57" i="15"/>
  <c r="W31" i="15"/>
  <c r="Z80" i="15"/>
  <c r="R210" i="73" s="1"/>
  <c r="Z89" i="15"/>
  <c r="R233" i="73" s="1"/>
  <c r="U34" i="15"/>
  <c r="W120" i="15"/>
  <c r="R194" i="73"/>
  <c r="W25" i="16"/>
  <c r="Z32" i="15"/>
  <c r="H47" i="73" s="1"/>
  <c r="W29" i="16"/>
  <c r="W51" i="16"/>
  <c r="Z84" i="15"/>
  <c r="R231" i="73" s="1"/>
  <c r="Z86" i="15"/>
  <c r="AB86" i="15" s="1"/>
  <c r="BB64" i="15"/>
  <c r="Z64" i="15" s="1"/>
  <c r="K49" i="73"/>
  <c r="AV13" i="16"/>
  <c r="Z13" i="16" s="1"/>
  <c r="K5" i="73" s="1"/>
  <c r="K26" i="73"/>
  <c r="U100" i="15"/>
  <c r="Z96" i="15"/>
  <c r="AB96" i="15" s="1"/>
  <c r="W89" i="15"/>
  <c r="Z17" i="15"/>
  <c r="AB17" i="15" s="1"/>
  <c r="AB40" i="16"/>
  <c r="K55" i="73"/>
  <c r="Z25" i="16"/>
  <c r="R269" i="73" s="1"/>
  <c r="BB69" i="15"/>
  <c r="Z69" i="15" s="1"/>
  <c r="U122" i="15"/>
  <c r="E3" i="73"/>
  <c r="H63" i="73"/>
  <c r="Z71" i="16"/>
  <c r="AB71" i="16" s="1"/>
  <c r="AD19" i="14"/>
  <c r="AF19" i="14" s="1"/>
  <c r="AD93" i="14"/>
  <c r="AF93" i="14" s="1"/>
  <c r="AE93" i="14" s="1"/>
  <c r="U30" i="15"/>
  <c r="U75" i="15"/>
  <c r="W109" i="15"/>
  <c r="Z26" i="16"/>
  <c r="AB26" i="16" s="1"/>
  <c r="K60" i="73"/>
  <c r="Z78" i="14"/>
  <c r="Z62" i="15"/>
  <c r="Z109" i="15"/>
  <c r="W53" i="15"/>
  <c r="W26" i="16"/>
  <c r="Z21" i="16"/>
  <c r="K9" i="73" s="1"/>
  <c r="U89" i="15"/>
  <c r="Z30" i="15"/>
  <c r="W100" i="15"/>
  <c r="U34" i="16"/>
  <c r="AB12" i="15"/>
  <c r="H4" i="73"/>
  <c r="R135" i="73"/>
  <c r="U19" i="15"/>
  <c r="U31" i="15"/>
  <c r="Z110" i="15"/>
  <c r="AB110" i="15" s="1"/>
  <c r="Z122" i="15"/>
  <c r="AB122" i="15" s="1"/>
  <c r="Z24" i="15"/>
  <c r="AB24" i="15" s="1"/>
  <c r="Z28" i="15"/>
  <c r="AB28" i="15" s="1"/>
  <c r="W71" i="15"/>
  <c r="U54" i="15"/>
  <c r="U58" i="16"/>
  <c r="Z62" i="16"/>
  <c r="AB62" i="16" s="1"/>
  <c r="W21" i="16"/>
  <c r="AB116" i="15"/>
  <c r="W62" i="15"/>
  <c r="W62" i="16"/>
  <c r="W40" i="15"/>
  <c r="BB35" i="15"/>
  <c r="Z35" i="15" s="1"/>
  <c r="AB35" i="15" s="1"/>
  <c r="Z77" i="15"/>
  <c r="AB77" i="15" s="1"/>
  <c r="U49" i="15"/>
  <c r="U104" i="15"/>
  <c r="Z51" i="15"/>
  <c r="AB51" i="15" s="1"/>
  <c r="T20" i="14"/>
  <c r="E94" i="73"/>
  <c r="AA53" i="14"/>
  <c r="BL20" i="14"/>
  <c r="AD20" i="14" s="1"/>
  <c r="O22" i="45"/>
  <c r="AD44" i="14"/>
  <c r="AF44" i="14" s="1"/>
  <c r="T53" i="14"/>
  <c r="P23" i="45"/>
  <c r="AD80" i="14"/>
  <c r="AF80" i="14" s="1"/>
  <c r="AB46" i="14"/>
  <c r="AD46" i="14" s="1"/>
  <c r="AF46" i="14" s="1"/>
  <c r="AB53" i="14"/>
  <c r="AD53" i="14" s="1"/>
  <c r="AF53" i="14" s="1"/>
  <c r="T63" i="14"/>
  <c r="AA63" i="14"/>
  <c r="AA83" i="14"/>
  <c r="AD42" i="14"/>
  <c r="R68" i="73" s="1"/>
  <c r="AD92" i="14"/>
  <c r="E96" i="73" s="1"/>
  <c r="AB45" i="14"/>
  <c r="AD45" i="14" s="1"/>
  <c r="E38" i="73" s="1"/>
  <c r="AD94" i="14"/>
  <c r="E91" i="73" s="1"/>
  <c r="R184" i="73"/>
  <c r="Z87" i="15"/>
  <c r="U107" i="15"/>
  <c r="Z47" i="15"/>
  <c r="U61" i="15"/>
  <c r="W98" i="15"/>
  <c r="U91" i="15"/>
  <c r="H64" i="73"/>
  <c r="H92" i="73"/>
  <c r="W58" i="15"/>
  <c r="W84" i="15"/>
  <c r="R138" i="73"/>
  <c r="R223" i="73"/>
  <c r="AD70" i="14"/>
  <c r="AF70" i="14" s="1"/>
  <c r="AD13" i="14"/>
  <c r="AF13" i="14" s="1"/>
  <c r="AD91" i="14"/>
  <c r="E78" i="73" s="1"/>
  <c r="T47" i="14"/>
  <c r="AD18" i="14"/>
  <c r="AF18" i="14" s="1"/>
  <c r="R55" i="73"/>
  <c r="AD96" i="14"/>
  <c r="AF96" i="14" s="1"/>
  <c r="AA75" i="14"/>
  <c r="AD75" i="14" s="1"/>
  <c r="E26" i="73"/>
  <c r="AA72" i="14"/>
  <c r="AB95" i="14"/>
  <c r="AD95" i="14" s="1"/>
  <c r="AA17" i="14"/>
  <c r="AD23" i="14"/>
  <c r="AF23" i="14" s="1"/>
  <c r="AD29" i="14"/>
  <c r="E27" i="73" s="1"/>
  <c r="Z26" i="14"/>
  <c r="Q22" i="45"/>
  <c r="J23" i="45"/>
  <c r="J22" i="45"/>
  <c r="AB90" i="15"/>
  <c r="R208" i="73"/>
  <c r="H77" i="73"/>
  <c r="H44" i="73"/>
  <c r="R175" i="73"/>
  <c r="R176" i="73"/>
  <c r="AB58" i="15"/>
  <c r="H45" i="73"/>
  <c r="N83" i="15"/>
  <c r="AU83" i="15"/>
  <c r="AQ83" i="15"/>
  <c r="AM83" i="15"/>
  <c r="N64" i="16"/>
  <c r="AU64" i="16"/>
  <c r="AQ64" i="16"/>
  <c r="AM64" i="16"/>
  <c r="N15" i="16"/>
  <c r="AM15" i="16"/>
  <c r="AU15" i="16"/>
  <c r="AQ15" i="16"/>
  <c r="N103" i="15"/>
  <c r="AM103" i="15"/>
  <c r="AQ103" i="15"/>
  <c r="AU103" i="15"/>
  <c r="N46" i="15"/>
  <c r="AU46" i="15"/>
  <c r="AQ46" i="15"/>
  <c r="AM46" i="15"/>
  <c r="N74" i="15"/>
  <c r="AU74" i="15"/>
  <c r="AQ74" i="15"/>
  <c r="AM74" i="15"/>
  <c r="BK21" i="14"/>
  <c r="AR21" i="14"/>
  <c r="BG21" i="14"/>
  <c r="Q21" i="14"/>
  <c r="AN21" i="14"/>
  <c r="BC21" i="14"/>
  <c r="AV21" i="14"/>
  <c r="N16" i="16"/>
  <c r="AM16" i="16"/>
  <c r="AU16" i="16"/>
  <c r="AQ16" i="16"/>
  <c r="N40" i="15"/>
  <c r="AM40" i="15"/>
  <c r="AU40" i="15"/>
  <c r="AQ40" i="15"/>
  <c r="N47" i="15"/>
  <c r="AU47" i="15"/>
  <c r="AM47" i="15"/>
  <c r="AQ47" i="15"/>
  <c r="AX42" i="52"/>
  <c r="V42" i="52" s="1"/>
  <c r="BB42" i="52"/>
  <c r="W42" i="52" s="1"/>
  <c r="BI42" i="52"/>
  <c r="Y42" i="52" s="1"/>
  <c r="BM42" i="52"/>
  <c r="Z42" i="52" s="1"/>
  <c r="P42" i="52"/>
  <c r="AL42" i="52"/>
  <c r="Q42" i="52" s="1"/>
  <c r="AP42" i="52"/>
  <c r="R42" i="52" s="1"/>
  <c r="BE42" i="52"/>
  <c r="X42" i="52" s="1"/>
  <c r="AT42" i="52"/>
  <c r="T42" i="52" s="1"/>
  <c r="N26" i="16"/>
  <c r="AQ26" i="16"/>
  <c r="AM26" i="16"/>
  <c r="AU26" i="16"/>
  <c r="N65" i="16"/>
  <c r="AM65" i="16"/>
  <c r="AU65" i="16"/>
  <c r="AQ65" i="16"/>
  <c r="N68" i="16"/>
  <c r="AQ68" i="16"/>
  <c r="AM68" i="16"/>
  <c r="AU68" i="16"/>
  <c r="N121" i="15"/>
  <c r="AM121" i="15"/>
  <c r="AU121" i="15"/>
  <c r="AQ121" i="15"/>
  <c r="N17" i="15"/>
  <c r="AU17" i="15"/>
  <c r="AQ17" i="15"/>
  <c r="AM17" i="15"/>
  <c r="Q35" i="14"/>
  <c r="AN35" i="14"/>
  <c r="BG35" i="14"/>
  <c r="BK35" i="14"/>
  <c r="BC35" i="14"/>
  <c r="AV35" i="14"/>
  <c r="AR35" i="14"/>
  <c r="N44" i="15"/>
  <c r="AU44" i="15"/>
  <c r="AQ44" i="15"/>
  <c r="AM44" i="15"/>
  <c r="N66" i="16"/>
  <c r="AM66" i="16"/>
  <c r="AU66" i="16"/>
  <c r="AD60" i="14"/>
  <c r="R92" i="73" s="1"/>
  <c r="U111" i="15"/>
  <c r="Z37" i="15"/>
  <c r="Z121" i="15"/>
  <c r="W90" i="15"/>
  <c r="Z25" i="15"/>
  <c r="U73" i="15"/>
  <c r="U16" i="16"/>
  <c r="G33" i="43"/>
  <c r="AM52" i="16"/>
  <c r="AU52" i="16"/>
  <c r="N52" i="16"/>
  <c r="AQ52" i="16"/>
  <c r="N21" i="16"/>
  <c r="AQ21" i="16"/>
  <c r="AM21" i="16"/>
  <c r="AU21" i="16"/>
  <c r="N32" i="16"/>
  <c r="AU32" i="16"/>
  <c r="AQ32" i="16"/>
  <c r="AM32" i="16"/>
  <c r="N56" i="15"/>
  <c r="AM56" i="15"/>
  <c r="AQ56" i="15"/>
  <c r="AU56" i="15"/>
  <c r="AU68" i="15"/>
  <c r="N68" i="15"/>
  <c r="AQ68" i="15"/>
  <c r="AM68" i="15"/>
  <c r="N23" i="15"/>
  <c r="AM23" i="15"/>
  <c r="AQ23" i="15"/>
  <c r="AU23" i="15"/>
  <c r="N64" i="15"/>
  <c r="AU64" i="15"/>
  <c r="AM64" i="15"/>
  <c r="AQ64" i="15"/>
  <c r="N62" i="15"/>
  <c r="AU62" i="15"/>
  <c r="AQ62" i="15"/>
  <c r="AM62" i="15"/>
  <c r="N70" i="15"/>
  <c r="AQ70" i="15"/>
  <c r="AM70" i="15"/>
  <c r="AU70" i="15"/>
  <c r="Q92" i="14"/>
  <c r="BC92" i="14"/>
  <c r="AN92" i="14"/>
  <c r="BG92" i="14"/>
  <c r="AV92" i="14"/>
  <c r="AR92" i="14"/>
  <c r="BK92" i="14"/>
  <c r="N50" i="16"/>
  <c r="AU50" i="16"/>
  <c r="AQ50" i="16"/>
  <c r="AM50" i="16"/>
  <c r="Q26" i="14"/>
  <c r="AN26" i="14"/>
  <c r="BC26" i="14"/>
  <c r="AV26" i="14"/>
  <c r="BK26" i="14"/>
  <c r="AR26" i="14"/>
  <c r="BG26" i="14"/>
  <c r="Z91" i="15"/>
  <c r="R227" i="73" s="1"/>
  <c r="U29" i="15"/>
  <c r="Z115" i="15"/>
  <c r="Z45" i="15"/>
  <c r="AM46" i="16"/>
  <c r="AU46" i="16"/>
  <c r="N46" i="16"/>
  <c r="AQ46" i="16"/>
  <c r="N12" i="15"/>
  <c r="AU12" i="15"/>
  <c r="AQ12" i="15"/>
  <c r="AM12" i="15"/>
  <c r="N100" i="15"/>
  <c r="AU100" i="15"/>
  <c r="AQ100" i="15"/>
  <c r="AM100" i="15"/>
  <c r="N14" i="15"/>
  <c r="AM14" i="15"/>
  <c r="AU14" i="15"/>
  <c r="AQ14" i="15"/>
  <c r="Q84" i="14"/>
  <c r="AN84" i="14"/>
  <c r="BC84" i="14"/>
  <c r="AV84" i="14"/>
  <c r="BK84" i="14"/>
  <c r="AR84" i="14"/>
  <c r="BG84" i="14"/>
  <c r="N99" i="15"/>
  <c r="AU99" i="15"/>
  <c r="AQ99" i="15"/>
  <c r="AM99" i="15"/>
  <c r="N31" i="15"/>
  <c r="AM31" i="15"/>
  <c r="AU31" i="15"/>
  <c r="AQ31" i="15"/>
  <c r="H54" i="73"/>
  <c r="R259" i="73"/>
  <c r="AB17" i="16"/>
  <c r="W85" i="15"/>
  <c r="Z56" i="16"/>
  <c r="Z12" i="16"/>
  <c r="R251" i="73" s="1"/>
  <c r="AD47" i="14"/>
  <c r="AF47" i="14" s="1"/>
  <c r="Z67" i="14"/>
  <c r="Z100" i="15"/>
  <c r="Z73" i="15"/>
  <c r="W53" i="16"/>
  <c r="Z33" i="16"/>
  <c r="AB33" i="16" s="1"/>
  <c r="R163" i="73"/>
  <c r="AB40" i="15"/>
  <c r="Z38" i="14"/>
  <c r="AB11" i="14"/>
  <c r="K11" i="45"/>
  <c r="Z66" i="15"/>
  <c r="W117" i="15"/>
  <c r="U93" i="15"/>
  <c r="U38" i="16"/>
  <c r="P22" i="45"/>
  <c r="AD65" i="14"/>
  <c r="AF65" i="14" s="1"/>
  <c r="U32" i="15"/>
  <c r="AB17" i="52"/>
  <c r="AD17" i="52" s="1"/>
  <c r="AD21" i="14"/>
  <c r="AF21" i="14" s="1"/>
  <c r="AD28" i="14"/>
  <c r="E30" i="73" s="1"/>
  <c r="T12" i="45"/>
  <c r="AB78" i="14"/>
  <c r="Q23" i="45"/>
  <c r="Z79" i="15"/>
  <c r="U101" i="15"/>
  <c r="U80" i="15"/>
  <c r="Z106" i="15"/>
  <c r="R225" i="73" s="1"/>
  <c r="U114" i="15"/>
  <c r="C34" i="45"/>
  <c r="C36" i="45"/>
  <c r="C33" i="45"/>
  <c r="C37" i="45"/>
  <c r="C35" i="45"/>
  <c r="N39" i="43"/>
  <c r="N27" i="43"/>
  <c r="O8" i="73"/>
  <c r="P26" i="43"/>
  <c r="N12" i="43"/>
  <c r="P12" i="43" s="1"/>
  <c r="O13" i="73"/>
  <c r="C25" i="55"/>
  <c r="F25" i="55" s="1"/>
  <c r="C31" i="55"/>
  <c r="F31" i="55" s="1"/>
  <c r="R31" i="55" s="1"/>
  <c r="X31" i="55" s="1"/>
  <c r="C40" i="55"/>
  <c r="F40" i="55" s="1"/>
  <c r="C20" i="55"/>
  <c r="F20" i="55" s="1"/>
  <c r="C19" i="55"/>
  <c r="F19" i="55" s="1"/>
  <c r="I23" i="43"/>
  <c r="O28" i="73"/>
  <c r="C42" i="55"/>
  <c r="F42" i="55" s="1"/>
  <c r="C37" i="55"/>
  <c r="F37" i="55" s="1"/>
  <c r="C26" i="55"/>
  <c r="F26" i="55" s="1"/>
  <c r="R26" i="55" s="1"/>
  <c r="X26" i="55" s="1"/>
  <c r="C16" i="55"/>
  <c r="F16" i="55" s="1"/>
  <c r="C33" i="55"/>
  <c r="F33" i="55" s="1"/>
  <c r="C39" i="55"/>
  <c r="F39" i="55" s="1"/>
  <c r="P31" i="43"/>
  <c r="K10" i="43"/>
  <c r="N20" i="43"/>
  <c r="N33" i="43"/>
  <c r="J23" i="43"/>
  <c r="L23" i="43"/>
  <c r="T20" i="45"/>
  <c r="O29" i="73"/>
  <c r="C38" i="55"/>
  <c r="F38" i="55" s="1"/>
  <c r="J38" i="55" s="1"/>
  <c r="T38" i="55" s="1"/>
  <c r="C22" i="55"/>
  <c r="F22" i="55" s="1"/>
  <c r="C28" i="55"/>
  <c r="F28" i="55" s="1"/>
  <c r="C30" i="55"/>
  <c r="F30" i="55" s="1"/>
  <c r="C36" i="55"/>
  <c r="F36" i="55" s="1"/>
  <c r="J36" i="55" s="1"/>
  <c r="T36" i="55" s="1"/>
  <c r="C17" i="55"/>
  <c r="F17" i="55" s="1"/>
  <c r="J10" i="43"/>
  <c r="N18" i="43"/>
  <c r="O6" i="73"/>
  <c r="I38" i="43"/>
  <c r="H38" i="43"/>
  <c r="I12" i="43"/>
  <c r="G12" i="43"/>
  <c r="H12" i="43"/>
  <c r="N25" i="43"/>
  <c r="P25" i="43" s="1"/>
  <c r="J12" i="43"/>
  <c r="K12" i="43"/>
  <c r="L12" i="43"/>
  <c r="L33" i="43"/>
  <c r="K33" i="43"/>
  <c r="J33" i="43"/>
  <c r="K18" i="43"/>
  <c r="J18" i="43"/>
  <c r="N22" i="43"/>
  <c r="C32" i="55"/>
  <c r="F32" i="55" s="1"/>
  <c r="N32" i="55" s="1"/>
  <c r="I18" i="43"/>
  <c r="G18" i="43"/>
  <c r="G20" i="45"/>
  <c r="P27" i="43"/>
  <c r="O20" i="73"/>
  <c r="P10" i="43"/>
  <c r="O14" i="73"/>
  <c r="J25" i="43"/>
  <c r="K25" i="43"/>
  <c r="L25" i="43"/>
  <c r="N38" i="43"/>
  <c r="N14" i="43"/>
  <c r="J27" i="43"/>
  <c r="K27" i="43"/>
  <c r="L27" i="43"/>
  <c r="C34" i="55"/>
  <c r="F34" i="55" s="1"/>
  <c r="R34" i="55" s="1"/>
  <c r="X34" i="55" s="1"/>
  <c r="L38" i="43"/>
  <c r="K38" i="43"/>
  <c r="J38" i="43"/>
  <c r="N29" i="43"/>
  <c r="C23" i="55"/>
  <c r="F23" i="55" s="1"/>
  <c r="C29" i="55"/>
  <c r="F29" i="55" s="1"/>
  <c r="H20" i="43"/>
  <c r="I20" i="43"/>
  <c r="G20" i="43"/>
  <c r="H25" i="43"/>
  <c r="G25" i="43"/>
  <c r="I25" i="43"/>
  <c r="C35" i="55"/>
  <c r="F35" i="55" s="1"/>
  <c r="K32" i="43"/>
  <c r="J32" i="43"/>
  <c r="L32" i="43"/>
  <c r="J34" i="43"/>
  <c r="L34" i="43"/>
  <c r="K34" i="43"/>
  <c r="L22" i="43"/>
  <c r="K22" i="43"/>
  <c r="J22" i="43"/>
  <c r="N28" i="43"/>
  <c r="O26" i="73" s="1"/>
  <c r="G36" i="43"/>
  <c r="I36" i="43"/>
  <c r="H36" i="43"/>
  <c r="N30" i="43"/>
  <c r="L31" i="43"/>
  <c r="K31" i="43"/>
  <c r="J31" i="43"/>
  <c r="C18" i="55"/>
  <c r="F18" i="55" s="1"/>
  <c r="J18" i="55" s="1"/>
  <c r="T18" i="55" s="1"/>
  <c r="C46" i="55"/>
  <c r="F46" i="55" s="1"/>
  <c r="I28" i="43"/>
  <c r="G28" i="43"/>
  <c r="H28" i="43"/>
  <c r="N34" i="43"/>
  <c r="N36" i="43"/>
  <c r="I22" i="43"/>
  <c r="G22" i="43"/>
  <c r="H22" i="43"/>
  <c r="C45" i="55"/>
  <c r="F45" i="55" s="1"/>
  <c r="J28" i="43"/>
  <c r="L28" i="43"/>
  <c r="K28" i="43"/>
  <c r="I32" i="43"/>
  <c r="H32" i="43"/>
  <c r="G32" i="43"/>
  <c r="C27" i="55"/>
  <c r="F27" i="55" s="1"/>
  <c r="R22" i="55"/>
  <c r="X22" i="55" s="1"/>
  <c r="N22" i="55"/>
  <c r="V22" i="55" s="1"/>
  <c r="J22" i="55"/>
  <c r="T22" i="55" s="1"/>
  <c r="N40" i="55"/>
  <c r="V40" i="55" s="1"/>
  <c r="J40" i="55"/>
  <c r="T40" i="55" s="1"/>
  <c r="R40" i="55"/>
  <c r="X40" i="55" s="1"/>
  <c r="N30" i="55"/>
  <c r="V30" i="55" s="1"/>
  <c r="R30" i="55"/>
  <c r="X30" i="55" s="1"/>
  <c r="J30" i="55"/>
  <c r="T30" i="55" s="1"/>
  <c r="J17" i="55"/>
  <c r="T17" i="55" s="1"/>
  <c r="R17" i="55"/>
  <c r="X17" i="55" s="1"/>
  <c r="N17" i="55"/>
  <c r="V17" i="55" s="1"/>
  <c r="J23" i="55"/>
  <c r="T23" i="55" s="1"/>
  <c r="N23" i="55"/>
  <c r="V23" i="55" s="1"/>
  <c r="R23" i="55"/>
  <c r="X23" i="55" s="1"/>
  <c r="J21" i="55"/>
  <c r="T21" i="55" s="1"/>
  <c r="R21" i="55"/>
  <c r="X21" i="55" s="1"/>
  <c r="N21" i="55"/>
  <c r="V21" i="55" s="1"/>
  <c r="R41" i="55"/>
  <c r="X41" i="55" s="1"/>
  <c r="N41" i="55"/>
  <c r="V41" i="55" s="1"/>
  <c r="J41" i="55"/>
  <c r="T41" i="55" s="1"/>
  <c r="R37" i="55"/>
  <c r="X37" i="55" s="1"/>
  <c r="N37" i="55"/>
  <c r="V37" i="55" s="1"/>
  <c r="J37" i="55"/>
  <c r="T37" i="55" s="1"/>
  <c r="V15" i="55"/>
  <c r="N15" i="55"/>
  <c r="R15" i="55"/>
  <c r="X15" i="55" s="1"/>
  <c r="J15" i="55"/>
  <c r="T15" i="55" s="1"/>
  <c r="J24" i="55"/>
  <c r="T24" i="55" s="1"/>
  <c r="R24" i="55"/>
  <c r="X24" i="55" s="1"/>
  <c r="N24" i="55"/>
  <c r="V24" i="55" s="1"/>
  <c r="R39" i="55"/>
  <c r="X39" i="55" s="1"/>
  <c r="J39" i="55"/>
  <c r="T39" i="55" s="1"/>
  <c r="N39" i="55"/>
  <c r="V39" i="55" s="1"/>
  <c r="N25" i="55"/>
  <c r="V25" i="55" s="1"/>
  <c r="J25" i="55"/>
  <c r="T25" i="55" s="1"/>
  <c r="R25" i="55"/>
  <c r="X25" i="55" s="1"/>
  <c r="R28" i="55"/>
  <c r="X28" i="55" s="1"/>
  <c r="J28" i="55"/>
  <c r="T28" i="55" s="1"/>
  <c r="N28" i="55"/>
  <c r="V28" i="55" s="1"/>
  <c r="J20" i="55"/>
  <c r="T20" i="55" s="1"/>
  <c r="N20" i="55"/>
  <c r="V20" i="55" s="1"/>
  <c r="R20" i="55"/>
  <c r="X20" i="55" s="1"/>
  <c r="J19" i="55"/>
  <c r="T19" i="55" s="1"/>
  <c r="R19" i="55"/>
  <c r="X19" i="55" s="1"/>
  <c r="N19" i="55"/>
  <c r="V19" i="55" s="1"/>
  <c r="S39" i="43"/>
  <c r="P39" i="43"/>
  <c r="U20" i="45" s="1"/>
  <c r="N31" i="55"/>
  <c r="J44" i="55"/>
  <c r="T44" i="55" s="1"/>
  <c r="N44" i="55"/>
  <c r="V44" i="55" s="1"/>
  <c r="R44" i="55"/>
  <c r="X44" i="55" s="1"/>
  <c r="R18" i="55"/>
  <c r="X18" i="55" s="1"/>
  <c r="J42" i="55"/>
  <c r="T42" i="55" s="1"/>
  <c r="R42" i="55"/>
  <c r="X42" i="55" s="1"/>
  <c r="N42" i="55"/>
  <c r="V42" i="55" s="1"/>
  <c r="R43" i="55"/>
  <c r="X43" i="55" s="1"/>
  <c r="N43" i="55"/>
  <c r="V43" i="55" s="1"/>
  <c r="J43" i="55"/>
  <c r="T43" i="55" s="1"/>
  <c r="R46" i="55"/>
  <c r="R16" i="55"/>
  <c r="J16" i="55"/>
  <c r="T16" i="55" s="1"/>
  <c r="V16" i="55"/>
  <c r="X16" i="55"/>
  <c r="N16" i="55"/>
  <c r="J33" i="55"/>
  <c r="T33" i="55" s="1"/>
  <c r="R33" i="55"/>
  <c r="X33" i="55" s="1"/>
  <c r="N33" i="55"/>
  <c r="V33" i="55" s="1"/>
  <c r="W71" i="16"/>
  <c r="K41" i="73"/>
  <c r="AV37" i="16"/>
  <c r="Z37" i="16" s="1"/>
  <c r="W37" i="16"/>
  <c r="R311" i="73"/>
  <c r="K34" i="73"/>
  <c r="AV52" i="16"/>
  <c r="Z52" i="16" s="1"/>
  <c r="W52" i="16"/>
  <c r="AV69" i="16"/>
  <c r="Z69" i="16" s="1"/>
  <c r="AB69" i="16" s="1"/>
  <c r="W69" i="16"/>
  <c r="W61" i="16"/>
  <c r="AV61" i="16"/>
  <c r="Z61" i="16" s="1"/>
  <c r="AB61" i="16" s="1"/>
  <c r="R305" i="73"/>
  <c r="AB63" i="16"/>
  <c r="K57" i="73"/>
  <c r="K38" i="73"/>
  <c r="R286" i="73"/>
  <c r="AB56" i="16"/>
  <c r="R294" i="73"/>
  <c r="K46" i="73"/>
  <c r="K13" i="73"/>
  <c r="R303" i="73"/>
  <c r="AB53" i="16"/>
  <c r="R308" i="73"/>
  <c r="K11" i="73"/>
  <c r="K10" i="73"/>
  <c r="K61" i="73"/>
  <c r="N20" i="16"/>
  <c r="AQ20" i="16"/>
  <c r="AU20" i="16"/>
  <c r="AM20" i="16"/>
  <c r="N49" i="16"/>
  <c r="AQ49" i="16"/>
  <c r="AU49" i="16"/>
  <c r="AM49" i="16"/>
  <c r="N48" i="16"/>
  <c r="AU48" i="16"/>
  <c r="AQ48" i="16"/>
  <c r="AM48" i="16"/>
  <c r="N62" i="16"/>
  <c r="AQ62" i="16"/>
  <c r="AM62" i="16"/>
  <c r="AU62" i="16"/>
  <c r="AQ28" i="16"/>
  <c r="N28" i="16"/>
  <c r="AU28" i="16"/>
  <c r="AM28" i="16"/>
  <c r="N43" i="16"/>
  <c r="AQ43" i="16"/>
  <c r="AM43" i="16"/>
  <c r="AU43" i="16"/>
  <c r="R275" i="73"/>
  <c r="AB18" i="16"/>
  <c r="R315" i="73"/>
  <c r="AB72" i="16"/>
  <c r="K33" i="73"/>
  <c r="AV64" i="16"/>
  <c r="Z64" i="16" s="1"/>
  <c r="N27" i="16"/>
  <c r="AQ27" i="16"/>
  <c r="AU27" i="16"/>
  <c r="AM27" i="16"/>
  <c r="N35" i="16"/>
  <c r="AM35" i="16"/>
  <c r="AQ35" i="16"/>
  <c r="AU35" i="16"/>
  <c r="N12" i="16"/>
  <c r="AQ12" i="16"/>
  <c r="AM12" i="16"/>
  <c r="AU12" i="16"/>
  <c r="N61" i="16"/>
  <c r="AM61" i="16"/>
  <c r="AQ61" i="16"/>
  <c r="AU61" i="16"/>
  <c r="N60" i="16"/>
  <c r="AQ60" i="16"/>
  <c r="AU60" i="16"/>
  <c r="AM60" i="16"/>
  <c r="N22" i="16"/>
  <c r="AM22" i="16"/>
  <c r="AQ22" i="16"/>
  <c r="AU22" i="16"/>
  <c r="N63" i="16"/>
  <c r="AM63" i="16"/>
  <c r="AQ63" i="16"/>
  <c r="AU63" i="16"/>
  <c r="N33" i="16"/>
  <c r="AM33" i="16"/>
  <c r="AQ33" i="16"/>
  <c r="AU33" i="16"/>
  <c r="N17" i="16"/>
  <c r="AQ17" i="16"/>
  <c r="AU17" i="16"/>
  <c r="AM17" i="16"/>
  <c r="AM44" i="16"/>
  <c r="N44" i="16"/>
  <c r="AQ44" i="16"/>
  <c r="AU44" i="16"/>
  <c r="W65" i="16"/>
  <c r="AB29" i="16"/>
  <c r="W54" i="16"/>
  <c r="U54" i="16"/>
  <c r="W64" i="16"/>
  <c r="R255" i="73"/>
  <c r="R166" i="73"/>
  <c r="AB46" i="15"/>
  <c r="H35" i="73"/>
  <c r="W123" i="15"/>
  <c r="BB123" i="15"/>
  <c r="Z123" i="15" s="1"/>
  <c r="AB123" i="15" s="1"/>
  <c r="U59" i="15"/>
  <c r="U36" i="15"/>
  <c r="Z52" i="15"/>
  <c r="Z85" i="15"/>
  <c r="Z42" i="15"/>
  <c r="H42" i="73" s="1"/>
  <c r="W24" i="15"/>
  <c r="BB29" i="15"/>
  <c r="Z29" i="15" s="1"/>
  <c r="W29" i="15"/>
  <c r="U77" i="15"/>
  <c r="W56" i="15"/>
  <c r="Z93" i="15"/>
  <c r="W13" i="15"/>
  <c r="BB13" i="15"/>
  <c r="Z13" i="15" s="1"/>
  <c r="BB67" i="15"/>
  <c r="Z67" i="15" s="1"/>
  <c r="W67" i="15"/>
  <c r="BB88" i="15"/>
  <c r="Z88" i="15" s="1"/>
  <c r="AB88" i="15" s="1"/>
  <c r="W88" i="15"/>
  <c r="BB70" i="15"/>
  <c r="Z70" i="15" s="1"/>
  <c r="W70" i="15"/>
  <c r="U102" i="15"/>
  <c r="Z54" i="15"/>
  <c r="H115" i="73"/>
  <c r="AB107" i="15"/>
  <c r="R246" i="73"/>
  <c r="R250" i="73"/>
  <c r="W82" i="15"/>
  <c r="BB101" i="15"/>
  <c r="Z101" i="15" s="1"/>
  <c r="W101" i="15"/>
  <c r="BB44" i="15"/>
  <c r="Z44" i="15" s="1"/>
  <c r="W44" i="15"/>
  <c r="N36" i="15"/>
  <c r="AM36" i="15"/>
  <c r="AU36" i="15"/>
  <c r="AQ36" i="15"/>
  <c r="N15" i="15"/>
  <c r="AM15" i="15"/>
  <c r="AU15" i="15"/>
  <c r="AQ15" i="15"/>
  <c r="N21" i="15"/>
  <c r="AM21" i="15"/>
  <c r="AQ21" i="15"/>
  <c r="AU21" i="15"/>
  <c r="N13" i="15"/>
  <c r="AQ13" i="15"/>
  <c r="AM13" i="15"/>
  <c r="AU13" i="15"/>
  <c r="N49" i="15"/>
  <c r="AM49" i="15"/>
  <c r="AU49" i="15"/>
  <c r="AQ49" i="15"/>
  <c r="N61" i="15"/>
  <c r="AQ61" i="15"/>
  <c r="AM61" i="15"/>
  <c r="AU61" i="15"/>
  <c r="W115" i="15"/>
  <c r="U115" i="15"/>
  <c r="R195" i="73"/>
  <c r="W68" i="15"/>
  <c r="BB68" i="15"/>
  <c r="Z68" i="15" s="1"/>
  <c r="W92" i="15"/>
  <c r="U92" i="15"/>
  <c r="U38" i="15"/>
  <c r="Z38" i="15"/>
  <c r="BB114" i="15"/>
  <c r="Z114" i="15" s="1"/>
  <c r="W114" i="15"/>
  <c r="U105" i="15"/>
  <c r="Z83" i="15"/>
  <c r="N106" i="15"/>
  <c r="AM106" i="15"/>
  <c r="AU106" i="15"/>
  <c r="AQ106" i="15"/>
  <c r="N19" i="15"/>
  <c r="AM19" i="15"/>
  <c r="AQ19" i="15"/>
  <c r="AU19" i="15"/>
  <c r="N30" i="15"/>
  <c r="AQ30" i="15"/>
  <c r="AM30" i="15"/>
  <c r="AU30" i="15"/>
  <c r="U37" i="15"/>
  <c r="W37" i="15"/>
  <c r="BB19" i="15"/>
  <c r="Z19" i="15" s="1"/>
  <c r="W19" i="15"/>
  <c r="W60" i="15"/>
  <c r="BB60" i="15"/>
  <c r="Z60" i="15" s="1"/>
  <c r="W81" i="15"/>
  <c r="BB81" i="15"/>
  <c r="Z81" i="15" s="1"/>
  <c r="U28" i="15"/>
  <c r="W28" i="15"/>
  <c r="BB59" i="15"/>
  <c r="Z59" i="15" s="1"/>
  <c r="W59" i="15"/>
  <c r="W112" i="15"/>
  <c r="BB112" i="15"/>
  <c r="Z112" i="15" s="1"/>
  <c r="AB112" i="15" s="1"/>
  <c r="U76" i="15"/>
  <c r="BB94" i="15"/>
  <c r="Z94" i="15" s="1"/>
  <c r="Z75" i="15"/>
  <c r="U110" i="15"/>
  <c r="W118" i="15"/>
  <c r="BB118" i="15"/>
  <c r="Z118" i="15" s="1"/>
  <c r="W30" i="15"/>
  <c r="R162" i="73"/>
  <c r="N89" i="15"/>
  <c r="AM89" i="15"/>
  <c r="AU89" i="15"/>
  <c r="AQ89" i="15"/>
  <c r="N92" i="15"/>
  <c r="AM92" i="15"/>
  <c r="AQ92" i="15"/>
  <c r="AU92" i="15"/>
  <c r="N72" i="15"/>
  <c r="AQ72" i="15"/>
  <c r="AM72" i="15"/>
  <c r="AU72" i="15"/>
  <c r="N71" i="15"/>
  <c r="AM71" i="15"/>
  <c r="AQ71" i="15"/>
  <c r="AU71" i="15"/>
  <c r="N76" i="15"/>
  <c r="AM76" i="15"/>
  <c r="AU76" i="15"/>
  <c r="AQ76" i="15"/>
  <c r="N112" i="15"/>
  <c r="AM112" i="15"/>
  <c r="AQ112" i="15"/>
  <c r="AU112" i="15"/>
  <c r="U46" i="15"/>
  <c r="W46" i="15"/>
  <c r="U96" i="15"/>
  <c r="W96" i="15"/>
  <c r="U113" i="15"/>
  <c r="W78" i="15"/>
  <c r="BB78" i="15"/>
  <c r="Z78" i="15" s="1"/>
  <c r="BB26" i="15"/>
  <c r="Z26" i="15" s="1"/>
  <c r="W26" i="15"/>
  <c r="W39" i="15"/>
  <c r="Z74" i="15"/>
  <c r="AB74" i="15" s="1"/>
  <c r="W95" i="15"/>
  <c r="Z111" i="15"/>
  <c r="Z22" i="15"/>
  <c r="Z99" i="15"/>
  <c r="U12" i="15"/>
  <c r="N32" i="15"/>
  <c r="AM32" i="15"/>
  <c r="AQ32" i="15"/>
  <c r="AU32" i="15"/>
  <c r="N59" i="15"/>
  <c r="AQ59" i="15"/>
  <c r="AM59" i="15"/>
  <c r="AU59" i="15"/>
  <c r="N86" i="15"/>
  <c r="AM86" i="15"/>
  <c r="AU86" i="15"/>
  <c r="AQ86" i="15"/>
  <c r="N102" i="15"/>
  <c r="AM102" i="15"/>
  <c r="AU102" i="15"/>
  <c r="AQ102" i="15"/>
  <c r="W18" i="15"/>
  <c r="BB18" i="15"/>
  <c r="Z18" i="15" s="1"/>
  <c r="W41" i="15"/>
  <c r="BB41" i="15"/>
  <c r="Z41" i="15" s="1"/>
  <c r="BB36" i="15"/>
  <c r="Z36" i="15" s="1"/>
  <c r="W36" i="15"/>
  <c r="U16" i="15"/>
  <c r="U119" i="15"/>
  <c r="AB53" i="15"/>
  <c r="Z31" i="15"/>
  <c r="U15" i="15"/>
  <c r="BL57" i="14"/>
  <c r="T57" i="14"/>
  <c r="AA57" i="14"/>
  <c r="AD69" i="14"/>
  <c r="AF69" i="14" s="1"/>
  <c r="T66" i="14"/>
  <c r="BL66" i="14"/>
  <c r="AD66" i="14" s="1"/>
  <c r="AF66" i="14" s="1"/>
  <c r="Z53" i="14"/>
  <c r="Z86" i="14"/>
  <c r="Z89" i="14"/>
  <c r="AA58" i="14"/>
  <c r="T58" i="14"/>
  <c r="BL58" i="14"/>
  <c r="BL50" i="14"/>
  <c r="T50" i="14"/>
  <c r="AA50" i="14"/>
  <c r="T40" i="14"/>
  <c r="BL40" i="14"/>
  <c r="AD40" i="14" s="1"/>
  <c r="AB89" i="14"/>
  <c r="T97" i="14"/>
  <c r="Z79" i="14"/>
  <c r="AD38" i="14"/>
  <c r="R48" i="73" s="1"/>
  <c r="AB12" i="14"/>
  <c r="AD12" i="14" s="1"/>
  <c r="AF12" i="14" s="1"/>
  <c r="Z45" i="14"/>
  <c r="AB30" i="14"/>
  <c r="Z27" i="14"/>
  <c r="AB31" i="14"/>
  <c r="AD31" i="14" s="1"/>
  <c r="Z95" i="14"/>
  <c r="AD17" i="14"/>
  <c r="AA67" i="14"/>
  <c r="BL67" i="14"/>
  <c r="T67" i="14"/>
  <c r="BL77" i="14"/>
  <c r="T77" i="14"/>
  <c r="AA77" i="14"/>
  <c r="AA90" i="14"/>
  <c r="BL90" i="14"/>
  <c r="BL43" i="14"/>
  <c r="T43" i="14"/>
  <c r="AA43" i="14"/>
  <c r="AB77" i="14"/>
  <c r="AB90" i="14"/>
  <c r="R97" i="73"/>
  <c r="E35" i="73"/>
  <c r="AF36" i="14"/>
  <c r="R67" i="73"/>
  <c r="T52" i="14"/>
  <c r="AA52" i="14"/>
  <c r="BL52" i="14"/>
  <c r="Z62" i="14"/>
  <c r="T62" i="14"/>
  <c r="BL89" i="14"/>
  <c r="T89" i="14"/>
  <c r="AA89" i="14"/>
  <c r="BL82" i="14"/>
  <c r="AA82" i="14"/>
  <c r="T82" i="14"/>
  <c r="AD62" i="14"/>
  <c r="AF62" i="14" s="1"/>
  <c r="AB79" i="14"/>
  <c r="Z82" i="14"/>
  <c r="P53" i="14"/>
  <c r="F53" i="14"/>
  <c r="O53" i="14"/>
  <c r="N53" i="14"/>
  <c r="O86" i="14"/>
  <c r="F86" i="14"/>
  <c r="P86" i="14"/>
  <c r="N86" i="14"/>
  <c r="Q27" i="14"/>
  <c r="AN27" i="14"/>
  <c r="BC27" i="14"/>
  <c r="AR27" i="14"/>
  <c r="AV27" i="14"/>
  <c r="BK27" i="14"/>
  <c r="BG27" i="14"/>
  <c r="Q70" i="14"/>
  <c r="BC70" i="14"/>
  <c r="AR70" i="14"/>
  <c r="AN70" i="14"/>
  <c r="AV70" i="14"/>
  <c r="BG70" i="14"/>
  <c r="BK70" i="14"/>
  <c r="Q20" i="14"/>
  <c r="AR20" i="14"/>
  <c r="AN20" i="14"/>
  <c r="BK20" i="14"/>
  <c r="BC20" i="14"/>
  <c r="BG20" i="14"/>
  <c r="AV20" i="14"/>
  <c r="AD32" i="14"/>
  <c r="AF32" i="14" s="1"/>
  <c r="Z49" i="14"/>
  <c r="Z68" i="14"/>
  <c r="Q45" i="14"/>
  <c r="AN45" i="14"/>
  <c r="AR45" i="14"/>
  <c r="BK45" i="14"/>
  <c r="BC45" i="14"/>
  <c r="AV45" i="14"/>
  <c r="BG45" i="14"/>
  <c r="Q87" i="14"/>
  <c r="AV87" i="14"/>
  <c r="BC87" i="14"/>
  <c r="AN87" i="14"/>
  <c r="AR87" i="14"/>
  <c r="BK87" i="14"/>
  <c r="BG87" i="14"/>
  <c r="O52" i="14"/>
  <c r="N52" i="14"/>
  <c r="P52" i="14"/>
  <c r="F52" i="14"/>
  <c r="F78" i="14"/>
  <c r="O78" i="14"/>
  <c r="N78" i="14"/>
  <c r="P78" i="14"/>
  <c r="O90" i="14"/>
  <c r="F90" i="14"/>
  <c r="N90" i="14"/>
  <c r="P90" i="14"/>
  <c r="O82" i="14"/>
  <c r="F82" i="14"/>
  <c r="P82" i="14"/>
  <c r="N82" i="14"/>
  <c r="Q67" i="14"/>
  <c r="AN67" i="14"/>
  <c r="BK67" i="14"/>
  <c r="AR67" i="14"/>
  <c r="BC67" i="14"/>
  <c r="BG67" i="14"/>
  <c r="AV67" i="14"/>
  <c r="Q39" i="14"/>
  <c r="BK39" i="14"/>
  <c r="AR39" i="14"/>
  <c r="BC39" i="14"/>
  <c r="AV39" i="14"/>
  <c r="AN39" i="14"/>
  <c r="BG39" i="14"/>
  <c r="BL78" i="14"/>
  <c r="AA78" i="14"/>
  <c r="T75" i="14"/>
  <c r="AB15" i="14"/>
  <c r="AB63" i="14"/>
  <c r="Z63" i="14"/>
  <c r="Z73" i="14"/>
  <c r="T46" i="14"/>
  <c r="Z46" i="14"/>
  <c r="O46" i="14"/>
  <c r="F46" i="14"/>
  <c r="P46" i="14"/>
  <c r="N46" i="14"/>
  <c r="Q47" i="14"/>
  <c r="AV47" i="14"/>
  <c r="BK47" i="14"/>
  <c r="BG47" i="14"/>
  <c r="BC47" i="14"/>
  <c r="AN47" i="14"/>
  <c r="AR47" i="14"/>
  <c r="Q91" i="14"/>
  <c r="BC91" i="14"/>
  <c r="AV91" i="14"/>
  <c r="AN91" i="14"/>
  <c r="AR91" i="14"/>
  <c r="BK91" i="14"/>
  <c r="BG91" i="14"/>
  <c r="O43" i="14"/>
  <c r="F43" i="14"/>
  <c r="N43" i="14"/>
  <c r="P43" i="14"/>
  <c r="O62" i="14"/>
  <c r="F62" i="14"/>
  <c r="P62" i="14"/>
  <c r="N62" i="14"/>
  <c r="O77" i="14"/>
  <c r="F77" i="14"/>
  <c r="N77" i="14"/>
  <c r="P77" i="14"/>
  <c r="Q97" i="14"/>
  <c r="BK97" i="14"/>
  <c r="AR97" i="14"/>
  <c r="BC97" i="14"/>
  <c r="AV97" i="14"/>
  <c r="AN97" i="14"/>
  <c r="BG97" i="14"/>
  <c r="Z18" i="14"/>
  <c r="T18" i="14"/>
  <c r="Z60" i="14"/>
  <c r="AD14" i="14"/>
  <c r="AB37" i="14"/>
  <c r="AD51" i="14"/>
  <c r="AF51" i="14" s="1"/>
  <c r="Q89" i="14"/>
  <c r="BK89" i="14"/>
  <c r="AN89" i="14"/>
  <c r="AV89" i="14"/>
  <c r="BG89" i="14"/>
  <c r="AR89" i="14"/>
  <c r="BC89" i="14"/>
  <c r="T86" i="14"/>
  <c r="AA34" i="14"/>
  <c r="T34" i="14"/>
  <c r="BL34" i="14"/>
  <c r="BL68" i="14"/>
  <c r="AA68" i="14"/>
  <c r="T68" i="14"/>
  <c r="BL87" i="14"/>
  <c r="AA87" i="14"/>
  <c r="T87" i="14"/>
  <c r="E31" i="73"/>
  <c r="R76" i="73"/>
  <c r="E44" i="73"/>
  <c r="BL59" i="14"/>
  <c r="AA59" i="14"/>
  <c r="T59" i="14"/>
  <c r="BL54" i="14"/>
  <c r="T54" i="14"/>
  <c r="AA54" i="14"/>
  <c r="T79" i="14"/>
  <c r="AA79" i="14"/>
  <c r="BL79" i="14"/>
  <c r="AA26" i="14"/>
  <c r="BL26" i="14"/>
  <c r="T26" i="14"/>
  <c r="BL27" i="14"/>
  <c r="AA27" i="14"/>
  <c r="T27" i="14"/>
  <c r="AB27" i="14"/>
  <c r="T49" i="14"/>
  <c r="AA49" i="14"/>
  <c r="BL49" i="14"/>
  <c r="AB54" i="14"/>
  <c r="BL15" i="14"/>
  <c r="T15" i="14"/>
  <c r="AA15" i="14"/>
  <c r="T73" i="14"/>
  <c r="BL73" i="14"/>
  <c r="AA73" i="14"/>
  <c r="AB56" i="14"/>
  <c r="AD56" i="14" s="1"/>
  <c r="T83" i="14"/>
  <c r="Z83" i="14"/>
  <c r="BL30" i="14"/>
  <c r="AA30" i="14"/>
  <c r="AB34" i="14"/>
  <c r="AB68" i="14"/>
  <c r="O68" i="14"/>
  <c r="P68" i="14"/>
  <c r="F68" i="14"/>
  <c r="N68" i="14"/>
  <c r="Z87" i="14"/>
  <c r="AI83" i="14"/>
  <c r="AD35" i="14"/>
  <c r="AD88" i="14"/>
  <c r="R118" i="73" s="1"/>
  <c r="AI30" i="14"/>
  <c r="F37" i="14"/>
  <c r="O37" i="14"/>
  <c r="N37" i="14"/>
  <c r="P37" i="14"/>
  <c r="Z56" i="14"/>
  <c r="T56" i="14"/>
  <c r="F34" i="14"/>
  <c r="O34" i="14"/>
  <c r="N34" i="14"/>
  <c r="P34" i="14"/>
  <c r="F49" i="14"/>
  <c r="O49" i="14"/>
  <c r="P49" i="14"/>
  <c r="N49" i="14"/>
  <c r="F51" i="14"/>
  <c r="O51" i="14"/>
  <c r="P51" i="14"/>
  <c r="N51" i="14"/>
  <c r="O56" i="14"/>
  <c r="P56" i="14"/>
  <c r="F56" i="14"/>
  <c r="N56" i="14"/>
  <c r="Z72" i="14"/>
  <c r="T72" i="14"/>
  <c r="O73" i="14"/>
  <c r="P73" i="14"/>
  <c r="F73" i="14"/>
  <c r="N73" i="14"/>
  <c r="AB73" i="14"/>
  <c r="T17" i="14"/>
  <c r="AB59" i="14"/>
  <c r="Z37" i="14"/>
  <c r="Z54" i="14"/>
  <c r="F12" i="14"/>
  <c r="O12" i="14"/>
  <c r="N12" i="14"/>
  <c r="P12" i="14"/>
  <c r="O15" i="14"/>
  <c r="F15" i="14"/>
  <c r="P15" i="14"/>
  <c r="N15" i="14"/>
  <c r="N30" i="14"/>
  <c r="O30" i="14"/>
  <c r="P30" i="14"/>
  <c r="F30" i="14"/>
  <c r="T37" i="14"/>
  <c r="BL37" i="14"/>
  <c r="AA37" i="14"/>
  <c r="Z51" i="14"/>
  <c r="T51" i="14"/>
  <c r="O63" i="14"/>
  <c r="F63" i="14"/>
  <c r="P63" i="14"/>
  <c r="N63" i="14"/>
  <c r="N59" i="14"/>
  <c r="O59" i="14"/>
  <c r="P59" i="14"/>
  <c r="F59" i="14"/>
  <c r="AB72" i="14"/>
  <c r="O79" i="14"/>
  <c r="P79" i="14"/>
  <c r="F79" i="14"/>
  <c r="N79" i="14"/>
  <c r="F95" i="14"/>
  <c r="O95" i="14"/>
  <c r="P95" i="14"/>
  <c r="N95" i="14"/>
  <c r="AB83" i="14"/>
  <c r="AD83" i="14" s="1"/>
  <c r="F83" i="14"/>
  <c r="O83" i="14"/>
  <c r="N83" i="14"/>
  <c r="P83" i="14"/>
  <c r="T28" i="14"/>
  <c r="R98" i="73"/>
  <c r="AF16" i="14"/>
  <c r="AF48" i="14"/>
  <c r="E39" i="73"/>
  <c r="R71" i="73"/>
  <c r="Z90" i="14"/>
  <c r="T90" i="14"/>
  <c r="E49" i="73"/>
  <c r="AF97" i="14"/>
  <c r="S36" i="52"/>
  <c r="T14" i="52"/>
  <c r="M31" i="52"/>
  <c r="F31" i="52"/>
  <c r="BM31" i="52" s="1"/>
  <c r="Z31" i="52" s="1"/>
  <c r="N31" i="52"/>
  <c r="S17" i="52"/>
  <c r="U17" i="52"/>
  <c r="P39" i="52"/>
  <c r="BE39" i="52"/>
  <c r="X39" i="52" s="1"/>
  <c r="BI39" i="52"/>
  <c r="Y39" i="52" s="1"/>
  <c r="AP39" i="52"/>
  <c r="R39" i="52" s="1"/>
  <c r="AL39" i="52"/>
  <c r="Q39" i="52" s="1"/>
  <c r="AT39" i="52"/>
  <c r="T39" i="52" s="1"/>
  <c r="BB39" i="52"/>
  <c r="W39" i="52" s="1"/>
  <c r="BM39" i="52"/>
  <c r="Z39" i="52" s="1"/>
  <c r="AX39" i="52"/>
  <c r="V39" i="52" s="1"/>
  <c r="M27" i="52"/>
  <c r="N27" i="52"/>
  <c r="O27" i="52"/>
  <c r="F27" i="52"/>
  <c r="F16" i="52"/>
  <c r="O16" i="52"/>
  <c r="O11" i="52"/>
  <c r="F11" i="52"/>
  <c r="M11" i="52"/>
  <c r="N11" i="52"/>
  <c r="F38" i="52"/>
  <c r="O38" i="52"/>
  <c r="M28" i="52"/>
  <c r="N28" i="52"/>
  <c r="O28" i="52"/>
  <c r="F28" i="52"/>
  <c r="P37" i="52"/>
  <c r="BB37" i="52"/>
  <c r="W37" i="52" s="1"/>
  <c r="AT37" i="52"/>
  <c r="T37" i="52" s="1"/>
  <c r="BE37" i="52"/>
  <c r="X37" i="52" s="1"/>
  <c r="BI37" i="52"/>
  <c r="Y37" i="52" s="1"/>
  <c r="AX37" i="52"/>
  <c r="V37" i="52" s="1"/>
  <c r="AP37" i="52"/>
  <c r="R37" i="52" s="1"/>
  <c r="AL37" i="52"/>
  <c r="Q37" i="52" s="1"/>
  <c r="BM37" i="52"/>
  <c r="Z37" i="52" s="1"/>
  <c r="P31" i="52"/>
  <c r="BB31" i="52"/>
  <c r="W31" i="52" s="1"/>
  <c r="AP31" i="52"/>
  <c r="R31" i="52" s="1"/>
  <c r="AT31" i="52"/>
  <c r="T31" i="52" s="1"/>
  <c r="AX31" i="52"/>
  <c r="V31" i="52" s="1"/>
  <c r="P29" i="52"/>
  <c r="BE29" i="52"/>
  <c r="X29" i="52" s="1"/>
  <c r="AT29" i="52"/>
  <c r="T29" i="52" s="1"/>
  <c r="BN29" i="52" s="1"/>
  <c r="BM29" i="52"/>
  <c r="Z29" i="52" s="1"/>
  <c r="BB29" i="52"/>
  <c r="W29" i="52" s="1"/>
  <c r="AL29" i="52"/>
  <c r="Q29" i="52" s="1"/>
  <c r="AP29" i="52"/>
  <c r="R29" i="52" s="1"/>
  <c r="BI29" i="52"/>
  <c r="Y29" i="52" s="1"/>
  <c r="AX29" i="52"/>
  <c r="V29" i="52" s="1"/>
  <c r="AT32" i="52"/>
  <c r="T32" i="52" s="1"/>
  <c r="BN32" i="52" s="1"/>
  <c r="BI32" i="52"/>
  <c r="Y32" i="52" s="1"/>
  <c r="BM32" i="52"/>
  <c r="Z32" i="52" s="1"/>
  <c r="P32" i="52"/>
  <c r="AX32" i="52"/>
  <c r="V32" i="52" s="1"/>
  <c r="AL32" i="52"/>
  <c r="Q32" i="52" s="1"/>
  <c r="BB32" i="52"/>
  <c r="W32" i="52" s="1"/>
  <c r="AP32" i="52"/>
  <c r="R32" i="52" s="1"/>
  <c r="BE32" i="52"/>
  <c r="X32" i="52" s="1"/>
  <c r="M23" i="52"/>
  <c r="N23" i="52"/>
  <c r="O23" i="52"/>
  <c r="F23" i="52"/>
  <c r="P19" i="52"/>
  <c r="AL19" i="52"/>
  <c r="Q19" i="52" s="1"/>
  <c r="BM19" i="52"/>
  <c r="Z19" i="52" s="1"/>
  <c r="BE19" i="52"/>
  <c r="X19" i="52" s="1"/>
  <c r="BB19" i="52"/>
  <c r="W19" i="52" s="1"/>
  <c r="BI19" i="52"/>
  <c r="Y19" i="52" s="1"/>
  <c r="AP19" i="52"/>
  <c r="R19" i="52" s="1"/>
  <c r="AT19" i="52"/>
  <c r="T19" i="52" s="1"/>
  <c r="AX19" i="52"/>
  <c r="V19" i="52" s="1"/>
  <c r="P15" i="52"/>
  <c r="AT15" i="52"/>
  <c r="T15" i="52" s="1"/>
  <c r="AX15" i="52"/>
  <c r="V15" i="52" s="1"/>
  <c r="BE15" i="52"/>
  <c r="X15" i="52" s="1"/>
  <c r="BB15" i="52"/>
  <c r="W15" i="52" s="1"/>
  <c r="AL15" i="52"/>
  <c r="Q15" i="52" s="1"/>
  <c r="BI15" i="52"/>
  <c r="Y15" i="52" s="1"/>
  <c r="AP15" i="52"/>
  <c r="R15" i="52" s="1"/>
  <c r="BM15" i="52"/>
  <c r="Z15" i="52" s="1"/>
  <c r="N18" i="52"/>
  <c r="F18" i="52"/>
  <c r="O18" i="52"/>
  <c r="M18" i="52"/>
  <c r="BN19" i="52"/>
  <c r="Q14" i="52"/>
  <c r="BN14" i="52"/>
  <c r="AB14" i="52" s="1"/>
  <c r="P35" i="52"/>
  <c r="BM35" i="52"/>
  <c r="Z35" i="52" s="1"/>
  <c r="AX35" i="52"/>
  <c r="V35" i="52" s="1"/>
  <c r="AP35" i="52"/>
  <c r="R35" i="52" s="1"/>
  <c r="AT35" i="52"/>
  <c r="T35" i="52" s="1"/>
  <c r="BB35" i="52"/>
  <c r="W35" i="52" s="1"/>
  <c r="BE35" i="52"/>
  <c r="X35" i="52" s="1"/>
  <c r="AL35" i="52"/>
  <c r="Q35" i="52" s="1"/>
  <c r="BI35" i="52"/>
  <c r="Y35" i="52" s="1"/>
  <c r="P30" i="52"/>
  <c r="AT30" i="52"/>
  <c r="T30" i="52" s="1"/>
  <c r="BE30" i="52"/>
  <c r="X30" i="52" s="1"/>
  <c r="AP30" i="52"/>
  <c r="BB30" i="52"/>
  <c r="W30" i="52" s="1"/>
  <c r="AX30" i="52"/>
  <c r="AL30" i="52"/>
  <c r="Q30" i="52" s="1"/>
  <c r="BM30" i="52"/>
  <c r="Z30" i="52" s="1"/>
  <c r="BI30" i="52"/>
  <c r="Y30" i="52" s="1"/>
  <c r="M13" i="52"/>
  <c r="O13" i="52"/>
  <c r="F13" i="52"/>
  <c r="N13" i="52"/>
  <c r="R14" i="52"/>
  <c r="S14" i="52" s="1"/>
  <c r="X14" i="52"/>
  <c r="R30" i="52"/>
  <c r="F41" i="52"/>
  <c r="O41" i="52"/>
  <c r="N41" i="52"/>
  <c r="M41" i="52"/>
  <c r="BN31" i="52"/>
  <c r="BN36" i="52"/>
  <c r="AB36" i="52" s="1"/>
  <c r="U36" i="52"/>
  <c r="U32" i="52"/>
  <c r="N22" i="52"/>
  <c r="M22" i="52"/>
  <c r="O22" i="52"/>
  <c r="F22" i="52"/>
  <c r="P24" i="52"/>
  <c r="BE24" i="52"/>
  <c r="X24" i="52" s="1"/>
  <c r="BI24" i="52"/>
  <c r="Y24" i="52" s="1"/>
  <c r="AP24" i="52"/>
  <c r="R24" i="52" s="1"/>
  <c r="BB24" i="52"/>
  <c r="W24" i="52" s="1"/>
  <c r="AX24" i="52"/>
  <c r="V24" i="52" s="1"/>
  <c r="AT24" i="52"/>
  <c r="T24" i="52" s="1"/>
  <c r="AL24" i="52"/>
  <c r="Q24" i="52" s="1"/>
  <c r="BM24" i="52"/>
  <c r="Z24" i="52" s="1"/>
  <c r="BB20" i="52"/>
  <c r="W20" i="52" s="1"/>
  <c r="AT20" i="52"/>
  <c r="T20" i="52" s="1"/>
  <c r="AP20" i="52"/>
  <c r="R20" i="52" s="1"/>
  <c r="AX20" i="52"/>
  <c r="V20" i="52" s="1"/>
  <c r="P20" i="52"/>
  <c r="BI20" i="52"/>
  <c r="Y20" i="52" s="1"/>
  <c r="BM20" i="52"/>
  <c r="Z20" i="52" s="1"/>
  <c r="BE20" i="52"/>
  <c r="X20" i="52" s="1"/>
  <c r="AL20" i="52"/>
  <c r="Q20" i="52" s="1"/>
  <c r="P34" i="52"/>
  <c r="BB34" i="52"/>
  <c r="W34" i="52" s="1"/>
  <c r="AP34" i="52"/>
  <c r="BE34" i="52"/>
  <c r="BM34" i="52"/>
  <c r="Z34" i="52" s="1"/>
  <c r="AX34" i="52"/>
  <c r="V34" i="52" s="1"/>
  <c r="AL34" i="52"/>
  <c r="Q34" i="52" s="1"/>
  <c r="AT34" i="52"/>
  <c r="T34" i="52" s="1"/>
  <c r="BI34" i="52"/>
  <c r="Y34" i="52" s="1"/>
  <c r="P12" i="52"/>
  <c r="AT12" i="52"/>
  <c r="T12" i="52" s="1"/>
  <c r="AP12" i="52"/>
  <c r="R12" i="52" s="1"/>
  <c r="AX12" i="52"/>
  <c r="V12" i="52" s="1"/>
  <c r="BM12" i="52"/>
  <c r="Z12" i="52" s="1"/>
  <c r="BE12" i="52"/>
  <c r="X12" i="52" s="1"/>
  <c r="BI12" i="52"/>
  <c r="Y12" i="52" s="1"/>
  <c r="BB12" i="52"/>
  <c r="W12" i="52" s="1"/>
  <c r="AL12" i="52"/>
  <c r="Q12" i="52" s="1"/>
  <c r="N25" i="52"/>
  <c r="M25" i="52"/>
  <c r="O25" i="52"/>
  <c r="F25" i="52"/>
  <c r="R34" i="52"/>
  <c r="X34" i="52"/>
  <c r="V30" i="52"/>
  <c r="P21" i="52"/>
  <c r="BM21" i="52"/>
  <c r="Z21" i="52" s="1"/>
  <c r="BE21" i="52"/>
  <c r="X21" i="52" s="1"/>
  <c r="AT21" i="52"/>
  <c r="T21" i="52" s="1"/>
  <c r="BB21" i="52"/>
  <c r="W21" i="52" s="1"/>
  <c r="AX21" i="52"/>
  <c r="V21" i="52" s="1"/>
  <c r="BI21" i="52"/>
  <c r="Y21" i="52" s="1"/>
  <c r="AL21" i="52"/>
  <c r="Q21" i="52" s="1"/>
  <c r="AP21" i="52"/>
  <c r="R21" i="52" s="1"/>
  <c r="BM26" i="52"/>
  <c r="Z26" i="52" s="1"/>
  <c r="BB26" i="52"/>
  <c r="W26" i="52" s="1"/>
  <c r="AX26" i="52"/>
  <c r="V26" i="52" s="1"/>
  <c r="BI26" i="52"/>
  <c r="Y26" i="52" s="1"/>
  <c r="AL26" i="52"/>
  <c r="Q26" i="52" s="1"/>
  <c r="AP26" i="52"/>
  <c r="R26" i="52" s="1"/>
  <c r="P26" i="52"/>
  <c r="AT26" i="52"/>
  <c r="T26" i="52" s="1"/>
  <c r="BE26" i="52"/>
  <c r="X26" i="52" s="1"/>
  <c r="P33" i="52"/>
  <c r="AP33" i="52"/>
  <c r="R33" i="52" s="1"/>
  <c r="AX33" i="52"/>
  <c r="V33" i="52" s="1"/>
  <c r="BB33" i="52"/>
  <c r="W33" i="52" s="1"/>
  <c r="BI33" i="52"/>
  <c r="Y33" i="52" s="1"/>
  <c r="BE33" i="52"/>
  <c r="X33" i="52" s="1"/>
  <c r="AT33" i="52"/>
  <c r="T33" i="52" s="1"/>
  <c r="AL33" i="52"/>
  <c r="Q33" i="52" s="1"/>
  <c r="BM33" i="52"/>
  <c r="Z33" i="52" s="1"/>
  <c r="F8" i="59"/>
  <c r="L8" i="59"/>
  <c r="R8" i="59"/>
  <c r="AD8" i="59"/>
  <c r="R253" i="73"/>
  <c r="AB14" i="16"/>
  <c r="K6" i="73"/>
  <c r="R254" i="73"/>
  <c r="AB13" i="16"/>
  <c r="R272" i="73"/>
  <c r="K24" i="73"/>
  <c r="AB28" i="16"/>
  <c r="R271" i="73"/>
  <c r="K23" i="73"/>
  <c r="K14" i="73"/>
  <c r="R262" i="73"/>
  <c r="AB21" i="16"/>
  <c r="R279" i="73"/>
  <c r="K31" i="73"/>
  <c r="AB42" i="16"/>
  <c r="K3" i="73"/>
  <c r="AB11" i="16"/>
  <c r="R260" i="73"/>
  <c r="K12" i="73"/>
  <c r="AB20" i="16"/>
  <c r="R280" i="73"/>
  <c r="K32" i="73"/>
  <c r="AB38" i="16"/>
  <c r="AB19" i="16"/>
  <c r="R264" i="73"/>
  <c r="K16" i="73"/>
  <c r="AB23" i="16"/>
  <c r="K17" i="73"/>
  <c r="AB22" i="16"/>
  <c r="R265" i="73"/>
  <c r="K53" i="73"/>
  <c r="R301" i="73"/>
  <c r="R320" i="73"/>
  <c r="K72" i="73"/>
  <c r="R263" i="73"/>
  <c r="K15" i="73"/>
  <c r="AB36" i="16"/>
  <c r="R252" i="73"/>
  <c r="K4" i="73"/>
  <c r="AB12" i="16"/>
  <c r="R312" i="73"/>
  <c r="AB54" i="16"/>
  <c r="K64" i="73"/>
  <c r="AB49" i="16"/>
  <c r="R293" i="73"/>
  <c r="R291" i="73"/>
  <c r="K43" i="73"/>
  <c r="AB57" i="16"/>
  <c r="AB68" i="16"/>
  <c r="K22" i="73"/>
  <c r="R270" i="73"/>
  <c r="AB27" i="16"/>
  <c r="K29" i="73"/>
  <c r="R277" i="73"/>
  <c r="AB39" i="16"/>
  <c r="K42" i="73"/>
  <c r="R290" i="73"/>
  <c r="AB46" i="16"/>
  <c r="R295" i="73"/>
  <c r="AB48" i="16"/>
  <c r="K47" i="73"/>
  <c r="K66" i="73"/>
  <c r="R314" i="73"/>
  <c r="AB60" i="16"/>
  <c r="R299" i="73"/>
  <c r="K51" i="73"/>
  <c r="AB70" i="16"/>
  <c r="R307" i="73"/>
  <c r="K59" i="73"/>
  <c r="AB50" i="16"/>
  <c r="R267" i="73"/>
  <c r="K19" i="73"/>
  <c r="AB32" i="16"/>
  <c r="R287" i="73"/>
  <c r="AB41" i="16"/>
  <c r="K39" i="73"/>
  <c r="AB84" i="15"/>
  <c r="R56" i="73"/>
  <c r="E24" i="73"/>
  <c r="AF76" i="14"/>
  <c r="E100" i="73" l="1"/>
  <c r="E28" i="73"/>
  <c r="AF94" i="14"/>
  <c r="AE94" i="14" s="1"/>
  <c r="E16" i="73"/>
  <c r="AF38" i="14"/>
  <c r="AF74" i="14"/>
  <c r="E23" i="73"/>
  <c r="R58" i="73"/>
  <c r="E11" i="73"/>
  <c r="AF22" i="14"/>
  <c r="E81" i="73"/>
  <c r="AD63" i="14"/>
  <c r="AF63" i="14" s="1"/>
  <c r="R47" i="73"/>
  <c r="E15" i="73"/>
  <c r="AF20" i="14"/>
  <c r="E66" i="73"/>
  <c r="R63" i="73"/>
  <c r="R43" i="73"/>
  <c r="AF42" i="14"/>
  <c r="E88" i="73"/>
  <c r="E36" i="73"/>
  <c r="R120" i="73"/>
  <c r="R127" i="73"/>
  <c r="AF81" i="14"/>
  <c r="E95" i="73"/>
  <c r="H100" i="73"/>
  <c r="Z119" i="15"/>
  <c r="H98" i="73" s="1"/>
  <c r="Z33" i="15"/>
  <c r="R154" i="73" s="1"/>
  <c r="AB43" i="15"/>
  <c r="H111" i="73"/>
  <c r="AB95" i="15"/>
  <c r="Z104" i="15"/>
  <c r="AB104" i="15" s="1"/>
  <c r="R209" i="73"/>
  <c r="R161" i="73"/>
  <c r="R242" i="73"/>
  <c r="H105" i="73"/>
  <c r="H79" i="73"/>
  <c r="W63" i="15"/>
  <c r="W94" i="15"/>
  <c r="H118" i="73"/>
  <c r="H55" i="73"/>
  <c r="R186" i="73"/>
  <c r="Z113" i="15"/>
  <c r="AB113" i="15" s="1"/>
  <c r="R213" i="73"/>
  <c r="H102" i="73"/>
  <c r="R152" i="73"/>
  <c r="H21" i="73"/>
  <c r="AB106" i="15"/>
  <c r="H23" i="73"/>
  <c r="AB33" i="15"/>
  <c r="R249" i="73"/>
  <c r="H30" i="73"/>
  <c r="H39" i="73"/>
  <c r="H96" i="73"/>
  <c r="R182" i="73"/>
  <c r="AB48" i="15"/>
  <c r="H19" i="73"/>
  <c r="H51" i="73"/>
  <c r="AB50" i="15"/>
  <c r="R193" i="73"/>
  <c r="H62" i="73"/>
  <c r="U14" i="15"/>
  <c r="AB71" i="15"/>
  <c r="R234" i="73"/>
  <c r="H103" i="73"/>
  <c r="AB31" i="16"/>
  <c r="K62" i="73"/>
  <c r="AB65" i="16"/>
  <c r="R257" i="73"/>
  <c r="R319" i="73"/>
  <c r="R266" i="73"/>
  <c r="R310" i="73"/>
  <c r="U31" i="52"/>
  <c r="AL31" i="52"/>
  <c r="Q31" i="52" s="1"/>
  <c r="BE31" i="52"/>
  <c r="X31" i="52" s="1"/>
  <c r="Z63" i="15"/>
  <c r="H72" i="73" s="1"/>
  <c r="U14" i="52"/>
  <c r="BI31" i="52"/>
  <c r="Y31" i="52" s="1"/>
  <c r="W113" i="15"/>
  <c r="AF64" i="14"/>
  <c r="R84" i="73"/>
  <c r="E52" i="73"/>
  <c r="P37" i="43"/>
  <c r="O31" i="73"/>
  <c r="N36" i="55"/>
  <c r="V36" i="55" s="1"/>
  <c r="N26" i="55"/>
  <c r="V26" i="55" s="1"/>
  <c r="N18" i="55"/>
  <c r="V18" i="55" s="1"/>
  <c r="J34" i="55"/>
  <c r="T34" i="55" s="1"/>
  <c r="N38" i="55"/>
  <c r="V38" i="55" s="1"/>
  <c r="AB25" i="16"/>
  <c r="K45" i="73"/>
  <c r="K21" i="73"/>
  <c r="K56" i="73"/>
  <c r="N63" i="15"/>
  <c r="AM63" i="15"/>
  <c r="AQ63" i="15"/>
  <c r="AU63" i="15"/>
  <c r="N93" i="15"/>
  <c r="AM93" i="15"/>
  <c r="AU93" i="15"/>
  <c r="AQ93" i="15"/>
  <c r="N11" i="15"/>
  <c r="AM11" i="15"/>
  <c r="AU11" i="15"/>
  <c r="AQ11" i="15"/>
  <c r="R201" i="73"/>
  <c r="W27" i="15"/>
  <c r="N65" i="15"/>
  <c r="AU65" i="15"/>
  <c r="AQ65" i="15"/>
  <c r="AM65" i="15"/>
  <c r="N107" i="15"/>
  <c r="AU107" i="15"/>
  <c r="AQ107" i="15"/>
  <c r="AM107" i="15"/>
  <c r="N94" i="15"/>
  <c r="AM94" i="15"/>
  <c r="AU94" i="15"/>
  <c r="AQ94" i="15"/>
  <c r="N34" i="15"/>
  <c r="AU34" i="15"/>
  <c r="AM34" i="15"/>
  <c r="AQ34" i="15"/>
  <c r="AB89" i="15"/>
  <c r="AB80" i="15"/>
  <c r="H43" i="73"/>
  <c r="R174" i="73"/>
  <c r="N27" i="15"/>
  <c r="AU27" i="15"/>
  <c r="AM27" i="15"/>
  <c r="AQ27" i="15"/>
  <c r="N24" i="15"/>
  <c r="AM24" i="15"/>
  <c r="AU24" i="15"/>
  <c r="AQ24" i="15"/>
  <c r="U66" i="15"/>
  <c r="N66" i="15"/>
  <c r="AQ66" i="15"/>
  <c r="AM66" i="15"/>
  <c r="AU66" i="15"/>
  <c r="N98" i="15"/>
  <c r="AQ98" i="15"/>
  <c r="AM98" i="15"/>
  <c r="AU98" i="15"/>
  <c r="N119" i="15"/>
  <c r="AU119" i="15"/>
  <c r="AM119" i="15"/>
  <c r="AQ119" i="15"/>
  <c r="N113" i="15"/>
  <c r="AQ113" i="15"/>
  <c r="AU113" i="15"/>
  <c r="AM113" i="15"/>
  <c r="W33" i="15"/>
  <c r="U87" i="15"/>
  <c r="AB57" i="15"/>
  <c r="N87" i="15"/>
  <c r="AQ87" i="15"/>
  <c r="AM87" i="15"/>
  <c r="AU87" i="15"/>
  <c r="BB65" i="15"/>
  <c r="Z65" i="15" s="1"/>
  <c r="AB65" i="15" s="1"/>
  <c r="W65" i="15"/>
  <c r="N33" i="15"/>
  <c r="AU33" i="15"/>
  <c r="AM33" i="15"/>
  <c r="AQ33" i="15"/>
  <c r="BB11" i="15"/>
  <c r="Z11" i="15" s="1"/>
  <c r="H3" i="73" s="1"/>
  <c r="W11" i="15"/>
  <c r="R159" i="73"/>
  <c r="AB49" i="15"/>
  <c r="W119" i="15"/>
  <c r="R137" i="73"/>
  <c r="H6" i="73"/>
  <c r="R140" i="73"/>
  <c r="AB21" i="15"/>
  <c r="H9" i="73"/>
  <c r="R178" i="73"/>
  <c r="H29" i="73"/>
  <c r="R238" i="73"/>
  <c r="R144" i="73"/>
  <c r="R160" i="73"/>
  <c r="H107" i="73"/>
  <c r="H46" i="73"/>
  <c r="R177" i="73"/>
  <c r="AB64" i="15"/>
  <c r="R304" i="73"/>
  <c r="K18" i="73"/>
  <c r="R215" i="73"/>
  <c r="H84" i="73"/>
  <c r="H94" i="73"/>
  <c r="AB32" i="15"/>
  <c r="K69" i="73"/>
  <c r="H86" i="73"/>
  <c r="R217" i="73"/>
  <c r="R221" i="73"/>
  <c r="AB69" i="15"/>
  <c r="R183" i="73"/>
  <c r="H52" i="73"/>
  <c r="R123" i="73"/>
  <c r="H90" i="73"/>
  <c r="AB91" i="15"/>
  <c r="H119" i="73"/>
  <c r="AB30" i="15"/>
  <c r="H16" i="73"/>
  <c r="AB62" i="15"/>
  <c r="R188" i="73"/>
  <c r="H57" i="73"/>
  <c r="R317" i="73"/>
  <c r="AB109" i="15"/>
  <c r="R230" i="73"/>
  <c r="H99" i="73"/>
  <c r="H13" i="73"/>
  <c r="H117" i="73"/>
  <c r="R248" i="73"/>
  <c r="H60" i="73"/>
  <c r="R191" i="73"/>
  <c r="H17" i="73"/>
  <c r="R148" i="73"/>
  <c r="E7" i="73"/>
  <c r="AF92" i="14"/>
  <c r="R128" i="73"/>
  <c r="R99" i="73"/>
  <c r="R62" i="73"/>
  <c r="R179" i="73"/>
  <c r="AB47" i="15"/>
  <c r="H48" i="73"/>
  <c r="AB87" i="15"/>
  <c r="R180" i="73"/>
  <c r="H49" i="73"/>
  <c r="R42" i="73"/>
  <c r="E22" i="73"/>
  <c r="R73" i="73"/>
  <c r="R54" i="73"/>
  <c r="AD72" i="14"/>
  <c r="AF72" i="14" s="1"/>
  <c r="E67" i="73"/>
  <c r="AF88" i="14"/>
  <c r="R93" i="73"/>
  <c r="AF28" i="14"/>
  <c r="R39" i="73"/>
  <c r="E61" i="73"/>
  <c r="AF91" i="14"/>
  <c r="R110" i="73"/>
  <c r="U12" i="45"/>
  <c r="E6" i="73"/>
  <c r="R38" i="73"/>
  <c r="E10" i="73"/>
  <c r="E86" i="73"/>
  <c r="E41" i="73"/>
  <c r="E60" i="73"/>
  <c r="AD78" i="14"/>
  <c r="AF78" i="14" s="1"/>
  <c r="AD58" i="14"/>
  <c r="AF58" i="14" s="1"/>
  <c r="AF29" i="14"/>
  <c r="R59" i="73"/>
  <c r="AF60" i="14"/>
  <c r="H106" i="73"/>
  <c r="R237" i="73"/>
  <c r="AB115" i="15"/>
  <c r="H27" i="73"/>
  <c r="AB25" i="15"/>
  <c r="R158" i="73"/>
  <c r="H34" i="73"/>
  <c r="AB37" i="15"/>
  <c r="R165" i="73"/>
  <c r="BN42" i="52"/>
  <c r="AB42" i="52" s="1"/>
  <c r="AD42" i="52" s="1"/>
  <c r="U42" i="52"/>
  <c r="R169" i="73"/>
  <c r="AB45" i="15"/>
  <c r="AB121" i="15"/>
  <c r="H110" i="73"/>
  <c r="R241" i="73"/>
  <c r="S42" i="52"/>
  <c r="AB73" i="15"/>
  <c r="R200" i="73"/>
  <c r="H69" i="73"/>
  <c r="AB100" i="15"/>
  <c r="R240" i="73"/>
  <c r="H109" i="73"/>
  <c r="AF40" i="14"/>
  <c r="R78" i="73"/>
  <c r="AD49" i="14"/>
  <c r="R83" i="73" s="1"/>
  <c r="R11" i="45"/>
  <c r="AD11" i="14"/>
  <c r="AB66" i="15"/>
  <c r="H58" i="73"/>
  <c r="R189" i="73"/>
  <c r="AB79" i="15"/>
  <c r="H66" i="73"/>
  <c r="R197" i="73"/>
  <c r="K22" i="45"/>
  <c r="K23" i="45"/>
  <c r="M26" i="43"/>
  <c r="O30" i="73"/>
  <c r="J26" i="55"/>
  <c r="T26" i="55" s="1"/>
  <c r="V31" i="55"/>
  <c r="R38" i="55"/>
  <c r="X38" i="55" s="1"/>
  <c r="N34" i="55"/>
  <c r="V34" i="55" s="1"/>
  <c r="P22" i="43"/>
  <c r="O9" i="73"/>
  <c r="P18" i="43"/>
  <c r="O17" i="73"/>
  <c r="P33" i="43"/>
  <c r="O22" i="73"/>
  <c r="R36" i="55"/>
  <c r="X36" i="55" s="1"/>
  <c r="J32" i="55"/>
  <c r="T32" i="55" s="1"/>
  <c r="P20" i="43"/>
  <c r="O3" i="73"/>
  <c r="R32" i="55"/>
  <c r="X32" i="55" s="1"/>
  <c r="J31" i="55"/>
  <c r="T31" i="55" s="1"/>
  <c r="V32" i="55"/>
  <c r="X46" i="55"/>
  <c r="R35" i="55"/>
  <c r="X35" i="55" s="1"/>
  <c r="J35" i="55"/>
  <c r="T35" i="55" s="1"/>
  <c r="N35" i="55"/>
  <c r="V35" i="55" s="1"/>
  <c r="O12" i="73"/>
  <c r="P29" i="43"/>
  <c r="P14" i="43"/>
  <c r="O4" i="73"/>
  <c r="P38" i="43"/>
  <c r="O15" i="73"/>
  <c r="J29" i="55"/>
  <c r="T29" i="55" s="1"/>
  <c r="R29" i="55"/>
  <c r="X29" i="55" s="1"/>
  <c r="N29" i="55"/>
  <c r="V29" i="55" s="1"/>
  <c r="J46" i="55"/>
  <c r="T46" i="55" s="1"/>
  <c r="P34" i="43"/>
  <c r="M34" i="43"/>
  <c r="O18" i="73"/>
  <c r="M37" i="43"/>
  <c r="P36" i="43"/>
  <c r="O33" i="73"/>
  <c r="M36" i="43"/>
  <c r="N46" i="55"/>
  <c r="V46" i="55" s="1"/>
  <c r="M32" i="43"/>
  <c r="M20" i="43"/>
  <c r="M35" i="43"/>
  <c r="N27" i="55"/>
  <c r="V27" i="55" s="1"/>
  <c r="R27" i="55"/>
  <c r="X27" i="55" s="1"/>
  <c r="J27" i="55"/>
  <c r="T27" i="55" s="1"/>
  <c r="R45" i="55"/>
  <c r="X45" i="55" s="1"/>
  <c r="N45" i="55"/>
  <c r="V45" i="55" s="1"/>
  <c r="J45" i="55"/>
  <c r="T45" i="55" s="1"/>
  <c r="M19" i="43"/>
  <c r="M30" i="43"/>
  <c r="O21" i="73"/>
  <c r="P30" i="43"/>
  <c r="P28" i="43"/>
  <c r="M25" i="43"/>
  <c r="M12" i="43"/>
  <c r="M27" i="43"/>
  <c r="M13" i="43"/>
  <c r="M29" i="43"/>
  <c r="M17" i="43"/>
  <c r="M21" i="43"/>
  <c r="M18" i="43"/>
  <c r="O11" i="73"/>
  <c r="M16" i="43"/>
  <c r="M14" i="43"/>
  <c r="M24" i="43"/>
  <c r="M11" i="43"/>
  <c r="M39" i="43"/>
  <c r="M38" i="43"/>
  <c r="M23" i="43"/>
  <c r="M28" i="43"/>
  <c r="M22" i="43"/>
  <c r="M15" i="43"/>
  <c r="M31" i="43"/>
  <c r="M33" i="43"/>
  <c r="M10" i="43"/>
  <c r="R306" i="73"/>
  <c r="AB52" i="16"/>
  <c r="K58" i="73"/>
  <c r="K28" i="73"/>
  <c r="AB37" i="16"/>
  <c r="R276" i="73"/>
  <c r="AB64" i="16"/>
  <c r="R318" i="73"/>
  <c r="K70" i="73"/>
  <c r="AB93" i="15"/>
  <c r="R214" i="73"/>
  <c r="H83" i="73"/>
  <c r="AB70" i="15"/>
  <c r="R204" i="73"/>
  <c r="H73" i="73"/>
  <c r="AB54" i="15"/>
  <c r="H33" i="73"/>
  <c r="R164" i="73"/>
  <c r="AB13" i="15"/>
  <c r="H14" i="73"/>
  <c r="R145" i="73"/>
  <c r="AB119" i="15"/>
  <c r="R229" i="73"/>
  <c r="AB42" i="15"/>
  <c r="R173" i="73"/>
  <c r="AB52" i="15"/>
  <c r="R199" i="73"/>
  <c r="H68" i="73"/>
  <c r="H80" i="73"/>
  <c r="AB85" i="15"/>
  <c r="R168" i="73"/>
  <c r="AB44" i="15"/>
  <c r="H37" i="73"/>
  <c r="AB101" i="15"/>
  <c r="R220" i="73"/>
  <c r="H89" i="73"/>
  <c r="AB114" i="15"/>
  <c r="H108" i="73"/>
  <c r="R239" i="73"/>
  <c r="R206" i="73"/>
  <c r="AB94" i="15"/>
  <c r="H75" i="73"/>
  <c r="R192" i="73"/>
  <c r="AB36" i="15"/>
  <c r="H61" i="73"/>
  <c r="R143" i="73"/>
  <c r="H12" i="73"/>
  <c r="AB18" i="15"/>
  <c r="H93" i="73"/>
  <c r="R224" i="73"/>
  <c r="AB111" i="15"/>
  <c r="R147" i="73"/>
  <c r="AB26" i="15"/>
  <c r="H15" i="73"/>
  <c r="R146" i="73"/>
  <c r="R211" i="73"/>
  <c r="AB78" i="15"/>
  <c r="H85" i="73"/>
  <c r="R216" i="73"/>
  <c r="H78" i="73"/>
  <c r="AB81" i="15"/>
  <c r="H74" i="73"/>
  <c r="R205" i="73"/>
  <c r="H10" i="73"/>
  <c r="AB31" i="15"/>
  <c r="R141" i="73"/>
  <c r="AB60" i="15"/>
  <c r="R212" i="73"/>
  <c r="H81" i="73"/>
  <c r="H38" i="73"/>
  <c r="AB38" i="15"/>
  <c r="R190" i="73"/>
  <c r="H59" i="73"/>
  <c r="R207" i="73"/>
  <c r="AB68" i="15"/>
  <c r="H76" i="73"/>
  <c r="AB118" i="15"/>
  <c r="AB19" i="15"/>
  <c r="R155" i="73"/>
  <c r="H24" i="73"/>
  <c r="H71" i="73"/>
  <c r="R202" i="73"/>
  <c r="AB67" i="15"/>
  <c r="R151" i="73"/>
  <c r="AB29" i="15"/>
  <c r="H20" i="73"/>
  <c r="R149" i="73"/>
  <c r="AB41" i="15"/>
  <c r="H18" i="73"/>
  <c r="AB99" i="15"/>
  <c r="H91" i="73"/>
  <c r="R222" i="73"/>
  <c r="Y41" i="15"/>
  <c r="H8" i="73"/>
  <c r="AB22" i="15"/>
  <c r="R139" i="73"/>
  <c r="AB75" i="15"/>
  <c r="H67" i="73"/>
  <c r="R198" i="73"/>
  <c r="AB59" i="15"/>
  <c r="R171" i="73"/>
  <c r="H40" i="73"/>
  <c r="H88" i="73"/>
  <c r="AB83" i="15"/>
  <c r="R219" i="73"/>
  <c r="E46" i="73"/>
  <c r="AD82" i="14"/>
  <c r="AF82" i="14" s="1"/>
  <c r="R90" i="73"/>
  <c r="AD67" i="14"/>
  <c r="AF67" i="14" s="1"/>
  <c r="AD50" i="14"/>
  <c r="AF50" i="14" s="1"/>
  <c r="AD89" i="14"/>
  <c r="R116" i="73" s="1"/>
  <c r="E58" i="73"/>
  <c r="AD57" i="14"/>
  <c r="AD52" i="14"/>
  <c r="AF52" i="14" s="1"/>
  <c r="AD73" i="14"/>
  <c r="AF73" i="14" s="1"/>
  <c r="AD27" i="14"/>
  <c r="AF27" i="14" s="1"/>
  <c r="E8" i="73"/>
  <c r="AF17" i="14"/>
  <c r="R40" i="73"/>
  <c r="AF45" i="14"/>
  <c r="R70" i="73"/>
  <c r="E69" i="73"/>
  <c r="E43" i="73"/>
  <c r="R75" i="73"/>
  <c r="Q77" i="14"/>
  <c r="AN77" i="14"/>
  <c r="BK77" i="14"/>
  <c r="BC77" i="14"/>
  <c r="BG77" i="14"/>
  <c r="AR77" i="14"/>
  <c r="AV77" i="14"/>
  <c r="Q62" i="14"/>
  <c r="AV62" i="14"/>
  <c r="BC62" i="14"/>
  <c r="AR62" i="14"/>
  <c r="AN62" i="14"/>
  <c r="BG62" i="14"/>
  <c r="BK62" i="14"/>
  <c r="Q43" i="14"/>
  <c r="BK43" i="14"/>
  <c r="BG43" i="14"/>
  <c r="AV43" i="14"/>
  <c r="AN43" i="14"/>
  <c r="AR43" i="14"/>
  <c r="BC43" i="14"/>
  <c r="Q86" i="14"/>
  <c r="AN86" i="14"/>
  <c r="AR86" i="14"/>
  <c r="AV86" i="14"/>
  <c r="BK86" i="14"/>
  <c r="BG86" i="14"/>
  <c r="BC86" i="14"/>
  <c r="Q53" i="14"/>
  <c r="BG53" i="14"/>
  <c r="AR53" i="14"/>
  <c r="AN53" i="14"/>
  <c r="AV53" i="14"/>
  <c r="BC53" i="14"/>
  <c r="BK53" i="14"/>
  <c r="AF75" i="14"/>
  <c r="R103" i="73"/>
  <c r="E71" i="73"/>
  <c r="AD90" i="14"/>
  <c r="AD37" i="14"/>
  <c r="AF37" i="14" s="1"/>
  <c r="R124" i="73"/>
  <c r="E92" i="73"/>
  <c r="Q82" i="14"/>
  <c r="BC82" i="14"/>
  <c r="BG82" i="14"/>
  <c r="AV82" i="14"/>
  <c r="AN82" i="14"/>
  <c r="BK82" i="14"/>
  <c r="AR82" i="14"/>
  <c r="Q90" i="14"/>
  <c r="BG90" i="14"/>
  <c r="AR90" i="14"/>
  <c r="BC90" i="14"/>
  <c r="AV90" i="14"/>
  <c r="AN90" i="14"/>
  <c r="BK90" i="14"/>
  <c r="AD43" i="14"/>
  <c r="AD77" i="14"/>
  <c r="AF14" i="14"/>
  <c r="R37" i="73"/>
  <c r="E5" i="73"/>
  <c r="Q52" i="14"/>
  <c r="BK52" i="14"/>
  <c r="AR52" i="14"/>
  <c r="AN52" i="14"/>
  <c r="BG52" i="14"/>
  <c r="BC52" i="14"/>
  <c r="AV52" i="14"/>
  <c r="AF86" i="14"/>
  <c r="E93" i="73"/>
  <c r="R125" i="73"/>
  <c r="Q46" i="14"/>
  <c r="AN46" i="14"/>
  <c r="BC46" i="14"/>
  <c r="AR46" i="14"/>
  <c r="AV46" i="14"/>
  <c r="BK46" i="14"/>
  <c r="BG46" i="14"/>
  <c r="Q78" i="14"/>
  <c r="BC78" i="14"/>
  <c r="BK78" i="14"/>
  <c r="BG78" i="14"/>
  <c r="AN78" i="14"/>
  <c r="AR78" i="14"/>
  <c r="AV78" i="14"/>
  <c r="E89" i="73"/>
  <c r="R121" i="73"/>
  <c r="AF83" i="14"/>
  <c r="Q79" i="14"/>
  <c r="BC79" i="14"/>
  <c r="AN79" i="14"/>
  <c r="BK79" i="14"/>
  <c r="AV79" i="14"/>
  <c r="BG79" i="14"/>
  <c r="AR79" i="14"/>
  <c r="Q59" i="14"/>
  <c r="BG59" i="14"/>
  <c r="AN59" i="14"/>
  <c r="BC59" i="14"/>
  <c r="AV59" i="14"/>
  <c r="BK59" i="14"/>
  <c r="AR59" i="14"/>
  <c r="Q12" i="14"/>
  <c r="AR12" i="14"/>
  <c r="AN12" i="14"/>
  <c r="BG12" i="14"/>
  <c r="BC12" i="14"/>
  <c r="BK12" i="14"/>
  <c r="AV12" i="14"/>
  <c r="E68" i="73"/>
  <c r="R100" i="73"/>
  <c r="E37" i="73"/>
  <c r="R69" i="73"/>
  <c r="E21" i="73"/>
  <c r="R53" i="73"/>
  <c r="AF31" i="14"/>
  <c r="Q83" i="14"/>
  <c r="AN83" i="14"/>
  <c r="AR83" i="14"/>
  <c r="BK83" i="14"/>
  <c r="BC83" i="14"/>
  <c r="BG83" i="14"/>
  <c r="AV83" i="14"/>
  <c r="Q30" i="14"/>
  <c r="BC30" i="14"/>
  <c r="AV30" i="14"/>
  <c r="AN30" i="14"/>
  <c r="BK30" i="14"/>
  <c r="AR30" i="14"/>
  <c r="BG30" i="14"/>
  <c r="Q56" i="14"/>
  <c r="AN56" i="14"/>
  <c r="AV56" i="14"/>
  <c r="BK56" i="14"/>
  <c r="AR56" i="14"/>
  <c r="BG56" i="14"/>
  <c r="BC56" i="14"/>
  <c r="AD79" i="14"/>
  <c r="R107" i="73" s="1"/>
  <c r="Q63" i="14"/>
  <c r="AR63" i="14"/>
  <c r="AN63" i="14"/>
  <c r="BK63" i="14"/>
  <c r="BC63" i="14"/>
  <c r="BG63" i="14"/>
  <c r="AV63" i="14"/>
  <c r="R65" i="73"/>
  <c r="E33" i="73"/>
  <c r="E72" i="73"/>
  <c r="Q37" i="14"/>
  <c r="BC37" i="14"/>
  <c r="AN37" i="14"/>
  <c r="AV37" i="14"/>
  <c r="BK37" i="14"/>
  <c r="AR37" i="14"/>
  <c r="BG37" i="14"/>
  <c r="E20" i="73"/>
  <c r="AF35" i="14"/>
  <c r="R52" i="73"/>
  <c r="AF95" i="14"/>
  <c r="Q68" i="14"/>
  <c r="BK68" i="14"/>
  <c r="AR68" i="14"/>
  <c r="AN68" i="14"/>
  <c r="BC68" i="14"/>
  <c r="BG68" i="14"/>
  <c r="AV68" i="14"/>
  <c r="AD68" i="14"/>
  <c r="Q95" i="14"/>
  <c r="AN95" i="14"/>
  <c r="BG95" i="14"/>
  <c r="AR95" i="14"/>
  <c r="BC95" i="14"/>
  <c r="BK95" i="14"/>
  <c r="AV95" i="14"/>
  <c r="R104" i="73"/>
  <c r="Q15" i="14"/>
  <c r="AN15" i="14"/>
  <c r="BK15" i="14"/>
  <c r="AR15" i="14"/>
  <c r="BG15" i="14"/>
  <c r="BC15" i="14"/>
  <c r="AV15" i="14"/>
  <c r="Q73" i="14"/>
  <c r="BK73" i="14"/>
  <c r="BC73" i="14"/>
  <c r="BG73" i="14"/>
  <c r="AV73" i="14"/>
  <c r="AN73" i="14"/>
  <c r="AR73" i="14"/>
  <c r="Q51" i="14"/>
  <c r="AN51" i="14"/>
  <c r="BK51" i="14"/>
  <c r="AR51" i="14"/>
  <c r="BG51" i="14"/>
  <c r="BC51" i="14"/>
  <c r="AV51" i="14"/>
  <c r="Q49" i="14"/>
  <c r="AV49" i="14"/>
  <c r="AR49" i="14"/>
  <c r="BK49" i="14"/>
  <c r="AN49" i="14"/>
  <c r="BG49" i="14"/>
  <c r="BC49" i="14"/>
  <c r="Q34" i="14"/>
  <c r="BC34" i="14"/>
  <c r="AR34" i="14"/>
  <c r="AN34" i="14"/>
  <c r="BK34" i="14"/>
  <c r="BG34" i="14"/>
  <c r="AV34" i="14"/>
  <c r="AD30" i="14"/>
  <c r="AF56" i="14"/>
  <c r="R82" i="73"/>
  <c r="E50" i="73"/>
  <c r="AD15" i="14"/>
  <c r="AD26" i="14"/>
  <c r="AD54" i="14"/>
  <c r="AD59" i="14"/>
  <c r="AD87" i="14"/>
  <c r="AD34" i="14"/>
  <c r="AB31" i="52"/>
  <c r="U29" i="52"/>
  <c r="S39" i="52"/>
  <c r="S21" i="52"/>
  <c r="S31" i="52"/>
  <c r="S37" i="52"/>
  <c r="P38" i="52"/>
  <c r="AP38" i="52"/>
  <c r="R38" i="52" s="1"/>
  <c r="BB38" i="52"/>
  <c r="W38" i="52" s="1"/>
  <c r="AX38" i="52"/>
  <c r="V38" i="52" s="1"/>
  <c r="BE38" i="52"/>
  <c r="X38" i="52" s="1"/>
  <c r="AL38" i="52"/>
  <c r="Q38" i="52" s="1"/>
  <c r="BI38" i="52"/>
  <c r="Y38" i="52" s="1"/>
  <c r="AT38" i="52"/>
  <c r="T38" i="52" s="1"/>
  <c r="BM38" i="52"/>
  <c r="Z38" i="52" s="1"/>
  <c r="U39" i="52"/>
  <c r="BN39" i="52"/>
  <c r="AB39" i="52" s="1"/>
  <c r="BB27" i="52"/>
  <c r="W27" i="52" s="1"/>
  <c r="AX27" i="52"/>
  <c r="V27" i="52" s="1"/>
  <c r="AL27" i="52"/>
  <c r="Q27" i="52" s="1"/>
  <c r="BM27" i="52"/>
  <c r="Z27" i="52" s="1"/>
  <c r="AP27" i="52"/>
  <c r="R27" i="52" s="1"/>
  <c r="BE27" i="52"/>
  <c r="X27" i="52" s="1"/>
  <c r="BI27" i="52"/>
  <c r="Y27" i="52" s="1"/>
  <c r="P27" i="52"/>
  <c r="AT27" i="52"/>
  <c r="T27" i="52" s="1"/>
  <c r="U19" i="52"/>
  <c r="S15" i="52"/>
  <c r="P11" i="52"/>
  <c r="BE11" i="52"/>
  <c r="X11" i="52" s="1"/>
  <c r="AT11" i="52"/>
  <c r="T11" i="52" s="1"/>
  <c r="AL11" i="52"/>
  <c r="Q11" i="52" s="1"/>
  <c r="AP11" i="52"/>
  <c r="R11" i="52" s="1"/>
  <c r="AX11" i="52"/>
  <c r="V11" i="52" s="1"/>
  <c r="BM11" i="52"/>
  <c r="Z11" i="52" s="1"/>
  <c r="BI11" i="52"/>
  <c r="Y11" i="52" s="1"/>
  <c r="BB11" i="52"/>
  <c r="W11" i="52" s="1"/>
  <c r="P16" i="52"/>
  <c r="BI16" i="52"/>
  <c r="Y16" i="52" s="1"/>
  <c r="AL16" i="52"/>
  <c r="Q16" i="52" s="1"/>
  <c r="AX16" i="52"/>
  <c r="V16" i="52" s="1"/>
  <c r="BB16" i="52"/>
  <c r="W16" i="52" s="1"/>
  <c r="BE16" i="52"/>
  <c r="X16" i="52" s="1"/>
  <c r="BM16" i="52"/>
  <c r="Z16" i="52" s="1"/>
  <c r="AT16" i="52"/>
  <c r="T16" i="52" s="1"/>
  <c r="AP16" i="52"/>
  <c r="R16" i="52" s="1"/>
  <c r="U37" i="52"/>
  <c r="BN37" i="52"/>
  <c r="AB37" i="52" s="1"/>
  <c r="AB19" i="52"/>
  <c r="AD19" i="52" s="1"/>
  <c r="P18" i="52"/>
  <c r="BB18" i="52"/>
  <c r="W18" i="52" s="1"/>
  <c r="AL18" i="52"/>
  <c r="Q18" i="52" s="1"/>
  <c r="AT18" i="52"/>
  <c r="T18" i="52" s="1"/>
  <c r="BI18" i="52"/>
  <c r="Y18" i="52" s="1"/>
  <c r="AX18" i="52"/>
  <c r="V18" i="52" s="1"/>
  <c r="BE18" i="52"/>
  <c r="X18" i="52" s="1"/>
  <c r="AP18" i="52"/>
  <c r="R18" i="52" s="1"/>
  <c r="BM18" i="52"/>
  <c r="Z18" i="52" s="1"/>
  <c r="AB32" i="52"/>
  <c r="AB29" i="52"/>
  <c r="AD29" i="52" s="1"/>
  <c r="BN15" i="52"/>
  <c r="AB15" i="52" s="1"/>
  <c r="R11" i="73" s="1"/>
  <c r="U15" i="52"/>
  <c r="S19" i="52"/>
  <c r="AT23" i="52"/>
  <c r="T23" i="52" s="1"/>
  <c r="BI23" i="52"/>
  <c r="Y23" i="52" s="1"/>
  <c r="AP23" i="52"/>
  <c r="R23" i="52" s="1"/>
  <c r="AX23" i="52"/>
  <c r="V23" i="52" s="1"/>
  <c r="BB23" i="52"/>
  <c r="W23" i="52" s="1"/>
  <c r="AL23" i="52"/>
  <c r="Q23" i="52" s="1"/>
  <c r="BE23" i="52"/>
  <c r="X23" i="52" s="1"/>
  <c r="BM23" i="52"/>
  <c r="Z23" i="52" s="1"/>
  <c r="P23" i="52"/>
  <c r="S32" i="52"/>
  <c r="S29" i="52"/>
  <c r="AL28" i="52"/>
  <c r="Q28" i="52" s="1"/>
  <c r="BB28" i="52"/>
  <c r="W28" i="52" s="1"/>
  <c r="BM28" i="52"/>
  <c r="Z28" i="52" s="1"/>
  <c r="AT28" i="52"/>
  <c r="T28" i="52" s="1"/>
  <c r="AP28" i="52"/>
  <c r="R28" i="52" s="1"/>
  <c r="S28" i="52" s="1"/>
  <c r="AX28" i="52"/>
  <c r="V28" i="52" s="1"/>
  <c r="P28" i="52"/>
  <c r="BE28" i="52"/>
  <c r="X28" i="52" s="1"/>
  <c r="BI28" i="52"/>
  <c r="Y28" i="52" s="1"/>
  <c r="R16" i="73"/>
  <c r="U21" i="52"/>
  <c r="BN21" i="52"/>
  <c r="AB21" i="52" s="1"/>
  <c r="U34" i="52"/>
  <c r="BN34" i="52"/>
  <c r="AB34" i="52" s="1"/>
  <c r="S20" i="52"/>
  <c r="BN24" i="52"/>
  <c r="AB24" i="52" s="1"/>
  <c r="U24" i="52"/>
  <c r="AD36" i="52"/>
  <c r="AD31" i="52"/>
  <c r="S35" i="52"/>
  <c r="AD14" i="52"/>
  <c r="BN33" i="52"/>
  <c r="AB33" i="52" s="1"/>
  <c r="U33" i="52"/>
  <c r="U26" i="52"/>
  <c r="BN26" i="52"/>
  <c r="AB26" i="52" s="1"/>
  <c r="U20" i="52"/>
  <c r="BN20" i="52"/>
  <c r="AB20" i="52" s="1"/>
  <c r="P22" i="52"/>
  <c r="BE22" i="52"/>
  <c r="X22" i="52" s="1"/>
  <c r="BI22" i="52"/>
  <c r="Y22" i="52" s="1"/>
  <c r="AX22" i="52"/>
  <c r="V22" i="52" s="1"/>
  <c r="AP22" i="52"/>
  <c r="R22" i="52" s="1"/>
  <c r="BM22" i="52"/>
  <c r="Z22" i="52" s="1"/>
  <c r="AT22" i="52"/>
  <c r="T22" i="52" s="1"/>
  <c r="BB22" i="52"/>
  <c r="W22" i="52" s="1"/>
  <c r="AL22" i="52"/>
  <c r="Q22" i="52" s="1"/>
  <c r="AX41" i="52"/>
  <c r="V41" i="52" s="1"/>
  <c r="BI41" i="52"/>
  <c r="Y41" i="52" s="1"/>
  <c r="P41" i="52"/>
  <c r="AL41" i="52"/>
  <c r="Q41" i="52" s="1"/>
  <c r="BE41" i="52"/>
  <c r="X41" i="52" s="1"/>
  <c r="AP41" i="52"/>
  <c r="R41" i="52" s="1"/>
  <c r="BB41" i="52"/>
  <c r="W41" i="52" s="1"/>
  <c r="AT41" i="52"/>
  <c r="T41" i="52" s="1"/>
  <c r="BM41" i="52"/>
  <c r="Z41" i="52" s="1"/>
  <c r="R27" i="73"/>
  <c r="U30" i="52"/>
  <c r="BN30" i="52"/>
  <c r="AB30" i="52" s="1"/>
  <c r="S33" i="52"/>
  <c r="S34" i="52"/>
  <c r="S12" i="52"/>
  <c r="S30" i="52"/>
  <c r="P13" i="52"/>
  <c r="BE13" i="52"/>
  <c r="X13" i="52" s="1"/>
  <c r="BM13" i="52"/>
  <c r="Z13" i="52" s="1"/>
  <c r="AX13" i="52"/>
  <c r="V13" i="52" s="1"/>
  <c r="BB13" i="52"/>
  <c r="W13" i="52" s="1"/>
  <c r="BI13" i="52"/>
  <c r="Y13" i="52" s="1"/>
  <c r="AL13" i="52"/>
  <c r="Q13" i="52" s="1"/>
  <c r="AP13" i="52"/>
  <c r="R13" i="52" s="1"/>
  <c r="AT13" i="52"/>
  <c r="T13" i="52" s="1"/>
  <c r="S26" i="52"/>
  <c r="P25" i="52"/>
  <c r="AL25" i="52"/>
  <c r="Q25" i="52" s="1"/>
  <c r="BM25" i="52"/>
  <c r="Z25" i="52" s="1"/>
  <c r="BE25" i="52"/>
  <c r="X25" i="52" s="1"/>
  <c r="AP25" i="52"/>
  <c r="R25" i="52" s="1"/>
  <c r="BI25" i="52"/>
  <c r="Y25" i="52" s="1"/>
  <c r="AX25" i="52"/>
  <c r="V25" i="52" s="1"/>
  <c r="BB25" i="52"/>
  <c r="W25" i="52" s="1"/>
  <c r="AT25" i="52"/>
  <c r="T25" i="52" s="1"/>
  <c r="U12" i="52"/>
  <c r="BN12" i="52"/>
  <c r="AB12" i="52" s="1"/>
  <c r="S24" i="52"/>
  <c r="BN35" i="52"/>
  <c r="AB35" i="52" s="1"/>
  <c r="U35" i="52"/>
  <c r="R79" i="73" l="1"/>
  <c r="AF89" i="14"/>
  <c r="R101" i="73"/>
  <c r="E47" i="73"/>
  <c r="E45" i="73"/>
  <c r="R77" i="73"/>
  <c r="Y39" i="15"/>
  <c r="Y74" i="15"/>
  <c r="Y91" i="15"/>
  <c r="Y106" i="15"/>
  <c r="Y47" i="15"/>
  <c r="Y25" i="15"/>
  <c r="Y118" i="15"/>
  <c r="Y96" i="15"/>
  <c r="Y15" i="15"/>
  <c r="R134" i="73"/>
  <c r="AB11" i="15"/>
  <c r="Y123" i="15"/>
  <c r="Y100" i="15"/>
  <c r="Y72" i="15"/>
  <c r="Y90" i="15"/>
  <c r="Y48" i="15"/>
  <c r="Y110" i="15"/>
  <c r="Y12" i="15"/>
  <c r="Y104" i="15"/>
  <c r="Y38" i="15"/>
  <c r="Y56" i="15"/>
  <c r="Y33" i="15"/>
  <c r="Y108" i="15"/>
  <c r="Y93" i="15"/>
  <c r="Y53" i="15"/>
  <c r="Y68" i="15"/>
  <c r="Y89" i="15"/>
  <c r="Y88" i="15"/>
  <c r="Y73" i="15"/>
  <c r="Y32" i="15"/>
  <c r="Y85" i="15"/>
  <c r="Y109" i="15"/>
  <c r="Y29" i="15"/>
  <c r="Y22" i="15"/>
  <c r="Y46" i="15"/>
  <c r="Y27" i="15"/>
  <c r="Y101" i="15"/>
  <c r="Y103" i="15"/>
  <c r="Y50" i="15"/>
  <c r="Y23" i="15"/>
  <c r="Y64" i="15"/>
  <c r="Y45" i="15"/>
  <c r="Y111" i="15"/>
  <c r="Y121" i="15"/>
  <c r="Y114" i="15"/>
  <c r="Y14" i="15"/>
  <c r="H65" i="73"/>
  <c r="Y36" i="15"/>
  <c r="Y42" i="15"/>
  <c r="Y31" i="15"/>
  <c r="Y44" i="15"/>
  <c r="Y107" i="15"/>
  <c r="Y113" i="15"/>
  <c r="Y119" i="15"/>
  <c r="Y78" i="15"/>
  <c r="Y102" i="15"/>
  <c r="Y59" i="15"/>
  <c r="Y52" i="15"/>
  <c r="Y60" i="15"/>
  <c r="Y86" i="15"/>
  <c r="Y13" i="15"/>
  <c r="Y20" i="15"/>
  <c r="Y65" i="15"/>
  <c r="Y35" i="15"/>
  <c r="Y82" i="15"/>
  <c r="Y34" i="15"/>
  <c r="Y63" i="15"/>
  <c r="Y120" i="15"/>
  <c r="Y115" i="15"/>
  <c r="Y62" i="15"/>
  <c r="Y54" i="15"/>
  <c r="Y16" i="15"/>
  <c r="Y30" i="15"/>
  <c r="Y18" i="15"/>
  <c r="Y19" i="15"/>
  <c r="Y97" i="15"/>
  <c r="Y26" i="15"/>
  <c r="Y61" i="15"/>
  <c r="Y94" i="15"/>
  <c r="Y70" i="15"/>
  <c r="Y40" i="15"/>
  <c r="Y75" i="15"/>
  <c r="Y83" i="15"/>
  <c r="R196" i="73"/>
  <c r="Y105" i="15"/>
  <c r="Y37" i="15"/>
  <c r="Y98" i="15"/>
  <c r="Y92" i="15"/>
  <c r="Y67" i="15"/>
  <c r="Y77" i="15"/>
  <c r="Y51" i="15"/>
  <c r="Y49" i="15"/>
  <c r="Y80" i="15"/>
  <c r="Y24" i="15"/>
  <c r="Y95" i="15"/>
  <c r="Y117" i="15"/>
  <c r="Y11" i="15"/>
  <c r="Y71" i="15"/>
  <c r="Y43" i="15"/>
  <c r="Y17" i="15"/>
  <c r="Y79" i="15"/>
  <c r="Y116" i="15"/>
  <c r="Y28" i="15"/>
  <c r="Y84" i="15"/>
  <c r="Y21" i="15"/>
  <c r="Y57" i="15"/>
  <c r="Y76" i="15"/>
  <c r="Y69" i="15"/>
  <c r="Y55" i="15"/>
  <c r="Y112" i="15"/>
  <c r="Y122" i="15"/>
  <c r="Y58" i="15"/>
  <c r="Y99" i="15"/>
  <c r="Y66" i="15"/>
  <c r="Y87" i="15"/>
  <c r="Y81" i="15"/>
  <c r="AA69" i="16"/>
  <c r="AD69" i="16" s="1"/>
  <c r="AA44" i="16"/>
  <c r="AD44" i="16" s="1"/>
  <c r="AA52" i="16"/>
  <c r="AD52" i="16" s="1"/>
  <c r="AA65" i="16"/>
  <c r="AD65" i="16" s="1"/>
  <c r="AA51" i="16"/>
  <c r="AD51" i="16" s="1"/>
  <c r="AA30" i="16"/>
  <c r="AD30" i="16" s="1"/>
  <c r="AA64" i="16"/>
  <c r="AD64" i="16" s="1"/>
  <c r="AA47" i="16"/>
  <c r="AD47" i="16" s="1"/>
  <c r="AA42" i="16"/>
  <c r="AD42" i="16" s="1"/>
  <c r="AA29" i="16"/>
  <c r="AD29" i="16" s="1"/>
  <c r="AA21" i="16"/>
  <c r="AD21" i="16" s="1"/>
  <c r="AA55" i="16"/>
  <c r="AD55" i="16" s="1"/>
  <c r="AA49" i="16"/>
  <c r="AD49" i="16" s="1"/>
  <c r="AA62" i="16"/>
  <c r="AD62" i="16" s="1"/>
  <c r="AA54" i="16"/>
  <c r="AD54" i="16" s="1"/>
  <c r="AA32" i="16"/>
  <c r="AD32" i="16" s="1"/>
  <c r="AA23" i="16"/>
  <c r="AD23" i="16" s="1"/>
  <c r="AA57" i="16"/>
  <c r="AD57" i="16" s="1"/>
  <c r="AA60" i="16"/>
  <c r="AD60" i="16" s="1"/>
  <c r="AA67" i="16"/>
  <c r="AD67" i="16" s="1"/>
  <c r="AA34" i="16"/>
  <c r="AD34" i="16" s="1"/>
  <c r="AA56" i="16"/>
  <c r="AD56" i="16" s="1"/>
  <c r="AA53" i="16"/>
  <c r="AD53" i="16" s="1"/>
  <c r="AA37" i="16"/>
  <c r="AD37" i="16" s="1"/>
  <c r="AA19" i="16"/>
  <c r="AD19" i="16" s="1"/>
  <c r="AA25" i="16"/>
  <c r="AD25" i="16" s="1"/>
  <c r="AA63" i="16"/>
  <c r="AD63" i="16" s="1"/>
  <c r="AA20" i="16"/>
  <c r="AD20" i="16" s="1"/>
  <c r="AA24" i="16"/>
  <c r="AD24" i="16" s="1"/>
  <c r="AA59" i="16"/>
  <c r="AD59" i="16" s="1"/>
  <c r="AA28" i="16"/>
  <c r="AD28" i="16" s="1"/>
  <c r="AA39" i="16"/>
  <c r="AD39" i="16" s="1"/>
  <c r="AA15" i="16"/>
  <c r="AD15" i="16" s="1"/>
  <c r="AA11" i="16"/>
  <c r="AD11" i="16" s="1"/>
  <c r="AA46" i="16"/>
  <c r="AD46" i="16" s="1"/>
  <c r="AA17" i="16"/>
  <c r="AD17" i="16" s="1"/>
  <c r="AA12" i="16"/>
  <c r="AD12" i="16" s="1"/>
  <c r="AA36" i="16"/>
  <c r="AD36" i="16" s="1"/>
  <c r="AA43" i="16"/>
  <c r="AD43" i="16" s="1"/>
  <c r="AA18" i="16"/>
  <c r="AD18" i="16" s="1"/>
  <c r="AA35" i="16"/>
  <c r="AD35" i="16" s="1"/>
  <c r="AA71" i="16"/>
  <c r="AD71" i="16" s="1"/>
  <c r="AA68" i="16"/>
  <c r="AD68" i="16" s="1"/>
  <c r="AA38" i="16"/>
  <c r="AD38" i="16" s="1"/>
  <c r="AA27" i="16"/>
  <c r="AD27" i="16" s="1"/>
  <c r="AA31" i="16"/>
  <c r="AD31" i="16" s="1"/>
  <c r="AA40" i="16"/>
  <c r="AD40" i="16" s="1"/>
  <c r="AA41" i="16"/>
  <c r="AD41" i="16" s="1"/>
  <c r="AA16" i="16"/>
  <c r="AD16" i="16" s="1"/>
  <c r="AA26" i="16"/>
  <c r="AD26" i="16" s="1"/>
  <c r="AA72" i="16"/>
  <c r="AD72" i="16" s="1"/>
  <c r="AA61" i="16"/>
  <c r="AD61" i="16" s="1"/>
  <c r="AA13" i="16"/>
  <c r="AD13" i="16" s="1"/>
  <c r="AA66" i="16"/>
  <c r="AD66" i="16" s="1"/>
  <c r="AA48" i="16"/>
  <c r="AD48" i="16" s="1"/>
  <c r="AA14" i="16"/>
  <c r="AD14" i="16" s="1"/>
  <c r="AA22" i="16"/>
  <c r="AD22" i="16" s="1"/>
  <c r="AA58" i="16"/>
  <c r="AD58" i="16" s="1"/>
  <c r="R203" i="73"/>
  <c r="AB63" i="15"/>
  <c r="AA53" i="15" s="1"/>
  <c r="E51" i="73"/>
  <c r="AA33" i="16"/>
  <c r="AD33" i="16" s="1"/>
  <c r="R130" i="73"/>
  <c r="R112" i="73"/>
  <c r="E64" i="73"/>
  <c r="R96" i="73"/>
  <c r="AA51" i="15"/>
  <c r="E98" i="73"/>
  <c r="AF49" i="14"/>
  <c r="E84" i="73"/>
  <c r="E75" i="73"/>
  <c r="AA45" i="16"/>
  <c r="AD45" i="16" s="1"/>
  <c r="AA70" i="16"/>
  <c r="AD70" i="16" s="1"/>
  <c r="AA50" i="16"/>
  <c r="AD50" i="16" s="1"/>
  <c r="R23" i="45"/>
  <c r="R22" i="45"/>
  <c r="T11" i="45"/>
  <c r="E4" i="73"/>
  <c r="AF11" i="14"/>
  <c r="R36" i="73"/>
  <c r="O24" i="43"/>
  <c r="R24" i="43" s="1"/>
  <c r="O15" i="43"/>
  <c r="R15" i="43" s="1"/>
  <c r="O39" i="43"/>
  <c r="R39" i="43" s="1"/>
  <c r="O34" i="43"/>
  <c r="R34" i="43" s="1"/>
  <c r="O18" i="43"/>
  <c r="R18" i="43" s="1"/>
  <c r="O23" i="43"/>
  <c r="R23" i="43" s="1"/>
  <c r="O16" i="43"/>
  <c r="R16" i="43" s="1"/>
  <c r="O38" i="43"/>
  <c r="R38" i="43" s="1"/>
  <c r="O25" i="43"/>
  <c r="R25" i="43" s="1"/>
  <c r="O27" i="43"/>
  <c r="R27" i="43" s="1"/>
  <c r="O37" i="43"/>
  <c r="R37" i="43" s="1"/>
  <c r="O17" i="43"/>
  <c r="R17" i="43" s="1"/>
  <c r="O10" i="43"/>
  <c r="R10" i="43" s="1"/>
  <c r="O32" i="43"/>
  <c r="R32" i="43" s="1"/>
  <c r="O35" i="43"/>
  <c r="R35" i="43" s="1"/>
  <c r="O13" i="43"/>
  <c r="R13" i="43" s="1"/>
  <c r="O33" i="43"/>
  <c r="O29" i="43"/>
  <c r="R29" i="43" s="1"/>
  <c r="O21" i="43"/>
  <c r="R21" i="43" s="1"/>
  <c r="O19" i="43"/>
  <c r="R19" i="43" s="1"/>
  <c r="O12" i="43"/>
  <c r="O22" i="43"/>
  <c r="R22" i="43" s="1"/>
  <c r="O26" i="43"/>
  <c r="R26" i="43" s="1"/>
  <c r="S20" i="45"/>
  <c r="O30" i="43"/>
  <c r="O20" i="43"/>
  <c r="R20" i="43" s="1"/>
  <c r="O11" i="43"/>
  <c r="O36" i="43"/>
  <c r="R36" i="43" s="1"/>
  <c r="O28" i="43"/>
  <c r="U46" i="55"/>
  <c r="U37" i="55"/>
  <c r="U45" i="55"/>
  <c r="U44" i="55"/>
  <c r="U39" i="55"/>
  <c r="U31" i="55"/>
  <c r="U26" i="55"/>
  <c r="U22" i="55"/>
  <c r="U24" i="55"/>
  <c r="U30" i="55"/>
  <c r="U29" i="55"/>
  <c r="U40" i="55"/>
  <c r="U15" i="55"/>
  <c r="U18" i="55"/>
  <c r="U38" i="55"/>
  <c r="U36" i="55"/>
  <c r="U28" i="55"/>
  <c r="U16" i="55"/>
  <c r="U17" i="55"/>
  <c r="U23" i="55"/>
  <c r="R12" i="43"/>
  <c r="U41" i="55"/>
  <c r="U20" i="55"/>
  <c r="U21" i="55"/>
  <c r="U19" i="55"/>
  <c r="R30" i="43"/>
  <c r="U25" i="55"/>
  <c r="R11" i="43"/>
  <c r="R28" i="43"/>
  <c r="U34" i="55"/>
  <c r="U35" i="55"/>
  <c r="W42" i="55"/>
  <c r="W30" i="55"/>
  <c r="W36" i="55"/>
  <c r="W16" i="55"/>
  <c r="W19" i="55"/>
  <c r="W39" i="55"/>
  <c r="W27" i="55"/>
  <c r="W33" i="55"/>
  <c r="W44" i="55"/>
  <c r="W28" i="55"/>
  <c r="W15" i="55"/>
  <c r="W18" i="55"/>
  <c r="W31" i="55"/>
  <c r="W23" i="55"/>
  <c r="W41" i="55"/>
  <c r="W29" i="55"/>
  <c r="W17" i="55"/>
  <c r="W26" i="55"/>
  <c r="W38" i="55"/>
  <c r="W24" i="55"/>
  <c r="W45" i="55"/>
  <c r="W32" i="55"/>
  <c r="W21" i="55"/>
  <c r="W22" i="55"/>
  <c r="W20" i="55"/>
  <c r="R33" i="43"/>
  <c r="U42" i="55"/>
  <c r="U33" i="55"/>
  <c r="W37" i="55"/>
  <c r="W34" i="55"/>
  <c r="U43" i="55"/>
  <c r="W46" i="55"/>
  <c r="W43" i="55"/>
  <c r="W25" i="55"/>
  <c r="U32" i="55"/>
  <c r="U27" i="55"/>
  <c r="W40" i="55"/>
  <c r="W35" i="55"/>
  <c r="O14" i="43"/>
  <c r="R14" i="43" s="1"/>
  <c r="O31" i="43"/>
  <c r="R31" i="43" s="1"/>
  <c r="AF57" i="14"/>
  <c r="E56" i="73"/>
  <c r="R88" i="73"/>
  <c r="R61" i="73"/>
  <c r="E80" i="73"/>
  <c r="E29" i="73"/>
  <c r="E83" i="73"/>
  <c r="R115" i="73"/>
  <c r="R44" i="73"/>
  <c r="E12" i="73"/>
  <c r="E18" i="73"/>
  <c r="R50" i="73"/>
  <c r="R102" i="73"/>
  <c r="E70" i="73"/>
  <c r="R64" i="73"/>
  <c r="E32" i="73"/>
  <c r="AC83" i="14"/>
  <c r="E19" i="73"/>
  <c r="R51" i="73"/>
  <c r="E73" i="73"/>
  <c r="R105" i="73"/>
  <c r="R74" i="73"/>
  <c r="E42" i="73"/>
  <c r="AF90" i="14"/>
  <c r="E79" i="73"/>
  <c r="R111" i="73"/>
  <c r="R80" i="73"/>
  <c r="E48" i="73"/>
  <c r="AF43" i="14"/>
  <c r="R85" i="73"/>
  <c r="E53" i="73"/>
  <c r="E87" i="73"/>
  <c r="R119" i="73"/>
  <c r="AF77" i="14"/>
  <c r="E54" i="73"/>
  <c r="R86" i="73"/>
  <c r="AF59" i="14"/>
  <c r="AC59" i="14"/>
  <c r="AF54" i="14"/>
  <c r="E59" i="73"/>
  <c r="R91" i="73"/>
  <c r="AC54" i="14"/>
  <c r="AC49" i="14"/>
  <c r="AF79" i="14"/>
  <c r="R114" i="73"/>
  <c r="E82" i="73"/>
  <c r="AC79" i="14"/>
  <c r="AF34" i="14"/>
  <c r="R57" i="73"/>
  <c r="E25" i="73"/>
  <c r="AC34" i="14"/>
  <c r="AC38" i="14"/>
  <c r="AC35" i="14"/>
  <c r="AC66" i="14"/>
  <c r="AC90" i="14"/>
  <c r="AC53" i="14"/>
  <c r="AC18" i="14"/>
  <c r="AC22" i="14"/>
  <c r="AC75" i="14"/>
  <c r="AC51" i="14"/>
  <c r="AC43" i="14"/>
  <c r="AC26" i="14"/>
  <c r="AC65" i="14"/>
  <c r="AC13" i="14"/>
  <c r="S12" i="45" s="1"/>
  <c r="AC50" i="14"/>
  <c r="AC32" i="14"/>
  <c r="AC69" i="14"/>
  <c r="AC39" i="14"/>
  <c r="AC40" i="14"/>
  <c r="AC71" i="14"/>
  <c r="AC31" i="14"/>
  <c r="AC94" i="14"/>
  <c r="AC97" i="14"/>
  <c r="AC60" i="14"/>
  <c r="AC41" i="14"/>
  <c r="AC86" i="14"/>
  <c r="AC57" i="14"/>
  <c r="AC84" i="14"/>
  <c r="AC72" i="14"/>
  <c r="AC25" i="14"/>
  <c r="AC12" i="14"/>
  <c r="AC92" i="14"/>
  <c r="AC27" i="14"/>
  <c r="AC44" i="14"/>
  <c r="AC64" i="14"/>
  <c r="AC78" i="14"/>
  <c r="AC19" i="14"/>
  <c r="AC67" i="14"/>
  <c r="AC16" i="14"/>
  <c r="AC20" i="14"/>
  <c r="AC74" i="14"/>
  <c r="AC29" i="14"/>
  <c r="AC82" i="14"/>
  <c r="AC70" i="14"/>
  <c r="AC48" i="14"/>
  <c r="AC17" i="14"/>
  <c r="AC88" i="14"/>
  <c r="AC85" i="14"/>
  <c r="AC33" i="14"/>
  <c r="AC47" i="14"/>
  <c r="AC55" i="14"/>
  <c r="AF26" i="14"/>
  <c r="AC95" i="14"/>
  <c r="R41" i="73"/>
  <c r="AC23" i="14"/>
  <c r="AC91" i="14"/>
  <c r="AC96" i="14"/>
  <c r="AC62" i="14"/>
  <c r="AC58" i="14"/>
  <c r="AC37" i="14"/>
  <c r="AC93" i="14"/>
  <c r="AC28" i="14"/>
  <c r="AC61" i="14"/>
  <c r="AC76" i="14"/>
  <c r="AC42" i="14"/>
  <c r="AC80" i="14"/>
  <c r="AC81" i="14"/>
  <c r="AC11" i="14"/>
  <c r="S11" i="45" s="1"/>
  <c r="AC21" i="14"/>
  <c r="AC46" i="14"/>
  <c r="AC56" i="14"/>
  <c r="AC52" i="14"/>
  <c r="E9" i="73"/>
  <c r="AC77" i="14"/>
  <c r="AC45" i="14"/>
  <c r="AC36" i="14"/>
  <c r="AC14" i="14"/>
  <c r="AC63" i="14"/>
  <c r="AC89" i="14"/>
  <c r="AC24" i="14"/>
  <c r="AF68" i="14"/>
  <c r="E63" i="73"/>
  <c r="R95" i="73"/>
  <c r="AC68" i="14"/>
  <c r="AC73" i="14"/>
  <c r="R109" i="73"/>
  <c r="E77" i="73"/>
  <c r="AF87" i="14"/>
  <c r="AC87" i="14"/>
  <c r="AF15" i="14"/>
  <c r="E13" i="73"/>
  <c r="R45" i="73"/>
  <c r="AC15" i="14"/>
  <c r="R49" i="73"/>
  <c r="E17" i="73"/>
  <c r="AF30" i="14"/>
  <c r="AC30" i="14"/>
  <c r="B27" i="73"/>
  <c r="R24" i="73"/>
  <c r="S16" i="52"/>
  <c r="S11" i="52"/>
  <c r="U38" i="52"/>
  <c r="AD37" i="52"/>
  <c r="R10" i="73"/>
  <c r="S18" i="52"/>
  <c r="BN11" i="52"/>
  <c r="AB11" i="52" s="1"/>
  <c r="U11" i="52"/>
  <c r="S38" i="52"/>
  <c r="BN16" i="52"/>
  <c r="AB16" i="52"/>
  <c r="R13" i="73" s="1"/>
  <c r="U27" i="52"/>
  <c r="BN27" i="52"/>
  <c r="AB27" i="52" s="1"/>
  <c r="R19" i="73" s="1"/>
  <c r="S27" i="52"/>
  <c r="BN38" i="52"/>
  <c r="AB38" i="52" s="1"/>
  <c r="R21" i="73" s="1"/>
  <c r="U16" i="52"/>
  <c r="AD39" i="52"/>
  <c r="R34" i="73"/>
  <c r="B34" i="73"/>
  <c r="U28" i="52"/>
  <c r="BN28" i="52"/>
  <c r="AB28" i="52" s="1"/>
  <c r="B17" i="73" s="1"/>
  <c r="S23" i="52"/>
  <c r="R25" i="73"/>
  <c r="B25" i="73"/>
  <c r="AD32" i="52"/>
  <c r="R33" i="73"/>
  <c r="B33" i="73"/>
  <c r="S41" i="52"/>
  <c r="B16" i="73"/>
  <c r="U23" i="52"/>
  <c r="BN23" i="52"/>
  <c r="AB23" i="52" s="1"/>
  <c r="B11" i="73"/>
  <c r="AD15" i="52"/>
  <c r="U18" i="52"/>
  <c r="BN18" i="52"/>
  <c r="AB18" i="52" s="1"/>
  <c r="AD18" i="52" s="1"/>
  <c r="S13" i="52"/>
  <c r="B24" i="73"/>
  <c r="B31" i="73"/>
  <c r="R31" i="73"/>
  <c r="AD33" i="52"/>
  <c r="B10" i="73"/>
  <c r="AD34" i="52"/>
  <c r="R28" i="73"/>
  <c r="AD35" i="52"/>
  <c r="B28" i="73"/>
  <c r="U13" i="52"/>
  <c r="BN13" i="52"/>
  <c r="AB13" i="52" s="1"/>
  <c r="R3" i="73" s="1"/>
  <c r="AD30" i="52"/>
  <c r="R12" i="73"/>
  <c r="AD20" i="52"/>
  <c r="B12" i="73"/>
  <c r="AD12" i="52"/>
  <c r="BN22" i="52"/>
  <c r="AB22" i="52" s="1"/>
  <c r="R7" i="73" s="1"/>
  <c r="U22" i="52"/>
  <c r="BN25" i="52"/>
  <c r="AB25" i="52" s="1"/>
  <c r="U25" i="52"/>
  <c r="S25" i="52"/>
  <c r="R15" i="73"/>
  <c r="B15" i="73"/>
  <c r="AD26" i="52"/>
  <c r="B6" i="73"/>
  <c r="AD21" i="52"/>
  <c r="R6" i="73"/>
  <c r="BN41" i="52"/>
  <c r="AB41" i="52" s="1"/>
  <c r="B30" i="73" s="1"/>
  <c r="U41" i="52"/>
  <c r="S22" i="52"/>
  <c r="AD24" i="52"/>
  <c r="AA91" i="15" l="1"/>
  <c r="AD91" i="15" s="1"/>
  <c r="AA88" i="15"/>
  <c r="AD88" i="15" s="1"/>
  <c r="AA92" i="15"/>
  <c r="AD92" i="15" s="1"/>
  <c r="AA27" i="15"/>
  <c r="AD27" i="15" s="1"/>
  <c r="AA121" i="15"/>
  <c r="AD121" i="15" s="1"/>
  <c r="AA14" i="15"/>
  <c r="AD14" i="15" s="1"/>
  <c r="AA52" i="15"/>
  <c r="AD52" i="15" s="1"/>
  <c r="AA72" i="15"/>
  <c r="AD72" i="15" s="1"/>
  <c r="AA19" i="15"/>
  <c r="AA111" i="15"/>
  <c r="AD111" i="15" s="1"/>
  <c r="AA78" i="15"/>
  <c r="AA45" i="15"/>
  <c r="AD45" i="15" s="1"/>
  <c r="AA83" i="15"/>
  <c r="AA84" i="15"/>
  <c r="AD84" i="15" s="1"/>
  <c r="AD53" i="15"/>
  <c r="AA93" i="15"/>
  <c r="AD93" i="15" s="1"/>
  <c r="AA116" i="15"/>
  <c r="AD116" i="15" s="1"/>
  <c r="AA30" i="15"/>
  <c r="AD30" i="15" s="1"/>
  <c r="AA20" i="15"/>
  <c r="AD20" i="15" s="1"/>
  <c r="AA35" i="15"/>
  <c r="AD35" i="15" s="1"/>
  <c r="AD78" i="15"/>
  <c r="AA61" i="15"/>
  <c r="AD61" i="15" s="1"/>
  <c r="AA39" i="15"/>
  <c r="AD39" i="15" s="1"/>
  <c r="AA41" i="15"/>
  <c r="AD41" i="15" s="1"/>
  <c r="AA21" i="15"/>
  <c r="AD21" i="15" s="1"/>
  <c r="AA77" i="15"/>
  <c r="AD77" i="15" s="1"/>
  <c r="AA64" i="15"/>
  <c r="AD64" i="15" s="1"/>
  <c r="AD19" i="15"/>
  <c r="AA100" i="15"/>
  <c r="AD100" i="15" s="1"/>
  <c r="AA86" i="15"/>
  <c r="AD86" i="15" s="1"/>
  <c r="AD51" i="15"/>
  <c r="AD83" i="15"/>
  <c r="AA32" i="15"/>
  <c r="AD32" i="15" s="1"/>
  <c r="AA85" i="15"/>
  <c r="AD85" i="15" s="1"/>
  <c r="AA81" i="15"/>
  <c r="AD81" i="15" s="1"/>
  <c r="AA82" i="15"/>
  <c r="AD82" i="15" s="1"/>
  <c r="AA29" i="15"/>
  <c r="AD29" i="15" s="1"/>
  <c r="AA34" i="15"/>
  <c r="AD34" i="15" s="1"/>
  <c r="AA106" i="15"/>
  <c r="AD106" i="15" s="1"/>
  <c r="AA24" i="15"/>
  <c r="AD24" i="15" s="1"/>
  <c r="AA122" i="15"/>
  <c r="AD122" i="15" s="1"/>
  <c r="AA104" i="15"/>
  <c r="AD104" i="15" s="1"/>
  <c r="AA49" i="15"/>
  <c r="AD49" i="15" s="1"/>
  <c r="AA112" i="15"/>
  <c r="AD112" i="15" s="1"/>
  <c r="AA123" i="15"/>
  <c r="AD123" i="15" s="1"/>
  <c r="AA31" i="15"/>
  <c r="AD31" i="15" s="1"/>
  <c r="AA80" i="15"/>
  <c r="AD80" i="15" s="1"/>
  <c r="AA48" i="15"/>
  <c r="AD48" i="15" s="1"/>
  <c r="AA74" i="15"/>
  <c r="AD74" i="15" s="1"/>
  <c r="AA76" i="15"/>
  <c r="AD76" i="15" s="1"/>
  <c r="AA13" i="15"/>
  <c r="AD13" i="15" s="1"/>
  <c r="AA69" i="15"/>
  <c r="AD69" i="15" s="1"/>
  <c r="AA95" i="15"/>
  <c r="AD95" i="15" s="1"/>
  <c r="AA101" i="15"/>
  <c r="AD101" i="15" s="1"/>
  <c r="AA56" i="15"/>
  <c r="AD56" i="15" s="1"/>
  <c r="AA105" i="15"/>
  <c r="AD105" i="15" s="1"/>
  <c r="AA54" i="15"/>
  <c r="AD54" i="15" s="1"/>
  <c r="AA62" i="15"/>
  <c r="AD62" i="15" s="1"/>
  <c r="AA37" i="15"/>
  <c r="AD37" i="15" s="1"/>
  <c r="AA114" i="15"/>
  <c r="AD114" i="15" s="1"/>
  <c r="AA94" i="15"/>
  <c r="AD94" i="15" s="1"/>
  <c r="AA18" i="15"/>
  <c r="AD18" i="15" s="1"/>
  <c r="AA23" i="15"/>
  <c r="AD23" i="15" s="1"/>
  <c r="AA65" i="15"/>
  <c r="AD65" i="15" s="1"/>
  <c r="AA15" i="15"/>
  <c r="AD15" i="15" s="1"/>
  <c r="AA115" i="15"/>
  <c r="AD115" i="15" s="1"/>
  <c r="AA58" i="15"/>
  <c r="AD58" i="15" s="1"/>
  <c r="AA109" i="15"/>
  <c r="AD109" i="15" s="1"/>
  <c r="AA73" i="15"/>
  <c r="AD73" i="15" s="1"/>
  <c r="AA38" i="15"/>
  <c r="AD38" i="15" s="1"/>
  <c r="AA44" i="15"/>
  <c r="AD44" i="15" s="1"/>
  <c r="AA108" i="15"/>
  <c r="AD108" i="15" s="1"/>
  <c r="AA67" i="15"/>
  <c r="AD67" i="15" s="1"/>
  <c r="AA118" i="15"/>
  <c r="AD118" i="15" s="1"/>
  <c r="AA28" i="15"/>
  <c r="AD28" i="15" s="1"/>
  <c r="AA36" i="15"/>
  <c r="AD36" i="15" s="1"/>
  <c r="AA103" i="15"/>
  <c r="AD103" i="15" s="1"/>
  <c r="AA17" i="15"/>
  <c r="AD17" i="15" s="1"/>
  <c r="AA87" i="15"/>
  <c r="AD87" i="15" s="1"/>
  <c r="AA16" i="15"/>
  <c r="AD16" i="15" s="1"/>
  <c r="AA43" i="15"/>
  <c r="AD43" i="15" s="1"/>
  <c r="AA55" i="15"/>
  <c r="AD55" i="15" s="1"/>
  <c r="AA98" i="15"/>
  <c r="AD98" i="15" s="1"/>
  <c r="AA70" i="15"/>
  <c r="AD70" i="15" s="1"/>
  <c r="AA71" i="15"/>
  <c r="AD71" i="15" s="1"/>
  <c r="AA120" i="15"/>
  <c r="AD120" i="15" s="1"/>
  <c r="AA75" i="15"/>
  <c r="AD75" i="15" s="1"/>
  <c r="AA50" i="15"/>
  <c r="AD50" i="15" s="1"/>
  <c r="AA119" i="15"/>
  <c r="AD119" i="15" s="1"/>
  <c r="AA26" i="15"/>
  <c r="AD26" i="15" s="1"/>
  <c r="AA59" i="15"/>
  <c r="AD59" i="15" s="1"/>
  <c r="AA33" i="15"/>
  <c r="AD33" i="15" s="1"/>
  <c r="AA113" i="15"/>
  <c r="AD113" i="15" s="1"/>
  <c r="AA89" i="15"/>
  <c r="AD89" i="15" s="1"/>
  <c r="AA110" i="15"/>
  <c r="AD110" i="15" s="1"/>
  <c r="AA66" i="15"/>
  <c r="AD66" i="15" s="1"/>
  <c r="AA107" i="15"/>
  <c r="AD107" i="15" s="1"/>
  <c r="AA97" i="15"/>
  <c r="AD97" i="15" s="1"/>
  <c r="AA46" i="15"/>
  <c r="AD46" i="15" s="1"/>
  <c r="AA42" i="15"/>
  <c r="AD42" i="15" s="1"/>
  <c r="AA57" i="15"/>
  <c r="AD57" i="15" s="1"/>
  <c r="AA60" i="15"/>
  <c r="AD60" i="15" s="1"/>
  <c r="AA25" i="15"/>
  <c r="AD25" i="15" s="1"/>
  <c r="AA12" i="15"/>
  <c r="AD12" i="15" s="1"/>
  <c r="AA90" i="15"/>
  <c r="AD90" i="15" s="1"/>
  <c r="AA102" i="15"/>
  <c r="AD102" i="15" s="1"/>
  <c r="AA47" i="15"/>
  <c r="AD47" i="15" s="1"/>
  <c r="AA68" i="15"/>
  <c r="AD68" i="15" s="1"/>
  <c r="AA11" i="15"/>
  <c r="AD11" i="15" s="1"/>
  <c r="AA79" i="15"/>
  <c r="AD79" i="15" s="1"/>
  <c r="AA22" i="15"/>
  <c r="AD22" i="15" s="1"/>
  <c r="AA63" i="15"/>
  <c r="AD63" i="15" s="1"/>
  <c r="AA40" i="15"/>
  <c r="AD40" i="15" s="1"/>
  <c r="AA96" i="15"/>
  <c r="AD96" i="15" s="1"/>
  <c r="AA117" i="15"/>
  <c r="AD117" i="15" s="1"/>
  <c r="AA99" i="15"/>
  <c r="AD99" i="15" s="1"/>
  <c r="AC24" i="16"/>
  <c r="AC13" i="16"/>
  <c r="AC64" i="16"/>
  <c r="AC44" i="16"/>
  <c r="AC36" i="16"/>
  <c r="AC38" i="16"/>
  <c r="AC18" i="16"/>
  <c r="AC37" i="16"/>
  <c r="AC67" i="16"/>
  <c r="AC16" i="16"/>
  <c r="AC71" i="16"/>
  <c r="AC51" i="16"/>
  <c r="AC65" i="16"/>
  <c r="AC42" i="16"/>
  <c r="AC31" i="16"/>
  <c r="AC29" i="16"/>
  <c r="Q35" i="43"/>
  <c r="Q27" i="43"/>
  <c r="Q15" i="43"/>
  <c r="Q23" i="43"/>
  <c r="Q12" i="43"/>
  <c r="Q25" i="43"/>
  <c r="Q14" i="43"/>
  <c r="Q24" i="43"/>
  <c r="Q33" i="43"/>
  <c r="Q28" i="43"/>
  <c r="Q17" i="43"/>
  <c r="Q34" i="43"/>
  <c r="Q11" i="43"/>
  <c r="Q26" i="43"/>
  <c r="Q21" i="43"/>
  <c r="Q37" i="43"/>
  <c r="Q16" i="43"/>
  <c r="AE15" i="14"/>
  <c r="AE37" i="14"/>
  <c r="AH37" i="14" s="1"/>
  <c r="AE82" i="14"/>
  <c r="AH82" i="14" s="1"/>
  <c r="AE92" i="14"/>
  <c r="AE28" i="14"/>
  <c r="AE27" i="14"/>
  <c r="AE52" i="14"/>
  <c r="AH52" i="14" s="1"/>
  <c r="AE68" i="14"/>
  <c r="AE54" i="14"/>
  <c r="AE73" i="14"/>
  <c r="AH73" i="14" s="1"/>
  <c r="AE88" i="14"/>
  <c r="AE78" i="14"/>
  <c r="AE45" i="14"/>
  <c r="AE50" i="14"/>
  <c r="AH50" i="14" s="1"/>
  <c r="AE89" i="14"/>
  <c r="AH89" i="14" s="1"/>
  <c r="AE17" i="14"/>
  <c r="AE35" i="14"/>
  <c r="AE30" i="14"/>
  <c r="AH30" i="14" s="1"/>
  <c r="AE87" i="14"/>
  <c r="AH87" i="14" s="1"/>
  <c r="AE26" i="14"/>
  <c r="AE77" i="14"/>
  <c r="AE31" i="14"/>
  <c r="AH31" i="14" s="1"/>
  <c r="AE29" i="14"/>
  <c r="AH29" i="14" s="1"/>
  <c r="AE60" i="14"/>
  <c r="AE86" i="14"/>
  <c r="AE14" i="14"/>
  <c r="AH14" i="14" s="1"/>
  <c r="AE63" i="14"/>
  <c r="AH63" i="14" s="1"/>
  <c r="AE34" i="14"/>
  <c r="AE79" i="14"/>
  <c r="AE90" i="14"/>
  <c r="AH90" i="14" s="1"/>
  <c r="AE58" i="14"/>
  <c r="AH58" i="14" s="1"/>
  <c r="AE59" i="14"/>
  <c r="AE43" i="14"/>
  <c r="AE57" i="14"/>
  <c r="AH57" i="14" s="1"/>
  <c r="AE11" i="14"/>
  <c r="AH11" i="14" s="1"/>
  <c r="AE24" i="14"/>
  <c r="AE64" i="14"/>
  <c r="AE41" i="14"/>
  <c r="AH41" i="14" s="1"/>
  <c r="AE19" i="14"/>
  <c r="AH19" i="14" s="1"/>
  <c r="AE84" i="14"/>
  <c r="AE39" i="14"/>
  <c r="AE55" i="14"/>
  <c r="AH55" i="14" s="1"/>
  <c r="AE25" i="14"/>
  <c r="AH25" i="14" s="1"/>
  <c r="AE71" i="14"/>
  <c r="AE36" i="14"/>
  <c r="AE74" i="14"/>
  <c r="AH74" i="14" s="1"/>
  <c r="AE97" i="14"/>
  <c r="AH97" i="14" s="1"/>
  <c r="AE13" i="14"/>
  <c r="AE80" i="14"/>
  <c r="AE16" i="14"/>
  <c r="AH16" i="14" s="1"/>
  <c r="AE53" i="14"/>
  <c r="AH53" i="14" s="1"/>
  <c r="AE23" i="14"/>
  <c r="AE33" i="14"/>
  <c r="AE20" i="14"/>
  <c r="AH20" i="14" s="1"/>
  <c r="AE81" i="14"/>
  <c r="AH81" i="14" s="1"/>
  <c r="AE51" i="14"/>
  <c r="AE21" i="14"/>
  <c r="AE48" i="14"/>
  <c r="AH48" i="14" s="1"/>
  <c r="AE18" i="14"/>
  <c r="AH18" i="14" s="1"/>
  <c r="AE76" i="14"/>
  <c r="AE44" i="14"/>
  <c r="AE69" i="14"/>
  <c r="AH69" i="14" s="1"/>
  <c r="AE70" i="14"/>
  <c r="AH70" i="14" s="1"/>
  <c r="AE42" i="14"/>
  <c r="AE96" i="14"/>
  <c r="AE62" i="14"/>
  <c r="AE66" i="14"/>
  <c r="AH66" i="14" s="1"/>
  <c r="AE47" i="14"/>
  <c r="AE61" i="14"/>
  <c r="AE12" i="14"/>
  <c r="AH12" i="14" s="1"/>
  <c r="AE38" i="14"/>
  <c r="AH38" i="14" s="1"/>
  <c r="AE32" i="14"/>
  <c r="AE65" i="14"/>
  <c r="AE46" i="14"/>
  <c r="AH46" i="14" s="1"/>
  <c r="AE22" i="14"/>
  <c r="AH22" i="14" s="1"/>
  <c r="AE49" i="14"/>
  <c r="AH49" i="14" s="1"/>
  <c r="AE91" i="14"/>
  <c r="AE56" i="14"/>
  <c r="AH56" i="14" s="1"/>
  <c r="AE75" i="14"/>
  <c r="AE40" i="14"/>
  <c r="AE72" i="14"/>
  <c r="AE95" i="14"/>
  <c r="AH95" i="14" s="1"/>
  <c r="AE67" i="14"/>
  <c r="AH67" i="14" s="1"/>
  <c r="AE83" i="14"/>
  <c r="AH34" i="14"/>
  <c r="AH27" i="14"/>
  <c r="AH88" i="14"/>
  <c r="AH17" i="14"/>
  <c r="AH54" i="14"/>
  <c r="AH45" i="14"/>
  <c r="AH75" i="14"/>
  <c r="AH26" i="14"/>
  <c r="AH86" i="14"/>
  <c r="AH71" i="14"/>
  <c r="AH80" i="14"/>
  <c r="AH24" i="14"/>
  <c r="AH32" i="14"/>
  <c r="AH33" i="14"/>
  <c r="AH44" i="14"/>
  <c r="AH47" i="14"/>
  <c r="AH51" i="14"/>
  <c r="AH36" i="14"/>
  <c r="AH13" i="14"/>
  <c r="AH65" i="14"/>
  <c r="AH92" i="14"/>
  <c r="AH21" i="14"/>
  <c r="AH72" i="14"/>
  <c r="AH91" i="14"/>
  <c r="U11" i="45"/>
  <c r="U23" i="45" s="1"/>
  <c r="AH68" i="14"/>
  <c r="AC70" i="16"/>
  <c r="AC33" i="16"/>
  <c r="AC50" i="16"/>
  <c r="AC61" i="16"/>
  <c r="AC41" i="16"/>
  <c r="AC58" i="16"/>
  <c r="AC49" i="16"/>
  <c r="AC20" i="16"/>
  <c r="AC46" i="16"/>
  <c r="AC15" i="16"/>
  <c r="AC28" i="16"/>
  <c r="AC47" i="16"/>
  <c r="AC63" i="16"/>
  <c r="AC53" i="16"/>
  <c r="AC60" i="16"/>
  <c r="AC14" i="16"/>
  <c r="AC12" i="16"/>
  <c r="AC72" i="16"/>
  <c r="AC69" i="16"/>
  <c r="AC45" i="16"/>
  <c r="AC35" i="16"/>
  <c r="AC43" i="16"/>
  <c r="AC22" i="16"/>
  <c r="AC32" i="16"/>
  <c r="AC25" i="16"/>
  <c r="AC56" i="16"/>
  <c r="AC57" i="16"/>
  <c r="AC21" i="16"/>
  <c r="R17" i="73"/>
  <c r="AC48" i="16"/>
  <c r="AC52" i="16"/>
  <c r="AC68" i="16"/>
  <c r="AC27" i="16"/>
  <c r="AC66" i="16"/>
  <c r="AC26" i="16"/>
  <c r="AC40" i="16"/>
  <c r="AC30" i="16"/>
  <c r="AC59" i="16"/>
  <c r="AC17" i="16"/>
  <c r="AC11" i="16"/>
  <c r="AC39" i="16"/>
  <c r="AC54" i="16"/>
  <c r="AC55" i="16"/>
  <c r="AC19" i="16"/>
  <c r="AC34" i="16"/>
  <c r="AC23" i="16"/>
  <c r="AC62" i="16"/>
  <c r="B21" i="73"/>
  <c r="S22" i="45"/>
  <c r="T22" i="45"/>
  <c r="T23" i="45"/>
  <c r="Q30" i="43"/>
  <c r="S23" i="45"/>
  <c r="Q31" i="43"/>
  <c r="Q36" i="43"/>
  <c r="Q18" i="43"/>
  <c r="Q22" i="43"/>
  <c r="Q29" i="43"/>
  <c r="Q32" i="43"/>
  <c r="Q39" i="43"/>
  <c r="Q20" i="43"/>
  <c r="Q38" i="43"/>
  <c r="Q19" i="43"/>
  <c r="Q13" i="43"/>
  <c r="Q10" i="43"/>
  <c r="AH15" i="14"/>
  <c r="AH42" i="14"/>
  <c r="AH40" i="14"/>
  <c r="AH76" i="14"/>
  <c r="AH94" i="14"/>
  <c r="AH60" i="14"/>
  <c r="AH93" i="14"/>
  <c r="AH23" i="14"/>
  <c r="AH78" i="14"/>
  <c r="AH43" i="14"/>
  <c r="AH64" i="14"/>
  <c r="AH96" i="14"/>
  <c r="AH85" i="14"/>
  <c r="AH62" i="14"/>
  <c r="AH84" i="14"/>
  <c r="AH61" i="14"/>
  <c r="AH35" i="14"/>
  <c r="AH77" i="14"/>
  <c r="AH28" i="14"/>
  <c r="AH39" i="14"/>
  <c r="AH79" i="14"/>
  <c r="AH59" i="14"/>
  <c r="AG59" i="14" s="1"/>
  <c r="AH83" i="14"/>
  <c r="R4" i="73"/>
  <c r="B8" i="73"/>
  <c r="AD38" i="52"/>
  <c r="R29" i="73"/>
  <c r="B29" i="73"/>
  <c r="R26" i="73"/>
  <c r="B26" i="73"/>
  <c r="AD11" i="52"/>
  <c r="R5" i="73"/>
  <c r="B5" i="73"/>
  <c r="B4" i="73"/>
  <c r="AD27" i="52"/>
  <c r="B19" i="73"/>
  <c r="B13" i="73"/>
  <c r="AD16" i="52"/>
  <c r="R22" i="73"/>
  <c r="B22" i="73"/>
  <c r="R8" i="73"/>
  <c r="AD28" i="52"/>
  <c r="B18" i="73"/>
  <c r="R18" i="73"/>
  <c r="R14" i="73"/>
  <c r="B14" i="73"/>
  <c r="AD23" i="52"/>
  <c r="B3" i="73"/>
  <c r="AD13" i="52"/>
  <c r="AA38" i="52"/>
  <c r="R9" i="73"/>
  <c r="AA40" i="52"/>
  <c r="AA16" i="52"/>
  <c r="AA15" i="52"/>
  <c r="AA13" i="52"/>
  <c r="AA39" i="52"/>
  <c r="AA42" i="52"/>
  <c r="AA17" i="52"/>
  <c r="AA18" i="52"/>
  <c r="B9" i="73"/>
  <c r="AA19" i="52"/>
  <c r="AA29" i="52"/>
  <c r="AA32" i="52"/>
  <c r="AA36" i="52"/>
  <c r="AA23" i="52"/>
  <c r="AA11" i="52"/>
  <c r="AA27" i="52"/>
  <c r="AA37" i="52"/>
  <c r="AA31" i="52"/>
  <c r="AA28" i="52"/>
  <c r="AA14" i="52"/>
  <c r="AA33" i="52"/>
  <c r="AA20" i="52"/>
  <c r="AA26" i="52"/>
  <c r="AA24" i="52"/>
  <c r="AA12" i="52"/>
  <c r="AA35" i="52"/>
  <c r="AA30" i="52"/>
  <c r="AA21" i="52"/>
  <c r="AA34" i="52"/>
  <c r="R30" i="73"/>
  <c r="R32" i="73"/>
  <c r="AA41" i="52"/>
  <c r="B32" i="73"/>
  <c r="AD41" i="52"/>
  <c r="AD25" i="52"/>
  <c r="R23" i="73"/>
  <c r="B23" i="73"/>
  <c r="AA25" i="52"/>
  <c r="B7" i="73"/>
  <c r="AA22" i="52"/>
  <c r="B20" i="73"/>
  <c r="AD22" i="52"/>
  <c r="AC22" i="52" s="1"/>
  <c r="R20" i="73"/>
  <c r="AC60" i="15" l="1"/>
  <c r="AC63" i="15"/>
  <c r="AC55" i="15"/>
  <c r="AC24" i="15"/>
  <c r="AC85" i="15"/>
  <c r="AC50" i="15"/>
  <c r="AC65" i="15"/>
  <c r="AC69" i="15"/>
  <c r="AC48" i="15"/>
  <c r="AC41" i="15"/>
  <c r="AC116" i="15"/>
  <c r="AC107" i="15"/>
  <c r="AC23" i="15"/>
  <c r="AC121" i="15"/>
  <c r="AC86" i="15"/>
  <c r="AC72" i="15"/>
  <c r="AC117" i="15"/>
  <c r="AC104" i="15"/>
  <c r="AC25" i="15"/>
  <c r="AC46" i="15"/>
  <c r="AC110" i="15"/>
  <c r="AC75" i="15"/>
  <c r="AC98" i="15"/>
  <c r="AC87" i="15"/>
  <c r="AC28" i="15"/>
  <c r="AC44" i="15"/>
  <c r="AC37" i="15"/>
  <c r="AC56" i="15"/>
  <c r="AC93" i="15"/>
  <c r="AC80" i="15"/>
  <c r="AC49" i="15"/>
  <c r="AC106" i="15"/>
  <c r="AC81" i="15"/>
  <c r="AC66" i="15"/>
  <c r="AC96" i="15"/>
  <c r="AC71" i="15"/>
  <c r="AC94" i="15"/>
  <c r="AC59" i="15"/>
  <c r="AC58" i="15"/>
  <c r="AC47" i="15"/>
  <c r="AC27" i="15"/>
  <c r="AC43" i="15"/>
  <c r="AC45" i="15"/>
  <c r="AC118" i="15"/>
  <c r="AC78" i="15"/>
  <c r="AC22" i="15"/>
  <c r="AC102" i="15"/>
  <c r="AC57" i="15"/>
  <c r="AC103" i="15"/>
  <c r="AC32" i="15"/>
  <c r="AC70" i="15"/>
  <c r="AC36" i="15"/>
  <c r="AC20" i="15"/>
  <c r="AC122" i="15"/>
  <c r="AC13" i="15"/>
  <c r="AC31" i="15"/>
  <c r="AC52" i="15"/>
  <c r="AC15" i="15"/>
  <c r="AC51" i="15"/>
  <c r="AC35" i="15"/>
  <c r="AC16" i="15"/>
  <c r="AC26" i="15"/>
  <c r="AC113" i="15"/>
  <c r="AC30" i="15"/>
  <c r="AC77" i="15"/>
  <c r="AC79" i="15"/>
  <c r="AC101" i="15"/>
  <c r="AC38" i="15"/>
  <c r="AC11" i="15"/>
  <c r="AC90" i="15"/>
  <c r="AC42" i="15"/>
  <c r="AC114" i="15"/>
  <c r="AC17" i="15"/>
  <c r="AC61" i="15"/>
  <c r="AC14" i="15"/>
  <c r="AC34" i="15"/>
  <c r="AC92" i="15"/>
  <c r="AC54" i="15"/>
  <c r="AC76" i="15"/>
  <c r="AC100" i="15"/>
  <c r="AC115" i="15"/>
  <c r="AC21" i="15"/>
  <c r="AC108" i="15"/>
  <c r="AC119" i="15"/>
  <c r="AC109" i="15"/>
  <c r="AC39" i="15"/>
  <c r="AC83" i="15"/>
  <c r="AC64" i="15"/>
  <c r="AC29" i="15"/>
  <c r="AC120" i="15"/>
  <c r="AC68" i="15"/>
  <c r="AC89" i="15"/>
  <c r="AC91" i="15"/>
  <c r="AC95" i="15"/>
  <c r="AC97" i="15"/>
  <c r="AC82" i="15"/>
  <c r="AC40" i="15"/>
  <c r="AC105" i="15"/>
  <c r="AC74" i="15"/>
  <c r="AC88" i="15"/>
  <c r="AC73" i="15"/>
  <c r="AC99" i="15"/>
  <c r="AC62" i="15"/>
  <c r="AC18" i="15"/>
  <c r="AC33" i="15"/>
  <c r="AC12" i="15"/>
  <c r="AC112" i="15"/>
  <c r="AC123" i="15"/>
  <c r="AC111" i="15"/>
  <c r="AC19" i="15"/>
  <c r="AC53" i="15"/>
  <c r="AC67" i="15"/>
  <c r="AC84" i="15"/>
  <c r="U22" i="45"/>
  <c r="AG34" i="14"/>
  <c r="AG70" i="14"/>
  <c r="AG76" i="14"/>
  <c r="AG49" i="14"/>
  <c r="AG38" i="14"/>
  <c r="AG65" i="14"/>
  <c r="AG42" i="14"/>
  <c r="AG87" i="14"/>
  <c r="AG55" i="14"/>
  <c r="AG30" i="14"/>
  <c r="AG73" i="14"/>
  <c r="AG83" i="14"/>
  <c r="AG44" i="14"/>
  <c r="AG47" i="14"/>
  <c r="AG46" i="14"/>
  <c r="AG54" i="14"/>
  <c r="AG57" i="14"/>
  <c r="AG58" i="14"/>
  <c r="AG45" i="14"/>
  <c r="AG84" i="14"/>
  <c r="AG66" i="14"/>
  <c r="AG14" i="14"/>
  <c r="AG52" i="14"/>
  <c r="AG71" i="14"/>
  <c r="AG43" i="14"/>
  <c r="AG75" i="14"/>
  <c r="AG72" i="14"/>
  <c r="AG37" i="14"/>
  <c r="AG51" i="14"/>
  <c r="AG62" i="14"/>
  <c r="AG41" i="14"/>
  <c r="AG12" i="14"/>
  <c r="AG95" i="14"/>
  <c r="AG92" i="14"/>
  <c r="AG85" i="14"/>
  <c r="AG48" i="14"/>
  <c r="AG21" i="14"/>
  <c r="AG36" i="14"/>
  <c r="AG90" i="14"/>
  <c r="AG16" i="14"/>
  <c r="AG23" i="14"/>
  <c r="AG69" i="14"/>
  <c r="AG24" i="14"/>
  <c r="AG33" i="14"/>
  <c r="AG67" i="14"/>
  <c r="AG77" i="14"/>
  <c r="AG35" i="14"/>
  <c r="AG61" i="14"/>
  <c r="AG89" i="14"/>
  <c r="AG31" i="14"/>
  <c r="AG79" i="14"/>
  <c r="AG39" i="14"/>
  <c r="AG29" i="14"/>
  <c r="AG28" i="14"/>
  <c r="AG63" i="14"/>
  <c r="AG18" i="14"/>
  <c r="AG88" i="14"/>
  <c r="AG81" i="14"/>
  <c r="AG15" i="14"/>
  <c r="AG27" i="14"/>
  <c r="AG22" i="14"/>
  <c r="AG78" i="14"/>
  <c r="AG91" i="14"/>
  <c r="AG32" i="14"/>
  <c r="AG82" i="14"/>
  <c r="AG25" i="14"/>
  <c r="AG19" i="14"/>
  <c r="AG86" i="14"/>
  <c r="AG97" i="14"/>
  <c r="AG60" i="14"/>
  <c r="AG94" i="14"/>
  <c r="AG17" i="14"/>
  <c r="AG80" i="14"/>
  <c r="AG40" i="14"/>
  <c r="AG56" i="14"/>
  <c r="AG96" i="14"/>
  <c r="AG26" i="14"/>
  <c r="AG20" i="14"/>
  <c r="AG53" i="14"/>
  <c r="AG11" i="14"/>
  <c r="AG50" i="14"/>
  <c r="AG64" i="14"/>
  <c r="AG74" i="14"/>
  <c r="AG93" i="14"/>
  <c r="AG13" i="14"/>
  <c r="AG68" i="14"/>
  <c r="AC31" i="52"/>
  <c r="AF31" i="52" s="1"/>
  <c r="AC35" i="52"/>
  <c r="AF35" i="52" s="1"/>
  <c r="AF22" i="52"/>
  <c r="AC12" i="52"/>
  <c r="AF12" i="52" s="1"/>
  <c r="AC21" i="52"/>
  <c r="AF21" i="52" s="1"/>
  <c r="AC25" i="52"/>
  <c r="AF25" i="52" s="1"/>
  <c r="AC33" i="52"/>
  <c r="AF33" i="52" s="1"/>
  <c r="AC41" i="52"/>
  <c r="AC34" i="52"/>
  <c r="AF34" i="52" s="1"/>
  <c r="AC30" i="52"/>
  <c r="AF30" i="52" s="1"/>
  <c r="AC24" i="52"/>
  <c r="AF24" i="52" s="1"/>
  <c r="AC38" i="52"/>
  <c r="AF38" i="52" s="1"/>
  <c r="AC29" i="52"/>
  <c r="AF29" i="52" s="1"/>
  <c r="AC32" i="52"/>
  <c r="AF32" i="52" s="1"/>
  <c r="AC18" i="52"/>
  <c r="AF18" i="52" s="1"/>
  <c r="AC19" i="52"/>
  <c r="AF19" i="52" s="1"/>
  <c r="AC40" i="52"/>
  <c r="AF40" i="52" s="1"/>
  <c r="AC39" i="52"/>
  <c r="AF39" i="52" s="1"/>
  <c r="AC13" i="52"/>
  <c r="AF13" i="52" s="1"/>
  <c r="AC17" i="52"/>
  <c r="AF17" i="52" s="1"/>
  <c r="AC16" i="52"/>
  <c r="AF16" i="52" s="1"/>
  <c r="AC42" i="52"/>
  <c r="AF42" i="52" s="1"/>
  <c r="AC15" i="52"/>
  <c r="AF15" i="52" s="1"/>
  <c r="AC37" i="52"/>
  <c r="AF37" i="52" s="1"/>
  <c r="AC23" i="52"/>
  <c r="AF23" i="52" s="1"/>
  <c r="AC14" i="52"/>
  <c r="AF14" i="52" s="1"/>
  <c r="AC36" i="52"/>
  <c r="AF36" i="52" s="1"/>
  <c r="AC28" i="52"/>
  <c r="AF28" i="52" s="1"/>
  <c r="AC27" i="52"/>
  <c r="AF27" i="52" s="1"/>
  <c r="AC11" i="52"/>
  <c r="AF11" i="52" s="1"/>
  <c r="AC20" i="52"/>
  <c r="AF20" i="52" s="1"/>
  <c r="AC26" i="52"/>
  <c r="AF26" i="52" s="1"/>
  <c r="AF41" i="52"/>
  <c r="AE31" i="52" l="1"/>
  <c r="AE14" i="52"/>
  <c r="AE42" i="52"/>
  <c r="AE39" i="52"/>
  <c r="AE32" i="52"/>
  <c r="AE24" i="52"/>
  <c r="AE33" i="52"/>
  <c r="AE22" i="52"/>
  <c r="AE11" i="52"/>
  <c r="AE27" i="52"/>
  <c r="AE23" i="52"/>
  <c r="AE16" i="52"/>
  <c r="AE40" i="52"/>
  <c r="AE29" i="52"/>
  <c r="AE30" i="52"/>
  <c r="AE25" i="52"/>
  <c r="AE26" i="52"/>
  <c r="AE28" i="52"/>
  <c r="AE37" i="52"/>
  <c r="AE17" i="52"/>
  <c r="AE19" i="52"/>
  <c r="AE38" i="52"/>
  <c r="AE34" i="52"/>
  <c r="AE21" i="52"/>
  <c r="AE12" i="52"/>
  <c r="AE41" i="52"/>
  <c r="AE36" i="52"/>
  <c r="AE20" i="52"/>
  <c r="AE15" i="52"/>
  <c r="AE13" i="52"/>
  <c r="AE18" i="52"/>
  <c r="AE35" i="52"/>
</calcChain>
</file>

<file path=xl/connections.xml><?xml version="1.0" encoding="utf-8"?>
<connections xmlns="http://schemas.openxmlformats.org/spreadsheetml/2006/main">
  <connection id="1" keepAlive="1" name="Query - DEF Stack Data" description="Connection to the 'DEF Stack Data' query in the workbook." type="5" refreshedVersion="0" background="1">
    <dbPr connection="provider=Microsoft.Mashup.OleDb.1;data source=$EmbeddedMashup(e958d4f7-3925-4a00-bd20-e137de03827a)$;location=&quot;DEF Stack Data&quot;" command="SELECT * FROM [DEF Stack Data]"/>
  </connection>
  <connection id="2" keepAlive="1" name="Query - Merged Stack Data" description="Connection to the 'Merged Stack Data' query in the workbook." type="5" refreshedVersion="6" background="1" saveData="1">
    <dbPr connection="provider=Microsoft.Mashup.OleDb.1;data source=$EmbeddedMashup(e958d4f7-3925-4a00-bd20-e137de03827a)$;location=&quot;Merged Stack Data&quot;" command="SELECT * FROM [Merged Stack Data]"/>
  </connection>
  <connection id="3" keepAlive="1" name="Query - QB Stack Data" description="Connection to the 'QB Stack Data' query in the workbook." type="5" refreshedVersion="0" background="1">
    <dbPr connection="provider=Microsoft.Mashup.OleDb.1;data source=$EmbeddedMashup(e958d4f7-3925-4a00-bd20-e137de03827a)$;location=&quot;QB Stack Data&quot;" command="SELECT * FROM [QB Stack Data]"/>
  </connection>
  <connection id="4" keepAlive="1" name="Query - RB Stack Data" description="Connection to the 'RB Stack Data' query in the workbook." type="5" refreshedVersion="0" background="1">
    <dbPr connection="provider=Microsoft.Mashup.OleDb.1;data source=$EmbeddedMashup(e958d4f7-3925-4a00-bd20-e137de03827a)$;location=&quot;RB Stack Data&quot;" command="SELECT * FROM [RB Stack Data]"/>
  </connection>
  <connection id="5" keepAlive="1" name="Query - RBmatchups" type="5" refreshedVersion="5" deleted="1" background="1" saveData="1">
    <dbPr connection="" command=""/>
  </connection>
  <connection id="6" keepAlive="1" name="Query - Table 3" description="Connection to the 'Table 3' query in the workbook." type="5" refreshedVersion="5" background="1" saveData="1">
    <dbPr connection="provider=Microsoft.Mashup.OleDb.1;data source=$EmbeddedMashup(e958d4f7-3925-4a00-bd20-e137de03827a)$;location=&quot;Table 3&quot;" command="SELECT * FROM [Table 3]"/>
  </connection>
  <connection id="7" keepAlive="1" name="Query - Table 3 (2)" description="Connection to the 'Table 3 (2)' query in the workbook." type="5" refreshedVersion="5" background="1" saveData="1">
    <dbPr connection="provider=Microsoft.Mashup.OleDb.1;data source=$EmbeddedMashup(e958d4f7-3925-4a00-bd20-e137de03827a)$;location=&quot;Table 3 (2)&quot;" command="SELECT * FROM [Table 3 (2)]"/>
  </connection>
  <connection id="8" keepAlive="1" name="Query - Table 3 (3)" description="Connection to the 'Table 3 (3)' query in the workbook." type="5" refreshedVersion="5" background="1" saveData="1">
    <dbPr connection="provider=Microsoft.Mashup.OleDb.1;data source=$EmbeddedMashup(e958d4f7-3925-4a00-bd20-e137de03827a)$;location=&quot;Table 3 (3)&quot;" command="SELECT * FROM [Table 3 (3)]"/>
  </connection>
  <connection id="9" keepAlive="1" name="Query - Table 3 (4)" description="Connection to the 'Table 3 (4)' query in the workbook." type="5" refreshedVersion="5" background="1" saveData="1">
    <dbPr connection="provider=Microsoft.Mashup.OleDb.1;data source=$EmbeddedMashup(e958d4f7-3925-4a00-bd20-e137de03827a)$;location=&quot;Table 3 (4)&quot;" command="SELECT * FROM [Table 3 (4)]"/>
  </connection>
  <connection id="10" keepAlive="1" name="Query - TE Stack Data" description="Connection to the 'TE Stack Data' query in the workbook." type="5" refreshedVersion="0" background="1">
    <dbPr connection="provider=Microsoft.Mashup.OleDb.1;data source=$EmbeddedMashup(e958d4f7-3925-4a00-bd20-e137de03827a)$;location=&quot;TE Stack Data&quot;" command="SELECT * FROM [TE Stack Data]"/>
  </connection>
  <connection id="11" keepAlive="1" name="Query - WR Stack Data" description="Connection to the 'WR Stack Data' query in the workbook." type="5" refreshedVersion="0" background="1">
    <dbPr connection="provider=Microsoft.Mashup.OleDb.1;data source=$EmbeddedMashup(e958d4f7-3925-4a00-bd20-e137de03827a)$;location=&quot;WR Stack Data&quot;" command="SELECT * FROM [WR Stack Data]"/>
  </connection>
</connections>
</file>

<file path=xl/sharedStrings.xml><?xml version="1.0" encoding="utf-8"?>
<sst xmlns="http://schemas.openxmlformats.org/spreadsheetml/2006/main" count="23184" uniqueCount="2596">
  <si>
    <t>Column1</t>
  </si>
  <si>
    <t>Player</t>
  </si>
  <si>
    <t>Opponent</t>
  </si>
  <si>
    <t>Derek Carr</t>
  </si>
  <si>
    <t>OAK</t>
  </si>
  <si>
    <t>Aaron Rodgers</t>
  </si>
  <si>
    <t>Russell Wilson</t>
  </si>
  <si>
    <t>SEA</t>
  </si>
  <si>
    <t>Drew Brees</t>
  </si>
  <si>
    <t>Tyrod Taylor</t>
  </si>
  <si>
    <t>BUF</t>
  </si>
  <si>
    <t>Blake Bortles</t>
  </si>
  <si>
    <t>JAX</t>
  </si>
  <si>
    <t>Josh McCown</t>
  </si>
  <si>
    <t>CLE</t>
  </si>
  <si>
    <t>Andrew Luck</t>
  </si>
  <si>
    <t>IND</t>
  </si>
  <si>
    <t>Kirk Cousins</t>
  </si>
  <si>
    <t>WAS</t>
  </si>
  <si>
    <t>Ben Roethlisberger</t>
  </si>
  <si>
    <t>PIT</t>
  </si>
  <si>
    <t>Cam Newton</t>
  </si>
  <si>
    <t>CAR</t>
  </si>
  <si>
    <t>Carson Palmer</t>
  </si>
  <si>
    <t>ARI</t>
  </si>
  <si>
    <t>Matthew Stafford</t>
  </si>
  <si>
    <t>DET</t>
  </si>
  <si>
    <t>Andy Dalton</t>
  </si>
  <si>
    <t>CIN</t>
  </si>
  <si>
    <t>Marcus Mariota</t>
  </si>
  <si>
    <t>TEN</t>
  </si>
  <si>
    <t>Joe Flacco</t>
  </si>
  <si>
    <t>BAL</t>
  </si>
  <si>
    <t>Geno Smith</t>
  </si>
  <si>
    <t>NYJ</t>
  </si>
  <si>
    <t>Alex Smith</t>
  </si>
  <si>
    <t>Eli Manning</t>
  </si>
  <si>
    <t>NYG</t>
  </si>
  <si>
    <t>Sam Bradford</t>
  </si>
  <si>
    <t>PHI</t>
  </si>
  <si>
    <t>Philip Rivers</t>
  </si>
  <si>
    <t>MIN</t>
  </si>
  <si>
    <t>Brock Osweiler</t>
  </si>
  <si>
    <t>HOU</t>
  </si>
  <si>
    <t>Jameis Winston</t>
  </si>
  <si>
    <t>Brian Hoyer</t>
  </si>
  <si>
    <t>CHI</t>
  </si>
  <si>
    <t>Blaine Gabbert</t>
  </si>
  <si>
    <t>Jay Cutler</t>
  </si>
  <si>
    <t>Matt Ryan</t>
  </si>
  <si>
    <t>ATL</t>
  </si>
  <si>
    <t>Tony Romo</t>
  </si>
  <si>
    <t>DAL</t>
  </si>
  <si>
    <t>Matt Schaub</t>
  </si>
  <si>
    <t>Brandon Weeden</t>
  </si>
  <si>
    <t>Matt McGloin</t>
  </si>
  <si>
    <t>Ryan Tannehill</t>
  </si>
  <si>
    <t>MIA</t>
  </si>
  <si>
    <t>Colin Kaepernick</t>
  </si>
  <si>
    <t>Austin Davis</t>
  </si>
  <si>
    <t>Nick Foles</t>
  </si>
  <si>
    <t>Ryan Mallett</t>
  </si>
  <si>
    <t>EJ Manuel</t>
  </si>
  <si>
    <t>Case Keenum</t>
  </si>
  <si>
    <t>Matt Cassel</t>
  </si>
  <si>
    <t>A.J. McCarron</t>
  </si>
  <si>
    <t>Ryan Nassib</t>
  </si>
  <si>
    <t>Zach Mettenberger</t>
  </si>
  <si>
    <t>Landry Jones</t>
  </si>
  <si>
    <t>Mark Sanchez</t>
  </si>
  <si>
    <t>DEN</t>
  </si>
  <si>
    <t>Dan Orlovsky</t>
  </si>
  <si>
    <t>Shaun Hill</t>
  </si>
  <si>
    <t>Chase Daniel</t>
  </si>
  <si>
    <t>Luke McCown</t>
  </si>
  <si>
    <t>Sean Mannion</t>
  </si>
  <si>
    <t>Kellen Clemens</t>
  </si>
  <si>
    <t>Scott Tolzien</t>
  </si>
  <si>
    <t>Drew Stanton</t>
  </si>
  <si>
    <t>Matt Moore</t>
  </si>
  <si>
    <t>Derek Anderson</t>
  </si>
  <si>
    <t>Opp</t>
  </si>
  <si>
    <t>Latavius Murray</t>
  </si>
  <si>
    <t>Todd Gurley</t>
  </si>
  <si>
    <t>Devonta Freeman</t>
  </si>
  <si>
    <t>Adrian Peterson</t>
  </si>
  <si>
    <t>Doug Martin</t>
  </si>
  <si>
    <t>Frank Gore</t>
  </si>
  <si>
    <t>DeAngelo Williams</t>
  </si>
  <si>
    <t>Mark Ingram</t>
  </si>
  <si>
    <t>Jonathan Stewart</t>
  </si>
  <si>
    <t>Jamaal Charles</t>
  </si>
  <si>
    <t>T.J. Yeldon</t>
  </si>
  <si>
    <t>LeSean McCoy</t>
  </si>
  <si>
    <t>Rashad Jennings</t>
  </si>
  <si>
    <t>Isaiah Crowell</t>
  </si>
  <si>
    <t>Eddie Lacy</t>
  </si>
  <si>
    <t>Charcandrick West</t>
  </si>
  <si>
    <t>David Johnson</t>
  </si>
  <si>
    <t>Justin Forsett</t>
  </si>
  <si>
    <t>Thomas Rawls</t>
  </si>
  <si>
    <t>LeGarrette Blount</t>
  </si>
  <si>
    <t>Jeremy Hill</t>
  </si>
  <si>
    <t>Chris Johnson</t>
  </si>
  <si>
    <t>Carlos Hyde</t>
  </si>
  <si>
    <t>James Starks</t>
  </si>
  <si>
    <t>C.J. Anderson</t>
  </si>
  <si>
    <t>Danny Woodhead</t>
  </si>
  <si>
    <t>Alfred Blue</t>
  </si>
  <si>
    <t>Jeremy Langford</t>
  </si>
  <si>
    <t>Ameer Abdullah</t>
  </si>
  <si>
    <t>Ryan Mathews</t>
  </si>
  <si>
    <t>Antonio Andrews</t>
  </si>
  <si>
    <t>Giovani Bernard</t>
  </si>
  <si>
    <t>Charles Sims</t>
  </si>
  <si>
    <t>Matt Forte</t>
  </si>
  <si>
    <t>Javorius Allen</t>
  </si>
  <si>
    <t>Tim Hightower</t>
  </si>
  <si>
    <t>Mike Gillislee</t>
  </si>
  <si>
    <t>Melvin Gordon</t>
  </si>
  <si>
    <t>Duke Johnson</t>
  </si>
  <si>
    <t>Matt Jones</t>
  </si>
  <si>
    <t>Lamar Miller</t>
  </si>
  <si>
    <t>Chris Ivory</t>
  </si>
  <si>
    <t>Bilal Powell</t>
  </si>
  <si>
    <t>Spencer Ware</t>
  </si>
  <si>
    <t>Darren Sproles</t>
  </si>
  <si>
    <t>Shane Vereen</t>
  </si>
  <si>
    <t>DeMarco Murray</t>
  </si>
  <si>
    <t>Theo Riddick</t>
  </si>
  <si>
    <t>Andre Ellington</t>
  </si>
  <si>
    <t>Shaun Draughn</t>
  </si>
  <si>
    <t>Dexter McCluster</t>
  </si>
  <si>
    <t>Denard Robinson</t>
  </si>
  <si>
    <t>Lance Dunbar</t>
  </si>
  <si>
    <t>Tevin Coleman</t>
  </si>
  <si>
    <t>Andre Williams</t>
  </si>
  <si>
    <t>James White</t>
  </si>
  <si>
    <t>Mike Tolbert</t>
  </si>
  <si>
    <t>Jay Ajayi</t>
  </si>
  <si>
    <t>Brandon Bolden</t>
  </si>
  <si>
    <t>Chris Thompson</t>
  </si>
  <si>
    <t>Jonathan Grimes</t>
  </si>
  <si>
    <t>Jerick McKinnon</t>
  </si>
  <si>
    <t>C.J. Spiller</t>
  </si>
  <si>
    <t>Christine Michael</t>
  </si>
  <si>
    <t>Ka'Deem Carey</t>
  </si>
  <si>
    <t>DuJuan Harris</t>
  </si>
  <si>
    <t>Alfred Morris</t>
  </si>
  <si>
    <t>Terrance West</t>
  </si>
  <si>
    <t>Cameron Artis-Payne</t>
  </si>
  <si>
    <t>Benny Cunningham</t>
  </si>
  <si>
    <t>Travaris Cadet</t>
  </si>
  <si>
    <t>Orleans Darkwa</t>
  </si>
  <si>
    <t>Jamize Olawale</t>
  </si>
  <si>
    <t>Kyle Juszczyk</t>
  </si>
  <si>
    <t>Robert Turbin</t>
  </si>
  <si>
    <t>Knile Davis</t>
  </si>
  <si>
    <t>Terron Ward</t>
  </si>
  <si>
    <t>Fitzgerald Toussaint</t>
  </si>
  <si>
    <t>Mike Davis</t>
  </si>
  <si>
    <t>Matt Asiata</t>
  </si>
  <si>
    <t>Fozzy Whittaker</t>
  </si>
  <si>
    <t>Zach Line</t>
  </si>
  <si>
    <t>Kenjon Barner</t>
  </si>
  <si>
    <t>Zach Zenner</t>
  </si>
  <si>
    <t>Taiwan Jones</t>
  </si>
  <si>
    <t>Damien Williams</t>
  </si>
  <si>
    <t>John Kuhn</t>
  </si>
  <si>
    <t>Patrick DiMarco</t>
  </si>
  <si>
    <t>John Crockett</t>
  </si>
  <si>
    <t>Jacquizz Rodgers</t>
  </si>
  <si>
    <t>Jalston Fowler</t>
  </si>
  <si>
    <t>Marvin Jones</t>
  </si>
  <si>
    <t>Rex Burkhead</t>
  </si>
  <si>
    <t>Stepfan Taylor</t>
  </si>
  <si>
    <t>Michael Burton</t>
  </si>
  <si>
    <t>Corey Grant</t>
  </si>
  <si>
    <t>Jay Prosch</t>
  </si>
  <si>
    <t>Terrance Magee</t>
  </si>
  <si>
    <t>Jordan Todman</t>
  </si>
  <si>
    <t>Bobby Rainey</t>
  </si>
  <si>
    <t>Anthony Sherman</t>
  </si>
  <si>
    <t>Jerome Felton</t>
  </si>
  <si>
    <t>Rod Smith</t>
  </si>
  <si>
    <t>Marcus Murphy</t>
  </si>
  <si>
    <t>Isaiah Pead</t>
  </si>
  <si>
    <t>Antonio Brown</t>
  </si>
  <si>
    <t>Julio Jones</t>
  </si>
  <si>
    <t>DeAndre Hopkins</t>
  </si>
  <si>
    <t>Brandon Marshall</t>
  </si>
  <si>
    <t>Odell Beckham</t>
  </si>
  <si>
    <t>Doug Baldwin</t>
  </si>
  <si>
    <t>Larry Fitzgerald</t>
  </si>
  <si>
    <t>Allen Robinson</t>
  </si>
  <si>
    <t>A.J. Green</t>
  </si>
  <si>
    <t>Sammy Watkins</t>
  </si>
  <si>
    <t>Eric Decker</t>
  </si>
  <si>
    <t>Julian Edelman</t>
  </si>
  <si>
    <t>Demaryius Thomas</t>
  </si>
  <si>
    <t>Keenan Allen</t>
  </si>
  <si>
    <t>Jeremy Maclin</t>
  </si>
  <si>
    <t>Allen Hurns</t>
  </si>
  <si>
    <t>Emmanuel Sanders</t>
  </si>
  <si>
    <t>Michael Crabtree</t>
  </si>
  <si>
    <t>Jarvis Landry</t>
  </si>
  <si>
    <t>Brandin Cooks</t>
  </si>
  <si>
    <t>John Brown</t>
  </si>
  <si>
    <t>Alshon Jeffery</t>
  </si>
  <si>
    <t>Steve Smith</t>
  </si>
  <si>
    <t>Amari Cooper</t>
  </si>
  <si>
    <t>Jordan Matthews</t>
  </si>
  <si>
    <t>Golden Tate</t>
  </si>
  <si>
    <t>T.Y. Hilton</t>
  </si>
  <si>
    <t>Tavon Austin</t>
  </si>
  <si>
    <t>Jordan Reed</t>
  </si>
  <si>
    <t>Randall Cobb</t>
  </si>
  <si>
    <t>Mike Evans</t>
  </si>
  <si>
    <t>Stefon Diggs</t>
  </si>
  <si>
    <t>Michael Floyd</t>
  </si>
  <si>
    <t>Pierre Garcon</t>
  </si>
  <si>
    <t>Kamar Aiken</t>
  </si>
  <si>
    <t>Ted Ginn</t>
  </si>
  <si>
    <t>Donte Moncrief</t>
  </si>
  <si>
    <t>Tyler Lockett</t>
  </si>
  <si>
    <t>Jermaine Kearse</t>
  </si>
  <si>
    <t>DeSean Jackson</t>
  </si>
  <si>
    <t>Willie Snead</t>
  </si>
  <si>
    <t>Danny Amendola</t>
  </si>
  <si>
    <t>Markus Wheaton</t>
  </si>
  <si>
    <t>Terrance Williams</t>
  </si>
  <si>
    <t>Robert Woods</t>
  </si>
  <si>
    <t>Zach Ertz</t>
  </si>
  <si>
    <t>Vincent Jackson</t>
  </si>
  <si>
    <t>Dez Bryant</t>
  </si>
  <si>
    <t>Cecil Shorts</t>
  </si>
  <si>
    <t>Kendall Wright</t>
  </si>
  <si>
    <t>Kenny Britt</t>
  </si>
  <si>
    <t>Jamison Crowder</t>
  </si>
  <si>
    <t>Rishard Matthews</t>
  </si>
  <si>
    <t>Cole Beasley</t>
  </si>
  <si>
    <t>Travis Benjamin</t>
  </si>
  <si>
    <t>Davante Adams</t>
  </si>
  <si>
    <t>Torrey Smith</t>
  </si>
  <si>
    <t>Will Tye</t>
  </si>
  <si>
    <t>Seth Roberts</t>
  </si>
  <si>
    <t>Corey Brown</t>
  </si>
  <si>
    <t>Dorial Green-Beckham</t>
  </si>
  <si>
    <t>Albert Wilson</t>
  </si>
  <si>
    <t>Dontrelle Inman</t>
  </si>
  <si>
    <t>Harry Douglas</t>
  </si>
  <si>
    <t>Dwayne Harris</t>
  </si>
  <si>
    <t>Jarius Wright</t>
  </si>
  <si>
    <t>Bryan Walters</t>
  </si>
  <si>
    <t>Devin Funchess</t>
  </si>
  <si>
    <t>Ty Montgomery</t>
  </si>
  <si>
    <t>Eddie Royal</t>
  </si>
  <si>
    <t>Andrew Hawkins</t>
  </si>
  <si>
    <t>Kenny Stills</t>
  </si>
  <si>
    <t>Josh Huff</t>
  </si>
  <si>
    <t>Brandon LaFell</t>
  </si>
  <si>
    <t>Justin Hunter</t>
  </si>
  <si>
    <t>DeVante Parker</t>
  </si>
  <si>
    <t>Lance Kendricks</t>
  </si>
  <si>
    <t>Brandon Coleman</t>
  </si>
  <si>
    <t>Quinton Patton</t>
  </si>
  <si>
    <t>Brice Butler</t>
  </si>
  <si>
    <t>Paul Richardson</t>
  </si>
  <si>
    <t>Jaelen Strong</t>
  </si>
  <si>
    <t>Quincy Enunwa</t>
  </si>
  <si>
    <t>Adam Humphries</t>
  </si>
  <si>
    <t>Taylor Gabriel</t>
  </si>
  <si>
    <t>Nelson Agholor</t>
  </si>
  <si>
    <t>Darrius Heyward-Bey</t>
  </si>
  <si>
    <t>Andre Holmes</t>
  </si>
  <si>
    <t>Mike Wallace</t>
  </si>
  <si>
    <t>Chris Hogan</t>
  </si>
  <si>
    <t>Mohamed Sanu</t>
  </si>
  <si>
    <t>Marqise Lee</t>
  </si>
  <si>
    <t>Ryan Grant</t>
  </si>
  <si>
    <t>Rashad Greene</t>
  </si>
  <si>
    <t>De'Anthony Thomas</t>
  </si>
  <si>
    <t>Javontee Herndon</t>
  </si>
  <si>
    <t>Phillip Dorsett</t>
  </si>
  <si>
    <t>Justin Hardy</t>
  </si>
  <si>
    <t>Chris Conley</t>
  </si>
  <si>
    <t>Jordan Norwood</t>
  </si>
  <si>
    <t>Josh Bellamy</t>
  </si>
  <si>
    <t>Marc Mariani</t>
  </si>
  <si>
    <t>Jared Abbrederis</t>
  </si>
  <si>
    <t>Bennie Fowler</t>
  </si>
  <si>
    <t>Jaron Brown</t>
  </si>
  <si>
    <t>Adam Thielen</t>
  </si>
  <si>
    <t>Charles Johnson</t>
  </si>
  <si>
    <t>Jeremy Kerley</t>
  </si>
  <si>
    <t>Keith Mumphery</t>
  </si>
  <si>
    <t>Cameron Meredith</t>
  </si>
  <si>
    <t>Brenton Bersin</t>
  </si>
  <si>
    <t>Bradley Marquez</t>
  </si>
  <si>
    <t>Myles White</t>
  </si>
  <si>
    <t>Griff Whalen</t>
  </si>
  <si>
    <t>Brian Quick</t>
  </si>
  <si>
    <t>Bruce Ellington</t>
  </si>
  <si>
    <t>Rashad Ross</t>
  </si>
  <si>
    <t>Cody Latimer</t>
  </si>
  <si>
    <t>Andre Roberts</t>
  </si>
  <si>
    <t>Marquise Goodwin</t>
  </si>
  <si>
    <t>Lucky Whitehead</t>
  </si>
  <si>
    <t>Coby Fleener</t>
  </si>
  <si>
    <t>Jeff Janis</t>
  </si>
  <si>
    <t>Justin Perillo</t>
  </si>
  <si>
    <t>Brandon Tate</t>
  </si>
  <si>
    <t>Russell Shepard</t>
  </si>
  <si>
    <t>Rod Streater</t>
  </si>
  <si>
    <t>Deonte Thompson</t>
  </si>
  <si>
    <t>Sammie Coates</t>
  </si>
  <si>
    <t>Cordarrelle Patterson</t>
  </si>
  <si>
    <t>Eric Weems</t>
  </si>
  <si>
    <t>Rob Gronkowski</t>
  </si>
  <si>
    <t>Greg Olsen</t>
  </si>
  <si>
    <t>Delanie Walker</t>
  </si>
  <si>
    <t>Tyler Eifert</t>
  </si>
  <si>
    <t>Gary Barnidge</t>
  </si>
  <si>
    <t>Travis Kelce</t>
  </si>
  <si>
    <t>Austin Seferian-Jenkins</t>
  </si>
  <si>
    <t>Antonio Gates</t>
  </si>
  <si>
    <t>Julius Thomas</t>
  </si>
  <si>
    <t>Richard Rodgers</t>
  </si>
  <si>
    <t>Jimmy Graham</t>
  </si>
  <si>
    <t>Jason Witten</t>
  </si>
  <si>
    <t>Crockett Gillmore</t>
  </si>
  <si>
    <t>Kyle Rudolph</t>
  </si>
  <si>
    <t>Eric Ebron</t>
  </si>
  <si>
    <t>Charles Clay</t>
  </si>
  <si>
    <t>Zach Miller</t>
  </si>
  <si>
    <t>Jacob Tamme</t>
  </si>
  <si>
    <t>Martellus Bennett</t>
  </si>
  <si>
    <t>Ryan Griffin</t>
  </si>
  <si>
    <t>Vance McDonald</t>
  </si>
  <si>
    <t>Larry Donnell</t>
  </si>
  <si>
    <t>Cameron Brate</t>
  </si>
  <si>
    <t>Jordan Cameron</t>
  </si>
  <si>
    <t>Darren Fells</t>
  </si>
  <si>
    <t>Brent Celek</t>
  </si>
  <si>
    <t>Clive Walford</t>
  </si>
  <si>
    <t>Garrett Celek</t>
  </si>
  <si>
    <t>Anthony Fasano</t>
  </si>
  <si>
    <t>Mychal Rivera</t>
  </si>
  <si>
    <t>Jared Cook</t>
  </si>
  <si>
    <t>Vernon Davis</t>
  </si>
  <si>
    <t>Maxx Williams</t>
  </si>
  <si>
    <t>Luke Willson</t>
  </si>
  <si>
    <t>Jermaine Gresham</t>
  </si>
  <si>
    <t>Ed Dickson</t>
  </si>
  <si>
    <t>Jesse James</t>
  </si>
  <si>
    <t>Josh Hill</t>
  </si>
  <si>
    <t>Blake Bell</t>
  </si>
  <si>
    <t>Dwayne Allen</t>
  </si>
  <si>
    <t>Brandon Myers</t>
  </si>
  <si>
    <t>C.J. Fiedorowicz</t>
  </si>
  <si>
    <t>Rhett Ellison</t>
  </si>
  <si>
    <t>Marcedes Lewis</t>
  </si>
  <si>
    <t>Dion Sims</t>
  </si>
  <si>
    <t>Clay Harbor</t>
  </si>
  <si>
    <t>Tyler Kroft</t>
  </si>
  <si>
    <t>James O'Shaughnessy</t>
  </si>
  <si>
    <t>Virgil Green</t>
  </si>
  <si>
    <t>Lee Smith</t>
  </si>
  <si>
    <t>Jack Doyle</t>
  </si>
  <si>
    <t>Nick O'Leary</t>
  </si>
  <si>
    <t>Luke Stocker</t>
  </si>
  <si>
    <t>Troy Niklas</t>
  </si>
  <si>
    <t>Gavin Escobar</t>
  </si>
  <si>
    <t>MyCole Pruitt</t>
  </si>
  <si>
    <t>Demetrius Harris</t>
  </si>
  <si>
    <t>Jeff Cumberland</t>
  </si>
  <si>
    <t>Levine Toilolo</t>
  </si>
  <si>
    <t>Trey Burton</t>
  </si>
  <si>
    <t>Jim Dray</t>
  </si>
  <si>
    <t>Cory Harkey</t>
  </si>
  <si>
    <t>Phillip Supernaw</t>
  </si>
  <si>
    <t>Kellen Davis</t>
  </si>
  <si>
    <t>Scott Simonson</t>
  </si>
  <si>
    <t>C.J. Uzomah</t>
  </si>
  <si>
    <t>MarQueis Gray</t>
  </si>
  <si>
    <t>Khari Lee</t>
  </si>
  <si>
    <t>Geoff Swaim</t>
  </si>
  <si>
    <t>Team</t>
  </si>
  <si>
    <t>Targets</t>
  </si>
  <si>
    <t>Rec</t>
  </si>
  <si>
    <t>Yards</t>
  </si>
  <si>
    <t>TD</t>
  </si>
  <si>
    <t>Rush TD</t>
  </si>
  <si>
    <t>Rec TD</t>
  </si>
  <si>
    <t>RB</t>
  </si>
  <si>
    <t>GB</t>
  </si>
  <si>
    <t>WR</t>
  </si>
  <si>
    <t>KC</t>
  </si>
  <si>
    <t>SF</t>
  </si>
  <si>
    <t>TE</t>
  </si>
  <si>
    <t>Reggie Bush</t>
  </si>
  <si>
    <t>TB</t>
  </si>
  <si>
    <t>NE</t>
  </si>
  <si>
    <t>DeAnthony Thomas</t>
  </si>
  <si>
    <t>NO</t>
  </si>
  <si>
    <t>QB</t>
  </si>
  <si>
    <t>Malcolm Johnson</t>
  </si>
  <si>
    <t>SD</t>
  </si>
  <si>
    <t>Andre Johnson</t>
  </si>
  <si>
    <t>LA</t>
  </si>
  <si>
    <t>Anquan Boldin</t>
  </si>
  <si>
    <t>Ryan Fitzpatrick</t>
  </si>
  <si>
    <t>G</t>
  </si>
  <si>
    <t>Pos</t>
  </si>
  <si>
    <t>www.DailyRotoSharks.com</t>
  </si>
  <si>
    <t>Name</t>
  </si>
  <si>
    <t>Salary</t>
  </si>
  <si>
    <t>Position</t>
  </si>
  <si>
    <t>Comp</t>
  </si>
  <si>
    <t>Att</t>
  </si>
  <si>
    <t>Comp%</t>
  </si>
  <si>
    <t>Yards/Att</t>
  </si>
  <si>
    <t>RushAtt</t>
  </si>
  <si>
    <t>RushYards</t>
  </si>
  <si>
    <t>RushTD</t>
  </si>
  <si>
    <t>OppDVP</t>
  </si>
  <si>
    <t>Odell Beckham Jr.</t>
  </si>
  <si>
    <t>Jordy Nelson</t>
  </si>
  <si>
    <t>Ezekiel Elliott</t>
  </si>
  <si>
    <t>Jimmy Garoppolo</t>
  </si>
  <si>
    <t>Arian Foster</t>
  </si>
  <si>
    <t>Robert Griffin III</t>
  </si>
  <si>
    <t>Kevin White</t>
  </si>
  <si>
    <t>Corey Coleman</t>
  </si>
  <si>
    <t>Chad Henne</t>
  </si>
  <si>
    <t>Josh Johnson</t>
  </si>
  <si>
    <t>Jerrod Johnson</t>
  </si>
  <si>
    <t>Mike Glennon</t>
  </si>
  <si>
    <t>Bryce Petty</t>
  </si>
  <si>
    <t>AJ McCarron</t>
  </si>
  <si>
    <t>Tom Savage</t>
  </si>
  <si>
    <t>Tyler Bray</t>
  </si>
  <si>
    <t>Jameill Showers</t>
  </si>
  <si>
    <t>Brett Hundley</t>
  </si>
  <si>
    <t>Dak Prescott</t>
  </si>
  <si>
    <t>Cody Kessler</t>
  </si>
  <si>
    <t>Trevone Boykin</t>
  </si>
  <si>
    <t>Brandon Allen</t>
  </si>
  <si>
    <t>Connor Cook</t>
  </si>
  <si>
    <t>Jacoby Brissett</t>
  </si>
  <si>
    <t>Carson Wentz</t>
  </si>
  <si>
    <t>Joe Callahan</t>
  </si>
  <si>
    <t>Cardale Jones</t>
  </si>
  <si>
    <t>Christian Hackenberg</t>
  </si>
  <si>
    <t>Sterling Shepard</t>
  </si>
  <si>
    <t>Laquon Treadwell</t>
  </si>
  <si>
    <t>Victor Cruz</t>
  </si>
  <si>
    <t>Michael Thomas</t>
  </si>
  <si>
    <t>Derrick Henry</t>
  </si>
  <si>
    <t>DST</t>
  </si>
  <si>
    <t>C.J. Prosise</t>
  </si>
  <si>
    <t>DeAndre Washington</t>
  </si>
  <si>
    <t>Breshad Perriman</t>
  </si>
  <si>
    <t>Will Fuller</t>
  </si>
  <si>
    <t>Jordan Howard</t>
  </si>
  <si>
    <t>Tyler Boyd</t>
  </si>
  <si>
    <t>Josh Ferguson</t>
  </si>
  <si>
    <t>Kenneth Dixon</t>
  </si>
  <si>
    <t>Cecil Shorts III</t>
  </si>
  <si>
    <t>J.J. Nelson</t>
  </si>
  <si>
    <t>Paul Perkins</t>
  </si>
  <si>
    <t>Leonte Carroo</t>
  </si>
  <si>
    <t>Alex Collins</t>
  </si>
  <si>
    <t>Matthew Slater</t>
  </si>
  <si>
    <t>Greg Salas</t>
  </si>
  <si>
    <t>James Develin</t>
  </si>
  <si>
    <t>Arrelious Benn</t>
  </si>
  <si>
    <t>Aldrick Robinson</t>
  </si>
  <si>
    <t>Tavarres King</t>
  </si>
  <si>
    <t>Terrelle Pryor</t>
  </si>
  <si>
    <t>Dominique Williams</t>
  </si>
  <si>
    <t>James Wright</t>
  </si>
  <si>
    <t>Jamel Johnson</t>
  </si>
  <si>
    <t>Joshua Bellamy</t>
  </si>
  <si>
    <t>Neal Sterling</t>
  </si>
  <si>
    <t>Walt Powell</t>
  </si>
  <si>
    <t>Kaelin Clay</t>
  </si>
  <si>
    <t>Isaiah Burse</t>
  </si>
  <si>
    <t>Paul Turner</t>
  </si>
  <si>
    <t>Quan Bray</t>
  </si>
  <si>
    <t>Braxton Miller</t>
  </si>
  <si>
    <t>Charone Peake</t>
  </si>
  <si>
    <t>Tyler Ervin</t>
  </si>
  <si>
    <t>Tanner McEvoy</t>
  </si>
  <si>
    <t>Aaron Ripkowski</t>
  </si>
  <si>
    <t>Jakeem Grant</t>
  </si>
  <si>
    <t>Derek Watt</t>
  </si>
  <si>
    <t>Chris Moore</t>
  </si>
  <si>
    <t>Malcolm Mitchell</t>
  </si>
  <si>
    <t>Daniel Lasco</t>
  </si>
  <si>
    <t>Tommylee Lewis</t>
  </si>
  <si>
    <t>Robby Anderson</t>
  </si>
  <si>
    <t>Kenneth Farrow</t>
  </si>
  <si>
    <t>George Atkinson III</t>
  </si>
  <si>
    <t>Trevor Davis</t>
  </si>
  <si>
    <t>Tyrell Williams</t>
  </si>
  <si>
    <t>Alex Erickson</t>
  </si>
  <si>
    <t>Paul Lasike</t>
  </si>
  <si>
    <t>D.J. Foster</t>
  </si>
  <si>
    <t>Darius Powe</t>
  </si>
  <si>
    <t>Jordan Payton</t>
  </si>
  <si>
    <t>Tevaun Smith</t>
  </si>
  <si>
    <t>Jalen Richard</t>
  </si>
  <si>
    <t>Jonathan Williams</t>
  </si>
  <si>
    <t>Ricardo Louis</t>
  </si>
  <si>
    <t>Darius Jackson</t>
  </si>
  <si>
    <t>Kenyan Drake</t>
  </si>
  <si>
    <t>Cody Core</t>
  </si>
  <si>
    <t>Chester Rogers</t>
  </si>
  <si>
    <t>Tajae Sharpe</t>
  </si>
  <si>
    <t>Dwayne Washington</t>
  </si>
  <si>
    <t>Demarcus Robinson</t>
  </si>
  <si>
    <t>Wendell Smallwood</t>
  </si>
  <si>
    <t>Jalin Marshall</t>
  </si>
  <si>
    <t>Rashard Higgins</t>
  </si>
  <si>
    <t>Peyton Barber</t>
  </si>
  <si>
    <t>Johnny Holton</t>
  </si>
  <si>
    <t>Jace Billingsley</t>
  </si>
  <si>
    <t>Roger Lewis</t>
  </si>
  <si>
    <t>Tyreek Hill</t>
  </si>
  <si>
    <t>C.J. Ham</t>
  </si>
  <si>
    <t>Jace Amaro</t>
  </si>
  <si>
    <t>Dennis Pitta</t>
  </si>
  <si>
    <t>Clark Harris</t>
  </si>
  <si>
    <t>Andrew DePaola</t>
  </si>
  <si>
    <t>Sean McGrath</t>
  </si>
  <si>
    <t>Patrick Scales</t>
  </si>
  <si>
    <t>Beau Brinkley</t>
  </si>
  <si>
    <t>Kevin McDermott</t>
  </si>
  <si>
    <t>Greg Scruggs</t>
  </si>
  <si>
    <t>James Winchester</t>
  </si>
  <si>
    <t>Ryan Hewitt</t>
  </si>
  <si>
    <t>Orson Charles</t>
  </si>
  <si>
    <t>Brandon Bostick</t>
  </si>
  <si>
    <t>Brandon Williams</t>
  </si>
  <si>
    <t>A.J. Derby</t>
  </si>
  <si>
    <t>Erik Swoope</t>
  </si>
  <si>
    <t>Randall Telfer</t>
  </si>
  <si>
    <t>Chris Manhertz</t>
  </si>
  <si>
    <t>Ross Travis</t>
  </si>
  <si>
    <t>Nick Vannett</t>
  </si>
  <si>
    <t>Stephen Anderson</t>
  </si>
  <si>
    <t>Joshua Perkins</t>
  </si>
  <si>
    <t>Ben Koyack</t>
  </si>
  <si>
    <t>David Morgan</t>
  </si>
  <si>
    <t>Seth DeValve</t>
  </si>
  <si>
    <t>Jerell Adams</t>
  </si>
  <si>
    <t>Cole Wick</t>
  </si>
  <si>
    <t>Austin Hooper</t>
  </si>
  <si>
    <t>Hunter Henry</t>
  </si>
  <si>
    <t>Braedon Bowman</t>
  </si>
  <si>
    <t>JAC</t>
  </si>
  <si>
    <t>Chiefs</t>
  </si>
  <si>
    <t>Cardinals</t>
  </si>
  <si>
    <t>Seahawks</t>
  </si>
  <si>
    <t>K</t>
  </si>
  <si>
    <t>Texans</t>
  </si>
  <si>
    <t>Eagles</t>
  </si>
  <si>
    <t>Steelers</t>
  </si>
  <si>
    <t>Vikings</t>
  </si>
  <si>
    <t>Bengals</t>
  </si>
  <si>
    <t>Jets</t>
  </si>
  <si>
    <t>Bills</t>
  </si>
  <si>
    <t>Rams</t>
  </si>
  <si>
    <t>49ers</t>
  </si>
  <si>
    <t>Patriots</t>
  </si>
  <si>
    <t>Giants</t>
  </si>
  <si>
    <t>Colts</t>
  </si>
  <si>
    <t>Cowboys</t>
  </si>
  <si>
    <t>Ravens</t>
  </si>
  <si>
    <t>Bears</t>
  </si>
  <si>
    <t>Raiders</t>
  </si>
  <si>
    <t>Packers</t>
  </si>
  <si>
    <t>Lions</t>
  </si>
  <si>
    <t>Buccaneers</t>
  </si>
  <si>
    <t>Redskins</t>
  </si>
  <si>
    <t>Falcons</t>
  </si>
  <si>
    <t>Dolphins</t>
  </si>
  <si>
    <t>Chargers</t>
  </si>
  <si>
    <t>Jaguars</t>
  </si>
  <si>
    <t>Titans</t>
  </si>
  <si>
    <t>Saints</t>
  </si>
  <si>
    <t>Browns</t>
  </si>
  <si>
    <t>Carries</t>
  </si>
  <si>
    <t>Total Touches</t>
  </si>
  <si>
    <t>Total Yards</t>
  </si>
  <si>
    <t>Total TD</t>
  </si>
  <si>
    <t>Rec%</t>
  </si>
  <si>
    <t>Yards/Tar</t>
  </si>
  <si>
    <t>Rushing</t>
  </si>
  <si>
    <t>RecYards</t>
  </si>
  <si>
    <t>RecTD</t>
  </si>
  <si>
    <t>PassTD</t>
  </si>
  <si>
    <t>Receiving</t>
  </si>
  <si>
    <t>Projection</t>
  </si>
  <si>
    <t>INT</t>
  </si>
  <si>
    <t>Panthers</t>
  </si>
  <si>
    <t>Broncos</t>
  </si>
  <si>
    <t>Cmp</t>
  </si>
  <si>
    <t>Yard</t>
  </si>
  <si>
    <t>Att_1</t>
  </si>
  <si>
    <t>Yard_2</t>
  </si>
  <si>
    <t>TD_3</t>
  </si>
  <si>
    <t>FPts</t>
  </si>
  <si>
    <t>FPts/G</t>
  </si>
  <si>
    <t>16 Game Average</t>
  </si>
  <si>
    <t>1. New Orleans Saints vs. QB</t>
  </si>
  <si>
    <t>2. New York Giants vs. QB</t>
  </si>
  <si>
    <t>3. Philadelphia Eagles vs. QB</t>
  </si>
  <si>
    <t>4. Jacksonville Jaguars vs. QB</t>
  </si>
  <si>
    <t>5. Tennessee Titans vs. QB</t>
  </si>
  <si>
    <t>6. Cleveland Browns vs. QB</t>
  </si>
  <si>
    <t>7. Pittsburgh Steelers vs. QB</t>
  </si>
  <si>
    <t>8. Indianapolis Colts vs. QB</t>
  </si>
  <si>
    <t>9. Washington Redskins vs. QB</t>
  </si>
  <si>
    <t>10. Chicago Bears vs. QB</t>
  </si>
  <si>
    <t>11. Tampa Bay Buccaneers vs. QB</t>
  </si>
  <si>
    <t>12. Detroit Lions vs. QB</t>
  </si>
  <si>
    <t>13. Oakland Raiders vs. QB</t>
  </si>
  <si>
    <t>14. Miami Dolphins vs. QB</t>
  </si>
  <si>
    <t>15. Buffalo Bills vs. QB</t>
  </si>
  <si>
    <t>16. Baltimore Ravens vs. QB</t>
  </si>
  <si>
    <t>17. New England Patriots vs. QB</t>
  </si>
  <si>
    <t>18. Kansas City Chiefs vs. QB</t>
  </si>
  <si>
    <t>19. Minnesota Vikings vs. QB</t>
  </si>
  <si>
    <t>20. St. Louis Rams vs. QB</t>
  </si>
  <si>
    <t>21. Arizona Cardinals vs. QB</t>
  </si>
  <si>
    <t>22. San Francisco 49ers vs. QB</t>
  </si>
  <si>
    <t>23. New York Jets vs. QB</t>
  </si>
  <si>
    <t>24. Carolina Panthers vs. QB</t>
  </si>
  <si>
    <t>25. San Diego Chargers vs. QB</t>
  </si>
  <si>
    <t>26. Atlanta Falcons vs. QB</t>
  </si>
  <si>
    <t>27. Houston Texans vs. QB</t>
  </si>
  <si>
    <t>28. Green Bay Packers vs. QB</t>
  </si>
  <si>
    <t>29. Dallas Cowboys vs. QB</t>
  </si>
  <si>
    <t>30. Cincinnati Bengals vs. QB</t>
  </si>
  <si>
    <t>31. Seattle Seahawks vs. QB</t>
  </si>
  <si>
    <t>32. Denver Broncos vs. QB</t>
  </si>
  <si>
    <t>Yard_1</t>
  </si>
  <si>
    <t>TD_2</t>
  </si>
  <si>
    <t>1. Miami Dolphins vs. RB</t>
  </si>
  <si>
    <t>2. New Orleans Saints vs. RB</t>
  </si>
  <si>
    <t>3. San Francisco 49ers vs. RB</t>
  </si>
  <si>
    <t>4. San Diego Chargers vs. RB</t>
  </si>
  <si>
    <t>5. Atlanta Falcons vs. RB</t>
  </si>
  <si>
    <t>6. Philadelphia Eagles vs. RB</t>
  </si>
  <si>
    <t>7. New York Giants vs. RB</t>
  </si>
  <si>
    <t>8. Dallas Cowboys vs. RB</t>
  </si>
  <si>
    <t>9. Jacksonville Jaguars vs. RB</t>
  </si>
  <si>
    <t>10. Chicago Bears vs. RB</t>
  </si>
  <si>
    <t>11. Indianapolis Colts vs. RB</t>
  </si>
  <si>
    <t>12. St. Louis Rams vs. RB</t>
  </si>
  <si>
    <t>13. Detroit Lions vs. RB</t>
  </si>
  <si>
    <t>14. Cleveland Browns vs. RB</t>
  </si>
  <si>
    <t>15. Washington Redskins vs. RB</t>
  </si>
  <si>
    <t>16. Oakland Raiders vs. RB</t>
  </si>
  <si>
    <t>17. Buffalo Bills vs. RB</t>
  </si>
  <si>
    <t>18. Green Bay Packers vs. RB</t>
  </si>
  <si>
    <t>19. Tampa Bay Buccaneers vs. RB</t>
  </si>
  <si>
    <t>20. Carolina Panthers vs. RB</t>
  </si>
  <si>
    <t>21. Cincinnati Bengals vs. RB</t>
  </si>
  <si>
    <t>22. Denver Broncos vs. RB</t>
  </si>
  <si>
    <t>23. Houston Texans vs. RB</t>
  </si>
  <si>
    <t>24. Minnesota Vikings vs. RB</t>
  </si>
  <si>
    <t>25. Arizona Cardinals vs. RB</t>
  </si>
  <si>
    <t>26. Baltimore Ravens vs. RB</t>
  </si>
  <si>
    <t>27. New England Patriots vs. RB</t>
  </si>
  <si>
    <t>28. Tennessee Titans vs. RB</t>
  </si>
  <si>
    <t>29. Kansas City Chiefs vs. RB</t>
  </si>
  <si>
    <t>30. Pittsburgh Steelers vs. RB</t>
  </si>
  <si>
    <t>31. New York Jets vs. RB</t>
  </si>
  <si>
    <t>32. Seattle Seahawks vs. RB</t>
  </si>
  <si>
    <t>1. Cleveland Browns vs. WR</t>
  </si>
  <si>
    <t>2. Philadelphia Eagles vs. WR</t>
  </si>
  <si>
    <t>3. Pittsburgh Steelers vs. WR</t>
  </si>
  <si>
    <t>4. Washington Redskins vs. WR</t>
  </si>
  <si>
    <t>5. Baltimore Ravens vs. WR</t>
  </si>
  <si>
    <t>6. New Orleans Saints vs. WR</t>
  </si>
  <si>
    <t>7. Tampa Bay Buccaneers vs. WR</t>
  </si>
  <si>
    <t>8. Indianapolis Colts vs. WR</t>
  </si>
  <si>
    <t>9. Kansas City Chiefs vs. WR</t>
  </si>
  <si>
    <t>10. Buffalo Bills vs. WR</t>
  </si>
  <si>
    <t>11. Tennessee Titans vs. WR</t>
  </si>
  <si>
    <t>12. New York Giants vs. WR</t>
  </si>
  <si>
    <t>13. New England Patriots vs. WR</t>
  </si>
  <si>
    <t>14. Miami Dolphins vs. WR</t>
  </si>
  <si>
    <t>15. San Francisco 49ers vs. WR</t>
  </si>
  <si>
    <t>16. New York Jets vs. WR</t>
  </si>
  <si>
    <t>17. Jacksonville Jaguars vs. WR</t>
  </si>
  <si>
    <t>18. Detroit Lions vs. WR</t>
  </si>
  <si>
    <t>19. Minnesota Vikings vs. WR</t>
  </si>
  <si>
    <t>20. Oakland Raiders vs. WR</t>
  </si>
  <si>
    <t>21. Cincinnati Bengals vs. WR</t>
  </si>
  <si>
    <t>22. Green Bay Packers vs. WR</t>
  </si>
  <si>
    <t>23. Chicago Bears vs. WR</t>
  </si>
  <si>
    <t>24. Arizona Cardinals vs. WR</t>
  </si>
  <si>
    <t>25. Carolina Panthers vs. WR</t>
  </si>
  <si>
    <t>26. Dallas Cowboys vs. WR</t>
  </si>
  <si>
    <t>27. Houston Texans vs. WR</t>
  </si>
  <si>
    <t>28. St. Louis Rams vs. WR</t>
  </si>
  <si>
    <t>29. San Diego Chargers vs. WR</t>
  </si>
  <si>
    <t>30. Seattle Seahawks vs. WR</t>
  </si>
  <si>
    <t>31. Atlanta Falcons vs. WR</t>
  </si>
  <si>
    <t>32. Denver Broncos vs. WR</t>
  </si>
  <si>
    <t>1. New Orleans Saints vs. TE</t>
  </si>
  <si>
    <t>2. New York Giants vs. TE</t>
  </si>
  <si>
    <t>3. Oakland Raiders vs. TE</t>
  </si>
  <si>
    <t>4. Detroit Lions vs. TE</t>
  </si>
  <si>
    <t>5. Atlanta Falcons vs. TE</t>
  </si>
  <si>
    <t>6. Jacksonville Jaguars vs. TE</t>
  </si>
  <si>
    <t>7. Tennessee Titans vs. TE</t>
  </si>
  <si>
    <t>8. Pittsburgh Steelers vs. TE</t>
  </si>
  <si>
    <t>9. Indianapolis Colts vs. TE</t>
  </si>
  <si>
    <t>10. Seattle Seahawks vs. TE</t>
  </si>
  <si>
    <t>11. Denver Broncos vs. TE</t>
  </si>
  <si>
    <t>12. San Diego Chargers vs. TE</t>
  </si>
  <si>
    <t>13. St. Louis Rams vs. TE</t>
  </si>
  <si>
    <t>14. Arizona Cardinals vs. TE</t>
  </si>
  <si>
    <t>15. Green Bay Packers vs. TE</t>
  </si>
  <si>
    <t>16. Chicago Bears vs. TE</t>
  </si>
  <si>
    <t>17. Minnesota Vikings vs. TE</t>
  </si>
  <si>
    <t>18. Washington Redskins vs. TE</t>
  </si>
  <si>
    <t>19. Cleveland Browns vs. TE</t>
  </si>
  <si>
    <t>20. Philadelphia Eagles vs. TE</t>
  </si>
  <si>
    <t>21. Carolina Panthers vs. TE</t>
  </si>
  <si>
    <t>22. Houston Texans vs. TE</t>
  </si>
  <si>
    <t>23. Buffalo Bills vs. TE</t>
  </si>
  <si>
    <t>24. Tampa Bay Buccaneers vs. TE</t>
  </si>
  <si>
    <t>25. Cincinnati Bengals vs. TE</t>
  </si>
  <si>
    <t>26. San Francisco 49ers vs. TE</t>
  </si>
  <si>
    <t>27. Miami Dolphins vs. TE</t>
  </si>
  <si>
    <t>28. New England Patriots vs. TE</t>
  </si>
  <si>
    <t>29. Baltimore Ravens vs. TE</t>
  </si>
  <si>
    <t>30. New York Jets vs. TE</t>
  </si>
  <si>
    <t>31. Dallas Cowboys vs. TE</t>
  </si>
  <si>
    <t>32. Kansas City Chiefs vs. TE</t>
  </si>
  <si>
    <t>PassComp</t>
  </si>
  <si>
    <t>PassAtt</t>
  </si>
  <si>
    <t>PassYards</t>
  </si>
  <si>
    <t>$/FP</t>
  </si>
  <si>
    <t>0.3</t>
  </si>
  <si>
    <t>Paxton Lynch</t>
  </si>
  <si>
    <t>0.4</t>
  </si>
  <si>
    <t>0.8</t>
  </si>
  <si>
    <t>0.9</t>
  </si>
  <si>
    <t>Jared Goff</t>
  </si>
  <si>
    <t>Int</t>
  </si>
  <si>
    <t>Tm</t>
  </si>
  <si>
    <t>0</t>
  </si>
  <si>
    <t>0.1</t>
  </si>
  <si>
    <t>0.6</t>
  </si>
  <si>
    <t>0.2</t>
  </si>
  <si>
    <t>0.5</t>
  </si>
  <si>
    <t>0.7</t>
  </si>
  <si>
    <t>Devontae Booker</t>
  </si>
  <si>
    <t>Pharoh Cooper</t>
  </si>
  <si>
    <t>Philly Brown</t>
  </si>
  <si>
    <t>Josh Doctson</t>
  </si>
  <si>
    <t>Kelvin Benjamin</t>
  </si>
  <si>
    <t>Tyler Higbee</t>
  </si>
  <si>
    <t>OPP</t>
  </si>
  <si>
    <t>Att2</t>
  </si>
  <si>
    <t>Att3</t>
  </si>
  <si>
    <t>Comp2</t>
  </si>
  <si>
    <t>Comp3</t>
  </si>
  <si>
    <t>RushYard</t>
  </si>
  <si>
    <t>Yards2</t>
  </si>
  <si>
    <t>Yards3</t>
  </si>
  <si>
    <t>TD2</t>
  </si>
  <si>
    <t>TD3</t>
  </si>
  <si>
    <t>RushYards2</t>
  </si>
  <si>
    <t>RushYards3</t>
  </si>
  <si>
    <t>Rec3</t>
  </si>
  <si>
    <t>RecYards2</t>
  </si>
  <si>
    <t>RecYards3</t>
  </si>
  <si>
    <t>Rec2</t>
  </si>
  <si>
    <t>Att1</t>
  </si>
  <si>
    <t>Comp1</t>
  </si>
  <si>
    <t>Yards1</t>
  </si>
  <si>
    <t>TD1</t>
  </si>
  <si>
    <t>INT1</t>
  </si>
  <si>
    <t>INT2</t>
  </si>
  <si>
    <t>INT3</t>
  </si>
  <si>
    <t>RushYards1</t>
  </si>
  <si>
    <t>RushTD1</t>
  </si>
  <si>
    <t>RushTD2</t>
  </si>
  <si>
    <t>RushTD3</t>
  </si>
  <si>
    <t>Pass Comp</t>
  </si>
  <si>
    <t>Pass Att</t>
  </si>
  <si>
    <t>Pass TD</t>
  </si>
  <si>
    <t>Rush Att</t>
  </si>
  <si>
    <t>Rush Yds</t>
  </si>
  <si>
    <t>Rec1</t>
  </si>
  <si>
    <t>RecYards1</t>
  </si>
  <si>
    <t>RecTD1</t>
  </si>
  <si>
    <t>RecTd2</t>
  </si>
  <si>
    <t>RecTd3</t>
  </si>
  <si>
    <t>Yards/Target</t>
  </si>
  <si>
    <t>Car1</t>
  </si>
  <si>
    <t>Car2</t>
  </si>
  <si>
    <t>Car3</t>
  </si>
  <si>
    <t>Tar1</t>
  </si>
  <si>
    <t>Tar2</t>
  </si>
  <si>
    <t>2015 Defensive Points Allowed</t>
  </si>
  <si>
    <t>QuarterBacks</t>
  </si>
  <si>
    <t>Running Backs</t>
  </si>
  <si>
    <t>RB Receiving</t>
  </si>
  <si>
    <t>Wide Receivers</t>
  </si>
  <si>
    <t>Tight Ends</t>
  </si>
  <si>
    <t>Ease Rank</t>
  </si>
  <si>
    <t>QBRank</t>
  </si>
  <si>
    <t>RBRank</t>
  </si>
  <si>
    <t>WRRank</t>
  </si>
  <si>
    <t>TERank</t>
  </si>
  <si>
    <t>Yds</t>
  </si>
  <si>
    <t>Tgt</t>
  </si>
  <si>
    <t>Rec Yds</t>
  </si>
  <si>
    <t>New Orleans Saints</t>
  </si>
  <si>
    <t>Atlanta Falcons</t>
  </si>
  <si>
    <t>New York Giants</t>
  </si>
  <si>
    <t>Philadelphia Eagles</t>
  </si>
  <si>
    <t>Carolina Panthers</t>
  </si>
  <si>
    <t>Baltimore Ravens</t>
  </si>
  <si>
    <t>Cleveland Browns</t>
  </si>
  <si>
    <t>Jacksonville Jaguars</t>
  </si>
  <si>
    <t>Oakland Raiders</t>
  </si>
  <si>
    <t>Tennessee Titans</t>
  </si>
  <si>
    <t>St. Louis Rams</t>
  </si>
  <si>
    <t>Washington Redskins</t>
  </si>
  <si>
    <t>Detroit Lions</t>
  </si>
  <si>
    <t>Indianapolis Colts</t>
  </si>
  <si>
    <t>Chicago Bears</t>
  </si>
  <si>
    <t>Cincinnati Bengals</t>
  </si>
  <si>
    <t>Miami Dolphins</t>
  </si>
  <si>
    <t>San Francisco 49ers</t>
  </si>
  <si>
    <t>Tampa Bay Buccaneers</t>
  </si>
  <si>
    <t>Dallas Cowboys</t>
  </si>
  <si>
    <t>Seattle Seahawks</t>
  </si>
  <si>
    <t>Buffalo Bills</t>
  </si>
  <si>
    <t>Pittsburgh Steelers</t>
  </si>
  <si>
    <t>Kansas City Chiefs</t>
  </si>
  <si>
    <t>Denver Broncos</t>
  </si>
  <si>
    <t>New England Patriots</t>
  </si>
  <si>
    <t>San Diego Chargers</t>
  </si>
  <si>
    <t>Arizona Cardinals</t>
  </si>
  <si>
    <t>Minnesota Vikings</t>
  </si>
  <si>
    <t>Green Bay Packers</t>
  </si>
  <si>
    <t>New York Jets</t>
  </si>
  <si>
    <t>Houston Texans</t>
  </si>
  <si>
    <t>Los Angeles Rams</t>
  </si>
  <si>
    <t>2016 QB Ease of Schedule</t>
  </si>
  <si>
    <r>
      <t xml:space="preserve">FANTASY POINTS GIVEN UP TO THAT POSITION PER GAME *The higher the number the better.. </t>
    </r>
    <r>
      <rPr>
        <b/>
        <sz val="11"/>
        <color rgb="FF00B050"/>
        <rFont val="Calibri"/>
        <family val="2"/>
        <scheme val="minor"/>
      </rPr>
      <t>GREEN</t>
    </r>
    <r>
      <rPr>
        <b/>
        <sz val="11"/>
        <color theme="0"/>
        <rFont val="Calibri"/>
        <family val="2"/>
        <scheme val="minor"/>
      </rPr>
      <t xml:space="preserve"> IS GOOD*</t>
    </r>
  </si>
  <si>
    <t>Defensive Sack Percentage</t>
  </si>
  <si>
    <t>Rank</t>
  </si>
  <si>
    <t>1</t>
  </si>
  <si>
    <t>2</t>
  </si>
  <si>
    <t>3</t>
  </si>
  <si>
    <t>4</t>
  </si>
  <si>
    <t>5</t>
  </si>
  <si>
    <t>6</t>
  </si>
  <si>
    <t>7</t>
  </si>
  <si>
    <t>8</t>
  </si>
  <si>
    <t>9</t>
  </si>
  <si>
    <t>10</t>
  </si>
  <si>
    <t>11</t>
  </si>
  <si>
    <t>12</t>
  </si>
  <si>
    <t>13</t>
  </si>
  <si>
    <t>14</t>
  </si>
  <si>
    <t>15</t>
  </si>
  <si>
    <t>16</t>
  </si>
  <si>
    <t>17</t>
  </si>
  <si>
    <t>AVG 1-8</t>
  </si>
  <si>
    <t>AVG 9-17</t>
  </si>
  <si>
    <t>Ease</t>
  </si>
  <si>
    <t>Sacks</t>
  </si>
  <si>
    <t>Passes</t>
  </si>
  <si>
    <t>Sack %</t>
  </si>
  <si>
    <t>DAL </t>
  </si>
  <si>
    <t>BYE</t>
  </si>
  <si>
    <t>Matthew Stafford </t>
  </si>
  <si>
    <t>DET </t>
  </si>
  <si>
    <t>Eli Manning </t>
  </si>
  <si>
    <t>NYG </t>
  </si>
  <si>
    <t>Joe Flacco </t>
  </si>
  <si>
    <t>BAL </t>
  </si>
  <si>
    <t>Jay Cutler </t>
  </si>
  <si>
    <t>CHI </t>
  </si>
  <si>
    <t>Andy Dalton </t>
  </si>
  <si>
    <t>CIN </t>
  </si>
  <si>
    <t>Aaron Rodgers </t>
  </si>
  <si>
    <t>GB </t>
  </si>
  <si>
    <t>Teddy Bridgewater </t>
  </si>
  <si>
    <t>MIN </t>
  </si>
  <si>
    <t>Kirk Cousins </t>
  </si>
  <si>
    <t>WAS </t>
  </si>
  <si>
    <t>Ben Roethlisberger </t>
  </si>
  <si>
    <t>PIT </t>
  </si>
  <si>
    <t>Robert Griffin </t>
  </si>
  <si>
    <t>CLE </t>
  </si>
  <si>
    <t>Sam Bradford </t>
  </si>
  <si>
    <t>PHI </t>
  </si>
  <si>
    <t>Brock Osweiler </t>
  </si>
  <si>
    <t>HOU </t>
  </si>
  <si>
    <t>Mark Sanchez </t>
  </si>
  <si>
    <t>DEN </t>
  </si>
  <si>
    <t>Cam Newton </t>
  </si>
  <si>
    <t>CAR </t>
  </si>
  <si>
    <t>Matt Ryan </t>
  </si>
  <si>
    <t>ATL </t>
  </si>
  <si>
    <t>Andrew Luck </t>
  </si>
  <si>
    <t>IND </t>
  </si>
  <si>
    <t>Alex Smith </t>
  </si>
  <si>
    <t>KC </t>
  </si>
  <si>
    <t>Philip Rivers </t>
  </si>
  <si>
    <t>SD </t>
  </si>
  <si>
    <t xml:space="preserve">Russell Wilson </t>
  </si>
  <si>
    <t>SEA </t>
  </si>
  <si>
    <t>Marcus Mariota </t>
  </si>
  <si>
    <t>TEN </t>
  </si>
  <si>
    <t>Blake Bortles </t>
  </si>
  <si>
    <t>JAC </t>
  </si>
  <si>
    <t>Tyrod Taylor </t>
  </si>
  <si>
    <t>BUF </t>
  </si>
  <si>
    <t>Jared Goff </t>
  </si>
  <si>
    <t>LA </t>
  </si>
  <si>
    <t>Ryan Tannehill </t>
  </si>
  <si>
    <t>MIA </t>
  </si>
  <si>
    <t>Derek Carr </t>
  </si>
  <si>
    <t>OAK </t>
  </si>
  <si>
    <t>Carson Palmer </t>
  </si>
  <si>
    <t>ARI </t>
  </si>
  <si>
    <t>NYJ </t>
  </si>
  <si>
    <t>Blaine Gabbert </t>
  </si>
  <si>
    <t>SF </t>
  </si>
  <si>
    <t>Jameis Winston </t>
  </si>
  <si>
    <t>TB </t>
  </si>
  <si>
    <t>Tom Brady </t>
  </si>
  <si>
    <t>NE </t>
  </si>
  <si>
    <t>Drew Brees </t>
  </si>
  <si>
    <t>NO </t>
  </si>
  <si>
    <t>2016 RB Ease of Schedule</t>
  </si>
  <si>
    <t>1.00</t>
  </si>
  <si>
    <t>2.00</t>
  </si>
  <si>
    <t>3.00</t>
  </si>
  <si>
    <t>4.00</t>
  </si>
  <si>
    <t>5.00</t>
  </si>
  <si>
    <t>6.00</t>
  </si>
  <si>
    <t>7.00</t>
  </si>
  <si>
    <t>8.00</t>
  </si>
  <si>
    <t>9.00</t>
  </si>
  <si>
    <t>10.00</t>
  </si>
  <si>
    <t>11.00</t>
  </si>
  <si>
    <t>12.00</t>
  </si>
  <si>
    <t>13.00</t>
  </si>
  <si>
    <t>14.00</t>
  </si>
  <si>
    <t>15.00</t>
  </si>
  <si>
    <t>16.00</t>
  </si>
  <si>
    <t>17.00</t>
  </si>
  <si>
    <t>Thomas Rawls </t>
  </si>
  <si>
    <t>C.J. Prosise </t>
  </si>
  <si>
    <t>Doug Martin </t>
  </si>
  <si>
    <t>Charles Sims </t>
  </si>
  <si>
    <t>Rashad Jennings </t>
  </si>
  <si>
    <t>Ameer Abdullah </t>
  </si>
  <si>
    <t>Theo Riddick </t>
  </si>
  <si>
    <t>Ezekiel Elliott </t>
  </si>
  <si>
    <t>Jeremy Langford </t>
  </si>
  <si>
    <t>Jordan Howard </t>
  </si>
  <si>
    <t>Jonathan Stewart </t>
  </si>
  <si>
    <t>Adrian Peterson </t>
  </si>
  <si>
    <t>Matt Jones </t>
  </si>
  <si>
    <t>Eddie Lacy </t>
  </si>
  <si>
    <t>DeMarco Murray </t>
  </si>
  <si>
    <t>Derrick Henry </t>
  </si>
  <si>
    <t>Devonta Freeman </t>
  </si>
  <si>
    <t>Tevin Coleman </t>
  </si>
  <si>
    <t>David Johnson </t>
  </si>
  <si>
    <t>C.J. Anderson </t>
  </si>
  <si>
    <t>Mark Ingram </t>
  </si>
  <si>
    <t>Todd Gurley </t>
  </si>
  <si>
    <t>Ryan Mathews </t>
  </si>
  <si>
    <t>Justin Forsett </t>
  </si>
  <si>
    <t>Kenneth Dixon </t>
  </si>
  <si>
    <t>Javorius Allen </t>
  </si>
  <si>
    <t>Jamaal Charles </t>
  </si>
  <si>
    <t>Latavius Murray </t>
  </si>
  <si>
    <t>Melvin Gordon </t>
  </si>
  <si>
    <t>Danny Woodhead </t>
  </si>
  <si>
    <t>Le'Veon Bell </t>
  </si>
  <si>
    <t>DeAngelo Williams </t>
  </si>
  <si>
    <t>Lamar Miller </t>
  </si>
  <si>
    <t>Duke Johnson </t>
  </si>
  <si>
    <t>Isaiah Crowell </t>
  </si>
  <si>
    <t>Matt Forte </t>
  </si>
  <si>
    <t>Bilal Powell </t>
  </si>
  <si>
    <t>Carlos Hyde </t>
  </si>
  <si>
    <t>Jeremy Hill </t>
  </si>
  <si>
    <t>Giovani Bernard </t>
  </si>
  <si>
    <t>LeSean McCoy </t>
  </si>
  <si>
    <t>Karlos Williams </t>
  </si>
  <si>
    <t>T.J. Yeldon </t>
  </si>
  <si>
    <t>Chris Ivory </t>
  </si>
  <si>
    <t>Dion Lewis </t>
  </si>
  <si>
    <t>LeGarrette Blount </t>
  </si>
  <si>
    <t>Frank Gore </t>
  </si>
  <si>
    <t>Jay Ajayi </t>
  </si>
  <si>
    <t>2016 WR Ease of Schedule</t>
  </si>
  <si>
    <t>Antonio Brown </t>
  </si>
  <si>
    <t>Markus Wheaton </t>
  </si>
  <si>
    <t>A.J. Green </t>
  </si>
  <si>
    <t>Dez Bryant </t>
  </si>
  <si>
    <t>Steve Smith </t>
  </si>
  <si>
    <t>Kamar Aiken </t>
  </si>
  <si>
    <t>Corey Coleman </t>
  </si>
  <si>
    <t>Brandon Marshall </t>
  </si>
  <si>
    <t>Eric Decker </t>
  </si>
  <si>
    <t>Odell Beckham Jr. </t>
  </si>
  <si>
    <t>Sterling Shepard </t>
  </si>
  <si>
    <t>Jarvis Landry </t>
  </si>
  <si>
    <t>Devante Parker </t>
  </si>
  <si>
    <t>Sammy Watkins </t>
  </si>
  <si>
    <t>Alshon Jeffery </t>
  </si>
  <si>
    <t>Kevin White </t>
  </si>
  <si>
    <t>DeSean Jackson </t>
  </si>
  <si>
    <t>Julian Edelman </t>
  </si>
  <si>
    <t>Doug Baldwin </t>
  </si>
  <si>
    <t>Tyler Lockett </t>
  </si>
  <si>
    <t>Golden Tate </t>
  </si>
  <si>
    <t>Marvin Jones </t>
  </si>
  <si>
    <t>Jordan Matthews </t>
  </si>
  <si>
    <t>Michael Floyd </t>
  </si>
  <si>
    <t>Larry Fitzgerald </t>
  </si>
  <si>
    <t>John Brown </t>
  </si>
  <si>
    <t>Demaryius Thomas </t>
  </si>
  <si>
    <t>Emmanuel Sanders </t>
  </si>
  <si>
    <t>Tavon Austin </t>
  </si>
  <si>
    <t>DeAndre Hopkins </t>
  </si>
  <si>
    <t>Laquon Treadwell </t>
  </si>
  <si>
    <t>Stefon Diggs </t>
  </si>
  <si>
    <t>Allen Robinson </t>
  </si>
  <si>
    <t>Allen Hurns </t>
  </si>
  <si>
    <t>Keenan Allen </t>
  </si>
  <si>
    <t>Travis Benjamin </t>
  </si>
  <si>
    <t>Julio Jones </t>
  </si>
  <si>
    <t>Dorial Green-Beckham </t>
  </si>
  <si>
    <t>Jordy Nelson </t>
  </si>
  <si>
    <t>Randall Cobb </t>
  </si>
  <si>
    <t>Amari Cooper </t>
  </si>
  <si>
    <t>Michael Crabtree </t>
  </si>
  <si>
    <t>T.Y. Hilton </t>
  </si>
  <si>
    <t>Donte Moncrief </t>
  </si>
  <si>
    <t>Kelvin Benjamin </t>
  </si>
  <si>
    <t>Jeremy Maclin </t>
  </si>
  <si>
    <t>Torrey Smith </t>
  </si>
  <si>
    <t>Brandin Cooks </t>
  </si>
  <si>
    <t>Willie Snead </t>
  </si>
  <si>
    <t>Mike Evans </t>
  </si>
  <si>
    <t>Vincent Jackson </t>
  </si>
  <si>
    <t>2016 TE Ease of Schedule</t>
  </si>
  <si>
    <t>1.0</t>
  </si>
  <si>
    <t>2.0</t>
  </si>
  <si>
    <t>3.0</t>
  </si>
  <si>
    <t>4.0</t>
  </si>
  <si>
    <t>5.0</t>
  </si>
  <si>
    <t>6.0</t>
  </si>
  <si>
    <t>7.0</t>
  </si>
  <si>
    <t>8.0</t>
  </si>
  <si>
    <t>9.0</t>
  </si>
  <si>
    <t>10.0</t>
  </si>
  <si>
    <t>11.0</t>
  </si>
  <si>
    <t>12.0</t>
  </si>
  <si>
    <t>13.0</t>
  </si>
  <si>
    <t>14.0</t>
  </si>
  <si>
    <t>15.0</t>
  </si>
  <si>
    <t>16.0</t>
  </si>
  <si>
    <t>17.0</t>
  </si>
  <si>
    <t>Travis Kelce </t>
  </si>
  <si>
    <t>Greg Olsen </t>
  </si>
  <si>
    <t>Austin Seferian-Jenkins </t>
  </si>
  <si>
    <t>Jared Cook </t>
  </si>
  <si>
    <t>Richard Rodgers </t>
  </si>
  <si>
    <t>Coby Fleener </t>
  </si>
  <si>
    <t>Josh Hill </t>
  </si>
  <si>
    <t>Antonio Gates </t>
  </si>
  <si>
    <t>Hunter Henry </t>
  </si>
  <si>
    <t>Eric Ebron </t>
  </si>
  <si>
    <t>Dwayne Allen </t>
  </si>
  <si>
    <t>Jacob Tamme </t>
  </si>
  <si>
    <t>Kyle Rudolph </t>
  </si>
  <si>
    <t>Zach Miller </t>
  </si>
  <si>
    <t>Delanie Walker </t>
  </si>
  <si>
    <t>Zach Ertz </t>
  </si>
  <si>
    <t>Julius Thomas </t>
  </si>
  <si>
    <t>Mychal Rivera </t>
  </si>
  <si>
    <t>Jason Witten </t>
  </si>
  <si>
    <t>Jordan Reed </t>
  </si>
  <si>
    <t>Jimmy Graham </t>
  </si>
  <si>
    <t>Benjamin Watson </t>
  </si>
  <si>
    <t>Maxx Williams </t>
  </si>
  <si>
    <t>Will Tye </t>
  </si>
  <si>
    <t>Larry Donnell </t>
  </si>
  <si>
    <t>Charles Clay </t>
  </si>
  <si>
    <t>Jordan Cameron </t>
  </si>
  <si>
    <t>Gary Barnidge </t>
  </si>
  <si>
    <t>Tyler Eifert </t>
  </si>
  <si>
    <t>Rob Gronkowski </t>
  </si>
  <si>
    <t>Martellus Bennett </t>
  </si>
  <si>
    <t>Jace Amaro </t>
  </si>
  <si>
    <t>Ladarius Green </t>
  </si>
  <si>
    <t>2016 Depth Charts</t>
  </si>
  <si>
    <t xml:space="preserve">Baltimore Ravens  </t>
  </si>
  <si>
    <t xml:space="preserve">Arizona Cardinals  </t>
  </si>
  <si>
    <t>QB: Joe Flacco, Ryan Mallett</t>
  </si>
  <si>
    <t>QB: Carson Palmer, Drew Stanton</t>
  </si>
  <si>
    <t>RB: David Johnson, Chris Johnson, Andre Ellington</t>
  </si>
  <si>
    <t>FB: Kyle Juszczyk</t>
  </si>
  <si>
    <t>K: Chandler Catanzaro</t>
  </si>
  <si>
    <t>K: Justin Tucker</t>
  </si>
  <si>
    <t xml:space="preserve">Buffalo Bills  </t>
  </si>
  <si>
    <t xml:space="preserve">Atlanta Falcons  </t>
  </si>
  <si>
    <t>QB: Tyrod Taylor, EJ Manuel</t>
  </si>
  <si>
    <t>QB: Matt Ryan, Matt Schaub</t>
  </si>
  <si>
    <t>FB: Patrick DiMarco</t>
  </si>
  <si>
    <t>TE: Charles Clay, Jim Dray</t>
  </si>
  <si>
    <t>K: Dan Carpenter</t>
  </si>
  <si>
    <t>K: Matt Bryant</t>
  </si>
  <si>
    <t xml:space="preserve">Cincinnati Bengals  </t>
  </si>
  <si>
    <t xml:space="preserve">Carolina Panthers  </t>
  </si>
  <si>
    <t>QB: Cam Newton, Derek Anderson</t>
  </si>
  <si>
    <t>FB: Mike Tolbert</t>
  </si>
  <si>
    <t>TE: Greg Olsen, Ed Dickson</t>
  </si>
  <si>
    <t>K: Mike Nugent</t>
  </si>
  <si>
    <t>K: Graham Gano</t>
  </si>
  <si>
    <t xml:space="preserve">Cleveland Browns  </t>
  </si>
  <si>
    <t xml:space="preserve">Chicago Bears  </t>
  </si>
  <si>
    <t>FB: Malcolm Johnson</t>
  </si>
  <si>
    <t xml:space="preserve">Denver Broncos  </t>
  </si>
  <si>
    <t xml:space="preserve">Dallas Cowboys  </t>
  </si>
  <si>
    <t>FB: Andy Janovich</t>
  </si>
  <si>
    <t>WR: Dez Bryant, Terrance Williams, Cole Beasley, Brice Butler</t>
  </si>
  <si>
    <t>TE: Jason Witten, Gavin Escobar</t>
  </si>
  <si>
    <t>K: Dan Bailey</t>
  </si>
  <si>
    <t>K: Brandon McManus</t>
  </si>
  <si>
    <t xml:space="preserve">Houston Texans  </t>
  </si>
  <si>
    <t xml:space="preserve">Detroit Lions  </t>
  </si>
  <si>
    <t>QB: Matthew Stafford, Dan Orlovsky</t>
  </si>
  <si>
    <t>FB: Jay Prosch</t>
  </si>
  <si>
    <t>FB: Michael Burton</t>
  </si>
  <si>
    <t>K: Nick Novak</t>
  </si>
  <si>
    <t>K: Matt Prater</t>
  </si>
  <si>
    <t xml:space="preserve">Indianapolis Colts  </t>
  </si>
  <si>
    <t xml:space="preserve">Green Bay Packers  </t>
  </si>
  <si>
    <t>QB: Andrew Luck, Scott Tolzien</t>
  </si>
  <si>
    <t>QB: Aaron Rodgers, Brett Hundley</t>
  </si>
  <si>
    <t>FB: Aaron Ripkowski</t>
  </si>
  <si>
    <t>TE: Dwayne Allen, Jack Doyle</t>
  </si>
  <si>
    <t>K: Adam Vinatieri</t>
  </si>
  <si>
    <t>K: Mason Crosby</t>
  </si>
  <si>
    <t xml:space="preserve">Jacksonville Jaguars  </t>
  </si>
  <si>
    <t xml:space="preserve">Los Angeles Rams  </t>
  </si>
  <si>
    <t>QB: Blake Bortles, Chad Henne</t>
  </si>
  <si>
    <t>FB: Corey Harkey (TE)</t>
  </si>
  <si>
    <t>TE: Julius Thomas, Marcedes Lewis</t>
  </si>
  <si>
    <t>K: Jason Myers</t>
  </si>
  <si>
    <t>TE: Lance Kendricks, Tyler Higbee</t>
  </si>
  <si>
    <t>K: Greg Zuerlein</t>
  </si>
  <si>
    <t xml:space="preserve">Kansas City Chiefs  </t>
  </si>
  <si>
    <t xml:space="preserve">Minnesota Vikings  </t>
  </si>
  <si>
    <t>FB: Anthony Sherman</t>
  </si>
  <si>
    <t>FB: Zach Line</t>
  </si>
  <si>
    <t>K: Cairo Santos</t>
  </si>
  <si>
    <t>K: Blair Walsh</t>
  </si>
  <si>
    <t xml:space="preserve">Miami Dolphins  </t>
  </si>
  <si>
    <t xml:space="preserve">New Orleans Saints  </t>
  </si>
  <si>
    <t>QB: Ryan Tannehill, Matt Moore</t>
  </si>
  <si>
    <t>QB: Drew Brees, Luke McCown</t>
  </si>
  <si>
    <t>TE: Jordan Cameron, Dion Sims</t>
  </si>
  <si>
    <t>K: Andrew Franks</t>
  </si>
  <si>
    <t xml:space="preserve">New England Patriots  </t>
  </si>
  <si>
    <t xml:space="preserve">New York Giants  </t>
  </si>
  <si>
    <t>QB: Eli Manning, Ryan Nassib</t>
  </si>
  <si>
    <t>FB: James Develin</t>
  </si>
  <si>
    <t>K: Stephen Gostkowski</t>
  </si>
  <si>
    <t xml:space="preserve">New York Jets  </t>
  </si>
  <si>
    <t xml:space="preserve">Philadelphia Eagles  </t>
  </si>
  <si>
    <t>QB: Ryan Fitzpatrick, Geno Smith</t>
  </si>
  <si>
    <t>K: Caleb Sturgis</t>
  </si>
  <si>
    <t>K: Nick Folk</t>
  </si>
  <si>
    <t xml:space="preserve">Oakland Raiders  </t>
  </si>
  <si>
    <t xml:space="preserve">San Francisco 49ers  </t>
  </si>
  <si>
    <t>QB: Derek Carr, Matt McGloin</t>
  </si>
  <si>
    <t>QB: Blaine Gabbert, Colin Kaepernick</t>
  </si>
  <si>
    <t>TE: Vance McDonald, Garrett Celek</t>
  </si>
  <si>
    <t>K: Phil Dawson</t>
  </si>
  <si>
    <t>K: Sebastian Janikowski</t>
  </si>
  <si>
    <t xml:space="preserve">Pittsburgh Steelers  </t>
  </si>
  <si>
    <t xml:space="preserve">Seattle Seahawks  </t>
  </si>
  <si>
    <t>QB: Ben Roethlisberger, Landry Jones</t>
  </si>
  <si>
    <t>QB: Russell Wilson, Trevone Boykin</t>
  </si>
  <si>
    <t>RB: Le′Veon Bell (susp), DeAngelo Williams, Fitzgerald Toussaint</t>
  </si>
  <si>
    <t>FB: Roosevelt Nix</t>
  </si>
  <si>
    <t>K: Chris Boswell</t>
  </si>
  <si>
    <t>K: Steven Hauschka</t>
  </si>
  <si>
    <t xml:space="preserve">San Diego Chargers  </t>
  </si>
  <si>
    <t xml:space="preserve">Tampa Bay Buccaneers  </t>
  </si>
  <si>
    <t>QB: Philip Rivers, Kellen Clemens</t>
  </si>
  <si>
    <t>QB: Jameis Winston, Mike Glennon</t>
  </si>
  <si>
    <t>FB: Derek Watt</t>
  </si>
  <si>
    <t>TE: Antonio Gates, Hunter Henry</t>
  </si>
  <si>
    <t>K: Josh Lambo</t>
  </si>
  <si>
    <t>K: Roberto Aguayo</t>
  </si>
  <si>
    <t xml:space="preserve">Tennessee Titans  </t>
  </si>
  <si>
    <t xml:space="preserve">Washington Redskins  </t>
  </si>
  <si>
    <t>QB: Marcus Mariota, Matt Cassel</t>
  </si>
  <si>
    <t>QB: Kirk Cousins, Colt McCoy</t>
  </si>
  <si>
    <t>FB: Jalston Fowler</t>
  </si>
  <si>
    <t>K: Ryan Succop</t>
  </si>
  <si>
    <t>K: Dustin Hopkins</t>
  </si>
  <si>
    <t>Gms</t>
  </si>
  <si>
    <t>Sack</t>
  </si>
  <si>
    <t>Fum</t>
  </si>
  <si>
    <t>FL</t>
  </si>
  <si>
    <t>2pc</t>
  </si>
  <si>
    <t>Pts</t>
  </si>
  <si>
    <t>RV</t>
  </si>
  <si>
    <t>$</t>
  </si>
  <si>
    <t>ARZ</t>
  </si>
  <si>
    <t>BLT</t>
  </si>
  <si>
    <t>HST</t>
  </si>
  <si>
    <t>CLV</t>
  </si>
  <si>
    <t>Trevor Siemian</t>
  </si>
  <si>
    <t>Colt McCoy</t>
  </si>
  <si>
    <t>E.J. Manuel</t>
  </si>
  <si>
    <t>Ret.Yds</t>
  </si>
  <si>
    <t>Ret.TDs</t>
  </si>
  <si>
    <t>Rob Kelley</t>
  </si>
  <si>
    <t>Malcolm Brown</t>
  </si>
  <si>
    <t>Michael Davis</t>
  </si>
  <si>
    <t>Eli Rogers</t>
  </si>
  <si>
    <t>Aaron Burbridge</t>
  </si>
  <si>
    <t>Walter Powell</t>
  </si>
  <si>
    <t>Matt Slater</t>
  </si>
  <si>
    <t>RushATT</t>
  </si>
  <si>
    <t>Jeff Heuerman</t>
  </si>
  <si>
    <t>Niles Paul</t>
  </si>
  <si>
    <t>Logan Paulsen</t>
  </si>
  <si>
    <t>TO</t>
  </si>
  <si>
    <t>XP</t>
  </si>
  <si>
    <t>Nick Novak</t>
  </si>
  <si>
    <t>Josh Brown</t>
  </si>
  <si>
    <t>Steven Hauschka</t>
  </si>
  <si>
    <t>Blair Walsh</t>
  </si>
  <si>
    <t>Justin Tucker</t>
  </si>
  <si>
    <t>Mason Crosby</t>
  </si>
  <si>
    <t>Mike Nugent</t>
  </si>
  <si>
    <t>Chandler Catanzaro</t>
  </si>
  <si>
    <t>Dan Bailey</t>
  </si>
  <si>
    <t>Matt Bryant</t>
  </si>
  <si>
    <t>Adam Vinatieri</t>
  </si>
  <si>
    <t>Sebastian Janikowski</t>
  </si>
  <si>
    <t>Nick Folk</t>
  </si>
  <si>
    <t>Stephen Gostkowski</t>
  </si>
  <si>
    <t>Matt Prater</t>
  </si>
  <si>
    <t>Chris Boswell</t>
  </si>
  <si>
    <t>Dan Carpenter</t>
  </si>
  <si>
    <t>Cairo Santos</t>
  </si>
  <si>
    <t>Phil Dawson</t>
  </si>
  <si>
    <t>Dustin Hopkins</t>
  </si>
  <si>
    <t>Brandon McManus</t>
  </si>
  <si>
    <t>Graham Gano</t>
  </si>
  <si>
    <t>Ryan Succop</t>
  </si>
  <si>
    <t>Jason Myers</t>
  </si>
  <si>
    <t>Greg Zuerlein</t>
  </si>
  <si>
    <t>Roberto Aguayo</t>
  </si>
  <si>
    <t>Caleb Sturgis</t>
  </si>
  <si>
    <t>Andrew Franks</t>
  </si>
  <si>
    <t>Josh Lambo</t>
  </si>
  <si>
    <t>Connor Barth</t>
  </si>
  <si>
    <t>Safeties</t>
  </si>
  <si>
    <t>FF</t>
  </si>
  <si>
    <t>FR</t>
  </si>
  <si>
    <t>14-20</t>
  </si>
  <si>
    <t>21-27</t>
  </si>
  <si>
    <t>28-34</t>
  </si>
  <si>
    <t>35+</t>
  </si>
  <si>
    <t>Def TD</t>
  </si>
  <si>
    <t>2015 Team Total Offense</t>
  </si>
  <si>
    <t>3rd Down</t>
  </si>
  <si>
    <t>4th Down</t>
  </si>
  <si>
    <t>Pts/G</t>
  </si>
  <si>
    <t>TotPts</t>
  </si>
  <si>
    <t>Plays</t>
  </si>
  <si>
    <t>Yds/G</t>
  </si>
  <si>
    <t>Yds/P</t>
  </si>
  <si>
    <t>1st/G</t>
  </si>
  <si>
    <t>3rd Md</t>
  </si>
  <si>
    <t>3rd Att</t>
  </si>
  <si>
    <t>3rd Pct</t>
  </si>
  <si>
    <t>4th Md</t>
  </si>
  <si>
    <t>4th Att</t>
  </si>
  <si>
    <t>4th Pct</t>
  </si>
  <si>
    <t>Pen</t>
  </si>
  <si>
    <t>Pen Yds</t>
  </si>
  <si>
    <t>ToP/G</t>
  </si>
  <si>
    <t>FUM</t>
  </si>
  <si>
    <t>Lost</t>
  </si>
  <si>
    <t>2015 Team Passing</t>
  </si>
  <si>
    <t>Pct</t>
  </si>
  <si>
    <t>Att/G</t>
  </si>
  <si>
    <t>Avg</t>
  </si>
  <si>
    <t>1st</t>
  </si>
  <si>
    <t>1st%</t>
  </si>
  <si>
    <t>Lng</t>
  </si>
  <si>
    <t>20+</t>
  </si>
  <si>
    <t>40+</t>
  </si>
  <si>
    <t>Sck</t>
  </si>
  <si>
    <t>Rate</t>
  </si>
  <si>
    <t>2015 Team Rushing</t>
  </si>
  <si>
    <t>2015 Team Receiving</t>
  </si>
  <si>
    <t>Opp Offense</t>
  </si>
  <si>
    <t>0-6</t>
  </si>
  <si>
    <t>7-13</t>
  </si>
  <si>
    <t>Atta</t>
  </si>
  <si>
    <t>Compa</t>
  </si>
  <si>
    <t>Yardsa</t>
  </si>
  <si>
    <t>Tda</t>
  </si>
  <si>
    <t>INTa</t>
  </si>
  <si>
    <t>RushYardsa</t>
  </si>
  <si>
    <t>RushAtt3</t>
  </si>
  <si>
    <t>RushAtt1</t>
  </si>
  <si>
    <t>RushAtta</t>
  </si>
  <si>
    <t>RushTDa</t>
  </si>
  <si>
    <t>Cara</t>
  </si>
  <si>
    <t>Reca</t>
  </si>
  <si>
    <t>RecYardsa</t>
  </si>
  <si>
    <t>RecTda</t>
  </si>
  <si>
    <t>DVP</t>
  </si>
  <si>
    <t>Column2</t>
  </si>
  <si>
    <t>Tar3</t>
  </si>
  <si>
    <t>RushAtt2</t>
  </si>
  <si>
    <t>Ted Ginn Jr.</t>
  </si>
  <si>
    <t>Opp Pass Yards</t>
  </si>
  <si>
    <t>Opp Rush Yards</t>
  </si>
  <si>
    <t>Pitcher</t>
  </si>
  <si>
    <t>Total</t>
  </si>
  <si>
    <t>Hard</t>
  </si>
  <si>
    <t>AVERAGE</t>
  </si>
  <si>
    <t>TOTALS</t>
  </si>
  <si>
    <t>vs Opponent (Hitters 2 Years)</t>
  </si>
  <si>
    <t>vs Opponent (Hitters 14 Days)</t>
  </si>
  <si>
    <t>Starting Pitchers Last 2 Seasons Stats</t>
  </si>
  <si>
    <t>Type Your Player's Name</t>
  </si>
  <si>
    <t>WR: A.J. Green (inj), Brandon LaFell, Tyler Boyd, Cody Core</t>
  </si>
  <si>
    <t>WR: Josh Gordon (susp), Corey Coleman (PR), Terrelle Pryor,Andrew Hawkins</t>
  </si>
  <si>
    <t>TE: Gary Barnidge, Seth Devalve</t>
  </si>
  <si>
    <t>K: Patrick Murray</t>
  </si>
  <si>
    <t>QB: Trevor Siemian, Paxton Lynch</t>
  </si>
  <si>
    <t>RB: C.J. Anderson, Devontae Booker, Kapri Bibbs</t>
  </si>
  <si>
    <t>QB: Brock Osweiler, Tom Savage</t>
  </si>
  <si>
    <t>RB: Lamar Miller, Tyler Ervin (KR), Alfred Blue</t>
  </si>
  <si>
    <t>QB: Alex Smith, Nick Foles</t>
  </si>
  <si>
    <t>RB: Jamaal Charles (inj), Spencer Ware, Charcandrick West</t>
  </si>
  <si>
    <t>WR: Jeremy Maclin, Chris Conley, Albert Wilson, Tyreek Hill (KR/PR)</t>
  </si>
  <si>
    <t>TE: Travis Kelce, Demetrius Harris</t>
  </si>
  <si>
    <t>WR: Julian Edelman (PR), Chris Hogan, Danny Amendola, Malcolm Mitchell</t>
  </si>
  <si>
    <t>TE: Kellen Davis, Brandon Bostick</t>
  </si>
  <si>
    <t>RB: Latavius Murray, Deandre Washington, Jalen Richard</t>
  </si>
  <si>
    <t>FB: Jamize Olawale</t>
  </si>
  <si>
    <t>WR: Amari Cooper, Michael Crabtree, Seth Roberts, Andre Holmes</t>
  </si>
  <si>
    <t>TE: Clive Walford, Lee Smith</t>
  </si>
  <si>
    <t>TE: Jesse James, Xavier Grimble</t>
  </si>
  <si>
    <t>RB: DeMarco Murray, Derrick Henry, Antonio Andrews</t>
  </si>
  <si>
    <t>WR: Tajae Sharpe, Rishard Matthews, Andre Johnson, Kendall Wright (inj)</t>
  </si>
  <si>
    <t>TE: Delanie Walker (inj), Anthony Fasano</t>
  </si>
  <si>
    <t>WR: Larry Fitzgerald, Michael Floyd, John Brown (KR), Jaron Brown</t>
  </si>
  <si>
    <t>WR: Julio Jones, Mohamed Sanu, Justin Hardy, Aldrick Robinson</t>
  </si>
  <si>
    <t>TE: Jacob Tamme, Austin Hooper</t>
  </si>
  <si>
    <t>WR: Kelvin Benjamin, Ted Ginn (KR/PR), Devin Funchess, Corey Brown</t>
  </si>
  <si>
    <t>FB: Paul Lasike</t>
  </si>
  <si>
    <t>QB: Dak Prescott, Mark Sanchez</t>
  </si>
  <si>
    <t>RB: Ezekiel Elliott, Alfred Morris, Lance Dunbar</t>
  </si>
  <si>
    <t>FB: Keith Smith</t>
  </si>
  <si>
    <t>WR: Marvin Jones, Golden Tate (PR), Anquan Boldin, Andre Roberts</t>
  </si>
  <si>
    <t>WR: Jordy Nelson, Randall Cobb, Jared Abbrederis, Davante Adams</t>
  </si>
  <si>
    <t>RB: Todd Gurley, Benny Cunningham (3RB/KR), Malcolm Brown</t>
  </si>
  <si>
    <t>QB: Sam Bradford, Shaun Hill</t>
  </si>
  <si>
    <t>TE: Kyle Rudolph, MyCole Pruitt (inj)</t>
  </si>
  <si>
    <t>FB: John Kuhn</t>
  </si>
  <si>
    <t>WR: Brandin Cooks, Willie Snead, Michael Thomas, Brandon Coleman</t>
  </si>
  <si>
    <t>WR: Odell Beckham Jr., Sterling Shepard, Dwayne Harris (KR/PR),Tavarres King</t>
  </si>
  <si>
    <t>TE: Larry Donnell, Will Tye</t>
  </si>
  <si>
    <t>QB: Carson Wentz, Chase Daniel</t>
  </si>
  <si>
    <t>RB: Ryan Mathews, Darren Sproles (3RB/PR), Kenjon Barner (KR)</t>
  </si>
  <si>
    <t>WR: Jordan Matthews (inj), Nelson Agholor, Josh Huff (KR), Dorial Green-Beckham</t>
  </si>
  <si>
    <t>WR: Torrey Smith, Quinton Patton, Jeremy Kerley, Rod Streater</t>
  </si>
  <si>
    <t>TE: Jimmy Graham, Luke Willson</t>
  </si>
  <si>
    <t>WR: DeSean Jackson, Pierre Garcon, Jamison Crowder (PR), Josh Doctson</t>
  </si>
  <si>
    <t>Pos Rank</t>
  </si>
  <si>
    <t>DEF</t>
  </si>
  <si>
    <t>Type Your Quarterback's Name</t>
  </si>
  <si>
    <t>^OffenseVsDef^</t>
  </si>
  <si>
    <t>Attempts</t>
  </si>
  <si>
    <t>%of Cap</t>
  </si>
  <si>
    <t>Receptions</t>
  </si>
  <si>
    <t>Salary Left w/ QB 1</t>
  </si>
  <si>
    <t>Salary Left w/ QB 2</t>
  </si>
  <si>
    <t>Salary Left w/ QB 3</t>
  </si>
  <si>
    <t>Salary Left w/ QB 5</t>
  </si>
  <si>
    <t>Salary Left w/ QB 4</t>
  </si>
  <si>
    <t>OFF</t>
  </si>
  <si>
    <t>Receiver</t>
  </si>
  <si>
    <t>Wt</t>
  </si>
  <si>
    <t>LWR</t>
  </si>
  <si>
    <t>Slot</t>
  </si>
  <si>
    <t>RWR</t>
  </si>
  <si>
    <t>T/R</t>
  </si>
  <si>
    <t>F/R</t>
  </si>
  <si>
    <t>Grade</t>
  </si>
  <si>
    <t>Defender</t>
  </si>
  <si>
    <t>RCB</t>
  </si>
  <si>
    <t>LCB</t>
  </si>
  <si>
    <t>Malcolm Butler</t>
  </si>
  <si>
    <t>Logan Ryan</t>
  </si>
  <si>
    <t>Alterraun Verner</t>
  </si>
  <si>
    <t>Brent Grimes</t>
  </si>
  <si>
    <t>Steve L. Smith</t>
  </si>
  <si>
    <t>Ronald Darby</t>
  </si>
  <si>
    <t>Nickell Robey</t>
  </si>
  <si>
    <t>Stephon Gilmore</t>
  </si>
  <si>
    <t>Jimmy Smith</t>
  </si>
  <si>
    <t>Jerraud Powers</t>
  </si>
  <si>
    <t>Shareece Wright</t>
  </si>
  <si>
    <t>Bradley Roby</t>
  </si>
  <si>
    <t>Aqib Talib</t>
  </si>
  <si>
    <t>Chris Harris Jr.</t>
  </si>
  <si>
    <t>Kevin A. Johnson</t>
  </si>
  <si>
    <t>Johnathan Joseph</t>
  </si>
  <si>
    <t>Kareem Jackson</t>
  </si>
  <si>
    <t>Darrelle Revis</t>
  </si>
  <si>
    <t>Buster Skrine</t>
  </si>
  <si>
    <t>Marcus Williams</t>
  </si>
  <si>
    <t>Ron Brooks</t>
  </si>
  <si>
    <t>Nolan Carroll</t>
  </si>
  <si>
    <t>Janoris Jenkins</t>
  </si>
  <si>
    <t>Dominique Rodgers-Cromartie</t>
  </si>
  <si>
    <t>James Bradberry</t>
  </si>
  <si>
    <t>Antonio Cromartie</t>
  </si>
  <si>
    <t>Patrick Robinson</t>
  </si>
  <si>
    <t>Davon House</t>
  </si>
  <si>
    <t>Jalen Ramsey</t>
  </si>
  <si>
    <t>Prince Amukamara</t>
  </si>
  <si>
    <t>Tracy Porter</t>
  </si>
  <si>
    <t>Bryce Callahan</t>
  </si>
  <si>
    <t>Nevin Lawson</t>
  </si>
  <si>
    <t>Darius Slay</t>
  </si>
  <si>
    <t>Quandre Diggs</t>
  </si>
  <si>
    <t>Quinten Rollins</t>
  </si>
  <si>
    <t>Sam Shields</t>
  </si>
  <si>
    <t>Damarious Randall</t>
  </si>
  <si>
    <t>Jason Verrett</t>
  </si>
  <si>
    <t>Casey Hayward</t>
  </si>
  <si>
    <t>Tramaine Brock</t>
  </si>
  <si>
    <t>Jimmie Ward</t>
  </si>
  <si>
    <t>Jeremy Lane</t>
  </si>
  <si>
    <t>Richard Sherman</t>
  </si>
  <si>
    <t>DeShawn Shead</t>
  </si>
  <si>
    <t>Jason McCourty</t>
  </si>
  <si>
    <t>Perrish Cox</t>
  </si>
  <si>
    <t>Brice McCain</t>
  </si>
  <si>
    <t>Patrick Peterson</t>
  </si>
  <si>
    <t>Tyrann Mathieu</t>
  </si>
  <si>
    <t>Sean Smith</t>
  </si>
  <si>
    <t>D.J. Hayden</t>
  </si>
  <si>
    <t>Michael A. Thomas</t>
  </si>
  <si>
    <t>David Amerson</t>
  </si>
  <si>
    <t>Brandon Carr</t>
  </si>
  <si>
    <t>Orlando Scandrick</t>
  </si>
  <si>
    <t>Morris Claiborne</t>
  </si>
  <si>
    <t>Dre Kirkpatrick</t>
  </si>
  <si>
    <t>Adam Jones</t>
  </si>
  <si>
    <t>DeVante Harris</t>
  </si>
  <si>
    <t>Jamar Taylor</t>
  </si>
  <si>
    <t>Joe Haden</t>
  </si>
  <si>
    <t>Tramon Williams</t>
  </si>
  <si>
    <t>Bashaud Breeland</t>
  </si>
  <si>
    <t>Josh Norman</t>
  </si>
  <si>
    <t>Kendall Fuller</t>
  </si>
  <si>
    <t>Marcus Peters</t>
  </si>
  <si>
    <t>Steven Nelson</t>
  </si>
  <si>
    <t>Phillip Gaines</t>
  </si>
  <si>
    <t>Trumaine Johnson</t>
  </si>
  <si>
    <t>Lamarcus Joyner</t>
  </si>
  <si>
    <t>Byron Maxwell</t>
  </si>
  <si>
    <t>Robert Alford</t>
  </si>
  <si>
    <t>Desmond Trufant</t>
  </si>
  <si>
    <t>Brian Poole</t>
  </si>
  <si>
    <t>Terence Newman</t>
  </si>
  <si>
    <t>Captain Munnerlyn</t>
  </si>
  <si>
    <t>Ross Cockrell</t>
  </si>
  <si>
    <t>William Gay</t>
  </si>
  <si>
    <t>RedZone Targets</t>
  </si>
  <si>
    <t>TTL</t>
  </si>
  <si>
    <t>AVG</t>
  </si>
  <si>
    <t>Completions</t>
  </si>
  <si>
    <t>Comp %</t>
  </si>
  <si>
    <t>TDs</t>
  </si>
  <si>
    <t>FB</t>
  </si>
  <si>
    <t>Devante Parker</t>
  </si>
  <si>
    <t>John Phillips</t>
  </si>
  <si>
    <t>KaDeem Carey</t>
  </si>
  <si>
    <t>Roosevelt Nix</t>
  </si>
  <si>
    <t>Devin Hester</t>
  </si>
  <si>
    <t>Chase Reynolds</t>
  </si>
  <si>
    <t>Kapri Bibbs</t>
  </si>
  <si>
    <t>Yards AT and After The Catch WRs</t>
  </si>
  <si>
    <t>Yards AT The Catch</t>
  </si>
  <si>
    <t>Yards After Catch</t>
  </si>
  <si>
    <t>Yards AT and After The Catch TEs</t>
  </si>
  <si>
    <t>YAtC</t>
  </si>
  <si>
    <t>YAtC/Rec</t>
  </si>
  <si>
    <t>YAC</t>
  </si>
  <si>
    <t>YAC/Rec</t>
  </si>
  <si>
    <t>YAC Allowed</t>
  </si>
  <si>
    <t>YAC Allowed/Game</t>
  </si>
  <si>
    <t>$$$ Left for Quarterback</t>
  </si>
  <si>
    <t>QB1</t>
  </si>
  <si>
    <t>QB2</t>
  </si>
  <si>
    <t>QB3</t>
  </si>
  <si>
    <t>QB4</t>
  </si>
  <si>
    <t>QB5</t>
  </si>
  <si>
    <t>Teams</t>
  </si>
  <si>
    <t xml:space="preserve">QB </t>
  </si>
  <si>
    <t>All Players</t>
  </si>
  <si>
    <t>Column3</t>
  </si>
  <si>
    <t>YatC</t>
  </si>
  <si>
    <t>YatC/Avg</t>
  </si>
  <si>
    <t>Joe Webb</t>
  </si>
  <si>
    <t>Christian Ponder</t>
  </si>
  <si>
    <t>Jeff Driskel</t>
  </si>
  <si>
    <t>Nate Sudfeld</t>
  </si>
  <si>
    <t>Jordan Taylor</t>
  </si>
  <si>
    <t>Damiere Byrd</t>
  </si>
  <si>
    <t>Maurice Harris</t>
  </si>
  <si>
    <t>Nelson Spruce</t>
  </si>
  <si>
    <t>Mose Frazier</t>
  </si>
  <si>
    <t>Daryl Richardson</t>
  </si>
  <si>
    <t>Andy Janovich</t>
  </si>
  <si>
    <t>Bryce Treggs</t>
  </si>
  <si>
    <t>Mike Thomas</t>
  </si>
  <si>
    <t>Kyle Nelson</t>
  </si>
  <si>
    <t>Xavier Grimble</t>
  </si>
  <si>
    <t>Temarrick Hemingway</t>
  </si>
  <si>
    <t>300+</t>
  </si>
  <si>
    <t>100+</t>
  </si>
  <si>
    <t>Target Tracker</t>
  </si>
  <si>
    <t>Value Depth</t>
  </si>
  <si>
    <t>Proj. Depth</t>
  </si>
  <si>
    <t>Rank Depth By</t>
  </si>
  <si>
    <t>Stack Position 1</t>
  </si>
  <si>
    <t>Stack Position 2</t>
  </si>
  <si>
    <t>Stack Position 3</t>
  </si>
  <si>
    <t>Stack Position 4</t>
  </si>
  <si>
    <t>Positions</t>
  </si>
  <si>
    <t>Stack Pos 1</t>
  </si>
  <si>
    <t>Stack Pos 2</t>
  </si>
  <si>
    <t>Stack Pos 3</t>
  </si>
  <si>
    <t>Stack Pos 4</t>
  </si>
  <si>
    <t>P1 Proj</t>
  </si>
  <si>
    <t>P2 Proj</t>
  </si>
  <si>
    <t>P3 Proj</t>
  </si>
  <si>
    <t>P4 Proj</t>
  </si>
  <si>
    <t>P1 Value</t>
  </si>
  <si>
    <t>P2 Value</t>
  </si>
  <si>
    <t>P3 Value</t>
  </si>
  <si>
    <t>P4 Value</t>
  </si>
  <si>
    <t>P1 Salary</t>
  </si>
  <si>
    <t>P2 Salary</t>
  </si>
  <si>
    <t>P3 Salary</t>
  </si>
  <si>
    <t>P4 Salary</t>
  </si>
  <si>
    <t>Stack Projection</t>
  </si>
  <si>
    <t>Proj. Rank</t>
  </si>
  <si>
    <t>Stack Value</t>
  </si>
  <si>
    <t>Value Rank</t>
  </si>
  <si>
    <t>% of Cap</t>
  </si>
  <si>
    <t>Draftkings Week 1</t>
  </si>
  <si>
    <t>Time</t>
  </si>
  <si>
    <t>Over/Under</t>
  </si>
  <si>
    <t>Projected Points</t>
  </si>
  <si>
    <t>Projected Points Change</t>
  </si>
  <si>
    <t>-0.5 (show details)</t>
  </si>
  <si>
    <t>1:00 PM</t>
  </si>
  <si>
    <t>+0.25 (show details)</t>
  </si>
  <si>
    <t>-0.25 (show details)</t>
  </si>
  <si>
    <t>0 (show details)</t>
  </si>
  <si>
    <t>+0.5 (show details)</t>
  </si>
  <si>
    <t>4:25 PM</t>
  </si>
  <si>
    <t>O/U</t>
  </si>
  <si>
    <t>Team Total</t>
  </si>
  <si>
    <t>Lower = Better</t>
  </si>
  <si>
    <t>WR1</t>
  </si>
  <si>
    <t>Vs</t>
  </si>
  <si>
    <t>$8700</t>
  </si>
  <si>
    <t>$8500</t>
  </si>
  <si>
    <t>$7600</t>
  </si>
  <si>
    <t>$7700</t>
  </si>
  <si>
    <t>$7200</t>
  </si>
  <si>
    <t>$8600</t>
  </si>
  <si>
    <t>$7500</t>
  </si>
  <si>
    <t>$7400</t>
  </si>
  <si>
    <t>$7900</t>
  </si>
  <si>
    <t>$8400</t>
  </si>
  <si>
    <t>$7300</t>
  </si>
  <si>
    <t>$7800</t>
  </si>
  <si>
    <t>$6900</t>
  </si>
  <si>
    <t>$7000</t>
  </si>
  <si>
    <t>$7100</t>
  </si>
  <si>
    <t>$6400</t>
  </si>
  <si>
    <t>$6700</t>
  </si>
  <si>
    <t>$5000</t>
  </si>
  <si>
    <t>$6000</t>
  </si>
  <si>
    <t>$6200</t>
  </si>
  <si>
    <t>Brad Sorensen</t>
  </si>
  <si>
    <t>$8200</t>
  </si>
  <si>
    <t>$8900</t>
  </si>
  <si>
    <t>$8100</t>
  </si>
  <si>
    <t>$6600</t>
  </si>
  <si>
    <t>$5400</t>
  </si>
  <si>
    <t>$6100</t>
  </si>
  <si>
    <t>$6500</t>
  </si>
  <si>
    <t>$4800</t>
  </si>
  <si>
    <t>$5600</t>
  </si>
  <si>
    <t>$4700</t>
  </si>
  <si>
    <t>$5800</t>
  </si>
  <si>
    <t>$6300</t>
  </si>
  <si>
    <t>$5700</t>
  </si>
  <si>
    <t>$5100</t>
  </si>
  <si>
    <t>$5500</t>
  </si>
  <si>
    <t>$5300</t>
  </si>
  <si>
    <t>$5200</t>
  </si>
  <si>
    <t>$4900</t>
  </si>
  <si>
    <t>0.90</t>
  </si>
  <si>
    <t>0.76</t>
  </si>
  <si>
    <t>$4500</t>
  </si>
  <si>
    <t>0.81</t>
  </si>
  <si>
    <t>$4600</t>
  </si>
  <si>
    <t>0.67</t>
  </si>
  <si>
    <t>0.73</t>
  </si>
  <si>
    <t>0.63</t>
  </si>
  <si>
    <t>0.59</t>
  </si>
  <si>
    <t>0.50</t>
  </si>
  <si>
    <t>Steve Smith Sr.</t>
  </si>
  <si>
    <t>$9300</t>
  </si>
  <si>
    <t>$8000</t>
  </si>
  <si>
    <t>$6800</t>
  </si>
  <si>
    <t>$5900</t>
  </si>
  <si>
    <t>0.96</t>
  </si>
  <si>
    <t>0.98</t>
  </si>
  <si>
    <t>0.94</t>
  </si>
  <si>
    <t>0.85</t>
  </si>
  <si>
    <t>0.74</t>
  </si>
  <si>
    <t>0.71</t>
  </si>
  <si>
    <t>0.72</t>
  </si>
  <si>
    <t>Proj Rank</t>
  </si>
  <si>
    <t>0.93</t>
  </si>
  <si>
    <t>Position Rank</t>
  </si>
  <si>
    <t>Average</t>
  </si>
  <si>
    <t>Average2</t>
  </si>
  <si>
    <t>FP</t>
  </si>
  <si>
    <t>Sk</t>
  </si>
  <si>
    <t>STY</t>
  </si>
  <si>
    <t>BLK</t>
  </si>
  <si>
    <t>DTD</t>
  </si>
  <si>
    <t>$FD</t>
  </si>
  <si>
    <t>Pts/$1000</t>
  </si>
  <si>
    <t>$4400</t>
  </si>
  <si>
    <t>$4300</t>
  </si>
  <si>
    <t>$4200</t>
  </si>
  <si>
    <t>$4000</t>
  </si>
  <si>
    <t>$4100</t>
  </si>
  <si>
    <t>0.00</t>
  </si>
  <si>
    <t>DEFstats1</t>
  </si>
  <si>
    <t>DEFstats2</t>
  </si>
  <si>
    <t>DEFstats3</t>
  </si>
  <si>
    <t>Def v Pos</t>
  </si>
  <si>
    <t>Floor</t>
  </si>
  <si>
    <t>Ceiling</t>
  </si>
  <si>
    <t>2015 Avg</t>
  </si>
  <si>
    <t>FC Proj</t>
  </si>
  <si>
    <t>My Proj</t>
  </si>
  <si>
    <t>Exposure</t>
  </si>
  <si>
    <t>Consistency</t>
  </si>
  <si>
    <t>Value</t>
  </si>
  <si>
    <t>Actual Score</t>
  </si>
  <si>
    <t>Actual Val</t>
  </si>
  <si>
    <t>29th</t>
  </si>
  <si>
    <t>27th</t>
  </si>
  <si>
    <t>7th</t>
  </si>
  <si>
    <t>20th</t>
  </si>
  <si>
    <t>24th</t>
  </si>
  <si>
    <t>15th</t>
  </si>
  <si>
    <t>3rd</t>
  </si>
  <si>
    <t>@ WAS</t>
  </si>
  <si>
    <t>19th</t>
  </si>
  <si>
    <t>26th</t>
  </si>
  <si>
    <t>17th</t>
  </si>
  <si>
    <t>11th</t>
  </si>
  <si>
    <t>23rd</t>
  </si>
  <si>
    <t>22nd</t>
  </si>
  <si>
    <t>13th</t>
  </si>
  <si>
    <t>31st</t>
  </si>
  <si>
    <t>12th</t>
  </si>
  <si>
    <t>@ ARI</t>
  </si>
  <si>
    <t>6th</t>
  </si>
  <si>
    <t>21st</t>
  </si>
  <si>
    <t>8th</t>
  </si>
  <si>
    <t>10th</t>
  </si>
  <si>
    <t>30th</t>
  </si>
  <si>
    <t>28th</t>
  </si>
  <si>
    <t>4th</t>
  </si>
  <si>
    <t>25th</t>
  </si>
  <si>
    <t>2nd</t>
  </si>
  <si>
    <t>32nd</t>
  </si>
  <si>
    <t>5th</t>
  </si>
  <si>
    <t>18th</t>
  </si>
  <si>
    <t>14th</t>
  </si>
  <si>
    <t>16th</t>
  </si>
  <si>
    <t>9th</t>
  </si>
  <si>
    <t>Corey Philly Brown</t>
  </si>
  <si>
    <t>Proj</t>
  </si>
  <si>
    <t>Actual</t>
  </si>
  <si>
    <t>Actual Rank</t>
  </si>
  <si>
    <t>Troymaine Pope</t>
  </si>
  <si>
    <t>Julian Howsare</t>
  </si>
  <si>
    <t>Keith Smith</t>
  </si>
  <si>
    <t>vs.</t>
  </si>
  <si>
    <t>8:25 PM</t>
  </si>
  <si>
    <t>@</t>
  </si>
  <si>
    <t>N/A</t>
  </si>
  <si>
    <t>null</t>
  </si>
  <si>
    <t>LAR</t>
  </si>
  <si>
    <t>0.82</t>
  </si>
  <si>
    <t>0.61</t>
  </si>
  <si>
    <t>0.54</t>
  </si>
  <si>
    <t>0.47</t>
  </si>
  <si>
    <t>0.38</t>
  </si>
  <si>
    <t>0.84</t>
  </si>
  <si>
    <t>0.69</t>
  </si>
  <si>
    <t>Michael D. Thomas</t>
  </si>
  <si>
    <t>0.83</t>
  </si>
  <si>
    <t>0.91</t>
  </si>
  <si>
    <t>0.78</t>
  </si>
  <si>
    <t>0.62</t>
  </si>
  <si>
    <t>0.60</t>
  </si>
  <si>
    <t>0.53</t>
  </si>
  <si>
    <t>0.92</t>
  </si>
  <si>
    <t>0.57</t>
  </si>
  <si>
    <t>0.55</t>
  </si>
  <si>
    <t>Home/Away</t>
  </si>
  <si>
    <t>Wil Lutz</t>
  </si>
  <si>
    <t>Top 5 Avg =</t>
  </si>
  <si>
    <t>NONE</t>
  </si>
  <si>
    <t>FlexRB</t>
  </si>
  <si>
    <t>FlexWR</t>
  </si>
  <si>
    <t>FlexTE</t>
  </si>
  <si>
    <t>T/R = TARGETS PER ROUTE</t>
  </si>
  <si>
    <t>F/R = FANTASY POINTS PER ROUTE</t>
  </si>
  <si>
    <t>Pos3</t>
  </si>
  <si>
    <t>Slot7</t>
  </si>
  <si>
    <t>T/R8</t>
  </si>
  <si>
    <t>F/R9</t>
  </si>
  <si>
    <t>Grade10</t>
  </si>
  <si>
    <t>Vernon Hargreaves III</t>
  </si>
  <si>
    <t>Jalen Mills</t>
  </si>
  <si>
    <t>Sean Davis</t>
  </si>
  <si>
    <t>Brandon Flowers</t>
  </si>
  <si>
    <t>Charles D. Johnson</t>
  </si>
  <si>
    <t>Xavien Howard</t>
  </si>
  <si>
    <t>Ken Crawley</t>
  </si>
  <si>
    <t>Bene Benwikere</t>
  </si>
  <si>
    <t>Robert McClain</t>
  </si>
  <si>
    <t>2016 Targets</t>
  </si>
  <si>
    <t>Murray, DeMarco</t>
  </si>
  <si>
    <t>Benjamin, Travis</t>
  </si>
  <si>
    <t>Marshall, Brandon</t>
  </si>
  <si>
    <t>Cooks, Brandin</t>
  </si>
  <si>
    <t>Nelson, Jordy</t>
  </si>
  <si>
    <t>Fitzgerald, Larry</t>
  </si>
  <si>
    <t>Green, A.J.</t>
  </si>
  <si>
    <t>Fuller, Will</t>
  </si>
  <si>
    <t>Witten, Jason</t>
  </si>
  <si>
    <t>Baldwin, Doug</t>
  </si>
  <si>
    <t>Floyd, Michael</t>
  </si>
  <si>
    <t>Cobb, Randall</t>
  </si>
  <si>
    <t>Matthews, Jordan</t>
  </si>
  <si>
    <t>Cadet, Travaris</t>
  </si>
  <si>
    <t>Crowder, Jamison</t>
  </si>
  <si>
    <t>Sanu, Mohamed</t>
  </si>
  <si>
    <t>Freeman, Devonta</t>
  </si>
  <si>
    <t>Moncrief, Donte</t>
  </si>
  <si>
    <t>Doyle, Jack</t>
  </si>
  <si>
    <t>Riddick, Theo</t>
  </si>
  <si>
    <t>Hilton, T.Y.</t>
  </si>
  <si>
    <t>Rogers, Eli</t>
  </si>
  <si>
    <t>Olsen, Greg</t>
  </si>
  <si>
    <t>Cruz, Victor</t>
  </si>
  <si>
    <t>Dorsett, Phillip</t>
  </si>
  <si>
    <t>Decker, Eric</t>
  </si>
  <si>
    <t>James, Jesse</t>
  </si>
  <si>
    <t>Woodhead, Danny</t>
  </si>
  <si>
    <t>Beasley, Cole</t>
  </si>
  <si>
    <t>Roberts, Seth</t>
  </si>
  <si>
    <t>Richard, Jalen</t>
  </si>
  <si>
    <t>Uzomah, C.J.</t>
  </si>
  <si>
    <t>Sproles, Darren</t>
  </si>
  <si>
    <t>Beckham, Odell</t>
  </si>
  <si>
    <t>Miller, Braxton</t>
  </si>
  <si>
    <t>Hawkins, Andrew</t>
  </si>
  <si>
    <t>Hopkins, DeAndre</t>
  </si>
  <si>
    <t>McDonald, Vance</t>
  </si>
  <si>
    <t>Shepard, Sterling</t>
  </si>
  <si>
    <t>Gresham, Jermaine</t>
  </si>
  <si>
    <t>Draughn, Shaun</t>
  </si>
  <si>
    <t>Anderson, Stephen</t>
  </si>
  <si>
    <t>Tamme, Jacob</t>
  </si>
  <si>
    <t>Hardy, Justin</t>
  </si>
  <si>
    <t>Tye, Will</t>
  </si>
  <si>
    <t>Abdullah, Ameer</t>
  </si>
  <si>
    <t>Boyd, Tyler</t>
  </si>
  <si>
    <t>Gates, Antonio</t>
  </si>
  <si>
    <t>Powell, Bilal</t>
  </si>
  <si>
    <t>Tate, Golden</t>
  </si>
  <si>
    <t>Carroo, Leonte</t>
  </si>
  <si>
    <t>Amendola, Danny</t>
  </si>
  <si>
    <t>Sanders, Emmanuel</t>
  </si>
  <si>
    <t>Wilson, Albert</t>
  </si>
  <si>
    <t>Ebron, Eric</t>
  </si>
  <si>
    <t>Hill, Tyreek</t>
  </si>
  <si>
    <t>Myers, Brandon</t>
  </si>
  <si>
    <t>Hurns, Allen</t>
  </si>
  <si>
    <t>Sharpe, Tajae</t>
  </si>
  <si>
    <t>Elliott, Ezekiel</t>
  </si>
  <si>
    <t>Maclin, Jeremy</t>
  </si>
  <si>
    <t>Matthews, Rishard</t>
  </si>
  <si>
    <t>Royal, Eddie</t>
  </si>
  <si>
    <t>West, Charcandrick</t>
  </si>
  <si>
    <t>Donnell, Larry</t>
  </si>
  <si>
    <t>Bernard, Giovani</t>
  </si>
  <si>
    <t>Smith, Steve</t>
  </si>
  <si>
    <t>Allen, Dwayne</t>
  </si>
  <si>
    <t>Enunwa, Quincy</t>
  </si>
  <si>
    <t>Benjamin, Kelvin</t>
  </si>
  <si>
    <t>Yeldon, T.J.</t>
  </si>
  <si>
    <t>Snead, Willie</t>
  </si>
  <si>
    <t>Lockett, Tyler</t>
  </si>
  <si>
    <t>Funchess, Devin</t>
  </si>
  <si>
    <t>Kearse, Jermaine</t>
  </si>
  <si>
    <t>Patton, Quinton</t>
  </si>
  <si>
    <t>Cooper, Amari</t>
  </si>
  <si>
    <t>Celek, Garrett</t>
  </si>
  <si>
    <t>Landry, Jarvis</t>
  </si>
  <si>
    <t>Rudolph, Kyle</t>
  </si>
  <si>
    <t>Johnson, David</t>
  </si>
  <si>
    <t>Allen, Keenan</t>
  </si>
  <si>
    <t>Jackson, DeSean</t>
  </si>
  <si>
    <t>Coleman, Tevin</t>
  </si>
  <si>
    <t>Kuhn, John</t>
  </si>
  <si>
    <t>Johnson, Duke</t>
  </si>
  <si>
    <t>Green, Virgil</t>
  </si>
  <si>
    <t>Kelce, Travis</t>
  </si>
  <si>
    <t>Robinson, Allen</t>
  </si>
  <si>
    <t>Thomas, Demaryius</t>
  </si>
  <si>
    <t>Walford, Clive</t>
  </si>
  <si>
    <t>Ervin, Tyler</t>
  </si>
  <si>
    <t>Reed, Jordan</t>
  </si>
  <si>
    <t>Marshall, Jalin</t>
  </si>
  <si>
    <t>Pryor, Terrelle</t>
  </si>
  <si>
    <t>Smith, Alex</t>
  </si>
  <si>
    <t>Jones, Marvin</t>
  </si>
  <si>
    <t>Smith, Torrey</t>
  </si>
  <si>
    <t>Foster, Arian</t>
  </si>
  <si>
    <t>Adams, Davante</t>
  </si>
  <si>
    <t>Walker, Delanie</t>
  </si>
  <si>
    <t>Johnson, Andre</t>
  </si>
  <si>
    <t>Greene, Rashad</t>
  </si>
  <si>
    <t>Conley, Chris</t>
  </si>
  <si>
    <t>Douglas, Harry</t>
  </si>
  <si>
    <t>Henry, Hunter</t>
  </si>
  <si>
    <t>@ OAK</t>
  </si>
  <si>
    <t>@ NYG</t>
  </si>
  <si>
    <t>vs SF</t>
  </si>
  <si>
    <t>@ SD</t>
  </si>
  <si>
    <t>vs ATL</t>
  </si>
  <si>
    <t>@ BUF</t>
  </si>
  <si>
    <t>vs NYJ</t>
  </si>
  <si>
    <t>@ NE</t>
  </si>
  <si>
    <t>@ DET</t>
  </si>
  <si>
    <t>vs BAL</t>
  </si>
  <si>
    <t>@ CAR</t>
  </si>
  <si>
    <t>Draftkings Week 3 RB Matchups</t>
  </si>
  <si>
    <t>Draftkings Week 3 WR Matchups</t>
  </si>
  <si>
    <t>Draftkings Week 3 TE Matchups</t>
  </si>
  <si>
    <t>Draftkings Week 3 Defense Matchups</t>
  </si>
  <si>
    <t>Price +/-</t>
  </si>
  <si>
    <t>Season</t>
  </si>
  <si>
    <t>Week</t>
  </si>
  <si>
    <t>PID</t>
  </si>
  <si>
    <t>aFPA</t>
  </si>
  <si>
    <t>FFPts</t>
  </si>
  <si>
    <t>FFPtsPPR</t>
  </si>
  <si>
    <t>Pass Yds</t>
  </si>
  <si>
    <t>FG</t>
  </si>
  <si>
    <t>FantasyAces (Projected points)</t>
  </si>
  <si>
    <t>FantasyAces (Price)</t>
  </si>
  <si>
    <t>FantasyAces ($/point)</t>
  </si>
  <si>
    <t>FantasyAces (Value)</t>
  </si>
  <si>
    <t>DraftDay (Projected points)</t>
  </si>
  <si>
    <t>DraftDay (Price)</t>
  </si>
  <si>
    <t>DraftDay ($/point)</t>
  </si>
  <si>
    <t>DraftDay (Value)</t>
  </si>
  <si>
    <t>DraftKings (Projected points)</t>
  </si>
  <si>
    <t>DraftKings (Price)</t>
  </si>
  <si>
    <t>DraftKings ($/point)</t>
  </si>
  <si>
    <t>DraftKings (Value)</t>
  </si>
  <si>
    <t>FanDuel (Projected points)</t>
  </si>
  <si>
    <t>FanDuel (Price)</t>
  </si>
  <si>
    <t>FanDuel ($/point)</t>
  </si>
  <si>
    <t>FanDuel (Value)</t>
  </si>
  <si>
    <t>FantasyFeud (Projected points)</t>
  </si>
  <si>
    <t>FantasyFeud (Price)</t>
  </si>
  <si>
    <t>FantasyFeud ($/point)</t>
  </si>
  <si>
    <t>FantasyFeud (Value)</t>
  </si>
  <si>
    <t>StarsDraft (Projected points)</t>
  </si>
  <si>
    <t>StarsDraft (Price)</t>
  </si>
  <si>
    <t>StarsDraft ($/point)</t>
  </si>
  <si>
    <t>StarsDraft (Value)</t>
  </si>
  <si>
    <t>Yahoo! (Projected points)</t>
  </si>
  <si>
    <t>Yahoo! (Price)</t>
  </si>
  <si>
    <t>Yahoo! ($/point)</t>
  </si>
  <si>
    <t>Yahoo! (Value)</t>
  </si>
  <si>
    <t>OwnThePlay (Projected points)</t>
  </si>
  <si>
    <t>OwnThePlay (Price)</t>
  </si>
  <si>
    <t>OwnThePlay ($/point)</t>
  </si>
  <si>
    <t>OwnThePlay (Value)</t>
  </si>
  <si>
    <t>FantasyDraft (Projected points)</t>
  </si>
  <si>
    <t>FantasyDraft (Price)</t>
  </si>
  <si>
    <t>FantasyDraft ($/point)</t>
  </si>
  <si>
    <t>FantasyDraft (Value)</t>
  </si>
  <si>
    <t>Team O/U</t>
  </si>
  <si>
    <t>lucka1</t>
  </si>
  <si>
    <t>A-Game</t>
  </si>
  <si>
    <t>breesd1</t>
  </si>
  <si>
    <t>newtoc1</t>
  </si>
  <si>
    <t>ryanm1</t>
  </si>
  <si>
    <t>@NO</t>
  </si>
  <si>
    <t>roethb1</t>
  </si>
  <si>
    <t>@PHI</t>
  </si>
  <si>
    <t>riverp1</t>
  </si>
  <si>
    <t>@IND</t>
  </si>
  <si>
    <t>palmec1</t>
  </si>
  <si>
    <t>@BUF</t>
  </si>
  <si>
    <t>bortlb1</t>
  </si>
  <si>
    <t>mannie1</t>
  </si>
  <si>
    <t>wilsor1</t>
  </si>
  <si>
    <t>mariom1</t>
  </si>
  <si>
    <t>tanner1</t>
  </si>
  <si>
    <t>staffm1</t>
  </si>
  <si>
    <t>@GB</t>
  </si>
  <si>
    <t>carrd2</t>
  </si>
  <si>
    <t>@TEN</t>
  </si>
  <si>
    <t>flaccj1</t>
  </si>
  <si>
    <t>@JAX</t>
  </si>
  <si>
    <t>fitzpr1</t>
  </si>
  <si>
    <t>@KC</t>
  </si>
  <si>
    <t>B-Game</t>
  </si>
  <si>
    <t>winstj1</t>
  </si>
  <si>
    <t>prescd1</t>
  </si>
  <si>
    <t>cousik1</t>
  </si>
  <si>
    <t>@NYG</t>
  </si>
  <si>
    <t>smitha4</t>
  </si>
  <si>
    <t>taylot2</t>
  </si>
  <si>
    <t>daltoa1</t>
  </si>
  <si>
    <t>osweib1</t>
  </si>
  <si>
    <t>@NE</t>
  </si>
  <si>
    <t>hoyerb1</t>
  </si>
  <si>
    <t>@DAL</t>
  </si>
  <si>
    <t>C-Game</t>
  </si>
  <si>
    <t>bradfs1</t>
  </si>
  <si>
    <t>@CAR</t>
  </si>
  <si>
    <t>siemit1</t>
  </si>
  <si>
    <t>@CIN</t>
  </si>
  <si>
    <t>gabbeb1</t>
  </si>
  <si>
    <t>@SEA</t>
  </si>
  <si>
    <t>kesslc1</t>
  </si>
  <si>
    <t>@MIA</t>
  </si>
  <si>
    <t>keenuc1</t>
  </si>
  <si>
    <t>@TB</t>
  </si>
  <si>
    <t>willid1</t>
  </si>
  <si>
    <t>johnsd12</t>
  </si>
  <si>
    <t>millel2</t>
  </si>
  <si>
    <t>gordom1</t>
  </si>
  <si>
    <t>murrad1</t>
  </si>
  <si>
    <t>ellioe1</t>
  </si>
  <si>
    <t>anderc2</t>
  </si>
  <si>
    <t>fortem1</t>
  </si>
  <si>
    <t>gurlet2</t>
  </si>
  <si>
    <t>ingram1</t>
  </si>
  <si>
    <t>mccoyl2</t>
  </si>
  <si>
    <t>simsc1</t>
  </si>
  <si>
    <t>wares1</t>
  </si>
  <si>
    <t>freemd1</t>
  </si>
  <si>
    <t>goref1</t>
  </si>
  <si>
    <t>blounl1</t>
  </si>
  <si>
    <t>crowei1</t>
  </si>
  <si>
    <t>michac1</t>
  </si>
  <si>
    <t>murral1</t>
  </si>
  <si>
    <t>yeldot1</t>
  </si>
  <si>
    <t>jennir1</t>
  </si>
  <si>
    <t>bernag1</t>
  </si>
  <si>
    <t>riddit1</t>
  </si>
  <si>
    <t>ajayij1</t>
  </si>
  <si>
    <t>hillj5</t>
  </si>
  <si>
    <t>hydec1</t>
  </si>
  <si>
    <t>colemt1</t>
  </si>
  <si>
    <t>mckinj1</t>
  </si>
  <si>
    <t>jonesm4</t>
  </si>
  <si>
    <t>forsej2</t>
  </si>
  <si>
    <t>artisc1</t>
  </si>
  <si>
    <t>asiatm1</t>
  </si>
  <si>
    <t>westt1</t>
  </si>
  <si>
    <t>washid2</t>
  </si>
  <si>
    <t>johnsd11</t>
  </si>
  <si>
    <t>drakek1</t>
  </si>
  <si>
    <t>thompc1</t>
  </si>
  <si>
    <t>rodgej1</t>
  </si>
  <si>
    <t>westc2</t>
  </si>
  <si>
    <t>whitej4</t>
  </si>
  <si>
    <t>henryd1</t>
  </si>
  <si>
    <t>hightt1</t>
  </si>
  <si>
    <t>whittf1</t>
  </si>
  <si>
    <t>morria1</t>
  </si>
  <si>
    <t>cadett1</t>
  </si>
  <si>
    <t>mcclud1</t>
  </si>
  <si>
    <t>booked1</t>
  </si>
  <si>
    <t>draugs1</t>
  </si>
  <si>
    <t>richaj1</t>
  </si>
  <si>
    <t>washid1</t>
  </si>
  <si>
    <t>tolbem1</t>
  </si>
  <si>
    <t>cunnib2</t>
  </si>
  <si>
    <t>johnsc4</t>
  </si>
  <si>
    <t>powelb1</t>
  </si>
  <si>
    <t>ellina1</t>
  </si>
  <si>
    <t>careyk1</t>
  </si>
  <si>
    <t>howarj1</t>
  </si>
  <si>
    <t>gillim1</t>
  </si>
  <si>
    <t>turbir1</t>
  </si>
  <si>
    <t>juszck1</t>
  </si>
  <si>
    <t>farrok1</t>
  </si>
  <si>
    <t>ferguj1</t>
  </si>
  <si>
    <t>dunbal1</t>
  </si>
  <si>
    <t>dimarp1</t>
  </si>
  <si>
    <t>ervint1</t>
  </si>
  <si>
    <t>darkwo1</t>
  </si>
  <si>
    <t>brownm4</t>
  </si>
  <si>
    <t>bluea1</t>
  </si>
  <si>
    <t>bibbsk1</t>
  </si>
  <si>
    <t>olawaj1</t>
  </si>
  <si>
    <t>zennez1</t>
  </si>
  <si>
    <t>linez1</t>
  </si>
  <si>
    <t>willid9</t>
  </si>
  <si>
    <t>grimej1</t>
  </si>
  <si>
    <t>keller1</t>
  </si>
  <si>
    <t>kuhnj2</t>
  </si>
  <si>
    <t>ripkoa1</t>
  </si>
  <si>
    <t>davisk2</t>
  </si>
  <si>
    <t>janova1</t>
  </si>
  <si>
    <t>fosted2</t>
  </si>
  <si>
    <t>richad1</t>
  </si>
  <si>
    <t>sherma1</t>
  </si>
  <si>
    <t>willia1</t>
  </si>
  <si>
    <t>boldeb1</t>
  </si>
  <si>
    <t>smallw1</t>
  </si>
  <si>
    <t>davism3</t>
  </si>
  <si>
    <t>proscj1</t>
  </si>
  <si>
    <t>browna4</t>
  </si>
  <si>
    <t>jonesj6</t>
  </si>
  <si>
    <t>beckho1</t>
  </si>
  <si>
    <t>hopkid1</t>
  </si>
  <si>
    <t>robina3</t>
  </si>
  <si>
    <t>cooksb1</t>
  </si>
  <si>
    <t>jeffea1</t>
  </si>
  <si>
    <t>coopea1</t>
  </si>
  <si>
    <t>fitzgl1</t>
  </si>
  <si>
    <t>benjak1</t>
  </si>
  <si>
    <t>greena2</t>
  </si>
  <si>
    <t>evansm1</t>
  </si>
  <si>
    <t>bryand1</t>
  </si>
  <si>
    <t>marshb1</t>
  </si>
  <si>
    <t>deckee1</t>
  </si>
  <si>
    <t>benjat1</t>
  </si>
  <si>
    <t>landrj1</t>
  </si>
  <si>
    <t>diggss1</t>
  </si>
  <si>
    <t>sneadw1</t>
  </si>
  <si>
    <t>jonesm3</t>
  </si>
  <si>
    <t>hiltot1</t>
  </si>
  <si>
    <t>maclij1</t>
  </si>
  <si>
    <t>floydm3</t>
  </si>
  <si>
    <t>baldwd1</t>
  </si>
  <si>
    <t>thomad5</t>
  </si>
  <si>
    <t>fullew1</t>
  </si>
  <si>
    <t>dorsep1</t>
  </si>
  <si>
    <t>wallam1</t>
  </si>
  <si>
    <t>crabtm1</t>
  </si>
  <si>
    <t>hurnsa1</t>
  </si>
  <si>
    <t>jacksd2</t>
  </si>
  <si>
    <t>shepas1</t>
  </si>
  <si>
    <t>sharpt1</t>
  </si>
  <si>
    <t>willit4</t>
  </si>
  <si>
    <t>sanum1</t>
  </si>
  <si>
    <t>parked1</t>
  </si>
  <si>
    <t>edelmj1</t>
  </si>
  <si>
    <t>locket1</t>
  </si>
  <si>
    <t>thomam4</t>
  </si>
  <si>
    <t>sandee1</t>
  </si>
  <si>
    <t>tateg1</t>
  </si>
  <si>
    <t>enunwq1</t>
  </si>
  <si>
    <t>brittk1</t>
  </si>
  <si>
    <t>coates1</t>
  </si>
  <si>
    <t>pryort1</t>
  </si>
  <si>
    <t>cruzv1</t>
  </si>
  <si>
    <t>stillk1</t>
  </si>
  <si>
    <t>beaslc1</t>
  </si>
  <si>
    <t>austit2</t>
  </si>
  <si>
    <t>jacksv1</t>
  </si>
  <si>
    <t>smiths1</t>
  </si>
  <si>
    <t>whitek1</t>
  </si>
  <si>
    <t>crowdj1</t>
  </si>
  <si>
    <t>rogere2</t>
  </si>
  <si>
    <t>kearsj1</t>
  </si>
  <si>
    <t>lafelb1</t>
  </si>
  <si>
    <t>pattoq1</t>
  </si>
  <si>
    <t>kerlej1</t>
  </si>
  <si>
    <t>brownj5</t>
  </si>
  <si>
    <t>thiela1</t>
  </si>
  <si>
    <t>smitht7</t>
  </si>
  <si>
    <t>royale1</t>
  </si>
  <si>
    <t>boldia1</t>
  </si>
  <si>
    <t>matthr1</t>
  </si>
  <si>
    <t>perrib1</t>
  </si>
  <si>
    <t>funchd1</t>
  </si>
  <si>
    <t>woodsr1</t>
  </si>
  <si>
    <t>salasg1</t>
  </si>
  <si>
    <t>hoganc1</t>
  </si>
  <si>
    <t>humpha1</t>
  </si>
  <si>
    <t>robers1</t>
  </si>
  <si>
    <t>garcop1</t>
  </si>
  <si>
    <t>boydt2</t>
  </si>
  <si>
    <t>quickb1</t>
  </si>
  <si>
    <t>conlec1</t>
  </si>
  <si>
    <t>hawkia1</t>
  </si>
  <si>
    <t>ginnt1</t>
  </si>
  <si>
    <t>brownj4</t>
  </si>
  <si>
    <t>goodwm1</t>
  </si>
  <si>
    <t>aikenk1</t>
  </si>
  <si>
    <t>leem1</t>
  </si>
  <si>
    <t>johnsc5</t>
  </si>
  <si>
    <t>inmand1</t>
  </si>
  <si>
    <t>johnsa3</t>
  </si>
  <si>
    <t>stronj1</t>
  </si>
  <si>
    <t>amendd1</t>
  </si>
  <si>
    <t>willit3</t>
  </si>
  <si>
    <t>mitchm2</t>
  </si>
  <si>
    <t>richap1</t>
  </si>
  <si>
    <t>holmea1</t>
  </si>
  <si>
    <t>brownp1</t>
  </si>
  <si>
    <t>rogerc1</t>
  </si>
  <si>
    <t>higgir1</t>
  </si>
  <si>
    <t>wilsoa1</t>
  </si>
  <si>
    <t>hillt1</t>
  </si>
  <si>
    <t>butleb1</t>
  </si>
  <si>
    <t>brayq1</t>
  </si>
  <si>
    <t>douglh1</t>
  </si>
  <si>
    <t>hardyj2</t>
  </si>
  <si>
    <t>latimc1</t>
  </si>
  <si>
    <t>marshj1</t>
  </si>
  <si>
    <t>pattec1</t>
  </si>
  <si>
    <t>strear1</t>
  </si>
  <si>
    <t>thompd1</t>
  </si>
  <si>
    <t>colemb2</t>
  </si>
  <si>
    <t>robina1</t>
  </si>
  <si>
    <t>treadl1</t>
  </si>
  <si>
    <t>reedj4</t>
  </si>
  <si>
    <t>olseng1</t>
  </si>
  <si>
    <t>walked2</t>
  </si>
  <si>
    <t>kelcet1</t>
  </si>
  <si>
    <t>thomaj1</t>
  </si>
  <si>
    <t>ebrone1</t>
  </si>
  <si>
    <t>pittad1</t>
  </si>
  <si>
    <t>wittej1</t>
  </si>
  <si>
    <t>bennem2</t>
  </si>
  <si>
    <t>allend1</t>
  </si>
  <si>
    <t>rudolk1</t>
  </si>
  <si>
    <t>tammej1</t>
  </si>
  <si>
    <t>fleenc1</t>
  </si>
  <si>
    <t>jamesj2</t>
  </si>
  <si>
    <t>walfoc1</t>
  </si>
  <si>
    <t>millez2</t>
  </si>
  <si>
    <t>grahaj1</t>
  </si>
  <si>
    <t>barnig1</t>
  </si>
  <si>
    <t>doylej1</t>
  </si>
  <si>
    <t>clayc1</t>
  </si>
  <si>
    <t>kendrl1</t>
  </si>
  <si>
    <t>uzomac1</t>
  </si>
  <si>
    <t>fellsd2</t>
  </si>
  <si>
    <t>bratec1</t>
  </si>
  <si>
    <t>donnel1</t>
  </si>
  <si>
    <t>gillmc1</t>
  </si>
  <si>
    <t>greshj1</t>
  </si>
  <si>
    <t>anders1</t>
  </si>
  <si>
    <t>tyew1</t>
  </si>
  <si>
    <t>henryh1</t>
  </si>
  <si>
    <t>davisv1</t>
  </si>
  <si>
    <t>kroftt1</t>
  </si>
  <si>
    <t>celekg1</t>
  </si>
  <si>
    <t>harrid3</t>
  </si>
  <si>
    <t>smithl1</t>
  </si>
  <si>
    <t>paulsl1</t>
  </si>
  <si>
    <t>simsd1</t>
  </si>
  <si>
    <t>higbet1</t>
  </si>
  <si>
    <t>griffr2</t>
  </si>
  <si>
    <t>willsl1</t>
  </si>
  <si>
    <t>dickse1</t>
  </si>
  <si>
    <t>hoopea1</t>
  </si>
  <si>
    <t>lewism2</t>
  </si>
  <si>
    <t>wickc1</t>
  </si>
  <si>
    <t>pauln1</t>
  </si>
  <si>
    <t>swaimg1</t>
  </si>
  <si>
    <t>ellisr1</t>
  </si>
  <si>
    <t>fiedoc1</t>
  </si>
  <si>
    <t>heuerj1</t>
  </si>
  <si>
    <t>bellb1</t>
  </si>
  <si>
    <t>morgad1</t>
  </si>
  <si>
    <t>davisk1</t>
  </si>
  <si>
    <t>myersb1</t>
  </si>
  <si>
    <t>telfer1</t>
  </si>
  <si>
    <t>johnsd8</t>
  </si>
  <si>
    <t>willim6</t>
  </si>
  <si>
    <t>bostib1</t>
  </si>
  <si>
    <t>swoope1</t>
  </si>
  <si>
    <t>vinata1</t>
  </si>
  <si>
    <t>hauscs1</t>
  </si>
  <si>
    <t>lutzw1</t>
  </si>
  <si>
    <t>bailed1</t>
  </si>
  <si>
    <t>boswec1</t>
  </si>
  <si>
    <t>brownj1</t>
  </si>
  <si>
    <t>ganog1</t>
  </si>
  <si>
    <t>catanc1</t>
  </si>
  <si>
    <t>tuckej1</t>
  </si>
  <si>
    <t>franka1</t>
  </si>
  <si>
    <t>bryanm1</t>
  </si>
  <si>
    <t>lamboj1</t>
  </si>
  <si>
    <t>santoc1</t>
  </si>
  <si>
    <t>aguayr1</t>
  </si>
  <si>
    <t>succor1</t>
  </si>
  <si>
    <t>janiks1</t>
  </si>
  <si>
    <t>gostks1</t>
  </si>
  <si>
    <t>myersj1</t>
  </si>
  <si>
    <t>nugenm1</t>
  </si>
  <si>
    <t>hopkid2</t>
  </si>
  <si>
    <t>novakn1</t>
  </si>
  <si>
    <t>carped2</t>
  </si>
  <si>
    <t>barthc1</t>
  </si>
  <si>
    <t>pratem1</t>
  </si>
  <si>
    <t>folkn1</t>
  </si>
  <si>
    <t>mcmanb1</t>
  </si>
  <si>
    <t>walshb1</t>
  </si>
  <si>
    <t>zuerlg1</t>
  </si>
  <si>
    <t>dawsop1</t>
  </si>
  <si>
    <t>M/U</t>
  </si>
  <si>
    <t>Open $</t>
  </si>
  <si>
    <t>Current $</t>
  </si>
  <si>
    <t>SeasonChange</t>
  </si>
  <si>
    <t>Last Week</t>
  </si>
  <si>
    <t>WeekChange</t>
  </si>
  <si>
    <t>Draftkings Price</t>
  </si>
  <si>
    <t>Spread</t>
  </si>
  <si>
    <t>@ARI</t>
  </si>
  <si>
    <t>@ATL</t>
  </si>
  <si>
    <t>@BAL</t>
  </si>
  <si>
    <t>@CHI</t>
  </si>
  <si>
    <t>@CLE</t>
  </si>
  <si>
    <t>@DEN</t>
  </si>
  <si>
    <t>@DET</t>
  </si>
  <si>
    <t>@HOU</t>
  </si>
  <si>
    <t>@LA</t>
  </si>
  <si>
    <t>@MIN</t>
  </si>
  <si>
    <t>@NYJ</t>
  </si>
  <si>
    <t>@OAK</t>
  </si>
  <si>
    <t>@PIT</t>
  </si>
  <si>
    <t>@SD</t>
  </si>
  <si>
    <t>@SF</t>
  </si>
  <si>
    <t>@WAS</t>
  </si>
  <si>
    <t>RB: Justin Forsett, Terrance West, Kenneth Dixon (inj)</t>
  </si>
  <si>
    <t>WR: Steve Smith, Mike Wallace, Breshad Perriman, Kamar Aiken</t>
  </si>
  <si>
    <t>TE: Darren Fells, Troy Niklas</t>
  </si>
  <si>
    <t>TE: Dennis Pitta, Crockett Gillmore</t>
  </si>
  <si>
    <t>RB: LeSean McCoy, Mike Gillislee, Reggie Bush</t>
  </si>
  <si>
    <t>RB: Devonta Freeman (PPR), Tevin Coleman (KR), Terron Ward</t>
  </si>
  <si>
    <t>FB: Jerome Felton</t>
  </si>
  <si>
    <t>WR: Sammy Watkins (inj), Robert Woods, Greg Salas, Marquise Goodwin</t>
  </si>
  <si>
    <t>QB: Andy Dalton (inj), A.J. McCarron</t>
  </si>
  <si>
    <t>RB: Jeremy Hill (SD), Giovani Bernard (PPR), Rex Burkhead (WR)</t>
  </si>
  <si>
    <t>RB: Jonathan Stewart (inj), Cameron Artis-Payne, Fozzy Whittaker (KR) (inj)</t>
  </si>
  <si>
    <t>FB: Ryan Hewitt (HB)</t>
  </si>
  <si>
    <t>TE: Tyler Eifert (inj), Tyler Kroft</t>
  </si>
  <si>
    <t>QB: Josh McCown (inj), Cody Kessler</t>
  </si>
  <si>
    <t>QB: Jay Cutler (inj), Brian Hoyer</t>
  </si>
  <si>
    <t>RB: Isaiah Crowell (SD), Duke Johnson (PPR), George Atkinson</t>
  </si>
  <si>
    <t>RB: Jeremy Langford, Ka′Deem Carey (inj), Jordan Howard</t>
  </si>
  <si>
    <t>WR: Alshon Jeffery, Kevin White, Eddie Royal, Joshua Bellamy</t>
  </si>
  <si>
    <t>TE: Zach Miller, Logan Paulsen</t>
  </si>
  <si>
    <t>K: Connor Barth</t>
  </si>
  <si>
    <t>WR: Demaryius Thomas, Emmanuel Sanders (PR), Bennie Fowler (inj), Cody Latimer</t>
  </si>
  <si>
    <t>TE: Virgil Green (inj), Jeff Heuerman</t>
  </si>
  <si>
    <t>RB: Ameer Abdullah (KR) (inj), Theo Riddick (PPR), Dwayne Washington (SD/KR)</t>
  </si>
  <si>
    <t>WR: DeAndre Hopkins, Will Fuller, Braxton Miller (inj), Jaelen Strong</t>
  </si>
  <si>
    <t>TE: Ryan Griffin, Stephen Anderson</t>
  </si>
  <si>
    <t>TE: Eric Ebron, Cole Wick</t>
  </si>
  <si>
    <t>RB: Frank Gore, Robert Turbin, Josh Ferguson</t>
  </si>
  <si>
    <t>RB: Eddie Lacy, James Starks, John Crockett (IR)</t>
  </si>
  <si>
    <t>WR: T.Y. Hilton, Donte Moncrief (inj), Phillip Dorsett, Quan Bray (KR/PR)</t>
  </si>
  <si>
    <t>TE: Richard Rodgers, Jared Cook</t>
  </si>
  <si>
    <t>QB: Case Keenum, Jared Goff</t>
  </si>
  <si>
    <t>RB: Chris Ivory (SD) (inj), T.J. Yeldon (PPR), Denard Robinson (KR)</t>
  </si>
  <si>
    <t>WR: Allen Robinson, Allen Hurns, Marqise Lee, Rashad Greene (PR)</t>
  </si>
  <si>
    <t>WR: Kenny Britt, Tavon Austin (PR), Pharoh Cooper (inj), Brian Quick</t>
  </si>
  <si>
    <t>RB: Adrian Peterson (inj), Jerick McKinnon, Matt Asiata</t>
  </si>
  <si>
    <t>WR: Stefon Diggs (PR), Charles Johnson, Adam Thielen, Jarius Wright</t>
  </si>
  <si>
    <t>RB: Arian Foster (inj), Jay Ajayi, Kenyan Drake (KR)</t>
  </si>
  <si>
    <t>RB: Mark Ingram, Tim Hightower, Travaris Cadet</t>
  </si>
  <si>
    <t>WR: Jarvis Landry (KR), DeVante Parker, Kenny Stills, Leonte Carroo</t>
  </si>
  <si>
    <t>TE: Coby Fleener, Josh Hill (inj)</t>
  </si>
  <si>
    <t>K: Wil Lutz</t>
  </si>
  <si>
    <t>QB: Tom Brady (susp), Jimmy Garoppolo (inj)</t>
  </si>
  <si>
    <t>RB: LeGarrette Blount (SD), James White (PPR), D.J. Foster (PPR)</t>
  </si>
  <si>
    <t>RB: Rashad Jennings, Shane Vereen (PPR), Orleans Darkwa</t>
  </si>
  <si>
    <t>FB: Nikita Whitlock (IR)</t>
  </si>
  <si>
    <t>TE: Rob Gronkowski (inj), Martellus Bennett</t>
  </si>
  <si>
    <t>K: Josh Brown</t>
  </si>
  <si>
    <t>RB: Matt Forte, Bilal Powell, Troymaine Pope</t>
  </si>
  <si>
    <t>FB: Julian Howsare</t>
  </si>
  <si>
    <t>WR: Brandon Marshall (inj), Eric Decker, Quincy Enunwa, Jalin Marshall (KR)</t>
  </si>
  <si>
    <t>TE: Zach Ertz (inj), Brent Celek</t>
  </si>
  <si>
    <t>RB: Carlos Hyde (inj), Shaun Draughn (PPR) (inj), Mike Davis</t>
  </si>
  <si>
    <t>RB: Thomas Rawls (inj), Christine Michael, C.J. Prosise (PPR)</t>
  </si>
  <si>
    <t>FB: Will Tukuafu</t>
  </si>
  <si>
    <t>WR: Antonio Brown (PR), Markus Wheaton (KR) (inj), Eli Rogers,Sammie Coates</t>
  </si>
  <si>
    <t>WR: Doug Baldwin (inj), Jermaine Kearse, Tyler Lockett (KR/PR),Paul Richardson (KR)</t>
  </si>
  <si>
    <t>RB: Melvin Gordon, Kenneth Farrow, Dexter McCluster (PPR)</t>
  </si>
  <si>
    <t>RB: Doug Martin (inj), Charles Sims (PPR), Peyton Barber</t>
  </si>
  <si>
    <t>WR: Mike Evans, Vincent Jackson, Adam Humphries (PR), Cecil Shorts</t>
  </si>
  <si>
    <t>WR: Travis Benjamin (PR), Tyrell Williams, Dontrelle Inman, Isaiah Burse</t>
  </si>
  <si>
    <t>TE: Cameron Brate, Austin Seferian-Jenkins</t>
  </si>
  <si>
    <t>RB: Matt Jones, Chris Thompson (PPR), Rob Kelley</t>
  </si>
  <si>
    <t>TE: Jordan Reed, Vernon Davis</t>
  </si>
  <si>
    <t>Williams, Tyrell</t>
  </si>
  <si>
    <t>LaFell, Brandon</t>
  </si>
  <si>
    <t>Agholor, Nelson</t>
  </si>
  <si>
    <t>Jeffery, Alshon</t>
  </si>
  <si>
    <t>Doctson, Josh</t>
  </si>
  <si>
    <t>Wallace, Mike</t>
  </si>
  <si>
    <t>Diggs, Stefon</t>
  </si>
  <si>
    <t>Vereen, Shane</t>
  </si>
  <si>
    <t>Holmes, Andre</t>
  </si>
  <si>
    <t>Edelman, Julian</t>
  </si>
  <si>
    <t>Inman, Dontrelle</t>
  </si>
  <si>
    <t>Evans, Mike</t>
  </si>
  <si>
    <t>Burton, Trey</t>
  </si>
  <si>
    <t>Bryant, Dez</t>
  </si>
  <si>
    <t>White, Kevin</t>
  </si>
  <si>
    <t>Rawls, Thomas</t>
  </si>
  <si>
    <t>Gore, Frank</t>
  </si>
  <si>
    <t>Ingram, Mark</t>
  </si>
  <si>
    <t>Williams, DeAngelo</t>
  </si>
  <si>
    <t>Bennett, Martellus</t>
  </si>
  <si>
    <t>Gillislee, Mike</t>
  </si>
  <si>
    <t>Grant, Ryan</t>
  </si>
  <si>
    <t>Miller, Lamar</t>
  </si>
  <si>
    <t>Grimble, Xavier</t>
  </si>
  <si>
    <t>Fells, Darren</t>
  </si>
  <si>
    <t>Boldin, Anquan</t>
  </si>
  <si>
    <t>Coleman, Corey</t>
  </si>
  <si>
    <t>Cameron, Jordan</t>
  </si>
  <si>
    <t>Crabtree, Michael</t>
  </si>
  <si>
    <t>Hill, Jeremy</t>
  </si>
  <si>
    <t>Mathews, Ryan</t>
  </si>
  <si>
    <t>Grant, Corey</t>
  </si>
  <si>
    <t>Davis, Vernon</t>
  </si>
  <si>
    <t>Austin, Tavon</t>
  </si>
  <si>
    <t>Gordon, Melvin</t>
  </si>
  <si>
    <t>Lewis, Marcedes</t>
  </si>
  <si>
    <t>Olawale, Jamize</t>
  </si>
  <si>
    <t>Carey, KaDeem</t>
  </si>
  <si>
    <t>Garcon, Pierre</t>
  </si>
  <si>
    <t>Salas, Greg</t>
  </si>
  <si>
    <t>Robinson, Denard</t>
  </si>
  <si>
    <t>Strong, Jaelen</t>
  </si>
  <si>
    <t>White, James</t>
  </si>
  <si>
    <t>Grimes, Jonathan</t>
  </si>
  <si>
    <t>Turbin, Robert</t>
  </si>
  <si>
    <t>Parker, DeVante</t>
  </si>
  <si>
    <t>Ware, Spencer</t>
  </si>
  <si>
    <t>Tukuafu, Will</t>
  </si>
  <si>
    <t>Brown, Corey</t>
  </si>
  <si>
    <t>Fleener, Coby</t>
  </si>
  <si>
    <t>Britt, Kenny</t>
  </si>
  <si>
    <t>Butler, Brice</t>
  </si>
  <si>
    <t>Celek, Brent</t>
  </si>
  <si>
    <t>Brown, Antonio</t>
  </si>
  <si>
    <t>Routes</t>
  </si>
  <si>
    <t>Adv.</t>
  </si>
  <si>
    <t>Wt5</t>
  </si>
  <si>
    <t>Routes2</t>
  </si>
  <si>
    <t>Sterling Moore</t>
  </si>
  <si>
    <t>Marcus Cooper</t>
  </si>
  <si>
    <t>Trae Waynes</t>
  </si>
  <si>
    <t>Jacoby Glenn</t>
  </si>
  <si>
    <t>Joshua Shaw</t>
  </si>
  <si>
    <t>Justin Coleman</t>
  </si>
  <si>
    <t>Darius Butler</t>
  </si>
  <si>
    <t>Rashard Robinson</t>
  </si>
  <si>
    <t>Coty Sensabaugh</t>
  </si>
  <si>
    <t>Eli Apple</t>
  </si>
  <si>
    <t>RT = ROUTES RUN/ROUTES COVERED</t>
  </si>
  <si>
    <t>#</t>
  </si>
  <si>
    <t>%</t>
  </si>
  <si>
    <t>YPPA</t>
  </si>
  <si>
    <t>YPPC</t>
  </si>
  <si>
    <t>YPC</t>
  </si>
  <si>
    <t>FF Pts</t>
  </si>
  <si>
    <t>/G</t>
  </si>
  <si>
    <t>Rush ATT</t>
  </si>
  <si>
    <t>YPR</t>
  </si>
  <si>
    <t>Steve L Smith</t>
  </si>
  <si>
    <t>Zachary Miller</t>
  </si>
  <si>
    <t>2016 Season Total</t>
  </si>
  <si>
    <t>Pass TDs</t>
  </si>
  <si>
    <t>Rush TDs</t>
  </si>
  <si>
    <t>Vegas Lines</t>
  </si>
  <si>
    <t>RushYds</t>
  </si>
  <si>
    <t>RecYds</t>
  </si>
  <si>
    <t>Carries2</t>
  </si>
  <si>
    <t>Targets3</t>
  </si>
  <si>
    <t>Rec4</t>
  </si>
  <si>
    <t>RecTD5</t>
  </si>
  <si>
    <t>Targets2</t>
  </si>
  <si>
    <t>Targets/Salary</t>
  </si>
  <si>
    <t>Alan Cross</t>
  </si>
  <si>
    <t>George Atkinson</t>
  </si>
  <si>
    <t>Robert Kelley</t>
  </si>
  <si>
    <t>Brate, Cameron</t>
  </si>
  <si>
    <t>Miller, Zach</t>
  </si>
  <si>
    <t>Thomas, Michael</t>
  </si>
  <si>
    <t>McCluster, Dexter</t>
  </si>
  <si>
    <t>Jackson, Vincent</t>
  </si>
  <si>
    <t>Jones, Julio</t>
  </si>
  <si>
    <t>Lee, Marqise</t>
  </si>
  <si>
    <t>Coleman, Brandon</t>
  </si>
  <si>
    <t>Huff, Josh</t>
  </si>
  <si>
    <t>Graham, Jimmy</t>
  </si>
  <si>
    <t>Kendricks, Lance</t>
  </si>
  <si>
    <t>Rainey, Bobby</t>
  </si>
  <si>
    <t>Williams, Damien</t>
  </si>
  <si>
    <t>Hyde, Carlos</t>
  </si>
  <si>
    <t>Thielen, Adam</t>
  </si>
  <si>
    <t>Robinson, Aldrick</t>
  </si>
  <si>
    <t>Phillips, John</t>
  </si>
  <si>
    <t>Forte, Matt</t>
  </si>
  <si>
    <t>Sims, Dion</t>
  </si>
  <si>
    <t>Coates, Sammie</t>
  </si>
  <si>
    <t>Fowler, Jalston</t>
  </si>
  <si>
    <t>Shepard, Russell</t>
  </si>
  <si>
    <t>Hogan, Chris</t>
  </si>
  <si>
    <t>Michael, Christine</t>
  </si>
  <si>
    <t>Humphries, Adam</t>
  </si>
  <si>
    <t>Rodgers, Richard</t>
  </si>
  <si>
    <t>Powell, Walt</t>
  </si>
  <si>
    <t>Norwood, Jordan</t>
  </si>
  <si>
    <t>Barnidge, Gary</t>
  </si>
  <si>
    <t>Wheaton, Markus</t>
  </si>
  <si>
    <t>Harris, Demetrius</t>
  </si>
  <si>
    <t>Cook, Jared</t>
  </si>
  <si>
    <t>Clay, Charles</t>
  </si>
  <si>
    <t>Kerley, Jeremy</t>
  </si>
  <si>
    <t>Higgins, Rashard</t>
  </si>
  <si>
    <t>Louis, Ricardo</t>
  </si>
  <si>
    <t>Swoope, Erik</t>
  </si>
  <si>
    <t>Gronkowski, Rob</t>
  </si>
  <si>
    <t>Sims, Charles</t>
  </si>
  <si>
    <t>Howard, Jordan</t>
  </si>
  <si>
    <t>2016 Defensive Yards After Catch Allowed</t>
  </si>
  <si>
    <t>Terrelle Pryor Sr.</t>
  </si>
  <si>
    <t>2016 Yards AT The Catch</t>
  </si>
  <si>
    <t>2016 Yards After Catch</t>
  </si>
  <si>
    <t>http://www.sportingcharts.com/nfl/stats/player-receiving-yards-at-the-catch-yatc/2016/</t>
  </si>
  <si>
    <t>http://www.sportingcharts.com/nfl/stats/yards-after-the-catch/2016/</t>
  </si>
  <si>
    <t>Yards After Catch (YAC)</t>
  </si>
  <si>
    <t>Rec Yards</t>
  </si>
  <si>
    <t>YAC per Reception</t>
  </si>
  <si>
    <t>Duke Johnson Jr.</t>
  </si>
  <si>
    <t>Quinton Dunbar</t>
  </si>
  <si>
    <t>CB</t>
  </si>
  <si>
    <t/>
  </si>
  <si>
    <t>DraftKings Week 4 QB Matchups</t>
  </si>
  <si>
    <t>@ PHI</t>
  </si>
  <si>
    <t>@ NO</t>
  </si>
  <si>
    <t>vs WAS</t>
  </si>
  <si>
    <t>vs CHI</t>
  </si>
  <si>
    <t>vs DEN</t>
  </si>
  <si>
    <t>@ DAL</t>
  </si>
  <si>
    <t>vs MIN</t>
  </si>
  <si>
    <t>@ TEN</t>
  </si>
  <si>
    <t>vs DET</t>
  </si>
  <si>
    <t>vs SD</t>
  </si>
  <si>
    <t>@ CIN</t>
  </si>
  <si>
    <t>@ KC</t>
  </si>
  <si>
    <t>@ TB</t>
  </si>
  <si>
    <t>vs PIT</t>
  </si>
  <si>
    <t>vs LA</t>
  </si>
  <si>
    <t>vs HOU</t>
  </si>
  <si>
    <t>@ GB</t>
  </si>
  <si>
    <t>@ IND</t>
  </si>
  <si>
    <t>vs CLE</t>
  </si>
  <si>
    <t>vs ARI</t>
  </si>
  <si>
    <t>vs OAK</t>
  </si>
  <si>
    <t>@ JAC</t>
  </si>
  <si>
    <t>@ MIA</t>
  </si>
  <si>
    <t>@ SEA</t>
  </si>
  <si>
    <t>Will Tukuafu</t>
  </si>
  <si>
    <t>Andrew Quarless</t>
  </si>
  <si>
    <t>garopj1</t>
  </si>
  <si>
    <t>$8300</t>
  </si>
  <si>
    <t>Alex D. Smith</t>
  </si>
  <si>
    <t>belll1</t>
  </si>
  <si>
    <t>LeVeon Bell</t>
  </si>
  <si>
    <t>ivoryc1</t>
  </si>
  <si>
    <t>raineb1</t>
  </si>
  <si>
    <t>collia2</t>
  </si>
  <si>
    <t>peadi1</t>
  </si>
  <si>
    <t>willij8</t>
  </si>
  <si>
    <t>Le'Veon Bell</t>
  </si>
  <si>
    <t>0.97</t>
  </si>
  <si>
    <t>0.89</t>
  </si>
  <si>
    <t>0.42</t>
  </si>
  <si>
    <t>0.41</t>
  </si>
  <si>
    <t>Ronnie Hillman</t>
  </si>
  <si>
    <t>wheatm1</t>
  </si>
  <si>
    <t>louisr1</t>
  </si>
  <si>
    <t>fowleb1</t>
  </si>
  <si>
    <t>bursei1</t>
  </si>
  <si>
    <t>powelw2</t>
  </si>
  <si>
    <t>meredc1</t>
  </si>
  <si>
    <t>shepar1</t>
  </si>
  <si>
    <t>wrighj3</t>
  </si>
  <si>
    <t>grantr3</t>
  </si>
  <si>
    <t>ericka1</t>
  </si>
  <si>
    <t>$9400</t>
  </si>
  <si>
    <t>0.68</t>
  </si>
  <si>
    <t>0.66</t>
  </si>
  <si>
    <t>0.56</t>
  </si>
  <si>
    <t>0.51</t>
  </si>
  <si>
    <t>0.49</t>
  </si>
  <si>
    <t>gronkr1</t>
  </si>
  <si>
    <t>phillj1</t>
  </si>
  <si>
    <t>mcgras1</t>
  </si>
  <si>
    <t>drayj1</t>
  </si>
  <si>
    <t>amaroj1</t>
  </si>
  <si>
    <t>0.87</t>
  </si>
  <si>
    <t>0.58</t>
  </si>
  <si>
    <t xml:space="preserve"> </t>
  </si>
  <si>
    <t>DraftKings Lineup Builder</t>
  </si>
  <si>
    <t>NFL Week 3 Draftkings Results</t>
  </si>
  <si>
    <t>parkec1</t>
  </si>
  <si>
    <t>Cody Parkey</t>
  </si>
  <si>
    <t>Week 4 Projections                                                                                                Week 4 Projections</t>
  </si>
  <si>
    <t>Week 4 Projections                                                                                         Week 4 Projections</t>
  </si>
  <si>
    <t>Yards At The Catch</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</si>
</sst>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4" formatCode="_(&quot;$&quot;* #,##0.00_);_(&quot;$&quot;* \(#,##0.00\);_(&quot;$&quot;* &quot;-&quot;??_);_(@_)"/>
    <numFmt numFmtId="43" formatCode="_(* #,##0.00_);_(* \(#,##0.00\);_(* &quot;-&quot;??_);_(@_)"/>
    <numFmt numFmtId="164" formatCode="[$-F800]dddd\,\ mmmm\ dd\,\ yyyy"/>
    <numFmt numFmtId="165" formatCode="_(&quot;$&quot;* #,##0_);_(&quot;$&quot;* \(#,##0\);_(&quot;$&quot;* &quot;-&quot;??_);_(@_)"/>
    <numFmt numFmtId="166" formatCode="0.0"/>
    <numFmt numFmtId="167" formatCode="&quot;$&quot;#,##0.00"/>
    <numFmt numFmtId="168" formatCode="_(* #,##0_);_(* \(#,##0\);_(* &quot;-&quot;??_);_(@_)"/>
    <numFmt numFmtId="169" formatCode="&quot;$&quot;#,##0"/>
    <numFmt numFmtId="170" formatCode="0.000"/>
    <numFmt numFmtId="171" formatCode="0.0%"/>
    <numFmt numFmtId="172" formatCode="#,##0.0"/>
  </numFmts>
  <fonts count="48" x14ac:knownFonts="1">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theme="0"/>
      <name val="Calibri"/>
      <family val="2"/>
      <scheme val="minor"/>
    </font>
    <font>
      <b/>
      <sz val="11"/>
      <color rgb="FFFFFFFF"/>
      <name val="Calibri"/>
      <family val="2"/>
      <scheme val="minor"/>
    </font>
    <font>
      <b/>
      <sz val="11"/>
      <name val="Calibri"/>
      <family val="2"/>
      <scheme val="minor"/>
    </font>
    <font>
      <sz val="11"/>
      <color rgb="FF006100"/>
      <name val="Calibri"/>
      <family val="2"/>
      <scheme val="minor"/>
    </font>
    <font>
      <b/>
      <sz val="11"/>
      <color theme="0"/>
      <name val="Calibri"/>
      <family val="2"/>
      <scheme val="minor"/>
    </font>
    <font>
      <b/>
      <sz val="11"/>
      <color rgb="FFFFFFFF"/>
      <name val="Calibri"/>
      <family val="2"/>
      <scheme val="minor"/>
    </font>
    <font>
      <sz val="11"/>
      <color rgb="FF9C6500"/>
      <name val="Calibri"/>
      <family val="2"/>
      <scheme val="minor"/>
    </font>
    <font>
      <b/>
      <sz val="11"/>
      <color rgb="FFFA7D00"/>
      <name val="Calibri"/>
      <family val="2"/>
      <scheme val="minor"/>
    </font>
    <font>
      <b/>
      <sz val="11"/>
      <color theme="1"/>
      <name val="Calibri"/>
      <family val="2"/>
      <scheme val="minor"/>
    </font>
    <font>
      <b/>
      <sz val="12"/>
      <color theme="1"/>
      <name val="Calibri"/>
      <family val="2"/>
      <scheme val="minor"/>
    </font>
    <font>
      <b/>
      <sz val="11"/>
      <color rgb="FF00B050"/>
      <name val="Calibri"/>
      <family val="2"/>
      <scheme val="minor"/>
    </font>
    <font>
      <b/>
      <sz val="11"/>
      <color rgb="FF006100"/>
      <name val="Calibri"/>
      <family val="2"/>
      <scheme val="minor"/>
    </font>
    <font>
      <b/>
      <sz val="12"/>
      <color theme="0"/>
      <name val="Calibri"/>
      <family val="2"/>
      <scheme val="minor"/>
    </font>
    <font>
      <b/>
      <sz val="11"/>
      <color rgb="FFFF0000"/>
      <name val="Calibri"/>
      <family val="2"/>
      <scheme val="minor"/>
    </font>
    <font>
      <b/>
      <sz val="11"/>
      <color theme="4"/>
      <name val="Calibri"/>
      <family val="2"/>
      <scheme val="minor"/>
    </font>
    <font>
      <b/>
      <sz val="11"/>
      <color rgb="FF0070C0"/>
      <name val="Calibri"/>
      <family val="2"/>
      <scheme val="minor"/>
    </font>
    <font>
      <b/>
      <sz val="11"/>
      <color rgb="FFFFFF00"/>
      <name val="Calibri"/>
      <family val="2"/>
      <scheme val="minor"/>
    </font>
    <font>
      <b/>
      <sz val="11"/>
      <color theme="9"/>
      <name val="Calibri"/>
      <family val="2"/>
      <scheme val="minor"/>
    </font>
    <font>
      <b/>
      <sz val="11"/>
      <color theme="7"/>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0"/>
      <color theme="1"/>
      <name val="Trebuchet MS"/>
      <family val="2"/>
    </font>
    <font>
      <b/>
      <sz val="11"/>
      <color rgb="FFFFFFFF"/>
      <name val="Calibri"/>
      <family val="2"/>
      <scheme val="minor"/>
    </font>
    <font>
      <b/>
      <sz val="11"/>
      <color rgb="FF00B0F0"/>
      <name val="Arial Black"/>
      <family val="2"/>
    </font>
    <font>
      <sz val="11"/>
      <color theme="10"/>
      <name val="Calibri"/>
      <family val="2"/>
      <scheme val="minor"/>
    </font>
    <font>
      <sz val="20"/>
      <color theme="1"/>
      <name val="Gill Sans Ultra Bold"/>
      <family val="2"/>
    </font>
    <font>
      <b/>
      <sz val="14"/>
      <color theme="0"/>
      <name val="Calibri"/>
      <family val="2"/>
      <scheme val="minor"/>
    </font>
    <font>
      <sz val="11"/>
      <color theme="3"/>
      <name val="Calibri"/>
      <family val="2"/>
      <scheme val="minor"/>
    </font>
    <font>
      <b/>
      <sz val="20"/>
      <color rgb="FFFFC000"/>
      <name val="Gill Sans Ultra Bold"/>
      <family val="2"/>
    </font>
    <font>
      <b/>
      <sz val="11"/>
      <color rgb="FFFFC000"/>
      <name val="Calibri"/>
      <family val="2"/>
      <scheme val="minor"/>
    </font>
    <font>
      <b/>
      <sz val="10"/>
      <color rgb="FF2D363B"/>
      <name val="Arial"/>
      <family val="2"/>
    </font>
    <font>
      <sz val="10"/>
      <color rgb="FF2D363B"/>
      <name val="Arial"/>
      <family val="2"/>
    </font>
    <font>
      <sz val="11"/>
      <color theme="1"/>
      <name val="Calibri"/>
      <family val="2"/>
      <scheme val="minor"/>
    </font>
    <font>
      <b/>
      <sz val="10"/>
      <color theme="0"/>
      <name val="Trebuchet MS"/>
      <family val="2"/>
    </font>
    <font>
      <sz val="11"/>
      <color theme="1"/>
      <name val="Calibri"/>
      <scheme val="minor"/>
    </font>
    <font>
      <b/>
      <sz val="11"/>
      <color theme="1"/>
      <name val="Calibri"/>
      <scheme val="minor"/>
    </font>
  </fonts>
  <fills count="71">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theme="7"/>
      </patternFill>
    </fill>
    <fill>
      <patternFill patternType="solid">
        <fgColor theme="8" tint="0.39997558519241921"/>
        <bgColor indexed="65"/>
      </patternFill>
    </fill>
    <fill>
      <patternFill patternType="solid">
        <fgColor theme="9" tint="0.39997558519241921"/>
        <bgColor indexed="65"/>
      </patternFill>
    </fill>
    <fill>
      <patternFill patternType="solid">
        <fgColor rgb="FF5CFA7A"/>
        <bgColor indexed="64"/>
      </patternFill>
    </fill>
    <fill>
      <patternFill patternType="solid">
        <fgColor rgb="FF70AD47"/>
        <bgColor indexed="64"/>
      </patternFill>
    </fill>
    <fill>
      <patternFill patternType="solid">
        <fgColor rgb="FFE2EFDA"/>
        <bgColor indexed="64"/>
      </patternFill>
    </fill>
    <fill>
      <patternFill patternType="solid">
        <fgColor rgb="FFC6EFCE"/>
      </patternFill>
    </fill>
    <fill>
      <patternFill patternType="solid">
        <fgColor theme="1"/>
        <bgColor indexed="64"/>
      </patternFill>
    </fill>
    <fill>
      <patternFill patternType="solid">
        <fgColor theme="0"/>
        <bgColor rgb="FF000000"/>
      </patternFill>
    </fill>
    <fill>
      <patternFill patternType="solid">
        <fgColor rgb="FFFFEB9C"/>
      </patternFill>
    </fill>
    <fill>
      <patternFill patternType="solid">
        <fgColor rgb="FFF2F2F2"/>
      </patternFill>
    </fill>
    <fill>
      <patternFill patternType="solid">
        <fgColor rgb="FFFFFFCC"/>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59999389629810485"/>
        <bgColor indexed="65"/>
      </patternFill>
    </fill>
    <fill>
      <patternFill patternType="solid">
        <fgColor theme="9"/>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4"/>
        <bgColor indexed="64"/>
      </patternFill>
    </fill>
    <fill>
      <patternFill patternType="solid">
        <fgColor theme="7"/>
        <bgColor indexed="64"/>
      </patternFill>
    </fill>
    <fill>
      <patternFill patternType="solid">
        <fgColor theme="4" tint="0.59999389629810485"/>
        <bgColor indexed="64"/>
      </patternFill>
    </fill>
    <fill>
      <patternFill patternType="solid">
        <fgColor rgb="FF002060"/>
        <bgColor indexed="64"/>
      </patternFill>
    </fill>
    <fill>
      <patternFill patternType="solid">
        <fgColor rgb="FF92D050"/>
        <bgColor indexed="64"/>
      </patternFill>
    </fill>
    <fill>
      <patternFill patternType="solid">
        <fgColor rgb="FF0070C0"/>
        <bgColor indexed="64"/>
      </patternFill>
    </fill>
    <fill>
      <patternFill patternType="solid">
        <fgColor rgb="FF21608F"/>
        <bgColor indexed="64"/>
      </patternFill>
    </fill>
    <fill>
      <patternFill patternType="solid">
        <fgColor theme="9"/>
        <bgColor indexed="64"/>
      </patternFill>
    </fill>
    <fill>
      <patternFill patternType="solid">
        <fgColor theme="9" tint="-0.249977111117893"/>
        <bgColor indexed="64"/>
      </patternFill>
    </fill>
    <fill>
      <patternFill patternType="solid">
        <fgColor rgb="FFD6381E"/>
        <bgColor indexed="64"/>
      </patternFill>
    </fill>
    <fill>
      <patternFill patternType="solid">
        <fgColor rgb="FFC00000"/>
        <bgColor indexed="64"/>
      </patternFill>
    </fill>
    <fill>
      <patternFill patternType="solid">
        <fgColor rgb="FFFFC7CE"/>
      </patternFill>
    </fill>
    <fill>
      <patternFill patternType="solid">
        <fgColor rgb="FFFFCC99"/>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CCCCCC"/>
        <bgColor indexed="64"/>
      </patternFill>
    </fill>
    <fill>
      <patternFill patternType="solid">
        <fgColor rgb="FFFFFFFF"/>
        <bgColor indexed="64"/>
      </patternFill>
    </fill>
    <fill>
      <patternFill patternType="solid">
        <fgColor theme="4" tint="-0.249977111117893"/>
        <bgColor indexed="64"/>
      </patternFill>
    </fill>
    <fill>
      <patternFill patternType="solid">
        <fgColor rgb="FF00B050"/>
        <bgColor indexed="64"/>
      </patternFill>
    </fill>
    <fill>
      <patternFill patternType="solid">
        <fgColor theme="0"/>
        <bgColor theme="4"/>
      </patternFill>
    </fill>
    <fill>
      <patternFill patternType="solid">
        <fgColor theme="1"/>
        <bgColor theme="1"/>
      </patternFill>
    </fill>
    <fill>
      <patternFill patternType="solid">
        <fgColor rgb="FFFFFFFF"/>
        <bgColor rgb="FF000000"/>
      </patternFill>
    </fill>
    <fill>
      <patternFill patternType="solid">
        <fgColor theme="0"/>
        <bgColor theme="1"/>
      </patternFill>
    </fill>
    <fill>
      <patternFill patternType="solid">
        <fgColor theme="8"/>
        <bgColor indexed="64"/>
      </patternFill>
    </fill>
    <fill>
      <patternFill patternType="solid">
        <fgColor theme="4" tint="0.39997558519241921"/>
        <bgColor indexed="64"/>
      </patternFill>
    </fill>
    <fill>
      <patternFill patternType="solid">
        <fgColor theme="2"/>
        <bgColor indexed="64"/>
      </patternFill>
    </fill>
    <fill>
      <patternFill patternType="solid">
        <fgColor rgb="FFECF0F2"/>
        <bgColor indexed="64"/>
      </patternFill>
    </fill>
    <fill>
      <patternFill patternType="solid">
        <fgColor rgb="FFFFB2B2"/>
        <bgColor indexed="64"/>
      </patternFill>
    </fill>
    <fill>
      <patternFill patternType="solid">
        <fgColor rgb="FFB8FFB8"/>
        <bgColor indexed="64"/>
      </patternFill>
    </fill>
    <fill>
      <patternFill patternType="solid">
        <fgColor theme="4"/>
        <bgColor theme="4"/>
      </patternFill>
    </fill>
    <fill>
      <patternFill patternType="solid">
        <fgColor theme="3" tint="0.39997558519241921"/>
        <bgColor indexed="64"/>
      </patternFill>
    </fill>
  </fills>
  <borders count="1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rgb="FFA9D08E"/>
      </top>
      <bottom style="thin">
        <color rgb="FFA9D08E"/>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medium">
        <color theme="1"/>
      </left>
      <right/>
      <top/>
      <bottom/>
      <diagonal/>
    </border>
    <border>
      <left/>
      <right/>
      <top style="medium">
        <color theme="1"/>
      </top>
      <bottom/>
      <diagonal/>
    </border>
    <border>
      <left style="thin">
        <color rgb="FF7F7F7F"/>
      </left>
      <right style="thin">
        <color rgb="FF7F7F7F"/>
      </right>
      <top style="medium">
        <color theme="1"/>
      </top>
      <bottom/>
      <diagonal/>
    </border>
    <border>
      <left style="thin">
        <color rgb="FF7F7F7F"/>
      </left>
      <right style="medium">
        <color theme="1"/>
      </right>
      <top style="medium">
        <color theme="1"/>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theme="1"/>
      </left>
      <right/>
      <top style="medium">
        <color theme="1"/>
      </top>
      <bottom/>
      <diagonal/>
    </border>
    <border>
      <left/>
      <right style="medium">
        <color theme="1"/>
      </right>
      <top style="medium">
        <color theme="1"/>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theme="4"/>
      </right>
      <top style="medium">
        <color indexed="64"/>
      </top>
      <bottom style="thin">
        <color theme="4"/>
      </bottom>
      <diagonal/>
    </border>
    <border>
      <left style="thin">
        <color theme="4"/>
      </left>
      <right style="thin">
        <color theme="4"/>
      </right>
      <top style="medium">
        <color indexed="64"/>
      </top>
      <bottom style="thin">
        <color theme="4"/>
      </bottom>
      <diagonal/>
    </border>
    <border>
      <left style="thin">
        <color theme="4"/>
      </left>
      <right style="medium">
        <color indexed="64"/>
      </right>
      <top style="medium">
        <color indexed="64"/>
      </top>
      <bottom style="thin">
        <color theme="4"/>
      </bottom>
      <diagonal/>
    </border>
    <border>
      <left style="medium">
        <color indexed="64"/>
      </left>
      <right style="thin">
        <color theme="4"/>
      </right>
      <top style="thin">
        <color theme="4"/>
      </top>
      <bottom style="medium">
        <color indexed="64"/>
      </bottom>
      <diagonal/>
    </border>
    <border>
      <left style="thin">
        <color theme="4"/>
      </left>
      <right style="thin">
        <color theme="4"/>
      </right>
      <top style="thin">
        <color theme="4"/>
      </top>
      <bottom style="medium">
        <color indexed="64"/>
      </bottom>
      <diagonal/>
    </border>
    <border>
      <left style="thin">
        <color theme="4"/>
      </left>
      <right style="medium">
        <color indexed="64"/>
      </right>
      <top style="thin">
        <color theme="4"/>
      </top>
      <bottom style="medium">
        <color indexed="64"/>
      </bottom>
      <diagonal/>
    </border>
    <border>
      <left style="thin">
        <color indexed="64"/>
      </left>
      <right style="thin">
        <color indexed="64"/>
      </right>
      <top/>
      <bottom/>
      <diagonal/>
    </border>
    <border>
      <left style="thin">
        <color theme="1"/>
      </left>
      <right/>
      <top/>
      <bottom/>
      <diagonal/>
    </border>
    <border>
      <left/>
      <right/>
      <top/>
      <bottom style="thin">
        <color indexed="64"/>
      </bottom>
      <diagonal/>
    </border>
    <border>
      <left/>
      <right style="thin">
        <color indexed="64"/>
      </right>
      <top/>
      <bottom/>
      <diagonal/>
    </border>
    <border>
      <left/>
      <right/>
      <top/>
      <bottom style="thin">
        <color theme="1"/>
      </bottom>
      <diagonal/>
    </border>
    <border>
      <left/>
      <right style="thin">
        <color theme="1"/>
      </right>
      <top/>
      <bottom/>
      <diagonal/>
    </border>
    <border>
      <left style="medium">
        <color rgb="FF0070C0"/>
      </left>
      <right style="medium">
        <color rgb="FF0070C0"/>
      </right>
      <top/>
      <bottom/>
      <diagonal/>
    </border>
    <border>
      <left style="medium">
        <color rgb="FF0070C0"/>
      </left>
      <right style="medium">
        <color rgb="FF0070C0"/>
      </right>
      <top style="double">
        <color theme="1"/>
      </top>
      <bottom style="medium">
        <color rgb="FF0070C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thin">
        <color indexed="64"/>
      </top>
      <bottom/>
      <diagonal/>
    </border>
    <border>
      <left/>
      <right/>
      <top style="medium">
        <color rgb="FFECF0F2"/>
      </top>
      <bottom/>
      <diagonal/>
    </border>
    <border>
      <left style="medium">
        <color rgb="FFECF0F2"/>
      </left>
      <right/>
      <top/>
      <bottom/>
      <diagonal/>
    </border>
    <border>
      <left/>
      <right style="medium">
        <color rgb="FFECF0F2"/>
      </right>
      <top/>
      <bottom/>
      <diagonal/>
    </border>
    <border>
      <left style="medium">
        <color rgb="FFECF0F2"/>
      </left>
      <right/>
      <top/>
      <bottom style="medium">
        <color rgb="FFECF0F2"/>
      </bottom>
      <diagonal/>
    </border>
    <border>
      <left/>
      <right/>
      <top/>
      <bottom style="medium">
        <color rgb="FFECF0F2"/>
      </bottom>
      <diagonal/>
    </border>
    <border>
      <left/>
      <right style="medium">
        <color rgb="FFECF0F2"/>
      </right>
      <top/>
      <bottom style="medium">
        <color rgb="FFECF0F2"/>
      </bottom>
      <diagonal/>
    </border>
    <border>
      <left style="thin">
        <color indexed="64"/>
      </left>
      <right style="medium">
        <color indexed="64"/>
      </right>
      <top style="thin">
        <color indexed="64"/>
      </top>
      <bottom/>
      <diagonal/>
    </border>
    <border>
      <left style="thin">
        <color theme="4" tint="0.39997558519241921"/>
      </left>
      <right style="thin">
        <color theme="4" tint="0.39997558519241921"/>
      </right>
      <top/>
      <bottom style="thin">
        <color theme="4" tint="0.39997558519241921"/>
      </bottom>
      <diagonal/>
    </border>
    <border>
      <left/>
      <right style="medium">
        <color theme="1"/>
      </right>
      <top style="medium">
        <color theme="1"/>
      </top>
      <bottom style="medium">
        <color theme="1"/>
      </bottom>
      <diagonal/>
    </border>
    <border>
      <left style="medium">
        <color theme="1"/>
      </left>
      <right style="thin">
        <color theme="1"/>
      </right>
      <top style="thin">
        <color theme="1"/>
      </top>
      <bottom style="thin">
        <color theme="1"/>
      </bottom>
      <diagonal/>
    </border>
    <border>
      <left style="thin">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medium">
        <color theme="1"/>
      </left>
      <right style="thin">
        <color theme="1"/>
      </right>
      <top style="medium">
        <color theme="1"/>
      </top>
      <bottom style="thin">
        <color theme="1"/>
      </bottom>
      <diagonal/>
    </border>
    <border>
      <left style="thin">
        <color theme="1"/>
      </left>
      <right style="thin">
        <color theme="1"/>
      </right>
      <top style="medium">
        <color theme="1"/>
      </top>
      <bottom style="thin">
        <color theme="1"/>
      </bottom>
      <diagonal/>
    </border>
    <border>
      <left style="thin">
        <color theme="1"/>
      </left>
      <right style="medium">
        <color theme="1"/>
      </right>
      <top style="medium">
        <color theme="1"/>
      </top>
      <bottom style="thin">
        <color theme="1"/>
      </bottom>
      <diagonal/>
    </border>
    <border>
      <left style="medium">
        <color theme="1"/>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style="medium">
        <color theme="1"/>
      </right>
      <top style="thin">
        <color theme="1"/>
      </top>
      <bottom style="medium">
        <color theme="1"/>
      </bottom>
      <diagonal/>
    </border>
    <border>
      <left style="medium">
        <color theme="1"/>
      </left>
      <right style="thin">
        <color indexed="64"/>
      </right>
      <top/>
      <bottom style="thin">
        <color indexed="64"/>
      </bottom>
      <diagonal/>
    </border>
    <border>
      <left style="thin">
        <color indexed="64"/>
      </left>
      <right style="medium">
        <color theme="1"/>
      </right>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style="thin">
        <color theme="1"/>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style="thin">
        <color indexed="64"/>
      </left>
      <right style="thin">
        <color indexed="64"/>
      </right>
      <top/>
      <bottom style="medium">
        <color theme="1"/>
      </bottom>
      <diagonal/>
    </border>
    <border>
      <left style="medium">
        <color theme="1"/>
      </left>
      <right/>
      <top style="medium">
        <color theme="1"/>
      </top>
      <bottom style="medium">
        <color indexed="64"/>
      </bottom>
      <diagonal/>
    </border>
    <border>
      <left/>
      <right style="medium">
        <color theme="1"/>
      </right>
      <top style="medium">
        <color theme="1"/>
      </top>
      <bottom style="medium">
        <color indexed="64"/>
      </bottom>
      <diagonal/>
    </border>
    <border>
      <left/>
      <right/>
      <top style="medium">
        <color theme="1"/>
      </top>
      <bottom style="medium">
        <color indexed="64"/>
      </bottom>
      <diagonal/>
    </border>
    <border>
      <left style="thin">
        <color indexed="64"/>
      </left>
      <right/>
      <top style="thin">
        <color indexed="64"/>
      </top>
      <bottom style="medium">
        <color theme="1"/>
      </bottom>
      <diagonal/>
    </border>
    <border>
      <left/>
      <right style="thin">
        <color indexed="64"/>
      </right>
      <top style="thin">
        <color indexed="64"/>
      </top>
      <bottom style="medium">
        <color theme="1"/>
      </bottom>
      <diagonal/>
    </border>
    <border>
      <left style="double">
        <color rgb="FF3F3F3F"/>
      </left>
      <right/>
      <top style="medium">
        <color auto="1"/>
      </top>
      <bottom style="medium">
        <color auto="1"/>
      </bottom>
      <diagonal/>
    </border>
    <border>
      <left style="double">
        <color rgb="FF808080"/>
      </left>
      <right/>
      <top style="double">
        <color rgb="FF808080"/>
      </top>
      <bottom style="thin">
        <color theme="4" tint="0.39997558519241921"/>
      </bottom>
      <diagonal/>
    </border>
    <border>
      <left/>
      <right/>
      <top style="double">
        <color rgb="FF808080"/>
      </top>
      <bottom style="thin">
        <color theme="4" tint="0.39997558519241921"/>
      </bottom>
      <diagonal/>
    </border>
    <border>
      <left/>
      <right style="double">
        <color rgb="FF808080"/>
      </right>
      <top style="double">
        <color rgb="FF808080"/>
      </top>
      <bottom style="thin">
        <color theme="4" tint="0.39997558519241921"/>
      </bottom>
      <diagonal/>
    </border>
  </borders>
  <cellStyleXfs count="46">
    <xf numFmtId="0" fontId="0" fillId="0" borderId="0"/>
    <xf numFmtId="44" fontId="1" fillId="0" borderId="0" applyFont="0" applyFill="0" applyBorder="0" applyAlignment="0" applyProtection="0"/>
    <xf numFmtId="0" fontId="2" fillId="0" borderId="0" applyNumberFormat="0" applyFill="0" applyBorder="0" applyAlignment="0" applyProtection="0"/>
    <xf numFmtId="9" fontId="1" fillId="0" borderId="0" applyFont="0" applyFill="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7" fillId="11" borderId="0" applyNumberFormat="0" applyBorder="0" applyAlignment="0" applyProtection="0"/>
    <xf numFmtId="43" fontId="1" fillId="0" borderId="0" applyFont="0" applyFill="0" applyBorder="0" applyAlignment="0" applyProtection="0"/>
    <xf numFmtId="0" fontId="10" fillId="14" borderId="0" applyNumberFormat="0" applyBorder="0" applyAlignment="0" applyProtection="0"/>
    <xf numFmtId="0" fontId="11" fillId="15" borderId="13" applyNumberFormat="0" applyAlignment="0" applyProtection="0"/>
    <xf numFmtId="0" fontId="1" fillId="16" borderId="15" applyNumberFormat="0" applyFont="0" applyAlignment="0" applyProtection="0"/>
    <xf numFmtId="0" fontId="1" fillId="17" borderId="0" applyNumberFormat="0" applyBorder="0" applyAlignment="0" applyProtection="0"/>
    <xf numFmtId="0" fontId="4" fillId="18" borderId="0" applyNumberFormat="0" applyBorder="0" applyAlignment="0" applyProtection="0"/>
    <xf numFmtId="0" fontId="1" fillId="19" borderId="0" applyNumberFormat="0" applyBorder="0" applyAlignment="0" applyProtection="0"/>
    <xf numFmtId="0" fontId="4" fillId="20" borderId="0" applyNumberFormat="0" applyBorder="0" applyAlignment="0" applyProtection="0"/>
    <xf numFmtId="0" fontId="23" fillId="0" borderId="0" applyNumberFormat="0" applyFill="0" applyBorder="0" applyAlignment="0" applyProtection="0"/>
    <xf numFmtId="0" fontId="24" fillId="0" borderId="31" applyNumberFormat="0" applyFill="0" applyAlignment="0" applyProtection="0"/>
    <xf numFmtId="0" fontId="25" fillId="0" borderId="32" applyNumberFormat="0" applyFill="0" applyAlignment="0" applyProtection="0"/>
    <xf numFmtId="0" fontId="26" fillId="0" borderId="33" applyNumberFormat="0" applyFill="0" applyAlignment="0" applyProtection="0"/>
    <xf numFmtId="0" fontId="26" fillId="0" borderId="0" applyNumberFormat="0" applyFill="0" applyBorder="0" applyAlignment="0" applyProtection="0"/>
    <xf numFmtId="0" fontId="27" fillId="35" borderId="0" applyNumberFormat="0" applyBorder="0" applyAlignment="0" applyProtection="0"/>
    <xf numFmtId="0" fontId="28" fillId="36" borderId="13" applyNumberFormat="0" applyAlignment="0" applyProtection="0"/>
    <xf numFmtId="0" fontId="29" fillId="15" borderId="34" applyNumberFormat="0" applyAlignment="0" applyProtection="0"/>
    <xf numFmtId="0" fontId="30" fillId="0" borderId="35" applyNumberFormat="0" applyFill="0" applyAlignment="0" applyProtection="0"/>
    <xf numFmtId="0" fontId="8" fillId="37" borderId="14" applyNumberFormat="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12" fillId="0" borderId="36" applyNumberFormat="0" applyFill="0" applyAlignment="0" applyProtection="0"/>
    <xf numFmtId="0" fontId="4" fillId="38" borderId="0" applyNumberFormat="0" applyBorder="0" applyAlignment="0" applyProtection="0"/>
    <xf numFmtId="0" fontId="1" fillId="39" borderId="0" applyNumberFormat="0" applyBorder="0" applyAlignment="0" applyProtection="0"/>
    <xf numFmtId="0" fontId="4" fillId="40" borderId="0" applyNumberFormat="0" applyBorder="0" applyAlignment="0" applyProtection="0"/>
    <xf numFmtId="0" fontId="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4"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cellStyleXfs>
  <cellXfs count="623">
    <xf numFmtId="0" fontId="0" fillId="0" borderId="0" xfId="0"/>
    <xf numFmtId="0" fontId="0" fillId="0" borderId="0" xfId="0" applyAlignment="1"/>
    <xf numFmtId="0" fontId="0" fillId="0" borderId="0" xfId="0" quotePrefix="1" applyNumberFormat="1" applyAlignment="1"/>
    <xf numFmtId="0" fontId="0" fillId="0" borderId="0" xfId="0" applyNumberFormat="1" applyAlignment="1"/>
    <xf numFmtId="0" fontId="0" fillId="0" borderId="0" xfId="0" applyAlignment="1">
      <alignment horizontal="center"/>
    </xf>
    <xf numFmtId="0" fontId="0" fillId="2" borderId="1" xfId="0" applyFill="1" applyBorder="1"/>
    <xf numFmtId="2" fontId="0" fillId="0" borderId="0" xfId="0" applyNumberFormat="1"/>
    <xf numFmtId="1" fontId="0" fillId="0" borderId="0" xfId="0" applyNumberFormat="1" applyAlignment="1">
      <alignment horizontal="center"/>
    </xf>
    <xf numFmtId="1" fontId="0" fillId="2" borderId="1" xfId="0" applyNumberFormat="1" applyFill="1" applyBorder="1" applyAlignment="1">
      <alignment horizontal="center"/>
    </xf>
    <xf numFmtId="0" fontId="0" fillId="2" borderId="0" xfId="0" applyFill="1"/>
    <xf numFmtId="165" fontId="0" fillId="2" borderId="0" xfId="1" applyNumberFormat="1" applyFont="1" applyFill="1"/>
    <xf numFmtId="1" fontId="0" fillId="2" borderId="0" xfId="0" applyNumberFormat="1" applyFill="1" applyAlignment="1">
      <alignment horizontal="center"/>
    </xf>
    <xf numFmtId="0" fontId="0" fillId="2" borderId="0" xfId="0" applyFill="1" applyAlignment="1">
      <alignment horizontal="center"/>
    </xf>
    <xf numFmtId="0" fontId="0" fillId="2" borderId="0" xfId="0" applyFill="1" applyAlignment="1"/>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1" fontId="0" fillId="2" borderId="1" xfId="1" applyNumberFormat="1" applyFont="1" applyFill="1" applyBorder="1" applyAlignment="1">
      <alignment horizontal="center"/>
    </xf>
    <xf numFmtId="10" fontId="0" fillId="2" borderId="1" xfId="3" applyNumberFormat="1" applyFont="1" applyFill="1" applyBorder="1" applyAlignment="1">
      <alignment horizontal="center"/>
    </xf>
    <xf numFmtId="2" fontId="0" fillId="2" borderId="1" xfId="0" applyNumberFormat="1" applyFill="1" applyBorder="1" applyAlignment="1">
      <alignment horizontal="center"/>
    </xf>
    <xf numFmtId="164" fontId="0" fillId="2" borderId="0" xfId="0" applyNumberFormat="1" applyFill="1" applyAlignment="1">
      <alignment horizontal="center"/>
    </xf>
    <xf numFmtId="167" fontId="0" fillId="2" borderId="0" xfId="1" applyNumberFormat="1" applyFont="1" applyFill="1" applyAlignment="1">
      <alignment horizontal="center"/>
    </xf>
    <xf numFmtId="167" fontId="0" fillId="2" borderId="2" xfId="1" applyNumberFormat="1" applyFont="1" applyFill="1" applyBorder="1" applyAlignment="1">
      <alignment horizontal="center"/>
    </xf>
    <xf numFmtId="167" fontId="0" fillId="2" borderId="1" xfId="1" applyNumberFormat="1" applyFont="1" applyFill="1" applyBorder="1" applyAlignment="1">
      <alignment horizontal="center"/>
    </xf>
    <xf numFmtId="0" fontId="5" fillId="9" borderId="11" xfId="0" applyNumberFormat="1" applyFont="1" applyFill="1" applyBorder="1" applyAlignment="1"/>
    <xf numFmtId="0" fontId="0" fillId="10" borderId="11" xfId="0" applyNumberFormat="1" applyFill="1" applyBorder="1" applyAlignment="1"/>
    <xf numFmtId="0" fontId="0" fillId="0" borderId="11" xfId="0" applyNumberFormat="1" applyBorder="1" applyAlignment="1"/>
    <xf numFmtId="0" fontId="0" fillId="0" borderId="0" xfId="0" applyNumberFormat="1" applyAlignment="1">
      <alignment horizontal="center"/>
    </xf>
    <xf numFmtId="2" fontId="0" fillId="0" borderId="0" xfId="0" applyNumberFormat="1" applyAlignment="1">
      <alignment horizontal="center"/>
    </xf>
    <xf numFmtId="2" fontId="0" fillId="0" borderId="0" xfId="1" applyNumberFormat="1" applyFont="1" applyAlignment="1">
      <alignment horizontal="center"/>
    </xf>
    <xf numFmtId="0" fontId="6" fillId="3" borderId="11" xfId="0" applyNumberFormat="1" applyFont="1" applyFill="1" applyBorder="1" applyAlignment="1"/>
    <xf numFmtId="0" fontId="9" fillId="9" borderId="0" xfId="0" applyNumberFormat="1" applyFont="1" applyFill="1" applyAlignment="1"/>
    <xf numFmtId="166" fontId="0" fillId="2" borderId="1" xfId="0" applyNumberFormat="1" applyFill="1" applyBorder="1" applyAlignment="1">
      <alignment horizontal="center"/>
    </xf>
    <xf numFmtId="10" fontId="0" fillId="2" borderId="0" xfId="3" applyNumberFormat="1" applyFont="1" applyFill="1" applyAlignment="1">
      <alignment horizontal="center"/>
    </xf>
    <xf numFmtId="0" fontId="0" fillId="2" borderId="6" xfId="0" applyFill="1" applyBorder="1"/>
    <xf numFmtId="0" fontId="0" fillId="12" borderId="0" xfId="0" applyFill="1"/>
    <xf numFmtId="165" fontId="0" fillId="12" borderId="0" xfId="1" applyNumberFormat="1" applyFont="1" applyFill="1"/>
    <xf numFmtId="0" fontId="0" fillId="12" borderId="1" xfId="0" applyFill="1" applyBorder="1"/>
    <xf numFmtId="166" fontId="0" fillId="2" borderId="0" xfId="0" applyNumberFormat="1" applyFill="1"/>
    <xf numFmtId="10" fontId="0" fillId="2" borderId="0" xfId="3" applyNumberFormat="1" applyFont="1" applyFill="1"/>
    <xf numFmtId="2" fontId="0" fillId="2" borderId="0" xfId="0" applyNumberFormat="1" applyFill="1"/>
    <xf numFmtId="2" fontId="0" fillId="12" borderId="0" xfId="0" applyNumberFormat="1" applyFill="1"/>
    <xf numFmtId="44" fontId="0" fillId="2" borderId="0" xfId="1" applyFont="1" applyFill="1"/>
    <xf numFmtId="44" fontId="0" fillId="12" borderId="0" xfId="1" applyFont="1" applyFill="1"/>
    <xf numFmtId="2" fontId="0" fillId="13" borderId="2" xfId="0" applyNumberFormat="1" applyFill="1" applyBorder="1" applyAlignment="1">
      <alignment horizontal="center"/>
    </xf>
    <xf numFmtId="2" fontId="0" fillId="13" borderId="1" xfId="0" applyNumberFormat="1" applyFill="1" applyBorder="1" applyAlignment="1">
      <alignment horizontal="center"/>
    </xf>
    <xf numFmtId="0" fontId="0" fillId="12" borderId="0" xfId="0" applyFill="1" applyAlignment="1">
      <alignment horizontal="left"/>
    </xf>
    <xf numFmtId="2" fontId="0" fillId="2" borderId="2" xfId="0" applyNumberFormat="1" applyFill="1" applyBorder="1" applyAlignment="1">
      <alignment horizontal="center"/>
    </xf>
    <xf numFmtId="0" fontId="0" fillId="2" borderId="1" xfId="0" applyFont="1" applyFill="1" applyBorder="1" applyAlignment="1">
      <alignment horizontal="center"/>
    </xf>
    <xf numFmtId="44" fontId="0" fillId="2" borderId="0" xfId="1" applyFont="1" applyFill="1" applyAlignment="1">
      <alignment horizontal="left"/>
    </xf>
    <xf numFmtId="44" fontId="0" fillId="12" borderId="0" xfId="1" applyFont="1" applyFill="1" applyAlignment="1">
      <alignment horizontal="left"/>
    </xf>
    <xf numFmtId="166" fontId="0" fillId="0" borderId="18" xfId="0" applyNumberFormat="1" applyBorder="1" applyAlignment="1">
      <alignment horizontal="center"/>
    </xf>
    <xf numFmtId="1" fontId="0" fillId="0" borderId="0" xfId="0" applyNumberFormat="1" applyBorder="1" applyAlignment="1">
      <alignment horizontal="left"/>
    </xf>
    <xf numFmtId="166" fontId="0" fillId="0" borderId="0" xfId="0" applyNumberFormat="1" applyBorder="1" applyAlignment="1">
      <alignment horizontal="left"/>
    </xf>
    <xf numFmtId="166" fontId="0" fillId="0" borderId="19" xfId="0" applyNumberFormat="1" applyBorder="1" applyAlignment="1">
      <alignment horizontal="left"/>
    </xf>
    <xf numFmtId="166" fontId="10" fillId="14" borderId="19" xfId="9" applyNumberFormat="1" applyBorder="1" applyAlignment="1">
      <alignment horizontal="left"/>
    </xf>
    <xf numFmtId="166" fontId="4" fillId="18" borderId="20" xfId="13" applyNumberFormat="1" applyBorder="1" applyAlignment="1">
      <alignment horizontal="left"/>
    </xf>
    <xf numFmtId="166" fontId="11" fillId="15" borderId="21" xfId="10" applyNumberFormat="1" applyBorder="1" applyAlignment="1">
      <alignment horizontal="left"/>
    </xf>
    <xf numFmtId="1" fontId="0" fillId="0" borderId="1" xfId="0" applyNumberFormat="1" applyBorder="1" applyAlignment="1">
      <alignment horizontal="center"/>
    </xf>
    <xf numFmtId="0" fontId="0" fillId="0" borderId="1" xfId="0" applyBorder="1" applyAlignment="1">
      <alignment horizontal="center"/>
    </xf>
    <xf numFmtId="2" fontId="0" fillId="0" borderId="1" xfId="0" applyNumberFormat="1" applyBorder="1" applyAlignment="1">
      <alignment horizontal="center"/>
    </xf>
    <xf numFmtId="168" fontId="0" fillId="0" borderId="1" xfId="8" applyNumberFormat="1" applyFont="1" applyBorder="1" applyAlignment="1">
      <alignment horizontal="left" vertical="center"/>
    </xf>
    <xf numFmtId="1" fontId="0" fillId="0" borderId="0" xfId="0" applyNumberFormat="1"/>
    <xf numFmtId="166" fontId="0" fillId="0" borderId="0" xfId="0" applyNumberFormat="1" applyAlignment="1">
      <alignment horizontal="center"/>
    </xf>
    <xf numFmtId="166" fontId="0" fillId="0" borderId="0" xfId="0" applyNumberFormat="1" applyAlignment="1">
      <alignment horizontal="left"/>
    </xf>
    <xf numFmtId="2" fontId="0" fillId="0" borderId="25" xfId="0" applyNumberFormat="1" applyBorder="1" applyAlignment="1">
      <alignment horizontal="center"/>
    </xf>
    <xf numFmtId="2" fontId="0" fillId="0" borderId="19" xfId="0" applyNumberFormat="1" applyBorder="1" applyAlignment="1">
      <alignment horizontal="center"/>
    </xf>
    <xf numFmtId="2" fontId="0" fillId="0" borderId="26" xfId="0" applyNumberFormat="1" applyBorder="1" applyAlignment="1">
      <alignment horizontal="center"/>
    </xf>
    <xf numFmtId="2" fontId="0" fillId="0" borderId="18" xfId="0" applyNumberFormat="1" applyBorder="1" applyAlignment="1">
      <alignment horizontal="center"/>
    </xf>
    <xf numFmtId="2" fontId="0" fillId="0" borderId="0" xfId="0" applyNumberFormat="1" applyBorder="1" applyAlignment="1">
      <alignment horizontal="center"/>
    </xf>
    <xf numFmtId="2" fontId="0" fillId="0" borderId="27" xfId="0" applyNumberFormat="1" applyBorder="1" applyAlignment="1">
      <alignment horizontal="center"/>
    </xf>
    <xf numFmtId="2" fontId="0" fillId="0" borderId="28" xfId="0" applyNumberFormat="1" applyBorder="1" applyAlignment="1">
      <alignment horizontal="center"/>
    </xf>
    <xf numFmtId="2" fontId="0" fillId="0" borderId="29" xfId="0" applyNumberFormat="1" applyBorder="1" applyAlignment="1">
      <alignment horizontal="center"/>
    </xf>
    <xf numFmtId="2" fontId="0" fillId="0" borderId="30" xfId="0" applyNumberFormat="1" applyBorder="1" applyAlignment="1">
      <alignment horizontal="center"/>
    </xf>
    <xf numFmtId="166" fontId="0" fillId="0" borderId="0" xfId="0" applyNumberFormat="1"/>
    <xf numFmtId="0" fontId="8" fillId="22" borderId="1" xfId="7" applyFont="1" applyFill="1" applyBorder="1" applyAlignment="1">
      <alignment horizontal="center"/>
    </xf>
    <xf numFmtId="0" fontId="8" fillId="23" borderId="1" xfId="7" applyFont="1" applyFill="1" applyBorder="1" applyAlignment="1">
      <alignment horizontal="center"/>
    </xf>
    <xf numFmtId="0" fontId="0" fillId="0" borderId="1" xfId="0" applyBorder="1"/>
    <xf numFmtId="0" fontId="8" fillId="24" borderId="1" xfId="7" applyFont="1" applyFill="1" applyBorder="1" applyAlignment="1">
      <alignment horizontal="center"/>
    </xf>
    <xf numFmtId="0" fontId="17" fillId="12" borderId="1" xfId="7" applyFont="1" applyFill="1" applyBorder="1" applyAlignment="1">
      <alignment horizontal="center"/>
    </xf>
    <xf numFmtId="0" fontId="8" fillId="25" borderId="1" xfId="7" applyFont="1" applyFill="1" applyBorder="1" applyAlignment="1">
      <alignment horizontal="center"/>
    </xf>
    <xf numFmtId="0" fontId="8" fillId="26" borderId="1" xfId="7" applyFont="1" applyFill="1" applyBorder="1" applyAlignment="1">
      <alignment horizontal="center"/>
    </xf>
    <xf numFmtId="0" fontId="12" fillId="25" borderId="1" xfId="7" applyFont="1" applyFill="1" applyBorder="1" applyAlignment="1">
      <alignment horizontal="center"/>
    </xf>
    <xf numFmtId="0" fontId="8" fillId="12" borderId="1" xfId="7" applyFont="1" applyFill="1" applyBorder="1" applyAlignment="1">
      <alignment horizontal="center"/>
    </xf>
    <xf numFmtId="0" fontId="18" fillId="25" borderId="1" xfId="7" applyFont="1" applyFill="1" applyBorder="1" applyAlignment="1">
      <alignment horizontal="center"/>
    </xf>
    <xf numFmtId="0" fontId="18" fillId="2" borderId="1" xfId="7" applyFont="1" applyFill="1" applyBorder="1" applyAlignment="1">
      <alignment horizontal="center"/>
    </xf>
    <xf numFmtId="0" fontId="8" fillId="27" borderId="1" xfId="7" applyFont="1" applyFill="1" applyBorder="1" applyAlignment="1">
      <alignment horizontal="center"/>
    </xf>
    <xf numFmtId="0" fontId="19" fillId="2" borderId="1" xfId="7" applyFont="1" applyFill="1" applyBorder="1" applyAlignment="1">
      <alignment horizontal="center"/>
    </xf>
    <xf numFmtId="0" fontId="20" fillId="28" borderId="1" xfId="7" applyFont="1" applyFill="1" applyBorder="1" applyAlignment="1">
      <alignment horizontal="center"/>
    </xf>
    <xf numFmtId="0" fontId="21" fillId="12" borderId="1" xfId="7" applyFont="1" applyFill="1" applyBorder="1" applyAlignment="1">
      <alignment horizontal="center"/>
    </xf>
    <xf numFmtId="0" fontId="20" fillId="29" borderId="1" xfId="7" applyFont="1" applyFill="1" applyBorder="1" applyAlignment="1">
      <alignment horizontal="center"/>
    </xf>
    <xf numFmtId="0" fontId="22" fillId="30" borderId="1" xfId="7" applyFont="1" applyFill="1" applyBorder="1" applyAlignment="1">
      <alignment horizontal="center"/>
    </xf>
    <xf numFmtId="0" fontId="22" fillId="12" borderId="1" xfId="7" applyFont="1" applyFill="1" applyBorder="1" applyAlignment="1">
      <alignment horizontal="center"/>
    </xf>
    <xf numFmtId="0" fontId="8" fillId="29" borderId="1" xfId="7" applyFont="1" applyFill="1" applyBorder="1" applyAlignment="1">
      <alignment horizontal="center"/>
    </xf>
    <xf numFmtId="0" fontId="8" fillId="31" borderId="1" xfId="7" applyFont="1" applyFill="1" applyBorder="1" applyAlignment="1">
      <alignment horizontal="center"/>
    </xf>
    <xf numFmtId="0" fontId="8" fillId="32" borderId="1" xfId="7" applyFont="1" applyFill="1" applyBorder="1" applyAlignment="1">
      <alignment horizontal="center"/>
    </xf>
    <xf numFmtId="0" fontId="20" fillId="12" borderId="1" xfId="7" applyFont="1" applyFill="1" applyBorder="1" applyAlignment="1">
      <alignment horizontal="center"/>
    </xf>
    <xf numFmtId="0" fontId="8" fillId="33" borderId="1" xfId="7" applyFont="1" applyFill="1" applyBorder="1" applyAlignment="1">
      <alignment horizontal="center"/>
    </xf>
    <xf numFmtId="0" fontId="8" fillId="4" borderId="1" xfId="7" applyFont="1" applyFill="1" applyBorder="1" applyAlignment="1">
      <alignment horizontal="center"/>
    </xf>
    <xf numFmtId="0" fontId="20" fillId="34" borderId="1" xfId="7" applyFont="1" applyFill="1" applyBorder="1" applyAlignment="1">
      <alignment horizontal="center"/>
    </xf>
    <xf numFmtId="0" fontId="33" fillId="55" borderId="0" xfId="0" applyFont="1" applyFill="1" applyBorder="1" applyAlignment="1">
      <alignment horizontal="center" vertical="center"/>
    </xf>
    <xf numFmtId="0" fontId="0" fillId="0" borderId="0" xfId="0" applyNumberFormat="1"/>
    <xf numFmtId="165" fontId="0" fillId="12" borderId="0" xfId="1" applyNumberFormat="1" applyFont="1" applyFill="1" applyAlignment="1">
      <alignment horizontal="left"/>
    </xf>
    <xf numFmtId="0" fontId="0" fillId="0" borderId="0" xfId="0"/>
    <xf numFmtId="0" fontId="0" fillId="2" borderId="0" xfId="0" applyFill="1" applyAlignment="1">
      <alignment horizontal="left"/>
    </xf>
    <xf numFmtId="0" fontId="0" fillId="2" borderId="0" xfId="0" applyFill="1" applyBorder="1"/>
    <xf numFmtId="16" fontId="33" fillId="55" borderId="0" xfId="0" applyNumberFormat="1" applyFont="1" applyFill="1" applyBorder="1" applyAlignment="1">
      <alignment horizontal="center" vertical="center"/>
    </xf>
    <xf numFmtId="2" fontId="0" fillId="2" borderId="0" xfId="0" applyNumberFormat="1" applyFill="1" applyAlignment="1">
      <alignment horizontal="center"/>
    </xf>
    <xf numFmtId="0" fontId="0" fillId="0" borderId="0" xfId="0" applyAlignment="1">
      <alignment horizontal="left"/>
    </xf>
    <xf numFmtId="3" fontId="0" fillId="0" borderId="1" xfId="0" applyNumberFormat="1" applyBorder="1" applyAlignment="1">
      <alignment horizontal="center"/>
    </xf>
    <xf numFmtId="0" fontId="0" fillId="0" borderId="4" xfId="0" applyBorder="1" applyAlignment="1">
      <alignment horizontal="center"/>
    </xf>
    <xf numFmtId="0" fontId="0" fillId="0" borderId="37" xfId="0"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0" borderId="6" xfId="0" applyBorder="1" applyAlignment="1">
      <alignment horizontal="center"/>
    </xf>
    <xf numFmtId="46" fontId="0" fillId="0" borderId="1" xfId="0" applyNumberFormat="1" applyBorder="1" applyAlignment="1">
      <alignment horizontal="center"/>
    </xf>
    <xf numFmtId="0" fontId="0" fillId="0" borderId="38" xfId="0" applyBorder="1" applyAlignment="1">
      <alignment horizontal="center"/>
    </xf>
    <xf numFmtId="0" fontId="0" fillId="0" borderId="47" xfId="0" applyBorder="1" applyAlignment="1">
      <alignment horizontal="center"/>
    </xf>
    <xf numFmtId="0" fontId="0" fillId="0" borderId="39"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0" fontId="6" fillId="11" borderId="50" xfId="7" applyFont="1" applyBorder="1" applyAlignment="1">
      <alignment horizontal="center"/>
    </xf>
    <xf numFmtId="0" fontId="27" fillId="2" borderId="0" xfId="21" applyFill="1" applyBorder="1" applyAlignment="1"/>
    <xf numFmtId="49" fontId="0" fillId="12" borderId="0" xfId="0" applyNumberFormat="1" applyFill="1"/>
    <xf numFmtId="49" fontId="0" fillId="2" borderId="0" xfId="0" applyNumberFormat="1" applyFill="1"/>
    <xf numFmtId="44" fontId="0" fillId="2" borderId="1" xfId="1" applyFont="1" applyFill="1" applyBorder="1" applyAlignment="1">
      <alignment horizontal="center"/>
    </xf>
    <xf numFmtId="0" fontId="34" fillId="9" borderId="0" xfId="0" applyNumberFormat="1" applyFont="1" applyFill="1" applyAlignment="1"/>
    <xf numFmtId="0" fontId="0" fillId="2" borderId="6" xfId="0" applyNumberFormat="1" applyFill="1" applyBorder="1"/>
    <xf numFmtId="0" fontId="0" fillId="2" borderId="1" xfId="0" applyNumberFormat="1" applyFill="1" applyBorder="1" applyAlignment="1">
      <alignment horizontal="center"/>
    </xf>
    <xf numFmtId="166" fontId="0" fillId="2" borderId="1" xfId="3" applyNumberFormat="1" applyFont="1" applyFill="1" applyBorder="1" applyAlignment="1">
      <alignment horizontal="center"/>
    </xf>
    <xf numFmtId="166" fontId="0" fillId="13" borderId="1" xfId="0" applyNumberFormat="1" applyFill="1" applyBorder="1" applyAlignment="1">
      <alignment horizontal="center"/>
    </xf>
    <xf numFmtId="0" fontId="0" fillId="12" borderId="3" xfId="0" applyFill="1" applyBorder="1"/>
    <xf numFmtId="2" fontId="0" fillId="2" borderId="3" xfId="0" applyNumberFormat="1" applyFill="1" applyBorder="1" applyAlignment="1">
      <alignment horizontal="center"/>
    </xf>
    <xf numFmtId="0" fontId="5" fillId="9" borderId="0" xfId="0" applyNumberFormat="1" applyFont="1" applyFill="1" applyAlignment="1"/>
    <xf numFmtId="0" fontId="0" fillId="12" borderId="1" xfId="0" applyNumberFormat="1" applyFill="1" applyBorder="1"/>
    <xf numFmtId="0" fontId="0" fillId="0" borderId="0" xfId="0"/>
    <xf numFmtId="169" fontId="0" fillId="2" borderId="0" xfId="1" applyNumberFormat="1" applyFont="1" applyFill="1"/>
    <xf numFmtId="1" fontId="0" fillId="2" borderId="0" xfId="3" applyNumberFormat="1" applyFont="1" applyFill="1"/>
    <xf numFmtId="170" fontId="0" fillId="2" borderId="0" xfId="0" applyNumberFormat="1" applyFill="1" applyAlignment="1">
      <alignment horizontal="center"/>
    </xf>
    <xf numFmtId="170" fontId="0" fillId="2" borderId="0" xfId="0" applyNumberFormat="1" applyFill="1" applyBorder="1" applyAlignment="1">
      <alignment horizontal="center"/>
    </xf>
    <xf numFmtId="170" fontId="0" fillId="2" borderId="0" xfId="3" applyNumberFormat="1" applyFont="1" applyFill="1" applyBorder="1" applyAlignment="1">
      <alignment horizontal="center"/>
    </xf>
    <xf numFmtId="171" fontId="0" fillId="2" borderId="0" xfId="3" applyNumberFormat="1" applyFont="1" applyFill="1" applyBorder="1" applyAlignment="1">
      <alignment horizontal="center"/>
    </xf>
    <xf numFmtId="2" fontId="0" fillId="2" borderId="0" xfId="0" applyNumberFormat="1" applyFill="1" applyBorder="1" applyAlignment="1">
      <alignment horizontal="center"/>
    </xf>
    <xf numFmtId="0" fontId="35" fillId="2" borderId="0" xfId="0" applyFont="1" applyFill="1" applyBorder="1" applyAlignment="1">
      <alignment horizontal="left"/>
    </xf>
    <xf numFmtId="0" fontId="36" fillId="2" borderId="0" xfId="2" applyNumberFormat="1" applyFont="1" applyFill="1" applyBorder="1" applyAlignment="1" applyProtection="1">
      <alignment horizontal="left"/>
    </xf>
    <xf numFmtId="1" fontId="2" fillId="2" borderId="0" xfId="2" applyNumberFormat="1" applyFill="1"/>
    <xf numFmtId="1" fontId="0" fillId="2" borderId="0" xfId="0" applyNumberFormat="1" applyFill="1"/>
    <xf numFmtId="0" fontId="36" fillId="0" borderId="0" xfId="2" applyFont="1" applyAlignment="1">
      <alignment horizontal="left"/>
    </xf>
    <xf numFmtId="169" fontId="0" fillId="2" borderId="0" xfId="1" applyNumberFormat="1" applyFont="1" applyFill="1" applyBorder="1"/>
    <xf numFmtId="0" fontId="37" fillId="2" borderId="0" xfId="0" applyFont="1" applyFill="1" applyBorder="1" applyAlignment="1"/>
    <xf numFmtId="1" fontId="0" fillId="2" borderId="0" xfId="0" applyNumberFormat="1" applyFill="1" applyBorder="1" applyAlignment="1">
      <alignment horizontal="center"/>
    </xf>
    <xf numFmtId="170" fontId="0" fillId="2" borderId="0" xfId="3" applyNumberFormat="1" applyFont="1" applyFill="1" applyAlignment="1">
      <alignment horizontal="center"/>
    </xf>
    <xf numFmtId="171" fontId="0" fillId="2" borderId="0" xfId="3" applyNumberFormat="1" applyFont="1" applyFill="1" applyAlignment="1">
      <alignment horizontal="center"/>
    </xf>
    <xf numFmtId="0" fontId="0" fillId="2" borderId="6" xfId="0" applyNumberFormat="1" applyFill="1" applyBorder="1" applyAlignment="1">
      <alignment horizontal="left"/>
    </xf>
    <xf numFmtId="169" fontId="0" fillId="2" borderId="1" xfId="1" applyNumberFormat="1" applyFont="1" applyFill="1" applyBorder="1" applyAlignment="1" applyProtection="1">
      <alignment horizontal="center"/>
      <protection locked="0"/>
    </xf>
    <xf numFmtId="171" fontId="0" fillId="2" borderId="1" xfId="3" applyNumberFormat="1" applyFont="1" applyFill="1" applyBorder="1" applyAlignment="1" applyProtection="1">
      <alignment horizontal="center"/>
      <protection locked="0"/>
    </xf>
    <xf numFmtId="0" fontId="0" fillId="2" borderId="0" xfId="0" applyFill="1" applyBorder="1" applyAlignment="1">
      <alignment horizontal="center"/>
    </xf>
    <xf numFmtId="0" fontId="0" fillId="2" borderId="58" xfId="0" applyNumberFormat="1" applyFill="1" applyBorder="1" applyAlignment="1" applyProtection="1">
      <alignment horizontal="center"/>
      <protection locked="0"/>
    </xf>
    <xf numFmtId="0" fontId="4" fillId="2" borderId="0" xfId="0" applyFont="1" applyFill="1"/>
    <xf numFmtId="169" fontId="8" fillId="23" borderId="0" xfId="1" applyNumberFormat="1" applyFont="1" applyFill="1" applyAlignment="1">
      <alignment horizontal="center"/>
    </xf>
    <xf numFmtId="1" fontId="0" fillId="2" borderId="0" xfId="3" applyNumberFormat="1" applyFont="1" applyFill="1" applyAlignment="1">
      <alignment horizontal="center"/>
    </xf>
    <xf numFmtId="169" fontId="31" fillId="2" borderId="0" xfId="1" applyNumberFormat="1" applyFont="1" applyFill="1" applyAlignment="1">
      <alignment horizontal="center"/>
    </xf>
    <xf numFmtId="1" fontId="8" fillId="23" borderId="1" xfId="3" applyNumberFormat="1" applyFont="1" applyFill="1" applyBorder="1" applyAlignment="1">
      <alignment horizontal="center"/>
    </xf>
    <xf numFmtId="2" fontId="8" fillId="57" borderId="1" xfId="3" applyNumberFormat="1" applyFont="1" applyFill="1" applyBorder="1" applyAlignment="1">
      <alignment horizontal="center"/>
    </xf>
    <xf numFmtId="2" fontId="8" fillId="58" borderId="1" xfId="0" applyNumberFormat="1" applyFont="1" applyFill="1" applyBorder="1" applyAlignment="1">
      <alignment horizontal="center"/>
    </xf>
    <xf numFmtId="2" fontId="8" fillId="23" borderId="1" xfId="3" applyNumberFormat="1" applyFont="1" applyFill="1" applyBorder="1" applyAlignment="1">
      <alignment horizontal="center"/>
    </xf>
    <xf numFmtId="2" fontId="8" fillId="57" borderId="1" xfId="0" applyNumberFormat="1" applyFont="1" applyFill="1" applyBorder="1" applyAlignment="1">
      <alignment horizontal="center"/>
    </xf>
    <xf numFmtId="0" fontId="8" fillId="59" borderId="0" xfId="0" applyFont="1" applyFill="1" applyBorder="1" applyAlignment="1"/>
    <xf numFmtId="171" fontId="8" fillId="0" borderId="0" xfId="3" applyNumberFormat="1" applyFont="1" applyFill="1" applyBorder="1" applyAlignment="1">
      <alignment horizontal="center"/>
    </xf>
    <xf numFmtId="0" fontId="8" fillId="60" borderId="59" xfId="0" applyFont="1" applyFill="1" applyBorder="1" applyAlignment="1">
      <alignment horizontal="left"/>
    </xf>
    <xf numFmtId="0" fontId="3" fillId="2" borderId="10" xfId="0" applyFont="1" applyFill="1" applyBorder="1"/>
    <xf numFmtId="171" fontId="0" fillId="2" borderId="0" xfId="3" applyNumberFormat="1" applyFont="1" applyFill="1"/>
    <xf numFmtId="169" fontId="0" fillId="2" borderId="1" xfId="1" applyNumberFormat="1" applyFont="1" applyFill="1" applyBorder="1" applyAlignment="1">
      <alignment horizontal="center"/>
    </xf>
    <xf numFmtId="170" fontId="8" fillId="2" borderId="0" xfId="0" applyNumberFormat="1" applyFont="1" applyFill="1" applyBorder="1" applyAlignment="1">
      <alignment horizontal="left"/>
    </xf>
    <xf numFmtId="0" fontId="12" fillId="2" borderId="0" xfId="0" applyFont="1" applyFill="1" applyBorder="1"/>
    <xf numFmtId="10" fontId="8" fillId="2" borderId="0" xfId="3" applyNumberFormat="1" applyFont="1" applyFill="1" applyBorder="1"/>
    <xf numFmtId="2" fontId="8" fillId="2" borderId="0" xfId="0" applyNumberFormat="1" applyFont="1" applyFill="1" applyBorder="1"/>
    <xf numFmtId="170" fontId="8" fillId="2" borderId="0" xfId="0" applyNumberFormat="1" applyFont="1" applyFill="1" applyBorder="1" applyAlignment="1">
      <alignment horizontal="center"/>
    </xf>
    <xf numFmtId="0" fontId="0" fillId="2" borderId="0" xfId="0" applyFill="1" applyBorder="1" applyAlignment="1">
      <alignment horizontal="left"/>
    </xf>
    <xf numFmtId="166" fontId="0" fillId="2" borderId="0" xfId="0" applyNumberFormat="1" applyFont="1" applyFill="1" applyBorder="1" applyAlignment="1">
      <alignment horizontal="center"/>
    </xf>
    <xf numFmtId="171" fontId="0" fillId="2" borderId="0" xfId="3" applyNumberFormat="1" applyFont="1" applyFill="1" applyBorder="1"/>
    <xf numFmtId="2" fontId="0" fillId="2" borderId="0" xfId="0" applyNumberFormat="1" applyFill="1" applyBorder="1"/>
    <xf numFmtId="0" fontId="8" fillId="62" borderId="0" xfId="0" applyFont="1" applyFill="1" applyBorder="1" applyAlignment="1">
      <alignment horizontal="left"/>
    </xf>
    <xf numFmtId="9" fontId="0" fillId="2" borderId="0" xfId="3" applyNumberFormat="1" applyFont="1" applyFill="1" applyBorder="1" applyAlignment="1">
      <alignment horizontal="center"/>
    </xf>
    <xf numFmtId="0" fontId="0" fillId="2" borderId="0" xfId="0" applyNumberFormat="1" applyFont="1" applyFill="1" applyBorder="1" applyAlignment="1">
      <alignment horizontal="center"/>
    </xf>
    <xf numFmtId="2" fontId="0" fillId="2" borderId="0" xfId="0" applyNumberFormat="1" applyFont="1" applyFill="1" applyBorder="1" applyAlignment="1">
      <alignment horizontal="center"/>
    </xf>
    <xf numFmtId="2" fontId="0" fillId="2" borderId="0" xfId="3" applyNumberFormat="1" applyFont="1" applyFill="1" applyBorder="1" applyAlignment="1">
      <alignment horizontal="center"/>
    </xf>
    <xf numFmtId="0" fontId="0" fillId="2" borderId="0" xfId="3" applyNumberFormat="1" applyFont="1" applyFill="1" applyBorder="1" applyAlignment="1">
      <alignment horizontal="center"/>
    </xf>
    <xf numFmtId="9" fontId="0" fillId="2" borderId="0" xfId="0" applyNumberFormat="1" applyFont="1" applyFill="1" applyBorder="1" applyAlignment="1">
      <alignment horizontal="center"/>
    </xf>
    <xf numFmtId="2" fontId="0" fillId="2" borderId="1" xfId="1" applyNumberFormat="1" applyFont="1" applyFill="1" applyBorder="1" applyAlignment="1" applyProtection="1">
      <alignment horizontal="center"/>
      <protection locked="0"/>
    </xf>
    <xf numFmtId="166" fontId="0" fillId="2" borderId="1" xfId="1" applyNumberFormat="1" applyFont="1" applyFill="1" applyBorder="1" applyAlignment="1" applyProtection="1">
      <alignment horizontal="center"/>
      <protection locked="0"/>
    </xf>
    <xf numFmtId="1" fontId="0" fillId="2" borderId="1" xfId="1" applyNumberFormat="1" applyFont="1" applyFill="1" applyBorder="1" applyAlignment="1" applyProtection="1">
      <alignment horizontal="center"/>
      <protection locked="0"/>
    </xf>
    <xf numFmtId="2" fontId="8" fillId="58" borderId="1" xfId="3" applyNumberFormat="1" applyFont="1" applyFill="1" applyBorder="1" applyAlignment="1">
      <alignment horizontal="center"/>
    </xf>
    <xf numFmtId="167" fontId="0" fillId="2" borderId="0" xfId="3" applyNumberFormat="1" applyFont="1" applyFill="1" applyAlignment="1">
      <alignment horizontal="center"/>
    </xf>
    <xf numFmtId="9" fontId="0" fillId="2" borderId="1" xfId="3" applyFont="1" applyFill="1" applyBorder="1" applyAlignment="1" applyProtection="1">
      <alignment horizontal="center"/>
      <protection locked="0"/>
    </xf>
    <xf numFmtId="169" fontId="3" fillId="2" borderId="1" xfId="1" applyNumberFormat="1" applyFont="1" applyFill="1" applyBorder="1" applyAlignment="1">
      <alignment horizontal="center"/>
    </xf>
    <xf numFmtId="169" fontId="0" fillId="2" borderId="0" xfId="1" applyNumberFormat="1" applyFont="1" applyFill="1" applyAlignment="1">
      <alignment horizontal="center"/>
    </xf>
    <xf numFmtId="169" fontId="0" fillId="12" borderId="0" xfId="1" applyNumberFormat="1" applyFont="1" applyFill="1" applyAlignment="1">
      <alignment horizontal="left"/>
    </xf>
    <xf numFmtId="167" fontId="0" fillId="12" borderId="0" xfId="1" applyNumberFormat="1" applyFont="1" applyFill="1" applyAlignment="1">
      <alignment horizontal="left"/>
    </xf>
    <xf numFmtId="167" fontId="0" fillId="13" borderId="1" xfId="1" applyNumberFormat="1" applyFont="1" applyFill="1" applyBorder="1" applyAlignment="1">
      <alignment horizontal="center"/>
    </xf>
    <xf numFmtId="9" fontId="0" fillId="2" borderId="0" xfId="3" applyFont="1" applyFill="1"/>
    <xf numFmtId="9" fontId="0" fillId="12" borderId="0" xfId="3" applyFont="1" applyFill="1"/>
    <xf numFmtId="9" fontId="0" fillId="2" borderId="1" xfId="3" applyFont="1" applyFill="1" applyBorder="1" applyAlignment="1">
      <alignment horizontal="center"/>
    </xf>
    <xf numFmtId="0" fontId="4" fillId="12" borderId="0" xfId="0" applyFont="1" applyFill="1" applyAlignment="1">
      <alignment horizontal="center"/>
    </xf>
    <xf numFmtId="167" fontId="0" fillId="2" borderId="1" xfId="1" applyNumberFormat="1" applyFont="1" applyFill="1" applyBorder="1" applyAlignment="1" applyProtection="1">
      <alignment horizontal="center"/>
      <protection locked="0"/>
    </xf>
    <xf numFmtId="169" fontId="0" fillId="0" borderId="10" xfId="0" applyNumberFormat="1" applyFont="1" applyBorder="1" applyAlignment="1">
      <alignment horizontal="center"/>
    </xf>
    <xf numFmtId="3" fontId="8" fillId="2" borderId="0" xfId="0" applyNumberFormat="1" applyFont="1" applyFill="1" applyBorder="1" applyAlignment="1">
      <alignment horizontal="center"/>
    </xf>
    <xf numFmtId="0" fontId="4" fillId="63" borderId="0" xfId="0" applyFont="1" applyFill="1" applyAlignment="1">
      <alignment horizontal="center"/>
    </xf>
    <xf numFmtId="2" fontId="0" fillId="12" borderId="0" xfId="0" applyNumberFormat="1" applyFill="1" applyAlignment="1">
      <alignment horizontal="center"/>
    </xf>
    <xf numFmtId="166" fontId="0" fillId="12" borderId="0" xfId="0" applyNumberFormat="1" applyFill="1" applyAlignment="1">
      <alignment horizontal="center"/>
    </xf>
    <xf numFmtId="9" fontId="0" fillId="2" borderId="1" xfId="0" applyNumberFormat="1" applyFill="1" applyBorder="1" applyAlignment="1">
      <alignment horizontal="center"/>
    </xf>
    <xf numFmtId="49" fontId="0" fillId="12" borderId="0" xfId="3" applyNumberFormat="1" applyFont="1" applyFill="1"/>
    <xf numFmtId="171" fontId="0" fillId="13" borderId="2" xfId="3" applyNumberFormat="1" applyFont="1" applyFill="1" applyBorder="1" applyAlignment="1">
      <alignment horizontal="center"/>
    </xf>
    <xf numFmtId="171" fontId="0" fillId="12" borderId="0" xfId="3" applyNumberFormat="1" applyFont="1" applyFill="1"/>
    <xf numFmtId="171" fontId="0" fillId="13" borderId="1" xfId="3" applyNumberFormat="1" applyFont="1" applyFill="1" applyBorder="1" applyAlignment="1">
      <alignment horizontal="center"/>
    </xf>
    <xf numFmtId="171" fontId="0" fillId="61" borderId="2" xfId="3" applyNumberFormat="1" applyFont="1" applyFill="1" applyBorder="1" applyAlignment="1">
      <alignment horizontal="center"/>
    </xf>
    <xf numFmtId="171" fontId="0" fillId="61" borderId="1" xfId="3" applyNumberFormat="1" applyFont="1" applyFill="1" applyBorder="1" applyAlignment="1">
      <alignment horizontal="center"/>
    </xf>
    <xf numFmtId="2" fontId="12" fillId="57" borderId="2" xfId="0" applyNumberFormat="1" applyFont="1" applyFill="1" applyBorder="1" applyAlignment="1">
      <alignment horizontal="center"/>
    </xf>
    <xf numFmtId="1" fontId="12" fillId="57" borderId="2" xfId="0" applyNumberFormat="1" applyFont="1" applyFill="1" applyBorder="1" applyAlignment="1">
      <alignment horizontal="center"/>
    </xf>
    <xf numFmtId="170" fontId="12" fillId="57" borderId="2" xfId="0" applyNumberFormat="1" applyFont="1" applyFill="1" applyBorder="1" applyAlignment="1">
      <alignment horizontal="center"/>
    </xf>
    <xf numFmtId="170" fontId="12" fillId="23" borderId="2" xfId="0" applyNumberFormat="1" applyFont="1" applyFill="1" applyBorder="1" applyAlignment="1">
      <alignment horizontal="center"/>
    </xf>
    <xf numFmtId="170" fontId="12" fillId="23" borderId="2" xfId="3" applyNumberFormat="1" applyFont="1" applyFill="1" applyBorder="1" applyAlignment="1">
      <alignment horizontal="center"/>
    </xf>
    <xf numFmtId="2" fontId="12" fillId="23" borderId="2" xfId="3" applyNumberFormat="1" applyFont="1" applyFill="1" applyBorder="1" applyAlignment="1">
      <alignment horizontal="center"/>
    </xf>
    <xf numFmtId="170" fontId="0" fillId="2" borderId="0" xfId="0" applyNumberFormat="1" applyFill="1" applyBorder="1" applyAlignment="1" applyProtection="1">
      <alignment horizontal="center"/>
      <protection locked="0"/>
    </xf>
    <xf numFmtId="0" fontId="0" fillId="2" borderId="0" xfId="0" applyNumberFormat="1" applyFill="1" applyBorder="1" applyAlignment="1" applyProtection="1">
      <alignment horizontal="center"/>
      <protection locked="0"/>
    </xf>
    <xf numFmtId="169" fontId="0" fillId="2" borderId="45" xfId="1" applyNumberFormat="1" applyFont="1" applyFill="1" applyBorder="1" applyAlignment="1" applyProtection="1">
      <alignment horizontal="center"/>
      <protection locked="0"/>
    </xf>
    <xf numFmtId="9" fontId="0" fillId="2" borderId="45" xfId="3" applyFont="1" applyFill="1" applyBorder="1" applyAlignment="1" applyProtection="1">
      <alignment horizontal="center"/>
      <protection locked="0"/>
    </xf>
    <xf numFmtId="2" fontId="0" fillId="2" borderId="45" xfId="1" applyNumberFormat="1" applyFont="1" applyFill="1" applyBorder="1" applyAlignment="1" applyProtection="1">
      <alignment horizontal="center"/>
      <protection locked="0"/>
    </xf>
    <xf numFmtId="1" fontId="0" fillId="2" borderId="45" xfId="1" applyNumberFormat="1" applyFont="1" applyFill="1" applyBorder="1" applyAlignment="1" applyProtection="1">
      <alignment horizontal="center"/>
      <protection locked="0"/>
    </xf>
    <xf numFmtId="169" fontId="0" fillId="2" borderId="48" xfId="1" applyNumberFormat="1" applyFont="1" applyFill="1" applyBorder="1" applyAlignment="1" applyProtection="1">
      <alignment horizontal="center"/>
      <protection locked="0"/>
    </xf>
    <xf numFmtId="9" fontId="0" fillId="2" borderId="48" xfId="3" applyFont="1" applyFill="1" applyBorder="1" applyAlignment="1" applyProtection="1">
      <alignment horizontal="center"/>
      <protection locked="0"/>
    </xf>
    <xf numFmtId="2" fontId="0" fillId="2" borderId="48" xfId="1" applyNumberFormat="1" applyFont="1" applyFill="1" applyBorder="1" applyAlignment="1" applyProtection="1">
      <alignment horizontal="center"/>
      <protection locked="0"/>
    </xf>
    <xf numFmtId="1" fontId="0" fillId="2" borderId="48" xfId="1" applyNumberFormat="1" applyFont="1" applyFill="1" applyBorder="1" applyAlignment="1" applyProtection="1">
      <alignment horizontal="center"/>
      <protection locked="0"/>
    </xf>
    <xf numFmtId="166" fontId="7" fillId="11" borderId="0" xfId="7" applyNumberFormat="1" applyBorder="1" applyAlignment="1">
      <alignment horizontal="left"/>
    </xf>
    <xf numFmtId="0" fontId="0" fillId="2" borderId="50" xfId="0" applyFill="1" applyBorder="1"/>
    <xf numFmtId="0" fontId="2" fillId="2" borderId="0" xfId="2" applyFill="1" applyAlignment="1">
      <alignment horizontal="center"/>
    </xf>
    <xf numFmtId="164" fontId="0" fillId="2" borderId="0" xfId="0" applyNumberFormat="1" applyFill="1" applyBorder="1" applyAlignment="1">
      <alignment horizontal="center"/>
    </xf>
    <xf numFmtId="165" fontId="0" fillId="2" borderId="1" xfId="0" applyNumberFormat="1" applyFill="1" applyBorder="1" applyAlignment="1">
      <alignment horizontal="center"/>
    </xf>
    <xf numFmtId="0" fontId="8" fillId="60" borderId="59" xfId="0" applyFont="1" applyFill="1" applyBorder="1"/>
    <xf numFmtId="0" fontId="8" fillId="60" borderId="63" xfId="0" applyFont="1" applyFill="1" applyBorder="1"/>
    <xf numFmtId="0" fontId="12" fillId="2" borderId="65" xfId="0" applyNumberFormat="1" applyFont="1" applyFill="1" applyBorder="1" applyAlignment="1">
      <alignment horizontal="center"/>
    </xf>
    <xf numFmtId="2" fontId="0" fillId="2" borderId="1" xfId="1" applyNumberFormat="1" applyFont="1" applyFill="1" applyBorder="1" applyAlignment="1">
      <alignment horizontal="center"/>
    </xf>
    <xf numFmtId="166" fontId="0" fillId="2" borderId="45" xfId="1" applyNumberFormat="1" applyFont="1" applyFill="1" applyBorder="1" applyAlignment="1" applyProtection="1">
      <alignment horizontal="center"/>
      <protection locked="0"/>
    </xf>
    <xf numFmtId="167" fontId="0" fillId="2" borderId="46" xfId="1" applyNumberFormat="1" applyFont="1" applyFill="1" applyBorder="1" applyAlignment="1" applyProtection="1">
      <alignment horizontal="center"/>
      <protection locked="0"/>
    </xf>
    <xf numFmtId="167" fontId="0" fillId="2" borderId="47" xfId="1" applyNumberFormat="1" applyFont="1" applyFill="1" applyBorder="1" applyAlignment="1" applyProtection="1">
      <alignment horizontal="center"/>
      <protection locked="0"/>
    </xf>
    <xf numFmtId="166" fontId="0" fillId="2" borderId="48" xfId="1" applyNumberFormat="1" applyFont="1" applyFill="1" applyBorder="1" applyAlignment="1" applyProtection="1">
      <alignment horizontal="center"/>
      <protection locked="0"/>
    </xf>
    <xf numFmtId="167" fontId="0" fillId="2" borderId="49" xfId="1" applyNumberFormat="1" applyFont="1" applyFill="1" applyBorder="1" applyAlignment="1" applyProtection="1">
      <alignment horizontal="center"/>
      <protection locked="0"/>
    </xf>
    <xf numFmtId="3" fontId="0" fillId="2" borderId="1" xfId="0" applyNumberFormat="1" applyFill="1" applyBorder="1" applyAlignment="1">
      <alignment horizontal="center"/>
    </xf>
    <xf numFmtId="0" fontId="0" fillId="12" borderId="0" xfId="0" applyFill="1" applyAlignment="1">
      <alignment horizontal="center"/>
    </xf>
    <xf numFmtId="0" fontId="0" fillId="12" borderId="0" xfId="0" applyFill="1" applyAlignment="1"/>
    <xf numFmtId="164" fontId="0" fillId="2" borderId="60" xfId="0" applyNumberFormat="1" applyFill="1" applyBorder="1" applyAlignment="1">
      <alignment horizontal="center"/>
    </xf>
    <xf numFmtId="2" fontId="0" fillId="2" borderId="0" xfId="0" applyNumberFormat="1" applyFill="1" applyBorder="1" applyAlignment="1"/>
    <xf numFmtId="166" fontId="0" fillId="2" borderId="0" xfId="0" applyNumberFormat="1" applyFill="1" applyAlignment="1">
      <alignment horizontal="center"/>
    </xf>
    <xf numFmtId="0" fontId="4" fillId="2" borderId="0" xfId="15" applyFill="1" applyBorder="1" applyAlignment="1"/>
    <xf numFmtId="0" fontId="0" fillId="2" borderId="1" xfId="0" applyFont="1" applyFill="1" applyBorder="1" applyAlignment="1">
      <alignment horizontal="left"/>
    </xf>
    <xf numFmtId="0" fontId="11" fillId="2" borderId="0" xfId="10" applyFill="1" applyBorder="1" applyAlignment="1"/>
    <xf numFmtId="0" fontId="1" fillId="2" borderId="0" xfId="14" applyFill="1" applyBorder="1" applyAlignment="1"/>
    <xf numFmtId="0" fontId="10" fillId="2" borderId="0" xfId="11" applyFont="1" applyFill="1" applyBorder="1" applyAlignment="1"/>
    <xf numFmtId="0" fontId="11" fillId="2" borderId="0" xfId="10" applyFill="1" applyBorder="1" applyAlignment="1">
      <alignment horizontal="center"/>
    </xf>
    <xf numFmtId="166" fontId="15" fillId="2" borderId="0" xfId="7" applyNumberFormat="1" applyFont="1" applyFill="1" applyAlignment="1"/>
    <xf numFmtId="0" fontId="0" fillId="31" borderId="0" xfId="0" applyFill="1" applyBorder="1" applyAlignment="1">
      <alignment horizontal="center"/>
    </xf>
    <xf numFmtId="44" fontId="0" fillId="2" borderId="0" xfId="1" applyFont="1" applyFill="1" applyBorder="1" applyAlignment="1">
      <alignment horizontal="center"/>
    </xf>
    <xf numFmtId="168" fontId="0" fillId="2" borderId="0" xfId="8" applyNumberFormat="1" applyFont="1" applyFill="1"/>
    <xf numFmtId="2" fontId="0" fillId="2" borderId="0" xfId="8" applyNumberFormat="1" applyFont="1" applyFill="1"/>
    <xf numFmtId="0" fontId="0" fillId="13" borderId="1" xfId="0" applyFill="1" applyBorder="1" applyAlignment="1">
      <alignment horizontal="center"/>
    </xf>
    <xf numFmtId="2" fontId="0" fillId="13" borderId="2" xfId="3" applyNumberFormat="1" applyFont="1" applyFill="1" applyBorder="1" applyAlignment="1">
      <alignment horizontal="center"/>
    </xf>
    <xf numFmtId="2" fontId="0" fillId="13" borderId="1" xfId="3" applyNumberFormat="1" applyFont="1" applyFill="1" applyBorder="1" applyAlignment="1">
      <alignment horizontal="center"/>
    </xf>
    <xf numFmtId="2" fontId="0" fillId="12" borderId="0" xfId="3" applyNumberFormat="1" applyFont="1" applyFill="1"/>
    <xf numFmtId="2" fontId="0" fillId="2" borderId="1" xfId="3" applyNumberFormat="1" applyFont="1" applyFill="1" applyBorder="1" applyAlignment="1">
      <alignment horizontal="center"/>
    </xf>
    <xf numFmtId="0" fontId="0" fillId="2" borderId="66" xfId="0" applyFill="1" applyBorder="1"/>
    <xf numFmtId="169" fontId="0" fillId="2" borderId="67" xfId="1" applyNumberFormat="1" applyFont="1" applyFill="1" applyBorder="1" applyAlignment="1">
      <alignment horizontal="center"/>
    </xf>
    <xf numFmtId="0" fontId="0" fillId="2" borderId="68" xfId="0" applyFill="1" applyBorder="1"/>
    <xf numFmtId="169" fontId="0" fillId="2" borderId="69" xfId="1" applyNumberFormat="1" applyFont="1" applyFill="1" applyBorder="1" applyAlignment="1">
      <alignment horizontal="center"/>
    </xf>
    <xf numFmtId="0" fontId="0" fillId="2" borderId="72" xfId="0" applyFill="1" applyBorder="1"/>
    <xf numFmtId="169" fontId="0" fillId="2" borderId="72" xfId="1" applyNumberFormat="1" applyFont="1" applyFill="1" applyBorder="1" applyAlignment="1">
      <alignment horizontal="center"/>
    </xf>
    <xf numFmtId="0" fontId="0" fillId="2" borderId="67" xfId="0" applyFill="1" applyBorder="1"/>
    <xf numFmtId="169" fontId="0" fillId="2" borderId="0" xfId="1" applyNumberFormat="1" applyFont="1" applyFill="1" applyBorder="1" applyAlignment="1">
      <alignment horizontal="center"/>
    </xf>
    <xf numFmtId="0" fontId="0" fillId="2" borderId="69" xfId="0" applyFill="1" applyBorder="1"/>
    <xf numFmtId="0" fontId="0" fillId="12" borderId="2" xfId="0" applyFill="1" applyBorder="1"/>
    <xf numFmtId="165" fontId="0" fillId="2" borderId="72" xfId="1" applyNumberFormat="1" applyFont="1" applyFill="1" applyBorder="1"/>
    <xf numFmtId="165" fontId="0" fillId="2" borderId="0" xfId="1" applyNumberFormat="1" applyFont="1" applyFill="1" applyBorder="1"/>
    <xf numFmtId="167" fontId="0" fillId="0" borderId="0" xfId="0" applyNumberFormat="1"/>
    <xf numFmtId="10" fontId="0" fillId="0" borderId="0" xfId="0" applyNumberFormat="1" applyAlignment="1">
      <alignment horizontal="center"/>
    </xf>
    <xf numFmtId="0" fontId="0" fillId="12" borderId="66" xfId="0" applyFill="1" applyBorder="1" applyAlignment="1">
      <alignment horizontal="center"/>
    </xf>
    <xf numFmtId="0" fontId="0" fillId="12" borderId="67" xfId="0" applyFill="1" applyBorder="1" applyAlignment="1">
      <alignment horizontal="center"/>
    </xf>
    <xf numFmtId="0" fontId="0" fillId="12" borderId="74" xfId="0" applyFill="1" applyBorder="1"/>
    <xf numFmtId="0" fontId="12" fillId="65" borderId="75" xfId="0" applyFont="1" applyFill="1" applyBorder="1" applyAlignment="1">
      <alignment horizontal="center"/>
    </xf>
    <xf numFmtId="0" fontId="12" fillId="0" borderId="0" xfId="0" applyFont="1" applyAlignment="1">
      <alignment horizontal="center"/>
    </xf>
    <xf numFmtId="0" fontId="12" fillId="12" borderId="68" xfId="0" applyFont="1" applyFill="1" applyBorder="1" applyAlignment="1">
      <alignment horizontal="center"/>
    </xf>
    <xf numFmtId="0" fontId="12" fillId="12" borderId="69" xfId="0" applyFont="1" applyFill="1" applyBorder="1" applyAlignment="1">
      <alignment horizontal="center"/>
    </xf>
    <xf numFmtId="0" fontId="12" fillId="12" borderId="76" xfId="0" applyFont="1" applyFill="1" applyBorder="1" applyAlignment="1">
      <alignment horizontal="center"/>
    </xf>
    <xf numFmtId="0" fontId="28" fillId="36" borderId="75" xfId="22" applyBorder="1" applyAlignment="1">
      <alignment horizontal="center"/>
    </xf>
    <xf numFmtId="0" fontId="0" fillId="12" borderId="70" xfId="0" applyFill="1" applyBorder="1"/>
    <xf numFmtId="0" fontId="0" fillId="12" borderId="71" xfId="0" applyFill="1" applyBorder="1"/>
    <xf numFmtId="0" fontId="0" fillId="12" borderId="77" xfId="0" applyFill="1" applyBorder="1"/>
    <xf numFmtId="167" fontId="0" fillId="0" borderId="0" xfId="0" applyNumberFormat="1" applyAlignment="1">
      <alignment horizontal="center"/>
    </xf>
    <xf numFmtId="0" fontId="0" fillId="2" borderId="78" xfId="0" applyNumberFormat="1" applyFill="1" applyBorder="1" applyAlignment="1">
      <alignment horizontal="left"/>
    </xf>
    <xf numFmtId="0" fontId="0" fillId="2" borderId="79" xfId="0" applyNumberFormat="1" applyFont="1" applyFill="1" applyBorder="1" applyAlignment="1">
      <alignment horizontal="left"/>
    </xf>
    <xf numFmtId="0" fontId="0" fillId="26" borderId="1" xfId="0" applyFill="1" applyBorder="1" applyAlignment="1">
      <alignment horizontal="center"/>
    </xf>
    <xf numFmtId="0" fontId="0" fillId="25" borderId="1" xfId="0" applyFill="1" applyBorder="1" applyAlignment="1">
      <alignment horizontal="center"/>
    </xf>
    <xf numFmtId="0" fontId="4" fillId="12" borderId="1" xfId="0" applyFont="1" applyFill="1" applyBorder="1" applyAlignment="1">
      <alignment horizontal="center"/>
    </xf>
    <xf numFmtId="0" fontId="0" fillId="2" borderId="10" xfId="0" applyFill="1" applyBorder="1"/>
    <xf numFmtId="0" fontId="0" fillId="2" borderId="80" xfId="0" applyFill="1" applyBorder="1"/>
    <xf numFmtId="169" fontId="0" fillId="2" borderId="80" xfId="1" applyNumberFormat="1" applyFont="1" applyFill="1" applyBorder="1"/>
    <xf numFmtId="0" fontId="0" fillId="2" borderId="9" xfId="0" applyFill="1" applyBorder="1"/>
    <xf numFmtId="0" fontId="0" fillId="2" borderId="12" xfId="0" applyFill="1" applyBorder="1"/>
    <xf numFmtId="0" fontId="0" fillId="2" borderId="61" xfId="0" applyFill="1" applyBorder="1"/>
    <xf numFmtId="0" fontId="0" fillId="2" borderId="61" xfId="0" applyFill="1" applyBorder="1" applyAlignment="1">
      <alignment horizontal="center"/>
    </xf>
    <xf numFmtId="0" fontId="0" fillId="2" borderId="8" xfId="0" applyFill="1" applyBorder="1"/>
    <xf numFmtId="0" fontId="0" fillId="2" borderId="60" xfId="0" applyFill="1" applyBorder="1"/>
    <xf numFmtId="169" fontId="0" fillId="2" borderId="60" xfId="1" applyNumberFormat="1" applyFont="1" applyFill="1" applyBorder="1"/>
    <xf numFmtId="0" fontId="0" fillId="2" borderId="7" xfId="0" applyFill="1" applyBorder="1"/>
    <xf numFmtId="0" fontId="42" fillId="66" borderId="81" xfId="0" applyFont="1" applyFill="1" applyBorder="1" applyAlignment="1">
      <alignment horizontal="left" vertical="center" indent="1"/>
    </xf>
    <xf numFmtId="0" fontId="0" fillId="0" borderId="0" xfId="0" applyFill="1"/>
    <xf numFmtId="2" fontId="0" fillId="12" borderId="0" xfId="1" applyNumberFormat="1" applyFont="1" applyFill="1"/>
    <xf numFmtId="2" fontId="0" fillId="13" borderId="2" xfId="1" applyNumberFormat="1" applyFont="1" applyFill="1" applyBorder="1" applyAlignment="1">
      <alignment horizontal="center"/>
    </xf>
    <xf numFmtId="2" fontId="0" fillId="13" borderId="1" xfId="1" applyNumberFormat="1" applyFont="1" applyFill="1" applyBorder="1" applyAlignment="1">
      <alignment horizontal="center"/>
    </xf>
    <xf numFmtId="2" fontId="0" fillId="2" borderId="2" xfId="1" applyNumberFormat="1" applyFont="1" applyFill="1" applyBorder="1" applyAlignment="1">
      <alignment horizontal="center"/>
    </xf>
    <xf numFmtId="0" fontId="2" fillId="2" borderId="0" xfId="2" applyFill="1" applyAlignment="1">
      <alignment horizontal="center"/>
    </xf>
    <xf numFmtId="0" fontId="8" fillId="60" borderId="63" xfId="0" applyFont="1" applyFill="1" applyBorder="1" applyAlignment="1">
      <alignment horizontal="left"/>
    </xf>
    <xf numFmtId="0" fontId="8" fillId="60" borderId="0" xfId="0" applyFont="1" applyFill="1" applyBorder="1" applyAlignment="1">
      <alignment horizontal="left"/>
    </xf>
    <xf numFmtId="0" fontId="8" fillId="60" borderId="59" xfId="0" applyFont="1" applyFill="1" applyBorder="1" applyAlignment="1"/>
    <xf numFmtId="18" fontId="42" fillId="56" borderId="82" xfId="0" applyNumberFormat="1" applyFont="1" applyFill="1" applyBorder="1" applyAlignment="1">
      <alignment horizontal="left" indent="1"/>
    </xf>
    <xf numFmtId="0" fontId="43" fillId="56" borderId="0" xfId="0" applyFont="1" applyFill="1" applyAlignment="1">
      <alignment horizontal="left" indent="1"/>
    </xf>
    <xf numFmtId="0" fontId="43" fillId="67" borderId="0" xfId="0" applyFont="1" applyFill="1" applyAlignment="1">
      <alignment horizontal="left" indent="1"/>
    </xf>
    <xf numFmtId="0" fontId="42" fillId="66" borderId="82" xfId="0" applyFont="1" applyFill="1" applyBorder="1" applyAlignment="1">
      <alignment horizontal="left" indent="1"/>
    </xf>
    <xf numFmtId="0" fontId="43" fillId="66" borderId="0" xfId="0" applyFont="1" applyFill="1" applyAlignment="1">
      <alignment horizontal="left" indent="1"/>
    </xf>
    <xf numFmtId="0" fontId="42" fillId="56" borderId="82" xfId="0" applyFont="1" applyFill="1" applyBorder="1" applyAlignment="1">
      <alignment horizontal="left" indent="1"/>
    </xf>
    <xf numFmtId="18" fontId="42" fillId="66" borderId="82" xfId="0" applyNumberFormat="1" applyFont="1" applyFill="1" applyBorder="1" applyAlignment="1">
      <alignment horizontal="left" indent="1"/>
    </xf>
    <xf numFmtId="0" fontId="43" fillId="68" borderId="0" xfId="0" applyFont="1" applyFill="1" applyAlignment="1">
      <alignment horizontal="left" indent="1"/>
    </xf>
    <xf numFmtId="0" fontId="43" fillId="66" borderId="83" xfId="0" applyFont="1" applyFill="1" applyBorder="1" applyAlignment="1">
      <alignment horizontal="left" indent="1"/>
    </xf>
    <xf numFmtId="18" fontId="42" fillId="66" borderId="84" xfId="0" applyNumberFormat="1" applyFont="1" applyFill="1" applyBorder="1" applyAlignment="1">
      <alignment horizontal="left" indent="1"/>
    </xf>
    <xf numFmtId="0" fontId="43" fillId="66" borderId="85" xfId="0" applyFont="1" applyFill="1" applyBorder="1" applyAlignment="1">
      <alignment horizontal="left" indent="1"/>
    </xf>
    <xf numFmtId="0" fontId="43" fillId="67" borderId="85" xfId="0" applyFont="1" applyFill="1" applyBorder="1" applyAlignment="1">
      <alignment horizontal="left" indent="1"/>
    </xf>
    <xf numFmtId="0" fontId="43" fillId="66" borderId="83" xfId="2" applyFont="1" applyFill="1" applyBorder="1" applyAlignment="1" applyProtection="1">
      <alignment horizontal="left" indent="1"/>
    </xf>
    <xf numFmtId="0" fontId="43" fillId="66" borderId="86" xfId="2" applyFont="1" applyFill="1" applyBorder="1" applyAlignment="1" applyProtection="1">
      <alignment horizontal="left" indent="1"/>
    </xf>
    <xf numFmtId="0" fontId="42" fillId="66" borderId="0" xfId="0" applyFont="1" applyFill="1" applyAlignment="1">
      <alignment horizontal="left" vertical="center" indent="1"/>
    </xf>
    <xf numFmtId="0" fontId="0" fillId="12" borderId="50" xfId="0" applyFill="1" applyBorder="1"/>
    <xf numFmtId="166" fontId="4" fillId="12" borderId="3" xfId="0" applyNumberFormat="1" applyFont="1" applyFill="1" applyBorder="1" applyAlignment="1">
      <alignment horizontal="center"/>
    </xf>
    <xf numFmtId="166" fontId="0" fillId="2" borderId="0" xfId="0" applyNumberFormat="1" applyFill="1" applyBorder="1" applyAlignment="1">
      <alignment horizontal="center"/>
    </xf>
    <xf numFmtId="0" fontId="0" fillId="0" borderId="0" xfId="0" applyBorder="1" applyAlignment="1">
      <alignment horizontal="center"/>
    </xf>
    <xf numFmtId="0" fontId="0" fillId="0" borderId="0" xfId="0" applyBorder="1" applyAlignment="1">
      <alignment horizontal="left"/>
    </xf>
    <xf numFmtId="169" fontId="0" fillId="2" borderId="2" xfId="1" applyNumberFormat="1" applyFont="1" applyFill="1" applyBorder="1" applyAlignment="1">
      <alignment horizontal="center"/>
    </xf>
    <xf numFmtId="166" fontId="0" fillId="2" borderId="2" xfId="0" applyNumberFormat="1" applyFill="1" applyBorder="1" applyAlignment="1">
      <alignment horizontal="center"/>
    </xf>
    <xf numFmtId="10" fontId="0" fillId="2" borderId="2" xfId="3" applyNumberFormat="1" applyFont="1" applyFill="1" applyBorder="1" applyAlignment="1">
      <alignment horizontal="center"/>
    </xf>
    <xf numFmtId="1" fontId="0" fillId="2" borderId="2" xfId="0" applyNumberFormat="1" applyFill="1" applyBorder="1" applyAlignment="1">
      <alignment horizontal="center"/>
    </xf>
    <xf numFmtId="1" fontId="0" fillId="13" borderId="1" xfId="0" applyNumberFormat="1" applyFill="1" applyBorder="1" applyAlignment="1">
      <alignment horizontal="center"/>
    </xf>
    <xf numFmtId="166" fontId="0" fillId="2" borderId="2" xfId="1" applyNumberFormat="1" applyFont="1" applyFill="1" applyBorder="1" applyAlignment="1" applyProtection="1">
      <alignment horizontal="center"/>
      <protection locked="0"/>
    </xf>
    <xf numFmtId="9" fontId="0" fillId="2" borderId="2" xfId="3" applyFont="1" applyFill="1" applyBorder="1" applyAlignment="1">
      <alignment horizontal="center"/>
    </xf>
    <xf numFmtId="0" fontId="0" fillId="21" borderId="3" xfId="0" applyFill="1" applyBorder="1" applyAlignment="1">
      <alignment horizontal="center"/>
    </xf>
    <xf numFmtId="0" fontId="0" fillId="2" borderId="9" xfId="0" applyNumberFormat="1" applyFill="1" applyBorder="1" applyAlignment="1">
      <alignment horizontal="left"/>
    </xf>
    <xf numFmtId="169" fontId="0" fillId="2" borderId="3" xfId="1" applyNumberFormat="1" applyFont="1" applyFill="1" applyBorder="1" applyAlignment="1" applyProtection="1">
      <alignment horizontal="center"/>
      <protection locked="0"/>
    </xf>
    <xf numFmtId="9" fontId="0" fillId="2" borderId="3" xfId="3" applyFont="1" applyFill="1" applyBorder="1" applyAlignment="1" applyProtection="1">
      <alignment horizontal="center"/>
      <protection locked="0"/>
    </xf>
    <xf numFmtId="1" fontId="0" fillId="2" borderId="3" xfId="1" applyNumberFormat="1" applyFont="1" applyFill="1" applyBorder="1" applyAlignment="1" applyProtection="1">
      <alignment horizontal="center"/>
      <protection locked="0"/>
    </xf>
    <xf numFmtId="166" fontId="0" fillId="2" borderId="3" xfId="1" applyNumberFormat="1" applyFont="1" applyFill="1" applyBorder="1" applyAlignment="1" applyProtection="1">
      <alignment horizontal="center"/>
      <protection locked="0"/>
    </xf>
    <xf numFmtId="2" fontId="0" fillId="2" borderId="3" xfId="1" applyNumberFormat="1" applyFont="1" applyFill="1" applyBorder="1" applyAlignment="1" applyProtection="1">
      <alignment horizontal="center"/>
      <protection locked="0"/>
    </xf>
    <xf numFmtId="167" fontId="0" fillId="2" borderId="87" xfId="1" applyNumberFormat="1" applyFont="1" applyFill="1" applyBorder="1" applyAlignment="1" applyProtection="1">
      <alignment horizontal="center"/>
      <protection locked="0"/>
    </xf>
    <xf numFmtId="0" fontId="0" fillId="21" borderId="70" xfId="0" applyFill="1" applyBorder="1" applyAlignment="1">
      <alignment horizontal="center"/>
    </xf>
    <xf numFmtId="0" fontId="0" fillId="2" borderId="73" xfId="0" applyNumberFormat="1" applyFill="1" applyBorder="1" applyAlignment="1" applyProtection="1">
      <alignment horizontal="left"/>
      <protection locked="0"/>
    </xf>
    <xf numFmtId="169" fontId="0" fillId="2" borderId="73" xfId="1" applyNumberFormat="1" applyFont="1" applyFill="1" applyBorder="1" applyAlignment="1" applyProtection="1">
      <alignment horizontal="center"/>
      <protection locked="0"/>
    </xf>
    <xf numFmtId="9" fontId="44" fillId="2" borderId="73" xfId="3" applyNumberFormat="1" applyFont="1" applyFill="1" applyBorder="1" applyAlignment="1" applyProtection="1">
      <alignment horizontal="center"/>
      <protection locked="0"/>
    </xf>
    <xf numFmtId="2" fontId="0" fillId="2" borderId="73" xfId="1" applyNumberFormat="1" applyFont="1" applyFill="1" applyBorder="1" applyAlignment="1" applyProtection="1">
      <alignment horizontal="center"/>
      <protection locked="0"/>
    </xf>
    <xf numFmtId="1" fontId="0" fillId="2" borderId="73" xfId="1" applyNumberFormat="1" applyFont="1" applyFill="1" applyBorder="1" applyAlignment="1" applyProtection="1">
      <alignment horizontal="center"/>
      <protection locked="0"/>
    </xf>
    <xf numFmtId="166" fontId="0" fillId="2" borderId="73" xfId="3" applyNumberFormat="1" applyFont="1" applyFill="1" applyBorder="1" applyAlignment="1" applyProtection="1">
      <protection locked="0"/>
    </xf>
    <xf numFmtId="166" fontId="0" fillId="2" borderId="73" xfId="3" applyNumberFormat="1" applyFont="1" applyFill="1" applyBorder="1" applyAlignment="1" applyProtection="1">
      <alignment horizontal="center"/>
      <protection locked="0"/>
    </xf>
    <xf numFmtId="2" fontId="0" fillId="2" borderId="73" xfId="8" applyNumberFormat="1" applyFont="1" applyFill="1" applyBorder="1" applyAlignment="1" applyProtection="1">
      <alignment horizontal="center"/>
      <protection locked="0"/>
    </xf>
    <xf numFmtId="2" fontId="44" fillId="2" borderId="73" xfId="3" applyNumberFormat="1" applyFont="1" applyFill="1" applyBorder="1" applyAlignment="1" applyProtection="1">
      <alignment horizontal="center"/>
      <protection locked="0"/>
    </xf>
    <xf numFmtId="2" fontId="44" fillId="2" borderId="73" xfId="1" applyNumberFormat="1" applyFont="1" applyFill="1" applyBorder="1" applyAlignment="1" applyProtection="1">
      <alignment horizontal="center"/>
      <protection locked="0"/>
    </xf>
    <xf numFmtId="2" fontId="0" fillId="2" borderId="73" xfId="3" applyNumberFormat="1" applyFont="1" applyFill="1" applyBorder="1" applyAlignment="1" applyProtection="1">
      <alignment horizontal="center"/>
      <protection locked="0"/>
    </xf>
    <xf numFmtId="167" fontId="0" fillId="2" borderId="71" xfId="3" applyNumberFormat="1" applyFont="1" applyFill="1" applyBorder="1" applyAlignment="1" applyProtection="1">
      <alignment horizontal="center"/>
      <protection locked="0"/>
    </xf>
    <xf numFmtId="0" fontId="0" fillId="26" borderId="40" xfId="0" applyFill="1" applyBorder="1" applyAlignment="1">
      <alignment horizontal="center"/>
    </xf>
    <xf numFmtId="0" fontId="0" fillId="2" borderId="51" xfId="0" applyNumberFormat="1" applyFill="1" applyBorder="1" applyAlignment="1" applyProtection="1">
      <alignment horizontal="left"/>
      <protection locked="0"/>
    </xf>
    <xf numFmtId="169" fontId="0" fillId="2" borderId="51" xfId="1" applyNumberFormat="1" applyFont="1" applyFill="1" applyBorder="1" applyAlignment="1" applyProtection="1">
      <alignment horizontal="center"/>
      <protection locked="0"/>
    </xf>
    <xf numFmtId="9" fontId="44" fillId="2" borderId="51" xfId="3" applyNumberFormat="1" applyFont="1" applyFill="1" applyBorder="1" applyAlignment="1" applyProtection="1">
      <alignment horizontal="center"/>
      <protection locked="0"/>
    </xf>
    <xf numFmtId="2" fontId="0" fillId="2" borderId="51" xfId="1" applyNumberFormat="1" applyFont="1" applyFill="1" applyBorder="1" applyAlignment="1" applyProtection="1">
      <alignment horizontal="center"/>
      <protection locked="0"/>
    </xf>
    <xf numFmtId="1" fontId="0" fillId="2" borderId="51" xfId="1" applyNumberFormat="1" applyFont="1" applyFill="1" applyBorder="1" applyAlignment="1" applyProtection="1">
      <alignment horizontal="center"/>
      <protection locked="0"/>
    </xf>
    <xf numFmtId="166" fontId="0" fillId="2" borderId="51" xfId="3" applyNumberFormat="1" applyFont="1" applyFill="1" applyBorder="1" applyAlignment="1" applyProtection="1">
      <protection locked="0"/>
    </xf>
    <xf numFmtId="166" fontId="0" fillId="2" borderId="51" xfId="3" applyNumberFormat="1" applyFont="1" applyFill="1" applyBorder="1" applyAlignment="1" applyProtection="1">
      <alignment horizontal="center"/>
      <protection locked="0"/>
    </xf>
    <xf numFmtId="2" fontId="0" fillId="2" borderId="51" xfId="8" applyNumberFormat="1" applyFont="1" applyFill="1" applyBorder="1" applyAlignment="1" applyProtection="1">
      <alignment horizontal="center"/>
      <protection locked="0"/>
    </xf>
    <xf numFmtId="2" fontId="44" fillId="2" borderId="51" xfId="3" applyNumberFormat="1" applyFont="1" applyFill="1" applyBorder="1" applyAlignment="1" applyProtection="1">
      <alignment horizontal="center"/>
      <protection locked="0"/>
    </xf>
    <xf numFmtId="2" fontId="44" fillId="2" borderId="51" xfId="1" applyNumberFormat="1" applyFont="1" applyFill="1" applyBorder="1" applyAlignment="1" applyProtection="1">
      <alignment horizontal="center"/>
      <protection locked="0"/>
    </xf>
    <xf numFmtId="2" fontId="0" fillId="2" borderId="51" xfId="3" applyNumberFormat="1" applyFont="1" applyFill="1" applyBorder="1" applyAlignment="1" applyProtection="1">
      <alignment horizontal="center"/>
      <protection locked="0"/>
    </xf>
    <xf numFmtId="167" fontId="0" fillId="2" borderId="41" xfId="3" applyNumberFormat="1" applyFont="1" applyFill="1" applyBorder="1" applyAlignment="1" applyProtection="1">
      <alignment horizontal="center"/>
      <protection locked="0"/>
    </xf>
    <xf numFmtId="0" fontId="0" fillId="25" borderId="40" xfId="0" applyFill="1" applyBorder="1" applyAlignment="1">
      <alignment horizontal="center"/>
    </xf>
    <xf numFmtId="9" fontId="0" fillId="0" borderId="1" xfId="0" applyNumberFormat="1" applyBorder="1" applyAlignment="1">
      <alignment horizontal="center"/>
    </xf>
    <xf numFmtId="16" fontId="0" fillId="0" borderId="0" xfId="0" applyNumberFormat="1" applyAlignment="1">
      <alignment horizontal="center"/>
    </xf>
    <xf numFmtId="9" fontId="0" fillId="0" borderId="0" xfId="0" applyNumberFormat="1" applyAlignment="1">
      <alignment horizontal="center"/>
    </xf>
    <xf numFmtId="17" fontId="0" fillId="0" borderId="0" xfId="0" applyNumberFormat="1" applyAlignment="1">
      <alignment horizontal="center"/>
    </xf>
    <xf numFmtId="1" fontId="0" fillId="0" borderId="0" xfId="0" applyNumberFormat="1" applyBorder="1" applyAlignment="1">
      <alignment horizontal="center"/>
    </xf>
    <xf numFmtId="0" fontId="8" fillId="69" borderId="88" xfId="0" applyNumberFormat="1" applyFont="1" applyFill="1" applyBorder="1" applyAlignment="1"/>
    <xf numFmtId="49" fontId="0" fillId="0" borderId="0" xfId="0" applyNumberFormat="1"/>
    <xf numFmtId="0" fontId="0" fillId="0" borderId="2" xfId="0" applyBorder="1" applyAlignment="1">
      <alignment horizontal="center"/>
    </xf>
    <xf numFmtId="0" fontId="0" fillId="0" borderId="3" xfId="0" applyBorder="1" applyAlignment="1">
      <alignment horizontal="center"/>
    </xf>
    <xf numFmtId="0" fontId="0" fillId="0" borderId="0" xfId="0" applyAlignment="1">
      <alignment horizontal="center"/>
    </xf>
    <xf numFmtId="0" fontId="0" fillId="0" borderId="0" xfId="0" applyAlignment="1">
      <alignment horizontal="center"/>
    </xf>
    <xf numFmtId="9" fontId="0" fillId="0" borderId="0" xfId="0" applyNumberFormat="1"/>
    <xf numFmtId="1" fontId="0" fillId="0" borderId="1" xfId="0" applyNumberFormat="1" applyBorder="1"/>
    <xf numFmtId="9" fontId="0" fillId="0" borderId="1" xfId="0" applyNumberFormat="1" applyBorder="1"/>
    <xf numFmtId="9" fontId="0" fillId="0" borderId="0" xfId="0" applyNumberFormat="1" applyBorder="1" applyAlignment="1">
      <alignment horizontal="center"/>
    </xf>
    <xf numFmtId="0" fontId="0" fillId="12" borderId="18" xfId="0" applyFill="1" applyBorder="1"/>
    <xf numFmtId="0" fontId="0" fillId="12" borderId="0" xfId="0" applyFill="1" applyBorder="1"/>
    <xf numFmtId="0" fontId="0" fillId="12" borderId="27" xfId="0" applyFill="1" applyBorder="1"/>
    <xf numFmtId="0" fontId="0" fillId="12" borderId="18" xfId="0" applyFill="1" applyBorder="1" applyAlignment="1">
      <alignment horizontal="left"/>
    </xf>
    <xf numFmtId="0" fontId="0" fillId="12" borderId="0" xfId="0" applyFill="1" applyBorder="1" applyAlignment="1">
      <alignment horizontal="left"/>
    </xf>
    <xf numFmtId="0" fontId="0" fillId="12" borderId="27" xfId="0" applyFill="1" applyBorder="1" applyAlignment="1">
      <alignment horizontal="left"/>
    </xf>
    <xf numFmtId="1" fontId="0" fillId="2" borderId="90" xfId="0" applyNumberFormat="1" applyFill="1" applyBorder="1" applyAlignment="1">
      <alignment horizontal="center"/>
    </xf>
    <xf numFmtId="171" fontId="0" fillId="2" borderId="91" xfId="0" applyNumberFormat="1" applyFill="1" applyBorder="1" applyAlignment="1">
      <alignment horizontal="right"/>
    </xf>
    <xf numFmtId="1" fontId="0" fillId="2" borderId="91" xfId="0" applyNumberFormat="1" applyFill="1" applyBorder="1" applyAlignment="1">
      <alignment horizontal="center"/>
    </xf>
    <xf numFmtId="1" fontId="0" fillId="2" borderId="92" xfId="0" applyNumberFormat="1" applyFill="1" applyBorder="1" applyAlignment="1">
      <alignment horizontal="center"/>
    </xf>
    <xf numFmtId="0" fontId="4" fillId="2" borderId="0" xfId="0" applyFont="1" applyFill="1" applyBorder="1" applyAlignment="1"/>
    <xf numFmtId="1" fontId="0" fillId="2" borderId="96" xfId="1" applyNumberFormat="1" applyFont="1" applyFill="1" applyBorder="1" applyAlignment="1" applyProtection="1">
      <alignment horizontal="center"/>
      <protection locked="0"/>
    </xf>
    <xf numFmtId="1" fontId="0" fillId="2" borderId="97" xfId="1" applyNumberFormat="1" applyFont="1" applyFill="1" applyBorder="1" applyAlignment="1" applyProtection="1">
      <alignment horizontal="center"/>
      <protection locked="0"/>
    </xf>
    <xf numFmtId="1" fontId="0" fillId="2" borderId="98" xfId="0" applyNumberFormat="1" applyFill="1" applyBorder="1" applyAlignment="1">
      <alignment horizontal="center"/>
    </xf>
    <xf numFmtId="171" fontId="0" fillId="2" borderId="99" xfId="0" applyNumberFormat="1" applyFill="1" applyBorder="1" applyAlignment="1">
      <alignment horizontal="right"/>
    </xf>
    <xf numFmtId="1" fontId="0" fillId="2" borderId="99" xfId="0" applyNumberFormat="1" applyFill="1" applyBorder="1" applyAlignment="1">
      <alignment horizontal="center"/>
    </xf>
    <xf numFmtId="1" fontId="0" fillId="2" borderId="100" xfId="0" applyNumberFormat="1" applyFill="1" applyBorder="1" applyAlignment="1">
      <alignment horizontal="center"/>
    </xf>
    <xf numFmtId="0" fontId="0" fillId="2" borderId="96" xfId="0" applyFill="1" applyBorder="1" applyAlignment="1">
      <alignment horizontal="center"/>
    </xf>
    <xf numFmtId="166" fontId="0" fillId="2" borderId="97" xfId="0" applyNumberFormat="1" applyFill="1" applyBorder="1" applyAlignment="1">
      <alignment horizontal="center"/>
    </xf>
    <xf numFmtId="2" fontId="0" fillId="2" borderId="96" xfId="0" applyNumberFormat="1" applyFill="1" applyBorder="1" applyAlignment="1">
      <alignment horizontal="center"/>
    </xf>
    <xf numFmtId="0" fontId="0" fillId="2" borderId="101" xfId="0" applyFill="1" applyBorder="1" applyAlignment="1">
      <alignment horizontal="center"/>
    </xf>
    <xf numFmtId="166" fontId="0" fillId="2" borderId="102" xfId="0" applyNumberFormat="1" applyFill="1" applyBorder="1" applyAlignment="1">
      <alignment horizontal="center"/>
    </xf>
    <xf numFmtId="2" fontId="0" fillId="2" borderId="103" xfId="0" applyNumberFormat="1" applyFill="1" applyBorder="1" applyAlignment="1">
      <alignment horizontal="center"/>
    </xf>
    <xf numFmtId="2" fontId="0" fillId="2" borderId="104" xfId="0" applyNumberFormat="1" applyFill="1" applyBorder="1" applyAlignment="1">
      <alignment horizontal="center"/>
    </xf>
    <xf numFmtId="166" fontId="0" fillId="2" borderId="105" xfId="0" applyNumberFormat="1" applyFill="1" applyBorder="1" applyAlignment="1">
      <alignment horizontal="center"/>
    </xf>
    <xf numFmtId="0" fontId="0" fillId="2" borderId="5" xfId="0" applyFill="1" applyBorder="1" applyAlignment="1">
      <alignment horizontal="center"/>
    </xf>
    <xf numFmtId="0" fontId="0" fillId="2" borderId="60" xfId="0" applyFill="1" applyBorder="1" applyAlignment="1">
      <alignment horizontal="center"/>
    </xf>
    <xf numFmtId="167" fontId="0" fillId="13" borderId="7" xfId="1" applyNumberFormat="1" applyFont="1" applyFill="1" applyBorder="1" applyAlignment="1">
      <alignment horizontal="center"/>
    </xf>
    <xf numFmtId="167" fontId="0" fillId="13" borderId="6" xfId="1" applyNumberFormat="1" applyFont="1" applyFill="1" applyBorder="1" applyAlignment="1">
      <alignment horizontal="center"/>
    </xf>
    <xf numFmtId="10" fontId="0" fillId="12" borderId="0" xfId="3" applyNumberFormat="1" applyFont="1" applyFill="1" applyBorder="1" applyAlignment="1">
      <alignment horizontal="left"/>
    </xf>
    <xf numFmtId="2" fontId="0" fillId="12" borderId="0" xfId="0" applyNumberFormat="1" applyFill="1" applyBorder="1" applyAlignment="1">
      <alignment horizontal="left"/>
    </xf>
    <xf numFmtId="1" fontId="0" fillId="12" borderId="0" xfId="0" applyNumberFormat="1" applyFill="1" applyBorder="1" applyAlignment="1">
      <alignment horizontal="left"/>
    </xf>
    <xf numFmtId="166" fontId="0" fillId="2" borderId="96" xfId="0" applyNumberFormat="1" applyFill="1" applyBorder="1" applyAlignment="1">
      <alignment horizontal="center"/>
    </xf>
    <xf numFmtId="1" fontId="0" fillId="13" borderId="102" xfId="0" applyNumberFormat="1" applyFill="1" applyBorder="1" applyAlignment="1">
      <alignment horizontal="center"/>
    </xf>
    <xf numFmtId="1" fontId="0" fillId="13" borderId="97" xfId="0" applyNumberFormat="1" applyFill="1" applyBorder="1" applyAlignment="1">
      <alignment horizontal="center"/>
    </xf>
    <xf numFmtId="166" fontId="0" fillId="2" borderId="101" xfId="0" applyNumberFormat="1" applyFill="1" applyBorder="1" applyAlignment="1">
      <alignment horizontal="center"/>
    </xf>
    <xf numFmtId="166" fontId="0" fillId="2" borderId="103" xfId="0" applyNumberFormat="1" applyFill="1" applyBorder="1" applyAlignment="1">
      <alignment horizontal="center"/>
    </xf>
    <xf numFmtId="166" fontId="0" fillId="2" borderId="104" xfId="0" applyNumberFormat="1" applyFill="1" applyBorder="1" applyAlignment="1">
      <alignment horizontal="center"/>
    </xf>
    <xf numFmtId="10" fontId="0" fillId="2" borderId="104" xfId="3" applyNumberFormat="1" applyFont="1" applyFill="1" applyBorder="1" applyAlignment="1">
      <alignment horizontal="center"/>
    </xf>
    <xf numFmtId="1" fontId="0" fillId="2" borderId="109" xfId="0" applyNumberFormat="1" applyFill="1" applyBorder="1" applyAlignment="1">
      <alignment horizontal="center"/>
    </xf>
    <xf numFmtId="2" fontId="0" fillId="13" borderId="104" xfId="0" applyNumberFormat="1" applyFill="1" applyBorder="1" applyAlignment="1">
      <alignment horizontal="center"/>
    </xf>
    <xf numFmtId="1" fontId="0" fillId="13" borderId="105" xfId="0" applyNumberFormat="1" applyFill="1" applyBorder="1" applyAlignment="1">
      <alignment horizontal="center"/>
    </xf>
    <xf numFmtId="166" fontId="0" fillId="2" borderId="96" xfId="1" applyNumberFormat="1" applyFont="1" applyFill="1" applyBorder="1" applyAlignment="1" applyProtection="1">
      <alignment horizontal="center"/>
      <protection locked="0"/>
    </xf>
    <xf numFmtId="2" fontId="0" fillId="2" borderId="97" xfId="1" applyNumberFormat="1" applyFont="1" applyFill="1" applyBorder="1" applyAlignment="1" applyProtection="1">
      <alignment horizontal="center"/>
      <protection locked="0"/>
    </xf>
    <xf numFmtId="166" fontId="0" fillId="2" borderId="97" xfId="1" applyNumberFormat="1" applyFont="1" applyFill="1" applyBorder="1" applyAlignment="1" applyProtection="1">
      <alignment horizontal="center"/>
      <protection locked="0"/>
    </xf>
    <xf numFmtId="166" fontId="0" fillId="2" borderId="103" xfId="1" applyNumberFormat="1" applyFont="1" applyFill="1" applyBorder="1" applyAlignment="1" applyProtection="1">
      <alignment horizontal="center"/>
      <protection locked="0"/>
    </xf>
    <xf numFmtId="2" fontId="0" fillId="2" borderId="104" xfId="1" applyNumberFormat="1" applyFont="1" applyFill="1" applyBorder="1" applyAlignment="1" applyProtection="1">
      <alignment horizontal="center"/>
      <protection locked="0"/>
    </xf>
    <xf numFmtId="2" fontId="0" fillId="2" borderId="105" xfId="1" applyNumberFormat="1" applyFont="1" applyFill="1" applyBorder="1" applyAlignment="1" applyProtection="1">
      <alignment horizontal="center"/>
      <protection locked="0"/>
    </xf>
    <xf numFmtId="2" fontId="0" fillId="2" borderId="7" xfId="1" applyNumberFormat="1" applyFont="1" applyFill="1" applyBorder="1" applyAlignment="1" applyProtection="1">
      <alignment horizontal="center"/>
      <protection locked="0"/>
    </xf>
    <xf numFmtId="2" fontId="0" fillId="2" borderId="6" xfId="1" applyNumberFormat="1" applyFont="1" applyFill="1" applyBorder="1" applyAlignment="1" applyProtection="1">
      <alignment horizontal="center"/>
      <protection locked="0"/>
    </xf>
    <xf numFmtId="169" fontId="0" fillId="2" borderId="6" xfId="1" applyNumberFormat="1" applyFont="1" applyFill="1" applyBorder="1" applyAlignment="1" applyProtection="1">
      <alignment horizontal="center"/>
      <protection locked="0"/>
    </xf>
    <xf numFmtId="2" fontId="0" fillId="12" borderId="0" xfId="0" applyNumberFormat="1" applyFill="1" applyBorder="1"/>
    <xf numFmtId="166" fontId="0" fillId="12" borderId="0" xfId="0" applyNumberFormat="1" applyFill="1" applyBorder="1"/>
    <xf numFmtId="44" fontId="0" fillId="12" borderId="27" xfId="1" applyFont="1" applyFill="1" applyBorder="1"/>
    <xf numFmtId="169" fontId="0" fillId="2" borderId="97" xfId="1" applyNumberFormat="1" applyFont="1" applyFill="1" applyBorder="1" applyAlignment="1" applyProtection="1">
      <alignment horizontal="center"/>
      <protection locked="0"/>
    </xf>
    <xf numFmtId="166" fontId="0" fillId="2" borderId="104" xfId="1" applyNumberFormat="1" applyFont="1" applyFill="1" applyBorder="1" applyAlignment="1" applyProtection="1">
      <alignment horizontal="center"/>
      <protection locked="0"/>
    </xf>
    <xf numFmtId="1" fontId="0" fillId="2" borderId="104" xfId="1" applyNumberFormat="1" applyFont="1" applyFill="1" applyBorder="1" applyAlignment="1" applyProtection="1">
      <alignment horizontal="center"/>
      <protection locked="0"/>
    </xf>
    <xf numFmtId="169" fontId="0" fillId="2" borderId="105" xfId="1" applyNumberFormat="1" applyFont="1" applyFill="1" applyBorder="1" applyAlignment="1" applyProtection="1">
      <alignment horizontal="center"/>
      <protection locked="0"/>
    </xf>
    <xf numFmtId="1" fontId="0" fillId="2" borderId="93" xfId="1" applyNumberFormat="1" applyFont="1" applyFill="1" applyBorder="1" applyAlignment="1" applyProtection="1">
      <alignment horizontal="center"/>
      <protection locked="0"/>
    </xf>
    <xf numFmtId="1" fontId="0" fillId="2" borderId="94" xfId="1" applyNumberFormat="1" applyFont="1" applyFill="1" applyBorder="1" applyAlignment="1" applyProtection="1">
      <alignment horizontal="center"/>
      <protection locked="0"/>
    </xf>
    <xf numFmtId="1" fontId="0" fillId="2" borderId="95" xfId="1" applyNumberFormat="1" applyFont="1" applyFill="1" applyBorder="1" applyAlignment="1" applyProtection="1">
      <alignment horizontal="center"/>
      <protection locked="0"/>
    </xf>
    <xf numFmtId="0" fontId="0" fillId="2" borderId="4" xfId="0" applyFill="1" applyBorder="1" applyAlignment="1">
      <alignment horizontal="center"/>
    </xf>
    <xf numFmtId="2" fontId="0" fillId="2" borderId="6" xfId="0" applyNumberFormat="1" applyFill="1" applyBorder="1" applyAlignment="1">
      <alignment horizontal="center"/>
    </xf>
    <xf numFmtId="166" fontId="0" fillId="12" borderId="18" xfId="0" applyNumberFormat="1" applyFill="1" applyBorder="1"/>
    <xf numFmtId="9" fontId="0" fillId="2" borderId="104" xfId="3" applyFont="1" applyFill="1" applyBorder="1" applyAlignment="1">
      <alignment horizontal="center"/>
    </xf>
    <xf numFmtId="2" fontId="0" fillId="2" borderId="4" xfId="0" applyNumberFormat="1" applyFill="1" applyBorder="1" applyAlignment="1">
      <alignment horizontal="center"/>
    </xf>
    <xf numFmtId="166" fontId="0" fillId="2" borderId="4" xfId="0" applyNumberFormat="1" applyFill="1" applyBorder="1" applyAlignment="1">
      <alignment horizontal="center"/>
    </xf>
    <xf numFmtId="166" fontId="0" fillId="2" borderId="113" xfId="0" applyNumberFormat="1" applyFill="1" applyBorder="1" applyAlignment="1">
      <alignment horizontal="center"/>
    </xf>
    <xf numFmtId="9" fontId="0" fillId="12" borderId="18" xfId="3" applyFont="1" applyFill="1" applyBorder="1"/>
    <xf numFmtId="9" fontId="0" fillId="2" borderId="96" xfId="3" applyFont="1" applyFill="1" applyBorder="1" applyAlignment="1">
      <alignment horizontal="center"/>
    </xf>
    <xf numFmtId="9" fontId="0" fillId="2" borderId="103" xfId="3" applyFont="1" applyFill="1" applyBorder="1" applyAlignment="1">
      <alignment horizontal="center"/>
    </xf>
    <xf numFmtId="168" fontId="0" fillId="12" borderId="18" xfId="8" applyNumberFormat="1" applyFont="1" applyFill="1" applyBorder="1"/>
    <xf numFmtId="2" fontId="0" fillId="12" borderId="0" xfId="8" applyNumberFormat="1" applyFont="1" applyFill="1" applyBorder="1" applyAlignment="1">
      <alignment horizontal="left"/>
    </xf>
    <xf numFmtId="1" fontId="0" fillId="2" borderId="104" xfId="0" applyNumberFormat="1" applyFill="1" applyBorder="1" applyAlignment="1">
      <alignment horizontal="center"/>
    </xf>
    <xf numFmtId="166" fontId="0" fillId="2" borderId="6" xfId="0" applyNumberFormat="1" applyFill="1" applyBorder="1" applyAlignment="1">
      <alignment horizontal="center"/>
    </xf>
    <xf numFmtId="166" fontId="0" fillId="2" borderId="114" xfId="0" applyNumberFormat="1" applyFill="1" applyBorder="1" applyAlignment="1">
      <alignment horizontal="center"/>
    </xf>
    <xf numFmtId="1" fontId="0" fillId="2" borderId="91" xfId="1" applyNumberFormat="1" applyFont="1" applyFill="1" applyBorder="1" applyAlignment="1" applyProtection="1">
      <alignment horizontal="center"/>
      <protection locked="0"/>
    </xf>
    <xf numFmtId="1" fontId="0" fillId="2" borderId="90" xfId="1" applyNumberFormat="1" applyFont="1" applyFill="1" applyBorder="1" applyAlignment="1" applyProtection="1">
      <alignment horizontal="center"/>
      <protection locked="0"/>
    </xf>
    <xf numFmtId="1" fontId="0" fillId="2" borderId="92" xfId="1" applyNumberFormat="1" applyFont="1" applyFill="1" applyBorder="1" applyAlignment="1" applyProtection="1">
      <alignment horizontal="center"/>
      <protection locked="0"/>
    </xf>
    <xf numFmtId="1" fontId="0" fillId="2" borderId="98" xfId="1" applyNumberFormat="1" applyFont="1" applyFill="1" applyBorder="1" applyAlignment="1" applyProtection="1">
      <alignment horizontal="center"/>
      <protection locked="0"/>
    </xf>
    <xf numFmtId="1" fontId="0" fillId="2" borderId="99" xfId="1" applyNumberFormat="1" applyFont="1" applyFill="1" applyBorder="1" applyAlignment="1" applyProtection="1">
      <alignment horizontal="center"/>
      <protection locked="0"/>
    </xf>
    <xf numFmtId="1" fontId="0" fillId="2" borderId="100" xfId="1" applyNumberFormat="1" applyFont="1" applyFill="1" applyBorder="1" applyAlignment="1" applyProtection="1">
      <alignment horizontal="center"/>
      <protection locked="0"/>
    </xf>
    <xf numFmtId="2" fontId="0" fillId="12" borderId="18" xfId="0" applyNumberFormat="1" applyFill="1" applyBorder="1"/>
    <xf numFmtId="2" fontId="0" fillId="2" borderId="6" xfId="1" applyNumberFormat="1" applyFont="1" applyFill="1" applyBorder="1" applyAlignment="1">
      <alignment horizontal="center"/>
    </xf>
    <xf numFmtId="44" fontId="0" fillId="12" borderId="27" xfId="1" applyFont="1" applyFill="1" applyBorder="1" applyAlignment="1">
      <alignment horizontal="left"/>
    </xf>
    <xf numFmtId="167" fontId="0" fillId="2" borderId="97" xfId="1" applyNumberFormat="1" applyFont="1" applyFill="1" applyBorder="1" applyAlignment="1">
      <alignment horizontal="center"/>
    </xf>
    <xf numFmtId="0" fontId="0" fillId="2" borderId="104" xfId="0" applyFill="1" applyBorder="1" applyAlignment="1">
      <alignment horizontal="center"/>
    </xf>
    <xf numFmtId="167" fontId="0" fillId="2" borderId="105" xfId="1" applyNumberFormat="1" applyFont="1" applyFill="1" applyBorder="1" applyAlignment="1">
      <alignment horizontal="center"/>
    </xf>
    <xf numFmtId="0" fontId="2" fillId="2" borderId="0" xfId="2" applyFill="1" applyBorder="1" applyAlignment="1">
      <alignment horizontal="center"/>
    </xf>
    <xf numFmtId="0" fontId="0" fillId="0" borderId="0" xfId="0" applyAlignment="1">
      <alignment horizontal="center"/>
    </xf>
    <xf numFmtId="0" fontId="0" fillId="0" borderId="1" xfId="0" applyBorder="1" applyAlignment="1"/>
    <xf numFmtId="0" fontId="0" fillId="0" borderId="1" xfId="0" applyNumberFormat="1" applyBorder="1" applyAlignment="1"/>
    <xf numFmtId="0" fontId="0" fillId="0" borderId="1" xfId="0" applyNumberFormat="1" applyBorder="1" applyAlignment="1">
      <alignment horizontal="left"/>
    </xf>
    <xf numFmtId="0" fontId="0" fillId="0" borderId="1" xfId="0" applyBorder="1" applyAlignment="1">
      <alignment horizontal="left"/>
    </xf>
    <xf numFmtId="10" fontId="0" fillId="13" borderId="2" xfId="3" applyNumberFormat="1" applyFont="1" applyFill="1" applyBorder="1" applyAlignment="1">
      <alignment horizontal="center"/>
    </xf>
    <xf numFmtId="10" fontId="0" fillId="13" borderId="1" xfId="3" applyNumberFormat="1" applyFont="1" applyFill="1" applyBorder="1" applyAlignment="1">
      <alignment horizontal="center"/>
    </xf>
    <xf numFmtId="10" fontId="0" fillId="13" borderId="3" xfId="3" applyNumberFormat="1" applyFont="1" applyFill="1" applyBorder="1" applyAlignment="1">
      <alignment horizontal="center"/>
    </xf>
    <xf numFmtId="0" fontId="6" fillId="2" borderId="0" xfId="7" applyFont="1" applyFill="1" applyBorder="1" applyAlignment="1">
      <alignment horizontal="center"/>
    </xf>
    <xf numFmtId="166" fontId="0" fillId="2" borderId="1" xfId="1" applyNumberFormat="1" applyFont="1" applyFill="1" applyBorder="1" applyAlignment="1">
      <alignment horizontal="center"/>
    </xf>
    <xf numFmtId="0" fontId="4" fillId="2" borderId="0" xfId="0" applyFont="1" applyFill="1" applyBorder="1"/>
    <xf numFmtId="172" fontId="0" fillId="2" borderId="1" xfId="0" applyNumberFormat="1" applyFill="1" applyBorder="1" applyAlignment="1">
      <alignment horizontal="center"/>
    </xf>
    <xf numFmtId="172" fontId="0" fillId="2" borderId="0" xfId="0" applyNumberFormat="1" applyFill="1" applyBorder="1" applyAlignment="1">
      <alignment horizontal="center"/>
    </xf>
    <xf numFmtId="0" fontId="0" fillId="2" borderId="3" xfId="0" applyNumberFormat="1" applyFill="1" applyBorder="1" applyAlignment="1">
      <alignment horizontal="center"/>
    </xf>
    <xf numFmtId="3" fontId="0" fillId="2" borderId="3" xfId="0" applyNumberFormat="1" applyFill="1" applyBorder="1" applyAlignment="1">
      <alignment horizontal="center"/>
    </xf>
    <xf numFmtId="172" fontId="0" fillId="2" borderId="3"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5" fillId="70" borderId="116" xfId="0" applyFont="1" applyFill="1" applyBorder="1" applyAlignment="1">
      <alignment horizontal="center" vertical="center"/>
    </xf>
    <xf numFmtId="0" fontId="45" fillId="70" borderId="117" xfId="0" applyFont="1" applyFill="1" applyBorder="1" applyAlignment="1">
      <alignment horizontal="center" vertical="center"/>
    </xf>
    <xf numFmtId="0" fontId="45" fillId="70" borderId="118" xfId="0" applyFont="1" applyFill="1" applyBorder="1" applyAlignment="1">
      <alignment horizontal="center" vertical="center"/>
    </xf>
    <xf numFmtId="169" fontId="46" fillId="2" borderId="12" xfId="0" applyNumberFormat="1" applyFont="1" applyFill="1" applyBorder="1" applyAlignment="1" applyProtection="1">
      <alignment horizontal="center"/>
      <protection locked="0"/>
    </xf>
    <xf numFmtId="169" fontId="46" fillId="2" borderId="0" xfId="0" applyNumberFormat="1" applyFont="1" applyFill="1" applyBorder="1" applyAlignment="1" applyProtection="1">
      <alignment horizontal="center"/>
      <protection locked="0"/>
    </xf>
    <xf numFmtId="0" fontId="47" fillId="2" borderId="64" xfId="0" applyNumberFormat="1" applyFont="1" applyFill="1" applyBorder="1" applyAlignment="1" applyProtection="1">
      <alignment horizontal="center"/>
      <protection locked="0"/>
    </xf>
    <xf numFmtId="1" fontId="46" fillId="2" borderId="0" xfId="0" applyNumberFormat="1" applyFont="1" applyFill="1" applyBorder="1" applyAlignment="1" applyProtection="1">
      <alignment horizontal="center"/>
      <protection locked="0"/>
    </xf>
    <xf numFmtId="0" fontId="46" fillId="2" borderId="0" xfId="0" applyFont="1" applyFill="1" applyBorder="1" applyAlignment="1">
      <alignment horizontal="center"/>
    </xf>
    <xf numFmtId="166" fontId="0" fillId="2" borderId="104" xfId="3" applyNumberFormat="1" applyFont="1" applyFill="1" applyBorder="1" applyAlignment="1">
      <alignment horizontal="center"/>
    </xf>
    <xf numFmtId="169" fontId="0" fillId="2" borderId="1" xfId="0" applyNumberFormat="1" applyFill="1" applyBorder="1" applyAlignment="1">
      <alignment horizontal="center"/>
    </xf>
    <xf numFmtId="0" fontId="2" fillId="2" borderId="0" xfId="2" applyFill="1" applyAlignment="1">
      <alignment horizontal="center"/>
    </xf>
    <xf numFmtId="0" fontId="22" fillId="12" borderId="0" xfId="0" applyFont="1" applyFill="1" applyAlignment="1">
      <alignment horizontal="center"/>
    </xf>
    <xf numFmtId="0" fontId="4" fillId="24" borderId="0" xfId="0" applyFont="1" applyFill="1" applyBorder="1" applyAlignment="1">
      <alignment horizontal="center"/>
    </xf>
    <xf numFmtId="0" fontId="4" fillId="12" borderId="0" xfId="0" applyFont="1" applyFill="1" applyAlignment="1">
      <alignment horizontal="center"/>
    </xf>
    <xf numFmtId="0" fontId="39" fillId="21" borderId="0" xfId="0" applyFont="1" applyFill="1" applyAlignment="1">
      <alignment horizontal="center"/>
    </xf>
    <xf numFmtId="0" fontId="0" fillId="25" borderId="0" xfId="0" applyFont="1" applyFill="1" applyAlignment="1">
      <alignment horizontal="center"/>
    </xf>
    <xf numFmtId="0" fontId="0" fillId="64" borderId="0" xfId="0" applyFont="1" applyFill="1" applyAlignment="1">
      <alignment horizontal="center"/>
    </xf>
    <xf numFmtId="0" fontId="4" fillId="23" borderId="0" xfId="0" applyFont="1" applyFill="1" applyAlignment="1">
      <alignment horizontal="center"/>
    </xf>
    <xf numFmtId="0" fontId="4" fillId="24" borderId="62" xfId="0" applyFont="1" applyFill="1" applyBorder="1" applyAlignment="1">
      <alignment horizontal="center"/>
    </xf>
    <xf numFmtId="0" fontId="4" fillId="57" borderId="106" xfId="0" applyFont="1" applyFill="1" applyBorder="1" applyAlignment="1">
      <alignment horizontal="center"/>
    </xf>
    <xf numFmtId="0" fontId="4" fillId="57" borderId="107" xfId="0" applyFont="1" applyFill="1" applyBorder="1" applyAlignment="1">
      <alignment horizontal="center"/>
    </xf>
    <xf numFmtId="0" fontId="4" fillId="57" borderId="108" xfId="0" applyFont="1" applyFill="1" applyBorder="1" applyAlignment="1">
      <alignment horizontal="center"/>
    </xf>
    <xf numFmtId="0" fontId="22" fillId="12" borderId="68" xfId="0" applyFont="1" applyFill="1" applyBorder="1" applyAlignment="1">
      <alignment horizontal="center"/>
    </xf>
    <xf numFmtId="0" fontId="22" fillId="12" borderId="0" xfId="0" applyFont="1" applyFill="1" applyBorder="1" applyAlignment="1">
      <alignment horizontal="center"/>
    </xf>
    <xf numFmtId="0" fontId="22" fillId="12" borderId="69" xfId="0" applyFont="1" applyFill="1" applyBorder="1" applyAlignment="1">
      <alignment horizontal="center"/>
    </xf>
    <xf numFmtId="164" fontId="0" fillId="3" borderId="70" xfId="0" applyNumberFormat="1" applyFill="1" applyBorder="1" applyAlignment="1">
      <alignment horizontal="center"/>
    </xf>
    <xf numFmtId="164" fontId="0" fillId="3" borderId="73" xfId="0" applyNumberFormat="1" applyFill="1" applyBorder="1" applyAlignment="1">
      <alignment horizontal="center"/>
    </xf>
    <xf numFmtId="164" fontId="0" fillId="3" borderId="71" xfId="0" applyNumberFormat="1" applyFill="1" applyBorder="1" applyAlignment="1">
      <alignment horizontal="center"/>
    </xf>
    <xf numFmtId="0" fontId="2" fillId="2" borderId="68" xfId="2" applyFill="1" applyBorder="1" applyAlignment="1">
      <alignment horizontal="center"/>
    </xf>
    <xf numFmtId="0" fontId="2" fillId="2" borderId="0" xfId="2" applyFill="1" applyBorder="1" applyAlignment="1">
      <alignment horizontal="center"/>
    </xf>
    <xf numFmtId="0" fontId="2" fillId="2" borderId="69" xfId="2" applyFill="1" applyBorder="1" applyAlignment="1">
      <alignment horizontal="center"/>
    </xf>
    <xf numFmtId="0" fontId="4" fillId="32" borderId="16" xfId="0" applyFont="1" applyFill="1" applyBorder="1" applyAlignment="1">
      <alignment horizontal="center"/>
    </xf>
    <xf numFmtId="0" fontId="4" fillId="32" borderId="17" xfId="0" applyFont="1" applyFill="1" applyBorder="1" applyAlignment="1">
      <alignment horizontal="center"/>
    </xf>
    <xf numFmtId="0" fontId="4" fillId="32" borderId="89" xfId="0" applyFont="1" applyFill="1" applyBorder="1" applyAlignment="1">
      <alignment horizontal="center"/>
    </xf>
    <xf numFmtId="0" fontId="0" fillId="3" borderId="16" xfId="0" applyFill="1" applyBorder="1" applyAlignment="1">
      <alignment horizontal="center"/>
    </xf>
    <xf numFmtId="0" fontId="0" fillId="3" borderId="17" xfId="0" applyFill="1" applyBorder="1" applyAlignment="1">
      <alignment horizontal="center"/>
    </xf>
    <xf numFmtId="0" fontId="0" fillId="3" borderId="89" xfId="0" applyFill="1" applyBorder="1" applyAlignment="1">
      <alignment horizontal="center"/>
    </xf>
    <xf numFmtId="0" fontId="4" fillId="57" borderId="16" xfId="0" applyFont="1" applyFill="1" applyBorder="1" applyAlignment="1">
      <alignment horizontal="center"/>
    </xf>
    <xf numFmtId="0" fontId="4" fillId="57" borderId="17" xfId="0" applyFont="1" applyFill="1" applyBorder="1" applyAlignment="1">
      <alignment horizontal="center"/>
    </xf>
    <xf numFmtId="0" fontId="4" fillId="57" borderId="89" xfId="0" applyFont="1" applyFill="1" applyBorder="1" applyAlignment="1">
      <alignment horizontal="center"/>
    </xf>
    <xf numFmtId="0" fontId="6" fillId="4" borderId="110" xfId="7" applyFont="1" applyFill="1" applyBorder="1" applyAlignment="1">
      <alignment horizontal="center"/>
    </xf>
    <xf numFmtId="0" fontId="6" fillId="4" borderId="111" xfId="7" applyFont="1" applyFill="1" applyBorder="1" applyAlignment="1">
      <alignment horizontal="center"/>
    </xf>
    <xf numFmtId="0" fontId="12" fillId="8" borderId="110" xfId="12" applyFont="1" applyFill="1" applyBorder="1" applyAlignment="1">
      <alignment horizontal="center"/>
    </xf>
    <xf numFmtId="0" fontId="12" fillId="8" borderId="112" xfId="12" applyFont="1" applyFill="1" applyBorder="1" applyAlignment="1">
      <alignment horizontal="center"/>
    </xf>
    <xf numFmtId="0" fontId="12" fillId="8" borderId="16" xfId="12" applyFont="1" applyFill="1" applyBorder="1" applyAlignment="1">
      <alignment horizontal="center"/>
    </xf>
    <xf numFmtId="0" fontId="12" fillId="8" borderId="89" xfId="12" applyFont="1" applyFill="1" applyBorder="1" applyAlignment="1">
      <alignment horizontal="center"/>
    </xf>
    <xf numFmtId="0" fontId="6" fillId="4" borderId="16" xfId="7" applyFont="1" applyFill="1" applyBorder="1" applyAlignment="1">
      <alignment horizontal="center"/>
    </xf>
    <xf numFmtId="0" fontId="6" fillId="4" borderId="89" xfId="7" applyFont="1" applyFill="1" applyBorder="1" applyAlignment="1">
      <alignment horizontal="center"/>
    </xf>
    <xf numFmtId="0" fontId="41" fillId="12" borderId="0" xfId="0" applyFont="1" applyFill="1" applyBorder="1" applyAlignment="1">
      <alignment horizontal="center"/>
    </xf>
    <xf numFmtId="0" fontId="41" fillId="12" borderId="61" xfId="0" applyFont="1" applyFill="1" applyBorder="1" applyAlignment="1">
      <alignment horizontal="center"/>
    </xf>
    <xf numFmtId="164" fontId="0" fillId="3" borderId="0" xfId="0" applyNumberFormat="1" applyFill="1" applyBorder="1" applyAlignment="1">
      <alignment horizontal="center"/>
    </xf>
    <xf numFmtId="164" fontId="0" fillId="3" borderId="61" xfId="0" applyNumberFormat="1" applyFill="1" applyBorder="1" applyAlignment="1">
      <alignment horizontal="center"/>
    </xf>
    <xf numFmtId="0" fontId="38" fillId="23" borderId="1" xfId="0" applyFont="1" applyFill="1" applyBorder="1" applyAlignment="1">
      <alignment horizontal="center" vertical="center"/>
    </xf>
    <xf numFmtId="0" fontId="8" fillId="31" borderId="4" xfId="0" applyFont="1" applyFill="1" applyBorder="1" applyAlignment="1">
      <alignment horizontal="center"/>
    </xf>
    <xf numFmtId="0" fontId="8" fillId="31" borderId="5" xfId="0" applyFont="1" applyFill="1" applyBorder="1" applyAlignment="1">
      <alignment horizontal="center"/>
    </xf>
    <xf numFmtId="0" fontId="8" fillId="31" borderId="6" xfId="0" applyFont="1" applyFill="1" applyBorder="1" applyAlignment="1">
      <alignment horizontal="center"/>
    </xf>
    <xf numFmtId="0" fontId="4" fillId="63" borderId="4" xfId="0" applyFont="1" applyFill="1" applyBorder="1" applyAlignment="1">
      <alignment horizontal="center"/>
    </xf>
    <xf numFmtId="0" fontId="4" fillId="63" borderId="5" xfId="0" applyFont="1" applyFill="1" applyBorder="1" applyAlignment="1">
      <alignment horizontal="center"/>
    </xf>
    <xf numFmtId="0" fontId="4" fillId="63" borderId="6" xfId="0" applyFont="1" applyFill="1" applyBorder="1" applyAlignment="1">
      <alignment horizontal="center"/>
    </xf>
    <xf numFmtId="0" fontId="13" fillId="2" borderId="0" xfId="2" applyFont="1" applyFill="1" applyBorder="1" applyAlignment="1">
      <alignment horizontal="center" vertical="center"/>
    </xf>
    <xf numFmtId="0" fontId="2" fillId="2" borderId="61" xfId="2" applyFill="1" applyBorder="1" applyAlignment="1">
      <alignment horizontal="center"/>
    </xf>
    <xf numFmtId="164" fontId="13" fillId="3" borderId="1" xfId="0" applyNumberFormat="1" applyFont="1" applyFill="1" applyBorder="1" applyAlignment="1">
      <alignment horizontal="center" vertical="center"/>
    </xf>
    <xf numFmtId="0" fontId="40" fillId="12" borderId="12" xfId="0" applyFont="1" applyFill="1" applyBorder="1" applyAlignment="1">
      <alignment horizontal="center"/>
    </xf>
    <xf numFmtId="0" fontId="40" fillId="12" borderId="0" xfId="0" applyFont="1" applyFill="1" applyBorder="1" applyAlignment="1">
      <alignment horizontal="center"/>
    </xf>
    <xf numFmtId="0" fontId="38" fillId="58" borderId="52" xfId="0" applyFont="1" applyFill="1" applyBorder="1" applyAlignment="1">
      <alignment horizontal="center" vertical="center"/>
    </xf>
    <xf numFmtId="0" fontId="38" fillId="58" borderId="53" xfId="0" applyFont="1" applyFill="1" applyBorder="1" applyAlignment="1">
      <alignment horizontal="center" vertical="center"/>
    </xf>
    <xf numFmtId="0" fontId="38" fillId="58" borderId="54" xfId="0" applyFont="1" applyFill="1" applyBorder="1" applyAlignment="1">
      <alignment horizontal="center" vertical="center"/>
    </xf>
    <xf numFmtId="0" fontId="38" fillId="58" borderId="55" xfId="0" applyFont="1" applyFill="1" applyBorder="1" applyAlignment="1">
      <alignment horizontal="center" vertical="center"/>
    </xf>
    <xf numFmtId="0" fontId="38" fillId="58" borderId="56" xfId="0" applyFont="1" applyFill="1" applyBorder="1" applyAlignment="1">
      <alignment horizontal="center" vertical="center"/>
    </xf>
    <xf numFmtId="0" fontId="38" fillId="58" borderId="57" xfId="0" applyFont="1" applyFill="1" applyBorder="1" applyAlignment="1">
      <alignment horizontal="center" vertical="center"/>
    </xf>
    <xf numFmtId="0" fontId="8" fillId="59" borderId="0" xfId="0" applyFont="1" applyFill="1" applyBorder="1" applyAlignment="1">
      <alignment horizontal="center"/>
    </xf>
    <xf numFmtId="170" fontId="8" fillId="2" borderId="0" xfId="0" applyNumberFormat="1" applyFont="1" applyFill="1" applyBorder="1" applyAlignment="1">
      <alignment horizontal="center"/>
    </xf>
    <xf numFmtId="0" fontId="8" fillId="2" borderId="0" xfId="0" applyFont="1" applyFill="1" applyBorder="1" applyAlignment="1">
      <alignment horizontal="center"/>
    </xf>
    <xf numFmtId="0" fontId="0" fillId="0" borderId="0" xfId="0" applyAlignment="1">
      <alignment horizontal="center"/>
    </xf>
    <xf numFmtId="0" fontId="12" fillId="65" borderId="38" xfId="0" applyFont="1" applyFill="1" applyBorder="1" applyAlignment="1">
      <alignment horizontal="center"/>
    </xf>
    <xf numFmtId="0" fontId="12" fillId="65" borderId="47" xfId="0" applyFont="1" applyFill="1" applyBorder="1" applyAlignment="1">
      <alignment horizontal="center"/>
    </xf>
    <xf numFmtId="0" fontId="28" fillId="36" borderId="38" xfId="22" applyBorder="1" applyAlignment="1">
      <alignment horizontal="center"/>
    </xf>
    <xf numFmtId="0" fontId="28" fillId="36" borderId="47" xfId="22" applyBorder="1" applyAlignment="1">
      <alignment horizontal="center"/>
    </xf>
    <xf numFmtId="0" fontId="16" fillId="12" borderId="1" xfId="0" applyFont="1" applyFill="1" applyBorder="1" applyAlignment="1">
      <alignment horizontal="center"/>
    </xf>
    <xf numFmtId="0" fontId="8" fillId="12" borderId="68" xfId="0" applyFont="1" applyFill="1" applyBorder="1" applyAlignment="1">
      <alignment horizontal="center" vertical="center"/>
    </xf>
    <xf numFmtId="0" fontId="8" fillId="12" borderId="0" xfId="0" applyFont="1" applyFill="1" applyBorder="1" applyAlignment="1">
      <alignment horizontal="center" vertical="center"/>
    </xf>
    <xf numFmtId="0" fontId="8" fillId="12" borderId="69" xfId="0" applyFont="1" applyFill="1" applyBorder="1" applyAlignment="1">
      <alignment horizontal="center" vertical="center"/>
    </xf>
    <xf numFmtId="0" fontId="3" fillId="3" borderId="70" xfId="7" applyFont="1" applyFill="1" applyBorder="1" applyAlignment="1">
      <alignment horizontal="center"/>
    </xf>
    <xf numFmtId="0" fontId="3" fillId="3" borderId="73" xfId="7" applyFont="1" applyFill="1" applyBorder="1" applyAlignment="1">
      <alignment horizontal="center"/>
    </xf>
    <xf numFmtId="0" fontId="3" fillId="3" borderId="71" xfId="7" applyFont="1" applyFill="1" applyBorder="1" applyAlignment="1">
      <alignment horizontal="center"/>
    </xf>
    <xf numFmtId="0" fontId="4" fillId="23" borderId="68" xfId="7" applyFont="1" applyFill="1" applyBorder="1" applyAlignment="1">
      <alignment horizontal="center"/>
    </xf>
    <xf numFmtId="0" fontId="4" fillId="23" borderId="0" xfId="7" applyFont="1" applyFill="1" applyBorder="1" applyAlignment="1">
      <alignment horizontal="center"/>
    </xf>
    <xf numFmtId="0" fontId="6" fillId="3" borderId="40" xfId="21" applyFont="1" applyFill="1" applyBorder="1" applyAlignment="1">
      <alignment horizontal="center"/>
    </xf>
    <xf numFmtId="0" fontId="6" fillId="3" borderId="51" xfId="21" applyFont="1" applyFill="1" applyBorder="1" applyAlignment="1">
      <alignment horizontal="center"/>
    </xf>
    <xf numFmtId="0" fontId="6" fillId="3" borderId="41" xfId="21" applyFont="1" applyFill="1" applyBorder="1" applyAlignment="1">
      <alignment horizontal="center"/>
    </xf>
    <xf numFmtId="0" fontId="6" fillId="3" borderId="14" xfId="25" applyFont="1" applyFill="1" applyAlignment="1">
      <alignment horizontal="center"/>
    </xf>
    <xf numFmtId="0" fontId="12" fillId="8" borderId="40" xfId="12" applyFont="1" applyFill="1" applyBorder="1" applyAlignment="1">
      <alignment horizontal="center"/>
    </xf>
    <xf numFmtId="0" fontId="12" fillId="8" borderId="41" xfId="12" applyFont="1" applyFill="1" applyBorder="1" applyAlignment="1">
      <alignment horizontal="center"/>
    </xf>
    <xf numFmtId="0" fontId="6" fillId="4" borderId="40" xfId="7" applyFont="1" applyFill="1" applyBorder="1" applyAlignment="1">
      <alignment horizontal="center"/>
    </xf>
    <xf numFmtId="0" fontId="6" fillId="4" borderId="51" xfId="7" applyFont="1" applyFill="1" applyBorder="1" applyAlignment="1">
      <alignment horizontal="center"/>
    </xf>
    <xf numFmtId="0" fontId="12" fillId="8" borderId="115" xfId="12" applyFont="1" applyFill="1" applyBorder="1" applyAlignment="1">
      <alignment horizontal="center"/>
    </xf>
    <xf numFmtId="0" fontId="6" fillId="4" borderId="41" xfId="7" applyFont="1" applyFill="1" applyBorder="1" applyAlignment="1">
      <alignment horizontal="center"/>
    </xf>
    <xf numFmtId="0" fontId="13" fillId="21" borderId="0" xfId="0" applyFont="1" applyFill="1" applyAlignment="1">
      <alignment horizontal="center"/>
    </xf>
    <xf numFmtId="2" fontId="8" fillId="12" borderId="22" xfId="0" applyNumberFormat="1" applyFont="1" applyFill="1" applyBorder="1" applyAlignment="1">
      <alignment horizontal="center"/>
    </xf>
    <xf numFmtId="2" fontId="8" fillId="12" borderId="23" xfId="0" applyNumberFormat="1" applyFont="1" applyFill="1" applyBorder="1" applyAlignment="1">
      <alignment horizontal="center"/>
    </xf>
    <xf numFmtId="2" fontId="8" fillId="12" borderId="24" xfId="0" applyNumberFormat="1" applyFont="1" applyFill="1" applyBorder="1" applyAlignment="1">
      <alignment horizontal="center"/>
    </xf>
    <xf numFmtId="0" fontId="41" fillId="12" borderId="68" xfId="0" applyFont="1" applyFill="1" applyBorder="1" applyAlignment="1">
      <alignment horizontal="center"/>
    </xf>
    <xf numFmtId="0" fontId="41" fillId="12" borderId="69" xfId="0" applyFont="1" applyFill="1" applyBorder="1" applyAlignment="1">
      <alignment horizontal="center"/>
    </xf>
    <xf numFmtId="0" fontId="11" fillId="15" borderId="1" xfId="10" applyBorder="1" applyAlignment="1">
      <alignment horizontal="center"/>
    </xf>
    <xf numFmtId="166" fontId="15" fillId="11" borderId="0" xfId="7" applyNumberFormat="1" applyFont="1" applyAlignment="1">
      <alignment horizontal="center"/>
    </xf>
    <xf numFmtId="0" fontId="13" fillId="21" borderId="16" xfId="0" applyFont="1" applyFill="1" applyBorder="1" applyAlignment="1">
      <alignment horizontal="center"/>
    </xf>
    <xf numFmtId="0" fontId="13" fillId="21" borderId="17" xfId="0" applyFont="1" applyFill="1" applyBorder="1" applyAlignment="1">
      <alignment horizontal="center"/>
    </xf>
    <xf numFmtId="0" fontId="6" fillId="3" borderId="1" xfId="15" applyFont="1" applyFill="1" applyBorder="1" applyAlignment="1">
      <alignment horizontal="center"/>
    </xf>
    <xf numFmtId="0" fontId="1" fillId="17" borderId="1" xfId="12" applyBorder="1" applyAlignment="1">
      <alignment horizontal="center"/>
    </xf>
    <xf numFmtId="0" fontId="10" fillId="14" borderId="1" xfId="9" applyBorder="1" applyAlignment="1">
      <alignment horizontal="center"/>
    </xf>
    <xf numFmtId="0" fontId="10" fillId="16" borderId="1" xfId="11" applyFont="1" applyBorder="1" applyAlignment="1">
      <alignment horizontal="center"/>
    </xf>
    <xf numFmtId="0" fontId="1" fillId="19" borderId="1" xfId="14" applyBorder="1" applyAlignment="1">
      <alignment horizontal="center"/>
    </xf>
    <xf numFmtId="0" fontId="6" fillId="11" borderId="40" xfId="7" applyFont="1" applyBorder="1" applyAlignment="1">
      <alignment horizontal="center"/>
    </xf>
    <xf numFmtId="0" fontId="6" fillId="11" borderId="41" xfId="7" applyFont="1" applyBorder="1" applyAlignment="1">
      <alignment horizontal="center"/>
    </xf>
    <xf numFmtId="0" fontId="6" fillId="17" borderId="42" xfId="12" applyFont="1" applyBorder="1" applyAlignment="1">
      <alignment horizontal="center"/>
    </xf>
    <xf numFmtId="0" fontId="6" fillId="17" borderId="43" xfId="12" applyFont="1" applyBorder="1" applyAlignment="1">
      <alignment horizontal="center"/>
    </xf>
    <xf numFmtId="0" fontId="6" fillId="17" borderId="44" xfId="12" applyFont="1" applyBorder="1" applyAlignment="1">
      <alignment horizontal="center"/>
    </xf>
  </cellXfs>
  <cellStyles count="46">
    <cellStyle name="20% - Accent1" xfId="30" builtinId="30" customBuiltin="1"/>
    <cellStyle name="20% - Accent2" xfId="32" builtinId="34" customBuiltin="1"/>
    <cellStyle name="20% - Accent3" xfId="35" builtinId="38" customBuiltin="1"/>
    <cellStyle name="20% - Accent4" xfId="38" builtinId="42" customBuiltin="1"/>
    <cellStyle name="20% - Accent5" xfId="42" builtinId="46" customBuiltin="1"/>
    <cellStyle name="20% - Accent6" xfId="44" builtinId="50" customBuiltin="1"/>
    <cellStyle name="40% - Accent1" xfId="12" builtinId="31" customBuiltin="1"/>
    <cellStyle name="40% - Accent2" xfId="14" builtinId="35" customBuiltin="1"/>
    <cellStyle name="40% - Accent3" xfId="36" builtinId="39" customBuiltin="1"/>
    <cellStyle name="40% - Accent4" xfId="39" builtinId="43" customBuiltin="1"/>
    <cellStyle name="40% - Accent5" xfId="43" builtinId="47" customBuiltin="1"/>
    <cellStyle name="40% - Accent6" xfId="45" builtinId="51" customBuiltin="1"/>
    <cellStyle name="60% - Accent1" xfId="13" builtinId="32" customBuiltin="1"/>
    <cellStyle name="60% - Accent2" xfId="33" builtinId="36" customBuiltin="1"/>
    <cellStyle name="60% - Accent3" xfId="37" builtinId="40" customBuiltin="1"/>
    <cellStyle name="60% - Accent4" xfId="40" builtinId="44" customBuiltin="1"/>
    <cellStyle name="60% - Accent5" xfId="5" builtinId="48" customBuiltin="1"/>
    <cellStyle name="60% - Accent6" xfId="6" builtinId="52" customBuiltin="1"/>
    <cellStyle name="Accent1" xfId="29" builtinId="29" customBuiltin="1"/>
    <cellStyle name="Accent2" xfId="31" builtinId="33" customBuiltin="1"/>
    <cellStyle name="Accent3" xfId="34" builtinId="37" customBuiltin="1"/>
    <cellStyle name="Accent4" xfId="4" builtinId="41" customBuiltin="1"/>
    <cellStyle name="Accent5" xfId="41" builtinId="45" customBuiltin="1"/>
    <cellStyle name="Accent6" xfId="15" builtinId="49" customBuiltin="1"/>
    <cellStyle name="Bad" xfId="21" builtinId="27" customBuiltin="1"/>
    <cellStyle name="Calculation" xfId="10" builtinId="22" customBuiltin="1"/>
    <cellStyle name="Check Cell" xfId="25" builtinId="23" customBuiltin="1"/>
    <cellStyle name="Comma" xfId="8" builtinId="3"/>
    <cellStyle name="Currency" xfId="1" builtinId="4"/>
    <cellStyle name="Explanatory Text" xfId="27" builtinId="53" customBuiltin="1"/>
    <cellStyle name="Good" xfId="7" builtinId="26" customBuiltin="1"/>
    <cellStyle name="Heading 1" xfId="17" builtinId="16" customBuiltin="1"/>
    <cellStyle name="Heading 2" xfId="18" builtinId="17" customBuiltin="1"/>
    <cellStyle name="Heading 3" xfId="19" builtinId="18" customBuiltin="1"/>
    <cellStyle name="Heading 4" xfId="20" builtinId="19" customBuiltin="1"/>
    <cellStyle name="Hyperlink" xfId="2" builtinId="8"/>
    <cellStyle name="Input" xfId="22" builtinId="20" customBuiltin="1"/>
    <cellStyle name="Linked Cell" xfId="24" builtinId="24" customBuiltin="1"/>
    <cellStyle name="Neutral" xfId="9" builtinId="28" customBuiltin="1"/>
    <cellStyle name="Normal" xfId="0" builtinId="0"/>
    <cellStyle name="Note" xfId="11" builtinId="10" customBuiltin="1"/>
    <cellStyle name="Output" xfId="23" builtinId="21" customBuiltin="1"/>
    <cellStyle name="Percent" xfId="3" builtinId="5"/>
    <cellStyle name="Title" xfId="16" builtinId="15" customBuiltin="1"/>
    <cellStyle name="Total" xfId="28" builtinId="25" customBuiltin="1"/>
    <cellStyle name="Warning Text" xfId="26" builtinId="11" customBuiltin="1"/>
  </cellStyles>
  <dxfs count="1213">
    <dxf>
      <fill>
        <patternFill patternType="solid">
          <fgColor indexed="64"/>
          <bgColor theme="0"/>
        </patternFill>
      </fill>
      <alignment horizontal="center" vertical="bottom" textRotation="0" wrapText="0" indent="0" justifyLastLine="0" shrinkToFit="0" readingOrder="0"/>
      <border diagonalUp="0" diagonalDown="0" outline="0">
        <left/>
        <right/>
        <top/>
        <bottom/>
      </border>
    </dxf>
    <dxf>
      <fill>
        <patternFill patternType="solid">
          <fgColor indexed="64"/>
          <bgColor theme="0"/>
        </patternFill>
      </fill>
      <alignment horizontal="center" vertical="bottom" textRotation="0" wrapText="0" indent="0" justifyLastLine="0" shrinkToFit="0" readingOrder="0"/>
      <border diagonalUp="0" diagonalDown="0" outline="0">
        <left/>
        <right/>
        <top/>
        <bottom/>
      </border>
    </dxf>
    <dxf>
      <fill>
        <patternFill patternType="solid">
          <fgColor indexed="64"/>
          <bgColor theme="0"/>
        </patternFill>
      </fill>
      <alignment horizontal="center" vertical="bottom" textRotation="0" wrapText="0" indent="0" justifyLastLine="0" shrinkToFit="0" readingOrder="0"/>
      <border diagonalUp="0" diagonalDown="0" outline="0">
        <left/>
        <right/>
        <top/>
        <bottom/>
      </border>
    </dxf>
    <dxf>
      <fill>
        <patternFill patternType="solid">
          <fgColor indexed="64"/>
          <bgColor theme="0"/>
        </patternFill>
      </fill>
      <alignment horizontal="center"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center"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center" vertical="bottom" textRotation="0" wrapText="0" indent="0" justifyLastLine="0" shrinkToFit="0" readingOrder="0"/>
      <border diagonalUp="0" diagonalDown="0" outline="0">
        <left/>
        <right/>
        <top/>
        <bottom/>
      </border>
    </dxf>
    <dxf>
      <numFmt numFmtId="170" formatCode="0.000"/>
      <fill>
        <patternFill patternType="solid">
          <fgColor indexed="64"/>
          <bgColor theme="0"/>
        </patternFill>
      </fill>
      <alignment horizontal="center" vertical="bottom" textRotation="0" wrapText="0" indent="0" justifyLastLine="0" shrinkToFit="0" readingOrder="0"/>
      <border diagonalUp="0" diagonalDown="0" outline="0">
        <left/>
        <right/>
        <top/>
        <bottom/>
      </border>
      <protection locked="0" hidden="0"/>
    </dxf>
    <dxf>
      <numFmt numFmtId="170" formatCode="0.000"/>
      <fill>
        <patternFill patternType="solid">
          <fgColor indexed="64"/>
          <bgColor theme="0"/>
        </patternFill>
      </fill>
      <alignment horizontal="center" vertical="bottom" textRotation="0" wrapText="0" indent="0" justifyLastLine="0" shrinkToFit="0" readingOrder="0"/>
      <border diagonalUp="0" diagonalDown="0" outline="0">
        <left/>
        <right/>
        <top/>
        <bottom/>
      </border>
      <protection locked="0" hidden="0"/>
    </dxf>
    <dxf>
      <numFmt numFmtId="170" formatCode="0.000"/>
      <fill>
        <patternFill patternType="solid">
          <fgColor indexed="64"/>
          <bgColor theme="0"/>
        </patternFill>
      </fill>
      <alignment horizontal="center" vertical="bottom" textRotation="0" wrapText="0" indent="0" justifyLastLine="0" shrinkToFit="0" readingOrder="0"/>
      <border diagonalUp="0" diagonalDown="0" outline="0">
        <left/>
        <right/>
        <top/>
        <bottom/>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outline="0">
        <left/>
        <right/>
        <top/>
        <bottom/>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outline="0">
        <left/>
        <right/>
        <top/>
        <bottom/>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outline="0">
        <left/>
        <right/>
        <top/>
        <bottom/>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outline="0">
        <left/>
        <right/>
        <top/>
        <bottom/>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outline="0">
        <left/>
        <right/>
        <top/>
        <bottom/>
      </border>
      <protection locked="0" hidden="0"/>
    </dxf>
    <dxf>
      <font>
        <b/>
        <i val="0"/>
        <strike val="0"/>
        <condense val="0"/>
        <extend val="0"/>
        <outline val="0"/>
        <shadow val="0"/>
        <u val="none"/>
        <vertAlign val="baseline"/>
        <sz val="11"/>
        <color theme="1"/>
        <name val="Calibri"/>
        <scheme val="minor"/>
      </font>
      <numFmt numFmtId="0" formatCode="General"/>
      <fill>
        <patternFill patternType="solid">
          <fgColor indexed="64"/>
          <bgColor theme="0"/>
        </patternFill>
      </fill>
      <alignment horizontal="center" vertical="bottom" textRotation="0" wrapText="0" indent="0" justifyLastLine="0" shrinkToFit="0" readingOrder="0"/>
      <border diagonalUp="0" diagonalDown="0" outline="0">
        <left style="medium">
          <color rgb="FF0070C0"/>
        </left>
        <right style="medium">
          <color rgb="FF0070C0"/>
        </right>
        <top/>
        <bottom/>
      </border>
      <protection locked="0" hidden="0"/>
    </dxf>
    <dxf>
      <numFmt numFmtId="0" formatCode="General"/>
      <fill>
        <patternFill patternType="solid">
          <fgColor indexed="64"/>
          <bgColor theme="0"/>
        </patternFill>
      </fill>
      <alignment horizontal="center" vertical="bottom" textRotation="0" wrapText="0" indent="0" justifyLastLine="0" shrinkToFit="0" readingOrder="0"/>
      <border diagonalUp="0" diagonalDown="0" outline="0">
        <left/>
        <right/>
        <top/>
        <bottom/>
      </border>
      <protection locked="0" hidden="0"/>
    </dxf>
    <dxf>
      <numFmt numFmtId="0" formatCode="General"/>
      <fill>
        <patternFill patternType="solid">
          <fgColor indexed="64"/>
          <bgColor theme="0"/>
        </patternFill>
      </fill>
      <alignment horizontal="center" vertical="bottom" textRotation="0" wrapText="0" indent="0" justifyLastLine="0" shrinkToFit="0" readingOrder="0"/>
      <border diagonalUp="0" diagonalDown="0" outline="0">
        <left/>
        <right/>
        <top/>
        <bottom/>
      </border>
      <protection locked="0" hidden="0"/>
    </dxf>
    <dxf>
      <font>
        <b val="0"/>
        <i val="0"/>
        <strike val="0"/>
        <condense val="0"/>
        <extend val="0"/>
        <outline val="0"/>
        <shadow val="0"/>
        <u val="none"/>
        <vertAlign val="baseline"/>
        <sz val="11"/>
        <color theme="1"/>
        <name val="Calibri"/>
        <scheme val="minor"/>
      </font>
      <numFmt numFmtId="169" formatCode="&quot;$&quot;#,##0"/>
      <fill>
        <patternFill patternType="solid">
          <fgColor indexed="64"/>
          <bgColor theme="0"/>
        </patternFill>
      </fill>
      <alignment horizontal="center" vertical="bottom" textRotation="0" wrapText="0" indent="0" justifyLastLine="0" shrinkToFit="0" readingOrder="0"/>
      <border diagonalUp="0" diagonalDown="0" outline="0">
        <left/>
        <right/>
        <top/>
        <bottom/>
      </border>
      <protection locked="0" hidden="0"/>
    </dxf>
    <dxf>
      <font>
        <b val="0"/>
        <i val="0"/>
        <strike val="0"/>
        <condense val="0"/>
        <extend val="0"/>
        <outline val="0"/>
        <shadow val="0"/>
        <u val="none"/>
        <vertAlign val="baseline"/>
        <sz val="11"/>
        <color theme="1"/>
        <name val="Calibri"/>
        <scheme val="minor"/>
      </font>
      <numFmt numFmtId="169" formatCode="&quot;$&quot;#,##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top/>
        <bottom/>
      </border>
      <protection locked="0" hidden="0"/>
    </dxf>
    <dxf>
      <numFmt numFmtId="0" formatCode="General"/>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bottom/>
      </border>
      <protection locked="0" hidden="0"/>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alignment horizontal="general" vertical="bottom" textRotation="0" wrapText="0" indent="0" justifyLastLine="0" shrinkToFit="0" readingOrder="0"/>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1" formatCode="[h]:mm:ss"/>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medium">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medium">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0"/>
        <color rgb="FF2D363B"/>
        <name val="Arial"/>
        <scheme val="none"/>
      </font>
      <fill>
        <patternFill patternType="solid">
          <fgColor indexed="64"/>
          <bgColor rgb="FFECF0F2"/>
        </patternFill>
      </fill>
      <alignment horizontal="left" vertical="bottom" textRotation="0" wrapText="0" indent="1" justifyLastLine="0" shrinkToFit="0" readingOrder="0"/>
    </dxf>
    <dxf>
      <font>
        <sz val="10"/>
        <color rgb="FF2D363B"/>
        <name val="Arial"/>
        <scheme val="none"/>
      </font>
      <fill>
        <patternFill patternType="solid">
          <fgColor indexed="64"/>
          <bgColor rgb="FFECF0F2"/>
        </patternFill>
      </fill>
      <alignment horizontal="left" vertical="bottom" textRotation="0" wrapText="0" indent="1" justifyLastLine="0" shrinkToFit="0" readingOrder="0"/>
    </dxf>
    <dxf>
      <font>
        <b val="0"/>
        <i val="0"/>
        <strike val="0"/>
        <condense val="0"/>
        <extend val="0"/>
        <outline val="0"/>
        <shadow val="0"/>
        <u val="none"/>
        <vertAlign val="baseline"/>
        <sz val="10"/>
        <color rgb="FF2D363B"/>
        <name val="Arial"/>
        <scheme val="none"/>
      </font>
      <fill>
        <patternFill patternType="solid">
          <fgColor indexed="64"/>
          <bgColor rgb="FFECF0F2"/>
        </patternFill>
      </fill>
      <alignment horizontal="left" vertical="bottom" textRotation="0" wrapText="0" indent="1" justifyLastLine="0" shrinkToFit="0" readingOrder="0"/>
    </dxf>
    <dxf>
      <font>
        <b val="0"/>
        <i val="0"/>
        <strike val="0"/>
        <condense val="0"/>
        <extend val="0"/>
        <outline val="0"/>
        <shadow val="0"/>
        <u val="none"/>
        <vertAlign val="baseline"/>
        <sz val="10"/>
        <color rgb="FF2D363B"/>
        <name val="Arial"/>
        <scheme val="none"/>
      </font>
      <fill>
        <patternFill patternType="solid">
          <fgColor indexed="64"/>
          <bgColor rgb="FFFFB2B2"/>
        </patternFill>
      </fill>
      <alignment horizontal="left" vertical="bottom" textRotation="0" wrapText="0" indent="1" justifyLastLine="0" shrinkToFit="0" readingOrder="0"/>
    </dxf>
    <dxf>
      <font>
        <b val="0"/>
        <i val="0"/>
        <strike val="0"/>
        <condense val="0"/>
        <extend val="0"/>
        <outline val="0"/>
        <shadow val="0"/>
        <u val="none"/>
        <vertAlign val="baseline"/>
        <sz val="10"/>
        <color rgb="FF2D363B"/>
        <name val="Arial"/>
        <scheme val="none"/>
      </font>
      <fill>
        <patternFill patternType="solid">
          <fgColor indexed="64"/>
          <bgColor rgb="FFECF0F2"/>
        </patternFill>
      </fill>
      <alignment horizontal="left" vertical="bottom" textRotation="0" wrapText="0" indent="1" justifyLastLine="0" shrinkToFit="0" readingOrder="0"/>
    </dxf>
    <dxf>
      <font>
        <b val="0"/>
        <i val="0"/>
        <strike val="0"/>
        <condense val="0"/>
        <extend val="0"/>
        <outline val="0"/>
        <shadow val="0"/>
        <u val="none"/>
        <vertAlign val="baseline"/>
        <sz val="10"/>
        <color rgb="FF2D363B"/>
        <name val="Arial"/>
        <scheme val="none"/>
      </font>
      <fill>
        <patternFill patternType="solid">
          <fgColor indexed="64"/>
          <bgColor rgb="FFECF0F2"/>
        </patternFill>
      </fill>
      <alignment horizontal="left" vertical="bottom" textRotation="0" wrapText="0" indent="1" justifyLastLine="0" shrinkToFit="0" readingOrder="0"/>
    </dxf>
    <dxf>
      <font>
        <b val="0"/>
        <i val="0"/>
        <strike val="0"/>
        <condense val="0"/>
        <extend val="0"/>
        <outline val="0"/>
        <shadow val="0"/>
        <u val="none"/>
        <vertAlign val="baseline"/>
        <sz val="10"/>
        <color rgb="FF2D363B"/>
        <name val="Arial"/>
        <scheme val="none"/>
      </font>
      <fill>
        <patternFill patternType="solid">
          <fgColor indexed="64"/>
          <bgColor rgb="FFECF0F2"/>
        </patternFill>
      </fill>
      <alignment horizontal="left" vertical="bottom" textRotation="0" wrapText="0" indent="1" justifyLastLine="0" shrinkToFit="0" readingOrder="0"/>
    </dxf>
    <dxf>
      <font>
        <b val="0"/>
        <i val="0"/>
        <strike val="0"/>
        <condense val="0"/>
        <extend val="0"/>
        <outline val="0"/>
        <shadow val="0"/>
        <u val="none"/>
        <vertAlign val="baseline"/>
        <sz val="10"/>
        <color rgb="FF2D363B"/>
        <name val="Arial"/>
        <scheme val="none"/>
      </font>
      <fill>
        <patternFill patternType="solid">
          <fgColor indexed="64"/>
          <bgColor rgb="FFECF0F2"/>
        </patternFill>
      </fill>
      <alignment horizontal="left" vertical="bottom" textRotation="0" wrapText="0" indent="1" justifyLastLine="0" shrinkToFit="0" readingOrder="0"/>
    </dxf>
    <dxf>
      <font>
        <b/>
        <i val="0"/>
        <strike val="0"/>
        <condense val="0"/>
        <extend val="0"/>
        <outline val="0"/>
        <shadow val="0"/>
        <u val="none"/>
        <vertAlign val="baseline"/>
        <sz val="10"/>
        <color rgb="FF2D363B"/>
        <name val="Arial"/>
        <scheme val="none"/>
      </font>
      <numFmt numFmtId="23" formatCode="h:mm\ AM/PM"/>
      <fill>
        <patternFill patternType="solid">
          <fgColor indexed="64"/>
          <bgColor rgb="FFECF0F2"/>
        </patternFill>
      </fill>
      <alignment horizontal="left" vertical="bottom" textRotation="0" wrapText="0" indent="1" justifyLastLine="0" shrinkToFit="0" readingOrder="0"/>
      <border diagonalUp="0" diagonalDown="0">
        <left style="medium">
          <color rgb="FFECF0F2"/>
        </left>
        <right/>
        <top/>
        <bottom/>
        <vertical/>
        <horizontal/>
      </border>
    </dxf>
    <dxf>
      <border outline="0">
        <left style="medium">
          <color rgb="FFECF0F2"/>
        </left>
        <right style="medium">
          <color rgb="FFECF0F2"/>
        </right>
        <top style="medium">
          <color rgb="FFECF0F2"/>
        </top>
        <bottom style="medium">
          <color rgb="FFECF0F2"/>
        </bottom>
      </border>
    </dxf>
    <dxf>
      <font>
        <b val="0"/>
        <i val="0"/>
        <strike val="0"/>
        <condense val="0"/>
        <extend val="0"/>
        <outline val="0"/>
        <shadow val="0"/>
        <u val="none"/>
        <vertAlign val="baseline"/>
        <sz val="10"/>
        <color rgb="FF2D363B"/>
        <name val="Arial"/>
        <scheme val="none"/>
      </font>
      <fill>
        <patternFill patternType="solid">
          <fgColor indexed="64"/>
          <bgColor rgb="FFECF0F2"/>
        </patternFill>
      </fill>
      <alignment horizontal="left" vertical="bottom" textRotation="0" wrapText="0" indent="1" justifyLastLine="0" shrinkToFit="0" readingOrder="0"/>
    </dxf>
    <dxf>
      <font>
        <b/>
        <i val="0"/>
        <strike val="0"/>
        <condense val="0"/>
        <extend val="0"/>
        <outline val="0"/>
        <shadow val="0"/>
        <u val="none"/>
        <vertAlign val="baseline"/>
        <sz val="10"/>
        <color rgb="FF2D363B"/>
        <name val="Arial"/>
        <scheme val="none"/>
      </font>
      <fill>
        <patternFill patternType="solid">
          <fgColor indexed="64"/>
          <bgColor rgb="FFECF0F2"/>
        </patternFill>
      </fill>
      <alignment horizontal="left" vertical="center" textRotation="0" wrapText="0" indent="1"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color theme="0"/>
      </font>
      <fill>
        <patternFill patternType="solid">
          <fgColor indexed="64"/>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color theme="0"/>
      </font>
      <fill>
        <patternFill patternType="solid">
          <fgColor indexed="64"/>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_(* #,##0_);_(* \(#,##0\);_(* &quot;-&quot;??_);_(@_)"/>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color theme="0"/>
      </font>
      <fill>
        <patternFill patternType="solid">
          <fgColor indexed="64"/>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0"/>
        <name val="Calibri"/>
        <scheme val="minor"/>
      </font>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border>
        <bottom style="medium">
          <color theme="1"/>
        </bottom>
      </border>
    </dxf>
    <dxf>
      <numFmt numFmtId="166" formatCode="0.0"/>
      <alignment horizontal="center" vertical="bottom" textRotation="0" wrapText="0" indent="0" justifyLastLine="0" shrinkToFit="0" readingOrder="0"/>
      <border diagonalUp="0" diagonalDown="0">
        <left/>
        <right/>
        <top/>
        <bottom/>
        <vertical/>
        <horizontal/>
      </border>
    </dxf>
    <dxf>
      <numFmt numFmtId="2" formatCode="0.00"/>
      <alignment horizontal="center" vertical="bottom" textRotation="0" wrapText="0" indent="0" justifyLastLine="0" shrinkToFit="0" readingOrder="0"/>
      <border diagonalUp="0" diagonalDown="0">
        <left/>
        <right style="medium">
          <color theme="1"/>
        </right>
        <top/>
        <bottom/>
        <vertical/>
        <horizontal/>
      </border>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border diagonalUp="0" diagonalDown="0">
        <left style="medium">
          <color theme="1"/>
        </left>
        <right/>
        <top/>
        <bottom/>
        <vertical/>
        <horizontal/>
      </border>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color theme="0"/>
      </font>
      <fill>
        <patternFill patternType="solid">
          <fgColor indexed="64"/>
          <bgColor theme="1"/>
        </patternFill>
      </fill>
      <alignment horizontal="center" vertical="bottom" textRotation="0" wrapText="0" indent="0" justifyLastLine="0" shrinkToFit="0" readingOrder="0"/>
      <border diagonalUp="0" diagonalDown="0" outline="0">
        <left style="thin">
          <color theme="0"/>
        </left>
        <right style="thin">
          <color theme="0"/>
        </right>
        <top style="thin">
          <color theme="0"/>
        </top>
        <bottom style="thin">
          <color theme="0"/>
        </bottom>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0.0"/>
      <alignment horizontal="center" vertical="bottom" textRotation="0" wrapText="0" indent="0" justifyLastLine="0" shrinkToFit="0" readingOrder="0"/>
    </dxf>
    <dxf>
      <numFmt numFmtId="2" formatCode="0.00"/>
      <alignment horizontal="center" vertical="bottom" textRotation="0" wrapText="0" indent="0" justifyLastLine="0" shrinkToFit="0" readingOrder="0"/>
      <border diagonalUp="0" diagonalDown="0">
        <left/>
        <right style="medium">
          <color theme="1"/>
        </right>
        <top/>
        <bottom/>
        <vertical/>
        <horizontal/>
      </border>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border diagonalUp="0" diagonalDown="0">
        <left style="medium">
          <color theme="1"/>
        </left>
        <right/>
        <top/>
        <bottom/>
        <vertical/>
        <horizontal/>
      </border>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color theme="0"/>
      </font>
      <fill>
        <patternFill patternType="solid">
          <fgColor indexed="64"/>
          <bgColor theme="1"/>
        </patternFill>
      </fill>
      <alignment horizontal="center" vertical="bottom" textRotation="0" wrapText="0" indent="0" justifyLastLine="0" shrinkToFit="0" readingOrder="0"/>
      <border diagonalUp="0" diagonalDown="0" outline="0">
        <left style="thin">
          <color theme="0"/>
        </left>
        <right style="thin">
          <color theme="0"/>
        </right>
        <top style="thin">
          <color theme="0"/>
        </top>
        <bottom style="thin">
          <color theme="0"/>
        </bottom>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0.0"/>
      <alignment horizontal="center" vertical="bottom" textRotation="0" wrapText="0" indent="0" justifyLastLine="0" shrinkToFit="0" readingOrder="0"/>
    </dxf>
    <dxf>
      <numFmt numFmtId="2" formatCode="0.00"/>
      <alignment horizontal="center" vertical="bottom" textRotation="0" wrapText="0" indent="0" justifyLastLine="0" shrinkToFit="0" readingOrder="0"/>
      <border diagonalUp="0" diagonalDown="0">
        <left/>
        <right style="medium">
          <color theme="1"/>
        </right>
        <top/>
        <bottom/>
        <vertical/>
        <horizontal/>
      </border>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border diagonalUp="0" diagonalDown="0">
        <left style="medium">
          <color theme="1"/>
        </left>
        <right/>
        <top/>
        <bottom/>
        <vertical/>
        <horizontal/>
      </border>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color theme="0"/>
      </font>
      <fill>
        <patternFill patternType="solid">
          <fgColor indexed="64"/>
          <bgColor theme="1"/>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border diagonalUp="0" diagonalDown="0">
        <left/>
        <right style="medium">
          <color theme="1"/>
        </right>
        <top/>
        <bottom/>
        <vertical/>
        <horizontal/>
      </border>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border diagonalUp="0" diagonalDown="0">
        <left style="medium">
          <color theme="1"/>
        </left>
        <right/>
        <top/>
        <bottom/>
        <vertical/>
        <horizontal/>
      </border>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0.0"/>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2" formatCode="#,##0.0"/>
      <fill>
        <patternFill patternType="solid">
          <fgColor indexed="64"/>
          <bgColor theme="0"/>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numFmt numFmtId="1" formatCode="0"/>
      <fill>
        <patternFill>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fgColor indexed="64"/>
          <bgColor theme="0"/>
        </patternFill>
      </fill>
      <alignment horizontal="center" vertical="bottom" textRotation="0" wrapText="0" indent="0" justifyLastLine="0" shrinkToFit="0" readingOrder="0"/>
    </dxf>
    <dxf>
      <fill>
        <patternFill patternType="solid">
          <fgColor indexed="64"/>
          <bgColor theme="1"/>
        </patternFill>
      </fill>
      <alignment horizontal="center" vertical="bottom" textRotation="0" wrapText="0" indent="0" justifyLastLine="0" shrinkToFit="0" readingOrder="0"/>
    </dxf>
    <dxf>
      <fill>
        <patternFill>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ill>
        <patternFill>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fgColor indexed="64"/>
          <bgColor theme="0"/>
        </patternFill>
      </fill>
      <alignment horizontal="center" vertical="bottom" textRotation="0" wrapText="0" indent="0" justifyLastLine="0" shrinkToFit="0" readingOrder="0"/>
    </dxf>
    <dxf>
      <fill>
        <patternFill patternType="solid">
          <fgColor indexed="64"/>
          <bgColor theme="1"/>
        </patternFill>
      </fill>
      <alignment horizontal="left" vertical="bottom" textRotation="0" wrapText="0" indent="0" justifyLastLine="0" shrinkToFit="0" readingOrder="0"/>
    </dxf>
    <dxf>
      <numFmt numFmtId="172" formatCode="#,##0.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3" formatCode="#,##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1"/>
        </patternFill>
      </fill>
      <alignment horizontal="center" vertical="bottom" textRotation="0" wrapText="0" indent="0" justifyLastLine="0" shrinkToFit="0" readingOrder="0"/>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1"/>
        </patternFill>
      </fill>
    </dxf>
    <dxf>
      <numFmt numFmtId="0" formatCode="General"/>
      <fill>
        <patternFill>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fgColor rgb="FF000000"/>
          <bgColor rgb="FFFFFFFF"/>
        </patternFill>
      </fill>
      <alignment horizontal="center" vertical="bottom" textRotation="0" wrapText="0" indent="0" justifyLastLine="0" shrinkToFit="0" readingOrder="0"/>
    </dxf>
    <dxf>
      <fill>
        <patternFill patternType="solid">
          <fgColor indexed="64"/>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4" formatCode="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7" formatCode="&quot;$&quot;#,##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3" formatCode="0%"/>
    </dxf>
    <dxf>
      <numFmt numFmtId="1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7" formatCode="&quot;$&quot;#,##0.00"/>
      <fill>
        <patternFill patternType="solid">
          <fgColor rgb="FF000000"/>
          <bgColor rgb="FFFFFFFF"/>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theme="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theme="1"/>
        <name val="Calibri"/>
        <scheme val="minor"/>
      </font>
      <numFmt numFmtId="169" formatCode="&quot;$&quot;#,##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Calibri"/>
        <scheme val="minor"/>
      </font>
      <numFmt numFmtId="169" formatCode="&quot;$&quot;#,##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71" formatCode="0.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numFmt numFmtId="169" formatCode="&quot;$&quot;#,##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medium">
          <color indexed="64"/>
        </top>
        <bottom style="thin">
          <color indexed="64"/>
        </bottom>
        <vertical/>
        <horizontal/>
      </border>
      <protection locked="0" hidden="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0"/>
        </patternFill>
      </fill>
      <border diagonalUp="0" diagonalDown="0">
        <left style="thin">
          <color indexed="64"/>
        </left>
        <right/>
        <top style="thin">
          <color indexed="64"/>
        </top>
        <bottom/>
        <vertical/>
        <horizontal/>
      </border>
    </dxf>
    <dxf>
      <border outline="0">
        <bottom style="thin">
          <color indexed="64"/>
        </bottom>
      </bord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bottom" textRotation="0" wrapText="0" indent="0" justifyLastLine="0" shrinkToFit="0" readingOrder="0"/>
    </dxf>
    <dxf>
      <numFmt numFmtId="167" formatCode="&quot;$&quot;#,##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medium">
          <color indexed="64"/>
        </right>
        <top style="thin">
          <color indexed="64"/>
        </top>
        <bottom style="thin">
          <color indexed="64"/>
        </bottom>
        <vertical style="thin">
          <color indexed="64"/>
        </vertical>
        <horizontal style="thin">
          <color indexed="64"/>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strike val="0"/>
        <outline val="0"/>
        <shadow val="0"/>
        <u val="none"/>
        <vertAlign val="baseline"/>
        <sz val="11"/>
        <color theme="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strike val="0"/>
        <outline val="0"/>
        <shadow val="0"/>
        <u val="none"/>
        <vertAlign val="baseline"/>
        <sz val="11"/>
        <color theme="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2" formatCode="0.00"/>
      <fill>
        <patternFill>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2" formatCode="0.00"/>
      <fill>
        <patternFill>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2" formatCode="0.00"/>
      <fill>
        <patternFill>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strike val="0"/>
        <outline val="0"/>
        <shadow val="0"/>
        <u val="none"/>
        <vertAlign val="baseline"/>
        <sz val="11"/>
        <color theme="1"/>
        <name val="Calibri"/>
        <scheme val="minor"/>
      </font>
      <numFmt numFmtId="2" formatCode="0.00"/>
      <fill>
        <patternFill>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2" formatCode="0.00"/>
      <fill>
        <patternFill>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166" formatCode="0.0"/>
      <fill>
        <patternFill>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166" formatCode="0.0"/>
      <fill>
        <patternFill>
          <fgColor indexed="64"/>
          <bgColor theme="0"/>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169" formatCode="&quot;$&quot;#,##0"/>
      <fill>
        <patternFill>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1"/>
        <name val="Calibri"/>
        <scheme val="minor"/>
      </font>
      <numFmt numFmtId="13"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169" formatCode="&quot;$&quot;#,##0"/>
      <fill>
        <patternFill>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0" formatCode="General"/>
      <fill>
        <patternFill patternType="solid">
          <fgColor indexed="64"/>
          <bgColor theme="0"/>
        </patternFill>
      </fill>
      <alignment horizontal="left"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rgb="FF000000"/>
        </top>
      </border>
    </dxf>
    <dxf>
      <fill>
        <patternFill>
          <fgColor rgb="FF000000"/>
          <bgColor rgb="FFFFFFFF"/>
        </patternFill>
      </fill>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AEB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border outline="0">
        <left style="double">
          <color rgb="FF808080"/>
        </left>
        <right style="double">
          <color rgb="FF808080"/>
        </right>
        <top style="double">
          <color rgb="FF808080"/>
        </top>
        <bottom style="double">
          <color rgb="FF808080"/>
        </bottom>
      </border>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Trebuchet MS"/>
        <scheme val="none"/>
      </font>
      <fill>
        <patternFill patternType="solid">
          <fgColor indexed="64"/>
          <bgColor rgb="FFCCCCCC"/>
        </patternFill>
      </fill>
      <alignment horizontal="center" vertical="center"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numFmt numFmtId="0" formatCode="General"/>
    </dxf>
    <dxf>
      <fill>
        <patternFill patternType="solid">
          <fgColor indexed="64"/>
          <bgColor rgb="FFFFFF00"/>
        </patternFill>
      </fill>
    </dxf>
    <dxf>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numFmt numFmtId="2" formatCode="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numFmt numFmtId="2" formatCode="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71" formatCode="0.0%"/>
      <fill>
        <patternFill patternType="solid">
          <fgColor rgb="FF000000"/>
          <bgColor rgb="FFFFFFFF"/>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71" formatCode="0.0%"/>
      <fill>
        <patternFill patternType="solid">
          <fgColor rgb="FF000000"/>
          <bgColor rgb="FFFFFFFF"/>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7" formatCode="&quot;$&quot;#,##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9" formatCode="&quot;$&quot;#,##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9" formatCode="&quot;$&quot;#,##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69" formatCode="&quot;$&quot;#,##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9" formatCode="&quot;$&quot;#,##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1"/>
        </patternFill>
      </fill>
      <border diagonalUp="0" diagonalDown="0">
        <left style="thin">
          <color indexed="64"/>
        </left>
        <right style="thin">
          <color indexed="64"/>
        </right>
        <top style="thin">
          <color indexed="64"/>
        </top>
        <bottom style="thin">
          <color indexed="64"/>
        </bottom>
      </border>
    </dxf>
    <dxf>
      <fill>
        <patternFill patternType="solid">
          <fgColor rgb="FF000000"/>
          <bgColor rgb="FFFFFFFF"/>
        </patternFill>
      </fill>
    </dxf>
    <dxf>
      <numFmt numFmtId="30" formatCode="@"/>
      <fill>
        <patternFill patternType="solid">
          <fgColor indexed="64"/>
          <bgColor theme="1"/>
        </patternFill>
      </fill>
    </dxf>
    <dxf>
      <fill>
        <patternFill>
          <bgColor rgb="FFFFFF00"/>
        </patternFill>
      </fill>
    </dxf>
    <dxf>
      <numFmt numFmtId="0" formatCode="General"/>
      <alignment horizontal="general" vertical="bottom" textRotation="0" wrapText="0" indent="0" justifyLastLine="0" shrinkToFit="0" readingOrder="0"/>
      <border diagonalUp="0" diagonalDown="0">
        <left/>
        <right/>
        <top style="thin">
          <color rgb="FFA9D08E"/>
        </top>
        <bottom style="thin">
          <color rgb="FFA9D08E"/>
        </bottom>
        <vertical/>
        <horizontal/>
      </border>
    </dxf>
    <dxf>
      <numFmt numFmtId="0" formatCode="General"/>
      <alignment horizontal="general" vertical="bottom" textRotation="0" wrapText="0" indent="0" justifyLastLine="0" shrinkToFit="0" readingOrder="0"/>
      <border diagonalUp="0" diagonalDown="0">
        <left/>
        <right/>
        <top style="thin">
          <color rgb="FFA9D08E"/>
        </top>
        <bottom style="thin">
          <color rgb="FFA9D08E"/>
        </bottom>
        <vertical/>
        <horizontal/>
      </border>
    </dxf>
    <dxf>
      <border outline="0">
        <left style="thin">
          <color rgb="FFA9D08E"/>
        </left>
      </border>
    </dxf>
    <dxf>
      <font>
        <b/>
        <i val="0"/>
        <strike val="0"/>
        <condense val="0"/>
        <extend val="0"/>
        <outline val="0"/>
        <shadow val="0"/>
        <u val="none"/>
        <vertAlign val="baseline"/>
        <sz val="11"/>
        <color rgb="FFFFFFFF"/>
        <name val="Calibri"/>
        <scheme val="minor"/>
      </font>
      <numFmt numFmtId="0" formatCode="General"/>
      <fill>
        <patternFill patternType="solid">
          <fgColor indexed="64"/>
          <bgColor rgb="FF70AD47"/>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AEB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border outline="0">
        <left style="double">
          <color rgb="FF808080"/>
        </left>
        <right style="double">
          <color rgb="FF808080"/>
        </right>
        <top style="double">
          <color rgb="FF808080"/>
        </top>
        <bottom style="double">
          <color rgb="FF808080"/>
        </bottom>
      </border>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Trebuchet MS"/>
        <scheme val="none"/>
      </font>
      <fill>
        <patternFill patternType="solid">
          <fgColor indexed="64"/>
          <bgColor rgb="FFCCCCCC"/>
        </patternFill>
      </fill>
      <alignment horizontal="center" vertical="center" textRotation="0" wrapText="0" indent="0" justifyLastLine="0" shrinkToFit="0" readingOrder="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fill>
        <patternFill patternType="solid">
          <fgColor indexed="64"/>
          <bgColor rgb="FFFFFF00"/>
        </patternFill>
      </fill>
    </dxf>
    <dxf>
      <fill>
        <patternFill patternType="solid">
          <fgColor indexed="64"/>
          <bgColor rgb="FFFFFF00"/>
        </patternFill>
      </fill>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3"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3"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7" formatCode="&quot;$&quot;#,##0.00"/>
      <fill>
        <patternFill patternType="solid">
          <fgColor indexed="64"/>
          <bgColor theme="0"/>
        </patternFill>
      </fill>
      <alignment horizontal="center" vertical="bottom" textRotation="0" wrapText="0" indent="0" justifyLastLine="0" shrinkToFit="0" readingOrder="0"/>
      <border diagonalUp="0" diagonalDown="0">
        <left/>
        <right style="medium">
          <color theme="1"/>
        </right>
        <top style="medium">
          <color auto="1"/>
        </top>
        <bottom style="medium">
          <color auto="1"/>
        </bottom>
        <vertical/>
        <horizontal style="medium">
          <color auto="1"/>
        </horizontal>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style="medium">
          <color theme="1"/>
        </left>
        <right/>
        <top style="medium">
          <color auto="1"/>
        </top>
        <bottom style="medium">
          <color auto="1"/>
        </bottom>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right style="medium">
          <color theme="1"/>
        </right>
        <top style="medium">
          <color auto="1"/>
        </top>
        <bottom style="medium">
          <color auto="1"/>
        </bottom>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medium">
          <color theme="1"/>
        </left>
        <right/>
        <top style="medium">
          <color auto="1"/>
        </top>
        <bottom style="medium">
          <color auto="1"/>
        </bottom>
        <vertical/>
        <horizontal style="medium">
          <color auto="1"/>
        </horizontal>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theme="1"/>
        </left>
        <right style="medium">
          <color theme="1"/>
        </right>
        <top style="medium">
          <color theme="1"/>
        </top>
        <bottom style="thin">
          <color theme="1"/>
        </bottom>
        <vertical/>
        <horizontal/>
      </border>
      <protection locked="0" hidden="0"/>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theme="1"/>
        </left>
        <right style="thin">
          <color theme="1"/>
        </right>
        <top style="medium">
          <color theme="1"/>
        </top>
        <bottom style="thin">
          <color theme="1"/>
        </bottom>
        <vertical/>
        <horizontal/>
      </border>
      <protection locked="0" hidden="0"/>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medium">
          <color theme="1"/>
        </left>
        <right style="thin">
          <color theme="1"/>
        </right>
        <top style="medium">
          <color theme="1"/>
        </top>
        <bottom style="thin">
          <color theme="1"/>
        </bottom>
        <vertical/>
        <horizontal/>
      </border>
      <protection locked="0" hidden="0"/>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9" formatCode="&quot;$&quot;#,##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9" formatCode="&quot;$&quot;#,##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1"/>
        </patternFill>
      </fill>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fill>
        <patternFill patternType="solid">
          <fgColor indexed="64"/>
          <bgColor theme="1"/>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0" formatCode="General"/>
      <alignment horizontal="general" vertical="bottom" textRotation="0" wrapText="0" indent="0" justifyLastLine="0" shrinkToFit="0" readingOrder="0"/>
      <border diagonalUp="0" diagonalDown="0">
        <left/>
        <right/>
        <top style="thin">
          <color rgb="FFA9D08E"/>
        </top>
        <bottom style="thin">
          <color rgb="FFA9D08E"/>
        </bottom>
        <vertical/>
        <horizontal/>
      </border>
    </dxf>
    <dxf>
      <numFmt numFmtId="0" formatCode="General"/>
      <alignment horizontal="general" vertical="bottom" textRotation="0" wrapText="0" indent="0" justifyLastLine="0" shrinkToFit="0" readingOrder="0"/>
      <border diagonalUp="0" diagonalDown="0">
        <left/>
        <right/>
        <top style="thin">
          <color rgb="FFA9D08E"/>
        </top>
        <bottom style="thin">
          <color rgb="FFA9D08E"/>
        </bottom>
        <vertical/>
        <horizontal/>
      </border>
    </dxf>
    <dxf>
      <border outline="0">
        <left style="thin">
          <color rgb="FFA9D08E"/>
        </left>
      </border>
    </dxf>
    <dxf>
      <font>
        <b/>
        <i val="0"/>
        <strike val="0"/>
        <condense val="0"/>
        <extend val="0"/>
        <outline val="0"/>
        <shadow val="0"/>
        <u val="none"/>
        <vertAlign val="baseline"/>
        <sz val="11"/>
        <color rgb="FFFFFFFF"/>
        <name val="Calibri"/>
        <scheme val="minor"/>
      </font>
      <numFmt numFmtId="0" formatCode="General"/>
      <fill>
        <patternFill patternType="solid">
          <fgColor indexed="64"/>
          <bgColor rgb="FF70AD47"/>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AEB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border outline="0">
        <left style="double">
          <color rgb="FF808080"/>
        </left>
        <right style="double">
          <color rgb="FF808080"/>
        </right>
        <top style="double">
          <color rgb="FF808080"/>
        </top>
        <bottom style="double">
          <color rgb="FF808080"/>
        </bottom>
      </border>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Trebuchet MS"/>
        <scheme val="none"/>
      </font>
      <fill>
        <patternFill patternType="solid">
          <fgColor indexed="64"/>
          <bgColor rgb="FFCCCCCC"/>
        </patternFill>
      </fill>
      <alignment horizontal="center" vertical="center" textRotation="0" wrapText="0" indent="0" justifyLastLine="0" shrinkToFit="0" readingOrder="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fill>
        <patternFill patternType="solid">
          <fgColor indexed="64"/>
          <bgColor rgb="FFFFFF00"/>
        </patternFill>
      </fill>
    </dxf>
    <dxf>
      <fill>
        <patternFill patternType="solid">
          <fgColor indexed="64"/>
          <bgColor rgb="FFFFFF00"/>
        </patternFill>
      </fill>
    </dxf>
    <dxf>
      <numFmt numFmtId="14" formatCode="0.00%"/>
      <fill>
        <patternFill patternType="solid">
          <fgColor rgb="FF000000"/>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numFmt numFmtId="0" formatCode="General"/>
      <fill>
        <patternFill patternType="solid">
          <fgColor rgb="FF000000"/>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71" formatCode="0.0%"/>
      <fill>
        <patternFill patternType="solid">
          <fgColor rgb="FF000000"/>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1" formatCode="0.0%"/>
      <fill>
        <patternFill patternType="solid">
          <fgColor rgb="FF000000"/>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2" formatCode="0.00"/>
      <fill>
        <patternFill patternType="solid">
          <fgColor rgb="FF000000"/>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solid">
          <fgColor rgb="FF000000"/>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7" formatCode="&quot;$&quot;#,##0.00"/>
      <fill>
        <patternFill patternType="solid">
          <fgColor rgb="FF000000"/>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fill>
        <patternFill patternType="solid">
          <fgColor rgb="FF000000"/>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2" formatCode="0.00"/>
      <fill>
        <patternFill patternType="solid">
          <fgColor rgb="FF000000"/>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right style="medium">
          <color theme="1"/>
        </right>
        <top style="medium">
          <color auto="1"/>
        </top>
        <bottom style="medium">
          <color auto="1"/>
        </bottom>
        <vertical/>
        <horizontal style="medium">
          <color auto="1"/>
        </horizontal>
      </border>
    </dxf>
    <dxf>
      <fill>
        <patternFill patternType="solid">
          <fgColor indexed="64"/>
          <bgColor theme="0"/>
        </patternFill>
      </fill>
      <alignment horizontal="center" vertical="bottom" textRotation="0" wrapText="0" indent="0" justifyLastLine="0" shrinkToFit="0" readingOrder="0"/>
      <border diagonalUp="0" diagonalDown="0">
        <left style="medium">
          <color theme="1"/>
        </left>
        <right/>
        <top style="medium">
          <color auto="1"/>
        </top>
        <bottom style="medium">
          <color auto="1"/>
        </bottom>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top style="medium">
          <color auto="1"/>
        </top>
        <bottom style="medium">
          <color auto="1"/>
        </bottom>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right style="medium">
          <color theme="1"/>
        </right>
        <top style="medium">
          <color auto="1"/>
        </top>
        <bottom style="medium">
          <color auto="1"/>
        </bottom>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medium">
          <color theme="1"/>
        </left>
        <right/>
        <top style="medium">
          <color auto="1"/>
        </top>
        <bottom style="medium">
          <color auto="1"/>
        </bottom>
        <vertical/>
        <horizontal style="medium">
          <color auto="1"/>
        </horizontal>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theme="1"/>
        </left>
        <right style="medium">
          <color theme="1"/>
        </right>
        <top style="thin">
          <color theme="1"/>
        </top>
        <bottom style="thin">
          <color theme="1"/>
        </bottom>
        <vertical style="thin">
          <color theme="1"/>
        </vertical>
        <horizontal style="thin">
          <color theme="1"/>
        </horizontal>
      </border>
      <protection locked="0" hidden="0"/>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theme="1"/>
        </left>
        <right style="thin">
          <color theme="1"/>
        </right>
        <top style="thin">
          <color theme="1"/>
        </top>
        <bottom style="thin">
          <color theme="1"/>
        </bottom>
        <vertical style="thin">
          <color theme="1"/>
        </vertical>
        <horizontal style="thin">
          <color theme="1"/>
        </horizontal>
      </border>
      <protection locked="0" hidden="0"/>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theme="1"/>
        </left>
        <right style="thin">
          <color theme="1"/>
        </right>
        <top style="medium">
          <color theme="1"/>
        </top>
        <bottom style="thin">
          <color theme="1"/>
        </bottom>
        <vertical/>
        <horizontal/>
      </border>
      <protection locked="0" hidden="0"/>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medium">
          <color theme="1"/>
        </left>
        <right style="thin">
          <color theme="1"/>
        </right>
        <top style="thin">
          <color theme="1"/>
        </top>
        <bottom style="thin">
          <color theme="1"/>
        </bottom>
        <vertical style="thin">
          <color theme="1"/>
        </vertical>
        <horizontal style="thin">
          <color theme="1"/>
        </horizontal>
      </border>
      <protection locked="0" hidden="0"/>
    </dxf>
    <dxf>
      <numFmt numFmtId="0" formatCode="General"/>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69" formatCode="&quot;$&quot;#,##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9" formatCode="&quot;$&quot;#,##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numFmt numFmtId="0" formatCode="General"/>
      <fill>
        <patternFill patternType="solid">
          <fgColor indexed="64"/>
          <bgColor theme="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rgb="FF000000"/>
          <bgColor theme="0"/>
        </patternFill>
      </fill>
    </dxf>
    <dxf>
      <fill>
        <patternFill patternType="solid">
          <fgColor indexed="64"/>
          <bgColor theme="1"/>
        </patternFill>
      </fill>
    </dxf>
    <dxf>
      <fill>
        <patternFill>
          <bgColor rgb="FFFFFF00"/>
        </patternFill>
      </fill>
    </dxf>
    <dxf>
      <numFmt numFmtId="0" formatCode="General"/>
      <alignment horizontal="general" vertical="bottom" textRotation="0" wrapText="0" indent="0" justifyLastLine="0" shrinkToFit="0" readingOrder="0"/>
      <border diagonalUp="0" diagonalDown="0">
        <left/>
        <right/>
        <top style="thin">
          <color rgb="FFA9D08E"/>
        </top>
        <bottom style="thin">
          <color rgb="FFA9D08E"/>
        </bottom>
        <vertical/>
        <horizontal/>
      </border>
    </dxf>
    <dxf>
      <numFmt numFmtId="0" formatCode="General"/>
      <alignment horizontal="general" vertical="bottom" textRotation="0" wrapText="0" indent="0" justifyLastLine="0" shrinkToFit="0" readingOrder="0"/>
      <border diagonalUp="0" diagonalDown="0">
        <left/>
        <right/>
        <top style="thin">
          <color rgb="FFA9D08E"/>
        </top>
        <bottom style="thin">
          <color rgb="FFA9D08E"/>
        </bottom>
        <vertical/>
        <horizontal/>
      </border>
    </dxf>
    <dxf>
      <border outline="0">
        <left style="thin">
          <color rgb="FFA9D08E"/>
        </left>
      </border>
    </dxf>
    <dxf>
      <font>
        <b/>
        <i val="0"/>
        <strike val="0"/>
        <condense val="0"/>
        <extend val="0"/>
        <outline val="0"/>
        <shadow val="0"/>
        <u val="none"/>
        <vertAlign val="baseline"/>
        <sz val="11"/>
        <color rgb="FFFFFFFF"/>
        <name val="Calibri"/>
        <scheme val="minor"/>
      </font>
      <numFmt numFmtId="0" formatCode="General"/>
      <fill>
        <patternFill patternType="solid">
          <fgColor indexed="64"/>
          <bgColor rgb="FF70AD47"/>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AEB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border outline="0">
        <left style="double">
          <color rgb="FF808080"/>
        </left>
        <right style="double">
          <color rgb="FF808080"/>
        </right>
        <top style="double">
          <color rgb="FF808080"/>
        </top>
        <bottom style="double">
          <color rgb="FF808080"/>
        </bottom>
      </border>
    </dxf>
    <dxf>
      <font>
        <b val="0"/>
        <i val="0"/>
        <strike val="0"/>
        <condense val="0"/>
        <extend val="0"/>
        <outline val="0"/>
        <shadow val="0"/>
        <u val="none"/>
        <vertAlign val="baseline"/>
        <sz val="11"/>
        <color theme="1"/>
        <name val="Trebuchet MS"/>
        <scheme val="none"/>
      </font>
      <fill>
        <patternFill patternType="solid">
          <fgColor indexed="64"/>
          <bgColor rgb="FFFFFFFF"/>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Trebuchet MS"/>
        <scheme val="none"/>
      </font>
      <fill>
        <patternFill patternType="solid">
          <fgColor indexed="64"/>
          <bgColor rgb="FFCCCCCC"/>
        </patternFill>
      </fill>
      <alignment horizontal="center" vertical="center"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71" formatCode="0.0%"/>
      <fill>
        <patternFill patternType="solid">
          <fgColor rgb="FF000000"/>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71" formatCode="0.0%"/>
      <fill>
        <patternFill patternType="solid">
          <fgColor rgb="FF000000"/>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theme="1"/>
        <name val="Calibri"/>
        <scheme val="minor"/>
      </font>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numFmt numFmtId="169" formatCode="&quot;$&quot;#,##0"/>
      <fill>
        <patternFill patternType="solid">
          <fgColor indexed="64"/>
          <bgColor theme="0"/>
        </patternFill>
      </fill>
      <alignment horizontal="center" vertical="bottom" textRotation="0" wrapText="0" indent="0" justifyLastLine="0" shrinkToFit="0" readingOrder="0"/>
      <border diagonalUp="0" diagonalDown="0">
        <left/>
        <right style="medium">
          <color theme="1"/>
        </right>
        <top style="medium">
          <color auto="1"/>
        </top>
        <bottom style="medium">
          <color auto="1"/>
        </bottom>
        <vertical/>
        <horizontal style="medium">
          <color auto="1"/>
        </horizontal>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1" formatCode="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medium">
          <color theme="1"/>
        </left>
        <right/>
        <top style="medium">
          <color auto="1"/>
        </top>
        <bottom style="medium">
          <color auto="1"/>
        </bottom>
        <vertical/>
        <horizontal style="medium">
          <color auto="1"/>
        </horizontal>
      </border>
      <protection locked="0" hidden="0"/>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patternFill>
      </fill>
      <alignment horizontal="center" vertical="bottom" textRotation="0" wrapText="0" indent="0" justifyLastLine="0" shrinkToFit="0" readingOrder="0"/>
      <border diagonalUp="0" diagonalDown="0">
        <left/>
        <right style="medium">
          <color theme="1"/>
        </right>
        <top style="medium">
          <color auto="1"/>
        </top>
        <bottom style="medium">
          <color auto="1"/>
        </bottom>
        <vertical/>
        <horizontal style="medium">
          <color auto="1"/>
        </horizontal>
      </border>
      <protection locked="0" hidden="0"/>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protection locked="0" hidden="0"/>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patternFill>
      </fill>
      <alignment horizontal="center" vertical="bottom" textRotation="0" wrapText="0" indent="0" justifyLastLine="0" shrinkToFit="0" readingOrder="0"/>
      <border diagonalUp="0" diagonalDown="0">
        <left style="medium">
          <color theme="1"/>
        </left>
        <right/>
        <top style="medium">
          <color auto="1"/>
        </top>
        <bottom style="medium">
          <color auto="1"/>
        </bottom>
        <vertical/>
        <horizontal style="medium">
          <color auto="1"/>
        </horizontal>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medium">
          <color theme="1"/>
        </right>
        <top style="thin">
          <color indexed="64"/>
        </top>
        <bottom style="thin">
          <color indexed="64"/>
        </bottom>
        <vertical/>
        <horizontal/>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theme="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medium">
          <color theme="1"/>
        </left>
        <right style="thin">
          <color indexed="64"/>
        </right>
        <top style="thin">
          <color indexed="64"/>
        </top>
        <bottom style="thin">
          <color indexed="64"/>
        </bottom>
        <vertical/>
        <horizontal/>
      </border>
      <protection locked="0" hidden="0"/>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numFmt numFmtId="169" formatCode="&quot;$&quot;#,##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theme="1"/>
        <name val="Calibri"/>
        <scheme val="minor"/>
      </font>
      <numFmt numFmtId="169" formatCode="&quot;$&quot;#,##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numFmt numFmtId="169" formatCode="&quot;$&quot;#,##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numFmt numFmtId="0" formatCode="General"/>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numFmt numFmtId="0" formatCode="General"/>
      <fill>
        <patternFill patternType="solid">
          <fgColor indexed="64"/>
          <bgColor theme="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rgb="FF000000"/>
          <bgColor theme="0"/>
        </patternFill>
      </fill>
    </dxf>
    <dxf>
      <fill>
        <patternFill patternType="solid">
          <fgColor indexed="64"/>
          <bgColor theme="1"/>
        </patternFill>
      </fill>
    </dxf>
    <dxf>
      <fill>
        <patternFill>
          <bgColor rgb="FFFFFF00"/>
        </patternFill>
      </fill>
    </dxf>
    <dxf>
      <fill>
        <patternFill>
          <bgColor rgb="FFFFFF00"/>
        </patternFill>
      </fill>
    </dxf>
    <dxf>
      <numFmt numFmtId="30" formatCode="@"/>
    </dxf>
    <dxf>
      <numFmt numFmtId="0" formatCode="General"/>
      <alignment horizontal="general" vertical="bottom" textRotation="0" wrapText="0" indent="0" justifyLastLine="0" shrinkToFit="0" readingOrder="0"/>
      <border diagonalUp="0" diagonalDown="0">
        <left/>
        <right/>
        <top style="thin">
          <color rgb="FFA9D08E"/>
        </top>
        <bottom style="thin">
          <color rgb="FFA9D08E"/>
        </bottom>
        <vertical/>
        <horizontal/>
      </border>
    </dxf>
    <dxf>
      <numFmt numFmtId="0" formatCode="General"/>
      <alignment horizontal="general" vertical="bottom" textRotation="0" wrapText="0" indent="0" justifyLastLine="0" shrinkToFit="0" readingOrder="0"/>
      <border diagonalUp="0" diagonalDown="0">
        <left/>
        <right/>
        <top style="thin">
          <color rgb="FFA9D08E"/>
        </top>
        <bottom style="thin">
          <color rgb="FFA9D08E"/>
        </bottom>
        <vertical/>
        <horizontal/>
      </border>
    </dxf>
    <dxf>
      <border outline="0">
        <left style="thin">
          <color rgb="FFA9D08E"/>
        </left>
      </border>
    </dxf>
    <dxf>
      <font>
        <b/>
        <i val="0"/>
        <strike val="0"/>
        <condense val="0"/>
        <extend val="0"/>
        <outline val="0"/>
        <shadow val="0"/>
        <u val="none"/>
        <vertAlign val="baseline"/>
        <sz val="11"/>
        <color rgb="FFFFFFFF"/>
        <name val="Calibri"/>
        <scheme val="minor"/>
      </font>
      <numFmt numFmtId="0" formatCode="General"/>
      <fill>
        <patternFill patternType="solid">
          <fgColor indexed="64"/>
          <bgColor rgb="FF70AD47"/>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D3D6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border outline="0">
        <left style="double">
          <color rgb="FF808080"/>
        </left>
        <right style="double">
          <color rgb="FF808080"/>
        </right>
        <top style="double">
          <color rgb="FF808080"/>
        </top>
        <bottom style="double">
          <color rgb="FF808080"/>
        </bottom>
      </border>
    </dxf>
    <dxf>
      <font>
        <b val="0"/>
        <i val="0"/>
        <strike val="0"/>
        <condense val="0"/>
        <extend val="0"/>
        <outline val="0"/>
        <shadow val="0"/>
        <u val="none"/>
        <vertAlign val="baseline"/>
        <sz val="11"/>
        <color theme="1"/>
        <name val="Trebuchet MS"/>
        <scheme val="none"/>
      </font>
      <fill>
        <patternFill patternType="solid">
          <fgColor indexed="64"/>
          <bgColor rgb="FFE2E4FF"/>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Trebuchet MS"/>
        <scheme val="none"/>
      </font>
      <fill>
        <patternFill patternType="solid">
          <fgColor indexed="64"/>
          <bgColor rgb="FFCCCCCC"/>
        </patternFill>
      </fill>
      <alignment horizontal="center" vertical="center"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outline="0">
        <top style="thin">
          <color theme="4" tint="0.39997558519241921"/>
        </top>
      </border>
    </dxf>
    <dxf>
      <fill>
        <patternFill patternType="none">
          <fgColor indexed="64"/>
          <bgColor indexed="65"/>
        </patternFill>
      </fill>
    </dxf>
    <dxf>
      <border outline="0">
        <bottom style="thin">
          <color theme="4" tint="0.39997558519241921"/>
        </bottom>
      </border>
    </dxf>
    <dxf>
      <font>
        <b/>
        <i val="0"/>
        <strike val="0"/>
        <condense val="0"/>
        <extend val="0"/>
        <outline val="0"/>
        <shadow val="0"/>
        <u val="none"/>
        <vertAlign val="baseline"/>
        <sz val="11"/>
        <color theme="0"/>
        <name val="Calibri"/>
        <scheme val="minor"/>
      </font>
      <numFmt numFmtId="0" formatCode="General"/>
      <fill>
        <patternFill patternType="solid">
          <fgColor theme="4"/>
          <bgColor theme="4"/>
        </patternFill>
      </fill>
      <alignment horizontal="general" vertical="bottom" textRotation="0" wrapText="0" indent="0" justifyLastLine="0" shrinkToFit="0" readingOrder="0"/>
      <border diagonalUp="0" diagonalDown="0" outline="0">
        <left style="thin">
          <color theme="4" tint="0.39997558519241921"/>
        </left>
        <right style="thin">
          <color theme="4" tint="0.39997558519241921"/>
        </right>
        <top/>
        <bottom/>
      </border>
    </dxf>
    <dxf>
      <numFmt numFmtId="2" formatCode="0.00"/>
      <fill>
        <patternFill patternType="solid">
          <fgColor rgb="FF000000"/>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fill>
        <patternFill patternType="solid">
          <fgColor rgb="FF000000"/>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71" formatCode="0.0%"/>
      <fill>
        <patternFill patternType="solid">
          <fgColor rgb="FF000000"/>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71" formatCode="0.0%"/>
      <fill>
        <patternFill patternType="solid">
          <fgColor rgb="FF000000"/>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solid">
          <fgColor rgb="FF000000"/>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solid">
          <fgColor rgb="FF000000"/>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7" formatCode="&quot;$&quot;#,##0.00"/>
      <fill>
        <patternFill patternType="solid">
          <fgColor rgb="FF000000"/>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fill>
        <patternFill patternType="solid">
          <fgColor rgb="FF000000"/>
          <bgColor theme="0"/>
        </patternFill>
      </fill>
      <alignment horizontal="center" vertical="bottom" textRotation="0" wrapText="0" indent="0" justifyLastLine="0" shrinkToFit="0" readingOrder="0"/>
      <border diagonalUp="0" diagonalDown="0">
        <left style="thin">
          <color auto="1"/>
        </left>
        <right style="medium">
          <color theme="1"/>
        </right>
        <top style="medium">
          <color auto="1"/>
        </top>
        <bottom style="medium">
          <color auto="1"/>
        </bottom>
        <vertical style="thin">
          <color auto="1"/>
        </vertical>
        <horizontal style="medium">
          <color auto="1"/>
        </horizontal>
      </border>
    </dxf>
    <dxf>
      <numFmt numFmtId="2" formatCode="0.00"/>
      <fill>
        <patternFill patternType="solid">
          <fgColor rgb="FF000000"/>
          <bgColor theme="0"/>
        </patternFill>
      </fill>
      <alignment horizontal="center" vertical="bottom" textRotation="0" indent="0" justifyLastLine="0" shrinkToFit="0" readingOrder="0"/>
      <border diagonalUp="0" diagonalDown="0">
        <left style="thin">
          <color auto="1"/>
        </left>
        <right style="thin">
          <color auto="1"/>
        </right>
        <top style="medium">
          <color auto="1"/>
        </top>
        <bottom style="medium">
          <color auto="1"/>
        </bottom>
        <vertical style="thin">
          <color auto="1"/>
        </vertical>
        <horizontal style="medium">
          <color auto="1"/>
        </horizontal>
      </border>
    </dxf>
    <dxf>
      <numFmt numFmtId="1" formatCode="0"/>
      <fill>
        <patternFill patternType="solid">
          <fgColor indexed="64"/>
          <bgColor theme="0"/>
        </patternFill>
      </fill>
      <alignment horizontal="center" vertical="bottom" textRotation="0" indent="0" justifyLastLine="0" shrinkToFit="0" readingOrder="0"/>
      <border diagonalUp="0" diagonalDown="0">
        <left style="thin">
          <color auto="1"/>
        </left>
        <right style="thin">
          <color auto="1"/>
        </right>
        <top style="medium">
          <color auto="1"/>
        </top>
        <bottom style="medium">
          <color auto="1"/>
        </bottom>
        <vertical style="thin">
          <color auto="1"/>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medium">
          <color auto="1"/>
        </top>
        <bottom style="medium">
          <color auto="1"/>
        </bottom>
        <vertical style="thin">
          <color auto="1"/>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medium">
          <color auto="1"/>
        </top>
        <bottom style="medium">
          <color auto="1"/>
        </bottom>
        <vertical style="thin">
          <color auto="1"/>
        </vertical>
        <horizontal style="medium">
          <color auto="1"/>
        </horizontal>
      </border>
    </dxf>
    <dxf>
      <numFmt numFmtId="2" formatCode="0.0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medium">
          <color auto="1"/>
        </top>
        <bottom style="medium">
          <color auto="1"/>
        </bottom>
        <vertical style="thin">
          <color auto="1"/>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medium">
          <color auto="1"/>
        </top>
        <bottom style="medium">
          <color auto="1"/>
        </bottom>
        <vertical style="thin">
          <color auto="1"/>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medium">
          <color auto="1"/>
        </top>
        <bottom style="medium">
          <color auto="1"/>
        </bottom>
        <vertical style="thin">
          <color auto="1"/>
        </vertical>
        <horizontal style="medium">
          <color auto="1"/>
        </horizontal>
      </border>
    </dxf>
    <dxf>
      <numFmt numFmtId="2" formatCode="0.00"/>
      <fill>
        <patternFill patternType="solid">
          <fgColor indexed="64"/>
          <bgColor theme="0"/>
        </patternFill>
      </fill>
      <alignment horizontal="center" vertical="bottom" textRotation="0" indent="0" justifyLastLine="0" shrinkToFit="0" readingOrder="0"/>
      <border diagonalUp="0" diagonalDown="0">
        <left style="thin">
          <color auto="1"/>
        </left>
        <right style="thin">
          <color auto="1"/>
        </right>
        <top style="medium">
          <color auto="1"/>
        </top>
        <bottom style="medium">
          <color auto="1"/>
        </bottom>
        <vertical style="thin">
          <color auto="1"/>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medium">
          <color auto="1"/>
        </top>
        <bottom style="medium">
          <color auto="1"/>
        </bottom>
        <vertical style="thin">
          <color auto="1"/>
        </vertical>
        <horizontal style="medium">
          <color auto="1"/>
        </horizontal>
      </border>
    </dxf>
    <dxf>
      <numFmt numFmtId="14" formatCode="0.00%"/>
      <fill>
        <patternFill patternType="solid">
          <fgColor indexed="64"/>
          <bgColor theme="0"/>
        </patternFill>
      </fill>
      <alignment horizontal="center" vertical="bottom" textRotation="0" indent="0" justifyLastLine="0" shrinkToFit="0" readingOrder="0"/>
      <border diagonalUp="0" diagonalDown="0">
        <left style="thin">
          <color auto="1"/>
        </left>
        <right style="thin">
          <color auto="1"/>
        </right>
        <top style="medium">
          <color auto="1"/>
        </top>
        <bottom style="medium">
          <color auto="1"/>
        </bottom>
        <vertical style="thin">
          <color auto="1"/>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thin">
          <color auto="1"/>
        </left>
        <right style="thin">
          <color auto="1"/>
        </right>
        <top style="medium">
          <color auto="1"/>
        </top>
        <bottom style="medium">
          <color auto="1"/>
        </bottom>
        <vertical style="thin">
          <color auto="1"/>
        </vertical>
        <horizontal style="medium">
          <color auto="1"/>
        </horizontal>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style="medium">
          <color theme="1"/>
        </left>
        <right style="thin">
          <color auto="1"/>
        </right>
        <top style="medium">
          <color auto="1"/>
        </top>
        <bottom style="medium">
          <color auto="1"/>
        </bottom>
        <vertical style="thin">
          <color auto="1"/>
        </vertical>
        <horizontal style="medium">
          <color auto="1"/>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0.0"/>
      <fill>
        <patternFill patternType="solid">
          <fgColor indexed="64"/>
          <bgColor theme="0"/>
        </patternFill>
      </fill>
      <alignment horizontal="center" vertical="bottom" textRotation="0" wrapText="0" indent="0" justifyLastLine="0" shrinkToFit="0" readingOrder="0"/>
      <border diagonalUp="0" diagonalDown="0">
        <left/>
        <right style="medium">
          <color theme="1"/>
        </right>
        <top style="medium">
          <color auto="1"/>
        </top>
        <bottom style="medium">
          <color auto="1"/>
        </bottom>
        <vertical/>
        <horizontal style="medium">
          <color auto="1"/>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medium">
          <color theme="1"/>
        </left>
        <right/>
        <top style="medium">
          <color auto="1"/>
        </top>
        <bottom style="medium">
          <color auto="1"/>
        </bottom>
        <vertical/>
        <horizontal style="medium">
          <color auto="1"/>
        </horizontal>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right style="medium">
          <color theme="1"/>
        </right>
        <top style="medium">
          <color auto="1"/>
        </top>
        <bottom style="medium">
          <color auto="1"/>
        </bottom>
        <vertical/>
        <horizontal style="medium">
          <color auto="1"/>
        </horizontal>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171" formatCode="0.0%"/>
      <fill>
        <patternFill patternType="solid">
          <fgColor indexed="64"/>
          <bgColor theme="0"/>
        </patternFill>
      </fill>
      <alignment horizontal="right" vertical="bottom" textRotation="0" wrapText="0" indent="0" justifyLastLine="0" shrinkToFit="0" readingOrder="0"/>
      <border diagonalUp="0" diagonalDown="0">
        <left/>
        <right/>
        <top style="medium">
          <color auto="1"/>
        </top>
        <bottom style="medium">
          <color auto="1"/>
        </bottom>
        <vertical/>
        <horizontal style="medium">
          <color auto="1"/>
        </horizontal>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left style="medium">
          <color theme="1"/>
        </left>
        <right/>
        <top style="medium">
          <color auto="1"/>
        </top>
        <bottom style="medium">
          <color auto="1"/>
        </bottom>
        <vertical/>
        <horizontal style="medium">
          <color auto="1"/>
        </horizontal>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69" formatCode="&quot;$&quot;#,##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9" formatCode="&quot;$&quot;#,##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border diagonalUp="0" diagonalDown="0">
        <left/>
        <right style="thin">
          <color indexed="64"/>
        </right>
        <top style="thin">
          <color indexed="64"/>
        </top>
        <bottom style="thin">
          <color indexed="64"/>
        </bottom>
      </border>
    </dxf>
    <dxf>
      <numFmt numFmtId="0" formatCode="General"/>
      <fill>
        <patternFill patternType="solid">
          <fgColor indexed="64"/>
          <bgColor theme="1"/>
        </patternFill>
      </fill>
      <border diagonalUp="0" diagonalDown="0">
        <left style="thin">
          <color indexed="64"/>
        </left>
        <right style="thin">
          <color indexed="64"/>
        </right>
        <top style="thin">
          <color indexed="64"/>
        </top>
        <bottom style="thin">
          <color indexed="64"/>
        </bottom>
      </border>
    </dxf>
    <dxf>
      <fill>
        <patternFill patternType="solid">
          <fgColor rgb="FF000000"/>
          <bgColor theme="0"/>
        </patternFill>
      </fill>
    </dxf>
    <dxf>
      <fill>
        <patternFill patternType="solid">
          <fgColor indexed="64"/>
          <bgColor theme="1"/>
        </patternFill>
      </fill>
    </dxf>
    <dxf>
      <fill>
        <patternFill>
          <bgColor rgb="FFFFFF00"/>
        </patternFill>
      </fill>
    </dxf>
    <dxf>
      <numFmt numFmtId="2" formatCode="0.00"/>
      <alignment horizontal="center" vertical="bottom" textRotation="0" wrapText="0" indent="0" justifyLastLine="0" shrinkToFit="0" readingOrder="0"/>
    </dxf>
    <dxf>
      <numFmt numFmtId="0" formatCode="General"/>
    </dxf>
    <dxf>
      <border outline="0">
        <top style="thin">
          <color theme="1"/>
        </top>
      </border>
    </dxf>
    <dxf>
      <font>
        <b/>
        <i val="0"/>
        <strike val="0"/>
        <condense val="0"/>
        <extend val="0"/>
        <outline val="0"/>
        <shadow val="0"/>
        <u val="none"/>
        <vertAlign val="baseline"/>
        <sz val="11"/>
        <color theme="0"/>
        <name val="Calibri"/>
        <scheme val="minor"/>
      </font>
      <fill>
        <patternFill patternType="solid">
          <fgColor theme="1"/>
          <bgColor theme="1"/>
        </patternFill>
      </fill>
    </dxf>
    <dxf>
      <numFmt numFmtId="2" formatCode="0.00"/>
    </dxf>
    <dxf>
      <numFmt numFmtId="0" formatCode="General"/>
    </dxf>
    <dxf>
      <numFmt numFmtId="2" formatCode="0.00"/>
    </dxf>
    <dxf>
      <numFmt numFmtId="0" formatCode="General"/>
    </dxf>
    <dxf>
      <numFmt numFmtId="2" formatCode="0.00"/>
    </dxf>
    <dxf>
      <numFmt numFmtId="0" formatCode="General"/>
    </dxf>
    <dxf>
      <numFmt numFmtId="2" formatCode="0.00"/>
    </dxf>
    <dxf>
      <numFmt numFmtId="0" formatCode="General"/>
    </dxf>
    <dxf>
      <numFmt numFmtId="2" formatCode="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000000"/>
        </top>
      </border>
    </dxf>
    <dxf>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bottom" textRotation="0" wrapText="0" indent="0" justifyLastLine="0" shrinkToFit="0" readingOrder="0"/>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alignment horizontal="left" vertical="bottom" textRotation="0" wrapText="0" indent="0" justifyLastLine="0" shrinkToFit="0" readingOrder="0"/>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alignment horizontal="left" vertical="bottom" textRotation="0" wrapText="0" indent="0" justifyLastLine="0" shrinkToFit="0" readingOrder="0"/>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alignment horizontal="left" vertical="bottom" textRotation="0" wrapText="0" indent="0" justifyLastLine="0" shrinkToFit="0" readingOrder="0"/>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alignment horizontal="left" vertical="bottom" textRotation="0" wrapText="0" indent="0" justifyLastLine="0" shrinkToFit="0" readingOrder="0"/>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alignment horizontal="left" vertical="bottom" textRotation="0" wrapText="0" indent="0" justifyLastLine="0" shrinkToFit="0" readingOrder="0"/>
    </dxf>
    <dxf>
      <numFmt numFmtId="0" formatCode="General"/>
    </dxf>
    <dxf>
      <fill>
        <patternFill patternType="solid">
          <fgColor indexed="64"/>
          <bgColor rgb="FFFFFF00"/>
        </patternFill>
      </fill>
    </dxf>
    <dxf>
      <fill>
        <patternFill patternType="solid">
          <fgColor indexed="64"/>
          <bgColor rgb="FFFFFF00"/>
        </patternFill>
      </fill>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1212"/>
      <tableStyleElement type="headerRow" dxfId="1211"/>
      <tableStyleElement type="firstRowStripe" dxfId="1210"/>
    </tableStyle>
    <tableStyle name="TableStyleQueryResult" pivot="0" count="3">
      <tableStyleElement type="wholeTable" dxfId="1209"/>
      <tableStyleElement type="headerRow" dxfId="1208"/>
      <tableStyleElement type="firstRowStripe" dxfId="1207"/>
    </tableStyle>
  </tableStyles>
  <colors>
    <mruColors>
      <color rgb="FF5CFA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3.xml"/><Relationship Id="rId63" Type="http://schemas.microsoft.com/office/2007/relationships/slicerCache" Target="slicerCaches/slicerCache5.xml"/><Relationship Id="rId6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3" Type="http://schemas.openxmlformats.org/officeDocument/2006/relationships/externalLink" Target="externalLinks/externalLink9.xml"/><Relationship Id="rId58" Type="http://schemas.openxmlformats.org/officeDocument/2006/relationships/externalLink" Target="externalLinks/externalLink14.xml"/><Relationship Id="rId66" Type="http://schemas.microsoft.com/office/2007/relationships/slicerCache" Target="slicerCaches/slicerCache8.xml"/><Relationship Id="rId5" Type="http://schemas.openxmlformats.org/officeDocument/2006/relationships/worksheet" Target="worksheets/sheet5.xml"/><Relationship Id="rId61" Type="http://schemas.microsoft.com/office/2007/relationships/slicerCache" Target="slicerCaches/slicerCache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56" Type="http://schemas.openxmlformats.org/officeDocument/2006/relationships/externalLink" Target="externalLinks/externalLink12.xml"/><Relationship Id="rId64" Type="http://schemas.microsoft.com/office/2007/relationships/slicerCache" Target="slicerCaches/slicerCache6.xml"/><Relationship Id="rId69" Type="http://schemas.openxmlformats.org/officeDocument/2006/relationships/connections" Target="connections.xml"/><Relationship Id="rId8" Type="http://schemas.openxmlformats.org/officeDocument/2006/relationships/worksheet" Target="worksheets/sheet8.xml"/><Relationship Id="rId51" Type="http://schemas.openxmlformats.org/officeDocument/2006/relationships/externalLink" Target="externalLinks/externalLink7.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59" Type="http://schemas.microsoft.com/office/2007/relationships/slicerCache" Target="slicerCaches/slicerCache1.xml"/><Relationship Id="rId67" Type="http://schemas.microsoft.com/office/2007/relationships/slicerCache" Target="slicerCaches/slicerCache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0.xml"/><Relationship Id="rId62" Type="http://schemas.microsoft.com/office/2007/relationships/slicerCache" Target="slicerCaches/slicerCache4.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 Id="rId57" Type="http://schemas.openxmlformats.org/officeDocument/2006/relationships/externalLink" Target="externalLinks/externalLink1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8.xml"/><Relationship Id="rId60" Type="http://schemas.microsoft.com/office/2007/relationships/slicerCache" Target="slicerCaches/slicerCache2.xml"/><Relationship Id="rId65" Type="http://schemas.microsoft.com/office/2007/relationships/slicerCache" Target="slicerCaches/slicerCache7.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6.xml"/><Relationship Id="rId55" Type="http://schemas.openxmlformats.org/officeDocument/2006/relationships/externalLink" Target="externalLinks/externalLink11.xml"/><Relationship Id="rId7" Type="http://schemas.openxmlformats.org/officeDocument/2006/relationships/worksheet" Target="worksheets/sheet7.xml"/><Relationship Id="rId7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hyperlink" Target="#'Stack Builder'!A9"/><Relationship Id="rId3" Type="http://schemas.openxmlformats.org/officeDocument/2006/relationships/hyperlink" Target="#RB_matchups!A1"/><Relationship Id="rId7" Type="http://schemas.openxmlformats.org/officeDocument/2006/relationships/hyperlink" Target="#'Lineup Builder'!A1"/><Relationship Id="rId2" Type="http://schemas.openxmlformats.org/officeDocument/2006/relationships/hyperlink" Target="#QB_matchups!A9"/><Relationship Id="rId1" Type="http://schemas.openxmlformats.org/officeDocument/2006/relationships/image" Target="../media/image1.jpeg"/><Relationship Id="rId6" Type="http://schemas.openxmlformats.org/officeDocument/2006/relationships/hyperlink" Target="#DEF_matchups!A9"/><Relationship Id="rId5" Type="http://schemas.openxmlformats.org/officeDocument/2006/relationships/hyperlink" Target="#TE_matchups!A9"/><Relationship Id="rId4" Type="http://schemas.openxmlformats.org/officeDocument/2006/relationships/hyperlink" Target="#WR_matchups!A9"/></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WR_matchups!A9"/><Relationship Id="rId7" Type="http://schemas.openxmlformats.org/officeDocument/2006/relationships/hyperlink" Target="#'Stack Builder'!A9"/><Relationship Id="rId2" Type="http://schemas.openxmlformats.org/officeDocument/2006/relationships/hyperlink" Target="#RB_matchups!A1"/><Relationship Id="rId1" Type="http://schemas.openxmlformats.org/officeDocument/2006/relationships/hyperlink" Target="#QB_matchups!A9"/><Relationship Id="rId6" Type="http://schemas.openxmlformats.org/officeDocument/2006/relationships/hyperlink" Target="#'Lineup Builder'!A1"/><Relationship Id="rId5" Type="http://schemas.openxmlformats.org/officeDocument/2006/relationships/hyperlink" Target="#DEF_matchups!A9"/><Relationship Id="rId4" Type="http://schemas.openxmlformats.org/officeDocument/2006/relationships/hyperlink" Target="#TE_matchups!A9"/></Relationships>
</file>

<file path=xl/drawings/_rels/drawing3.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WR_matchups!A9"/><Relationship Id="rId7" Type="http://schemas.openxmlformats.org/officeDocument/2006/relationships/hyperlink" Target="#'Stack Builder'!A9"/><Relationship Id="rId2" Type="http://schemas.openxmlformats.org/officeDocument/2006/relationships/hyperlink" Target="#RB_matchups!A1"/><Relationship Id="rId1" Type="http://schemas.openxmlformats.org/officeDocument/2006/relationships/hyperlink" Target="#QB_matchups!A9"/><Relationship Id="rId6" Type="http://schemas.openxmlformats.org/officeDocument/2006/relationships/hyperlink" Target="#'Lineup Builder'!A1"/><Relationship Id="rId5" Type="http://schemas.openxmlformats.org/officeDocument/2006/relationships/hyperlink" Target="#DEF_matchups!A9"/><Relationship Id="rId4" Type="http://schemas.openxmlformats.org/officeDocument/2006/relationships/hyperlink" Target="#TE_matchups!A9"/></Relationships>
</file>

<file path=xl/drawings/_rels/drawing4.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WR_matchups!A9"/><Relationship Id="rId7" Type="http://schemas.openxmlformats.org/officeDocument/2006/relationships/hyperlink" Target="#'Stack Builder'!A9"/><Relationship Id="rId2" Type="http://schemas.openxmlformats.org/officeDocument/2006/relationships/hyperlink" Target="#RB_matchups!A1"/><Relationship Id="rId1" Type="http://schemas.openxmlformats.org/officeDocument/2006/relationships/hyperlink" Target="#QB_matchups!A9"/><Relationship Id="rId6" Type="http://schemas.openxmlformats.org/officeDocument/2006/relationships/hyperlink" Target="#'Lineup Builder'!A1"/><Relationship Id="rId5" Type="http://schemas.openxmlformats.org/officeDocument/2006/relationships/hyperlink" Target="#DEF_matchups!A9"/><Relationship Id="rId4" Type="http://schemas.openxmlformats.org/officeDocument/2006/relationships/hyperlink" Target="#TE_matchups!A9"/></Relationships>
</file>

<file path=xl/drawings/_rels/drawing5.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WR_matchups!A9"/><Relationship Id="rId7" Type="http://schemas.openxmlformats.org/officeDocument/2006/relationships/hyperlink" Target="#'Stack Builder'!A9"/><Relationship Id="rId2" Type="http://schemas.openxmlformats.org/officeDocument/2006/relationships/hyperlink" Target="#RB_matchups!A1"/><Relationship Id="rId1" Type="http://schemas.openxmlformats.org/officeDocument/2006/relationships/hyperlink" Target="#QB_matchups!A9"/><Relationship Id="rId6" Type="http://schemas.openxmlformats.org/officeDocument/2006/relationships/hyperlink" Target="#'Lineup Builder'!A1"/><Relationship Id="rId5" Type="http://schemas.openxmlformats.org/officeDocument/2006/relationships/hyperlink" Target="#DEF_matchups!A9"/><Relationship Id="rId4" Type="http://schemas.openxmlformats.org/officeDocument/2006/relationships/hyperlink" Target="#TE_matchups!A9"/></Relationships>
</file>

<file path=xl/drawings/_rels/drawing6.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WR_matchups!A9"/><Relationship Id="rId7" Type="http://schemas.openxmlformats.org/officeDocument/2006/relationships/hyperlink" Target="#'Stack Builder'!A9"/><Relationship Id="rId2" Type="http://schemas.openxmlformats.org/officeDocument/2006/relationships/hyperlink" Target="#RB_matchups!A1"/><Relationship Id="rId1" Type="http://schemas.openxmlformats.org/officeDocument/2006/relationships/hyperlink" Target="#QB_matchups!A9"/><Relationship Id="rId6" Type="http://schemas.openxmlformats.org/officeDocument/2006/relationships/hyperlink" Target="#'Lineup Builder'!A1"/><Relationship Id="rId5" Type="http://schemas.openxmlformats.org/officeDocument/2006/relationships/hyperlink" Target="#DEF_matchups!A9"/><Relationship Id="rId4" Type="http://schemas.openxmlformats.org/officeDocument/2006/relationships/hyperlink" Target="#TE_matchups!A9"/></Relationships>
</file>

<file path=xl/drawings/_rels/drawing7.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hyperlink" Target="#WR_matchups!A9"/><Relationship Id="rId7" Type="http://schemas.openxmlformats.org/officeDocument/2006/relationships/hyperlink" Target="#'Stack Builder'!A9"/><Relationship Id="rId2" Type="http://schemas.openxmlformats.org/officeDocument/2006/relationships/hyperlink" Target="#RB_matchups!A1"/><Relationship Id="rId1" Type="http://schemas.openxmlformats.org/officeDocument/2006/relationships/hyperlink" Target="#QB_matchups!A9"/><Relationship Id="rId6" Type="http://schemas.openxmlformats.org/officeDocument/2006/relationships/hyperlink" Target="#'Lineup Builder'!A1"/><Relationship Id="rId5" Type="http://schemas.openxmlformats.org/officeDocument/2006/relationships/hyperlink" Target="#DEF_matchups!A9"/><Relationship Id="rId4" Type="http://schemas.openxmlformats.org/officeDocument/2006/relationships/hyperlink" Target="#TE_matchups!A9"/></Relationships>
</file>

<file path=xl/drawings/_rels/drawing8.xml.rels><?xml version="1.0" encoding="UTF-8" standalone="yes"?>
<Relationships xmlns="http://schemas.openxmlformats.org/package/2006/relationships"><Relationship Id="rId3" Type="http://schemas.openxmlformats.org/officeDocument/2006/relationships/hyperlink" Target="#RB_matchups!A1"/><Relationship Id="rId7" Type="http://schemas.openxmlformats.org/officeDocument/2006/relationships/hyperlink" Target="#'Lineup Builder'!A1"/><Relationship Id="rId2" Type="http://schemas.openxmlformats.org/officeDocument/2006/relationships/hyperlink" Target="#QB_matchups!A9"/><Relationship Id="rId1" Type="http://schemas.openxmlformats.org/officeDocument/2006/relationships/image" Target="../media/image1.jpeg"/><Relationship Id="rId6" Type="http://schemas.openxmlformats.org/officeDocument/2006/relationships/hyperlink" Target="#DEF_matchups!A9"/><Relationship Id="rId5" Type="http://schemas.openxmlformats.org/officeDocument/2006/relationships/hyperlink" Target="#TE_matchups!A9"/><Relationship Id="rId4" Type="http://schemas.openxmlformats.org/officeDocument/2006/relationships/hyperlink" Target="#WR_matchups!A9"/></Relationships>
</file>

<file path=xl/drawings/_rels/drawing9.xml.rels><?xml version="1.0" encoding="UTF-8" standalone="yes"?>
<Relationships xmlns="http://schemas.openxmlformats.org/package/2006/relationships"><Relationship Id="rId8" Type="http://schemas.openxmlformats.org/officeDocument/2006/relationships/hyperlink" Target="#'Stack Builder'!A9"/><Relationship Id="rId3" Type="http://schemas.openxmlformats.org/officeDocument/2006/relationships/hyperlink" Target="#WR_matchups!A9"/><Relationship Id="rId7" Type="http://schemas.openxmlformats.org/officeDocument/2006/relationships/image" Target="../media/image2.jpeg"/><Relationship Id="rId2" Type="http://schemas.openxmlformats.org/officeDocument/2006/relationships/hyperlink" Target="#RB_matchups!A1"/><Relationship Id="rId1" Type="http://schemas.openxmlformats.org/officeDocument/2006/relationships/hyperlink" Target="#QB_matchups!A9"/><Relationship Id="rId6" Type="http://schemas.openxmlformats.org/officeDocument/2006/relationships/hyperlink" Target="#'Lineup Builder'!A1"/><Relationship Id="rId5" Type="http://schemas.openxmlformats.org/officeDocument/2006/relationships/hyperlink" Target="#DEF_matchups!A9"/><Relationship Id="rId4" Type="http://schemas.openxmlformats.org/officeDocument/2006/relationships/hyperlink" Target="#TE_matchups!A9"/></Relationships>
</file>

<file path=xl/drawings/_rels/drawing10.xml.rels><?xml version="1.0" encoding="UTF-8" standalone="yes"?>
<Relationships xmlns="http://schemas.openxmlformats.org/package/2006/relationships"><Relationship Id="rId8" Type="http://schemas.openxmlformats.org/officeDocument/2006/relationships/hyperlink" Target="#'Lineup Builder'!A1"/><Relationship Id="rId3" Type="http://schemas.openxmlformats.org/officeDocument/2006/relationships/hyperlink" Target="#RB_matchups!A1"/><Relationship Id="rId7" Type="http://schemas.openxmlformats.org/officeDocument/2006/relationships/hyperlink" Target="#DEF_matchups!A9"/><Relationship Id="rId2" Type="http://schemas.openxmlformats.org/officeDocument/2006/relationships/hyperlink" Target="#QB_matchups!A9"/><Relationship Id="rId1" Type="http://schemas.openxmlformats.org/officeDocument/2006/relationships/image" Target="../media/image2.jpeg"/><Relationship Id="rId6" Type="http://schemas.openxmlformats.org/officeDocument/2006/relationships/hyperlink" Target="#K_matchups!A9"/><Relationship Id="rId5" Type="http://schemas.openxmlformats.org/officeDocument/2006/relationships/hyperlink" Target="#TE_matchups!A9"/><Relationship Id="rId4" Type="http://schemas.openxmlformats.org/officeDocument/2006/relationships/hyperlink" Target="#WR_matchups!A9"/><Relationship Id="rId9" Type="http://schemas.openxmlformats.org/officeDocument/2006/relationships/hyperlink" Target="#'Stack Builder'!A9"/></Relationships>
</file>

<file path=xl/drawings/_rels/drawing11.xml.rels><?xml version="1.0" encoding="UTF-8" standalone="yes"?>
<Relationships xmlns="http://schemas.openxmlformats.org/package/2006/relationships"><Relationship Id="rId8" Type="http://schemas.openxmlformats.org/officeDocument/2006/relationships/hyperlink" Target="#'Lineup Builder'!A1"/><Relationship Id="rId3" Type="http://schemas.openxmlformats.org/officeDocument/2006/relationships/hyperlink" Target="#RB_matchups!A1"/><Relationship Id="rId7" Type="http://schemas.openxmlformats.org/officeDocument/2006/relationships/hyperlink" Target="#DEF_matchups!A9"/><Relationship Id="rId2" Type="http://schemas.openxmlformats.org/officeDocument/2006/relationships/hyperlink" Target="#QB_matchups!A9"/><Relationship Id="rId1" Type="http://schemas.openxmlformats.org/officeDocument/2006/relationships/image" Target="../media/image2.jpeg"/><Relationship Id="rId6" Type="http://schemas.openxmlformats.org/officeDocument/2006/relationships/hyperlink" Target="#K_matchups!A9"/><Relationship Id="rId5" Type="http://schemas.openxmlformats.org/officeDocument/2006/relationships/hyperlink" Target="#TE_matchups!A9"/><Relationship Id="rId4" Type="http://schemas.openxmlformats.org/officeDocument/2006/relationships/hyperlink" Target="#WR_matchups!A9"/><Relationship Id="rId9" Type="http://schemas.openxmlformats.org/officeDocument/2006/relationships/hyperlink" Target="#'Stack Builder'!A9"/></Relationships>
</file>

<file path=xl/drawings/_rels/drawing12.xml.rels><?xml version="1.0" encoding="UTF-8" standalone="yes"?>
<Relationships xmlns="http://schemas.openxmlformats.org/package/2006/relationships"><Relationship Id="rId8" Type="http://schemas.openxmlformats.org/officeDocument/2006/relationships/hyperlink" Target="#'Stack Builder'!A9"/><Relationship Id="rId3" Type="http://schemas.openxmlformats.org/officeDocument/2006/relationships/hyperlink" Target="#RB_matchups!A1"/><Relationship Id="rId7" Type="http://schemas.openxmlformats.org/officeDocument/2006/relationships/hyperlink" Target="#'Lineup Builder'!A1"/><Relationship Id="rId2" Type="http://schemas.openxmlformats.org/officeDocument/2006/relationships/hyperlink" Target="#QB_matchups!A9"/><Relationship Id="rId1" Type="http://schemas.openxmlformats.org/officeDocument/2006/relationships/image" Target="../media/image1.jpeg"/><Relationship Id="rId6" Type="http://schemas.openxmlformats.org/officeDocument/2006/relationships/hyperlink" Target="#DEF_matchups!A9"/><Relationship Id="rId5" Type="http://schemas.openxmlformats.org/officeDocument/2006/relationships/hyperlink" Target="#TE_matchups!A9"/><Relationship Id="rId4" Type="http://schemas.openxmlformats.org/officeDocument/2006/relationships/hyperlink" Target="#WR_matchups!A9"/></Relationships>
</file>

<file path=xl/drawings/drawing1.xml><?xml version="1.0" encoding="utf-8"?>
<xdr:wsDr xmlns:xdr="http://schemas.openxmlformats.org/drawingml/2006/spreadsheetDrawing" xmlns:a="http://schemas.openxmlformats.org/drawingml/2006/main">
  <xdr:oneCellAnchor>
    <xdr:from>
      <xdr:col>1</xdr:col>
      <xdr:colOff>238125</xdr:colOff>
      <xdr:row>0</xdr:row>
      <xdr:rowOff>66675</xdr:rowOff>
    </xdr:from>
    <xdr:ext cx="2053135" cy="515779"/>
    <xdr:pic>
      <xdr:nvPicPr>
        <xdr:cNvPr id="2" name="Picture 1">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125" y="66675"/>
          <a:ext cx="2053135" cy="515779"/>
        </a:xfrm>
        <a:prstGeom prst="rect">
          <a:avLst/>
        </a:prstGeom>
      </xdr:spPr>
    </xdr:pic>
    <xdr:clientData/>
  </xdr:oneCellAnchor>
  <xdr:twoCellAnchor>
    <xdr:from>
      <xdr:col>4</xdr:col>
      <xdr:colOff>0</xdr:colOff>
      <xdr:row>1</xdr:row>
      <xdr:rowOff>21166</xdr:rowOff>
    </xdr:from>
    <xdr:to>
      <xdr:col>5</xdr:col>
      <xdr:colOff>134408</xdr:colOff>
      <xdr:row>3</xdr:row>
      <xdr:rowOff>168908</xdr:rowOff>
    </xdr:to>
    <xdr:sp macro="" textlink="">
      <xdr:nvSpPr>
        <xdr:cNvPr id="11" name="Rounded Rectangle 10">
          <a:hlinkClick xmlns:r="http://schemas.openxmlformats.org/officeDocument/2006/relationships" r:id="rId2"/>
        </xdr:cNvPr>
        <xdr:cNvSpPr/>
      </xdr:nvSpPr>
      <xdr:spPr>
        <a:xfrm>
          <a:off x="2876550" y="211666"/>
          <a:ext cx="905933" cy="5287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5</xdr:col>
      <xdr:colOff>250401</xdr:colOff>
      <xdr:row>1</xdr:row>
      <xdr:rowOff>21166</xdr:rowOff>
    </xdr:from>
    <xdr:to>
      <xdr:col>7</xdr:col>
      <xdr:colOff>593302</xdr:colOff>
      <xdr:row>3</xdr:row>
      <xdr:rowOff>168908</xdr:rowOff>
    </xdr:to>
    <xdr:sp macro="" textlink="">
      <xdr:nvSpPr>
        <xdr:cNvPr id="12" name="Rounded Rectangle 11">
          <a:hlinkClick xmlns:r="http://schemas.openxmlformats.org/officeDocument/2006/relationships" r:id="rId3"/>
        </xdr:cNvPr>
        <xdr:cNvSpPr/>
      </xdr:nvSpPr>
      <xdr:spPr>
        <a:xfrm>
          <a:off x="3898476" y="211666"/>
          <a:ext cx="1295401" cy="5287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7</xdr:col>
      <xdr:colOff>687072</xdr:colOff>
      <xdr:row>1</xdr:row>
      <xdr:rowOff>21166</xdr:rowOff>
    </xdr:from>
    <xdr:to>
      <xdr:col>9</xdr:col>
      <xdr:colOff>74084</xdr:colOff>
      <xdr:row>3</xdr:row>
      <xdr:rowOff>168908</xdr:rowOff>
    </xdr:to>
    <xdr:sp macro="" textlink="">
      <xdr:nvSpPr>
        <xdr:cNvPr id="13" name="Rounded Rectangle 12">
          <a:hlinkClick xmlns:r="http://schemas.openxmlformats.org/officeDocument/2006/relationships" r:id="rId4"/>
        </xdr:cNvPr>
        <xdr:cNvSpPr/>
      </xdr:nvSpPr>
      <xdr:spPr>
        <a:xfrm>
          <a:off x="5287647" y="211666"/>
          <a:ext cx="1272962" cy="5287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9</xdr:col>
      <xdr:colOff>181609</xdr:colOff>
      <xdr:row>1</xdr:row>
      <xdr:rowOff>21166</xdr:rowOff>
    </xdr:from>
    <xdr:to>
      <xdr:col>10</xdr:col>
      <xdr:colOff>500803</xdr:colOff>
      <xdr:row>3</xdr:row>
      <xdr:rowOff>168908</xdr:rowOff>
    </xdr:to>
    <xdr:sp macro="" textlink="">
      <xdr:nvSpPr>
        <xdr:cNvPr id="14" name="Rounded Rectangle 13">
          <a:hlinkClick xmlns:r="http://schemas.openxmlformats.org/officeDocument/2006/relationships" r:id="rId5"/>
        </xdr:cNvPr>
        <xdr:cNvSpPr/>
      </xdr:nvSpPr>
      <xdr:spPr>
        <a:xfrm>
          <a:off x="6668134" y="211666"/>
          <a:ext cx="1109769" cy="5287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10</xdr:col>
      <xdr:colOff>591608</xdr:colOff>
      <xdr:row>1</xdr:row>
      <xdr:rowOff>15663</xdr:rowOff>
    </xdr:from>
    <xdr:to>
      <xdr:col>13</xdr:col>
      <xdr:colOff>314536</xdr:colOff>
      <xdr:row>3</xdr:row>
      <xdr:rowOff>163405</xdr:rowOff>
    </xdr:to>
    <xdr:sp macro="" textlink="">
      <xdr:nvSpPr>
        <xdr:cNvPr id="15" name="Rounded Rectangle 14">
          <a:hlinkClick xmlns:r="http://schemas.openxmlformats.org/officeDocument/2006/relationships" r:id="rId6"/>
        </xdr:cNvPr>
        <xdr:cNvSpPr/>
      </xdr:nvSpPr>
      <xdr:spPr>
        <a:xfrm>
          <a:off x="7868708" y="206163"/>
          <a:ext cx="1485053" cy="5287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13</xdr:col>
      <xdr:colOff>438574</xdr:colOff>
      <xdr:row>1</xdr:row>
      <xdr:rowOff>15664</xdr:rowOff>
    </xdr:from>
    <xdr:to>
      <xdr:col>14</xdr:col>
      <xdr:colOff>505461</xdr:colOff>
      <xdr:row>3</xdr:row>
      <xdr:rowOff>163406</xdr:rowOff>
    </xdr:to>
    <xdr:sp macro="" textlink="">
      <xdr:nvSpPr>
        <xdr:cNvPr id="16" name="Rounded Rectangle 15">
          <a:hlinkClick xmlns:r="http://schemas.openxmlformats.org/officeDocument/2006/relationships" r:id="rId7"/>
        </xdr:cNvPr>
        <xdr:cNvSpPr/>
      </xdr:nvSpPr>
      <xdr:spPr>
        <a:xfrm>
          <a:off x="9477799" y="206164"/>
          <a:ext cx="1286087" cy="52874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twoCellAnchor>
    <xdr:from>
      <xdr:col>14</xdr:col>
      <xdr:colOff>604308</xdr:colOff>
      <xdr:row>1</xdr:row>
      <xdr:rowOff>0</xdr:rowOff>
    </xdr:from>
    <xdr:to>
      <xdr:col>16</xdr:col>
      <xdr:colOff>130175</xdr:colOff>
      <xdr:row>3</xdr:row>
      <xdr:rowOff>147742</xdr:rowOff>
    </xdr:to>
    <xdr:sp macro="" textlink="">
      <xdr:nvSpPr>
        <xdr:cNvPr id="17" name="Rounded Rectangle 16">
          <a:hlinkClick xmlns:r="http://schemas.openxmlformats.org/officeDocument/2006/relationships" r:id="rId8"/>
        </xdr:cNvPr>
        <xdr:cNvSpPr/>
      </xdr:nvSpPr>
      <xdr:spPr>
        <a:xfrm>
          <a:off x="10862733" y="190500"/>
          <a:ext cx="1107017" cy="528742"/>
        </a:xfrm>
        <a:prstGeom prst="roundRect">
          <a:avLst/>
        </a:prstGeom>
        <a:solidFill>
          <a:srgbClr val="00B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Stack</a:t>
          </a:r>
        </a:p>
        <a:p>
          <a:pPr algn="ctr"/>
          <a:r>
            <a:rPr lang="en-US" sz="1100"/>
            <a:t>Builder</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86574</xdr:colOff>
      <xdr:row>4</xdr:row>
      <xdr:rowOff>86785</xdr:rowOff>
    </xdr:from>
    <xdr:to>
      <xdr:col>17</xdr:col>
      <xdr:colOff>770684</xdr:colOff>
      <xdr:row>7</xdr:row>
      <xdr:rowOff>109645</xdr:rowOff>
    </xdr:to>
    <mc:AlternateContent xmlns:mc="http://schemas.openxmlformats.org/markup-compatibility/2006" xmlns:sle15="http://schemas.microsoft.com/office/drawing/2012/slicer">
      <mc:Choice Requires="sle15">
        <xdr:graphicFrame macro="">
          <xdr:nvGraphicFramePr>
            <xdr:cNvPr id="12" name="Team"/>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2739815" y="848785"/>
              <a:ext cx="9587870" cy="5943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xdr:from>
      <xdr:col>4</xdr:col>
      <xdr:colOff>135467</xdr:colOff>
      <xdr:row>0</xdr:row>
      <xdr:rowOff>149436</xdr:rowOff>
    </xdr:from>
    <xdr:to>
      <xdr:col>6</xdr:col>
      <xdr:colOff>110067</xdr:colOff>
      <xdr:row>3</xdr:row>
      <xdr:rowOff>106678</xdr:rowOff>
    </xdr:to>
    <xdr:sp macro="" textlink="">
      <xdr:nvSpPr>
        <xdr:cNvPr id="11" name="Rounded Rectangle 10">
          <a:hlinkClick xmlns:r="http://schemas.openxmlformats.org/officeDocument/2006/relationships" r:id="rId1"/>
        </xdr:cNvPr>
        <xdr:cNvSpPr/>
      </xdr:nvSpPr>
      <xdr:spPr>
        <a:xfrm>
          <a:off x="2861734" y="149436"/>
          <a:ext cx="114300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6</xdr:col>
      <xdr:colOff>226060</xdr:colOff>
      <xdr:row>0</xdr:row>
      <xdr:rowOff>149436</xdr:rowOff>
    </xdr:from>
    <xdr:to>
      <xdr:col>8</xdr:col>
      <xdr:colOff>39794</xdr:colOff>
      <xdr:row>3</xdr:row>
      <xdr:rowOff>106678</xdr:rowOff>
    </xdr:to>
    <xdr:sp macro="" textlink="">
      <xdr:nvSpPr>
        <xdr:cNvPr id="13" name="Rounded Rectangle 12">
          <a:hlinkClick xmlns:r="http://schemas.openxmlformats.org/officeDocument/2006/relationships" r:id="rId2"/>
        </xdr:cNvPr>
        <xdr:cNvSpPr/>
      </xdr:nvSpPr>
      <xdr:spPr>
        <a:xfrm>
          <a:off x="4120727" y="149436"/>
          <a:ext cx="114300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8</xdr:col>
      <xdr:colOff>133564</xdr:colOff>
      <xdr:row>0</xdr:row>
      <xdr:rowOff>149436</xdr:rowOff>
    </xdr:from>
    <xdr:to>
      <xdr:col>9</xdr:col>
      <xdr:colOff>567266</xdr:colOff>
      <xdr:row>3</xdr:row>
      <xdr:rowOff>106678</xdr:rowOff>
    </xdr:to>
    <xdr:sp macro="" textlink="">
      <xdr:nvSpPr>
        <xdr:cNvPr id="14" name="Rounded Rectangle 13">
          <a:hlinkClick xmlns:r="http://schemas.openxmlformats.org/officeDocument/2006/relationships" r:id="rId3"/>
        </xdr:cNvPr>
        <xdr:cNvSpPr/>
      </xdr:nvSpPr>
      <xdr:spPr>
        <a:xfrm>
          <a:off x="5010364" y="149436"/>
          <a:ext cx="1254969"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9</xdr:col>
      <xdr:colOff>749935</xdr:colOff>
      <xdr:row>0</xdr:row>
      <xdr:rowOff>140969</xdr:rowOff>
    </xdr:from>
    <xdr:to>
      <xdr:col>11</xdr:col>
      <xdr:colOff>346287</xdr:colOff>
      <xdr:row>3</xdr:row>
      <xdr:rowOff>98211</xdr:rowOff>
    </xdr:to>
    <xdr:sp macro="" textlink="">
      <xdr:nvSpPr>
        <xdr:cNvPr id="15" name="Rounded Rectangle 14">
          <a:hlinkClick xmlns:r="http://schemas.openxmlformats.org/officeDocument/2006/relationships" r:id="rId4"/>
        </xdr:cNvPr>
        <xdr:cNvSpPr/>
      </xdr:nvSpPr>
      <xdr:spPr>
        <a:xfrm>
          <a:off x="6448002" y="140969"/>
          <a:ext cx="1179618"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11</xdr:col>
      <xdr:colOff>437092</xdr:colOff>
      <xdr:row>0</xdr:row>
      <xdr:rowOff>135466</xdr:rowOff>
    </xdr:from>
    <xdr:to>
      <xdr:col>13</xdr:col>
      <xdr:colOff>493395</xdr:colOff>
      <xdr:row>3</xdr:row>
      <xdr:rowOff>92708</xdr:rowOff>
    </xdr:to>
    <xdr:sp macro="" textlink="">
      <xdr:nvSpPr>
        <xdr:cNvPr id="16" name="Rounded Rectangle 15">
          <a:hlinkClick xmlns:r="http://schemas.openxmlformats.org/officeDocument/2006/relationships" r:id="rId5"/>
        </xdr:cNvPr>
        <xdr:cNvSpPr/>
      </xdr:nvSpPr>
      <xdr:spPr>
        <a:xfrm>
          <a:off x="7718425" y="135466"/>
          <a:ext cx="153797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13</xdr:col>
      <xdr:colOff>617433</xdr:colOff>
      <xdr:row>0</xdr:row>
      <xdr:rowOff>135467</xdr:rowOff>
    </xdr:from>
    <xdr:to>
      <xdr:col>15</xdr:col>
      <xdr:colOff>449371</xdr:colOff>
      <xdr:row>3</xdr:row>
      <xdr:rowOff>92709</xdr:rowOff>
    </xdr:to>
    <xdr:sp macro="" textlink="">
      <xdr:nvSpPr>
        <xdr:cNvPr id="17" name="Rounded Rectangle 16">
          <a:hlinkClick xmlns:r="http://schemas.openxmlformats.org/officeDocument/2006/relationships" r:id="rId6"/>
        </xdr:cNvPr>
        <xdr:cNvSpPr/>
      </xdr:nvSpPr>
      <xdr:spPr>
        <a:xfrm>
          <a:off x="9380433" y="135467"/>
          <a:ext cx="1322071" cy="51604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twoCellAnchor>
    <xdr:from>
      <xdr:col>15</xdr:col>
      <xdr:colOff>548218</xdr:colOff>
      <xdr:row>0</xdr:row>
      <xdr:rowOff>119803</xdr:rowOff>
    </xdr:from>
    <xdr:to>
      <xdr:col>17</xdr:col>
      <xdr:colOff>283634</xdr:colOff>
      <xdr:row>3</xdr:row>
      <xdr:rowOff>77045</xdr:rowOff>
    </xdr:to>
    <xdr:sp macro="" textlink="">
      <xdr:nvSpPr>
        <xdr:cNvPr id="10" name="Rounded Rectangle 9">
          <a:hlinkClick xmlns:r="http://schemas.openxmlformats.org/officeDocument/2006/relationships" r:id="rId7"/>
        </xdr:cNvPr>
        <xdr:cNvSpPr/>
      </xdr:nvSpPr>
      <xdr:spPr>
        <a:xfrm>
          <a:off x="10801351" y="119803"/>
          <a:ext cx="1132416" cy="516042"/>
        </a:xfrm>
        <a:prstGeom prst="roundRect">
          <a:avLst/>
        </a:prstGeom>
        <a:solidFill>
          <a:srgbClr val="00B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Stack</a:t>
          </a:r>
        </a:p>
        <a:p>
          <a:pPr algn="ctr"/>
          <a:r>
            <a:rPr lang="en-US" sz="1100"/>
            <a:t>Builder</a:t>
          </a:r>
        </a:p>
      </xdr:txBody>
    </xdr:sp>
    <xdr:clientData/>
  </xdr:twoCellAnchor>
  <xdr:oneCellAnchor>
    <xdr:from>
      <xdr:col>0</xdr:col>
      <xdr:colOff>140374</xdr:colOff>
      <xdr:row>0</xdr:row>
      <xdr:rowOff>187326</xdr:rowOff>
    </xdr:from>
    <xdr:ext cx="2053135" cy="515779"/>
    <xdr:pic>
      <xdr:nvPicPr>
        <xdr:cNvPr id="2" name="Picture 1">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0374" y="187326"/>
          <a:ext cx="2053135" cy="51577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absolute">
    <xdr:from>
      <xdr:col>4</xdr:col>
      <xdr:colOff>103652</xdr:colOff>
      <xdr:row>4</xdr:row>
      <xdr:rowOff>44823</xdr:rowOff>
    </xdr:from>
    <xdr:to>
      <xdr:col>18</xdr:col>
      <xdr:colOff>756621</xdr:colOff>
      <xdr:row>7</xdr:row>
      <xdr:rowOff>91887</xdr:rowOff>
    </xdr:to>
    <mc:AlternateContent xmlns:mc="http://schemas.openxmlformats.org/markup-compatibility/2006" xmlns:sle15="http://schemas.microsoft.com/office/drawing/2012/slicer">
      <mc:Choice Requires="sle15">
        <xdr:graphicFrame macro="">
          <xdr:nvGraphicFramePr>
            <xdr:cNvPr id="3" name="Team 1"/>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2949946" y="806823"/>
              <a:ext cx="10841358" cy="618564"/>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xdr:from>
      <xdr:col>4</xdr:col>
      <xdr:colOff>161365</xdr:colOff>
      <xdr:row>0</xdr:row>
      <xdr:rowOff>122044</xdr:rowOff>
    </xdr:from>
    <xdr:to>
      <xdr:col>6</xdr:col>
      <xdr:colOff>45945</xdr:colOff>
      <xdr:row>3</xdr:row>
      <xdr:rowOff>100204</xdr:rowOff>
    </xdr:to>
    <xdr:sp macro="" textlink="">
      <xdr:nvSpPr>
        <xdr:cNvPr id="11" name="Rounded Rectangle 10">
          <a:hlinkClick xmlns:r="http://schemas.openxmlformats.org/officeDocument/2006/relationships" r:id="rId1"/>
        </xdr:cNvPr>
        <xdr:cNvSpPr/>
      </xdr:nvSpPr>
      <xdr:spPr>
        <a:xfrm>
          <a:off x="2839571" y="122044"/>
          <a:ext cx="1106021" cy="5496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6</xdr:col>
      <xdr:colOff>111511</xdr:colOff>
      <xdr:row>0</xdr:row>
      <xdr:rowOff>122044</xdr:rowOff>
    </xdr:from>
    <xdr:to>
      <xdr:col>8</xdr:col>
      <xdr:colOff>8417</xdr:colOff>
      <xdr:row>3</xdr:row>
      <xdr:rowOff>100204</xdr:rowOff>
    </xdr:to>
    <xdr:sp macro="" textlink="">
      <xdr:nvSpPr>
        <xdr:cNvPr id="19" name="Rounded Rectangle 18">
          <a:hlinkClick xmlns:r="http://schemas.openxmlformats.org/officeDocument/2006/relationships" r:id="rId2"/>
        </xdr:cNvPr>
        <xdr:cNvSpPr/>
      </xdr:nvSpPr>
      <xdr:spPr>
        <a:xfrm>
          <a:off x="4127699" y="122044"/>
          <a:ext cx="114300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8</xdr:col>
      <xdr:colOff>102187</xdr:colOff>
      <xdr:row>0</xdr:row>
      <xdr:rowOff>122044</xdr:rowOff>
    </xdr:from>
    <xdr:to>
      <xdr:col>10</xdr:col>
      <xdr:colOff>18367</xdr:colOff>
      <xdr:row>3</xdr:row>
      <xdr:rowOff>100204</xdr:rowOff>
    </xdr:to>
    <xdr:sp macro="" textlink="">
      <xdr:nvSpPr>
        <xdr:cNvPr id="20" name="Rounded Rectangle 19">
          <a:hlinkClick xmlns:r="http://schemas.openxmlformats.org/officeDocument/2006/relationships" r:id="rId3"/>
        </xdr:cNvPr>
        <xdr:cNvSpPr/>
      </xdr:nvSpPr>
      <xdr:spPr>
        <a:xfrm>
          <a:off x="5364469" y="122044"/>
          <a:ext cx="113538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10</xdr:col>
      <xdr:colOff>125892</xdr:colOff>
      <xdr:row>0</xdr:row>
      <xdr:rowOff>122044</xdr:rowOff>
    </xdr:from>
    <xdr:to>
      <xdr:col>11</xdr:col>
      <xdr:colOff>572894</xdr:colOff>
      <xdr:row>3</xdr:row>
      <xdr:rowOff>100204</xdr:rowOff>
    </xdr:to>
    <xdr:sp macro="" textlink="">
      <xdr:nvSpPr>
        <xdr:cNvPr id="21" name="Rounded Rectangle 20">
          <a:hlinkClick xmlns:r="http://schemas.openxmlformats.org/officeDocument/2006/relationships" r:id="rId4"/>
        </xdr:cNvPr>
        <xdr:cNvSpPr/>
      </xdr:nvSpPr>
      <xdr:spPr>
        <a:xfrm>
          <a:off x="6607374" y="122044"/>
          <a:ext cx="1137285"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11</xdr:col>
      <xdr:colOff>663699</xdr:colOff>
      <xdr:row>0</xdr:row>
      <xdr:rowOff>116541</xdr:rowOff>
    </xdr:from>
    <xdr:to>
      <xdr:col>13</xdr:col>
      <xdr:colOff>217481</xdr:colOff>
      <xdr:row>3</xdr:row>
      <xdr:rowOff>94701</xdr:rowOff>
    </xdr:to>
    <xdr:sp macro="" textlink="">
      <xdr:nvSpPr>
        <xdr:cNvPr id="22" name="Rounded Rectangle 21">
          <a:hlinkClick xmlns:r="http://schemas.openxmlformats.org/officeDocument/2006/relationships" r:id="rId5"/>
        </xdr:cNvPr>
        <xdr:cNvSpPr/>
      </xdr:nvSpPr>
      <xdr:spPr>
        <a:xfrm>
          <a:off x="7835464" y="116541"/>
          <a:ext cx="113157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13</xdr:col>
      <xdr:colOff>341519</xdr:colOff>
      <xdr:row>0</xdr:row>
      <xdr:rowOff>116542</xdr:rowOff>
    </xdr:from>
    <xdr:to>
      <xdr:col>14</xdr:col>
      <xdr:colOff>1045024</xdr:colOff>
      <xdr:row>3</xdr:row>
      <xdr:rowOff>94702</xdr:rowOff>
    </xdr:to>
    <xdr:sp macro="" textlink="">
      <xdr:nvSpPr>
        <xdr:cNvPr id="23" name="Rounded Rectangle 22">
          <a:hlinkClick xmlns:r="http://schemas.openxmlformats.org/officeDocument/2006/relationships" r:id="rId6"/>
        </xdr:cNvPr>
        <xdr:cNvSpPr/>
      </xdr:nvSpPr>
      <xdr:spPr>
        <a:xfrm>
          <a:off x="9091072" y="116542"/>
          <a:ext cx="1322070" cy="51604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twoCellAnchor>
    <xdr:from>
      <xdr:col>15</xdr:col>
      <xdr:colOff>89648</xdr:colOff>
      <xdr:row>0</xdr:row>
      <xdr:rowOff>123265</xdr:rowOff>
    </xdr:from>
    <xdr:to>
      <xdr:col>16</xdr:col>
      <xdr:colOff>311399</xdr:colOff>
      <xdr:row>3</xdr:row>
      <xdr:rowOff>80507</xdr:rowOff>
    </xdr:to>
    <xdr:sp macro="" textlink="">
      <xdr:nvSpPr>
        <xdr:cNvPr id="12" name="Rounded Rectangle 11">
          <a:hlinkClick xmlns:r="http://schemas.openxmlformats.org/officeDocument/2006/relationships" r:id="rId7"/>
        </xdr:cNvPr>
        <xdr:cNvSpPr/>
      </xdr:nvSpPr>
      <xdr:spPr>
        <a:xfrm>
          <a:off x="10242177" y="123265"/>
          <a:ext cx="1107016" cy="528742"/>
        </a:xfrm>
        <a:prstGeom prst="roundRect">
          <a:avLst/>
        </a:prstGeom>
        <a:solidFill>
          <a:srgbClr val="00B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Stack</a:t>
          </a:r>
        </a:p>
        <a:p>
          <a:pPr algn="ctr"/>
          <a:r>
            <a:rPr lang="en-US" sz="1100"/>
            <a:t>Builder</a:t>
          </a:r>
        </a:p>
      </xdr:txBody>
    </xdr:sp>
    <xdr:clientData/>
  </xdr:twoCellAnchor>
  <xdr:twoCellAnchor editAs="oneCell">
    <xdr:from>
      <xdr:col>1</xdr:col>
      <xdr:colOff>268383</xdr:colOff>
      <xdr:row>1</xdr:row>
      <xdr:rowOff>28575</xdr:rowOff>
    </xdr:from>
    <xdr:to>
      <xdr:col>3</xdr:col>
      <xdr:colOff>341658</xdr:colOff>
      <xdr:row>3</xdr:row>
      <xdr:rowOff>178594</xdr:rowOff>
    </xdr:to>
    <xdr:pic>
      <xdr:nvPicPr>
        <xdr:cNvPr id="2" name="Picture 1">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7677" y="219075"/>
          <a:ext cx="2007411" cy="5310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65618</xdr:colOff>
      <xdr:row>3</xdr:row>
      <xdr:rowOff>137581</xdr:rowOff>
    </xdr:from>
    <xdr:to>
      <xdr:col>18</xdr:col>
      <xdr:colOff>217809</xdr:colOff>
      <xdr:row>6</xdr:row>
      <xdr:rowOff>160441</xdr:rowOff>
    </xdr:to>
    <mc:AlternateContent xmlns:mc="http://schemas.openxmlformats.org/markup-compatibility/2006" xmlns:sle15="http://schemas.microsoft.com/office/drawing/2012/slicer">
      <mc:Choice Requires="sle15">
        <xdr:graphicFrame macro="">
          <xdr:nvGraphicFramePr>
            <xdr:cNvPr id="3" name="Team 2"/>
            <xdr:cNvGraphicFramePr/>
          </xdr:nvGraphicFramePr>
          <xdr:xfrm>
            <a:off x="0" y="0"/>
            <a:ext cx="0" cy="0"/>
          </xdr:xfrm>
          <a:graphic>
            <a:graphicData uri="http://schemas.microsoft.com/office/drawing/2010/slicer">
              <sle:slicer xmlns:sle="http://schemas.microsoft.com/office/drawing/2010/slicer" name="Team 2"/>
            </a:graphicData>
          </a:graphic>
        </xdr:graphicFrame>
      </mc:Choice>
      <mc:Fallback xmlns="">
        <xdr:sp macro="" textlink="">
          <xdr:nvSpPr>
            <xdr:cNvPr id="0" name=""/>
            <xdr:cNvSpPr>
              <a:spLocks noTextEdit="1"/>
            </xdr:cNvSpPr>
          </xdr:nvSpPr>
          <xdr:spPr>
            <a:xfrm>
              <a:off x="2965451" y="709081"/>
              <a:ext cx="10841358" cy="5943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xdr:from>
      <xdr:col>4</xdr:col>
      <xdr:colOff>50799</xdr:colOff>
      <xdr:row>0</xdr:row>
      <xdr:rowOff>98636</xdr:rowOff>
    </xdr:from>
    <xdr:to>
      <xdr:col>6</xdr:col>
      <xdr:colOff>264583</xdr:colOff>
      <xdr:row>3</xdr:row>
      <xdr:rowOff>55878</xdr:rowOff>
    </xdr:to>
    <xdr:sp macro="" textlink="">
      <xdr:nvSpPr>
        <xdr:cNvPr id="25" name="Rounded Rectangle 24">
          <a:hlinkClick xmlns:r="http://schemas.openxmlformats.org/officeDocument/2006/relationships" r:id="rId1"/>
        </xdr:cNvPr>
        <xdr:cNvSpPr/>
      </xdr:nvSpPr>
      <xdr:spPr>
        <a:xfrm>
          <a:off x="2781299" y="98636"/>
          <a:ext cx="1441451" cy="5287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6</xdr:col>
      <xdr:colOff>397509</xdr:colOff>
      <xdr:row>0</xdr:row>
      <xdr:rowOff>98636</xdr:rowOff>
    </xdr:from>
    <xdr:to>
      <xdr:col>7</xdr:col>
      <xdr:colOff>846242</xdr:colOff>
      <xdr:row>3</xdr:row>
      <xdr:rowOff>55878</xdr:rowOff>
    </xdr:to>
    <xdr:sp macro="" textlink="">
      <xdr:nvSpPr>
        <xdr:cNvPr id="26" name="Rounded Rectangle 25">
          <a:hlinkClick xmlns:r="http://schemas.openxmlformats.org/officeDocument/2006/relationships" r:id="rId2"/>
        </xdr:cNvPr>
        <xdr:cNvSpPr/>
      </xdr:nvSpPr>
      <xdr:spPr>
        <a:xfrm>
          <a:off x="4355676" y="98636"/>
          <a:ext cx="1327149" cy="5287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8</xdr:col>
      <xdr:colOff>65829</xdr:colOff>
      <xdr:row>0</xdr:row>
      <xdr:rowOff>98636</xdr:rowOff>
    </xdr:from>
    <xdr:to>
      <xdr:col>9</xdr:col>
      <xdr:colOff>540809</xdr:colOff>
      <xdr:row>3</xdr:row>
      <xdr:rowOff>55878</xdr:rowOff>
    </xdr:to>
    <xdr:sp macro="" textlink="">
      <xdr:nvSpPr>
        <xdr:cNvPr id="27" name="Rounded Rectangle 26">
          <a:hlinkClick xmlns:r="http://schemas.openxmlformats.org/officeDocument/2006/relationships" r:id="rId3"/>
        </xdr:cNvPr>
        <xdr:cNvSpPr/>
      </xdr:nvSpPr>
      <xdr:spPr>
        <a:xfrm>
          <a:off x="5349029" y="98636"/>
          <a:ext cx="113538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9</xdr:col>
      <xdr:colOff>648334</xdr:colOff>
      <xdr:row>0</xdr:row>
      <xdr:rowOff>98636</xdr:rowOff>
    </xdr:from>
    <xdr:to>
      <xdr:col>11</xdr:col>
      <xdr:colOff>303952</xdr:colOff>
      <xdr:row>3</xdr:row>
      <xdr:rowOff>55878</xdr:rowOff>
    </xdr:to>
    <xdr:sp macro="" textlink="">
      <xdr:nvSpPr>
        <xdr:cNvPr id="28" name="Rounded Rectangle 27">
          <a:hlinkClick xmlns:r="http://schemas.openxmlformats.org/officeDocument/2006/relationships" r:id="rId4"/>
        </xdr:cNvPr>
        <xdr:cNvSpPr/>
      </xdr:nvSpPr>
      <xdr:spPr>
        <a:xfrm>
          <a:off x="6591934" y="98636"/>
          <a:ext cx="1137285"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11</xdr:col>
      <xdr:colOff>394757</xdr:colOff>
      <xdr:row>0</xdr:row>
      <xdr:rowOff>93133</xdr:rowOff>
    </xdr:from>
    <xdr:to>
      <xdr:col>13</xdr:col>
      <xdr:colOff>146261</xdr:colOff>
      <xdr:row>3</xdr:row>
      <xdr:rowOff>50375</xdr:rowOff>
    </xdr:to>
    <xdr:sp macro="" textlink="">
      <xdr:nvSpPr>
        <xdr:cNvPr id="29" name="Rounded Rectangle 28">
          <a:hlinkClick xmlns:r="http://schemas.openxmlformats.org/officeDocument/2006/relationships" r:id="rId5"/>
        </xdr:cNvPr>
        <xdr:cNvSpPr/>
      </xdr:nvSpPr>
      <xdr:spPr>
        <a:xfrm>
          <a:off x="7820024" y="93133"/>
          <a:ext cx="113157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13</xdr:col>
      <xdr:colOff>270299</xdr:colOff>
      <xdr:row>0</xdr:row>
      <xdr:rowOff>93134</xdr:rowOff>
    </xdr:from>
    <xdr:to>
      <xdr:col>15</xdr:col>
      <xdr:colOff>26035</xdr:colOff>
      <xdr:row>3</xdr:row>
      <xdr:rowOff>50376</xdr:rowOff>
    </xdr:to>
    <xdr:sp macro="" textlink="">
      <xdr:nvSpPr>
        <xdr:cNvPr id="30" name="Rounded Rectangle 29">
          <a:hlinkClick xmlns:r="http://schemas.openxmlformats.org/officeDocument/2006/relationships" r:id="rId6"/>
        </xdr:cNvPr>
        <xdr:cNvSpPr/>
      </xdr:nvSpPr>
      <xdr:spPr>
        <a:xfrm>
          <a:off x="9075632" y="93134"/>
          <a:ext cx="1322070" cy="51604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twoCellAnchor>
    <xdr:from>
      <xdr:col>15</xdr:col>
      <xdr:colOff>126996</xdr:colOff>
      <xdr:row>0</xdr:row>
      <xdr:rowOff>84670</xdr:rowOff>
    </xdr:from>
    <xdr:to>
      <xdr:col>16</xdr:col>
      <xdr:colOff>472012</xdr:colOff>
      <xdr:row>3</xdr:row>
      <xdr:rowOff>41912</xdr:rowOff>
    </xdr:to>
    <xdr:sp macro="" textlink="">
      <xdr:nvSpPr>
        <xdr:cNvPr id="10" name="Rounded Rectangle 9">
          <a:hlinkClick xmlns:r="http://schemas.openxmlformats.org/officeDocument/2006/relationships" r:id="rId7"/>
        </xdr:cNvPr>
        <xdr:cNvSpPr/>
      </xdr:nvSpPr>
      <xdr:spPr>
        <a:xfrm>
          <a:off x="10255246" y="84670"/>
          <a:ext cx="1107016" cy="528742"/>
        </a:xfrm>
        <a:prstGeom prst="roundRect">
          <a:avLst/>
        </a:prstGeom>
        <a:solidFill>
          <a:srgbClr val="00B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Stack</a:t>
          </a:r>
        </a:p>
        <a:p>
          <a:pPr algn="ctr"/>
          <a:r>
            <a:rPr lang="en-US" sz="1100"/>
            <a:t>Builder</a:t>
          </a:r>
        </a:p>
      </xdr:txBody>
    </xdr:sp>
    <xdr:clientData/>
  </xdr:twoCellAnchor>
  <xdr:twoCellAnchor editAs="oneCell">
    <xdr:from>
      <xdr:col>1</xdr:col>
      <xdr:colOff>291417</xdr:colOff>
      <xdr:row>1</xdr:row>
      <xdr:rowOff>28575</xdr:rowOff>
    </xdr:from>
    <xdr:to>
      <xdr:col>3</xdr:col>
      <xdr:colOff>311193</xdr:colOff>
      <xdr:row>3</xdr:row>
      <xdr:rowOff>178594</xdr:rowOff>
    </xdr:to>
    <xdr:pic>
      <xdr:nvPicPr>
        <xdr:cNvPr id="2" name="Picture 1">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73355" y="221215"/>
          <a:ext cx="2013581" cy="53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4</xdr:col>
      <xdr:colOff>35184</xdr:colOff>
      <xdr:row>3</xdr:row>
      <xdr:rowOff>125507</xdr:rowOff>
    </xdr:from>
    <xdr:to>
      <xdr:col>18</xdr:col>
      <xdr:colOff>473002</xdr:colOff>
      <xdr:row>6</xdr:row>
      <xdr:rowOff>143436</xdr:rowOff>
    </xdr:to>
    <mc:AlternateContent xmlns:mc="http://schemas.openxmlformats.org/markup-compatibility/2006" xmlns:sle15="http://schemas.microsoft.com/office/drawing/2012/slicer">
      <mc:Choice Requires="sle15">
        <xdr:graphicFrame macro="">
          <xdr:nvGraphicFramePr>
            <xdr:cNvPr id="3" name="Team 3"/>
            <xdr:cNvGraphicFramePr/>
          </xdr:nvGraphicFramePr>
          <xdr:xfrm>
            <a:off x="0" y="0"/>
            <a:ext cx="0" cy="0"/>
          </xdr:xfrm>
          <a:graphic>
            <a:graphicData uri="http://schemas.microsoft.com/office/drawing/2010/slicer">
              <sle:slicer xmlns:sle="http://schemas.microsoft.com/office/drawing/2010/slicer" name="Team 3"/>
            </a:graphicData>
          </a:graphic>
        </xdr:graphicFrame>
      </mc:Choice>
      <mc:Fallback xmlns="">
        <xdr:sp macro="" textlink="">
          <xdr:nvSpPr>
            <xdr:cNvPr id="0" name=""/>
            <xdr:cNvSpPr>
              <a:spLocks noTextEdit="1"/>
            </xdr:cNvSpPr>
          </xdr:nvSpPr>
          <xdr:spPr>
            <a:xfrm>
              <a:off x="3235584" y="663389"/>
              <a:ext cx="11177536" cy="55581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xdr:from>
      <xdr:col>4</xdr:col>
      <xdr:colOff>125505</xdr:colOff>
      <xdr:row>0</xdr:row>
      <xdr:rowOff>50326</xdr:rowOff>
    </xdr:from>
    <xdr:to>
      <xdr:col>6</xdr:col>
      <xdr:colOff>4482</xdr:colOff>
      <xdr:row>3</xdr:row>
      <xdr:rowOff>28486</xdr:rowOff>
    </xdr:to>
    <xdr:sp macro="" textlink="">
      <xdr:nvSpPr>
        <xdr:cNvPr id="25" name="Rounded Rectangle 24">
          <a:hlinkClick xmlns:r="http://schemas.openxmlformats.org/officeDocument/2006/relationships" r:id="rId1"/>
        </xdr:cNvPr>
        <xdr:cNvSpPr/>
      </xdr:nvSpPr>
      <xdr:spPr>
        <a:xfrm>
          <a:off x="3155576" y="50326"/>
          <a:ext cx="114300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6</xdr:col>
      <xdr:colOff>120475</xdr:colOff>
      <xdr:row>0</xdr:row>
      <xdr:rowOff>50326</xdr:rowOff>
    </xdr:from>
    <xdr:to>
      <xdr:col>7</xdr:col>
      <xdr:colOff>501475</xdr:colOff>
      <xdr:row>3</xdr:row>
      <xdr:rowOff>28486</xdr:rowOff>
    </xdr:to>
    <xdr:sp macro="" textlink="">
      <xdr:nvSpPr>
        <xdr:cNvPr id="26" name="Rounded Rectangle 25">
          <a:hlinkClick xmlns:r="http://schemas.openxmlformats.org/officeDocument/2006/relationships" r:id="rId2"/>
        </xdr:cNvPr>
        <xdr:cNvSpPr/>
      </xdr:nvSpPr>
      <xdr:spPr>
        <a:xfrm>
          <a:off x="4414569" y="50326"/>
          <a:ext cx="114300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7</xdr:col>
      <xdr:colOff>595245</xdr:colOff>
      <xdr:row>0</xdr:row>
      <xdr:rowOff>50326</xdr:rowOff>
    </xdr:from>
    <xdr:to>
      <xdr:col>9</xdr:col>
      <xdr:colOff>206625</xdr:colOff>
      <xdr:row>3</xdr:row>
      <xdr:rowOff>28486</xdr:rowOff>
    </xdr:to>
    <xdr:sp macro="" textlink="">
      <xdr:nvSpPr>
        <xdr:cNvPr id="27" name="Rounded Rectangle 26">
          <a:hlinkClick xmlns:r="http://schemas.openxmlformats.org/officeDocument/2006/relationships" r:id="rId3"/>
        </xdr:cNvPr>
        <xdr:cNvSpPr/>
      </xdr:nvSpPr>
      <xdr:spPr>
        <a:xfrm>
          <a:off x="5651339" y="50326"/>
          <a:ext cx="113538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9</xdr:col>
      <xdr:colOff>314150</xdr:colOff>
      <xdr:row>0</xdr:row>
      <xdr:rowOff>50326</xdr:rowOff>
    </xdr:from>
    <xdr:to>
      <xdr:col>10</xdr:col>
      <xdr:colOff>689435</xdr:colOff>
      <xdr:row>3</xdr:row>
      <xdr:rowOff>28486</xdr:rowOff>
    </xdr:to>
    <xdr:sp macro="" textlink="">
      <xdr:nvSpPr>
        <xdr:cNvPr id="28" name="Rounded Rectangle 27">
          <a:hlinkClick xmlns:r="http://schemas.openxmlformats.org/officeDocument/2006/relationships" r:id="rId4"/>
        </xdr:cNvPr>
        <xdr:cNvSpPr/>
      </xdr:nvSpPr>
      <xdr:spPr>
        <a:xfrm>
          <a:off x="6894244" y="50326"/>
          <a:ext cx="1137285"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10</xdr:col>
      <xdr:colOff>780240</xdr:colOff>
      <xdr:row>0</xdr:row>
      <xdr:rowOff>44823</xdr:rowOff>
    </xdr:from>
    <xdr:to>
      <xdr:col>12</xdr:col>
      <xdr:colOff>351951</xdr:colOff>
      <xdr:row>3</xdr:row>
      <xdr:rowOff>22983</xdr:rowOff>
    </xdr:to>
    <xdr:sp macro="" textlink="">
      <xdr:nvSpPr>
        <xdr:cNvPr id="29" name="Rounded Rectangle 28">
          <a:hlinkClick xmlns:r="http://schemas.openxmlformats.org/officeDocument/2006/relationships" r:id="rId5"/>
        </xdr:cNvPr>
        <xdr:cNvSpPr/>
      </xdr:nvSpPr>
      <xdr:spPr>
        <a:xfrm>
          <a:off x="8122334" y="44823"/>
          <a:ext cx="1131570" cy="51604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12</xdr:col>
      <xdr:colOff>475989</xdr:colOff>
      <xdr:row>0</xdr:row>
      <xdr:rowOff>44824</xdr:rowOff>
    </xdr:from>
    <xdr:to>
      <xdr:col>14</xdr:col>
      <xdr:colOff>166483</xdr:colOff>
      <xdr:row>3</xdr:row>
      <xdr:rowOff>22984</xdr:rowOff>
    </xdr:to>
    <xdr:sp macro="" textlink="">
      <xdr:nvSpPr>
        <xdr:cNvPr id="30" name="Rounded Rectangle 29">
          <a:hlinkClick xmlns:r="http://schemas.openxmlformats.org/officeDocument/2006/relationships" r:id="rId6"/>
        </xdr:cNvPr>
        <xdr:cNvSpPr/>
      </xdr:nvSpPr>
      <xdr:spPr>
        <a:xfrm>
          <a:off x="9377942" y="44824"/>
          <a:ext cx="1322070" cy="51604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twoCellAnchor>
    <xdr:from>
      <xdr:col>14</xdr:col>
      <xdr:colOff>235323</xdr:colOff>
      <xdr:row>0</xdr:row>
      <xdr:rowOff>56029</xdr:rowOff>
    </xdr:from>
    <xdr:to>
      <xdr:col>15</xdr:col>
      <xdr:colOff>726016</xdr:colOff>
      <xdr:row>3</xdr:row>
      <xdr:rowOff>13271</xdr:rowOff>
    </xdr:to>
    <xdr:sp macro="" textlink="">
      <xdr:nvSpPr>
        <xdr:cNvPr id="10" name="Rounded Rectangle 9">
          <a:hlinkClick xmlns:r="http://schemas.openxmlformats.org/officeDocument/2006/relationships" r:id="rId7"/>
        </xdr:cNvPr>
        <xdr:cNvSpPr/>
      </xdr:nvSpPr>
      <xdr:spPr>
        <a:xfrm>
          <a:off x="10466294" y="56029"/>
          <a:ext cx="1107016" cy="528742"/>
        </a:xfrm>
        <a:prstGeom prst="roundRect">
          <a:avLst/>
        </a:prstGeom>
        <a:solidFill>
          <a:srgbClr val="00B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Stack</a:t>
          </a:r>
        </a:p>
        <a:p>
          <a:pPr algn="ctr"/>
          <a:r>
            <a:rPr lang="en-US" sz="1100"/>
            <a:t>Builder</a:t>
          </a:r>
        </a:p>
      </xdr:txBody>
    </xdr:sp>
    <xdr:clientData/>
  </xdr:twoCellAnchor>
  <xdr:twoCellAnchor editAs="oneCell">
    <xdr:from>
      <xdr:col>1</xdr:col>
      <xdr:colOff>398444</xdr:colOff>
      <xdr:row>1</xdr:row>
      <xdr:rowOff>28575</xdr:rowOff>
    </xdr:from>
    <xdr:to>
      <xdr:col>3</xdr:col>
      <xdr:colOff>213784</xdr:colOff>
      <xdr:row>3</xdr:row>
      <xdr:rowOff>178594</xdr:rowOff>
    </xdr:to>
    <xdr:pic>
      <xdr:nvPicPr>
        <xdr:cNvPr id="2" name="Picture 1">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80382" y="221215"/>
          <a:ext cx="2013581" cy="53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654262</xdr:colOff>
      <xdr:row>3</xdr:row>
      <xdr:rowOff>76200</xdr:rowOff>
    </xdr:from>
    <xdr:to>
      <xdr:col>13</xdr:col>
      <xdr:colOff>500807</xdr:colOff>
      <xdr:row>7</xdr:row>
      <xdr:rowOff>137159</xdr:rowOff>
    </xdr:to>
    <mc:AlternateContent xmlns:mc="http://schemas.openxmlformats.org/markup-compatibility/2006" xmlns:sle15="http://schemas.microsoft.com/office/drawing/2012/slicer">
      <mc:Choice Requires="sle15">
        <xdr:graphicFrame macro="">
          <xdr:nvGraphicFramePr>
            <xdr:cNvPr id="3" name="Team 5"/>
            <xdr:cNvGraphicFramePr/>
          </xdr:nvGraphicFramePr>
          <xdr:xfrm>
            <a:off x="0" y="0"/>
            <a:ext cx="0" cy="0"/>
          </xdr:xfrm>
          <a:graphic>
            <a:graphicData uri="http://schemas.microsoft.com/office/drawing/2010/slicer">
              <sle:slicer xmlns:sle="http://schemas.microsoft.com/office/drawing/2010/slicer" name="Team 5"/>
            </a:graphicData>
          </a:graphic>
        </xdr:graphicFrame>
      </mc:Choice>
      <mc:Fallback xmlns="">
        <xdr:sp macro="" textlink="">
          <xdr:nvSpPr>
            <xdr:cNvPr id="0" name=""/>
            <xdr:cNvSpPr>
              <a:spLocks noTextEdit="1"/>
            </xdr:cNvSpPr>
          </xdr:nvSpPr>
          <xdr:spPr>
            <a:xfrm>
              <a:off x="2941320" y="676275"/>
              <a:ext cx="8210554" cy="77724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xdr:from>
      <xdr:col>4</xdr:col>
      <xdr:colOff>83820</xdr:colOff>
      <xdr:row>0</xdr:row>
      <xdr:rowOff>57019</xdr:rowOff>
    </xdr:from>
    <xdr:to>
      <xdr:col>5</xdr:col>
      <xdr:colOff>716280</xdr:colOff>
      <xdr:row>3</xdr:row>
      <xdr:rowOff>2667</xdr:rowOff>
    </xdr:to>
    <xdr:sp macro="" textlink="">
      <xdr:nvSpPr>
        <xdr:cNvPr id="11" name="Rounded Rectangle 10">
          <a:hlinkClick xmlns:r="http://schemas.openxmlformats.org/officeDocument/2006/relationships" r:id="rId1"/>
        </xdr:cNvPr>
        <xdr:cNvSpPr/>
      </xdr:nvSpPr>
      <xdr:spPr>
        <a:xfrm>
          <a:off x="3013287" y="57019"/>
          <a:ext cx="1140460" cy="504448"/>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5</xdr:col>
      <xdr:colOff>832273</xdr:colOff>
      <xdr:row>0</xdr:row>
      <xdr:rowOff>57019</xdr:rowOff>
    </xdr:from>
    <xdr:to>
      <xdr:col>6</xdr:col>
      <xdr:colOff>969433</xdr:colOff>
      <xdr:row>3</xdr:row>
      <xdr:rowOff>2667</xdr:rowOff>
    </xdr:to>
    <xdr:sp macro="" textlink="">
      <xdr:nvSpPr>
        <xdr:cNvPr id="13" name="Rounded Rectangle 12">
          <a:hlinkClick xmlns:r="http://schemas.openxmlformats.org/officeDocument/2006/relationships" r:id="rId2"/>
        </xdr:cNvPr>
        <xdr:cNvSpPr/>
      </xdr:nvSpPr>
      <xdr:spPr>
        <a:xfrm>
          <a:off x="4269740" y="57019"/>
          <a:ext cx="1144693" cy="504448"/>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6</xdr:col>
      <xdr:colOff>1063203</xdr:colOff>
      <xdr:row>0</xdr:row>
      <xdr:rowOff>57019</xdr:rowOff>
    </xdr:from>
    <xdr:to>
      <xdr:col>7</xdr:col>
      <xdr:colOff>1055583</xdr:colOff>
      <xdr:row>3</xdr:row>
      <xdr:rowOff>2667</xdr:rowOff>
    </xdr:to>
    <xdr:sp macro="" textlink="">
      <xdr:nvSpPr>
        <xdr:cNvPr id="14" name="Rounded Rectangle 13">
          <a:hlinkClick xmlns:r="http://schemas.openxmlformats.org/officeDocument/2006/relationships" r:id="rId3"/>
        </xdr:cNvPr>
        <xdr:cNvSpPr/>
      </xdr:nvSpPr>
      <xdr:spPr>
        <a:xfrm>
          <a:off x="5508203" y="57019"/>
          <a:ext cx="1135380" cy="504448"/>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8</xdr:col>
      <xdr:colOff>20108</xdr:colOff>
      <xdr:row>0</xdr:row>
      <xdr:rowOff>57019</xdr:rowOff>
    </xdr:from>
    <xdr:to>
      <xdr:col>9</xdr:col>
      <xdr:colOff>14393</xdr:colOff>
      <xdr:row>3</xdr:row>
      <xdr:rowOff>2667</xdr:rowOff>
    </xdr:to>
    <xdr:sp macro="" textlink="">
      <xdr:nvSpPr>
        <xdr:cNvPr id="15" name="Rounded Rectangle 14">
          <a:hlinkClick xmlns:r="http://schemas.openxmlformats.org/officeDocument/2006/relationships" r:id="rId4"/>
        </xdr:cNvPr>
        <xdr:cNvSpPr/>
      </xdr:nvSpPr>
      <xdr:spPr>
        <a:xfrm>
          <a:off x="6751108" y="57019"/>
          <a:ext cx="1137285" cy="504448"/>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9</xdr:col>
      <xdr:colOff>105198</xdr:colOff>
      <xdr:row>0</xdr:row>
      <xdr:rowOff>51750</xdr:rowOff>
    </xdr:from>
    <xdr:to>
      <xdr:col>10</xdr:col>
      <xdr:colOff>93768</xdr:colOff>
      <xdr:row>2</xdr:row>
      <xdr:rowOff>180045</xdr:rowOff>
    </xdr:to>
    <xdr:sp macro="" textlink="">
      <xdr:nvSpPr>
        <xdr:cNvPr id="17" name="Rounded Rectangle 16">
          <a:hlinkClick xmlns:r="http://schemas.openxmlformats.org/officeDocument/2006/relationships" r:id="rId5"/>
        </xdr:cNvPr>
        <xdr:cNvSpPr/>
      </xdr:nvSpPr>
      <xdr:spPr>
        <a:xfrm>
          <a:off x="7979198" y="51750"/>
          <a:ext cx="1131570" cy="500828"/>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10</xdr:col>
      <xdr:colOff>217806</xdr:colOff>
      <xdr:row>0</xdr:row>
      <xdr:rowOff>51751</xdr:rowOff>
    </xdr:from>
    <xdr:to>
      <xdr:col>11</xdr:col>
      <xdr:colOff>396876</xdr:colOff>
      <xdr:row>2</xdr:row>
      <xdr:rowOff>180046</xdr:rowOff>
    </xdr:to>
    <xdr:sp macro="" textlink="">
      <xdr:nvSpPr>
        <xdr:cNvPr id="18" name="Rounded Rectangle 17">
          <a:hlinkClick xmlns:r="http://schemas.openxmlformats.org/officeDocument/2006/relationships" r:id="rId6"/>
        </xdr:cNvPr>
        <xdr:cNvSpPr/>
      </xdr:nvSpPr>
      <xdr:spPr>
        <a:xfrm>
          <a:off x="9234806" y="51751"/>
          <a:ext cx="1322070" cy="500828"/>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twoCellAnchor>
    <xdr:from>
      <xdr:col>11</xdr:col>
      <xdr:colOff>485775</xdr:colOff>
      <xdr:row>0</xdr:row>
      <xdr:rowOff>33867</xdr:rowOff>
    </xdr:from>
    <xdr:to>
      <xdr:col>13</xdr:col>
      <xdr:colOff>412750</xdr:colOff>
      <xdr:row>2</xdr:row>
      <xdr:rowOff>170307</xdr:rowOff>
    </xdr:to>
    <xdr:sp macro="" textlink="">
      <xdr:nvSpPr>
        <xdr:cNvPr id="12" name="Rounded Rectangle 11">
          <a:hlinkClick xmlns:r="http://schemas.openxmlformats.org/officeDocument/2006/relationships" r:id="rId7"/>
        </xdr:cNvPr>
        <xdr:cNvSpPr/>
      </xdr:nvSpPr>
      <xdr:spPr>
        <a:xfrm>
          <a:off x="10645775" y="33867"/>
          <a:ext cx="1434042" cy="508973"/>
        </a:xfrm>
        <a:prstGeom prst="roundRect">
          <a:avLst/>
        </a:prstGeom>
        <a:solidFill>
          <a:srgbClr val="00B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Stack</a:t>
          </a:r>
        </a:p>
        <a:p>
          <a:pPr algn="ctr"/>
          <a:r>
            <a:rPr lang="en-US" sz="1100"/>
            <a:t>Builder</a:t>
          </a:r>
        </a:p>
      </xdr:txBody>
    </xdr:sp>
    <xdr:clientData/>
  </xdr:twoCellAnchor>
  <xdr:twoCellAnchor editAs="oneCell">
    <xdr:from>
      <xdr:col>1</xdr:col>
      <xdr:colOff>323850</xdr:colOff>
      <xdr:row>1</xdr:row>
      <xdr:rowOff>28575</xdr:rowOff>
    </xdr:from>
    <xdr:to>
      <xdr:col>3</xdr:col>
      <xdr:colOff>241952</xdr:colOff>
      <xdr:row>3</xdr:row>
      <xdr:rowOff>178594</xdr:rowOff>
    </xdr:to>
    <xdr:pic>
      <xdr:nvPicPr>
        <xdr:cNvPr id="2" name="Picture 1">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14350" y="219075"/>
          <a:ext cx="2015507" cy="5310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233082</xdr:colOff>
      <xdr:row>1</xdr:row>
      <xdr:rowOff>113080</xdr:rowOff>
    </xdr:from>
    <xdr:to>
      <xdr:col>5</xdr:col>
      <xdr:colOff>748552</xdr:colOff>
      <xdr:row>3</xdr:row>
      <xdr:rowOff>93447</xdr:rowOff>
    </xdr:to>
    <xdr:sp macro="" textlink="">
      <xdr:nvSpPr>
        <xdr:cNvPr id="24" name="Rounded Rectangle 23">
          <a:hlinkClick xmlns:r="http://schemas.openxmlformats.org/officeDocument/2006/relationships" r:id="rId1"/>
        </xdr:cNvPr>
        <xdr:cNvSpPr/>
      </xdr:nvSpPr>
      <xdr:spPr>
        <a:xfrm>
          <a:off x="3516406" y="303580"/>
          <a:ext cx="1120587" cy="48463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6</xdr:col>
      <xdr:colOff>1692</xdr:colOff>
      <xdr:row>1</xdr:row>
      <xdr:rowOff>113080</xdr:rowOff>
    </xdr:from>
    <xdr:to>
      <xdr:col>7</xdr:col>
      <xdr:colOff>71169</xdr:colOff>
      <xdr:row>3</xdr:row>
      <xdr:rowOff>93447</xdr:rowOff>
    </xdr:to>
    <xdr:sp macro="" textlink="">
      <xdr:nvSpPr>
        <xdr:cNvPr id="25" name="Rounded Rectangle 24">
          <a:hlinkClick xmlns:r="http://schemas.openxmlformats.org/officeDocument/2006/relationships" r:id="rId2"/>
        </xdr:cNvPr>
        <xdr:cNvSpPr/>
      </xdr:nvSpPr>
      <xdr:spPr>
        <a:xfrm>
          <a:off x="4752986" y="303580"/>
          <a:ext cx="1089212" cy="48463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7</xdr:col>
      <xdr:colOff>164939</xdr:colOff>
      <xdr:row>1</xdr:row>
      <xdr:rowOff>113080</xdr:rowOff>
    </xdr:from>
    <xdr:to>
      <xdr:col>8</xdr:col>
      <xdr:colOff>672789</xdr:colOff>
      <xdr:row>3</xdr:row>
      <xdr:rowOff>93447</xdr:rowOff>
    </xdr:to>
    <xdr:sp macro="" textlink="">
      <xdr:nvSpPr>
        <xdr:cNvPr id="26" name="Rounded Rectangle 25">
          <a:hlinkClick xmlns:r="http://schemas.openxmlformats.org/officeDocument/2006/relationships" r:id="rId3"/>
        </xdr:cNvPr>
        <xdr:cNvSpPr/>
      </xdr:nvSpPr>
      <xdr:spPr>
        <a:xfrm>
          <a:off x="5935968" y="303580"/>
          <a:ext cx="1112968" cy="48463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9</xdr:col>
      <xdr:colOff>385</xdr:colOff>
      <xdr:row>1</xdr:row>
      <xdr:rowOff>113080</xdr:rowOff>
    </xdr:from>
    <xdr:to>
      <xdr:col>10</xdr:col>
      <xdr:colOff>321882</xdr:colOff>
      <xdr:row>3</xdr:row>
      <xdr:rowOff>93447</xdr:rowOff>
    </xdr:to>
    <xdr:sp macro="" textlink="">
      <xdr:nvSpPr>
        <xdr:cNvPr id="27" name="Rounded Rectangle 26">
          <a:hlinkClick xmlns:r="http://schemas.openxmlformats.org/officeDocument/2006/relationships" r:id="rId4"/>
        </xdr:cNvPr>
        <xdr:cNvSpPr/>
      </xdr:nvSpPr>
      <xdr:spPr>
        <a:xfrm>
          <a:off x="7127326" y="303580"/>
          <a:ext cx="1117115" cy="48463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10</xdr:col>
      <xdr:colOff>412687</xdr:colOff>
      <xdr:row>1</xdr:row>
      <xdr:rowOff>107577</xdr:rowOff>
    </xdr:from>
    <xdr:to>
      <xdr:col>11</xdr:col>
      <xdr:colOff>710539</xdr:colOff>
      <xdr:row>3</xdr:row>
      <xdr:rowOff>87944</xdr:rowOff>
    </xdr:to>
    <xdr:sp macro="" textlink="">
      <xdr:nvSpPr>
        <xdr:cNvPr id="28" name="Rounded Rectangle 27">
          <a:hlinkClick xmlns:r="http://schemas.openxmlformats.org/officeDocument/2006/relationships" r:id="rId5"/>
        </xdr:cNvPr>
        <xdr:cNvSpPr/>
      </xdr:nvSpPr>
      <xdr:spPr>
        <a:xfrm>
          <a:off x="8335246" y="298077"/>
          <a:ext cx="1104675" cy="48463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11</xdr:col>
      <xdr:colOff>776306</xdr:colOff>
      <xdr:row>1</xdr:row>
      <xdr:rowOff>107578</xdr:rowOff>
    </xdr:from>
    <xdr:to>
      <xdr:col>13</xdr:col>
      <xdr:colOff>256129</xdr:colOff>
      <xdr:row>3</xdr:row>
      <xdr:rowOff>87945</xdr:rowOff>
    </xdr:to>
    <xdr:sp macro="" textlink="">
      <xdr:nvSpPr>
        <xdr:cNvPr id="29" name="Rounded Rectangle 28">
          <a:hlinkClick xmlns:r="http://schemas.openxmlformats.org/officeDocument/2006/relationships" r:id="rId6"/>
        </xdr:cNvPr>
        <xdr:cNvSpPr/>
      </xdr:nvSpPr>
      <xdr:spPr>
        <a:xfrm>
          <a:off x="9505688" y="298078"/>
          <a:ext cx="1295176" cy="48463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twoCellAnchor>
    <xdr:from>
      <xdr:col>13</xdr:col>
      <xdr:colOff>347382</xdr:colOff>
      <xdr:row>1</xdr:row>
      <xdr:rowOff>100852</xdr:rowOff>
    </xdr:from>
    <xdr:to>
      <xdr:col>14</xdr:col>
      <xdr:colOff>647574</xdr:colOff>
      <xdr:row>3</xdr:row>
      <xdr:rowOff>81219</xdr:rowOff>
    </xdr:to>
    <xdr:sp macro="" textlink="">
      <xdr:nvSpPr>
        <xdr:cNvPr id="9" name="Rounded Rectangle 8">
          <a:hlinkClick xmlns:r="http://schemas.openxmlformats.org/officeDocument/2006/relationships" r:id="rId7"/>
        </xdr:cNvPr>
        <xdr:cNvSpPr/>
      </xdr:nvSpPr>
      <xdr:spPr>
        <a:xfrm>
          <a:off x="10892117" y="291352"/>
          <a:ext cx="1107016" cy="484632"/>
        </a:xfrm>
        <a:prstGeom prst="roundRect">
          <a:avLst/>
        </a:prstGeom>
        <a:solidFill>
          <a:srgbClr val="00B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Stack</a:t>
          </a:r>
        </a:p>
        <a:p>
          <a:pPr algn="ctr"/>
          <a:r>
            <a:rPr lang="en-US" sz="1100"/>
            <a:t>Builder</a:t>
          </a:r>
        </a:p>
      </xdr:txBody>
    </xdr:sp>
    <xdr:clientData/>
  </xdr:twoCellAnchor>
  <xdr:twoCellAnchor editAs="oneCell">
    <xdr:from>
      <xdr:col>1</xdr:col>
      <xdr:colOff>56033</xdr:colOff>
      <xdr:row>1</xdr:row>
      <xdr:rowOff>2</xdr:rowOff>
    </xdr:from>
    <xdr:to>
      <xdr:col>3</xdr:col>
      <xdr:colOff>393388</xdr:colOff>
      <xdr:row>4</xdr:row>
      <xdr:rowOff>0</xdr:rowOff>
    </xdr:to>
    <xdr:pic>
      <xdr:nvPicPr>
        <xdr:cNvPr id="2" name="Picture 1">
          <a:extLst>
            <a:ext uri="{FF2B5EF4-FFF2-40B4-BE49-F238E27FC236}">
              <a16:creationId xmlns="" xmlns:a16="http://schemas.microsoft.com/office/drawing/2014/main" id="{00000000-0008-0000-1500-00000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4653" y="182882"/>
          <a:ext cx="2695200" cy="6781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xdr:col>
      <xdr:colOff>808690</xdr:colOff>
      <xdr:row>3</xdr:row>
      <xdr:rowOff>150019</xdr:rowOff>
    </xdr:to>
    <xdr:pic>
      <xdr:nvPicPr>
        <xdr:cNvPr id="2" name="Picture 1">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190500"/>
          <a:ext cx="2013602" cy="531019"/>
        </a:xfrm>
        <a:prstGeom prst="rect">
          <a:avLst/>
        </a:prstGeom>
      </xdr:spPr>
    </xdr:pic>
    <xdr:clientData/>
  </xdr:twoCellAnchor>
  <xdr:twoCellAnchor>
    <xdr:from>
      <xdr:col>3</xdr:col>
      <xdr:colOff>866775</xdr:colOff>
      <xdr:row>1</xdr:row>
      <xdr:rowOff>5503</xdr:rowOff>
    </xdr:from>
    <xdr:to>
      <xdr:col>4</xdr:col>
      <xdr:colOff>633693</xdr:colOff>
      <xdr:row>3</xdr:row>
      <xdr:rowOff>174163</xdr:rowOff>
    </xdr:to>
    <xdr:sp macro="" textlink="">
      <xdr:nvSpPr>
        <xdr:cNvPr id="3" name="Rounded Rectangle 2">
          <a:hlinkClick xmlns:r="http://schemas.openxmlformats.org/officeDocument/2006/relationships" r:id="rId2"/>
        </xdr:cNvPr>
        <xdr:cNvSpPr/>
      </xdr:nvSpPr>
      <xdr:spPr>
        <a:xfrm>
          <a:off x="2286000" y="196003"/>
          <a:ext cx="1100418" cy="5496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4</xdr:col>
      <xdr:colOff>749686</xdr:colOff>
      <xdr:row>1</xdr:row>
      <xdr:rowOff>5503</xdr:rowOff>
    </xdr:from>
    <xdr:to>
      <xdr:col>5</xdr:col>
      <xdr:colOff>536774</xdr:colOff>
      <xdr:row>3</xdr:row>
      <xdr:rowOff>174163</xdr:rowOff>
    </xdr:to>
    <xdr:sp macro="" textlink="">
      <xdr:nvSpPr>
        <xdr:cNvPr id="4" name="Rounded Rectangle 3">
          <a:hlinkClick xmlns:r="http://schemas.openxmlformats.org/officeDocument/2006/relationships" r:id="rId3"/>
        </xdr:cNvPr>
        <xdr:cNvSpPr/>
      </xdr:nvSpPr>
      <xdr:spPr>
        <a:xfrm>
          <a:off x="3502411" y="196003"/>
          <a:ext cx="1120588" cy="5496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5</xdr:col>
      <xdr:colOff>630544</xdr:colOff>
      <xdr:row>1</xdr:row>
      <xdr:rowOff>5503</xdr:rowOff>
    </xdr:from>
    <xdr:to>
      <xdr:col>6</xdr:col>
      <xdr:colOff>387601</xdr:colOff>
      <xdr:row>3</xdr:row>
      <xdr:rowOff>174163</xdr:rowOff>
    </xdr:to>
    <xdr:sp macro="" textlink="">
      <xdr:nvSpPr>
        <xdr:cNvPr id="5" name="Rounded Rectangle 4">
          <a:hlinkClick xmlns:r="http://schemas.openxmlformats.org/officeDocument/2006/relationships" r:id="rId4"/>
        </xdr:cNvPr>
        <xdr:cNvSpPr/>
      </xdr:nvSpPr>
      <xdr:spPr>
        <a:xfrm>
          <a:off x="4716769" y="196003"/>
          <a:ext cx="1090557" cy="5496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6</xdr:col>
      <xdr:colOff>495126</xdr:colOff>
      <xdr:row>1</xdr:row>
      <xdr:rowOff>5503</xdr:rowOff>
    </xdr:from>
    <xdr:to>
      <xdr:col>19</xdr:col>
      <xdr:colOff>276499</xdr:colOff>
      <xdr:row>3</xdr:row>
      <xdr:rowOff>174163</xdr:rowOff>
    </xdr:to>
    <xdr:sp macro="" textlink="">
      <xdr:nvSpPr>
        <xdr:cNvPr id="6" name="Rounded Rectangle 5">
          <a:hlinkClick xmlns:r="http://schemas.openxmlformats.org/officeDocument/2006/relationships" r:id="rId5"/>
        </xdr:cNvPr>
        <xdr:cNvSpPr/>
      </xdr:nvSpPr>
      <xdr:spPr>
        <a:xfrm>
          <a:off x="5914851" y="196003"/>
          <a:ext cx="1114873" cy="5496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19</xdr:col>
      <xdr:colOff>367304</xdr:colOff>
      <xdr:row>1</xdr:row>
      <xdr:rowOff>0</xdr:rowOff>
    </xdr:from>
    <xdr:to>
      <xdr:col>20</xdr:col>
      <xdr:colOff>204034</xdr:colOff>
      <xdr:row>3</xdr:row>
      <xdr:rowOff>168660</xdr:rowOff>
    </xdr:to>
    <xdr:sp macro="" textlink="">
      <xdr:nvSpPr>
        <xdr:cNvPr id="7" name="Rounded Rectangle 6">
          <a:hlinkClick xmlns:r="http://schemas.openxmlformats.org/officeDocument/2006/relationships" r:id="rId6"/>
        </xdr:cNvPr>
        <xdr:cNvSpPr/>
      </xdr:nvSpPr>
      <xdr:spPr>
        <a:xfrm>
          <a:off x="7120529" y="190500"/>
          <a:ext cx="1084505" cy="5496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20</xdr:col>
      <xdr:colOff>299497</xdr:colOff>
      <xdr:row>1</xdr:row>
      <xdr:rowOff>1</xdr:rowOff>
    </xdr:from>
    <xdr:to>
      <xdr:col>21</xdr:col>
      <xdr:colOff>647777</xdr:colOff>
      <xdr:row>3</xdr:row>
      <xdr:rowOff>168661</xdr:rowOff>
    </xdr:to>
    <xdr:sp macro="" textlink="">
      <xdr:nvSpPr>
        <xdr:cNvPr id="8" name="Rounded Rectangle 7">
          <a:hlinkClick xmlns:r="http://schemas.openxmlformats.org/officeDocument/2006/relationships" r:id="rId7"/>
        </xdr:cNvPr>
        <xdr:cNvSpPr/>
      </xdr:nvSpPr>
      <xdr:spPr>
        <a:xfrm>
          <a:off x="8300497" y="190501"/>
          <a:ext cx="1281730" cy="549660"/>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2611755</xdr:colOff>
      <xdr:row>2</xdr:row>
      <xdr:rowOff>3598</xdr:rowOff>
    </xdr:from>
    <xdr:to>
      <xdr:col>0</xdr:col>
      <xdr:colOff>3754755</xdr:colOff>
      <xdr:row>4</xdr:row>
      <xdr:rowOff>137710</xdr:rowOff>
    </xdr:to>
    <xdr:sp macro="" textlink="">
      <xdr:nvSpPr>
        <xdr:cNvPr id="9" name="Rounded Rectangle 8">
          <a:hlinkClick xmlns:r="http://schemas.openxmlformats.org/officeDocument/2006/relationships" r:id="rId1"/>
        </xdr:cNvPr>
        <xdr:cNvSpPr/>
      </xdr:nvSpPr>
      <xdr:spPr>
        <a:xfrm>
          <a:off x="2611755" y="369358"/>
          <a:ext cx="1143000" cy="49987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0</xdr:col>
      <xdr:colOff>3870748</xdr:colOff>
      <xdr:row>2</xdr:row>
      <xdr:rowOff>3598</xdr:rowOff>
    </xdr:from>
    <xdr:to>
      <xdr:col>1</xdr:col>
      <xdr:colOff>155998</xdr:colOff>
      <xdr:row>4</xdr:row>
      <xdr:rowOff>137710</xdr:rowOff>
    </xdr:to>
    <xdr:sp macro="" textlink="">
      <xdr:nvSpPr>
        <xdr:cNvPr id="10" name="Rounded Rectangle 9">
          <a:hlinkClick xmlns:r="http://schemas.openxmlformats.org/officeDocument/2006/relationships" r:id="rId2"/>
        </xdr:cNvPr>
        <xdr:cNvSpPr/>
      </xdr:nvSpPr>
      <xdr:spPr>
        <a:xfrm>
          <a:off x="3870748" y="369358"/>
          <a:ext cx="1283970" cy="49987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1</xdr:col>
      <xdr:colOff>249768</xdr:colOff>
      <xdr:row>2</xdr:row>
      <xdr:rowOff>3598</xdr:rowOff>
    </xdr:from>
    <xdr:to>
      <xdr:col>1</xdr:col>
      <xdr:colOff>1385148</xdr:colOff>
      <xdr:row>4</xdr:row>
      <xdr:rowOff>137710</xdr:rowOff>
    </xdr:to>
    <xdr:sp macro="" textlink="">
      <xdr:nvSpPr>
        <xdr:cNvPr id="11" name="Rounded Rectangle 10">
          <a:hlinkClick xmlns:r="http://schemas.openxmlformats.org/officeDocument/2006/relationships" r:id="rId3"/>
        </xdr:cNvPr>
        <xdr:cNvSpPr/>
      </xdr:nvSpPr>
      <xdr:spPr>
        <a:xfrm>
          <a:off x="5248488" y="369358"/>
          <a:ext cx="1135380" cy="49987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1</xdr:col>
      <xdr:colOff>1492673</xdr:colOff>
      <xdr:row>2</xdr:row>
      <xdr:rowOff>3598</xdr:rowOff>
    </xdr:from>
    <xdr:to>
      <xdr:col>1</xdr:col>
      <xdr:colOff>2488988</xdr:colOff>
      <xdr:row>4</xdr:row>
      <xdr:rowOff>137710</xdr:rowOff>
    </xdr:to>
    <xdr:sp macro="" textlink="">
      <xdr:nvSpPr>
        <xdr:cNvPr id="12" name="Rounded Rectangle 11">
          <a:hlinkClick xmlns:r="http://schemas.openxmlformats.org/officeDocument/2006/relationships" r:id="rId4"/>
        </xdr:cNvPr>
        <xdr:cNvSpPr/>
      </xdr:nvSpPr>
      <xdr:spPr>
        <a:xfrm>
          <a:off x="6491393" y="369358"/>
          <a:ext cx="996315" cy="49987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1</xdr:col>
      <xdr:colOff>2579793</xdr:colOff>
      <xdr:row>1</xdr:row>
      <xdr:rowOff>180975</xdr:rowOff>
    </xdr:from>
    <xdr:to>
      <xdr:col>1</xdr:col>
      <xdr:colOff>3711363</xdr:colOff>
      <xdr:row>4</xdr:row>
      <xdr:rowOff>132207</xdr:rowOff>
    </xdr:to>
    <xdr:sp macro="" textlink="">
      <xdr:nvSpPr>
        <xdr:cNvPr id="13" name="Rounded Rectangle 12">
          <a:hlinkClick xmlns:r="http://schemas.openxmlformats.org/officeDocument/2006/relationships" r:id="rId5"/>
        </xdr:cNvPr>
        <xdr:cNvSpPr/>
      </xdr:nvSpPr>
      <xdr:spPr>
        <a:xfrm>
          <a:off x="7578513" y="363855"/>
          <a:ext cx="1131570" cy="49987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1</xdr:col>
      <xdr:colOff>3835401</xdr:colOff>
      <xdr:row>1</xdr:row>
      <xdr:rowOff>180976</xdr:rowOff>
    </xdr:from>
    <xdr:to>
      <xdr:col>2</xdr:col>
      <xdr:colOff>575946</xdr:colOff>
      <xdr:row>4</xdr:row>
      <xdr:rowOff>132208</xdr:rowOff>
    </xdr:to>
    <xdr:sp macro="" textlink="">
      <xdr:nvSpPr>
        <xdr:cNvPr id="14" name="Rounded Rectangle 13">
          <a:hlinkClick xmlns:r="http://schemas.openxmlformats.org/officeDocument/2006/relationships" r:id="rId6"/>
        </xdr:cNvPr>
        <xdr:cNvSpPr/>
      </xdr:nvSpPr>
      <xdr:spPr>
        <a:xfrm>
          <a:off x="8834121" y="363856"/>
          <a:ext cx="1449705" cy="49987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twoCellAnchor editAs="oneCell">
    <xdr:from>
      <xdr:col>0</xdr:col>
      <xdr:colOff>266700</xdr:colOff>
      <xdr:row>2</xdr:row>
      <xdr:rowOff>28575</xdr:rowOff>
    </xdr:from>
    <xdr:to>
      <xdr:col>0</xdr:col>
      <xdr:colOff>2347158</xdr:colOff>
      <xdr:row>5</xdr:row>
      <xdr:rowOff>5715</xdr:rowOff>
    </xdr:to>
    <xdr:pic>
      <xdr:nvPicPr>
        <xdr:cNvPr id="8" name="Picture 7">
          <a:extLst>
            <a:ext uri="{FF2B5EF4-FFF2-40B4-BE49-F238E27FC236}">
              <a16:creationId xmlns="" xmlns:a16="http://schemas.microsoft.com/office/drawing/2014/main" id="{00000000-0008-0000-1500-00000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6700" y="409575"/>
          <a:ext cx="2080458" cy="548640"/>
        </a:xfrm>
        <a:prstGeom prst="rect">
          <a:avLst/>
        </a:prstGeom>
      </xdr:spPr>
    </xdr:pic>
    <xdr:clientData/>
  </xdr:twoCellAnchor>
  <xdr:twoCellAnchor>
    <xdr:from>
      <xdr:col>3</xdr:col>
      <xdr:colOff>47625</xdr:colOff>
      <xdr:row>2</xdr:row>
      <xdr:rowOff>7620</xdr:rowOff>
    </xdr:from>
    <xdr:to>
      <xdr:col>4</xdr:col>
      <xdr:colOff>545041</xdr:colOff>
      <xdr:row>4</xdr:row>
      <xdr:rowOff>141732</xdr:rowOff>
    </xdr:to>
    <xdr:sp macro="" textlink="">
      <xdr:nvSpPr>
        <xdr:cNvPr id="15" name="Rounded Rectangle 14">
          <a:hlinkClick xmlns:r="http://schemas.openxmlformats.org/officeDocument/2006/relationships" r:id="rId8"/>
        </xdr:cNvPr>
        <xdr:cNvSpPr/>
      </xdr:nvSpPr>
      <xdr:spPr>
        <a:xfrm>
          <a:off x="10380345" y="373380"/>
          <a:ext cx="1122256" cy="499872"/>
        </a:xfrm>
        <a:prstGeom prst="roundRect">
          <a:avLst/>
        </a:prstGeom>
        <a:solidFill>
          <a:srgbClr val="00B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Stack</a:t>
          </a:r>
        </a:p>
        <a:p>
          <a:pPr algn="ctr"/>
          <a:r>
            <a:rPr lang="en-US" sz="1100"/>
            <a:t>Builder</a:t>
          </a:r>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26</xdr:col>
      <xdr:colOff>1384934</xdr:colOff>
      <xdr:row>0</xdr:row>
      <xdr:rowOff>30480</xdr:rowOff>
    </xdr:from>
    <xdr:to>
      <xdr:col>32</xdr:col>
      <xdr:colOff>89536</xdr:colOff>
      <xdr:row>6</xdr:row>
      <xdr:rowOff>133351</xdr:rowOff>
    </xdr:to>
    <mc:AlternateContent xmlns:mc="http://schemas.openxmlformats.org/markup-compatibility/2006" xmlns:sle15="http://schemas.microsoft.com/office/drawing/2012/slicer">
      <mc:Choice Requires="sle15">
        <xdr:graphicFrame macro="">
          <xdr:nvGraphicFramePr>
            <xdr:cNvPr id="2" name="Team 11"/>
            <xdr:cNvGraphicFramePr/>
          </xdr:nvGraphicFramePr>
          <xdr:xfrm>
            <a:off x="0" y="0"/>
            <a:ext cx="0" cy="0"/>
          </xdr:xfrm>
          <a:graphic>
            <a:graphicData uri="http://schemas.microsoft.com/office/drawing/2010/slicer">
              <sle:slicer xmlns:sle="http://schemas.microsoft.com/office/drawing/2010/slicer" name="Team 11"/>
            </a:graphicData>
          </a:graphic>
        </xdr:graphicFrame>
      </mc:Choice>
      <mc:Fallback xmlns="">
        <xdr:sp macro="" textlink="">
          <xdr:nvSpPr>
            <xdr:cNvPr id="0" name=""/>
            <xdr:cNvSpPr>
              <a:spLocks noTextEdit="1"/>
            </xdr:cNvSpPr>
          </xdr:nvSpPr>
          <xdr:spPr>
            <a:xfrm>
              <a:off x="12715874" y="30480"/>
              <a:ext cx="3520442" cy="120015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171450</xdr:colOff>
      <xdr:row>1</xdr:row>
      <xdr:rowOff>0</xdr:rowOff>
    </xdr:from>
    <xdr:to>
      <xdr:col>2</xdr:col>
      <xdr:colOff>356433</xdr:colOff>
      <xdr:row>3</xdr:row>
      <xdr:rowOff>167640</xdr:rowOff>
    </xdr:to>
    <xdr:pic>
      <xdr:nvPicPr>
        <xdr:cNvPr id="3" name="Picture 2">
          <a:extLst>
            <a:ext uri="{FF2B5EF4-FFF2-40B4-BE49-F238E27FC236}">
              <a16:creationId xmlns:a16="http://schemas.microsoft.com/office/drawing/2014/main" xmlns="" id="{00000000-0008-0000-1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182880"/>
          <a:ext cx="2135703" cy="533400"/>
        </a:xfrm>
        <a:prstGeom prst="rect">
          <a:avLst/>
        </a:prstGeom>
      </xdr:spPr>
    </xdr:pic>
    <xdr:clientData/>
  </xdr:twoCellAnchor>
  <xdr:twoCellAnchor>
    <xdr:from>
      <xdr:col>3</xdr:col>
      <xdr:colOff>125730</xdr:colOff>
      <xdr:row>1</xdr:row>
      <xdr:rowOff>1905</xdr:rowOff>
    </xdr:from>
    <xdr:to>
      <xdr:col>6</xdr:col>
      <xdr:colOff>212687</xdr:colOff>
      <xdr:row>3</xdr:row>
      <xdr:rowOff>145542</xdr:rowOff>
    </xdr:to>
    <xdr:sp macro="" textlink="">
      <xdr:nvSpPr>
        <xdr:cNvPr id="4" name="Rounded Rectangle 3">
          <a:hlinkClick xmlns:r="http://schemas.openxmlformats.org/officeDocument/2006/relationships" r:id="rId2"/>
        </xdr:cNvPr>
        <xdr:cNvSpPr/>
      </xdr:nvSpPr>
      <xdr:spPr>
        <a:xfrm>
          <a:off x="2495550" y="184785"/>
          <a:ext cx="1069937" cy="509397"/>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7</xdr:col>
      <xdr:colOff>42930</xdr:colOff>
      <xdr:row>1</xdr:row>
      <xdr:rowOff>1905</xdr:rowOff>
    </xdr:from>
    <xdr:to>
      <xdr:col>10</xdr:col>
      <xdr:colOff>275340</xdr:colOff>
      <xdr:row>3</xdr:row>
      <xdr:rowOff>145542</xdr:rowOff>
    </xdr:to>
    <xdr:sp macro="" textlink="">
      <xdr:nvSpPr>
        <xdr:cNvPr id="5" name="Rounded Rectangle 4">
          <a:hlinkClick xmlns:r="http://schemas.openxmlformats.org/officeDocument/2006/relationships" r:id="rId3"/>
        </xdr:cNvPr>
        <xdr:cNvSpPr/>
      </xdr:nvSpPr>
      <xdr:spPr>
        <a:xfrm>
          <a:off x="3677670" y="184785"/>
          <a:ext cx="1078230" cy="509397"/>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11</xdr:col>
      <xdr:colOff>83360</xdr:colOff>
      <xdr:row>1</xdr:row>
      <xdr:rowOff>1905</xdr:rowOff>
    </xdr:from>
    <xdr:to>
      <xdr:col>14</xdr:col>
      <xdr:colOff>254026</xdr:colOff>
      <xdr:row>3</xdr:row>
      <xdr:rowOff>145542</xdr:rowOff>
    </xdr:to>
    <xdr:sp macro="" textlink="">
      <xdr:nvSpPr>
        <xdr:cNvPr id="6" name="Rounded Rectangle 5">
          <a:hlinkClick xmlns:r="http://schemas.openxmlformats.org/officeDocument/2006/relationships" r:id="rId4"/>
        </xdr:cNvPr>
        <xdr:cNvSpPr/>
      </xdr:nvSpPr>
      <xdr:spPr>
        <a:xfrm>
          <a:off x="4845860" y="184785"/>
          <a:ext cx="1085066" cy="509397"/>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14</xdr:col>
      <xdr:colOff>334881</xdr:colOff>
      <xdr:row>1</xdr:row>
      <xdr:rowOff>1905</xdr:rowOff>
    </xdr:from>
    <xdr:to>
      <xdr:col>18</xdr:col>
      <xdr:colOff>8902</xdr:colOff>
      <xdr:row>3</xdr:row>
      <xdr:rowOff>145542</xdr:rowOff>
    </xdr:to>
    <xdr:sp macro="" textlink="">
      <xdr:nvSpPr>
        <xdr:cNvPr id="7" name="Rounded Rectangle 6">
          <a:hlinkClick xmlns:r="http://schemas.openxmlformats.org/officeDocument/2006/relationships" r:id="rId5"/>
        </xdr:cNvPr>
        <xdr:cNvSpPr/>
      </xdr:nvSpPr>
      <xdr:spPr>
        <a:xfrm>
          <a:off x="6011781" y="184785"/>
          <a:ext cx="1076101" cy="509397"/>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18</xdr:col>
      <xdr:colOff>104577</xdr:colOff>
      <xdr:row>1</xdr:row>
      <xdr:rowOff>11642</xdr:rowOff>
    </xdr:from>
    <xdr:to>
      <xdr:col>21</xdr:col>
      <xdr:colOff>121385</xdr:colOff>
      <xdr:row>3</xdr:row>
      <xdr:rowOff>155279</xdr:rowOff>
    </xdr:to>
    <xdr:sp macro="" textlink="">
      <xdr:nvSpPr>
        <xdr:cNvPr id="8" name="Rounded Rectangle 7">
          <a:hlinkClick xmlns:r="http://schemas.openxmlformats.org/officeDocument/2006/relationships" r:id="rId6"/>
        </xdr:cNvPr>
        <xdr:cNvSpPr/>
      </xdr:nvSpPr>
      <xdr:spPr>
        <a:xfrm>
          <a:off x="7183557" y="194522"/>
          <a:ext cx="1068368" cy="509397"/>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Kicker </a:t>
          </a:r>
        </a:p>
        <a:p>
          <a:pPr algn="ctr"/>
          <a:r>
            <a:rPr lang="en-US" sz="1100"/>
            <a:t>Matchups</a:t>
          </a:r>
        </a:p>
      </xdr:txBody>
    </xdr:sp>
    <xdr:clientData/>
  </xdr:twoCellAnchor>
  <xdr:twoCellAnchor>
    <xdr:from>
      <xdr:col>21</xdr:col>
      <xdr:colOff>238099</xdr:colOff>
      <xdr:row>1</xdr:row>
      <xdr:rowOff>11642</xdr:rowOff>
    </xdr:from>
    <xdr:to>
      <xdr:col>23</xdr:col>
      <xdr:colOff>434314</xdr:colOff>
      <xdr:row>3</xdr:row>
      <xdr:rowOff>155279</xdr:rowOff>
    </xdr:to>
    <xdr:sp macro="" textlink="">
      <xdr:nvSpPr>
        <xdr:cNvPr id="9" name="Rounded Rectangle 8">
          <a:hlinkClick xmlns:r="http://schemas.openxmlformats.org/officeDocument/2006/relationships" r:id="rId7"/>
        </xdr:cNvPr>
        <xdr:cNvSpPr/>
      </xdr:nvSpPr>
      <xdr:spPr>
        <a:xfrm>
          <a:off x="8368639" y="194522"/>
          <a:ext cx="1080135" cy="509397"/>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23</xdr:col>
      <xdr:colOff>558352</xdr:colOff>
      <xdr:row>1</xdr:row>
      <xdr:rowOff>11643</xdr:rowOff>
    </xdr:from>
    <xdr:to>
      <xdr:col>25</xdr:col>
      <xdr:colOff>453801</xdr:colOff>
      <xdr:row>3</xdr:row>
      <xdr:rowOff>155280</xdr:rowOff>
    </xdr:to>
    <xdr:sp macro="" textlink="">
      <xdr:nvSpPr>
        <xdr:cNvPr id="10" name="Rounded Rectangle 9">
          <a:hlinkClick xmlns:r="http://schemas.openxmlformats.org/officeDocument/2006/relationships" r:id="rId8"/>
        </xdr:cNvPr>
        <xdr:cNvSpPr/>
      </xdr:nvSpPr>
      <xdr:spPr>
        <a:xfrm>
          <a:off x="9572812" y="194523"/>
          <a:ext cx="1335629" cy="50939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twoCellAnchor>
    <xdr:from>
      <xdr:col>25</xdr:col>
      <xdr:colOff>533401</xdr:colOff>
      <xdr:row>1</xdr:row>
      <xdr:rowOff>7619</xdr:rowOff>
    </xdr:from>
    <xdr:to>
      <xdr:col>26</xdr:col>
      <xdr:colOff>782956</xdr:colOff>
      <xdr:row>3</xdr:row>
      <xdr:rowOff>147827</xdr:rowOff>
    </xdr:to>
    <xdr:sp macro="" textlink="">
      <xdr:nvSpPr>
        <xdr:cNvPr id="11" name="Rounded Rectangle 10">
          <a:hlinkClick xmlns:r="http://schemas.openxmlformats.org/officeDocument/2006/relationships" r:id="rId9"/>
        </xdr:cNvPr>
        <xdr:cNvSpPr/>
      </xdr:nvSpPr>
      <xdr:spPr>
        <a:xfrm>
          <a:off x="10988041" y="190499"/>
          <a:ext cx="1125855" cy="505968"/>
        </a:xfrm>
        <a:prstGeom prst="roundRect">
          <a:avLst/>
        </a:prstGeom>
        <a:solidFill>
          <a:srgbClr val="00B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Stack</a:t>
          </a:r>
        </a:p>
        <a:p>
          <a:pPr algn="ctr"/>
          <a:r>
            <a:rPr lang="en-US" sz="1100"/>
            <a:t>Builder</a:t>
          </a:r>
        </a:p>
      </xdr:txBody>
    </xdr:sp>
    <xdr:clientData/>
  </xdr:twoCellAnchor>
  <xdr:twoCellAnchor editAs="absolute">
    <xdr:from>
      <xdr:col>3</xdr:col>
      <xdr:colOff>91440</xdr:colOff>
      <xdr:row>4</xdr:row>
      <xdr:rowOff>45721</xdr:rowOff>
    </xdr:from>
    <xdr:to>
      <xdr:col>24</xdr:col>
      <xdr:colOff>266700</xdr:colOff>
      <xdr:row>7</xdr:row>
      <xdr:rowOff>91440</xdr:rowOff>
    </xdr:to>
    <mc:AlternateContent xmlns:mc="http://schemas.openxmlformats.org/markup-compatibility/2006" xmlns:sle15="http://schemas.microsoft.com/office/drawing/2012/slicer">
      <mc:Choice Requires="sle15">
        <xdr:graphicFrame macro="">
          <xdr:nvGraphicFramePr>
            <xdr:cNvPr id="12" name="Team 10"/>
            <xdr:cNvGraphicFramePr/>
          </xdr:nvGraphicFramePr>
          <xdr:xfrm>
            <a:off x="0" y="0"/>
            <a:ext cx="0" cy="0"/>
          </xdr:xfrm>
          <a:graphic>
            <a:graphicData uri="http://schemas.microsoft.com/office/drawing/2010/slicer">
              <sle:slicer xmlns:sle="http://schemas.microsoft.com/office/drawing/2010/slicer" name="Team 10"/>
            </a:graphicData>
          </a:graphic>
        </xdr:graphicFrame>
      </mc:Choice>
      <mc:Fallback xmlns="">
        <xdr:sp macro="" textlink="">
          <xdr:nvSpPr>
            <xdr:cNvPr id="0" name=""/>
            <xdr:cNvSpPr>
              <a:spLocks noTextEdit="1"/>
            </xdr:cNvSpPr>
          </xdr:nvSpPr>
          <xdr:spPr>
            <a:xfrm>
              <a:off x="2461260" y="777241"/>
              <a:ext cx="7505700" cy="59435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absoluteAnchor>
    <xdr:pos x="68577" y="818029"/>
    <xdr:ext cx="8082582" cy="549089"/>
    <mc:AlternateContent xmlns:mc="http://schemas.openxmlformats.org/markup-compatibility/2006" xmlns:sle15="http://schemas.microsoft.com/office/drawing/2012/slicer">
      <mc:Choice Requires="sle15">
        <xdr:graphicFrame macro="">
          <xdr:nvGraphicFramePr>
            <xdr:cNvPr id="2" name="Team 12"/>
            <xdr:cNvGraphicFramePr/>
          </xdr:nvGraphicFramePr>
          <xdr:xfrm>
            <a:off x="0" y="0"/>
            <a:ext cx="0" cy="0"/>
          </xdr:xfrm>
          <a:graphic>
            <a:graphicData uri="http://schemas.microsoft.com/office/drawing/2010/slicer">
              <sle:slicer xmlns:sle="http://schemas.microsoft.com/office/drawing/2010/slicer" name="Team 12"/>
            </a:graphicData>
          </a:graphic>
        </xdr:graphicFrame>
      </mc:Choice>
      <mc:Fallback xmlns="">
        <xdr:sp macro="" textlink="">
          <xdr:nvSpPr>
            <xdr:cNvPr id="0" name=""/>
            <xdr:cNvSpPr>
              <a:spLocks noTextEdit="1"/>
            </xdr:cNvSpPr>
          </xdr:nvSpPr>
          <xdr:spPr>
            <a:xfrm>
              <a:off x="68577" y="818029"/>
              <a:ext cx="8082582" cy="54908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absoluteAnchor>
  <xdr:twoCellAnchor editAs="absolute">
    <xdr:from>
      <xdr:col>11</xdr:col>
      <xdr:colOff>636497</xdr:colOff>
      <xdr:row>4</xdr:row>
      <xdr:rowOff>78442</xdr:rowOff>
    </xdr:from>
    <xdr:to>
      <xdr:col>23</xdr:col>
      <xdr:colOff>272878</xdr:colOff>
      <xdr:row>7</xdr:row>
      <xdr:rowOff>112059</xdr:rowOff>
    </xdr:to>
    <mc:AlternateContent xmlns:mc="http://schemas.openxmlformats.org/markup-compatibility/2006" xmlns:sle15="http://schemas.microsoft.com/office/drawing/2012/slicer">
      <mc:Choice Requires="sle15">
        <xdr:graphicFrame macro="">
          <xdr:nvGraphicFramePr>
            <xdr:cNvPr id="3" name="Team 13"/>
            <xdr:cNvGraphicFramePr/>
          </xdr:nvGraphicFramePr>
          <xdr:xfrm>
            <a:off x="0" y="0"/>
            <a:ext cx="0" cy="0"/>
          </xdr:xfrm>
          <a:graphic>
            <a:graphicData uri="http://schemas.microsoft.com/office/drawing/2010/slicer">
              <sle:slicer xmlns:sle="http://schemas.microsoft.com/office/drawing/2010/slicer" name="Team 13"/>
            </a:graphicData>
          </a:graphic>
        </xdr:graphicFrame>
      </mc:Choice>
      <mc:Fallback xmlns="">
        <xdr:sp macro="" textlink="">
          <xdr:nvSpPr>
            <xdr:cNvPr id="0" name=""/>
            <xdr:cNvSpPr>
              <a:spLocks noTextEdit="1"/>
            </xdr:cNvSpPr>
          </xdr:nvSpPr>
          <xdr:spPr>
            <a:xfrm>
              <a:off x="8552332" y="795618"/>
              <a:ext cx="8134922" cy="5715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168089</xdr:colOff>
      <xdr:row>0</xdr:row>
      <xdr:rowOff>168089</xdr:rowOff>
    </xdr:from>
    <xdr:to>
      <xdr:col>2</xdr:col>
      <xdr:colOff>455606</xdr:colOff>
      <xdr:row>3</xdr:row>
      <xdr:rowOff>145229</xdr:rowOff>
    </xdr:to>
    <xdr:pic>
      <xdr:nvPicPr>
        <xdr:cNvPr id="4" name="Picture 3">
          <a:extLst>
            <a:ext uri="{FF2B5EF4-FFF2-40B4-BE49-F238E27FC236}">
              <a16:creationId xmlns:a16="http://schemas.microsoft.com/office/drawing/2014/main" xmlns="" id="{00000000-0008-0000-1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89" y="168089"/>
          <a:ext cx="2131557" cy="525780"/>
        </a:xfrm>
        <a:prstGeom prst="rect">
          <a:avLst/>
        </a:prstGeom>
      </xdr:spPr>
    </xdr:pic>
    <xdr:clientData/>
  </xdr:twoCellAnchor>
  <xdr:twoCellAnchor>
    <xdr:from>
      <xdr:col>3</xdr:col>
      <xdr:colOff>233083</xdr:colOff>
      <xdr:row>0</xdr:row>
      <xdr:rowOff>116541</xdr:rowOff>
    </xdr:from>
    <xdr:to>
      <xdr:col>5</xdr:col>
      <xdr:colOff>262665</xdr:colOff>
      <xdr:row>3</xdr:row>
      <xdr:rowOff>125180</xdr:rowOff>
    </xdr:to>
    <xdr:sp macro="" textlink="">
      <xdr:nvSpPr>
        <xdr:cNvPr id="5" name="Rounded Rectangle 4">
          <a:hlinkClick xmlns:r="http://schemas.openxmlformats.org/officeDocument/2006/relationships" r:id="rId2"/>
        </xdr:cNvPr>
        <xdr:cNvSpPr/>
      </xdr:nvSpPr>
      <xdr:spPr>
        <a:xfrm>
          <a:off x="2610523" y="116541"/>
          <a:ext cx="1119242" cy="557279"/>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5</xdr:col>
      <xdr:colOff>378658</xdr:colOff>
      <xdr:row>0</xdr:row>
      <xdr:rowOff>116541</xdr:rowOff>
    </xdr:from>
    <xdr:to>
      <xdr:col>7</xdr:col>
      <xdr:colOff>52791</xdr:colOff>
      <xdr:row>3</xdr:row>
      <xdr:rowOff>125180</xdr:rowOff>
    </xdr:to>
    <xdr:sp macro="" textlink="">
      <xdr:nvSpPr>
        <xdr:cNvPr id="6" name="Rounded Rectangle 5">
          <a:hlinkClick xmlns:r="http://schemas.openxmlformats.org/officeDocument/2006/relationships" r:id="rId3"/>
        </xdr:cNvPr>
        <xdr:cNvSpPr/>
      </xdr:nvSpPr>
      <xdr:spPr>
        <a:xfrm>
          <a:off x="3845758" y="116541"/>
          <a:ext cx="1152413" cy="557279"/>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7</xdr:col>
      <xdr:colOff>146561</xdr:colOff>
      <xdr:row>0</xdr:row>
      <xdr:rowOff>116541</xdr:rowOff>
    </xdr:from>
    <xdr:to>
      <xdr:col>8</xdr:col>
      <xdr:colOff>481394</xdr:colOff>
      <xdr:row>3</xdr:row>
      <xdr:rowOff>125180</xdr:rowOff>
    </xdr:to>
    <xdr:sp macro="" textlink="">
      <xdr:nvSpPr>
        <xdr:cNvPr id="7" name="Rounded Rectangle 6">
          <a:hlinkClick xmlns:r="http://schemas.openxmlformats.org/officeDocument/2006/relationships" r:id="rId4"/>
        </xdr:cNvPr>
        <xdr:cNvSpPr/>
      </xdr:nvSpPr>
      <xdr:spPr>
        <a:xfrm>
          <a:off x="5091941" y="116541"/>
          <a:ext cx="1142553" cy="557279"/>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8</xdr:col>
      <xdr:colOff>575585</xdr:colOff>
      <xdr:row>0</xdr:row>
      <xdr:rowOff>116541</xdr:rowOff>
    </xdr:from>
    <xdr:to>
      <xdr:col>10</xdr:col>
      <xdr:colOff>268943</xdr:colOff>
      <xdr:row>3</xdr:row>
      <xdr:rowOff>125180</xdr:rowOff>
    </xdr:to>
    <xdr:sp macro="" textlink="">
      <xdr:nvSpPr>
        <xdr:cNvPr id="8" name="Rounded Rectangle 7">
          <a:hlinkClick xmlns:r="http://schemas.openxmlformats.org/officeDocument/2006/relationships" r:id="rId5"/>
        </xdr:cNvPr>
        <xdr:cNvSpPr/>
      </xdr:nvSpPr>
      <xdr:spPr>
        <a:xfrm>
          <a:off x="6328685" y="116541"/>
          <a:ext cx="1171638" cy="557279"/>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10</xdr:col>
      <xdr:colOff>504066</xdr:colOff>
      <xdr:row>0</xdr:row>
      <xdr:rowOff>126278</xdr:rowOff>
    </xdr:from>
    <xdr:to>
      <xdr:col>12</xdr:col>
      <xdr:colOff>287568</xdr:colOff>
      <xdr:row>3</xdr:row>
      <xdr:rowOff>134917</xdr:rowOff>
    </xdr:to>
    <xdr:sp macro="" textlink="">
      <xdr:nvSpPr>
        <xdr:cNvPr id="9" name="Rounded Rectangle 8">
          <a:hlinkClick xmlns:r="http://schemas.openxmlformats.org/officeDocument/2006/relationships" r:id="rId6"/>
        </xdr:cNvPr>
        <xdr:cNvSpPr/>
      </xdr:nvSpPr>
      <xdr:spPr>
        <a:xfrm>
          <a:off x="7735446" y="126278"/>
          <a:ext cx="1124622" cy="557279"/>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Kicker </a:t>
          </a:r>
        </a:p>
        <a:p>
          <a:pPr algn="ctr"/>
          <a:r>
            <a:rPr lang="en-US" sz="1100"/>
            <a:t>Matchups</a:t>
          </a:r>
        </a:p>
      </xdr:txBody>
    </xdr:sp>
    <xdr:clientData/>
  </xdr:twoCellAnchor>
  <xdr:twoCellAnchor>
    <xdr:from>
      <xdr:col>12</xdr:col>
      <xdr:colOff>404282</xdr:colOff>
      <xdr:row>0</xdr:row>
      <xdr:rowOff>126278</xdr:rowOff>
    </xdr:from>
    <xdr:to>
      <xdr:col>13</xdr:col>
      <xdr:colOff>932329</xdr:colOff>
      <xdr:row>3</xdr:row>
      <xdr:rowOff>134917</xdr:rowOff>
    </xdr:to>
    <xdr:sp macro="" textlink="">
      <xdr:nvSpPr>
        <xdr:cNvPr id="10" name="Rounded Rectangle 9">
          <a:hlinkClick xmlns:r="http://schemas.openxmlformats.org/officeDocument/2006/relationships" r:id="rId7"/>
        </xdr:cNvPr>
        <xdr:cNvSpPr/>
      </xdr:nvSpPr>
      <xdr:spPr>
        <a:xfrm>
          <a:off x="8976782" y="126278"/>
          <a:ext cx="1198607" cy="557279"/>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13</xdr:col>
      <xdr:colOff>1069789</xdr:colOff>
      <xdr:row>0</xdr:row>
      <xdr:rowOff>126279</xdr:rowOff>
    </xdr:from>
    <xdr:to>
      <xdr:col>15</xdr:col>
      <xdr:colOff>381299</xdr:colOff>
      <xdr:row>3</xdr:row>
      <xdr:rowOff>134918</xdr:rowOff>
    </xdr:to>
    <xdr:sp macro="" textlink="">
      <xdr:nvSpPr>
        <xdr:cNvPr id="11" name="Rounded Rectangle 10">
          <a:hlinkClick xmlns:r="http://schemas.openxmlformats.org/officeDocument/2006/relationships" r:id="rId8"/>
        </xdr:cNvPr>
        <xdr:cNvSpPr/>
      </xdr:nvSpPr>
      <xdr:spPr>
        <a:xfrm>
          <a:off x="10312849" y="126279"/>
          <a:ext cx="1338430" cy="557279"/>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twoCellAnchor>
    <xdr:from>
      <xdr:col>15</xdr:col>
      <xdr:colOff>448234</xdr:colOff>
      <xdr:row>0</xdr:row>
      <xdr:rowOff>134471</xdr:rowOff>
    </xdr:from>
    <xdr:to>
      <xdr:col>17</xdr:col>
      <xdr:colOff>457199</xdr:colOff>
      <xdr:row>3</xdr:row>
      <xdr:rowOff>111611</xdr:rowOff>
    </xdr:to>
    <xdr:sp macro="" textlink="">
      <xdr:nvSpPr>
        <xdr:cNvPr id="12" name="Rounded Rectangle 11">
          <a:hlinkClick xmlns:r="http://schemas.openxmlformats.org/officeDocument/2006/relationships" r:id="rId9"/>
        </xdr:cNvPr>
        <xdr:cNvSpPr/>
      </xdr:nvSpPr>
      <xdr:spPr>
        <a:xfrm>
          <a:off x="11718214" y="134471"/>
          <a:ext cx="976705" cy="525780"/>
        </a:xfrm>
        <a:prstGeom prst="roundRect">
          <a:avLst/>
        </a:prstGeom>
        <a:solidFill>
          <a:srgbClr val="00B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Stack</a:t>
          </a:r>
        </a:p>
        <a:p>
          <a:pPr algn="ctr"/>
          <a:r>
            <a:rPr lang="en-US" sz="1100"/>
            <a:t>Builder</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291417</xdr:colOff>
      <xdr:row>1</xdr:row>
      <xdr:rowOff>28575</xdr:rowOff>
    </xdr:from>
    <xdr:to>
      <xdr:col>1</xdr:col>
      <xdr:colOff>923482</xdr:colOff>
      <xdr:row>3</xdr:row>
      <xdr:rowOff>178594</xdr:rowOff>
    </xdr:to>
    <xdr:pic>
      <xdr:nvPicPr>
        <xdr:cNvPr id="9" name="Picture 8">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4297" y="211455"/>
          <a:ext cx="2069556" cy="515779"/>
        </a:xfrm>
        <a:prstGeom prst="rect">
          <a:avLst/>
        </a:prstGeom>
      </xdr:spPr>
    </xdr:pic>
    <xdr:clientData/>
  </xdr:twoCellAnchor>
  <xdr:twoCellAnchor>
    <xdr:from>
      <xdr:col>2</xdr:col>
      <xdr:colOff>129987</xdr:colOff>
      <xdr:row>0</xdr:row>
      <xdr:rowOff>170329</xdr:rowOff>
    </xdr:from>
    <xdr:to>
      <xdr:col>3</xdr:col>
      <xdr:colOff>519952</xdr:colOff>
      <xdr:row>3</xdr:row>
      <xdr:rowOff>140612</xdr:rowOff>
    </xdr:to>
    <xdr:sp macro="" textlink="">
      <xdr:nvSpPr>
        <xdr:cNvPr id="24" name="Rounded Rectangle 23">
          <a:hlinkClick xmlns:r="http://schemas.openxmlformats.org/officeDocument/2006/relationships" r:id="rId2"/>
        </xdr:cNvPr>
        <xdr:cNvSpPr/>
      </xdr:nvSpPr>
      <xdr:spPr>
        <a:xfrm>
          <a:off x="3025587" y="170329"/>
          <a:ext cx="1143000" cy="508165"/>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QB</a:t>
          </a:r>
        </a:p>
        <a:p>
          <a:pPr algn="ctr"/>
          <a:r>
            <a:rPr lang="en-US" sz="1100"/>
            <a:t> Matchups</a:t>
          </a:r>
        </a:p>
      </xdr:txBody>
    </xdr:sp>
    <xdr:clientData/>
  </xdr:twoCellAnchor>
  <xdr:twoCellAnchor>
    <xdr:from>
      <xdr:col>3</xdr:col>
      <xdr:colOff>622497</xdr:colOff>
      <xdr:row>0</xdr:row>
      <xdr:rowOff>170329</xdr:rowOff>
    </xdr:from>
    <xdr:to>
      <xdr:col>5</xdr:col>
      <xdr:colOff>407345</xdr:colOff>
      <xdr:row>3</xdr:row>
      <xdr:rowOff>140612</xdr:rowOff>
    </xdr:to>
    <xdr:sp macro="" textlink="">
      <xdr:nvSpPr>
        <xdr:cNvPr id="25" name="Rounded Rectangle 24">
          <a:hlinkClick xmlns:r="http://schemas.openxmlformats.org/officeDocument/2006/relationships" r:id="rId3"/>
        </xdr:cNvPr>
        <xdr:cNvSpPr/>
      </xdr:nvSpPr>
      <xdr:spPr>
        <a:xfrm>
          <a:off x="4271132" y="170329"/>
          <a:ext cx="1156448" cy="508165"/>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RB</a:t>
          </a:r>
        </a:p>
        <a:p>
          <a:pPr algn="ctr"/>
          <a:r>
            <a:rPr lang="en-US" sz="1100"/>
            <a:t>Matchups</a:t>
          </a:r>
        </a:p>
      </xdr:txBody>
    </xdr:sp>
    <xdr:clientData/>
  </xdr:twoCellAnchor>
  <xdr:twoCellAnchor>
    <xdr:from>
      <xdr:col>5</xdr:col>
      <xdr:colOff>501115</xdr:colOff>
      <xdr:row>0</xdr:row>
      <xdr:rowOff>170329</xdr:rowOff>
    </xdr:from>
    <xdr:to>
      <xdr:col>7</xdr:col>
      <xdr:colOff>211106</xdr:colOff>
      <xdr:row>3</xdr:row>
      <xdr:rowOff>140612</xdr:rowOff>
    </xdr:to>
    <xdr:sp macro="" textlink="">
      <xdr:nvSpPr>
        <xdr:cNvPr id="26" name="Rounded Rectangle 25">
          <a:hlinkClick xmlns:r="http://schemas.openxmlformats.org/officeDocument/2006/relationships" r:id="rId4"/>
        </xdr:cNvPr>
        <xdr:cNvSpPr/>
      </xdr:nvSpPr>
      <xdr:spPr>
        <a:xfrm>
          <a:off x="5521350" y="170329"/>
          <a:ext cx="1135380" cy="508165"/>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WR</a:t>
          </a:r>
          <a:r>
            <a:rPr lang="en-US" sz="1100" baseline="0"/>
            <a:t> </a:t>
          </a:r>
        </a:p>
        <a:p>
          <a:pPr algn="ctr"/>
          <a:r>
            <a:rPr lang="en-US" sz="1100"/>
            <a:t>Matchups</a:t>
          </a:r>
        </a:p>
      </xdr:txBody>
    </xdr:sp>
    <xdr:clientData/>
  </xdr:twoCellAnchor>
  <xdr:twoCellAnchor>
    <xdr:from>
      <xdr:col>7</xdr:col>
      <xdr:colOff>318631</xdr:colOff>
      <xdr:row>0</xdr:row>
      <xdr:rowOff>170329</xdr:rowOff>
    </xdr:from>
    <xdr:to>
      <xdr:col>9</xdr:col>
      <xdr:colOff>102246</xdr:colOff>
      <xdr:row>3</xdr:row>
      <xdr:rowOff>140612</xdr:rowOff>
    </xdr:to>
    <xdr:sp macro="" textlink="">
      <xdr:nvSpPr>
        <xdr:cNvPr id="27" name="Rounded Rectangle 26">
          <a:hlinkClick xmlns:r="http://schemas.openxmlformats.org/officeDocument/2006/relationships" r:id="rId5"/>
        </xdr:cNvPr>
        <xdr:cNvSpPr/>
      </xdr:nvSpPr>
      <xdr:spPr>
        <a:xfrm>
          <a:off x="6764255" y="170329"/>
          <a:ext cx="1137285" cy="508165"/>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a:t>
          </a:r>
          <a:r>
            <a:rPr lang="en-US" sz="1100" baseline="0"/>
            <a:t> </a:t>
          </a:r>
        </a:p>
        <a:p>
          <a:pPr algn="ctr"/>
          <a:r>
            <a:rPr lang="en-US" sz="1100"/>
            <a:t>Matchups</a:t>
          </a:r>
        </a:p>
      </xdr:txBody>
    </xdr:sp>
    <xdr:clientData/>
  </xdr:twoCellAnchor>
  <xdr:twoCellAnchor>
    <xdr:from>
      <xdr:col>9</xdr:col>
      <xdr:colOff>193051</xdr:colOff>
      <xdr:row>0</xdr:row>
      <xdr:rowOff>170329</xdr:rowOff>
    </xdr:from>
    <xdr:to>
      <xdr:col>10</xdr:col>
      <xdr:colOff>647785</xdr:colOff>
      <xdr:row>3</xdr:row>
      <xdr:rowOff>140612</xdr:rowOff>
    </xdr:to>
    <xdr:sp macro="" textlink="">
      <xdr:nvSpPr>
        <xdr:cNvPr id="28" name="Rounded Rectangle 27">
          <a:hlinkClick xmlns:r="http://schemas.openxmlformats.org/officeDocument/2006/relationships" r:id="rId6"/>
        </xdr:cNvPr>
        <xdr:cNvSpPr/>
      </xdr:nvSpPr>
      <xdr:spPr>
        <a:xfrm>
          <a:off x="7992345" y="170329"/>
          <a:ext cx="1118122" cy="508165"/>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Defense</a:t>
          </a:r>
          <a:r>
            <a:rPr lang="en-US" sz="1100" baseline="0"/>
            <a:t> </a:t>
          </a:r>
          <a:r>
            <a:rPr lang="en-US" sz="1100"/>
            <a:t>Matchups</a:t>
          </a:r>
        </a:p>
      </xdr:txBody>
    </xdr:sp>
    <xdr:clientData/>
  </xdr:twoCellAnchor>
  <xdr:twoCellAnchor>
    <xdr:from>
      <xdr:col>11</xdr:col>
      <xdr:colOff>121882</xdr:colOff>
      <xdr:row>0</xdr:row>
      <xdr:rowOff>170329</xdr:rowOff>
    </xdr:from>
    <xdr:to>
      <xdr:col>12</xdr:col>
      <xdr:colOff>9599</xdr:colOff>
      <xdr:row>3</xdr:row>
      <xdr:rowOff>140612</xdr:rowOff>
    </xdr:to>
    <xdr:sp macro="" textlink="">
      <xdr:nvSpPr>
        <xdr:cNvPr id="29" name="Rounded Rectangle 28">
          <a:hlinkClick xmlns:r="http://schemas.openxmlformats.org/officeDocument/2006/relationships" r:id="rId7"/>
        </xdr:cNvPr>
        <xdr:cNvSpPr/>
      </xdr:nvSpPr>
      <xdr:spPr>
        <a:xfrm>
          <a:off x="9247953" y="170329"/>
          <a:ext cx="1322070" cy="508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Lineup Builder</a:t>
          </a:r>
        </a:p>
      </xdr:txBody>
    </xdr:sp>
    <xdr:clientData/>
  </xdr:twoCellAnchor>
  <xdr:twoCellAnchor>
    <xdr:from>
      <xdr:col>12</xdr:col>
      <xdr:colOff>78442</xdr:colOff>
      <xdr:row>0</xdr:row>
      <xdr:rowOff>170329</xdr:rowOff>
    </xdr:from>
    <xdr:to>
      <xdr:col>13</xdr:col>
      <xdr:colOff>468281</xdr:colOff>
      <xdr:row>3</xdr:row>
      <xdr:rowOff>140612</xdr:rowOff>
    </xdr:to>
    <xdr:sp macro="" textlink="">
      <xdr:nvSpPr>
        <xdr:cNvPr id="10" name="Rounded Rectangle 9">
          <a:hlinkClick xmlns:r="http://schemas.openxmlformats.org/officeDocument/2006/relationships" r:id="rId8"/>
        </xdr:cNvPr>
        <xdr:cNvSpPr/>
      </xdr:nvSpPr>
      <xdr:spPr>
        <a:xfrm>
          <a:off x="10638866" y="170329"/>
          <a:ext cx="1124944" cy="508165"/>
        </a:xfrm>
        <a:prstGeom prst="roundRect">
          <a:avLst/>
        </a:prstGeom>
        <a:solidFill>
          <a:srgbClr val="00B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Stack</a:t>
          </a:r>
        </a:p>
        <a:p>
          <a:pPr algn="ctr"/>
          <a:r>
            <a:rPr lang="en-US" sz="1100"/>
            <a:t>Builder</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dropbox.com/var/containers/Bundle/Application/F2CB707E-63D7-4075-9C13-3B68D9B0731E/Excel.app/C:/Users/cgall/Downloads/Player%20Pool%20Tool%20(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cgall\Downloads\Player%20Pool%20Tool%2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cgalligan\Downloads\DRS-FANDUEL-MLB-CHEAT-SHEET%205-25%20lineups%20builder.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en%20Jammin\Dropbox\DailyRotoSharks%20MLB%20Dropbox\DRSFD94toddfather%20expres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ww.dropbox.com/var/containers/Bundle/Application/F2CB707E-63D7-4075-9C13-3B68D9B0731E/Excel.app/C:/Users/Ben%20Jammin/Desktop/DailyRotoSharks/pitching%204-2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Ben%20Jammin\Desktop\DailyRotoSharks\pitching%204-2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www.dropbox.com/var/containers/Bundle/Application/F2CB707E-63D7-4075-9C13-3B68D9B0731E/Excel.app/C:/Users/Ben%20Jammin/Dropbox/DailyRotoSharks%20MLB%20Dropbox/DRSFD718.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Ben%20Jammin\Dropbox\DailyRotoSharks%20MLB%20Dropbox\DRSFD718.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www.dropbox.com/var/containers/Bundle/Application/F2CB707E-63D7-4075-9C13-3B68D9B0731E/Excel.app/C:/Users/Ben%20Jammin/Downloads/DRS-FANDUEL-MLB-CHEAT-SHEET%205-25%20lineups%20builder.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Ben%20Jammin\Downloads\DRS-FANDUEL-MLB-CHEAT-SHEET%205-25%20lineups%20builder.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RSFDNFLWeek4-92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1)%20DFS\NFL\(1)%20DRS%20NFL%202016\(1)%20DRS%20NFL%20Cheat%20Sheets\Fanduel\DRSFDNFLWeek2-914update.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Ben%20Jammin\Desktop\DRSFDNFLWeek3-922-YTD.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Ben%20Jammin\Downloads\DRSFDNFLWeek2-914update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yer Pool Tool (3)"/>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s Batters"/>
      <sheetName val="Todays Pitcher"/>
      <sheetName val="Batters Pool"/>
      <sheetName val="Pitchers Pool"/>
      <sheetName val="Batters 2yr"/>
      <sheetName val="Pitchers 2yr"/>
      <sheetName val="Pitchers vs R-L"/>
      <sheetName val="Pitching H-A"/>
      <sheetName val="Teams"/>
      <sheetName val="Probables"/>
      <sheetName val="StatCorner"/>
      <sheetName val="5-7 BvP"/>
      <sheetName val="Live"/>
      <sheetName val="Player Pool Tool (3)"/>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heet Info"/>
      <sheetName val="Previous Day"/>
      <sheetName val="Yesterday Batter Results"/>
      <sheetName val="BAT Yesterday (RESULTS)"/>
      <sheetName val="BAT Yesterday (DATA)"/>
      <sheetName val="Batter Feed Main"/>
      <sheetName val="Yesterday (SP) Results"/>
      <sheetName val="SP Yesterday DATA"/>
      <sheetName val="SP Yesterday RESULTS"/>
      <sheetName val="Today Batter MATCHUPS"/>
      <sheetName val="Compare Batters"/>
      <sheetName val="TODAY"/>
      <sheetName val="Batter Feed"/>
      <sheetName val="Today (SP) Matchups"/>
      <sheetName val="SP TODAY"/>
      <sheetName val="SP 2 Year"/>
      <sheetName val="SP 2 Year DATA"/>
      <sheetName val="SP 2 Year SPLITS"/>
      <sheetName val="SP 2 Year Split DATA"/>
      <sheetName val="Team Stats 2016"/>
      <sheetName val="Lineup Builder"/>
      <sheetName val="DRS PROJECTIONS"/>
      <sheetName val="TEAM2016"/>
      <sheetName val="TEAM14day"/>
      <sheetName val="SP14day"/>
      <sheetName val="BATvsL"/>
      <sheetName val="BATvsR"/>
      <sheetName val="DRS-FANDUEL-MLB-CHEAT-SHEET 5-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ow r="19">
          <cell r="B19" t="str">
            <v>Aaron Nola</v>
          </cell>
          <cell r="C19">
            <v>8900</v>
          </cell>
          <cell r="D19" t="str">
            <v>PHI</v>
          </cell>
          <cell r="E19" t="str">
            <v>@DET</v>
          </cell>
          <cell r="F19" t="str">
            <v>R</v>
          </cell>
          <cell r="G19">
            <v>0.26718916486824423</v>
          </cell>
          <cell r="H19">
            <v>0.13187250556552882</v>
          </cell>
          <cell r="I19">
            <v>0.19953083521688653</v>
          </cell>
          <cell r="J19">
            <v>0.77700000000000002</v>
          </cell>
          <cell r="K19">
            <v>0.217</v>
          </cell>
          <cell r="L19">
            <v>0.32600000000000001</v>
          </cell>
          <cell r="M19">
            <v>0.753</v>
          </cell>
          <cell r="N19">
            <v>0.27200000000000002</v>
          </cell>
          <cell r="O19">
            <v>0.214</v>
          </cell>
          <cell r="P19">
            <v>0.2445</v>
          </cell>
          <cell r="Q19">
            <v>0.15565777516951981</v>
          </cell>
          <cell r="R19">
            <v>8.8842224830480182E-2</v>
          </cell>
        </row>
        <row r="20">
          <cell r="B20" t="str">
            <v>Tanner Roark</v>
          </cell>
          <cell r="C20">
            <v>8300</v>
          </cell>
          <cell r="D20" t="str">
            <v>WAS</v>
          </cell>
          <cell r="E20" t="str">
            <v>NYM</v>
          </cell>
          <cell r="F20" t="str">
            <v>R</v>
          </cell>
          <cell r="G20">
            <v>0.31713996457059568</v>
          </cell>
          <cell r="H20">
            <v>0.14553506758067647</v>
          </cell>
          <cell r="I20">
            <v>0.23133751607563607</v>
          </cell>
          <cell r="J20">
            <v>0.75</v>
          </cell>
          <cell r="K20">
            <v>0.26400000000000001</v>
          </cell>
          <cell r="L20">
            <v>0.30299999999999999</v>
          </cell>
          <cell r="M20">
            <v>0.80600000000000005</v>
          </cell>
          <cell r="N20">
            <v>0.224</v>
          </cell>
          <cell r="O20">
            <v>0.23400000000000001</v>
          </cell>
          <cell r="P20">
            <v>0.24399999999999999</v>
          </cell>
          <cell r="Q20">
            <v>0.15996670768876944</v>
          </cell>
          <cell r="R20">
            <v>8.4033292311230551E-2</v>
          </cell>
        </row>
        <row r="21">
          <cell r="B21" t="str">
            <v>Corey Kluber</v>
          </cell>
          <cell r="C21">
            <v>9200</v>
          </cell>
          <cell r="D21" t="str">
            <v>CLE</v>
          </cell>
          <cell r="E21" t="str">
            <v>@CHW</v>
          </cell>
          <cell r="F21" t="str">
            <v>R</v>
          </cell>
          <cell r="G21">
            <v>0.27204092679512171</v>
          </cell>
          <cell r="H21">
            <v>0.13228126109357508</v>
          </cell>
          <cell r="I21">
            <v>0.20216109394434839</v>
          </cell>
          <cell r="J21">
            <v>0.76800000000000002</v>
          </cell>
          <cell r="K21">
            <v>0.222</v>
          </cell>
          <cell r="L21">
            <v>0.27500000000000002</v>
          </cell>
          <cell r="M21">
            <v>0.74</v>
          </cell>
          <cell r="N21">
            <v>0.24199999999999999</v>
          </cell>
          <cell r="O21">
            <v>0.29699999999999999</v>
          </cell>
          <cell r="P21">
            <v>0.23199999999999998</v>
          </cell>
          <cell r="Q21">
            <v>0.16303535762269455</v>
          </cell>
          <cell r="R21">
            <v>6.896464237730543E-2</v>
          </cell>
        </row>
        <row r="22">
          <cell r="B22" t="str">
            <v>Mike Foltynewicz</v>
          </cell>
          <cell r="C22">
            <v>6300</v>
          </cell>
          <cell r="D22" t="str">
            <v>ATL</v>
          </cell>
          <cell r="E22" t="str">
            <v>MIL</v>
          </cell>
          <cell r="F22" t="str">
            <v>R</v>
          </cell>
          <cell r="G22">
            <v>0.3828169282719821</v>
          </cell>
          <cell r="H22">
            <v>0.22842039532030226</v>
          </cell>
          <cell r="I22">
            <v>0.30561866179614217</v>
          </cell>
          <cell r="J22">
            <v>0.72899999999999998</v>
          </cell>
          <cell r="K22">
            <v>0.26800000000000002</v>
          </cell>
          <cell r="L22">
            <v>0.34100000000000003</v>
          </cell>
          <cell r="M22">
            <v>0.83099999999999996</v>
          </cell>
          <cell r="N22">
            <v>0.183</v>
          </cell>
          <cell r="O22">
            <v>0.28799999999999998</v>
          </cell>
          <cell r="P22">
            <v>0.22550000000000001</v>
          </cell>
          <cell r="Q22">
            <v>0.19557902304496222</v>
          </cell>
          <cell r="R22">
            <v>2.9920976955037787E-2</v>
          </cell>
        </row>
        <row r="23">
          <cell r="B23" t="str">
            <v>Steven Matz</v>
          </cell>
          <cell r="C23">
            <v>9900</v>
          </cell>
          <cell r="D23" t="str">
            <v>NYM</v>
          </cell>
          <cell r="E23" t="str">
            <v>@WAS</v>
          </cell>
          <cell r="F23" t="str">
            <v>L</v>
          </cell>
          <cell r="G23">
            <v>0.26776380035671976</v>
          </cell>
          <cell r="H23">
            <v>9.2976225115036559E-2</v>
          </cell>
          <cell r="I23">
            <v>0.18037001273587816</v>
          </cell>
          <cell r="J23">
            <v>0.81699999999999995</v>
          </cell>
          <cell r="K23">
            <v>0.17699999999999999</v>
          </cell>
          <cell r="L23">
            <v>0.34399999999999997</v>
          </cell>
          <cell r="M23">
            <v>0.81100000000000005</v>
          </cell>
          <cell r="N23">
            <v>0.25900000000000001</v>
          </cell>
          <cell r="O23">
            <v>0.23899999999999999</v>
          </cell>
          <cell r="P23">
            <v>0.218</v>
          </cell>
          <cell r="Q23">
            <v>0.17571328623750282</v>
          </cell>
          <cell r="R23">
            <v>4.228671376249718E-2</v>
          </cell>
        </row>
        <row r="24">
          <cell r="B24" t="str">
            <v>Scott Kazmir</v>
          </cell>
          <cell r="C24">
            <v>8600</v>
          </cell>
          <cell r="D24" t="str">
            <v>LAD</v>
          </cell>
          <cell r="E24" t="str">
            <v>CIN</v>
          </cell>
          <cell r="F24" t="str">
            <v>L</v>
          </cell>
          <cell r="G24">
            <v>0.30499880192487727</v>
          </cell>
          <cell r="H24">
            <v>0.15324616655547332</v>
          </cell>
          <cell r="I24">
            <v>0.22912248424017528</v>
          </cell>
          <cell r="J24">
            <v>0.79</v>
          </cell>
          <cell r="K24">
            <v>0.223</v>
          </cell>
          <cell r="L24">
            <v>0.27600000000000002</v>
          </cell>
          <cell r="M24">
            <v>0.78200000000000003</v>
          </cell>
          <cell r="N24">
            <v>0.21099999999999999</v>
          </cell>
          <cell r="O24">
            <v>0.219</v>
          </cell>
          <cell r="P24">
            <v>0.217</v>
          </cell>
          <cell r="Q24">
            <v>0.14859260494981447</v>
          </cell>
          <cell r="R24">
            <v>6.8407395050185532E-2</v>
          </cell>
        </row>
        <row r="25">
          <cell r="B25" t="str">
            <v>Jeff Locke</v>
          </cell>
          <cell r="C25">
            <v>7000</v>
          </cell>
          <cell r="D25" t="str">
            <v>PIT</v>
          </cell>
          <cell r="E25" t="str">
            <v>ARI</v>
          </cell>
          <cell r="F25" t="str">
            <v>L</v>
          </cell>
          <cell r="G25">
            <v>0.33320560170727492</v>
          </cell>
          <cell r="H25">
            <v>0.13742378671675781</v>
          </cell>
          <cell r="I25">
            <v>0.23531469421201637</v>
          </cell>
          <cell r="P25" t="e">
            <v>#DIV/0!</v>
          </cell>
          <cell r="Q25" t="e">
            <v>#DIV/0!</v>
          </cell>
          <cell r="R25" t="e">
            <v>#DIV/0!</v>
          </cell>
        </row>
        <row r="26">
          <cell r="B26" t="str">
            <v>Jake Arrieta</v>
          </cell>
          <cell r="C26">
            <v>12300</v>
          </cell>
          <cell r="D26" t="str">
            <v>CHC</v>
          </cell>
          <cell r="E26" t="str">
            <v>@STL</v>
          </cell>
          <cell r="F26" t="str">
            <v>R</v>
          </cell>
          <cell r="G26">
            <v>0.22302000879673897</v>
          </cell>
          <cell r="H26">
            <v>8.5170771087709485E-2</v>
          </cell>
          <cell r="I26">
            <v>0.15409538994222421</v>
          </cell>
          <cell r="J26">
            <v>0.80700000000000005</v>
          </cell>
          <cell r="K26">
            <v>0.16200000000000001</v>
          </cell>
          <cell r="L26">
            <v>0.31900000000000001</v>
          </cell>
          <cell r="M26">
            <v>0.77600000000000002</v>
          </cell>
          <cell r="N26">
            <v>0.26700000000000002</v>
          </cell>
          <cell r="O26">
            <v>0.23699999999999999</v>
          </cell>
          <cell r="P26">
            <v>0.21450000000000002</v>
          </cell>
          <cell r="Q26">
            <v>0.16097083946797947</v>
          </cell>
          <cell r="R26">
            <v>5.3529160532020559E-2</v>
          </cell>
        </row>
        <row r="27">
          <cell r="B27" t="str">
            <v>Hector Santiago</v>
          </cell>
          <cell r="C27">
            <v>7900</v>
          </cell>
          <cell r="D27" t="str">
            <v>LAA</v>
          </cell>
          <cell r="E27" t="str">
            <v>@TEX</v>
          </cell>
          <cell r="F27" t="str">
            <v>L</v>
          </cell>
          <cell r="G27">
            <v>0.30165231844579216</v>
          </cell>
          <cell r="H27">
            <v>0.16921871348537587</v>
          </cell>
          <cell r="I27">
            <v>0.23543551596558401</v>
          </cell>
          <cell r="P27" t="e">
            <v>#DIV/0!</v>
          </cell>
          <cell r="Q27" t="e">
            <v>#DIV/0!</v>
          </cell>
          <cell r="R27" t="e">
            <v>#DIV/0!</v>
          </cell>
        </row>
        <row r="28">
          <cell r="B28" t="str">
            <v>Junior Guerra</v>
          </cell>
          <cell r="C28">
            <v>7200</v>
          </cell>
          <cell r="D28" t="str">
            <v>MIL</v>
          </cell>
          <cell r="E28" t="str">
            <v>@ATL</v>
          </cell>
          <cell r="F28" t="str">
            <v>R</v>
          </cell>
          <cell r="G28">
            <v>0.3192258679137584</v>
          </cell>
          <cell r="H28">
            <v>0.14932812500000001</v>
          </cell>
          <cell r="I28">
            <v>0.23427699645687922</v>
          </cell>
          <cell r="J28">
            <v>0.78300000000000003</v>
          </cell>
          <cell r="K28">
            <v>0.17299999999999999</v>
          </cell>
          <cell r="L28">
            <v>0.249</v>
          </cell>
          <cell r="M28">
            <v>0.74199999999999999</v>
          </cell>
          <cell r="N28">
            <v>0.247</v>
          </cell>
          <cell r="O28">
            <v>0.35399999999999998</v>
          </cell>
          <cell r="P28">
            <v>0.21</v>
          </cell>
          <cell r="Q28">
            <v>0.17680733814391639</v>
          </cell>
          <cell r="R28">
            <v>3.3192661856083605E-2</v>
          </cell>
        </row>
        <row r="29">
          <cell r="B29" t="str">
            <v>Marco Estrada</v>
          </cell>
          <cell r="C29">
            <v>8400</v>
          </cell>
          <cell r="D29" t="str">
            <v>TOR</v>
          </cell>
          <cell r="E29" t="str">
            <v>@NYY</v>
          </cell>
          <cell r="F29" t="str">
            <v>R</v>
          </cell>
          <cell r="G29">
            <v>0.2735783935059703</v>
          </cell>
          <cell r="H29">
            <v>0.15579036686661421</v>
          </cell>
          <cell r="I29">
            <v>0.21468438018629227</v>
          </cell>
          <cell r="J29">
            <v>0.81100000000000005</v>
          </cell>
          <cell r="K29">
            <v>0.17699999999999999</v>
          </cell>
          <cell r="L29">
            <v>0.24099999999999999</v>
          </cell>
          <cell r="M29">
            <v>0.76200000000000001</v>
          </cell>
          <cell r="N29">
            <v>0.24199999999999999</v>
          </cell>
          <cell r="O29">
            <v>0.32600000000000001</v>
          </cell>
          <cell r="P29">
            <v>0.20949999999999999</v>
          </cell>
          <cell r="Q29">
            <v>0.1689361739276046</v>
          </cell>
          <cell r="R29">
            <v>4.0563826072395393E-2</v>
          </cell>
        </row>
        <row r="30">
          <cell r="B30" t="str">
            <v>Rubby De La Rosa</v>
          </cell>
          <cell r="C30">
            <v>6700</v>
          </cell>
          <cell r="D30" t="str">
            <v>ARI</v>
          </cell>
          <cell r="E30" t="str">
            <v>@PIT</v>
          </cell>
          <cell r="F30" t="str">
            <v>R</v>
          </cell>
          <cell r="G30">
            <v>0.29729265027168944</v>
          </cell>
          <cell r="H30">
            <v>0.16244775189502392</v>
          </cell>
          <cell r="I30">
            <v>0.22987020108335668</v>
          </cell>
          <cell r="P30" t="e">
            <v>#DIV/0!</v>
          </cell>
          <cell r="Q30" t="e">
            <v>#DIV/0!</v>
          </cell>
          <cell r="R30" t="e">
            <v>#DIV/0!</v>
          </cell>
        </row>
        <row r="31">
          <cell r="B31" t="str">
            <v>Jose Quintana</v>
          </cell>
          <cell r="C31">
            <v>9300</v>
          </cell>
          <cell r="D31" t="str">
            <v>CHW</v>
          </cell>
          <cell r="E31" t="str">
            <v>CLE</v>
          </cell>
          <cell r="F31" t="str">
            <v>L</v>
          </cell>
          <cell r="G31">
            <v>0.30211978434787179</v>
          </cell>
          <cell r="H31">
            <v>0.12476073486777116</v>
          </cell>
          <cell r="I31">
            <v>0.21344025960782148</v>
          </cell>
          <cell r="J31">
            <v>0.80700000000000005</v>
          </cell>
          <cell r="K31">
            <v>0.19</v>
          </cell>
          <cell r="L31">
            <v>0.29899999999999999</v>
          </cell>
          <cell r="M31">
            <v>0.81899999999999995</v>
          </cell>
          <cell r="N31">
            <v>0.22800000000000001</v>
          </cell>
          <cell r="O31">
            <v>0.315</v>
          </cell>
          <cell r="P31">
            <v>0.20900000000000002</v>
          </cell>
          <cell r="Q31">
            <v>0.18823605323320039</v>
          </cell>
          <cell r="R31">
            <v>2.0763946766799629E-2</v>
          </cell>
        </row>
        <row r="32">
          <cell r="B32" t="str">
            <v>Jake Peavy</v>
          </cell>
          <cell r="C32">
            <v>5900</v>
          </cell>
          <cell r="D32" t="str">
            <v>SF</v>
          </cell>
          <cell r="E32" t="str">
            <v>SD</v>
          </cell>
          <cell r="F32" t="str">
            <v>R</v>
          </cell>
          <cell r="G32">
            <v>0.33915396528552516</v>
          </cell>
          <cell r="H32">
            <v>0.19724361843588997</v>
          </cell>
          <cell r="I32">
            <v>0.26819879186070755</v>
          </cell>
          <cell r="J32">
            <v>0.78</v>
          </cell>
          <cell r="K32">
            <v>0.23200000000000001</v>
          </cell>
          <cell r="L32">
            <v>0.33400000000000002</v>
          </cell>
          <cell r="M32">
            <v>0.76200000000000001</v>
          </cell>
          <cell r="N32">
            <v>0.17899999999999999</v>
          </cell>
          <cell r="O32">
            <v>0.38100000000000001</v>
          </cell>
          <cell r="P32">
            <v>0.20550000000000002</v>
          </cell>
          <cell r="Q32">
            <v>0.21571535603006767</v>
          </cell>
          <cell r="R32">
            <v>-1.0215356030067652E-2</v>
          </cell>
        </row>
        <row r="33">
          <cell r="B33" t="str">
            <v>Anibal Sanchez</v>
          </cell>
          <cell r="C33">
            <v>6800</v>
          </cell>
          <cell r="D33" t="str">
            <v>DET</v>
          </cell>
          <cell r="E33" t="str">
            <v>PHI</v>
          </cell>
          <cell r="F33" t="str">
            <v>R</v>
          </cell>
          <cell r="G33">
            <v>0.34327640720147817</v>
          </cell>
          <cell r="H33">
            <v>0.21151630661034332</v>
          </cell>
          <cell r="I33">
            <v>0.27739635690591075</v>
          </cell>
          <cell r="J33">
            <v>0.79</v>
          </cell>
          <cell r="K33">
            <v>0.19600000000000001</v>
          </cell>
          <cell r="L33">
            <v>0.26600000000000001</v>
          </cell>
          <cell r="M33">
            <v>0.80300000000000005</v>
          </cell>
          <cell r="N33">
            <v>0.2</v>
          </cell>
          <cell r="O33">
            <v>0.28499999999999998</v>
          </cell>
          <cell r="P33">
            <v>0.19800000000000001</v>
          </cell>
          <cell r="Q33">
            <v>0.17176473210919282</v>
          </cell>
          <cell r="R33">
            <v>2.6235267890807185E-2</v>
          </cell>
        </row>
        <row r="34">
          <cell r="B34" t="str">
            <v>Chad Bettis</v>
          </cell>
          <cell r="C34">
            <v>6200</v>
          </cell>
          <cell r="D34" t="str">
            <v>COL</v>
          </cell>
          <cell r="E34" t="str">
            <v>@BOS</v>
          </cell>
          <cell r="F34" t="str">
            <v>R</v>
          </cell>
          <cell r="G34">
            <v>0.32410800574933257</v>
          </cell>
          <cell r="H34">
            <v>0.15741333753594744</v>
          </cell>
          <cell r="I34">
            <v>0.24076067164264001</v>
          </cell>
          <cell r="P34" t="e">
            <v>#DIV/0!</v>
          </cell>
          <cell r="Q34" t="e">
            <v>#DIV/0!</v>
          </cell>
          <cell r="R34" t="e">
            <v>#DIV/0!</v>
          </cell>
        </row>
        <row r="35">
          <cell r="B35" t="str">
            <v>Dillon Gee</v>
          </cell>
          <cell r="C35">
            <v>6900</v>
          </cell>
          <cell r="D35" t="str">
            <v>KC</v>
          </cell>
          <cell r="E35" t="str">
            <v>@MIN</v>
          </cell>
          <cell r="F35" t="str">
            <v>R</v>
          </cell>
          <cell r="G35">
            <v>0.33594861341714766</v>
          </cell>
          <cell r="H35">
            <v>0.15171414364942082</v>
          </cell>
          <cell r="I35">
            <v>0.24383137853328424</v>
          </cell>
          <cell r="J35">
            <v>0.753</v>
          </cell>
          <cell r="K35">
            <v>0.25600000000000001</v>
          </cell>
          <cell r="L35">
            <v>0.33100000000000002</v>
          </cell>
          <cell r="M35">
            <v>0.77900000000000003</v>
          </cell>
          <cell r="N35">
            <v>0.19700000000000001</v>
          </cell>
          <cell r="O35">
            <v>0.29399999999999998</v>
          </cell>
          <cell r="P35">
            <v>0.22650000000000001</v>
          </cell>
          <cell r="Q35">
            <v>0.18498243526388378</v>
          </cell>
          <cell r="R35">
            <v>4.151756473611623E-2</v>
          </cell>
        </row>
        <row r="36">
          <cell r="B36" t="str">
            <v>Dan Straily</v>
          </cell>
          <cell r="C36">
            <v>6700</v>
          </cell>
          <cell r="D36" t="str">
            <v>CIN</v>
          </cell>
          <cell r="E36" t="str">
            <v>@LAD</v>
          </cell>
          <cell r="F36" t="str">
            <v>R</v>
          </cell>
          <cell r="G36">
            <v>0.29422512457983058</v>
          </cell>
          <cell r="H36">
            <v>0.13211212858349081</v>
          </cell>
          <cell r="I36">
            <v>0.21316862658166069</v>
          </cell>
          <cell r="P36" t="e">
            <v>#DIV/0!</v>
          </cell>
          <cell r="Q36" t="e">
            <v>#DIV/0!</v>
          </cell>
          <cell r="R36" t="e">
            <v>#DIV/0!</v>
          </cell>
        </row>
        <row r="37">
          <cell r="B37" t="str">
            <v>Steven Wright</v>
          </cell>
          <cell r="C37">
            <v>9500</v>
          </cell>
          <cell r="D37" t="str">
            <v>BOS</v>
          </cell>
          <cell r="E37" t="str">
            <v>COL</v>
          </cell>
          <cell r="F37" t="str">
            <v>R</v>
          </cell>
          <cell r="G37">
            <v>0.28990962530183434</v>
          </cell>
          <cell r="H37">
            <v>0.13955426085649522</v>
          </cell>
          <cell r="I37">
            <v>0.21473194307916477</v>
          </cell>
          <cell r="J37">
            <v>0.83</v>
          </cell>
          <cell r="K37">
            <v>0.17100000000000001</v>
          </cell>
          <cell r="L37">
            <v>0.29099999999999998</v>
          </cell>
          <cell r="M37">
            <v>0.74199999999999999</v>
          </cell>
          <cell r="N37">
            <v>0.218</v>
          </cell>
          <cell r="O37">
            <v>0.27900000000000003</v>
          </cell>
          <cell r="P37">
            <v>0.19450000000000001</v>
          </cell>
          <cell r="Q37">
            <v>0.16973953459252064</v>
          </cell>
          <cell r="R37">
            <v>2.4760465407479365E-2</v>
          </cell>
        </row>
        <row r="38">
          <cell r="B38" t="str">
            <v>Colby Lewis</v>
          </cell>
          <cell r="C38">
            <v>7400</v>
          </cell>
          <cell r="D38" t="str">
            <v>TEX</v>
          </cell>
          <cell r="E38" t="str">
            <v>LAA</v>
          </cell>
          <cell r="F38" t="str">
            <v>R</v>
          </cell>
          <cell r="G38">
            <v>0.30691631388514384</v>
          </cell>
          <cell r="H38">
            <v>0.16012158974650026</v>
          </cell>
          <cell r="I38">
            <v>0.23351895181582205</v>
          </cell>
          <cell r="J38">
            <v>0.79</v>
          </cell>
          <cell r="K38">
            <v>0.188</v>
          </cell>
          <cell r="L38">
            <v>0.34100000000000003</v>
          </cell>
          <cell r="M38">
            <v>0.81100000000000005</v>
          </cell>
          <cell r="N38">
            <v>0.19</v>
          </cell>
          <cell r="O38">
            <v>0.36599999999999999</v>
          </cell>
          <cell r="P38">
            <v>0.189</v>
          </cell>
          <cell r="Q38">
            <v>0.21616748315563106</v>
          </cell>
          <cell r="R38">
            <v>-2.7167483155631056E-2</v>
          </cell>
        </row>
        <row r="39">
          <cell r="B39" t="str">
            <v>James Shields</v>
          </cell>
          <cell r="C39">
            <v>8100</v>
          </cell>
          <cell r="D39" t="str">
            <v>SD</v>
          </cell>
          <cell r="E39" t="str">
            <v>@SF</v>
          </cell>
          <cell r="F39" t="str">
            <v>R</v>
          </cell>
          <cell r="G39">
            <v>0.34110565622936301</v>
          </cell>
          <cell r="H39">
            <v>0.19888893774938737</v>
          </cell>
          <cell r="I39">
            <v>0.26999729698937519</v>
          </cell>
          <cell r="J39">
            <v>0.82499999999999996</v>
          </cell>
          <cell r="K39">
            <v>0.16900000000000001</v>
          </cell>
          <cell r="L39">
            <v>0.33400000000000002</v>
          </cell>
          <cell r="M39">
            <v>0.74299999999999999</v>
          </cell>
          <cell r="N39">
            <v>0.20799999999999999</v>
          </cell>
          <cell r="O39">
            <v>0.311</v>
          </cell>
          <cell r="P39">
            <v>0.1885</v>
          </cell>
          <cell r="Q39">
            <v>0.19758470942635784</v>
          </cell>
          <cell r="R39">
            <v>-9.0847094263578343E-3</v>
          </cell>
        </row>
        <row r="40">
          <cell r="B40" t="str">
            <v>Tyler Duffey</v>
          </cell>
          <cell r="C40">
            <v>6000</v>
          </cell>
          <cell r="D40" t="str">
            <v>MIN</v>
          </cell>
          <cell r="E40" t="str">
            <v>KC</v>
          </cell>
          <cell r="F40" t="str">
            <v>R</v>
          </cell>
          <cell r="G40">
            <v>0.29765963787160843</v>
          </cell>
          <cell r="H40">
            <v>0.1628311488728772</v>
          </cell>
          <cell r="I40">
            <v>0.23024539337224281</v>
          </cell>
          <cell r="J40">
            <v>0.78700000000000003</v>
          </cell>
          <cell r="K40">
            <v>0.17899999999999999</v>
          </cell>
          <cell r="L40">
            <v>0.28100000000000003</v>
          </cell>
          <cell r="M40">
            <v>0.81200000000000006</v>
          </cell>
          <cell r="N40">
            <v>0.19500000000000001</v>
          </cell>
          <cell r="O40">
            <v>0.30499999999999999</v>
          </cell>
          <cell r="P40">
            <v>0.187</v>
          </cell>
          <cell r="Q40">
            <v>0.1786563000860224</v>
          </cell>
          <cell r="R40">
            <v>8.343699913977598E-3</v>
          </cell>
        </row>
        <row r="41">
          <cell r="B41" t="str">
            <v>Collin McHugh</v>
          </cell>
          <cell r="C41">
            <v>7600</v>
          </cell>
          <cell r="D41" t="str">
            <v>HOU</v>
          </cell>
          <cell r="E41" t="str">
            <v>BAL</v>
          </cell>
          <cell r="F41" t="str">
            <v>R</v>
          </cell>
          <cell r="G41">
            <v>0.3227209318220815</v>
          </cell>
          <cell r="H41">
            <v>0.13880318498313649</v>
          </cell>
          <cell r="I41">
            <v>0.23076205840260899</v>
          </cell>
          <cell r="J41">
            <v>0.78300000000000003</v>
          </cell>
          <cell r="K41">
            <v>0.191</v>
          </cell>
          <cell r="L41">
            <v>0.34799999999999998</v>
          </cell>
          <cell r="M41">
            <v>0.8</v>
          </cell>
          <cell r="N41">
            <v>0.17899999999999999</v>
          </cell>
          <cell r="O41">
            <v>0.255</v>
          </cell>
          <cell r="P41">
            <v>0.185</v>
          </cell>
          <cell r="Q41">
            <v>0.18228308686946221</v>
          </cell>
          <cell r="R41">
            <v>2.7169131305377903E-3</v>
          </cell>
        </row>
        <row r="42">
          <cell r="B42" t="str">
            <v>Hisashi Iwakuma</v>
          </cell>
          <cell r="C42">
            <v>8600</v>
          </cell>
          <cell r="D42" t="str">
            <v>SEA</v>
          </cell>
          <cell r="E42" t="str">
            <v>OAK</v>
          </cell>
          <cell r="F42" t="str">
            <v>R</v>
          </cell>
          <cell r="G42">
            <v>0.30669664681956571</v>
          </cell>
          <cell r="H42">
            <v>0.16372352635614731</v>
          </cell>
          <cell r="I42">
            <v>0.23521008658785653</v>
          </cell>
          <cell r="J42">
            <v>0.81100000000000005</v>
          </cell>
          <cell r="K42">
            <v>0.183</v>
          </cell>
          <cell r="L42">
            <v>0.27600000000000002</v>
          </cell>
          <cell r="M42">
            <v>0.82</v>
          </cell>
          <cell r="N42">
            <v>0.184</v>
          </cell>
          <cell r="O42">
            <v>0.26900000000000002</v>
          </cell>
          <cell r="P42">
            <v>0.1835</v>
          </cell>
          <cell r="Q42">
            <v>0.16951408286506364</v>
          </cell>
          <cell r="R42">
            <v>1.3985917134936354E-2</v>
          </cell>
        </row>
        <row r="43">
          <cell r="B43" t="str">
            <v>Carlos Martinez</v>
          </cell>
          <cell r="C43">
            <v>8500</v>
          </cell>
          <cell r="D43" t="str">
            <v>STL</v>
          </cell>
          <cell r="E43" t="str">
            <v>CHC</v>
          </cell>
          <cell r="F43" t="str">
            <v>R</v>
          </cell>
          <cell r="G43">
            <v>0.31812431591697338</v>
          </cell>
          <cell r="H43">
            <v>0.14164094367842719</v>
          </cell>
          <cell r="I43">
            <v>0.2298826297977003</v>
          </cell>
          <cell r="J43">
            <v>0.79200000000000004</v>
          </cell>
          <cell r="K43">
            <v>0.186</v>
          </cell>
          <cell r="L43">
            <v>0.34</v>
          </cell>
          <cell r="M43">
            <v>0.82499999999999996</v>
          </cell>
          <cell r="N43">
            <v>0.17899999999999999</v>
          </cell>
          <cell r="O43">
            <v>0.32600000000000001</v>
          </cell>
          <cell r="P43">
            <v>0.1825</v>
          </cell>
          <cell r="Q43">
            <v>0.20500397190754474</v>
          </cell>
          <cell r="R43">
            <v>-2.2503971907544745E-2</v>
          </cell>
        </row>
        <row r="44">
          <cell r="B44" t="str">
            <v>Matthew Andriese</v>
          </cell>
          <cell r="C44">
            <v>7600</v>
          </cell>
          <cell r="D44" t="str">
            <v>TB</v>
          </cell>
          <cell r="E44" t="str">
            <v>MIA</v>
          </cell>
          <cell r="F44" t="str">
            <v>R</v>
          </cell>
          <cell r="G44">
            <v>0.29611950964179251</v>
          </cell>
          <cell r="H44">
            <v>0.12153283391679211</v>
          </cell>
          <cell r="I44">
            <v>0.2088261717792923</v>
          </cell>
          <cell r="J44">
            <v>0.78100000000000003</v>
          </cell>
          <cell r="K44">
            <v>0.19800000000000001</v>
          </cell>
          <cell r="L44">
            <v>0.33900000000000002</v>
          </cell>
          <cell r="M44" t="str">
            <v/>
          </cell>
          <cell r="N44" t="str">
            <v/>
          </cell>
          <cell r="O44" t="str">
            <v/>
          </cell>
          <cell r="P44">
            <v>0.19800000000000001</v>
          </cell>
          <cell r="Q44">
            <v>0.16777553611659007</v>
          </cell>
          <cell r="R44">
            <v>3.0224463883409936E-2</v>
          </cell>
        </row>
        <row r="45">
          <cell r="B45" t="str">
            <v>Ivan Nova</v>
          </cell>
          <cell r="C45">
            <v>6800</v>
          </cell>
          <cell r="D45" t="str">
            <v>NYY</v>
          </cell>
          <cell r="E45" t="str">
            <v>TOR</v>
          </cell>
          <cell r="F45" t="str">
            <v>R</v>
          </cell>
          <cell r="G45">
            <v>0.3137938582373066</v>
          </cell>
          <cell r="H45">
            <v>0.16922512932148162</v>
          </cell>
          <cell r="I45">
            <v>0.24150949377939412</v>
          </cell>
          <cell r="J45">
            <v>0.79200000000000004</v>
          </cell>
          <cell r="K45">
            <v>0.20200000000000001</v>
          </cell>
          <cell r="L45">
            <v>0.35699999999999998</v>
          </cell>
          <cell r="M45">
            <v>0.83599999999999997</v>
          </cell>
          <cell r="N45">
            <v>0.123</v>
          </cell>
          <cell r="O45">
            <v>0.28399999999999997</v>
          </cell>
          <cell r="P45">
            <v>0.16250000000000001</v>
          </cell>
          <cell r="Q45">
            <v>0.19972593091876528</v>
          </cell>
          <cell r="R45">
            <v>-3.7225930918765276E-2</v>
          </cell>
        </row>
      </sheetData>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heet Info"/>
      <sheetName val="Previous Day"/>
      <sheetName val="Batter Feed Main"/>
      <sheetName val="Yesterday Batter Results"/>
      <sheetName val="BAT Yesterday (FD RESULTS)"/>
      <sheetName val="BAT Yesterday (DATA)"/>
      <sheetName val="Yesterday (SP) Results"/>
      <sheetName val="SP Yesterday RESULTS"/>
      <sheetName val="SP Yesterday DATA"/>
      <sheetName val="BVP"/>
      <sheetName val="Pitch vs Left"/>
      <sheetName val="Pitch vs Right"/>
      <sheetName val="Compare Batters"/>
      <sheetName val="Today Batter MATCHUPS"/>
      <sheetName val="Hard Contact"/>
      <sheetName val="Bat vs Left"/>
      <sheetName val="Bat vs Right"/>
      <sheetName val="Sheet1"/>
      <sheetName val="Previous Team 14"/>
      <sheetName val="Previous SP 30"/>
      <sheetName val="BAT TODAY"/>
      <sheetName val="Today (SP) Matchups"/>
      <sheetName val="BVGB"/>
      <sheetName val="BVAVG"/>
      <sheetName val="BVFB"/>
      <sheetName val="Pitch GB"/>
      <sheetName val="SP TODAY"/>
      <sheetName val="Parks"/>
      <sheetName val="Lineup Builder"/>
      <sheetName val="SP 2 Year"/>
      <sheetName val="Team Names"/>
      <sheetName val="SP 2 Year DATA"/>
      <sheetName val="SP 2 Year SPLITS"/>
      <sheetName val="SP 2 Year Split DATA"/>
      <sheetName val="Team Stats 2016"/>
      <sheetName val="DRS PROJECTIONS"/>
      <sheetName val="TEAM2016"/>
      <sheetName val="SP14day"/>
      <sheetName val="SPtoday30daybbm"/>
      <sheetName val="SP30day"/>
      <sheetName val="TEAM14day"/>
      <sheetName val="SP2016season"/>
      <sheetName val="SP2015season"/>
      <sheetName val="BATvsL"/>
      <sheetName val="BATvsR"/>
      <sheetName val="Ownership"/>
      <sheetName val="DK Salaries"/>
      <sheetName val="DK Yesterday Salaries"/>
      <sheetName val="DK Results"/>
      <sheetName val="DRSFD94toddfather expre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8">
          <cell r="A8">
            <v>42617</v>
          </cell>
        </row>
        <row r="9">
          <cell r="B9" t="str">
            <v>Name</v>
          </cell>
          <cell r="C9" t="str">
            <v>Salary</v>
          </cell>
          <cell r="D9" t="str">
            <v>Team</v>
          </cell>
          <cell r="E9" t="str">
            <v>Pos</v>
          </cell>
          <cell r="F9" t="str">
            <v>Opp</v>
          </cell>
          <cell r="G9" t="str">
            <v>Pitcher</v>
          </cell>
          <cell r="H9" t="str">
            <v>Throws</v>
          </cell>
          <cell r="I9" t="str">
            <v>Bats</v>
          </cell>
          <cell r="J9" t="str">
            <v>PA</v>
          </cell>
          <cell r="K9" t="str">
            <v>Ranks</v>
          </cell>
          <cell r="L9" t="str">
            <v>wOBA</v>
          </cell>
          <cell r="M9" t="str">
            <v>(sp)wOBA</v>
          </cell>
          <cell r="N9" t="str">
            <v>(mu)wOBA</v>
          </cell>
          <cell r="O9" t="str">
            <v>ISO</v>
          </cell>
          <cell r="P9" t="str">
            <v>(sp)ISO</v>
          </cell>
          <cell r="Q9" t="str">
            <v>(mu)ISO</v>
          </cell>
          <cell r="R9" t="str">
            <v>Total MU</v>
          </cell>
          <cell r="S9" t="str">
            <v>Contact</v>
          </cell>
          <cell r="T9" t="str">
            <v>Rating</v>
          </cell>
        </row>
        <row r="10">
          <cell r="B10" t="str">
            <v>Chris Stewart</v>
          </cell>
          <cell r="C10">
            <v>2000</v>
          </cell>
          <cell r="D10" t="str">
            <v>PIT</v>
          </cell>
          <cell r="E10" t="str">
            <v>C</v>
          </cell>
          <cell r="F10" t="str">
            <v>MIL</v>
          </cell>
          <cell r="G10" t="str">
            <v>Anderson</v>
          </cell>
          <cell r="H10" t="str">
            <v>R</v>
          </cell>
          <cell r="I10" t="str">
            <v>R</v>
          </cell>
          <cell r="J10">
            <v>225</v>
          </cell>
          <cell r="K10">
            <v>27</v>
          </cell>
          <cell r="L10">
            <v>0.27244444444444449</v>
          </cell>
          <cell r="M10">
            <v>0.35568356374807991</v>
          </cell>
          <cell r="N10">
            <v>0.31406400409626223</v>
          </cell>
          <cell r="O10">
            <v>6.4039408866995079E-2</v>
          </cell>
          <cell r="P10">
            <v>0.20812182741116753</v>
          </cell>
          <cell r="Q10">
            <v>0.13608061813908129</v>
          </cell>
          <cell r="R10">
            <v>0.22507231111767176</v>
          </cell>
          <cell r="S10" t="str">
            <v/>
          </cell>
          <cell r="T10" t="e">
            <v>#VALUE!</v>
          </cell>
        </row>
        <row r="11">
          <cell r="B11" t="str">
            <v>Byung-ho Park</v>
          </cell>
          <cell r="C11">
            <v>2400</v>
          </cell>
          <cell r="D11" t="str">
            <v>MIN</v>
          </cell>
          <cell r="E11" t="str">
            <v>1B</v>
          </cell>
          <cell r="F11" t="str">
            <v>CHW</v>
          </cell>
          <cell r="G11" t="str">
            <v>Ranaudo</v>
          </cell>
          <cell r="H11" t="str">
            <v>R</v>
          </cell>
          <cell r="I11" t="str">
            <v>R</v>
          </cell>
          <cell r="J11">
            <v>183</v>
          </cell>
          <cell r="K11">
            <v>18</v>
          </cell>
          <cell r="L11">
            <v>0.29781420765027322</v>
          </cell>
          <cell r="M11">
            <v>0.40352941176470586</v>
          </cell>
          <cell r="N11">
            <v>0.35067180970748957</v>
          </cell>
          <cell r="O11">
            <v>0.22222222222222221</v>
          </cell>
          <cell r="P11">
            <v>0.26470588235294118</v>
          </cell>
          <cell r="Q11">
            <v>0.24346405228758169</v>
          </cell>
          <cell r="R11">
            <v>0.29706793099753565</v>
          </cell>
          <cell r="S11" t="str">
            <v/>
          </cell>
          <cell r="T11" t="e">
            <v>#VALUE!</v>
          </cell>
        </row>
        <row r="12">
          <cell r="B12" t="str">
            <v>Kyle Jensen</v>
          </cell>
          <cell r="C12">
            <v>3000</v>
          </cell>
          <cell r="D12" t="str">
            <v>ARI</v>
          </cell>
          <cell r="E12" t="str">
            <v>OF</v>
          </cell>
          <cell r="F12" t="str">
            <v>@COL</v>
          </cell>
          <cell r="G12" t="str">
            <v>Gray</v>
          </cell>
          <cell r="H12" t="str">
            <v>R</v>
          </cell>
          <cell r="I12" t="str">
            <v>R</v>
          </cell>
          <cell r="J12">
            <v>1</v>
          </cell>
          <cell r="K12">
            <v>1</v>
          </cell>
          <cell r="L12">
            <v>0</v>
          </cell>
          <cell r="M12">
            <v>0.32947103274559197</v>
          </cell>
          <cell r="N12">
            <v>0.16473551637279599</v>
          </cell>
          <cell r="O12">
            <v>0</v>
          </cell>
          <cell r="P12">
            <v>0.16285714285714287</v>
          </cell>
          <cell r="Q12">
            <v>8.1428571428571433E-2</v>
          </cell>
          <cell r="R12">
            <v>0.12308204390068371</v>
          </cell>
          <cell r="S12" t="str">
            <v/>
          </cell>
          <cell r="T12" t="e">
            <v>#VALUE!</v>
          </cell>
        </row>
        <row r="13">
          <cell r="B13" t="str">
            <v>Trayce Thompson</v>
          </cell>
          <cell r="C13">
            <v>0</v>
          </cell>
          <cell r="D13" t="str">
            <v>LAD</v>
          </cell>
          <cell r="E13" t="str">
            <v>OF</v>
          </cell>
          <cell r="F13" t="str">
            <v>SD</v>
          </cell>
          <cell r="G13" t="str">
            <v>Friedrich</v>
          </cell>
          <cell r="H13" t="str">
            <v>L</v>
          </cell>
          <cell r="I13" t="str">
            <v>R</v>
          </cell>
          <cell r="J13">
            <v>128</v>
          </cell>
          <cell r="K13">
            <v>17</v>
          </cell>
          <cell r="L13">
            <v>0.365234375</v>
          </cell>
          <cell r="M13">
            <v>0.35939393939393943</v>
          </cell>
          <cell r="N13">
            <v>0.36231415719696969</v>
          </cell>
          <cell r="O13">
            <v>0.25210084033613445</v>
          </cell>
          <cell r="P13">
            <v>0.15151515151515152</v>
          </cell>
          <cell r="Q13">
            <v>0.20180799592564297</v>
          </cell>
          <cell r="R13">
            <v>0.2820610765613063</v>
          </cell>
          <cell r="S13" t="str">
            <v/>
          </cell>
          <cell r="T13" t="e">
            <v>#VALUE!</v>
          </cell>
        </row>
        <row r="14">
          <cell r="B14" t="str">
            <v>David Wright</v>
          </cell>
          <cell r="C14">
            <v>0</v>
          </cell>
          <cell r="D14" t="str">
            <v>NYM</v>
          </cell>
          <cell r="E14" t="str">
            <v>3B</v>
          </cell>
          <cell r="F14" t="str">
            <v>WAS</v>
          </cell>
          <cell r="G14" t="str">
            <v>Lopez</v>
          </cell>
          <cell r="H14" t="str">
            <v>R</v>
          </cell>
          <cell r="I14" t="str">
            <v>R</v>
          </cell>
          <cell r="J14">
            <v>253</v>
          </cell>
          <cell r="K14">
            <v>21</v>
          </cell>
          <cell r="L14">
            <v>0.34881422924901184</v>
          </cell>
          <cell r="M14">
            <v>0.41785714285714282</v>
          </cell>
          <cell r="N14">
            <v>0.38333568605307733</v>
          </cell>
          <cell r="O14">
            <v>0.16203703703703703</v>
          </cell>
          <cell r="P14">
            <v>0.12244897959183673</v>
          </cell>
          <cell r="Q14">
            <v>0.14224300831443687</v>
          </cell>
          <cell r="R14">
            <v>0.26278934718375713</v>
          </cell>
          <cell r="S14" t="str">
            <v/>
          </cell>
          <cell r="T14" t="e">
            <v>#VALUE!</v>
          </cell>
        </row>
        <row r="15">
          <cell r="B15" t="str">
            <v>Andre Ethier</v>
          </cell>
          <cell r="C15">
            <v>2500</v>
          </cell>
          <cell r="D15" t="str">
            <v>LAD</v>
          </cell>
          <cell r="E15" t="str">
            <v>OF</v>
          </cell>
          <cell r="F15" t="str">
            <v>SD</v>
          </cell>
          <cell r="G15" t="str">
            <v>Friedrich</v>
          </cell>
          <cell r="H15" t="str">
            <v>L</v>
          </cell>
          <cell r="I15" t="str">
            <v>L</v>
          </cell>
          <cell r="J15">
            <v>45</v>
          </cell>
          <cell r="K15">
            <v>17</v>
          </cell>
          <cell r="L15">
            <v>0.22666666666666666</v>
          </cell>
          <cell r="M15">
            <v>0.29954751131221719</v>
          </cell>
          <cell r="N15">
            <v>0.26310708898944191</v>
          </cell>
          <cell r="O15">
            <v>4.7619047619047616E-2</v>
          </cell>
          <cell r="P15">
            <v>0.11055276381909548</v>
          </cell>
          <cell r="Q15">
            <v>7.908590571907155E-2</v>
          </cell>
          <cell r="R15">
            <v>0.17109649735425672</v>
          </cell>
          <cell r="S15" t="str">
            <v/>
          </cell>
          <cell r="T15" t="e">
            <v>#VALUE!</v>
          </cell>
        </row>
        <row r="16">
          <cell r="B16" t="str">
            <v>Darin Mastroianni</v>
          </cell>
          <cell r="C16">
            <v>2200</v>
          </cell>
          <cell r="D16" t="str">
            <v>MIN</v>
          </cell>
          <cell r="E16" t="str">
            <v>OF</v>
          </cell>
          <cell r="F16" t="str">
            <v>CHW</v>
          </cell>
          <cell r="G16" t="str">
            <v>Ranaudo</v>
          </cell>
          <cell r="H16" t="str">
            <v>R</v>
          </cell>
          <cell r="I16" t="str">
            <v>R</v>
          </cell>
          <cell r="J16">
            <v>2</v>
          </cell>
          <cell r="K16">
            <v>18</v>
          </cell>
          <cell r="L16">
            <v>0</v>
          </cell>
          <cell r="M16">
            <v>0.40352941176470586</v>
          </cell>
          <cell r="N16">
            <v>0.20176470588235293</v>
          </cell>
          <cell r="O16">
            <v>0</v>
          </cell>
          <cell r="P16">
            <v>0.26470588235294118</v>
          </cell>
          <cell r="Q16">
            <v>0.13235294117647059</v>
          </cell>
          <cell r="R16">
            <v>0.16705882352941176</v>
          </cell>
          <cell r="S16" t="str">
            <v/>
          </cell>
          <cell r="T16" t="e">
            <v>#VALUE!</v>
          </cell>
        </row>
        <row r="17">
          <cell r="B17" t="str">
            <v>Chris Herrmann</v>
          </cell>
          <cell r="C17">
            <v>3100</v>
          </cell>
          <cell r="D17" t="str">
            <v>ARI</v>
          </cell>
          <cell r="E17" t="str">
            <v>C</v>
          </cell>
          <cell r="F17" t="str">
            <v>@COL</v>
          </cell>
          <cell r="G17" t="str">
            <v>Gray</v>
          </cell>
          <cell r="H17" t="str">
            <v>R</v>
          </cell>
          <cell r="I17" t="str">
            <v>L</v>
          </cell>
          <cell r="J17">
            <v>226</v>
          </cell>
          <cell r="K17">
            <v>1</v>
          </cell>
          <cell r="L17">
            <v>0.30420353982300885</v>
          </cell>
          <cell r="M17">
            <v>0.31737967914438503</v>
          </cell>
          <cell r="N17">
            <v>0.31079160948369694</v>
          </cell>
          <cell r="O17">
            <v>0.1941747572815534</v>
          </cell>
          <cell r="P17">
            <v>0.13897280966767372</v>
          </cell>
          <cell r="Q17">
            <v>0.16657378347461355</v>
          </cell>
          <cell r="R17">
            <v>0.23868269647915524</v>
          </cell>
          <cell r="S17" t="str">
            <v/>
          </cell>
          <cell r="T17" t="e">
            <v>#VALUE!</v>
          </cell>
        </row>
        <row r="18">
          <cell r="B18" t="str">
            <v>Alex Guerrero</v>
          </cell>
          <cell r="C18">
            <v>2300</v>
          </cell>
          <cell r="D18" t="str">
            <v>LAD</v>
          </cell>
          <cell r="E18" t="str">
            <v>3B</v>
          </cell>
          <cell r="F18" t="str">
            <v>SD</v>
          </cell>
          <cell r="G18" t="str">
            <v>Friedrich</v>
          </cell>
          <cell r="H18" t="str">
            <v>L</v>
          </cell>
          <cell r="I18" t="str">
            <v>R</v>
          </cell>
          <cell r="J18">
            <v>83</v>
          </cell>
          <cell r="K18">
            <v>17</v>
          </cell>
          <cell r="L18">
            <v>0.28373493975903613</v>
          </cell>
          <cell r="M18">
            <v>0.35939393939393943</v>
          </cell>
          <cell r="N18">
            <v>0.32156443957648778</v>
          </cell>
          <cell r="O18">
            <v>0.15189873417721519</v>
          </cell>
          <cell r="P18">
            <v>0.15151515151515152</v>
          </cell>
          <cell r="Q18">
            <v>0.15170694284618336</v>
          </cell>
          <cell r="R18">
            <v>0.23663569121133557</v>
          </cell>
          <cell r="S18" t="str">
            <v/>
          </cell>
          <cell r="T18" t="e">
            <v>#VALUE!</v>
          </cell>
        </row>
        <row r="19">
          <cell r="B19" t="str">
            <v>Chris Parmelee</v>
          </cell>
          <cell r="C19">
            <v>0</v>
          </cell>
          <cell r="D19" t="str">
            <v>NYY</v>
          </cell>
          <cell r="E19" t="str">
            <v>1B</v>
          </cell>
          <cell r="F19" t="str">
            <v>@BAL</v>
          </cell>
          <cell r="G19" t="str">
            <v>Miley</v>
          </cell>
          <cell r="H19" t="str">
            <v>L</v>
          </cell>
          <cell r="I19" t="str">
            <v>L</v>
          </cell>
          <cell r="J19">
            <v>19</v>
          </cell>
          <cell r="K19">
            <v>5</v>
          </cell>
          <cell r="L19">
            <v>0.2552631578947368</v>
          </cell>
          <cell r="M19">
            <v>0.29633757961783441</v>
          </cell>
          <cell r="N19">
            <v>0.27580036875628561</v>
          </cell>
          <cell r="O19">
            <v>0.23529411764705882</v>
          </cell>
          <cell r="P19">
            <v>0.14385964912280702</v>
          </cell>
          <cell r="Q19">
            <v>0.18957688338493292</v>
          </cell>
          <cell r="R19">
            <v>0.23268862607060925</v>
          </cell>
          <cell r="S19" t="str">
            <v/>
          </cell>
          <cell r="T19" t="e">
            <v>#VALUE!</v>
          </cell>
        </row>
        <row r="20">
          <cell r="B20" t="str">
            <v>JR Murphy</v>
          </cell>
          <cell r="C20">
            <v>2000</v>
          </cell>
          <cell r="D20" t="str">
            <v>MIN</v>
          </cell>
          <cell r="E20" t="str">
            <v>C</v>
          </cell>
          <cell r="F20" t="str">
            <v>CHW</v>
          </cell>
          <cell r="G20" t="str">
            <v>Ranaudo</v>
          </cell>
          <cell r="H20" t="str">
            <v>R</v>
          </cell>
          <cell r="I20" t="str">
            <v>R</v>
          </cell>
          <cell r="J20">
            <v>123</v>
          </cell>
          <cell r="K20">
            <v>18</v>
          </cell>
          <cell r="L20">
            <v>0.23252032520325205</v>
          </cell>
          <cell r="M20">
            <v>0.40352941176470586</v>
          </cell>
          <cell r="N20">
            <v>0.31802486848397893</v>
          </cell>
          <cell r="O20">
            <v>5.4054054054054057E-2</v>
          </cell>
          <cell r="P20">
            <v>0.26470588235294118</v>
          </cell>
          <cell r="Q20">
            <v>0.15937996820349762</v>
          </cell>
          <cell r="R20">
            <v>0.23870241834373829</v>
          </cell>
          <cell r="S20" t="str">
            <v/>
          </cell>
          <cell r="T20" t="e">
            <v>#VALUE!</v>
          </cell>
        </row>
        <row r="21">
          <cell r="B21" t="str">
            <v>Hunter Dozier</v>
          </cell>
          <cell r="C21">
            <v>0</v>
          </cell>
          <cell r="D21" t="str">
            <v>KC</v>
          </cell>
          <cell r="E21" t="str">
            <v>3B</v>
          </cell>
          <cell r="F21" t="str">
            <v>DET</v>
          </cell>
          <cell r="G21" t="str">
            <v>Norris</v>
          </cell>
          <cell r="H21" t="str">
            <v>L</v>
          </cell>
          <cell r="I21" t="str">
            <v>R</v>
          </cell>
          <cell r="J21">
            <v>0</v>
          </cell>
          <cell r="K21">
            <v>20</v>
          </cell>
          <cell r="L21">
            <v>0</v>
          </cell>
          <cell r="M21">
            <v>0.31510903426791281</v>
          </cell>
          <cell r="N21">
            <v>0.15755451713395641</v>
          </cell>
          <cell r="O21">
            <v>0</v>
          </cell>
          <cell r="P21">
            <v>0.1678082191780822</v>
          </cell>
          <cell r="Q21">
            <v>8.3904109589041098E-2</v>
          </cell>
          <cell r="R21">
            <v>0.12072931336149875</v>
          </cell>
          <cell r="S21" t="str">
            <v/>
          </cell>
          <cell r="T21" t="e">
            <v>#VALUE!</v>
          </cell>
        </row>
        <row r="22">
          <cell r="B22" t="str">
            <v>Juan Lagares</v>
          </cell>
          <cell r="C22">
            <v>0</v>
          </cell>
          <cell r="D22" t="str">
            <v>NYM</v>
          </cell>
          <cell r="E22" t="str">
            <v>OF</v>
          </cell>
          <cell r="F22" t="str">
            <v>WAS</v>
          </cell>
          <cell r="G22" t="str">
            <v>Lopez</v>
          </cell>
          <cell r="H22" t="str">
            <v>R</v>
          </cell>
          <cell r="I22" t="str">
            <v>R</v>
          </cell>
          <cell r="J22">
            <v>411</v>
          </cell>
          <cell r="K22">
            <v>21</v>
          </cell>
          <cell r="L22">
            <v>0.27652068126520685</v>
          </cell>
          <cell r="M22">
            <v>0.41785714285714282</v>
          </cell>
          <cell r="N22">
            <v>0.34718891206117486</v>
          </cell>
          <cell r="O22">
            <v>0.10335917312661498</v>
          </cell>
          <cell r="P22">
            <v>0.12244897959183673</v>
          </cell>
          <cell r="Q22">
            <v>0.11290407635922586</v>
          </cell>
          <cell r="R22">
            <v>0.23004649421020035</v>
          </cell>
          <cell r="S22" t="str">
            <v/>
          </cell>
          <cell r="T22" t="e">
            <v>#VALUE!</v>
          </cell>
        </row>
        <row r="23">
          <cell r="B23" t="str">
            <v>Rymer Liriano</v>
          </cell>
          <cell r="C23">
            <v>0</v>
          </cell>
          <cell r="D23" t="str">
            <v>MIL</v>
          </cell>
          <cell r="E23" t="str">
            <v>OF</v>
          </cell>
          <cell r="F23" t="str">
            <v>@PIT</v>
          </cell>
          <cell r="G23" t="str">
            <v>Brault</v>
          </cell>
          <cell r="H23" t="str">
            <v>L</v>
          </cell>
          <cell r="I23" t="str">
            <v>R</v>
          </cell>
          <cell r="J23">
            <v>0</v>
          </cell>
          <cell r="K23">
            <v>27</v>
          </cell>
          <cell r="L23">
            <v>0</v>
          </cell>
          <cell r="M23">
            <v>0.34711538461538455</v>
          </cell>
          <cell r="N23">
            <v>0.17355769230769227</v>
          </cell>
          <cell r="O23">
            <v>0</v>
          </cell>
          <cell r="P23">
            <v>0.13636363636363635</v>
          </cell>
          <cell r="Q23">
            <v>6.8181818181818177E-2</v>
          </cell>
          <cell r="R23">
            <v>0.12086975524475523</v>
          </cell>
          <cell r="S23" t="str">
            <v/>
          </cell>
          <cell r="T23" t="e">
            <v>#VALUE!</v>
          </cell>
        </row>
        <row r="24">
          <cell r="B24" t="str">
            <v>Adam Moore</v>
          </cell>
          <cell r="C24">
            <v>2200</v>
          </cell>
          <cell r="D24" t="str">
            <v>CLE</v>
          </cell>
          <cell r="E24" t="str">
            <v>C</v>
          </cell>
          <cell r="F24" t="str">
            <v>MIA</v>
          </cell>
          <cell r="G24" t="str">
            <v>Koehler</v>
          </cell>
          <cell r="H24" t="str">
            <v>R</v>
          </cell>
          <cell r="I24" t="str">
            <v>R</v>
          </cell>
          <cell r="J24">
            <v>4</v>
          </cell>
          <cell r="K24">
            <v>14</v>
          </cell>
          <cell r="L24">
            <v>0.22500000000000001</v>
          </cell>
          <cell r="M24">
            <v>0.31426553672316382</v>
          </cell>
          <cell r="N24">
            <v>0.2696327683615819</v>
          </cell>
          <cell r="O24">
            <v>0</v>
          </cell>
          <cell r="P24">
            <v>0.13687600644122383</v>
          </cell>
          <cell r="Q24">
            <v>6.8438003220611915E-2</v>
          </cell>
          <cell r="R24">
            <v>0.16903538579109689</v>
          </cell>
          <cell r="S24" t="str">
            <v/>
          </cell>
          <cell r="T24" t="e">
            <v>#VALUE!</v>
          </cell>
        </row>
        <row r="25">
          <cell r="B25" t="str">
            <v>Preston Tucker</v>
          </cell>
          <cell r="C25">
            <v>2100</v>
          </cell>
          <cell r="D25" t="str">
            <v>HOU</v>
          </cell>
          <cell r="E25" t="str">
            <v>OF</v>
          </cell>
          <cell r="F25" t="str">
            <v>@TEX</v>
          </cell>
          <cell r="G25" t="str">
            <v>Darvish</v>
          </cell>
          <cell r="H25" t="str">
            <v>R</v>
          </cell>
          <cell r="I25" t="str">
            <v>L</v>
          </cell>
          <cell r="J25">
            <v>382</v>
          </cell>
          <cell r="K25">
            <v>7</v>
          </cell>
          <cell r="L25">
            <v>0.31335078534031413</v>
          </cell>
          <cell r="M25">
            <v>0.2795918367346939</v>
          </cell>
          <cell r="N25">
            <v>0.29647131103750402</v>
          </cell>
          <cell r="O25">
            <v>0.21142857142857144</v>
          </cell>
          <cell r="P25">
            <v>0.14393939393939395</v>
          </cell>
          <cell r="Q25">
            <v>0.17768398268398269</v>
          </cell>
          <cell r="R25">
            <v>0.23707764686074334</v>
          </cell>
          <cell r="S25" t="str">
            <v/>
          </cell>
          <cell r="T25" t="e">
            <v>#VALUE!</v>
          </cell>
        </row>
        <row r="26">
          <cell r="B26" t="str">
            <v>Derek Dietrich</v>
          </cell>
          <cell r="C26">
            <v>2500</v>
          </cell>
          <cell r="D26" t="str">
            <v>MIA</v>
          </cell>
          <cell r="E26" t="str">
            <v>1B</v>
          </cell>
          <cell r="F26" t="str">
            <v>@CLE</v>
          </cell>
          <cell r="G26" t="str">
            <v>Salazar</v>
          </cell>
          <cell r="H26" t="str">
            <v>R</v>
          </cell>
          <cell r="I26" t="str">
            <v>L</v>
          </cell>
          <cell r="J26">
            <v>533</v>
          </cell>
          <cell r="K26">
            <v>14</v>
          </cell>
          <cell r="L26">
            <v>0.36444652908067543</v>
          </cell>
          <cell r="M26">
            <v>0.29333881578947368</v>
          </cell>
          <cell r="N26">
            <v>0.32889267243507458</v>
          </cell>
          <cell r="O26">
            <v>0.1762114537444934</v>
          </cell>
          <cell r="P26">
            <v>0.18214936247723132</v>
          </cell>
          <cell r="Q26">
            <v>0.17918040811086236</v>
          </cell>
          <cell r="R26">
            <v>0.25403654027296846</v>
          </cell>
          <cell r="S26" t="str">
            <v/>
          </cell>
          <cell r="T26" t="e">
            <v>#VALUE!</v>
          </cell>
        </row>
        <row r="27">
          <cell r="B27" t="str">
            <v>Ji-Man Choi</v>
          </cell>
          <cell r="C27">
            <v>2000</v>
          </cell>
          <cell r="D27" t="str">
            <v>LAA</v>
          </cell>
          <cell r="E27" t="str">
            <v>1B</v>
          </cell>
          <cell r="F27" t="str">
            <v>@SEA</v>
          </cell>
          <cell r="G27" t="str">
            <v>Iwakuma</v>
          </cell>
          <cell r="H27" t="str">
            <v>R</v>
          </cell>
          <cell r="I27" t="str">
            <v>S</v>
          </cell>
          <cell r="J27">
            <v>114</v>
          </cell>
          <cell r="K27">
            <v>29</v>
          </cell>
          <cell r="L27">
            <v>0.27456140350877195</v>
          </cell>
          <cell r="M27">
            <v>0.31929674099485428</v>
          </cell>
          <cell r="N27">
            <v>0.29692907225181309</v>
          </cell>
          <cell r="O27">
            <v>0.19</v>
          </cell>
          <cell r="P27">
            <v>0.16152450090744103</v>
          </cell>
          <cell r="Q27">
            <v>0.17576225045372051</v>
          </cell>
          <cell r="R27">
            <v>0.2363456613527668</v>
          </cell>
          <cell r="S27" t="str">
            <v/>
          </cell>
          <cell r="T27" t="e">
            <v>#VALUE!</v>
          </cell>
        </row>
        <row r="28">
          <cell r="B28" t="str">
            <v>Yorman Rodriguez</v>
          </cell>
          <cell r="C28">
            <v>0</v>
          </cell>
          <cell r="D28" t="str">
            <v>CIN</v>
          </cell>
          <cell r="E28" t="str">
            <v>OF</v>
          </cell>
          <cell r="F28" t="str">
            <v>STL</v>
          </cell>
          <cell r="G28" t="str">
            <v>Martinez</v>
          </cell>
          <cell r="H28" t="str">
            <v>R</v>
          </cell>
          <cell r="I28" t="str">
            <v>R</v>
          </cell>
          <cell r="J28">
            <v>0</v>
          </cell>
          <cell r="K28">
            <v>3</v>
          </cell>
          <cell r="L28">
            <v>0</v>
          </cell>
          <cell r="M28">
            <v>0.25387994143484627</v>
          </cell>
          <cell r="N28">
            <v>0.12693997071742313</v>
          </cell>
          <cell r="O28">
            <v>0</v>
          </cell>
          <cell r="P28">
            <v>6.4829821717990274E-2</v>
          </cell>
          <cell r="Q28">
            <v>3.2414910858995137E-2</v>
          </cell>
          <cell r="R28">
            <v>7.9677440788209139E-2</v>
          </cell>
          <cell r="S28" t="str">
            <v/>
          </cell>
          <cell r="T28" t="e">
            <v>#VALUE!</v>
          </cell>
        </row>
        <row r="29">
          <cell r="B29" t="str">
            <v>Craig Gentry</v>
          </cell>
          <cell r="C29">
            <v>0</v>
          </cell>
          <cell r="D29" t="str">
            <v>LAA</v>
          </cell>
          <cell r="E29" t="str">
            <v>OF</v>
          </cell>
          <cell r="F29" t="str">
            <v>@SEA</v>
          </cell>
          <cell r="G29" t="str">
            <v>Iwakuma</v>
          </cell>
          <cell r="H29" t="str">
            <v>R</v>
          </cell>
          <cell r="I29" t="str">
            <v>R</v>
          </cell>
          <cell r="J29">
            <v>33</v>
          </cell>
          <cell r="K29">
            <v>29</v>
          </cell>
          <cell r="L29">
            <v>0.16666666666666666</v>
          </cell>
          <cell r="M29">
            <v>0.30911251980982563</v>
          </cell>
          <cell r="N29">
            <v>0.23788959323824616</v>
          </cell>
          <cell r="O29">
            <v>6.6666666666666666E-2</v>
          </cell>
          <cell r="P29">
            <v>0.18103448275862069</v>
          </cell>
          <cell r="Q29">
            <v>0.12385057471264369</v>
          </cell>
          <cell r="R29">
            <v>0.18087008397544491</v>
          </cell>
          <cell r="S29" t="str">
            <v/>
          </cell>
          <cell r="T29" t="e">
            <v>#VALUE!</v>
          </cell>
        </row>
        <row r="30">
          <cell r="B30" t="str">
            <v>Kyle Skipworth</v>
          </cell>
          <cell r="C30">
            <v>0</v>
          </cell>
          <cell r="D30" t="str">
            <v>CIN</v>
          </cell>
          <cell r="E30" t="str">
            <v>C</v>
          </cell>
          <cell r="F30" t="str">
            <v>STL</v>
          </cell>
          <cell r="G30" t="str">
            <v>Martinez</v>
          </cell>
          <cell r="H30" t="str">
            <v>R</v>
          </cell>
          <cell r="I30" t="str">
            <v>L</v>
          </cell>
          <cell r="J30">
            <v>0</v>
          </cell>
          <cell r="K30">
            <v>3</v>
          </cell>
          <cell r="L30">
            <v>0</v>
          </cell>
          <cell r="M30">
            <v>0.32929362880886426</v>
          </cell>
          <cell r="N30">
            <v>0.16464681440443213</v>
          </cell>
          <cell r="O30">
            <v>0</v>
          </cell>
          <cell r="P30">
            <v>0.14622641509433962</v>
          </cell>
          <cell r="Q30">
            <v>7.3113207547169809E-2</v>
          </cell>
          <cell r="R30">
            <v>0.11888001097580098</v>
          </cell>
          <cell r="S30" t="str">
            <v/>
          </cell>
          <cell r="T30" t="e">
            <v>#VALUE!</v>
          </cell>
        </row>
        <row r="31">
          <cell r="B31" t="str">
            <v>Austin Hedges</v>
          </cell>
          <cell r="C31">
            <v>0</v>
          </cell>
          <cell r="D31" t="str">
            <v>SD</v>
          </cell>
          <cell r="E31" t="str">
            <v>C</v>
          </cell>
          <cell r="F31" t="str">
            <v>@LAD</v>
          </cell>
          <cell r="G31" t="str">
            <v>Deleon</v>
          </cell>
          <cell r="H31" t="str">
            <v>R</v>
          </cell>
          <cell r="I31" t="str">
            <v>R</v>
          </cell>
          <cell r="J31">
            <v>104</v>
          </cell>
          <cell r="K31">
            <v>17</v>
          </cell>
          <cell r="L31">
            <v>0.21538461538461537</v>
          </cell>
          <cell r="M31">
            <v>0</v>
          </cell>
          <cell r="N31">
            <v>0.10769230769230768</v>
          </cell>
          <cell r="O31">
            <v>6.4516129032258063E-2</v>
          </cell>
          <cell r="P31">
            <v>0</v>
          </cell>
          <cell r="Q31">
            <v>3.2258064516129031E-2</v>
          </cell>
          <cell r="R31">
            <v>6.9975186104218351E-2</v>
          </cell>
          <cell r="S31" t="str">
            <v/>
          </cell>
          <cell r="T31" t="e">
            <v>#VALUE!</v>
          </cell>
        </row>
        <row r="32">
          <cell r="B32" t="str">
            <v>Jon Jay</v>
          </cell>
          <cell r="C32">
            <v>2800</v>
          </cell>
          <cell r="D32" t="str">
            <v>SD</v>
          </cell>
          <cell r="E32" t="str">
            <v>OF</v>
          </cell>
          <cell r="F32" t="str">
            <v>@LAD</v>
          </cell>
          <cell r="G32" t="str">
            <v>Deleon</v>
          </cell>
          <cell r="H32" t="str">
            <v>R</v>
          </cell>
          <cell r="I32" t="str">
            <v>L</v>
          </cell>
          <cell r="J32">
            <v>395</v>
          </cell>
          <cell r="K32">
            <v>17</v>
          </cell>
          <cell r="L32">
            <v>0.29126582278481011</v>
          </cell>
          <cell r="M32">
            <v>0</v>
          </cell>
          <cell r="N32">
            <v>0.14563291139240506</v>
          </cell>
          <cell r="O32">
            <v>8.98876404494382E-2</v>
          </cell>
          <cell r="P32">
            <v>0</v>
          </cell>
          <cell r="Q32">
            <v>4.49438202247191E-2</v>
          </cell>
          <cell r="R32">
            <v>9.5288365808562078E-2</v>
          </cell>
          <cell r="S32" t="str">
            <v/>
          </cell>
          <cell r="T32" t="e">
            <v>#VALUE!</v>
          </cell>
        </row>
        <row r="33">
          <cell r="B33" t="str">
            <v>Shane Robinson</v>
          </cell>
          <cell r="C33">
            <v>2000</v>
          </cell>
          <cell r="D33" t="str">
            <v>LAA</v>
          </cell>
          <cell r="E33" t="str">
            <v>OF</v>
          </cell>
          <cell r="F33" t="str">
            <v>@SEA</v>
          </cell>
          <cell r="G33" t="str">
            <v>Iwakuma</v>
          </cell>
          <cell r="H33" t="str">
            <v>R</v>
          </cell>
          <cell r="I33" t="str">
            <v>R</v>
          </cell>
          <cell r="J33">
            <v>161</v>
          </cell>
          <cell r="K33">
            <v>29</v>
          </cell>
          <cell r="L33">
            <v>0.25403726708074537</v>
          </cell>
          <cell r="M33">
            <v>0.30911251980982563</v>
          </cell>
          <cell r="N33">
            <v>0.28157489344528552</v>
          </cell>
          <cell r="O33">
            <v>8.1632653061224483E-2</v>
          </cell>
          <cell r="P33">
            <v>0.18103448275862069</v>
          </cell>
          <cell r="Q33">
            <v>0.13133356790992259</v>
          </cell>
          <cell r="R33">
            <v>0.20645423067760404</v>
          </cell>
          <cell r="S33" t="str">
            <v/>
          </cell>
          <cell r="T33" t="e">
            <v>#VALUE!</v>
          </cell>
        </row>
        <row r="34">
          <cell r="B34" t="str">
            <v>Jordan Pacheco</v>
          </cell>
          <cell r="C34">
            <v>2000</v>
          </cell>
          <cell r="D34" t="str">
            <v>CIN</v>
          </cell>
          <cell r="E34" t="str">
            <v>C</v>
          </cell>
          <cell r="F34" t="str">
            <v>STL</v>
          </cell>
          <cell r="G34" t="str">
            <v>Martinez</v>
          </cell>
          <cell r="H34" t="str">
            <v>R</v>
          </cell>
          <cell r="I34" t="str">
            <v>R</v>
          </cell>
          <cell r="J34">
            <v>95</v>
          </cell>
          <cell r="K34">
            <v>3</v>
          </cell>
          <cell r="L34">
            <v>0.24894736842105261</v>
          </cell>
          <cell r="M34">
            <v>0.25387994143484627</v>
          </cell>
          <cell r="N34">
            <v>0.25141365492794943</v>
          </cell>
          <cell r="O34">
            <v>0.10227272727272728</v>
          </cell>
          <cell r="P34">
            <v>6.4829821717990274E-2</v>
          </cell>
          <cell r="Q34">
            <v>8.3551274495358777E-2</v>
          </cell>
          <cell r="R34">
            <v>0.16748246471165409</v>
          </cell>
          <cell r="S34" t="str">
            <v/>
          </cell>
          <cell r="T34" t="e">
            <v>#VALUE!</v>
          </cell>
        </row>
        <row r="35">
          <cell r="B35" t="str">
            <v>Juan Graterol</v>
          </cell>
          <cell r="C35">
            <v>2000</v>
          </cell>
          <cell r="D35" t="str">
            <v>LAA</v>
          </cell>
          <cell r="E35" t="str">
            <v>C</v>
          </cell>
          <cell r="F35" t="str">
            <v>@SEA</v>
          </cell>
          <cell r="G35" t="str">
            <v>Iwakuma</v>
          </cell>
          <cell r="H35" t="str">
            <v>R</v>
          </cell>
          <cell r="I35" t="str">
            <v>R</v>
          </cell>
          <cell r="J35">
            <v>1</v>
          </cell>
          <cell r="K35">
            <v>29</v>
          </cell>
          <cell r="L35">
            <v>1.25</v>
          </cell>
          <cell r="M35">
            <v>0.30911251980982563</v>
          </cell>
          <cell r="N35">
            <v>0.77955625990491284</v>
          </cell>
          <cell r="O35">
            <v>1</v>
          </cell>
          <cell r="P35">
            <v>0.18103448275862069</v>
          </cell>
          <cell r="Q35">
            <v>0.59051724137931039</v>
          </cell>
          <cell r="R35">
            <v>0.68503675064211156</v>
          </cell>
          <cell r="S35">
            <v>0.14061859999999998</v>
          </cell>
          <cell r="T35">
            <v>96.328908823842823</v>
          </cell>
        </row>
        <row r="36">
          <cell r="B36" t="str">
            <v>Andrew Toles</v>
          </cell>
          <cell r="C36">
            <v>2600</v>
          </cell>
          <cell r="D36" t="str">
            <v>LAD</v>
          </cell>
          <cell r="E36" t="str">
            <v>OF</v>
          </cell>
          <cell r="F36" t="str">
            <v>SD</v>
          </cell>
          <cell r="G36" t="str">
            <v>Friedrich</v>
          </cell>
          <cell r="H36" t="str">
            <v>L</v>
          </cell>
          <cell r="I36" t="str">
            <v>L</v>
          </cell>
          <cell r="J36">
            <v>4</v>
          </cell>
          <cell r="K36">
            <v>17</v>
          </cell>
          <cell r="L36">
            <v>0.95</v>
          </cell>
          <cell r="M36">
            <v>0.29954751131221719</v>
          </cell>
          <cell r="N36">
            <v>0.6247737556561086</v>
          </cell>
          <cell r="O36">
            <v>0.75</v>
          </cell>
          <cell r="P36">
            <v>0.11055276381909548</v>
          </cell>
          <cell r="Q36">
            <v>0.43027638190954776</v>
          </cell>
          <cell r="R36">
            <v>0.52752506878282812</v>
          </cell>
          <cell r="S36">
            <v>0.108925271479625</v>
          </cell>
          <cell r="T36">
            <v>57.460811329477401</v>
          </cell>
        </row>
        <row r="37">
          <cell r="B37" t="str">
            <v>Stephen Cardullo</v>
          </cell>
          <cell r="C37">
            <v>3000</v>
          </cell>
          <cell r="D37" t="str">
            <v>COL</v>
          </cell>
          <cell r="E37" t="str">
            <v>OF</v>
          </cell>
          <cell r="F37" t="str">
            <v>ARI</v>
          </cell>
          <cell r="G37" t="str">
            <v>Bradley</v>
          </cell>
          <cell r="H37" t="str">
            <v>R</v>
          </cell>
          <cell r="I37" t="str">
            <v>R</v>
          </cell>
          <cell r="J37">
            <v>7</v>
          </cell>
          <cell r="K37">
            <v>1</v>
          </cell>
          <cell r="L37">
            <v>0.70000000000000007</v>
          </cell>
          <cell r="M37">
            <v>0.31015151515151518</v>
          </cell>
          <cell r="N37">
            <v>0.50507575757575762</v>
          </cell>
          <cell r="O37">
            <v>0.8571428571428571</v>
          </cell>
          <cell r="P37">
            <v>0.15358361774744028</v>
          </cell>
          <cell r="Q37">
            <v>0.50536323744514866</v>
          </cell>
          <cell r="R37">
            <v>0.50521949751045314</v>
          </cell>
          <cell r="S37">
            <v>0.10909331346639997</v>
          </cell>
          <cell r="T37">
            <v>55.116069011244946</v>
          </cell>
        </row>
        <row r="38">
          <cell r="B38" t="str">
            <v>Todd Frazier</v>
          </cell>
          <cell r="C38">
            <v>4100</v>
          </cell>
          <cell r="D38" t="str">
            <v>CHW</v>
          </cell>
          <cell r="E38" t="str">
            <v>3B</v>
          </cell>
          <cell r="F38" t="str">
            <v>@MIN</v>
          </cell>
          <cell r="G38" t="str">
            <v>Albers</v>
          </cell>
          <cell r="H38" t="str">
            <v>L</v>
          </cell>
          <cell r="I38" t="str">
            <v>R</v>
          </cell>
          <cell r="J38">
            <v>257</v>
          </cell>
          <cell r="K38">
            <v>18</v>
          </cell>
          <cell r="L38">
            <v>0.35642023346303497</v>
          </cell>
          <cell r="M38">
            <v>0.55476190476190479</v>
          </cell>
          <cell r="N38">
            <v>0.45559106911246988</v>
          </cell>
          <cell r="O38">
            <v>0.31034482758620691</v>
          </cell>
          <cell r="P38">
            <v>0.44736842105263158</v>
          </cell>
          <cell r="Q38">
            <v>0.37885662431941924</v>
          </cell>
          <cell r="R38">
            <v>0.41722384671594459</v>
          </cell>
          <cell r="S38">
            <v>0.10069996564725001</v>
          </cell>
          <cell r="T38">
            <v>42.014427031509122</v>
          </cell>
        </row>
        <row r="39">
          <cell r="B39" t="str">
            <v>Tim Anderson</v>
          </cell>
          <cell r="C39">
            <v>3100</v>
          </cell>
          <cell r="D39" t="str">
            <v>CHW</v>
          </cell>
          <cell r="E39" t="str">
            <v>SS</v>
          </cell>
          <cell r="F39" t="str">
            <v>@MIN</v>
          </cell>
          <cell r="G39" t="str">
            <v>Albers</v>
          </cell>
          <cell r="H39" t="str">
            <v>L</v>
          </cell>
          <cell r="I39" t="str">
            <v>R</v>
          </cell>
          <cell r="J39">
            <v>63</v>
          </cell>
          <cell r="K39">
            <v>18</v>
          </cell>
          <cell r="L39">
            <v>0.37380952380952381</v>
          </cell>
          <cell r="M39">
            <v>0.55476190476190479</v>
          </cell>
          <cell r="N39">
            <v>0.4642857142857143</v>
          </cell>
          <cell r="O39">
            <v>0.18032786885245902</v>
          </cell>
          <cell r="P39">
            <v>0.44736842105263158</v>
          </cell>
          <cell r="Q39">
            <v>0.31384814495254532</v>
          </cell>
          <cell r="R39">
            <v>0.38906692961912981</v>
          </cell>
          <cell r="S39">
            <v>9.8850980084025E-2</v>
          </cell>
          <cell r="T39">
            <v>38.459647311133352</v>
          </cell>
        </row>
        <row r="40">
          <cell r="B40" t="str">
            <v>Jose Abreu</v>
          </cell>
          <cell r="C40">
            <v>3800</v>
          </cell>
          <cell r="D40" t="str">
            <v>CHW</v>
          </cell>
          <cell r="E40" t="str">
            <v>1B</v>
          </cell>
          <cell r="F40" t="str">
            <v>@MIN</v>
          </cell>
          <cell r="G40" t="str">
            <v>Albers</v>
          </cell>
          <cell r="H40" t="str">
            <v>L</v>
          </cell>
          <cell r="I40" t="str">
            <v>R</v>
          </cell>
          <cell r="J40">
            <v>273</v>
          </cell>
          <cell r="K40">
            <v>18</v>
          </cell>
          <cell r="L40">
            <v>0.30952380952380953</v>
          </cell>
          <cell r="M40">
            <v>0.55476190476190479</v>
          </cell>
          <cell r="N40">
            <v>0.43214285714285716</v>
          </cell>
          <cell r="O40">
            <v>0.15384615384615385</v>
          </cell>
          <cell r="P40">
            <v>0.44736842105263158</v>
          </cell>
          <cell r="Q40">
            <v>0.30060728744939269</v>
          </cell>
          <cell r="R40">
            <v>0.36637507229612493</v>
          </cell>
          <cell r="S40">
            <v>9.9360972517125015E-2</v>
          </cell>
          <cell r="T40">
            <v>36.40338348937496</v>
          </cell>
        </row>
        <row r="41">
          <cell r="B41" t="str">
            <v>Freddie Freeman</v>
          </cell>
          <cell r="C41">
            <v>4100</v>
          </cell>
          <cell r="D41" t="str">
            <v>ATL</v>
          </cell>
          <cell r="E41" t="str">
            <v>1B</v>
          </cell>
          <cell r="F41" t="str">
            <v>@PHI</v>
          </cell>
          <cell r="G41" t="str">
            <v>Thompson</v>
          </cell>
          <cell r="H41" t="str">
            <v>R</v>
          </cell>
          <cell r="I41" t="str">
            <v>L</v>
          </cell>
          <cell r="J41">
            <v>737</v>
          </cell>
          <cell r="K41">
            <v>9</v>
          </cell>
          <cell r="L41">
            <v>0.40895522388059696</v>
          </cell>
          <cell r="M41">
            <v>0.40441176470588236</v>
          </cell>
          <cell r="N41">
            <v>0.40668349429323969</v>
          </cell>
          <cell r="O41">
            <v>0.26572327044025157</v>
          </cell>
          <cell r="P41">
            <v>0.23214285714285715</v>
          </cell>
          <cell r="Q41">
            <v>0.24893306379155436</v>
          </cell>
          <cell r="R41">
            <v>0.32780827904239701</v>
          </cell>
          <cell r="S41">
            <v>0.1106857073468</v>
          </cell>
          <cell r="T41">
            <v>36.283691239944901</v>
          </cell>
        </row>
        <row r="42">
          <cell r="B42" t="str">
            <v>Avisail Garcia</v>
          </cell>
          <cell r="C42">
            <v>2700</v>
          </cell>
          <cell r="D42" t="str">
            <v>CHW</v>
          </cell>
          <cell r="E42" t="str">
            <v>OF</v>
          </cell>
          <cell r="F42" t="str">
            <v>@MIN</v>
          </cell>
          <cell r="G42" t="str">
            <v>Albers</v>
          </cell>
          <cell r="H42" t="str">
            <v>L</v>
          </cell>
          <cell r="I42" t="str">
            <v>R</v>
          </cell>
          <cell r="J42">
            <v>227</v>
          </cell>
          <cell r="K42">
            <v>18</v>
          </cell>
          <cell r="L42">
            <v>0.32466960352422908</v>
          </cell>
          <cell r="M42">
            <v>0.55476190476190479</v>
          </cell>
          <cell r="N42">
            <v>0.43971575414306696</v>
          </cell>
          <cell r="O42">
            <v>0.12437810945273632</v>
          </cell>
          <cell r="P42">
            <v>0.44736842105263158</v>
          </cell>
          <cell r="Q42">
            <v>0.28587326525268397</v>
          </cell>
          <cell r="R42">
            <v>0.36279450969787547</v>
          </cell>
          <cell r="S42">
            <v>9.693131841555E-2</v>
          </cell>
          <cell r="T42">
            <v>35.166150138938114</v>
          </cell>
        </row>
        <row r="43">
          <cell r="B43" t="str">
            <v>Mike Trout</v>
          </cell>
          <cell r="C43">
            <v>4500</v>
          </cell>
          <cell r="D43" t="str">
            <v>LAA</v>
          </cell>
          <cell r="E43" t="str">
            <v>OF</v>
          </cell>
          <cell r="F43" t="str">
            <v>@SEA</v>
          </cell>
          <cell r="G43" t="str">
            <v>Iwakuma</v>
          </cell>
          <cell r="H43" t="str">
            <v>R</v>
          </cell>
          <cell r="I43" t="str">
            <v>R</v>
          </cell>
          <cell r="J43">
            <v>943</v>
          </cell>
          <cell r="K43">
            <v>29</v>
          </cell>
          <cell r="L43">
            <v>0.42921527041357371</v>
          </cell>
          <cell r="M43">
            <v>0.30911251980982563</v>
          </cell>
          <cell r="N43">
            <v>0.36916389511169967</v>
          </cell>
          <cell r="O43">
            <v>0.28498727735368956</v>
          </cell>
          <cell r="P43">
            <v>0.18103448275862069</v>
          </cell>
          <cell r="Q43">
            <v>0.23301088005615511</v>
          </cell>
          <cell r="R43">
            <v>0.30108738758392739</v>
          </cell>
          <cell r="S43">
            <v>0.11612091497554999</v>
          </cell>
          <cell r="T43">
            <v>34.962542933843693</v>
          </cell>
        </row>
        <row r="44">
          <cell r="B44" t="str">
            <v>Melky Cabrera</v>
          </cell>
          <cell r="C44">
            <v>3600</v>
          </cell>
          <cell r="D44" t="str">
            <v>CHW</v>
          </cell>
          <cell r="E44" t="str">
            <v>OF</v>
          </cell>
          <cell r="F44" t="str">
            <v>@MIN</v>
          </cell>
          <cell r="G44" t="str">
            <v>Albers</v>
          </cell>
          <cell r="H44" t="str">
            <v>L</v>
          </cell>
          <cell r="I44" t="str">
            <v>S</v>
          </cell>
          <cell r="J44">
            <v>282</v>
          </cell>
          <cell r="K44">
            <v>18</v>
          </cell>
          <cell r="L44">
            <v>0.29698581560283688</v>
          </cell>
          <cell r="M44">
            <v>0.55476190476190479</v>
          </cell>
          <cell r="N44">
            <v>0.42587386018237083</v>
          </cell>
          <cell r="O44">
            <v>0.12781954887218044</v>
          </cell>
          <cell r="P44">
            <v>0.44736842105263158</v>
          </cell>
          <cell r="Q44">
            <v>0.28759398496240601</v>
          </cell>
          <cell r="R44">
            <v>0.35673392257238845</v>
          </cell>
          <cell r="S44">
            <v>9.4990952034749998E-2</v>
          </cell>
          <cell r="T44">
            <v>33.886494928241973</v>
          </cell>
        </row>
        <row r="45">
          <cell r="B45" t="str">
            <v>Whit Merrifield</v>
          </cell>
          <cell r="C45">
            <v>2900</v>
          </cell>
          <cell r="D45" t="str">
            <v>KC</v>
          </cell>
          <cell r="E45" t="str">
            <v>2B</v>
          </cell>
          <cell r="F45" t="str">
            <v>DET</v>
          </cell>
          <cell r="G45" t="str">
            <v>Norris</v>
          </cell>
          <cell r="H45" t="str">
            <v>L</v>
          </cell>
          <cell r="I45" t="str">
            <v>R</v>
          </cell>
          <cell r="J45">
            <v>51</v>
          </cell>
          <cell r="K45">
            <v>20</v>
          </cell>
          <cell r="L45">
            <v>0.37549019607843137</v>
          </cell>
          <cell r="M45">
            <v>0.31510903426791281</v>
          </cell>
          <cell r="N45">
            <v>0.34529961517317209</v>
          </cell>
          <cell r="O45">
            <v>0.14285714285714285</v>
          </cell>
          <cell r="P45">
            <v>0.1678082191780822</v>
          </cell>
          <cell r="Q45">
            <v>0.15533268101761252</v>
          </cell>
          <cell r="R45">
            <v>0.25031614809539232</v>
          </cell>
          <cell r="S45">
            <v>0.13299279499800001</v>
          </cell>
          <cell r="T45">
            <v>33.29024416833952</v>
          </cell>
        </row>
        <row r="46">
          <cell r="B46" t="str">
            <v>Tyler Saladino</v>
          </cell>
          <cell r="C46">
            <v>2800</v>
          </cell>
          <cell r="D46" t="str">
            <v>CHW</v>
          </cell>
          <cell r="E46" t="str">
            <v>SS</v>
          </cell>
          <cell r="F46" t="str">
            <v>@MIN</v>
          </cell>
          <cell r="G46" t="str">
            <v>Albers</v>
          </cell>
          <cell r="H46" t="str">
            <v>L</v>
          </cell>
          <cell r="I46" t="str">
            <v>R</v>
          </cell>
          <cell r="J46">
            <v>136</v>
          </cell>
          <cell r="K46">
            <v>18</v>
          </cell>
          <cell r="L46">
            <v>0.30772058823529413</v>
          </cell>
          <cell r="M46">
            <v>0.55476190476190479</v>
          </cell>
          <cell r="N46">
            <v>0.43124124649859946</v>
          </cell>
          <cell r="O46">
            <v>0.12195121951219512</v>
          </cell>
          <cell r="P46">
            <v>0.44736842105263158</v>
          </cell>
          <cell r="Q46">
            <v>0.28465982028241332</v>
          </cell>
          <cell r="R46">
            <v>0.35795053339050642</v>
          </cell>
          <cell r="S46">
            <v>8.7008663932650013E-2</v>
          </cell>
          <cell r="T46">
            <v>31.144797664287392</v>
          </cell>
        </row>
        <row r="47">
          <cell r="B47" t="str">
            <v>David Ortiz</v>
          </cell>
          <cell r="C47">
            <v>4100</v>
          </cell>
          <cell r="D47" t="str">
            <v>BOS</v>
          </cell>
          <cell r="E47" t="str">
            <v>1B</v>
          </cell>
          <cell r="F47" t="str">
            <v>@OAK</v>
          </cell>
          <cell r="G47" t="str">
            <v>Graveman</v>
          </cell>
          <cell r="H47" t="str">
            <v>R</v>
          </cell>
          <cell r="I47" t="str">
            <v>L</v>
          </cell>
          <cell r="J47">
            <v>824</v>
          </cell>
          <cell r="K47">
            <v>24</v>
          </cell>
          <cell r="L47">
            <v>0.43889563106796114</v>
          </cell>
          <cell r="M47">
            <v>0.33322314049586776</v>
          </cell>
          <cell r="N47">
            <v>0.38605938578191445</v>
          </cell>
          <cell r="O47">
            <v>0.33959537572254334</v>
          </cell>
          <cell r="P47">
            <v>0.13703703703703704</v>
          </cell>
          <cell r="Q47">
            <v>0.23831620637979017</v>
          </cell>
          <cell r="R47">
            <v>0.31218779608085234</v>
          </cell>
          <cell r="S47">
            <v>0.105972896359675</v>
          </cell>
          <cell r="T47">
            <v>33.083444958831521</v>
          </cell>
        </row>
        <row r="48">
          <cell r="B48" t="str">
            <v>Carlos Gonzalez</v>
          </cell>
          <cell r="C48">
            <v>4200</v>
          </cell>
          <cell r="D48" t="str">
            <v>COL</v>
          </cell>
          <cell r="E48" t="str">
            <v>OF</v>
          </cell>
          <cell r="F48" t="str">
            <v>ARI</v>
          </cell>
          <cell r="G48" t="str">
            <v>Bradley</v>
          </cell>
          <cell r="H48" t="str">
            <v>R</v>
          </cell>
          <cell r="I48" t="str">
            <v>L</v>
          </cell>
          <cell r="J48">
            <v>827</v>
          </cell>
          <cell r="K48">
            <v>1</v>
          </cell>
          <cell r="L48">
            <v>0.40368802902055623</v>
          </cell>
          <cell r="M48">
            <v>0.38090909090909086</v>
          </cell>
          <cell r="N48">
            <v>0.39229855996482355</v>
          </cell>
          <cell r="O48">
            <v>0.2793522267206478</v>
          </cell>
          <cell r="P48">
            <v>0.18545454545454546</v>
          </cell>
          <cell r="Q48">
            <v>0.23240338608759664</v>
          </cell>
          <cell r="R48">
            <v>0.31235097302621007</v>
          </cell>
          <cell r="S48">
            <v>0.1058213365672</v>
          </cell>
          <cell r="T48">
            <v>33.053397443698984</v>
          </cell>
        </row>
        <row r="49">
          <cell r="B49" t="str">
            <v>Tom Murphy</v>
          </cell>
          <cell r="C49">
            <v>0</v>
          </cell>
          <cell r="D49" t="str">
            <v>COL</v>
          </cell>
          <cell r="E49" t="str">
            <v>C</v>
          </cell>
          <cell r="F49" t="str">
            <v>ARI</v>
          </cell>
          <cell r="G49" t="str">
            <v>Bradley</v>
          </cell>
          <cell r="H49" t="str">
            <v>R</v>
          </cell>
          <cell r="I49" t="str">
            <v>R</v>
          </cell>
          <cell r="J49">
            <v>23</v>
          </cell>
          <cell r="K49">
            <v>1</v>
          </cell>
          <cell r="L49">
            <v>0.4934782608695652</v>
          </cell>
          <cell r="M49">
            <v>0.31015151515151518</v>
          </cell>
          <cell r="N49">
            <v>0.40181488801054022</v>
          </cell>
          <cell r="O49">
            <v>0.47619047619047616</v>
          </cell>
          <cell r="P49">
            <v>0.15358361774744028</v>
          </cell>
          <cell r="Q49">
            <v>0.3148870469689582</v>
          </cell>
          <cell r="R49">
            <v>0.35835096748974921</v>
          </cell>
          <cell r="S49">
            <v>9.0089777009599997E-2</v>
          </cell>
          <cell r="T49">
            <v>32.283758752325923</v>
          </cell>
        </row>
        <row r="50">
          <cell r="B50" t="str">
            <v>Brian Dozier</v>
          </cell>
          <cell r="C50">
            <v>4100</v>
          </cell>
          <cell r="D50" t="str">
            <v>MIN</v>
          </cell>
          <cell r="E50" t="str">
            <v>2B</v>
          </cell>
          <cell r="F50" t="str">
            <v>CHW</v>
          </cell>
          <cell r="G50" t="str">
            <v>Ranaudo</v>
          </cell>
          <cell r="H50" t="str">
            <v>R</v>
          </cell>
          <cell r="I50" t="str">
            <v>R</v>
          </cell>
          <cell r="J50">
            <v>945</v>
          </cell>
          <cell r="K50">
            <v>18</v>
          </cell>
          <cell r="L50">
            <v>0.33883597883597888</v>
          </cell>
          <cell r="M50">
            <v>0.40352941176470586</v>
          </cell>
          <cell r="N50">
            <v>0.37118269530034237</v>
          </cell>
          <cell r="O50">
            <v>0.22538552787663108</v>
          </cell>
          <cell r="P50">
            <v>0.26470588235294118</v>
          </cell>
          <cell r="Q50">
            <v>0.24504570511478613</v>
          </cell>
          <cell r="R50">
            <v>0.30811420020756425</v>
          </cell>
          <cell r="S50">
            <v>9.4038084479025008E-2</v>
          </cell>
          <cell r="T50">
            <v>28.974469188306152</v>
          </cell>
        </row>
        <row r="51">
          <cell r="B51" t="str">
            <v>Bryce Harper</v>
          </cell>
          <cell r="C51">
            <v>4100</v>
          </cell>
          <cell r="D51" t="str">
            <v>WAS</v>
          </cell>
          <cell r="E51" t="str">
            <v>OF</v>
          </cell>
          <cell r="F51" t="str">
            <v>@NYM</v>
          </cell>
          <cell r="G51" t="str">
            <v>Lugo</v>
          </cell>
          <cell r="H51" t="str">
            <v>R</v>
          </cell>
          <cell r="I51" t="str">
            <v>L</v>
          </cell>
          <cell r="J51">
            <v>848</v>
          </cell>
          <cell r="K51">
            <v>21</v>
          </cell>
          <cell r="L51">
            <v>0.43991745283018868</v>
          </cell>
          <cell r="M51">
            <v>0.27333333333333332</v>
          </cell>
          <cell r="N51">
            <v>0.356625393081761</v>
          </cell>
          <cell r="O51">
            <v>0.28785607196401797</v>
          </cell>
          <cell r="P51">
            <v>0.13461538461538461</v>
          </cell>
          <cell r="Q51">
            <v>0.21123572828970127</v>
          </cell>
          <cell r="R51">
            <v>0.28393056068573114</v>
          </cell>
          <cell r="S51">
            <v>0.108297378249</v>
          </cell>
          <cell r="T51">
            <v>30.748935327033273</v>
          </cell>
        </row>
        <row r="52">
          <cell r="B52" t="str">
            <v>Sean Rodriguez</v>
          </cell>
          <cell r="C52">
            <v>2800</v>
          </cell>
          <cell r="D52" t="str">
            <v>PIT</v>
          </cell>
          <cell r="E52" t="str">
            <v>OF</v>
          </cell>
          <cell r="F52" t="str">
            <v>MIL</v>
          </cell>
          <cell r="G52" t="str">
            <v>Anderson</v>
          </cell>
          <cell r="H52" t="str">
            <v>R</v>
          </cell>
          <cell r="I52" t="str">
            <v>R</v>
          </cell>
          <cell r="J52">
            <v>313</v>
          </cell>
          <cell r="K52">
            <v>27</v>
          </cell>
          <cell r="L52">
            <v>0.2950479233226837</v>
          </cell>
          <cell r="M52">
            <v>0.35568356374807991</v>
          </cell>
          <cell r="N52">
            <v>0.32536574353538184</v>
          </cell>
          <cell r="O52">
            <v>0.16319444444444445</v>
          </cell>
          <cell r="P52">
            <v>0.20812182741116753</v>
          </cell>
          <cell r="Q52">
            <v>0.185658135927806</v>
          </cell>
          <cell r="R52">
            <v>0.25551193973159392</v>
          </cell>
          <cell r="S52">
            <v>0.120335073377625</v>
          </cell>
          <cell r="T52">
            <v>30.747048016460653</v>
          </cell>
        </row>
        <row r="53">
          <cell r="B53" t="str">
            <v>Nolan Arenado</v>
          </cell>
          <cell r="C53">
            <v>4500</v>
          </cell>
          <cell r="D53" t="str">
            <v>COL</v>
          </cell>
          <cell r="E53" t="str">
            <v>3B</v>
          </cell>
          <cell r="F53" t="str">
            <v>ARI</v>
          </cell>
          <cell r="G53" t="str">
            <v>Bradley</v>
          </cell>
          <cell r="H53" t="str">
            <v>R</v>
          </cell>
          <cell r="I53" t="str">
            <v>R</v>
          </cell>
          <cell r="J53">
            <v>942</v>
          </cell>
          <cell r="K53">
            <v>1</v>
          </cell>
          <cell r="L53">
            <v>0.39256900212314227</v>
          </cell>
          <cell r="M53">
            <v>0.31015151515151518</v>
          </cell>
          <cell r="N53">
            <v>0.35136025863732873</v>
          </cell>
          <cell r="O53">
            <v>0.30724971231300346</v>
          </cell>
          <cell r="P53">
            <v>0.15358361774744028</v>
          </cell>
          <cell r="Q53">
            <v>0.23041666503022187</v>
          </cell>
          <cell r="R53">
            <v>0.29088846183377531</v>
          </cell>
          <cell r="S53">
            <v>0.10505932201349999</v>
          </cell>
          <cell r="T53">
            <v>30.560544581806305</v>
          </cell>
        </row>
        <row r="54">
          <cell r="B54" t="str">
            <v>Trevor Plouffe</v>
          </cell>
          <cell r="C54">
            <v>3100</v>
          </cell>
          <cell r="D54" t="str">
            <v>MIN</v>
          </cell>
          <cell r="E54" t="str">
            <v>3B</v>
          </cell>
          <cell r="F54" t="str">
            <v>CHW</v>
          </cell>
          <cell r="G54" t="str">
            <v>Ranaudo</v>
          </cell>
          <cell r="H54" t="str">
            <v>R</v>
          </cell>
          <cell r="I54" t="str">
            <v>R</v>
          </cell>
          <cell r="J54">
            <v>698</v>
          </cell>
          <cell r="K54">
            <v>18</v>
          </cell>
          <cell r="L54">
            <v>0.30830945558739259</v>
          </cell>
          <cell r="M54">
            <v>0.40352941176470586</v>
          </cell>
          <cell r="N54">
            <v>0.35591943367604922</v>
          </cell>
          <cell r="O54">
            <v>0.17129629629629631</v>
          </cell>
          <cell r="P54">
            <v>0.26470588235294118</v>
          </cell>
          <cell r="Q54">
            <v>0.21800108932461876</v>
          </cell>
          <cell r="R54">
            <v>0.28696026150033399</v>
          </cell>
          <cell r="S54">
            <v>9.7704161530500017E-2</v>
          </cell>
          <cell r="T54">
            <v>28.037211742463157</v>
          </cell>
        </row>
        <row r="55">
          <cell r="B55" t="str">
            <v>Matt Kemp</v>
          </cell>
          <cell r="C55">
            <v>3600</v>
          </cell>
          <cell r="D55" t="str">
            <v>ATL</v>
          </cell>
          <cell r="E55" t="str">
            <v>OF</v>
          </cell>
          <cell r="F55" t="str">
            <v>@PHI</v>
          </cell>
          <cell r="G55" t="str">
            <v>Thompson</v>
          </cell>
          <cell r="H55" t="str">
            <v>R</v>
          </cell>
          <cell r="I55" t="str">
            <v>R</v>
          </cell>
          <cell r="J55">
            <v>952</v>
          </cell>
          <cell r="K55">
            <v>9</v>
          </cell>
          <cell r="L55">
            <v>0.313655462184874</v>
          </cell>
          <cell r="M55">
            <v>0.3556603773584906</v>
          </cell>
          <cell r="N55">
            <v>0.3346579197716823</v>
          </cell>
          <cell r="O55">
            <v>0.18212669683257918</v>
          </cell>
          <cell r="P55">
            <v>0.2978723404255319</v>
          </cell>
          <cell r="Q55">
            <v>0.23999951862905555</v>
          </cell>
          <cell r="R55">
            <v>0.28732871920036895</v>
          </cell>
          <cell r="S55">
            <v>0.10232722286114998</v>
          </cell>
          <cell r="T55">
            <v>29.401549884024934</v>
          </cell>
        </row>
        <row r="56">
          <cell r="B56" t="str">
            <v>Daniel Murphy</v>
          </cell>
          <cell r="C56">
            <v>4000</v>
          </cell>
          <cell r="D56" t="str">
            <v>WAS</v>
          </cell>
          <cell r="E56" t="str">
            <v>2B</v>
          </cell>
          <cell r="F56" t="str">
            <v>@NYM</v>
          </cell>
          <cell r="G56" t="str">
            <v>Lugo</v>
          </cell>
          <cell r="H56" t="str">
            <v>R</v>
          </cell>
          <cell r="I56" t="str">
            <v>L</v>
          </cell>
          <cell r="J56">
            <v>773</v>
          </cell>
          <cell r="K56">
            <v>21</v>
          </cell>
          <cell r="L56">
            <v>0.38557567917205693</v>
          </cell>
          <cell r="M56">
            <v>0.27333333333333332</v>
          </cell>
          <cell r="N56">
            <v>0.32945450625269512</v>
          </cell>
          <cell r="O56">
            <v>0.22957746478873239</v>
          </cell>
          <cell r="P56">
            <v>0.13461538461538461</v>
          </cell>
          <cell r="Q56">
            <v>0.1820964247020585</v>
          </cell>
          <cell r="R56">
            <v>0.25577546547737684</v>
          </cell>
          <cell r="S56">
            <v>0.11430102316559999</v>
          </cell>
          <cell r="T56">
            <v>29.235397404721773</v>
          </cell>
        </row>
        <row r="57">
          <cell r="B57" t="str">
            <v>Miguel Sano</v>
          </cell>
          <cell r="C57">
            <v>3000</v>
          </cell>
          <cell r="D57" t="str">
            <v>MIN</v>
          </cell>
          <cell r="E57" t="str">
            <v>OF</v>
          </cell>
          <cell r="F57" t="str">
            <v>CHW</v>
          </cell>
          <cell r="G57" t="str">
            <v>Ranaudo</v>
          </cell>
          <cell r="H57" t="str">
            <v>R</v>
          </cell>
          <cell r="I57" t="str">
            <v>R</v>
          </cell>
          <cell r="J57">
            <v>582</v>
          </cell>
          <cell r="K57">
            <v>18</v>
          </cell>
          <cell r="L57">
            <v>0.35824742268041238</v>
          </cell>
          <cell r="M57">
            <v>0.40352941176470586</v>
          </cell>
          <cell r="N57">
            <v>0.38088841722255912</v>
          </cell>
          <cell r="O57">
            <v>0.23799999999999999</v>
          </cell>
          <cell r="P57">
            <v>0.26470588235294118</v>
          </cell>
          <cell r="Q57">
            <v>0.25135294117647056</v>
          </cell>
          <cell r="R57">
            <v>0.31612067919951481</v>
          </cell>
          <cell r="S57">
            <v>7.935024494460001E-2</v>
          </cell>
          <cell r="T57">
            <v>25.084253326534821</v>
          </cell>
        </row>
        <row r="58">
          <cell r="B58" t="str">
            <v>Tyler Naquin</v>
          </cell>
          <cell r="C58">
            <v>2900</v>
          </cell>
          <cell r="D58" t="str">
            <v>CLE</v>
          </cell>
          <cell r="E58" t="str">
            <v>OF</v>
          </cell>
          <cell r="F58" t="str">
            <v>MIA</v>
          </cell>
          <cell r="G58" t="str">
            <v>Koehler</v>
          </cell>
          <cell r="H58" t="str">
            <v>R</v>
          </cell>
          <cell r="I58" t="str">
            <v>L</v>
          </cell>
          <cell r="J58">
            <v>259</v>
          </cell>
          <cell r="K58">
            <v>14</v>
          </cell>
          <cell r="L58">
            <v>0.4057915057915058</v>
          </cell>
          <cell r="M58">
            <v>0.33355525965379496</v>
          </cell>
          <cell r="N58">
            <v>0.36967338272265038</v>
          </cell>
          <cell r="O58">
            <v>0.27350427350427353</v>
          </cell>
          <cell r="P58">
            <v>0.16036308623298035</v>
          </cell>
          <cell r="Q58">
            <v>0.21693367986862694</v>
          </cell>
          <cell r="R58">
            <v>0.29330353129563869</v>
          </cell>
          <cell r="S58">
            <v>9.5834551649900013E-2</v>
          </cell>
          <cell r="T58">
            <v>28.108612419049948</v>
          </cell>
        </row>
        <row r="59">
          <cell r="B59" t="str">
            <v>Adonis Garcia</v>
          </cell>
          <cell r="C59">
            <v>3100</v>
          </cell>
          <cell r="D59" t="str">
            <v>ATL</v>
          </cell>
          <cell r="E59" t="str">
            <v>3B</v>
          </cell>
          <cell r="F59" t="str">
            <v>@PHI</v>
          </cell>
          <cell r="G59" t="str">
            <v>Thompson</v>
          </cell>
          <cell r="H59" t="str">
            <v>R</v>
          </cell>
          <cell r="I59" t="str">
            <v>R</v>
          </cell>
          <cell r="J59">
            <v>466</v>
          </cell>
          <cell r="K59">
            <v>9</v>
          </cell>
          <cell r="L59">
            <v>0.31802575107296133</v>
          </cell>
          <cell r="M59">
            <v>0.3556603773584906</v>
          </cell>
          <cell r="N59">
            <v>0.33684306421572596</v>
          </cell>
          <cell r="O59">
            <v>0.17303370786516853</v>
          </cell>
          <cell r="P59">
            <v>0.2978723404255319</v>
          </cell>
          <cell r="Q59">
            <v>0.23545302414535021</v>
          </cell>
          <cell r="R59">
            <v>0.28614804418053807</v>
          </cell>
          <cell r="S59">
            <v>9.8213410174499985E-2</v>
          </cell>
          <cell r="T59">
            <v>28.103575233734126</v>
          </cell>
        </row>
        <row r="60">
          <cell r="B60" t="str">
            <v>Kevan Smith</v>
          </cell>
          <cell r="C60">
            <v>2000</v>
          </cell>
          <cell r="D60" t="str">
            <v>CHW</v>
          </cell>
          <cell r="E60" t="str">
            <v>C</v>
          </cell>
          <cell r="F60" t="str">
            <v>@MIN</v>
          </cell>
          <cell r="G60" t="str">
            <v>Albers</v>
          </cell>
          <cell r="H60" t="str">
            <v>L</v>
          </cell>
          <cell r="I60" t="str">
            <v>R</v>
          </cell>
          <cell r="J60">
            <v>4</v>
          </cell>
          <cell r="K60">
            <v>18</v>
          </cell>
          <cell r="L60">
            <v>0</v>
          </cell>
          <cell r="M60">
            <v>0.55476190476190479</v>
          </cell>
          <cell r="N60">
            <v>0.27738095238095239</v>
          </cell>
          <cell r="O60">
            <v>0</v>
          </cell>
          <cell r="P60">
            <v>0.44736842105263158</v>
          </cell>
          <cell r="Q60">
            <v>0.22368421052631579</v>
          </cell>
          <cell r="R60">
            <v>0.25053258145363411</v>
          </cell>
          <cell r="S60">
            <v>9.9321662542500008E-2</v>
          </cell>
          <cell r="T60">
            <v>24.883312511039243</v>
          </cell>
        </row>
        <row r="61">
          <cell r="B61" t="str">
            <v>Albert Pujols</v>
          </cell>
          <cell r="C61">
            <v>3300</v>
          </cell>
          <cell r="D61" t="str">
            <v>LAA</v>
          </cell>
          <cell r="E61" t="str">
            <v>1B</v>
          </cell>
          <cell r="F61" t="str">
            <v>@SEA</v>
          </cell>
          <cell r="G61" t="str">
            <v>Iwakuma</v>
          </cell>
          <cell r="H61" t="str">
            <v>R</v>
          </cell>
          <cell r="I61" t="str">
            <v>R</v>
          </cell>
          <cell r="J61">
            <v>925</v>
          </cell>
          <cell r="K61">
            <v>29</v>
          </cell>
          <cell r="L61">
            <v>0.33427027027027023</v>
          </cell>
          <cell r="M61">
            <v>0.30911251980982563</v>
          </cell>
          <cell r="N61">
            <v>0.32169139504004796</v>
          </cell>
          <cell r="O61">
            <v>0.20598802395209581</v>
          </cell>
          <cell r="P61">
            <v>0.18103448275862069</v>
          </cell>
          <cell r="Q61">
            <v>0.19351125335535824</v>
          </cell>
          <cell r="R61">
            <v>0.2576013241977031</v>
          </cell>
          <cell r="S61">
            <v>0.10772151806465001</v>
          </cell>
          <cell r="T61">
            <v>27.749205698040637</v>
          </cell>
        </row>
        <row r="62">
          <cell r="B62" t="str">
            <v>Matt Carpenter</v>
          </cell>
          <cell r="C62">
            <v>4100</v>
          </cell>
          <cell r="D62" t="str">
            <v>STL</v>
          </cell>
          <cell r="E62" t="str">
            <v>2B</v>
          </cell>
          <cell r="F62" t="str">
            <v>@CIN</v>
          </cell>
          <cell r="G62" t="str">
            <v>Adleman</v>
          </cell>
          <cell r="H62" t="str">
            <v>R</v>
          </cell>
          <cell r="I62" t="str">
            <v>L</v>
          </cell>
          <cell r="J62">
            <v>762</v>
          </cell>
          <cell r="K62">
            <v>3</v>
          </cell>
          <cell r="L62">
            <v>0.39744094488188975</v>
          </cell>
          <cell r="M62">
            <v>0.35833333333333334</v>
          </cell>
          <cell r="N62">
            <v>0.37788713910761151</v>
          </cell>
          <cell r="O62">
            <v>0.25776397515527949</v>
          </cell>
          <cell r="P62">
            <v>0.22580645161290322</v>
          </cell>
          <cell r="Q62">
            <v>0.24178521338409137</v>
          </cell>
          <cell r="R62">
            <v>0.30983617624585147</v>
          </cell>
          <cell r="S62">
            <v>8.8133948751549979E-2</v>
          </cell>
          <cell r="T62">
            <v>27.307085678628081</v>
          </cell>
        </row>
        <row r="63">
          <cell r="B63" t="str">
            <v>Manny Machado</v>
          </cell>
          <cell r="C63">
            <v>4200</v>
          </cell>
          <cell r="D63" t="str">
            <v>BAL</v>
          </cell>
          <cell r="E63" t="str">
            <v>3B</v>
          </cell>
          <cell r="F63" t="str">
            <v>NYY</v>
          </cell>
          <cell r="G63" t="str">
            <v>Pineda</v>
          </cell>
          <cell r="H63" t="str">
            <v>R</v>
          </cell>
          <cell r="I63" t="str">
            <v>R</v>
          </cell>
          <cell r="J63">
            <v>968</v>
          </cell>
          <cell r="K63">
            <v>5</v>
          </cell>
          <cell r="L63">
            <v>0.38956611570247934</v>
          </cell>
          <cell r="M63">
            <v>0.32776183644189383</v>
          </cell>
          <cell r="N63">
            <v>0.35866397607218659</v>
          </cell>
          <cell r="O63">
            <v>0.25257142857142856</v>
          </cell>
          <cell r="P63">
            <v>0.18721461187214611</v>
          </cell>
          <cell r="Q63">
            <v>0.21989302022178733</v>
          </cell>
          <cell r="R63">
            <v>0.28927849814698697</v>
          </cell>
          <cell r="S63">
            <v>9.2458143594200015E-2</v>
          </cell>
          <cell r="T63">
            <v>26.746152920388646</v>
          </cell>
        </row>
        <row r="64">
          <cell r="B64" t="str">
            <v>Trea Turner</v>
          </cell>
          <cell r="C64">
            <v>4000</v>
          </cell>
          <cell r="D64" t="str">
            <v>WAS</v>
          </cell>
          <cell r="E64" t="str">
            <v>OF</v>
          </cell>
          <cell r="F64" t="str">
            <v>@NYM</v>
          </cell>
          <cell r="G64" t="str">
            <v>Lugo</v>
          </cell>
          <cell r="H64" t="str">
            <v>R</v>
          </cell>
          <cell r="I64" t="str">
            <v>R</v>
          </cell>
          <cell r="J64">
            <v>193</v>
          </cell>
          <cell r="K64">
            <v>21</v>
          </cell>
          <cell r="L64">
            <v>0.37176165803108807</v>
          </cell>
          <cell r="M64">
            <v>0.23782051282051278</v>
          </cell>
          <cell r="N64">
            <v>0.30479108542580041</v>
          </cell>
          <cell r="O64">
            <v>0.2032967032967033</v>
          </cell>
          <cell r="P64">
            <v>7.8125E-2</v>
          </cell>
          <cell r="Q64">
            <v>0.14071085164835165</v>
          </cell>
          <cell r="R64">
            <v>0.22275096853707604</v>
          </cell>
          <cell r="S64">
            <v>0.11794294089329999</v>
          </cell>
          <cell r="T64">
            <v>26.271904316093686</v>
          </cell>
        </row>
        <row r="65">
          <cell r="B65" t="str">
            <v>Nick Markakis</v>
          </cell>
          <cell r="C65">
            <v>2800</v>
          </cell>
          <cell r="D65" t="str">
            <v>ATL</v>
          </cell>
          <cell r="E65" t="str">
            <v>OF</v>
          </cell>
          <cell r="F65" t="str">
            <v>@PHI</v>
          </cell>
          <cell r="G65" t="str">
            <v>Thompson</v>
          </cell>
          <cell r="H65" t="str">
            <v>R</v>
          </cell>
          <cell r="I65" t="str">
            <v>L</v>
          </cell>
          <cell r="J65">
            <v>892</v>
          </cell>
          <cell r="K65">
            <v>9</v>
          </cell>
          <cell r="L65">
            <v>0.34764573991031394</v>
          </cell>
          <cell r="M65">
            <v>0.40441176470588236</v>
          </cell>
          <cell r="N65">
            <v>0.37602875230809818</v>
          </cell>
          <cell r="O65">
            <v>0.11328125</v>
          </cell>
          <cell r="P65">
            <v>0.23214285714285715</v>
          </cell>
          <cell r="Q65">
            <v>0.17271205357142858</v>
          </cell>
          <cell r="R65">
            <v>0.27437040293976339</v>
          </cell>
          <cell r="S65">
            <v>9.3494509171200002E-2</v>
          </cell>
          <cell r="T65">
            <v>25.65212615395755</v>
          </cell>
        </row>
        <row r="66">
          <cell r="B66" t="str">
            <v>Andrew McCutchen</v>
          </cell>
          <cell r="C66">
            <v>3300</v>
          </cell>
          <cell r="D66" t="str">
            <v>PIT</v>
          </cell>
          <cell r="E66" t="str">
            <v>OF</v>
          </cell>
          <cell r="F66" t="str">
            <v>MIL</v>
          </cell>
          <cell r="G66" t="str">
            <v>Anderson</v>
          </cell>
          <cell r="H66" t="str">
            <v>R</v>
          </cell>
          <cell r="I66" t="str">
            <v>R</v>
          </cell>
          <cell r="J66">
            <v>987</v>
          </cell>
          <cell r="K66">
            <v>27</v>
          </cell>
          <cell r="L66">
            <v>0.35921985815602836</v>
          </cell>
          <cell r="M66">
            <v>0.35568356374807991</v>
          </cell>
          <cell r="N66">
            <v>0.35745171095205414</v>
          </cell>
          <cell r="O66">
            <v>0.17985611510791366</v>
          </cell>
          <cell r="P66">
            <v>0.20812182741116753</v>
          </cell>
          <cell r="Q66">
            <v>0.19398897125954059</v>
          </cell>
          <cell r="R66">
            <v>0.27572034110579735</v>
          </cell>
          <cell r="S66">
            <v>9.2586167263499997E-2</v>
          </cell>
          <cell r="T66">
            <v>25.527889619570626</v>
          </cell>
        </row>
        <row r="67">
          <cell r="B67" t="str">
            <v>Adam Jones</v>
          </cell>
          <cell r="C67">
            <v>3400</v>
          </cell>
          <cell r="D67" t="str">
            <v>BAL</v>
          </cell>
          <cell r="E67" t="str">
            <v>OF</v>
          </cell>
          <cell r="F67" t="str">
            <v>NYY</v>
          </cell>
          <cell r="G67" t="str">
            <v>Pineda</v>
          </cell>
          <cell r="H67" t="str">
            <v>R</v>
          </cell>
          <cell r="I67" t="str">
            <v>R</v>
          </cell>
          <cell r="J67">
            <v>855</v>
          </cell>
          <cell r="K67">
            <v>5</v>
          </cell>
          <cell r="L67">
            <v>0.3454970760233918</v>
          </cell>
          <cell r="M67">
            <v>0.32776183644189383</v>
          </cell>
          <cell r="N67">
            <v>0.33662945623264284</v>
          </cell>
          <cell r="O67">
            <v>0.20428751576292559</v>
          </cell>
          <cell r="P67">
            <v>0.18721461187214611</v>
          </cell>
          <cell r="Q67">
            <v>0.19575106381753585</v>
          </cell>
          <cell r="R67">
            <v>0.26619026002508933</v>
          </cell>
          <cell r="S67">
            <v>9.5064619436000003E-2</v>
          </cell>
          <cell r="T67">
            <v>25.305275766855001</v>
          </cell>
        </row>
        <row r="68">
          <cell r="B68" t="str">
            <v>Randal Grichuk</v>
          </cell>
          <cell r="C68">
            <v>3500</v>
          </cell>
          <cell r="D68" t="str">
            <v>STL</v>
          </cell>
          <cell r="E68" t="str">
            <v>OF</v>
          </cell>
          <cell r="F68" t="str">
            <v>@CIN</v>
          </cell>
          <cell r="G68" t="str">
            <v>Adleman</v>
          </cell>
          <cell r="H68" t="str">
            <v>R</v>
          </cell>
          <cell r="I68" t="str">
            <v>R</v>
          </cell>
          <cell r="J68">
            <v>492</v>
          </cell>
          <cell r="K68">
            <v>3</v>
          </cell>
          <cell r="L68">
            <v>0.35609756097560974</v>
          </cell>
          <cell r="M68">
            <v>0.3430379746835443</v>
          </cell>
          <cell r="N68">
            <v>0.34956776782957699</v>
          </cell>
          <cell r="O68">
            <v>0.27753303964757708</v>
          </cell>
          <cell r="P68">
            <v>0.22857142857142856</v>
          </cell>
          <cell r="Q68">
            <v>0.25305223410950284</v>
          </cell>
          <cell r="R68">
            <v>0.30131000096953992</v>
          </cell>
          <cell r="S68">
            <v>8.3831108676050009E-2</v>
          </cell>
          <cell r="T68">
            <v>25.259151436458236</v>
          </cell>
        </row>
        <row r="69">
          <cell r="B69" t="str">
            <v>Jose Bautista</v>
          </cell>
          <cell r="C69">
            <v>3500</v>
          </cell>
          <cell r="D69" t="str">
            <v>TOR</v>
          </cell>
          <cell r="E69" t="str">
            <v>OF</v>
          </cell>
          <cell r="F69" t="str">
            <v>@TB</v>
          </cell>
          <cell r="G69" t="str">
            <v>Archer</v>
          </cell>
          <cell r="H69" t="str">
            <v>R</v>
          </cell>
          <cell r="I69" t="str">
            <v>R</v>
          </cell>
          <cell r="J69">
            <v>844</v>
          </cell>
          <cell r="K69">
            <v>23</v>
          </cell>
          <cell r="L69">
            <v>0.37896919431279624</v>
          </cell>
          <cell r="M69">
            <v>0.29910141206675223</v>
          </cell>
          <cell r="N69">
            <v>0.33903530318977426</v>
          </cell>
          <cell r="O69">
            <v>0.27206946454413894</v>
          </cell>
          <cell r="P69">
            <v>0.13940256045519203</v>
          </cell>
          <cell r="Q69">
            <v>0.2057360124996655</v>
          </cell>
          <cell r="R69">
            <v>0.27238565784471991</v>
          </cell>
          <cell r="S69">
            <v>9.2275784344425016E-2</v>
          </cell>
          <cell r="T69">
            <v>25.134600221793715</v>
          </cell>
        </row>
        <row r="70">
          <cell r="B70" t="str">
            <v>Adam Eaton</v>
          </cell>
          <cell r="C70">
            <v>3400</v>
          </cell>
          <cell r="D70" t="str">
            <v>CHW</v>
          </cell>
          <cell r="E70" t="str">
            <v>OF</v>
          </cell>
          <cell r="F70" t="str">
            <v>@MIN</v>
          </cell>
          <cell r="G70" t="str">
            <v>Albers</v>
          </cell>
          <cell r="H70" t="str">
            <v>L</v>
          </cell>
          <cell r="I70" t="str">
            <v>L</v>
          </cell>
          <cell r="J70">
            <v>332</v>
          </cell>
          <cell r="K70">
            <v>18</v>
          </cell>
          <cell r="L70">
            <v>0.31144578313253007</v>
          </cell>
          <cell r="M70">
            <v>0.26363636363636361</v>
          </cell>
          <cell r="N70">
            <v>0.28754107338444684</v>
          </cell>
          <cell r="O70">
            <v>7.1428571428571425E-2</v>
          </cell>
          <cell r="P70">
            <v>0.27272727272727271</v>
          </cell>
          <cell r="Q70">
            <v>0.17207792207792205</v>
          </cell>
          <cell r="R70">
            <v>0.22980949773118445</v>
          </cell>
          <cell r="S70">
            <v>0.10736018561504999</v>
          </cell>
          <cell r="T70">
            <v>24.672390332521374</v>
          </cell>
        </row>
        <row r="71">
          <cell r="B71" t="str">
            <v>Chris Davis</v>
          </cell>
          <cell r="C71">
            <v>3500</v>
          </cell>
          <cell r="D71" t="str">
            <v>BAL</v>
          </cell>
          <cell r="E71" t="str">
            <v>1B</v>
          </cell>
          <cell r="F71" t="str">
            <v>NYY</v>
          </cell>
          <cell r="G71" t="str">
            <v>Pineda</v>
          </cell>
          <cell r="H71" t="str">
            <v>R</v>
          </cell>
          <cell r="I71" t="str">
            <v>L</v>
          </cell>
          <cell r="J71">
            <v>855</v>
          </cell>
          <cell r="K71">
            <v>5</v>
          </cell>
          <cell r="L71">
            <v>0.38637426900584798</v>
          </cell>
          <cell r="M71">
            <v>0.33330564784053157</v>
          </cell>
          <cell r="N71">
            <v>0.35983995842318978</v>
          </cell>
          <cell r="O71">
            <v>0.3154929577464789</v>
          </cell>
          <cell r="P71">
            <v>0.17953321364452424</v>
          </cell>
          <cell r="Q71">
            <v>0.24751308569550157</v>
          </cell>
          <cell r="R71">
            <v>0.3036765220593457</v>
          </cell>
          <cell r="S71">
            <v>8.2284648936200022E-2</v>
          </cell>
          <cell r="T71">
            <v>24.987916007819464</v>
          </cell>
        </row>
        <row r="72">
          <cell r="B72" t="str">
            <v>Tyler Flowers</v>
          </cell>
          <cell r="C72">
            <v>2800</v>
          </cell>
          <cell r="D72" t="str">
            <v>ATL</v>
          </cell>
          <cell r="E72" t="str">
            <v>C</v>
          </cell>
          <cell r="F72" t="str">
            <v>@PHI</v>
          </cell>
          <cell r="G72" t="str">
            <v>Thompson</v>
          </cell>
          <cell r="H72" t="str">
            <v>R</v>
          </cell>
          <cell r="I72" t="str">
            <v>R</v>
          </cell>
          <cell r="J72">
            <v>444</v>
          </cell>
          <cell r="K72">
            <v>9</v>
          </cell>
          <cell r="L72">
            <v>0.29876126126126124</v>
          </cell>
          <cell r="M72">
            <v>0.3556603773584906</v>
          </cell>
          <cell r="N72">
            <v>0.32721081930987594</v>
          </cell>
          <cell r="O72">
            <v>0.13366336633663367</v>
          </cell>
          <cell r="P72">
            <v>0.2978723404255319</v>
          </cell>
          <cell r="Q72">
            <v>0.21576785338108279</v>
          </cell>
          <cell r="R72">
            <v>0.27148933634547934</v>
          </cell>
          <cell r="S72">
            <v>0.1275477523428</v>
          </cell>
          <cell r="T72">
            <v>34.627854635904328</v>
          </cell>
        </row>
        <row r="73">
          <cell r="B73" t="str">
            <v>Gregory Polanco</v>
          </cell>
          <cell r="C73">
            <v>3400</v>
          </cell>
          <cell r="D73" t="str">
            <v>PIT</v>
          </cell>
          <cell r="E73" t="str">
            <v>OF</v>
          </cell>
          <cell r="F73" t="str">
            <v>MIL</v>
          </cell>
          <cell r="G73" t="str">
            <v>Anderson</v>
          </cell>
          <cell r="H73" t="str">
            <v>R</v>
          </cell>
          <cell r="I73" t="str">
            <v>L</v>
          </cell>
          <cell r="J73">
            <v>909</v>
          </cell>
          <cell r="K73">
            <v>27</v>
          </cell>
          <cell r="L73">
            <v>0.34042904290429044</v>
          </cell>
          <cell r="M73">
            <v>0.32032136105860115</v>
          </cell>
          <cell r="N73">
            <v>0.33037520198144577</v>
          </cell>
          <cell r="O73">
            <v>0.17423312883435582</v>
          </cell>
          <cell r="P73">
            <v>0.17834394904458598</v>
          </cell>
          <cell r="Q73">
            <v>0.17628853893947088</v>
          </cell>
          <cell r="R73">
            <v>0.25333187046045835</v>
          </cell>
          <cell r="S73">
            <v>9.797546887109998E-2</v>
          </cell>
          <cell r="T73">
            <v>24.820308788356172</v>
          </cell>
        </row>
        <row r="74">
          <cell r="B74" t="str">
            <v>Carlos Sanchez</v>
          </cell>
          <cell r="C74">
            <v>2500</v>
          </cell>
          <cell r="D74" t="str">
            <v>CHW</v>
          </cell>
          <cell r="E74" t="str">
            <v>2B</v>
          </cell>
          <cell r="F74" t="str">
            <v>@MIN</v>
          </cell>
          <cell r="G74" t="str">
            <v>Albers</v>
          </cell>
          <cell r="H74" t="str">
            <v>L</v>
          </cell>
          <cell r="I74" t="str">
            <v>S</v>
          </cell>
          <cell r="J74">
            <v>112</v>
          </cell>
          <cell r="K74">
            <v>18</v>
          </cell>
          <cell r="L74">
            <v>0.24464285714285713</v>
          </cell>
          <cell r="M74">
            <v>0.55476190476190479</v>
          </cell>
          <cell r="N74">
            <v>0.39970238095238098</v>
          </cell>
          <cell r="O74">
            <v>0.10185185185185185</v>
          </cell>
          <cell r="P74">
            <v>0.44736842105263158</v>
          </cell>
          <cell r="Q74">
            <v>0.27461013645224169</v>
          </cell>
          <cell r="R74">
            <v>0.33715625870231136</v>
          </cell>
          <cell r="S74">
            <v>7.1778407297774988E-2</v>
          </cell>
          <cell r="T74">
            <v>24.200539260128497</v>
          </cell>
        </row>
        <row r="75">
          <cell r="B75" t="str">
            <v>Jake Lamb</v>
          </cell>
          <cell r="C75">
            <v>3600</v>
          </cell>
          <cell r="D75" t="str">
            <v>ARI</v>
          </cell>
          <cell r="E75" t="str">
            <v>3B</v>
          </cell>
          <cell r="F75" t="str">
            <v>@COL</v>
          </cell>
          <cell r="G75" t="str">
            <v>Gray</v>
          </cell>
          <cell r="H75" t="str">
            <v>R</v>
          </cell>
          <cell r="I75" t="str">
            <v>L</v>
          </cell>
          <cell r="J75">
            <v>733</v>
          </cell>
          <cell r="K75">
            <v>1</v>
          </cell>
          <cell r="L75">
            <v>0.36391541609822647</v>
          </cell>
          <cell r="M75">
            <v>0.31737967914438503</v>
          </cell>
          <cell r="N75">
            <v>0.34064754762130578</v>
          </cell>
          <cell r="O75">
            <v>0.22374429223744291</v>
          </cell>
          <cell r="P75">
            <v>0.13897280966767372</v>
          </cell>
          <cell r="Q75">
            <v>0.18135855095255832</v>
          </cell>
          <cell r="R75">
            <v>0.26100304928693208</v>
          </cell>
          <cell r="S75">
            <v>9.3497844840249991E-2</v>
          </cell>
          <cell r="T75">
            <v>24.403222605061696</v>
          </cell>
        </row>
        <row r="76">
          <cell r="B76" t="str">
            <v>DJ LeMahieu</v>
          </cell>
          <cell r="C76">
            <v>4100</v>
          </cell>
          <cell r="D76" t="str">
            <v>COL</v>
          </cell>
          <cell r="E76" t="str">
            <v>2B</v>
          </cell>
          <cell r="F76" t="str">
            <v>ARI</v>
          </cell>
          <cell r="G76" t="str">
            <v>Bradley</v>
          </cell>
          <cell r="H76" t="str">
            <v>R</v>
          </cell>
          <cell r="I76" t="str">
            <v>R</v>
          </cell>
          <cell r="J76">
            <v>866</v>
          </cell>
          <cell r="K76">
            <v>1</v>
          </cell>
          <cell r="L76">
            <v>0.35744803695150112</v>
          </cell>
          <cell r="M76">
            <v>0.31015151515151518</v>
          </cell>
          <cell r="N76">
            <v>0.33379977605150812</v>
          </cell>
          <cell r="O76">
            <v>0.11969111969111969</v>
          </cell>
          <cell r="P76">
            <v>0.15358361774744028</v>
          </cell>
          <cell r="Q76">
            <v>0.13663736871927998</v>
          </cell>
          <cell r="R76">
            <v>0.23521857238539406</v>
          </cell>
          <cell r="S76">
            <v>0.10368321633989999</v>
          </cell>
          <cell r="T76">
            <v>24.388218127797238</v>
          </cell>
        </row>
        <row r="77">
          <cell r="B77" t="str">
            <v>Corey Seager</v>
          </cell>
          <cell r="C77">
            <v>3500</v>
          </cell>
          <cell r="D77" t="str">
            <v>LAD</v>
          </cell>
          <cell r="E77" t="str">
            <v>SS</v>
          </cell>
          <cell r="F77" t="str">
            <v>SD</v>
          </cell>
          <cell r="G77" t="str">
            <v>Friedrich</v>
          </cell>
          <cell r="H77" t="str">
            <v>L</v>
          </cell>
          <cell r="I77" t="str">
            <v>L</v>
          </cell>
          <cell r="J77">
            <v>216</v>
          </cell>
          <cell r="K77">
            <v>17</v>
          </cell>
          <cell r="L77">
            <v>0.35532407407407407</v>
          </cell>
          <cell r="M77">
            <v>0.29954751131221719</v>
          </cell>
          <cell r="N77">
            <v>0.3274357926931456</v>
          </cell>
          <cell r="O77">
            <v>0.1875</v>
          </cell>
          <cell r="P77">
            <v>0.11055276381909548</v>
          </cell>
          <cell r="Q77">
            <v>0.14902638190954776</v>
          </cell>
          <cell r="R77">
            <v>0.23823108730134668</v>
          </cell>
          <cell r="S77">
            <v>0.1017596808178</v>
          </cell>
          <cell r="T77">
            <v>24.242319404662485</v>
          </cell>
        </row>
        <row r="78">
          <cell r="B78" t="str">
            <v>Charlie Blackmon</v>
          </cell>
          <cell r="C78">
            <v>4600</v>
          </cell>
          <cell r="D78" t="str">
            <v>COL</v>
          </cell>
          <cell r="E78" t="str">
            <v>OF</v>
          </cell>
          <cell r="F78" t="str">
            <v>ARI</v>
          </cell>
          <cell r="G78" t="str">
            <v>Bradley</v>
          </cell>
          <cell r="H78" t="str">
            <v>R</v>
          </cell>
          <cell r="I78" t="str">
            <v>L</v>
          </cell>
          <cell r="J78">
            <v>887</v>
          </cell>
          <cell r="K78">
            <v>1</v>
          </cell>
          <cell r="L78">
            <v>0.37226606538895152</v>
          </cell>
          <cell r="M78">
            <v>0.38090909090909086</v>
          </cell>
          <cell r="N78">
            <v>0.37658757814902122</v>
          </cell>
          <cell r="O78">
            <v>0.21079046424090339</v>
          </cell>
          <cell r="P78">
            <v>0.18545454545454546</v>
          </cell>
          <cell r="Q78">
            <v>0.19812250484772442</v>
          </cell>
          <cell r="R78">
            <v>0.28735504149837282</v>
          </cell>
          <cell r="S78">
            <v>8.4288561738000006E-2</v>
          </cell>
          <cell r="T78">
            <v>24.220743156061154</v>
          </cell>
        </row>
        <row r="79">
          <cell r="B79" t="str">
            <v>Kendrys Morales</v>
          </cell>
          <cell r="C79">
            <v>3100</v>
          </cell>
          <cell r="D79" t="str">
            <v>KC</v>
          </cell>
          <cell r="E79" t="str">
            <v>1B</v>
          </cell>
          <cell r="F79" t="str">
            <v>DET</v>
          </cell>
          <cell r="G79" t="str">
            <v>Norris</v>
          </cell>
          <cell r="H79" t="str">
            <v>L</v>
          </cell>
          <cell r="I79" t="str">
            <v>S</v>
          </cell>
          <cell r="J79">
            <v>414</v>
          </cell>
          <cell r="K79">
            <v>20</v>
          </cell>
          <cell r="L79">
            <v>0.34673913043478266</v>
          </cell>
          <cell r="M79">
            <v>0.31510903426791281</v>
          </cell>
          <cell r="N79">
            <v>0.33092408235134774</v>
          </cell>
          <cell r="O79">
            <v>0.15079365079365079</v>
          </cell>
          <cell r="P79">
            <v>0.1678082191780822</v>
          </cell>
          <cell r="Q79">
            <v>0.1593009349858665</v>
          </cell>
          <cell r="R79">
            <v>0.24511250866860712</v>
          </cell>
          <cell r="S79">
            <v>9.5942466939249987E-2</v>
          </cell>
          <cell r="T79">
            <v>23.516698759334467</v>
          </cell>
        </row>
        <row r="80">
          <cell r="B80" t="str">
            <v>Mark Trumbo</v>
          </cell>
          <cell r="C80">
            <v>3400</v>
          </cell>
          <cell r="D80" t="str">
            <v>BAL</v>
          </cell>
          <cell r="E80" t="str">
            <v>OF</v>
          </cell>
          <cell r="F80" t="str">
            <v>NYY</v>
          </cell>
          <cell r="G80" t="str">
            <v>Pineda</v>
          </cell>
          <cell r="H80" t="str">
            <v>R</v>
          </cell>
          <cell r="I80" t="str">
            <v>R</v>
          </cell>
          <cell r="J80">
            <v>777</v>
          </cell>
          <cell r="K80">
            <v>5</v>
          </cell>
          <cell r="L80">
            <v>0.35592020592020596</v>
          </cell>
          <cell r="M80">
            <v>0.32776183644189383</v>
          </cell>
          <cell r="N80">
            <v>0.34184102118104986</v>
          </cell>
          <cell r="O80">
            <v>0.23389355742296919</v>
          </cell>
          <cell r="P80">
            <v>0.18721461187214611</v>
          </cell>
          <cell r="Q80">
            <v>0.21055408464755765</v>
          </cell>
          <cell r="R80">
            <v>0.27619755291430376</v>
          </cell>
          <cell r="S80">
            <v>8.7311533525699994E-2</v>
          </cell>
          <cell r="T80">
            <v>24.115231900993532</v>
          </cell>
        </row>
        <row r="81">
          <cell r="B81" t="str">
            <v>Gerardo Parra</v>
          </cell>
          <cell r="C81">
            <v>3500</v>
          </cell>
          <cell r="D81" t="str">
            <v>COL</v>
          </cell>
          <cell r="E81" t="str">
            <v>OF</v>
          </cell>
          <cell r="F81" t="str">
            <v>ARI</v>
          </cell>
          <cell r="G81" t="str">
            <v>Bradley</v>
          </cell>
          <cell r="H81" t="str">
            <v>R</v>
          </cell>
          <cell r="I81" t="str">
            <v>L</v>
          </cell>
          <cell r="J81">
            <v>719</v>
          </cell>
          <cell r="K81">
            <v>1</v>
          </cell>
          <cell r="L81">
            <v>0.3321279554937413</v>
          </cell>
          <cell r="M81">
            <v>0.38090909090909086</v>
          </cell>
          <cell r="N81">
            <v>0.35651852320141608</v>
          </cell>
          <cell r="O81">
            <v>0.1676470588235294</v>
          </cell>
          <cell r="P81">
            <v>0.18545454545454546</v>
          </cell>
          <cell r="Q81">
            <v>0.17655080213903743</v>
          </cell>
          <cell r="R81">
            <v>0.26653466267022674</v>
          </cell>
          <cell r="S81">
            <v>8.9366788774199998E-2</v>
          </cell>
          <cell r="T81">
            <v>23.819346899852803</v>
          </cell>
        </row>
        <row r="82">
          <cell r="B82" t="str">
            <v>Steve Pearce</v>
          </cell>
          <cell r="C82">
            <v>3000</v>
          </cell>
          <cell r="D82" t="str">
            <v>BAL</v>
          </cell>
          <cell r="E82" t="str">
            <v>OF</v>
          </cell>
          <cell r="F82" t="str">
            <v>NYY</v>
          </cell>
          <cell r="G82" t="str">
            <v>Pineda</v>
          </cell>
          <cell r="H82" t="str">
            <v>R</v>
          </cell>
          <cell r="I82" t="str">
            <v>R</v>
          </cell>
          <cell r="J82">
            <v>391</v>
          </cell>
          <cell r="K82">
            <v>5</v>
          </cell>
          <cell r="L82">
            <v>0.33772378516624046</v>
          </cell>
          <cell r="M82">
            <v>0.32776183644189383</v>
          </cell>
          <cell r="N82">
            <v>0.33274281080406715</v>
          </cell>
          <cell r="O82">
            <v>0.2</v>
          </cell>
          <cell r="P82">
            <v>0.18721461187214611</v>
          </cell>
          <cell r="Q82">
            <v>0.19360730593607306</v>
          </cell>
          <cell r="R82">
            <v>0.2631750583700701</v>
          </cell>
          <cell r="S82">
            <v>9.0301368679199995E-2</v>
          </cell>
          <cell r="T82">
            <v>23.765067973045678</v>
          </cell>
        </row>
        <row r="83">
          <cell r="B83" t="str">
            <v>John Jaso</v>
          </cell>
          <cell r="C83">
            <v>2700</v>
          </cell>
          <cell r="D83" t="str">
            <v>PIT</v>
          </cell>
          <cell r="E83" t="str">
            <v>1B</v>
          </cell>
          <cell r="F83" t="str">
            <v>MIL</v>
          </cell>
          <cell r="G83" t="str">
            <v>Anderson</v>
          </cell>
          <cell r="H83" t="str">
            <v>R</v>
          </cell>
          <cell r="I83" t="str">
            <v>L</v>
          </cell>
          <cell r="J83">
            <v>550</v>
          </cell>
          <cell r="K83">
            <v>27</v>
          </cell>
          <cell r="L83">
            <v>0.34654545454545449</v>
          </cell>
          <cell r="M83">
            <v>0.32032136105860115</v>
          </cell>
          <cell r="N83">
            <v>0.33343340780202779</v>
          </cell>
          <cell r="O83">
            <v>0.14492753623188406</v>
          </cell>
          <cell r="P83">
            <v>0.17834394904458598</v>
          </cell>
          <cell r="Q83">
            <v>0.16163574263823502</v>
          </cell>
          <cell r="R83">
            <v>0.24753457522013139</v>
          </cell>
          <cell r="S83">
            <v>9.5842403658000008E-2</v>
          </cell>
          <cell r="T83">
            <v>23.724308677559399</v>
          </cell>
        </row>
        <row r="84">
          <cell r="B84" t="str">
            <v>Max Kepler</v>
          </cell>
          <cell r="C84">
            <v>3200</v>
          </cell>
          <cell r="D84" t="str">
            <v>MIN</v>
          </cell>
          <cell r="E84" t="str">
            <v>OF</v>
          </cell>
          <cell r="F84" t="str">
            <v>CHW</v>
          </cell>
          <cell r="G84" t="str">
            <v>Ranaudo</v>
          </cell>
          <cell r="H84" t="str">
            <v>R</v>
          </cell>
          <cell r="I84" t="str">
            <v>L</v>
          </cell>
          <cell r="J84">
            <v>257</v>
          </cell>
          <cell r="K84">
            <v>18</v>
          </cell>
          <cell r="L84">
            <v>0.36108949416342412</v>
          </cell>
          <cell r="M84">
            <v>0.32990196078431372</v>
          </cell>
          <cell r="N84">
            <v>0.34549572747386892</v>
          </cell>
          <cell r="O84">
            <v>0.25663716814159293</v>
          </cell>
          <cell r="P84">
            <v>0.20930232558139536</v>
          </cell>
          <cell r="Q84">
            <v>0.23296974686149413</v>
          </cell>
          <cell r="R84">
            <v>0.2892327371676815</v>
          </cell>
          <cell r="S84">
            <v>8.0467014733500014E-2</v>
          </cell>
          <cell r="T84">
            <v>23.273694923082363</v>
          </cell>
        </row>
        <row r="85">
          <cell r="B85" t="str">
            <v>Robbie Grossman</v>
          </cell>
          <cell r="C85">
            <v>3000</v>
          </cell>
          <cell r="D85" t="str">
            <v>MIN</v>
          </cell>
          <cell r="E85" t="str">
            <v>OF</v>
          </cell>
          <cell r="F85" t="str">
            <v>CHW</v>
          </cell>
          <cell r="G85" t="str">
            <v>Ranaudo</v>
          </cell>
          <cell r="H85" t="str">
            <v>R</v>
          </cell>
          <cell r="I85" t="str">
            <v>S</v>
          </cell>
          <cell r="J85">
            <v>236</v>
          </cell>
          <cell r="K85">
            <v>18</v>
          </cell>
          <cell r="L85">
            <v>0.32012711864406779</v>
          </cell>
          <cell r="M85">
            <v>0.32990196078431372</v>
          </cell>
          <cell r="N85">
            <v>0.32501453971419075</v>
          </cell>
          <cell r="O85">
            <v>0.14720812182741116</v>
          </cell>
          <cell r="P85">
            <v>0.20930232558139536</v>
          </cell>
          <cell r="Q85">
            <v>0.17825522370440328</v>
          </cell>
          <cell r="R85">
            <v>0.25163488170929704</v>
          </cell>
          <cell r="S85">
            <v>8.9301279310575007E-2</v>
          </cell>
          <cell r="T85">
            <v>22.471316855805437</v>
          </cell>
        </row>
        <row r="86">
          <cell r="B86" t="str">
            <v>Josh Donaldson</v>
          </cell>
          <cell r="C86">
            <v>3900</v>
          </cell>
          <cell r="D86" t="str">
            <v>TOR</v>
          </cell>
          <cell r="E86" t="str">
            <v>3B</v>
          </cell>
          <cell r="F86" t="str">
            <v>@TB</v>
          </cell>
          <cell r="G86" t="str">
            <v>Archer</v>
          </cell>
          <cell r="H86" t="str">
            <v>R</v>
          </cell>
          <cell r="I86" t="str">
            <v>R</v>
          </cell>
          <cell r="J86">
            <v>1016</v>
          </cell>
          <cell r="K86">
            <v>23</v>
          </cell>
          <cell r="L86">
            <v>0.40118110236220472</v>
          </cell>
          <cell r="M86">
            <v>0.29910141206675223</v>
          </cell>
          <cell r="N86">
            <v>0.35014125721447847</v>
          </cell>
          <cell r="O86">
            <v>0.2696245733788396</v>
          </cell>
          <cell r="P86">
            <v>0.13940256045519203</v>
          </cell>
          <cell r="Q86">
            <v>0.20451356691701583</v>
          </cell>
          <cell r="R86">
            <v>0.27732741206574718</v>
          </cell>
          <cell r="S86">
            <v>8.3429541936825002E-2</v>
          </cell>
          <cell r="T86">
            <v>23.137298955170401</v>
          </cell>
        </row>
        <row r="87">
          <cell r="B87" t="str">
            <v>Pedro Alvarez</v>
          </cell>
          <cell r="C87">
            <v>3200</v>
          </cell>
          <cell r="D87" t="str">
            <v>BAL</v>
          </cell>
          <cell r="E87" t="str">
            <v>3B</v>
          </cell>
          <cell r="F87" t="str">
            <v>NYY</v>
          </cell>
          <cell r="G87" t="str">
            <v>Pineda</v>
          </cell>
          <cell r="H87" t="str">
            <v>R</v>
          </cell>
          <cell r="I87" t="str">
            <v>L</v>
          </cell>
          <cell r="J87">
            <v>709</v>
          </cell>
          <cell r="K87">
            <v>5</v>
          </cell>
          <cell r="L87">
            <v>0.35394922425952041</v>
          </cell>
          <cell r="M87">
            <v>0.33330564784053157</v>
          </cell>
          <cell r="N87">
            <v>0.34362743605002599</v>
          </cell>
          <cell r="O87">
            <v>0.2527646129541864</v>
          </cell>
          <cell r="P87">
            <v>0.17953321364452424</v>
          </cell>
          <cell r="Q87">
            <v>0.21614891329935532</v>
          </cell>
          <cell r="R87">
            <v>0.27988817467469063</v>
          </cell>
          <cell r="S87">
            <v>8.2607710147799995E-2</v>
          </cell>
          <cell r="T87">
            <v>23.120921207323658</v>
          </cell>
        </row>
        <row r="88">
          <cell r="B88" t="str">
            <v>Edwin Encarnacion</v>
          </cell>
          <cell r="C88">
            <v>3900</v>
          </cell>
          <cell r="D88" t="str">
            <v>TOR</v>
          </cell>
          <cell r="E88" t="str">
            <v>1B</v>
          </cell>
          <cell r="F88" t="str">
            <v>@TB</v>
          </cell>
          <cell r="G88" t="str">
            <v>Archer</v>
          </cell>
          <cell r="H88" t="str">
            <v>R</v>
          </cell>
          <cell r="I88" t="str">
            <v>R</v>
          </cell>
          <cell r="J88">
            <v>953</v>
          </cell>
          <cell r="K88">
            <v>23</v>
          </cell>
          <cell r="L88">
            <v>0.39144805876180483</v>
          </cell>
          <cell r="M88">
            <v>0.29910141206675223</v>
          </cell>
          <cell r="N88">
            <v>0.34527473541427856</v>
          </cell>
          <cell r="O88">
            <v>0.28676470588235292</v>
          </cell>
          <cell r="P88">
            <v>0.13940256045519203</v>
          </cell>
          <cell r="Q88">
            <v>0.21308363316877249</v>
          </cell>
          <cell r="R88">
            <v>0.27917918429152555</v>
          </cell>
          <cell r="S88">
            <v>8.2361853778875005E-2</v>
          </cell>
          <cell r="T88">
            <v>22.993715154724224</v>
          </cell>
        </row>
        <row r="89">
          <cell r="B89" t="str">
            <v>Jedd Gyorko</v>
          </cell>
          <cell r="C89">
            <v>3100</v>
          </cell>
          <cell r="D89" t="str">
            <v>STL</v>
          </cell>
          <cell r="E89" t="str">
            <v>3B</v>
          </cell>
          <cell r="F89" t="str">
            <v>@CIN</v>
          </cell>
          <cell r="G89" t="str">
            <v>Adleman</v>
          </cell>
          <cell r="H89" t="str">
            <v>R</v>
          </cell>
          <cell r="I89" t="str">
            <v>R</v>
          </cell>
          <cell r="J89">
            <v>555</v>
          </cell>
          <cell r="K89">
            <v>3</v>
          </cell>
          <cell r="L89">
            <v>0.32198198198198197</v>
          </cell>
          <cell r="M89">
            <v>0.3430379746835443</v>
          </cell>
          <cell r="N89">
            <v>0.33250997833276313</v>
          </cell>
          <cell r="O89">
            <v>0.22504892367906065</v>
          </cell>
          <cell r="P89">
            <v>0.22857142857142856</v>
          </cell>
          <cell r="Q89">
            <v>0.22681017612524462</v>
          </cell>
          <cell r="R89">
            <v>0.27966007722900388</v>
          </cell>
          <cell r="S89">
            <v>8.2077515944549984E-2</v>
          </cell>
          <cell r="T89">
            <v>22.953804447817646</v>
          </cell>
        </row>
        <row r="90">
          <cell r="B90" t="str">
            <v>David Dahl</v>
          </cell>
          <cell r="C90">
            <v>4100</v>
          </cell>
          <cell r="D90" t="str">
            <v>COL</v>
          </cell>
          <cell r="E90" t="str">
            <v>OF</v>
          </cell>
          <cell r="F90" t="str">
            <v>ARI</v>
          </cell>
          <cell r="G90" t="str">
            <v>Bradley</v>
          </cell>
          <cell r="H90" t="str">
            <v>R</v>
          </cell>
          <cell r="I90" t="str">
            <v>L</v>
          </cell>
          <cell r="J90">
            <v>126</v>
          </cell>
          <cell r="K90">
            <v>1</v>
          </cell>
          <cell r="L90">
            <v>0.4</v>
          </cell>
          <cell r="M90">
            <v>0.38090909090909086</v>
          </cell>
          <cell r="N90">
            <v>0.39045454545454544</v>
          </cell>
          <cell r="O90">
            <v>0.23076923076923078</v>
          </cell>
          <cell r="P90">
            <v>0.18545454545454546</v>
          </cell>
          <cell r="Q90">
            <v>0.20811188811188813</v>
          </cell>
          <cell r="R90">
            <v>0.29928321678321679</v>
          </cell>
          <cell r="S90">
            <v>7.6664923708500005E-2</v>
          </cell>
          <cell r="T90">
            <v>22.944524981919784</v>
          </cell>
        </row>
        <row r="91">
          <cell r="B91" t="str">
            <v>Danny Espinosa</v>
          </cell>
          <cell r="C91">
            <v>2700</v>
          </cell>
          <cell r="D91" t="str">
            <v>WAS</v>
          </cell>
          <cell r="E91" t="str">
            <v>SS</v>
          </cell>
          <cell r="F91" t="str">
            <v>@NYM</v>
          </cell>
          <cell r="G91" t="str">
            <v>Lugo</v>
          </cell>
          <cell r="H91" t="str">
            <v>R</v>
          </cell>
          <cell r="I91" t="str">
            <v>S</v>
          </cell>
          <cell r="J91">
            <v>704</v>
          </cell>
          <cell r="K91">
            <v>21</v>
          </cell>
          <cell r="L91">
            <v>0.31072443181818182</v>
          </cell>
          <cell r="M91">
            <v>0.27333333333333332</v>
          </cell>
          <cell r="N91">
            <v>0.29202888257575754</v>
          </cell>
          <cell r="O91">
            <v>0.15754560530679934</v>
          </cell>
          <cell r="P91">
            <v>0.13461538461538461</v>
          </cell>
          <cell r="Q91">
            <v>0.14608049496109199</v>
          </cell>
          <cell r="R91">
            <v>0.21905468876842477</v>
          </cell>
          <cell r="S91">
            <v>0.1046667361344</v>
          </cell>
          <cell r="T91">
            <v>22.92773930832783</v>
          </cell>
        </row>
        <row r="92">
          <cell r="B92" t="str">
            <v>Miguel Cabrera</v>
          </cell>
          <cell r="C92">
            <v>3800</v>
          </cell>
          <cell r="D92" t="str">
            <v>DET</v>
          </cell>
          <cell r="E92" t="str">
            <v>1B</v>
          </cell>
          <cell r="F92" t="str">
            <v>@KC</v>
          </cell>
          <cell r="G92" t="str">
            <v>Volquez</v>
          </cell>
          <cell r="H92" t="str">
            <v>R</v>
          </cell>
          <cell r="I92" t="str">
            <v>R</v>
          </cell>
          <cell r="J92">
            <v>818</v>
          </cell>
          <cell r="K92">
            <v>20</v>
          </cell>
          <cell r="L92">
            <v>0.41473105134474325</v>
          </cell>
          <cell r="M92">
            <v>0.31851851851851853</v>
          </cell>
          <cell r="N92">
            <v>0.36662478493163086</v>
          </cell>
          <cell r="O92">
            <v>0.22657342657342658</v>
          </cell>
          <cell r="P92">
            <v>0.11834319526627218</v>
          </cell>
          <cell r="Q92">
            <v>0.17245831091984937</v>
          </cell>
          <cell r="R92">
            <v>0.26954154792574014</v>
          </cell>
          <cell r="S92">
            <v>8.2956780365550001E-2</v>
          </cell>
          <cell r="T92">
            <v>22.360298990665996</v>
          </cell>
        </row>
        <row r="93">
          <cell r="B93" t="str">
            <v>Daniel Descalso</v>
          </cell>
          <cell r="C93">
            <v>3100</v>
          </cell>
          <cell r="D93" t="str">
            <v>COL</v>
          </cell>
          <cell r="E93" t="str">
            <v>SS</v>
          </cell>
          <cell r="F93" t="str">
            <v>ARI</v>
          </cell>
          <cell r="G93" t="str">
            <v>Bradley</v>
          </cell>
          <cell r="H93" t="str">
            <v>R</v>
          </cell>
          <cell r="I93" t="str">
            <v>L</v>
          </cell>
          <cell r="J93">
            <v>366</v>
          </cell>
          <cell r="K93">
            <v>1</v>
          </cell>
          <cell r="L93">
            <v>0.32131147540983607</v>
          </cell>
          <cell r="M93">
            <v>0.38090909090909086</v>
          </cell>
          <cell r="N93">
            <v>0.35111028315946347</v>
          </cell>
          <cell r="O93">
            <v>0.1464968152866242</v>
          </cell>
          <cell r="P93">
            <v>0.18545454545454546</v>
          </cell>
          <cell r="Q93">
            <v>0.16597568037058483</v>
          </cell>
          <cell r="R93">
            <v>0.25854298176502416</v>
          </cell>
          <cell r="S93">
            <v>8.8334059908900003E-2</v>
          </cell>
          <cell r="T93">
            <v>22.838151240257282</v>
          </cell>
        </row>
        <row r="94">
          <cell r="B94" t="str">
            <v>Paul Goldschmidt</v>
          </cell>
          <cell r="C94">
            <v>4500</v>
          </cell>
          <cell r="D94" t="str">
            <v>ARI</v>
          </cell>
          <cell r="E94" t="str">
            <v>1B</v>
          </cell>
          <cell r="F94" t="str">
            <v>@COL</v>
          </cell>
          <cell r="G94" t="str">
            <v>Gray</v>
          </cell>
          <cell r="H94" t="str">
            <v>R</v>
          </cell>
          <cell r="I94" t="str">
            <v>R</v>
          </cell>
          <cell r="J94">
            <v>1003</v>
          </cell>
          <cell r="K94">
            <v>1</v>
          </cell>
          <cell r="L94">
            <v>0.40289132602193423</v>
          </cell>
          <cell r="M94">
            <v>0.32947103274559197</v>
          </cell>
          <cell r="N94">
            <v>0.3661811793837631</v>
          </cell>
          <cell r="O94">
            <v>0.2143727161997564</v>
          </cell>
          <cell r="P94">
            <v>0.16285714285714287</v>
          </cell>
          <cell r="Q94">
            <v>0.18861492952844963</v>
          </cell>
          <cell r="R94">
            <v>0.27739805445610638</v>
          </cell>
          <cell r="S94">
            <v>8.2002625725524997E-2</v>
          </cell>
          <cell r="T94">
            <v>22.747368836552894</v>
          </cell>
        </row>
        <row r="95">
          <cell r="B95" t="str">
            <v>Joe Mauer</v>
          </cell>
          <cell r="C95">
            <v>3300</v>
          </cell>
          <cell r="D95" t="str">
            <v>MIN</v>
          </cell>
          <cell r="E95" t="str">
            <v>1B</v>
          </cell>
          <cell r="F95" t="str">
            <v>CHW</v>
          </cell>
          <cell r="G95" t="str">
            <v>Ranaudo</v>
          </cell>
          <cell r="H95" t="str">
            <v>R</v>
          </cell>
          <cell r="I95" t="str">
            <v>L</v>
          </cell>
          <cell r="J95">
            <v>870</v>
          </cell>
          <cell r="K95">
            <v>18</v>
          </cell>
          <cell r="L95">
            <v>0.341551724137931</v>
          </cell>
          <cell r="M95">
            <v>0.32990196078431372</v>
          </cell>
          <cell r="N95">
            <v>0.33572684246112239</v>
          </cell>
          <cell r="O95">
            <v>0.12299465240641712</v>
          </cell>
          <cell r="P95">
            <v>0.20930232558139536</v>
          </cell>
          <cell r="Q95">
            <v>0.16614848899390625</v>
          </cell>
          <cell r="R95">
            <v>0.2509376657275143</v>
          </cell>
          <cell r="S95">
            <v>8.8935664889775001E-2</v>
          </cell>
          <cell r="T95">
            <v>22.317308147364589</v>
          </cell>
        </row>
        <row r="96">
          <cell r="B96" t="str">
            <v>Alex Gordon</v>
          </cell>
          <cell r="C96">
            <v>2900</v>
          </cell>
          <cell r="D96" t="str">
            <v>KC</v>
          </cell>
          <cell r="E96" t="str">
            <v>OF</v>
          </cell>
          <cell r="F96" t="str">
            <v>DET</v>
          </cell>
          <cell r="G96" t="str">
            <v>Norris</v>
          </cell>
          <cell r="H96" t="str">
            <v>L</v>
          </cell>
          <cell r="I96" t="str">
            <v>L</v>
          </cell>
          <cell r="J96">
            <v>274</v>
          </cell>
          <cell r="K96">
            <v>20</v>
          </cell>
          <cell r="L96">
            <v>0.34124087591240876</v>
          </cell>
          <cell r="M96">
            <v>0.39054054054054055</v>
          </cell>
          <cell r="N96">
            <v>0.36589070822647463</v>
          </cell>
          <cell r="O96">
            <v>0.15611814345991562</v>
          </cell>
          <cell r="P96">
            <v>0.27551020408163263</v>
          </cell>
          <cell r="Q96">
            <v>0.21581417377077411</v>
          </cell>
          <cell r="R96">
            <v>0.2908524409986244</v>
          </cell>
          <cell r="S96">
            <v>7.6029295918599998E-2</v>
          </cell>
          <cell r="T96">
            <v>22.113306305331562</v>
          </cell>
        </row>
        <row r="97">
          <cell r="B97" t="str">
            <v>Ender Inciarte</v>
          </cell>
          <cell r="C97">
            <v>3200</v>
          </cell>
          <cell r="D97" t="str">
            <v>ATL</v>
          </cell>
          <cell r="E97" t="str">
            <v>OF</v>
          </cell>
          <cell r="F97" t="str">
            <v>@PHI</v>
          </cell>
          <cell r="G97" t="str">
            <v>Thompson</v>
          </cell>
          <cell r="H97" t="str">
            <v>R</v>
          </cell>
          <cell r="I97" t="str">
            <v>L</v>
          </cell>
          <cell r="J97">
            <v>754</v>
          </cell>
          <cell r="K97">
            <v>9</v>
          </cell>
          <cell r="L97">
            <v>0.34708222811671086</v>
          </cell>
          <cell r="M97">
            <v>0.40441176470588236</v>
          </cell>
          <cell r="N97">
            <v>0.37574699641129661</v>
          </cell>
          <cell r="O97">
            <v>0.11482558139534883</v>
          </cell>
          <cell r="P97">
            <v>0.23214285714285715</v>
          </cell>
          <cell r="Q97">
            <v>0.17348421926910298</v>
          </cell>
          <cell r="R97">
            <v>0.27461560784019978</v>
          </cell>
          <cell r="S97">
            <v>8.1274036554900009E-2</v>
          </cell>
          <cell r="T97">
            <v>22.319118950150482</v>
          </cell>
        </row>
        <row r="98">
          <cell r="B98" t="str">
            <v>Joe Panik</v>
          </cell>
          <cell r="C98">
            <v>2800</v>
          </cell>
          <cell r="D98" t="str">
            <v>SF</v>
          </cell>
          <cell r="E98" t="str">
            <v>2B</v>
          </cell>
          <cell r="F98" t="str">
            <v>@CHC</v>
          </cell>
          <cell r="G98" t="str">
            <v>Lackey</v>
          </cell>
          <cell r="H98" t="str">
            <v>R</v>
          </cell>
          <cell r="I98" t="str">
            <v>L</v>
          </cell>
          <cell r="J98">
            <v>646</v>
          </cell>
          <cell r="K98">
            <v>11</v>
          </cell>
          <cell r="L98">
            <v>0.35247678018575856</v>
          </cell>
          <cell r="M98">
            <v>0.31755555555555559</v>
          </cell>
          <cell r="N98">
            <v>0.33501616787065708</v>
          </cell>
          <cell r="O98">
            <v>0.16754850088183421</v>
          </cell>
          <cell r="P98">
            <v>0.13232830820770519</v>
          </cell>
          <cell r="Q98">
            <v>0.1499384045447697</v>
          </cell>
          <cell r="R98">
            <v>0.24247728620771339</v>
          </cell>
          <cell r="S98">
            <v>9.0188405143424993E-2</v>
          </cell>
          <cell r="T98">
            <v>21.868639726579474</v>
          </cell>
        </row>
        <row r="99">
          <cell r="B99" t="str">
            <v>Logan Forsythe</v>
          </cell>
          <cell r="C99">
            <v>3400</v>
          </cell>
          <cell r="D99" t="str">
            <v>TB</v>
          </cell>
          <cell r="E99" t="str">
            <v>2B</v>
          </cell>
          <cell r="F99" t="str">
            <v>TOR</v>
          </cell>
          <cell r="G99" t="str">
            <v>Happ</v>
          </cell>
          <cell r="H99" t="str">
            <v>L</v>
          </cell>
          <cell r="I99" t="str">
            <v>R</v>
          </cell>
          <cell r="J99">
            <v>292</v>
          </cell>
          <cell r="K99">
            <v>23</v>
          </cell>
          <cell r="L99">
            <v>0.3924657534246575</v>
          </cell>
          <cell r="M99">
            <v>0.30424528301886794</v>
          </cell>
          <cell r="N99">
            <v>0.34835551822176269</v>
          </cell>
          <cell r="O99">
            <v>0.27906976744186046</v>
          </cell>
          <cell r="P99">
            <v>0.15061475409836064</v>
          </cell>
          <cell r="Q99">
            <v>0.21484226077011054</v>
          </cell>
          <cell r="R99">
            <v>0.28159888949593659</v>
          </cell>
          <cell r="S99">
            <v>7.9247828127749997E-2</v>
          </cell>
          <cell r="T99">
            <v>22.316100395739245</v>
          </cell>
        </row>
        <row r="100">
          <cell r="B100" t="str">
            <v>Ryan Raburn</v>
          </cell>
          <cell r="C100">
            <v>3000</v>
          </cell>
          <cell r="D100" t="str">
            <v>COL</v>
          </cell>
          <cell r="E100" t="str">
            <v>OF</v>
          </cell>
          <cell r="F100" t="str">
            <v>ARI</v>
          </cell>
          <cell r="G100" t="str">
            <v>Bradley</v>
          </cell>
          <cell r="H100" t="str">
            <v>R</v>
          </cell>
          <cell r="I100" t="str">
            <v>R</v>
          </cell>
          <cell r="J100">
            <v>158</v>
          </cell>
          <cell r="K100">
            <v>1</v>
          </cell>
          <cell r="L100">
            <v>0.27183544303797469</v>
          </cell>
          <cell r="M100">
            <v>0.31015151515151518</v>
          </cell>
          <cell r="N100">
            <v>0.29099347909474493</v>
          </cell>
          <cell r="O100">
            <v>0.13286713286713286</v>
          </cell>
          <cell r="P100">
            <v>0.15358361774744028</v>
          </cell>
          <cell r="Q100">
            <v>0.14322537530728657</v>
          </cell>
          <cell r="R100">
            <v>0.21710942720101575</v>
          </cell>
          <cell r="S100">
            <v>0.10190687408059999</v>
          </cell>
          <cell r="T100">
            <v>22.124943059485101</v>
          </cell>
        </row>
        <row r="101">
          <cell r="B101" t="str">
            <v>Brandon Belt</v>
          </cell>
          <cell r="C101">
            <v>3200</v>
          </cell>
          <cell r="D101" t="str">
            <v>SF</v>
          </cell>
          <cell r="E101" t="str">
            <v>1B</v>
          </cell>
          <cell r="F101" t="str">
            <v>@CHC</v>
          </cell>
          <cell r="G101" t="str">
            <v>Lackey</v>
          </cell>
          <cell r="H101" t="str">
            <v>R</v>
          </cell>
          <cell r="I101" t="str">
            <v>L</v>
          </cell>
          <cell r="J101">
            <v>791</v>
          </cell>
          <cell r="K101">
            <v>11</v>
          </cell>
          <cell r="L101">
            <v>0.36826801517067004</v>
          </cell>
          <cell r="M101">
            <v>0.31755555555555559</v>
          </cell>
          <cell r="N101">
            <v>0.34291178536311284</v>
          </cell>
          <cell r="O101">
            <v>0.19674556213017752</v>
          </cell>
          <cell r="P101">
            <v>0.13232830820770519</v>
          </cell>
          <cell r="Q101">
            <v>0.16453693516894136</v>
          </cell>
          <cell r="R101">
            <v>0.25372436026602707</v>
          </cell>
          <cell r="S101">
            <v>8.4528471510374986E-2</v>
          </cell>
          <cell r="T101">
            <v>21.446932358234989</v>
          </cell>
        </row>
        <row r="102">
          <cell r="B102" t="str">
            <v>Adam Frazier</v>
          </cell>
          <cell r="C102">
            <v>2300</v>
          </cell>
          <cell r="D102" t="str">
            <v>PIT</v>
          </cell>
          <cell r="E102" t="str">
            <v>SS</v>
          </cell>
          <cell r="F102" t="str">
            <v>MIL</v>
          </cell>
          <cell r="G102" t="str">
            <v>Anderson</v>
          </cell>
          <cell r="H102" t="str">
            <v>R</v>
          </cell>
          <cell r="I102" t="str">
            <v>L</v>
          </cell>
          <cell r="J102">
            <v>72</v>
          </cell>
          <cell r="K102">
            <v>27</v>
          </cell>
          <cell r="L102">
            <v>0.2986111111111111</v>
          </cell>
          <cell r="M102">
            <v>0.32032136105860115</v>
          </cell>
          <cell r="N102">
            <v>0.30946623608485613</v>
          </cell>
          <cell r="O102">
            <v>0.15714285714285714</v>
          </cell>
          <cell r="P102">
            <v>0.17834394904458598</v>
          </cell>
          <cell r="Q102">
            <v>0.16774340309372154</v>
          </cell>
          <cell r="R102">
            <v>0.23860481958928884</v>
          </cell>
          <cell r="S102">
            <v>9.2365274488799984E-2</v>
          </cell>
          <cell r="T102">
            <v>22.038799655715263</v>
          </cell>
        </row>
        <row r="103">
          <cell r="B103" t="str">
            <v>Brandon Moss</v>
          </cell>
          <cell r="C103">
            <v>3600</v>
          </cell>
          <cell r="D103" t="str">
            <v>STL</v>
          </cell>
          <cell r="E103" t="str">
            <v>1B</v>
          </cell>
          <cell r="F103" t="str">
            <v>@CIN</v>
          </cell>
          <cell r="G103" t="str">
            <v>Adleman</v>
          </cell>
          <cell r="H103" t="str">
            <v>R</v>
          </cell>
          <cell r="I103" t="str">
            <v>L</v>
          </cell>
          <cell r="J103">
            <v>622</v>
          </cell>
          <cell r="K103">
            <v>3</v>
          </cell>
          <cell r="L103">
            <v>0.34445337620578781</v>
          </cell>
          <cell r="M103">
            <v>0.35833333333333334</v>
          </cell>
          <cell r="N103">
            <v>0.35139335476956057</v>
          </cell>
          <cell r="O103">
            <v>0.2613430127041742</v>
          </cell>
          <cell r="P103">
            <v>0.22580645161290322</v>
          </cell>
          <cell r="Q103">
            <v>0.2435747321585387</v>
          </cell>
          <cell r="R103">
            <v>0.29748404346404966</v>
          </cell>
          <cell r="S103">
            <v>7.4060122791749991E-2</v>
          </cell>
          <cell r="T103">
            <v>22.031704787533808</v>
          </cell>
        </row>
        <row r="104">
          <cell r="B104" t="str">
            <v>Jackie Bradley</v>
          </cell>
          <cell r="C104">
            <v>3400</v>
          </cell>
          <cell r="D104" t="str">
            <v>BOS</v>
          </cell>
          <cell r="E104" t="str">
            <v>OF</v>
          </cell>
          <cell r="F104" t="str">
            <v>@OAK</v>
          </cell>
          <cell r="G104" t="str">
            <v>Graveman</v>
          </cell>
          <cell r="H104" t="str">
            <v>R</v>
          </cell>
          <cell r="I104" t="str">
            <v>L</v>
          </cell>
          <cell r="J104">
            <v>554</v>
          </cell>
          <cell r="K104">
            <v>24</v>
          </cell>
          <cell r="L104">
            <v>0.37518050541516246</v>
          </cell>
          <cell r="M104">
            <v>0.33322314049586776</v>
          </cell>
          <cell r="N104">
            <v>0.35420182295551511</v>
          </cell>
          <cell r="O104">
            <v>0.26844262295081966</v>
          </cell>
          <cell r="P104">
            <v>0.13703703703703704</v>
          </cell>
          <cell r="Q104">
            <v>0.20273982999392837</v>
          </cell>
          <cell r="R104">
            <v>0.27847082647472177</v>
          </cell>
          <cell r="S104">
            <v>7.8932685489224996E-2</v>
          </cell>
          <cell r="T104">
            <v>21.980450164053764</v>
          </cell>
        </row>
        <row r="105">
          <cell r="B105" t="str">
            <v>Anthony Rendon</v>
          </cell>
          <cell r="C105">
            <v>3500</v>
          </cell>
          <cell r="D105" t="str">
            <v>WAS</v>
          </cell>
          <cell r="E105" t="str">
            <v>3B</v>
          </cell>
          <cell r="F105" t="str">
            <v>@NYM</v>
          </cell>
          <cell r="G105" t="str">
            <v>Lugo</v>
          </cell>
          <cell r="H105" t="str">
            <v>R</v>
          </cell>
          <cell r="I105" t="str">
            <v>R</v>
          </cell>
          <cell r="J105">
            <v>727</v>
          </cell>
          <cell r="K105">
            <v>21</v>
          </cell>
          <cell r="L105">
            <v>0.33115543328748281</v>
          </cell>
          <cell r="M105">
            <v>0.23782051282051278</v>
          </cell>
          <cell r="N105">
            <v>0.28448797305399781</v>
          </cell>
          <cell r="O105">
            <v>0.15517241379310345</v>
          </cell>
          <cell r="P105">
            <v>7.8125E-2</v>
          </cell>
          <cell r="Q105">
            <v>0.11664870689655173</v>
          </cell>
          <cell r="R105">
            <v>0.20056833997527476</v>
          </cell>
          <cell r="S105">
            <v>0.10947593412000001</v>
          </cell>
          <cell r="T105">
            <v>21.957406373690944</v>
          </cell>
        </row>
        <row r="106">
          <cell r="B106" t="str">
            <v>Justin Turner</v>
          </cell>
          <cell r="C106">
            <v>3400</v>
          </cell>
          <cell r="D106" t="str">
            <v>LAD</v>
          </cell>
          <cell r="E106" t="str">
            <v>3B</v>
          </cell>
          <cell r="F106" t="str">
            <v>SD</v>
          </cell>
          <cell r="G106" t="str">
            <v>Friedrich</v>
          </cell>
          <cell r="H106" t="str">
            <v>L</v>
          </cell>
          <cell r="I106" t="str">
            <v>R</v>
          </cell>
          <cell r="J106">
            <v>279</v>
          </cell>
          <cell r="K106">
            <v>17</v>
          </cell>
          <cell r="L106">
            <v>0.30770609318996411</v>
          </cell>
          <cell r="M106">
            <v>0.35939393939393943</v>
          </cell>
          <cell r="N106">
            <v>0.3335500162919518</v>
          </cell>
          <cell r="O106">
            <v>0.15416666666666667</v>
          </cell>
          <cell r="P106">
            <v>0.15151515151515152</v>
          </cell>
          <cell r="Q106">
            <v>0.15284090909090908</v>
          </cell>
          <cell r="R106">
            <v>0.24319546269143044</v>
          </cell>
          <cell r="S106">
            <v>9.0216353529675011E-2</v>
          </cell>
          <cell r="T106">
            <v>21.940207838982978</v>
          </cell>
        </row>
        <row r="107">
          <cell r="B107" t="str">
            <v>Justin Morneau</v>
          </cell>
          <cell r="C107">
            <v>2700</v>
          </cell>
          <cell r="D107" t="str">
            <v>CHW</v>
          </cell>
          <cell r="E107" t="str">
            <v>1B</v>
          </cell>
          <cell r="F107" t="str">
            <v>@MIN</v>
          </cell>
          <cell r="G107" t="str">
            <v>Albers</v>
          </cell>
          <cell r="H107" t="str">
            <v>L</v>
          </cell>
          <cell r="I107" t="str">
            <v>L</v>
          </cell>
          <cell r="J107">
            <v>71</v>
          </cell>
          <cell r="K107">
            <v>18</v>
          </cell>
          <cell r="L107">
            <v>0.34084507042253526</v>
          </cell>
          <cell r="M107">
            <v>0.26363636363636361</v>
          </cell>
          <cell r="N107">
            <v>0.30224071702944943</v>
          </cell>
          <cell r="O107">
            <v>0.16176470588235295</v>
          </cell>
          <cell r="P107">
            <v>0.27272727272727271</v>
          </cell>
          <cell r="Q107">
            <v>0.21724598930481281</v>
          </cell>
          <cell r="R107">
            <v>0.25974335316713115</v>
          </cell>
          <cell r="S107">
            <v>8.0230405364100005E-2</v>
          </cell>
          <cell r="T107">
            <v>20.839314515229521</v>
          </cell>
        </row>
        <row r="108">
          <cell r="B108" t="str">
            <v>Yasmani Grandal</v>
          </cell>
          <cell r="C108">
            <v>3000</v>
          </cell>
          <cell r="D108" t="str">
            <v>LAD</v>
          </cell>
          <cell r="E108" t="str">
            <v>C</v>
          </cell>
          <cell r="F108" t="str">
            <v>SD</v>
          </cell>
          <cell r="G108" t="str">
            <v>Friedrich</v>
          </cell>
          <cell r="H108" t="str">
            <v>L</v>
          </cell>
          <cell r="I108" t="str">
            <v>S</v>
          </cell>
          <cell r="J108">
            <v>135</v>
          </cell>
          <cell r="K108">
            <v>17</v>
          </cell>
          <cell r="L108">
            <v>0.35407407407407404</v>
          </cell>
          <cell r="M108">
            <v>0.35939393939393943</v>
          </cell>
          <cell r="N108">
            <v>0.35673400673400674</v>
          </cell>
          <cell r="O108">
            <v>9.90990990990991E-2</v>
          </cell>
          <cell r="P108">
            <v>0.15151515151515152</v>
          </cell>
          <cell r="Q108">
            <v>0.12530712530712532</v>
          </cell>
          <cell r="R108">
            <v>0.24102056602056604</v>
          </cell>
          <cell r="S108">
            <v>9.0727918652249995E-2</v>
          </cell>
          <cell r="T108">
            <v>21.867294307433166</v>
          </cell>
        </row>
        <row r="109">
          <cell r="B109" t="str">
            <v>Nick Hundley</v>
          </cell>
          <cell r="C109">
            <v>3500</v>
          </cell>
          <cell r="D109" t="str">
            <v>COL</v>
          </cell>
          <cell r="E109" t="str">
            <v>C</v>
          </cell>
          <cell r="F109" t="str">
            <v>ARI</v>
          </cell>
          <cell r="G109" t="str">
            <v>Bradley</v>
          </cell>
          <cell r="H109" t="str">
            <v>R</v>
          </cell>
          <cell r="I109" t="str">
            <v>R</v>
          </cell>
          <cell r="J109">
            <v>491</v>
          </cell>
          <cell r="K109">
            <v>1</v>
          </cell>
          <cell r="L109">
            <v>0.33635437881873731</v>
          </cell>
          <cell r="M109">
            <v>0.31015151515151518</v>
          </cell>
          <cell r="N109">
            <v>0.32325294698512624</v>
          </cell>
          <cell r="O109">
            <v>0.17738359201773837</v>
          </cell>
          <cell r="P109">
            <v>0.15358361774744028</v>
          </cell>
          <cell r="Q109">
            <v>0.16548360488258934</v>
          </cell>
          <cell r="R109">
            <v>0.24436827593385779</v>
          </cell>
          <cell r="S109">
            <v>8.91195108924E-2</v>
          </cell>
          <cell r="T109">
            <v>21.77798122884445</v>
          </cell>
        </row>
        <row r="110">
          <cell r="B110" t="str">
            <v>Jefry Marte</v>
          </cell>
          <cell r="C110">
            <v>3100</v>
          </cell>
          <cell r="D110" t="str">
            <v>LAA</v>
          </cell>
          <cell r="E110" t="str">
            <v>3B</v>
          </cell>
          <cell r="F110" t="str">
            <v>@SEA</v>
          </cell>
          <cell r="G110" t="str">
            <v>Iwakuma</v>
          </cell>
          <cell r="H110" t="str">
            <v>R</v>
          </cell>
          <cell r="I110" t="str">
            <v>R</v>
          </cell>
          <cell r="J110">
            <v>202</v>
          </cell>
          <cell r="K110">
            <v>29</v>
          </cell>
          <cell r="L110">
            <v>0.30222772277227722</v>
          </cell>
          <cell r="M110">
            <v>0.30911251980982563</v>
          </cell>
          <cell r="N110">
            <v>0.30567012129105142</v>
          </cell>
          <cell r="O110">
            <v>0.18579234972677597</v>
          </cell>
          <cell r="P110">
            <v>0.18103448275862069</v>
          </cell>
          <cell r="Q110">
            <v>0.18341341624269833</v>
          </cell>
          <cell r="R110">
            <v>0.24454176876687489</v>
          </cell>
          <cell r="S110">
            <v>8.8672090765799988E-2</v>
          </cell>
          <cell r="T110">
            <v>21.684029916125603</v>
          </cell>
        </row>
        <row r="111">
          <cell r="B111" t="str">
            <v>Alejandro de Aza</v>
          </cell>
          <cell r="C111">
            <v>2000</v>
          </cell>
          <cell r="D111" t="str">
            <v>NYM</v>
          </cell>
          <cell r="E111" t="str">
            <v>OF</v>
          </cell>
          <cell r="F111" t="str">
            <v>WAS</v>
          </cell>
          <cell r="G111" t="str">
            <v>Lopez</v>
          </cell>
          <cell r="H111" t="str">
            <v>R</v>
          </cell>
          <cell r="I111" t="str">
            <v>L</v>
          </cell>
          <cell r="J111">
            <v>501</v>
          </cell>
          <cell r="K111">
            <v>21</v>
          </cell>
          <cell r="L111">
            <v>0.32225548902195605</v>
          </cell>
          <cell r="M111">
            <v>0.28203125000000001</v>
          </cell>
          <cell r="N111">
            <v>0.30214336951097803</v>
          </cell>
          <cell r="O111">
            <v>0.15367483296213807</v>
          </cell>
          <cell r="P111">
            <v>0.16666666666666666</v>
          </cell>
          <cell r="Q111">
            <v>0.16017074981440238</v>
          </cell>
          <cell r="R111">
            <v>0.23115705966269021</v>
          </cell>
          <cell r="S111">
            <v>9.3700811698199993E-2</v>
          </cell>
          <cell r="T111">
            <v>21.659604120163316</v>
          </cell>
        </row>
        <row r="112">
          <cell r="B112" t="str">
            <v>Michael Saunders</v>
          </cell>
          <cell r="C112">
            <v>3300</v>
          </cell>
          <cell r="D112" t="str">
            <v>TOR</v>
          </cell>
          <cell r="E112" t="str">
            <v>OF</v>
          </cell>
          <cell r="F112" t="str">
            <v>@TB</v>
          </cell>
          <cell r="G112" t="str">
            <v>Archer</v>
          </cell>
          <cell r="H112" t="str">
            <v>R</v>
          </cell>
          <cell r="I112" t="str">
            <v>L</v>
          </cell>
          <cell r="J112">
            <v>404</v>
          </cell>
          <cell r="K112">
            <v>23</v>
          </cell>
          <cell r="L112">
            <v>0.347029702970297</v>
          </cell>
          <cell r="M112">
            <v>0.27725030826140568</v>
          </cell>
          <cell r="N112">
            <v>0.31214000561585131</v>
          </cell>
          <cell r="O112">
            <v>0.20621468926553671</v>
          </cell>
          <cell r="P112">
            <v>0.12789115646258503</v>
          </cell>
          <cell r="Q112">
            <v>0.16705292286406087</v>
          </cell>
          <cell r="R112">
            <v>0.23959646423995609</v>
          </cell>
          <cell r="S112">
            <v>8.9683695182399992E-2</v>
          </cell>
          <cell r="T112">
            <v>21.487896265677023</v>
          </cell>
        </row>
        <row r="113">
          <cell r="B113" t="str">
            <v>Alex Avila</v>
          </cell>
          <cell r="C113">
            <v>2500</v>
          </cell>
          <cell r="D113" t="str">
            <v>CHW</v>
          </cell>
          <cell r="E113" t="str">
            <v>C</v>
          </cell>
          <cell r="F113" t="str">
            <v>@MIN</v>
          </cell>
          <cell r="G113" t="str">
            <v>Albers</v>
          </cell>
          <cell r="H113" t="str">
            <v>L</v>
          </cell>
          <cell r="I113" t="str">
            <v>L</v>
          </cell>
          <cell r="J113">
            <v>57</v>
          </cell>
          <cell r="K113">
            <v>18</v>
          </cell>
          <cell r="L113">
            <v>0.2868421052631579</v>
          </cell>
          <cell r="M113">
            <v>0.26363636363636361</v>
          </cell>
          <cell r="N113">
            <v>0.27523923444976073</v>
          </cell>
          <cell r="O113">
            <v>8.8888888888888892E-2</v>
          </cell>
          <cell r="P113">
            <v>0.27272727272727271</v>
          </cell>
          <cell r="Q113">
            <v>0.18080808080808081</v>
          </cell>
          <cell r="R113">
            <v>0.22802365762892077</v>
          </cell>
          <cell r="S113">
            <v>8.9801191444875E-2</v>
          </cell>
          <cell r="T113">
            <v>20.476796132695345</v>
          </cell>
        </row>
        <row r="114">
          <cell r="B114" t="str">
            <v>Evan Longoria</v>
          </cell>
          <cell r="C114">
            <v>3200</v>
          </cell>
          <cell r="D114" t="str">
            <v>TB</v>
          </cell>
          <cell r="E114" t="str">
            <v>3B</v>
          </cell>
          <cell r="F114" t="str">
            <v>TOR</v>
          </cell>
          <cell r="G114" t="str">
            <v>Happ</v>
          </cell>
          <cell r="H114" t="str">
            <v>L</v>
          </cell>
          <cell r="I114" t="str">
            <v>R</v>
          </cell>
          <cell r="J114">
            <v>299</v>
          </cell>
          <cell r="K114">
            <v>23</v>
          </cell>
          <cell r="L114">
            <v>0.37909698996655522</v>
          </cell>
          <cell r="M114">
            <v>0.30424528301886794</v>
          </cell>
          <cell r="N114">
            <v>0.34167113649271158</v>
          </cell>
          <cell r="O114">
            <v>0.21722846441947566</v>
          </cell>
          <cell r="P114">
            <v>0.15061475409836064</v>
          </cell>
          <cell r="Q114">
            <v>0.18392160925891815</v>
          </cell>
          <cell r="R114">
            <v>0.26279637287581487</v>
          </cell>
          <cell r="S114">
            <v>8.1533709324374995E-2</v>
          </cell>
          <cell r="T114">
            <v>21.426763077556753</v>
          </cell>
        </row>
        <row r="115">
          <cell r="B115" t="str">
            <v>Franklin Gutierrez</v>
          </cell>
          <cell r="C115">
            <v>3000</v>
          </cell>
          <cell r="D115" t="str">
            <v>SEA</v>
          </cell>
          <cell r="E115" t="str">
            <v>OF</v>
          </cell>
          <cell r="F115" t="str">
            <v>LAA</v>
          </cell>
          <cell r="G115" t="str">
            <v>Shoemaker</v>
          </cell>
          <cell r="H115" t="str">
            <v>R</v>
          </cell>
          <cell r="I115" t="str">
            <v>R</v>
          </cell>
          <cell r="J115">
            <v>139</v>
          </cell>
          <cell r="K115">
            <v>29</v>
          </cell>
          <cell r="L115">
            <v>0.31115107913669066</v>
          </cell>
          <cell r="M115">
            <v>0.32975778546712803</v>
          </cell>
          <cell r="N115">
            <v>0.32045443230190934</v>
          </cell>
          <cell r="O115">
            <v>0.25806451612903225</v>
          </cell>
          <cell r="P115">
            <v>0.18198874296435272</v>
          </cell>
          <cell r="Q115">
            <v>0.2200266295466925</v>
          </cell>
          <cell r="R115">
            <v>0.27024053092430089</v>
          </cell>
          <cell r="S115">
            <v>7.8134039261850002E-2</v>
          </cell>
          <cell r="T115">
            <v>21.114984253382516</v>
          </cell>
        </row>
        <row r="116">
          <cell r="B116" t="str">
            <v>Clint Robinson</v>
          </cell>
          <cell r="C116">
            <v>2200</v>
          </cell>
          <cell r="D116" t="str">
            <v>WAS</v>
          </cell>
          <cell r="E116" t="str">
            <v>1B</v>
          </cell>
          <cell r="F116" t="str">
            <v>@NYM</v>
          </cell>
          <cell r="G116" t="str">
            <v>Lugo</v>
          </cell>
          <cell r="H116" t="str">
            <v>R</v>
          </cell>
          <cell r="I116" t="str">
            <v>L</v>
          </cell>
          <cell r="J116">
            <v>469</v>
          </cell>
          <cell r="K116">
            <v>21</v>
          </cell>
          <cell r="L116">
            <v>0.32270788912579956</v>
          </cell>
          <cell r="M116">
            <v>0.27333333333333332</v>
          </cell>
          <cell r="N116">
            <v>0.29802061122956647</v>
          </cell>
          <cell r="O116">
            <v>0.15609756097560976</v>
          </cell>
          <cell r="P116">
            <v>0.13461538461538461</v>
          </cell>
          <cell r="Q116">
            <v>0.14535647279549718</v>
          </cell>
          <cell r="R116">
            <v>0.22168854201253183</v>
          </cell>
          <cell r="S116">
            <v>9.4723396898400009E-2</v>
          </cell>
          <cell r="T116">
            <v>20.999091752880677</v>
          </cell>
        </row>
        <row r="117">
          <cell r="B117" t="str">
            <v>Jayson Werth</v>
          </cell>
          <cell r="C117">
            <v>3500</v>
          </cell>
          <cell r="D117" t="str">
            <v>WAS</v>
          </cell>
          <cell r="E117" t="str">
            <v>OF</v>
          </cell>
          <cell r="F117" t="str">
            <v>@NYM</v>
          </cell>
          <cell r="G117" t="str">
            <v>Lugo</v>
          </cell>
          <cell r="H117" t="str">
            <v>R</v>
          </cell>
          <cell r="I117" t="str">
            <v>R</v>
          </cell>
          <cell r="J117">
            <v>675</v>
          </cell>
          <cell r="K117">
            <v>21</v>
          </cell>
          <cell r="L117">
            <v>0.30362962962962964</v>
          </cell>
          <cell r="M117">
            <v>0.23782051282051278</v>
          </cell>
          <cell r="N117">
            <v>0.27072507122507122</v>
          </cell>
          <cell r="O117">
            <v>0.14700854700854701</v>
          </cell>
          <cell r="P117">
            <v>7.8125E-2</v>
          </cell>
          <cell r="Q117">
            <v>0.11256677350427351</v>
          </cell>
          <cell r="R117">
            <v>0.19164592236467237</v>
          </cell>
          <cell r="S117">
            <v>0.10930884093000001</v>
          </cell>
          <cell r="T117">
            <v>20.948593642643104</v>
          </cell>
        </row>
        <row r="118">
          <cell r="B118" t="str">
            <v>Philip Gosselin</v>
          </cell>
          <cell r="C118">
            <v>3000</v>
          </cell>
          <cell r="D118" t="str">
            <v>ARI</v>
          </cell>
          <cell r="E118" t="str">
            <v>2B</v>
          </cell>
          <cell r="F118" t="str">
            <v>@COL</v>
          </cell>
          <cell r="G118" t="str">
            <v>Gray</v>
          </cell>
          <cell r="H118" t="str">
            <v>R</v>
          </cell>
          <cell r="I118" t="str">
            <v>R</v>
          </cell>
          <cell r="J118">
            <v>249</v>
          </cell>
          <cell r="K118">
            <v>1</v>
          </cell>
          <cell r="L118">
            <v>0.3403614457831326</v>
          </cell>
          <cell r="M118">
            <v>0.32947103274559197</v>
          </cell>
          <cell r="N118">
            <v>0.33491623926436231</v>
          </cell>
          <cell r="O118">
            <v>0.14782608695652175</v>
          </cell>
          <cell r="P118">
            <v>0.16285714285714287</v>
          </cell>
          <cell r="Q118">
            <v>0.15534161490683229</v>
          </cell>
          <cell r="R118">
            <v>0.2451289270855973</v>
          </cell>
          <cell r="S118">
            <v>8.5391963180699998E-2</v>
          </cell>
          <cell r="T118">
            <v>20.932040316217819</v>
          </cell>
        </row>
        <row r="119">
          <cell r="B119" t="str">
            <v>Yoenis Cespedes</v>
          </cell>
          <cell r="C119">
            <v>3700</v>
          </cell>
          <cell r="D119" t="str">
            <v>NYM</v>
          </cell>
          <cell r="E119" t="str">
            <v>OF</v>
          </cell>
          <cell r="F119" t="str">
            <v>WAS</v>
          </cell>
          <cell r="G119" t="str">
            <v>Lopez</v>
          </cell>
          <cell r="H119" t="str">
            <v>R</v>
          </cell>
          <cell r="I119" t="str">
            <v>R</v>
          </cell>
          <cell r="J119">
            <v>860</v>
          </cell>
          <cell r="K119">
            <v>21</v>
          </cell>
          <cell r="L119">
            <v>0.38261627906976747</v>
          </cell>
          <cell r="M119">
            <v>0.41785714285714282</v>
          </cell>
          <cell r="N119">
            <v>0.40023671096345514</v>
          </cell>
          <cell r="O119">
            <v>0.26276463262764632</v>
          </cell>
          <cell r="P119">
            <v>0.12244897959183673</v>
          </cell>
          <cell r="Q119">
            <v>0.19260680610974151</v>
          </cell>
          <cell r="R119">
            <v>0.29642175853659836</v>
          </cell>
          <cell r="S119">
            <v>7.0511491904399995E-2</v>
          </cell>
          <cell r="T119">
            <v>20.901140427341367</v>
          </cell>
        </row>
        <row r="120">
          <cell r="B120" t="str">
            <v>J.D. Martinez</v>
          </cell>
          <cell r="C120">
            <v>3600</v>
          </cell>
          <cell r="D120" t="str">
            <v>DET</v>
          </cell>
          <cell r="E120" t="str">
            <v>OF</v>
          </cell>
          <cell r="F120" t="str">
            <v>@KC</v>
          </cell>
          <cell r="G120" t="str">
            <v>Volquez</v>
          </cell>
          <cell r="H120" t="str">
            <v>R</v>
          </cell>
          <cell r="I120" t="str">
            <v>R</v>
          </cell>
          <cell r="J120">
            <v>821</v>
          </cell>
          <cell r="K120">
            <v>20</v>
          </cell>
          <cell r="L120">
            <v>0.38574908647990264</v>
          </cell>
          <cell r="M120">
            <v>0.31851851851851853</v>
          </cell>
          <cell r="N120">
            <v>0.35213380249921056</v>
          </cell>
          <cell r="O120">
            <v>0.25</v>
          </cell>
          <cell r="P120">
            <v>0.11834319526627218</v>
          </cell>
          <cell r="Q120">
            <v>0.18417159763313609</v>
          </cell>
          <cell r="R120">
            <v>0.26815270006617331</v>
          </cell>
          <cell r="S120">
            <v>7.5398906129174992E-2</v>
          </cell>
          <cell r="T120">
            <v>20.21842026057422</v>
          </cell>
        </row>
        <row r="121">
          <cell r="B121" t="str">
            <v>Curtis Granderson</v>
          </cell>
          <cell r="C121">
            <v>2900</v>
          </cell>
          <cell r="D121" t="str">
            <v>NYM</v>
          </cell>
          <cell r="E121" t="str">
            <v>OF</v>
          </cell>
          <cell r="F121" t="str">
            <v>WAS</v>
          </cell>
          <cell r="G121" t="str">
            <v>Lopez</v>
          </cell>
          <cell r="H121" t="str">
            <v>R</v>
          </cell>
          <cell r="I121" t="str">
            <v>L</v>
          </cell>
          <cell r="J121">
            <v>933</v>
          </cell>
          <cell r="K121">
            <v>21</v>
          </cell>
          <cell r="L121">
            <v>0.36404072883172561</v>
          </cell>
          <cell r="M121">
            <v>0.28203125000000001</v>
          </cell>
          <cell r="N121">
            <v>0.32303598941586281</v>
          </cell>
          <cell r="O121">
            <v>0.22405063291139241</v>
          </cell>
          <cell r="P121">
            <v>0.16666666666666666</v>
          </cell>
          <cell r="Q121">
            <v>0.19535864978902953</v>
          </cell>
          <cell r="R121">
            <v>0.25919731960244619</v>
          </cell>
          <cell r="S121">
            <v>8.0228488272899995E-2</v>
          </cell>
          <cell r="T121">
            <v>20.795009116091965</v>
          </cell>
        </row>
        <row r="122">
          <cell r="B122" t="str">
            <v>Welington Castillo</v>
          </cell>
          <cell r="C122">
            <v>3600</v>
          </cell>
          <cell r="D122" t="str">
            <v>ARI</v>
          </cell>
          <cell r="E122" t="str">
            <v>C</v>
          </cell>
          <cell r="F122" t="str">
            <v>@COL</v>
          </cell>
          <cell r="G122" t="str">
            <v>Gray</v>
          </cell>
          <cell r="H122" t="str">
            <v>R</v>
          </cell>
          <cell r="I122" t="str">
            <v>R</v>
          </cell>
          <cell r="J122">
            <v>547</v>
          </cell>
          <cell r="K122">
            <v>1</v>
          </cell>
          <cell r="L122">
            <v>0.30886654478976233</v>
          </cell>
          <cell r="M122">
            <v>0.32947103274559197</v>
          </cell>
          <cell r="N122">
            <v>0.31916878876767718</v>
          </cell>
          <cell r="O122">
            <v>0.16096579476861167</v>
          </cell>
          <cell r="P122">
            <v>0.16285714285714287</v>
          </cell>
          <cell r="Q122">
            <v>0.16191146881287727</v>
          </cell>
          <cell r="R122">
            <v>0.24054012879027722</v>
          </cell>
          <cell r="S122">
            <v>8.6155642489275E-2</v>
          </cell>
          <cell r="T122">
            <v>20.723889340379291</v>
          </cell>
        </row>
        <row r="123">
          <cell r="B123" t="str">
            <v>Buster Posey</v>
          </cell>
          <cell r="C123">
            <v>3400</v>
          </cell>
          <cell r="D123" t="str">
            <v>SF</v>
          </cell>
          <cell r="E123" t="str">
            <v>C</v>
          </cell>
          <cell r="F123" t="str">
            <v>@CHC</v>
          </cell>
          <cell r="G123" t="str">
            <v>Lackey</v>
          </cell>
          <cell r="H123" t="str">
            <v>R</v>
          </cell>
          <cell r="I123" t="str">
            <v>R</v>
          </cell>
          <cell r="J123">
            <v>828</v>
          </cell>
          <cell r="K123">
            <v>11</v>
          </cell>
          <cell r="L123">
            <v>0.3601449275362319</v>
          </cell>
          <cell r="M123">
            <v>0.26548780487804879</v>
          </cell>
          <cell r="N123">
            <v>0.31281636620714037</v>
          </cell>
          <cell r="O123">
            <v>0.1409028727770178</v>
          </cell>
          <cell r="P123">
            <v>0.12746386333771353</v>
          </cell>
          <cell r="Q123">
            <v>0.13418336805736567</v>
          </cell>
          <cell r="R123">
            <v>0.22349986713225301</v>
          </cell>
          <cell r="S123">
            <v>8.9481659071074998E-2</v>
          </cell>
          <cell r="T123">
            <v>19.999138913158824</v>
          </cell>
        </row>
        <row r="124">
          <cell r="B124" t="str">
            <v>Mookie Betts</v>
          </cell>
          <cell r="C124">
            <v>4300</v>
          </cell>
          <cell r="D124" t="str">
            <v>BOS</v>
          </cell>
          <cell r="E124" t="str">
            <v>OF</v>
          </cell>
          <cell r="F124" t="str">
            <v>@OAK</v>
          </cell>
          <cell r="G124" t="str">
            <v>Graveman</v>
          </cell>
          <cell r="H124" t="str">
            <v>R</v>
          </cell>
          <cell r="I124" t="str">
            <v>R</v>
          </cell>
          <cell r="J124">
            <v>982</v>
          </cell>
          <cell r="K124">
            <v>24</v>
          </cell>
          <cell r="L124">
            <v>0.37596741344195522</v>
          </cell>
          <cell r="M124">
            <v>0.31861510791366904</v>
          </cell>
          <cell r="N124">
            <v>0.34729126067781213</v>
          </cell>
          <cell r="O124">
            <v>0.21134593993325917</v>
          </cell>
          <cell r="P124">
            <v>0.1673076923076923</v>
          </cell>
          <cell r="Q124">
            <v>0.18932681612047575</v>
          </cell>
          <cell r="R124">
            <v>0.26830903839914394</v>
          </cell>
          <cell r="S124">
            <v>7.6263793007474989E-2</v>
          </cell>
          <cell r="T124">
            <v>20.462264966506972</v>
          </cell>
        </row>
        <row r="125">
          <cell r="B125" t="str">
            <v>Victor Martinez</v>
          </cell>
          <cell r="C125">
            <v>3300</v>
          </cell>
          <cell r="D125" t="str">
            <v>DET</v>
          </cell>
          <cell r="E125" t="str">
            <v>C</v>
          </cell>
          <cell r="F125" t="str">
            <v>@KC</v>
          </cell>
          <cell r="G125" t="str">
            <v>Volquez</v>
          </cell>
          <cell r="H125" t="str">
            <v>R</v>
          </cell>
          <cell r="I125" t="str">
            <v>S</v>
          </cell>
          <cell r="J125">
            <v>763</v>
          </cell>
          <cell r="K125">
            <v>20</v>
          </cell>
          <cell r="L125">
            <v>0.31952817824377461</v>
          </cell>
          <cell r="M125">
            <v>0.32149068322981367</v>
          </cell>
          <cell r="N125">
            <v>0.32050943073679417</v>
          </cell>
          <cell r="O125">
            <v>0.16086956521739129</v>
          </cell>
          <cell r="P125">
            <v>0.14125874125874127</v>
          </cell>
          <cell r="Q125">
            <v>0.15106415323806627</v>
          </cell>
          <cell r="R125">
            <v>0.23578679198743022</v>
          </cell>
          <cell r="S125">
            <v>8.3219531631500004E-2</v>
          </cell>
          <cell r="T125">
            <v>19.622066394087859</v>
          </cell>
        </row>
        <row r="126">
          <cell r="B126" t="str">
            <v>Kole Calhoun</v>
          </cell>
          <cell r="C126">
            <v>3400</v>
          </cell>
          <cell r="D126" t="str">
            <v>LAA</v>
          </cell>
          <cell r="E126" t="str">
            <v>OF</v>
          </cell>
          <cell r="F126" t="str">
            <v>@SEA</v>
          </cell>
          <cell r="G126" t="str">
            <v>Iwakuma</v>
          </cell>
          <cell r="H126" t="str">
            <v>R</v>
          </cell>
          <cell r="I126" t="str">
            <v>L</v>
          </cell>
          <cell r="J126">
            <v>890</v>
          </cell>
          <cell r="K126">
            <v>29</v>
          </cell>
          <cell r="L126">
            <v>0.3330337078651685</v>
          </cell>
          <cell r="M126">
            <v>0.31929674099485428</v>
          </cell>
          <cell r="N126">
            <v>0.32616522443001139</v>
          </cell>
          <cell r="O126">
            <v>0.16458852867830423</v>
          </cell>
          <cell r="P126">
            <v>0.16152450090744103</v>
          </cell>
          <cell r="Q126">
            <v>0.16305651479287264</v>
          </cell>
          <cell r="R126">
            <v>0.24461086961144202</v>
          </cell>
          <cell r="S126">
            <v>8.2034547014999987E-2</v>
          </cell>
          <cell r="T126">
            <v>20.066541883519871</v>
          </cell>
        </row>
        <row r="127">
          <cell r="B127" t="str">
            <v>Chase Utley</v>
          </cell>
          <cell r="C127">
            <v>2800</v>
          </cell>
          <cell r="D127" t="str">
            <v>LAD</v>
          </cell>
          <cell r="E127" t="str">
            <v>2B</v>
          </cell>
          <cell r="F127" t="str">
            <v>SD</v>
          </cell>
          <cell r="G127" t="str">
            <v>Friedrich</v>
          </cell>
          <cell r="H127" t="str">
            <v>L</v>
          </cell>
          <cell r="I127" t="str">
            <v>L</v>
          </cell>
          <cell r="J127">
            <v>188</v>
          </cell>
          <cell r="K127">
            <v>17</v>
          </cell>
          <cell r="L127">
            <v>0.24601063829787234</v>
          </cell>
          <cell r="M127">
            <v>0.29954751131221719</v>
          </cell>
          <cell r="N127">
            <v>0.27277907480504476</v>
          </cell>
          <cell r="O127">
            <v>0.11976047904191617</v>
          </cell>
          <cell r="P127">
            <v>0.11055276381909548</v>
          </cell>
          <cell r="Q127">
            <v>0.11515662143050583</v>
          </cell>
          <cell r="R127">
            <v>0.19396784811777529</v>
          </cell>
          <cell r="S127">
            <v>0.10339630513365002</v>
          </cell>
          <cell r="T127">
            <v>20.055558810102976</v>
          </cell>
        </row>
        <row r="128">
          <cell r="B128" t="str">
            <v>Starling Marte</v>
          </cell>
          <cell r="C128">
            <v>3600</v>
          </cell>
          <cell r="D128" t="str">
            <v>PIT</v>
          </cell>
          <cell r="E128" t="str">
            <v>OF</v>
          </cell>
          <cell r="F128" t="str">
            <v>MIL</v>
          </cell>
          <cell r="G128" t="str">
            <v>Anderson</v>
          </cell>
          <cell r="H128" t="str">
            <v>R</v>
          </cell>
          <cell r="I128" t="str">
            <v>R</v>
          </cell>
          <cell r="J128">
            <v>926</v>
          </cell>
          <cell r="K128">
            <v>27</v>
          </cell>
          <cell r="L128">
            <v>0.35426565874730021</v>
          </cell>
          <cell r="M128">
            <v>0.35568356374807991</v>
          </cell>
          <cell r="N128">
            <v>0.35497461124769003</v>
          </cell>
          <cell r="O128">
            <v>0.15539739027283511</v>
          </cell>
          <cell r="P128">
            <v>0.20812182741116753</v>
          </cell>
          <cell r="Q128">
            <v>0.18175960884200132</v>
          </cell>
          <cell r="R128">
            <v>0.2683671100448457</v>
          </cell>
          <cell r="S128">
            <v>7.4706273924599984E-2</v>
          </cell>
          <cell r="T128">
            <v>20.048706835363511</v>
          </cell>
        </row>
        <row r="129">
          <cell r="B129" t="str">
            <v>J.J. Hardy</v>
          </cell>
          <cell r="C129">
            <v>2500</v>
          </cell>
          <cell r="D129" t="str">
            <v>BAL</v>
          </cell>
          <cell r="E129" t="str">
            <v>SS</v>
          </cell>
          <cell r="F129" t="str">
            <v>NYY</v>
          </cell>
          <cell r="G129" t="str">
            <v>Pineda</v>
          </cell>
          <cell r="H129" t="str">
            <v>R</v>
          </cell>
          <cell r="I129" t="str">
            <v>R</v>
          </cell>
          <cell r="J129">
            <v>551</v>
          </cell>
          <cell r="K129">
            <v>5</v>
          </cell>
          <cell r="L129">
            <v>0.28357531760435573</v>
          </cell>
          <cell r="M129">
            <v>0.32776183644189383</v>
          </cell>
          <cell r="N129">
            <v>0.30566857702312478</v>
          </cell>
          <cell r="O129">
            <v>0.12790697674418605</v>
          </cell>
          <cell r="P129">
            <v>0.18721461187214611</v>
          </cell>
          <cell r="Q129">
            <v>0.15756079430816608</v>
          </cell>
          <cell r="R129">
            <v>0.23161468566564541</v>
          </cell>
          <cell r="S129">
            <v>8.6453263986999998E-2</v>
          </cell>
          <cell r="T129">
            <v>20.023845563118069</v>
          </cell>
        </row>
        <row r="130">
          <cell r="B130" t="str">
            <v>Kris Bryant</v>
          </cell>
          <cell r="C130">
            <v>4000</v>
          </cell>
          <cell r="D130" t="str">
            <v>CHC</v>
          </cell>
          <cell r="E130" t="str">
            <v>3B</v>
          </cell>
          <cell r="F130" t="str">
            <v>SF</v>
          </cell>
          <cell r="G130" t="str">
            <v>Cueto</v>
          </cell>
          <cell r="H130" t="str">
            <v>R</v>
          </cell>
          <cell r="I130" t="str">
            <v>R</v>
          </cell>
          <cell r="J130">
            <v>925</v>
          </cell>
          <cell r="K130">
            <v>11</v>
          </cell>
          <cell r="L130">
            <v>0.39151351351351349</v>
          </cell>
          <cell r="M130">
            <v>0.29508670520231212</v>
          </cell>
          <cell r="N130">
            <v>0.34330010935791277</v>
          </cell>
          <cell r="O130">
            <v>0.23677581863979849</v>
          </cell>
          <cell r="P130">
            <v>0.14107365792759052</v>
          </cell>
          <cell r="Q130">
            <v>0.18892473828369449</v>
          </cell>
          <cell r="R130">
            <v>0.26611242382080363</v>
          </cell>
          <cell r="S130">
            <v>7.3485218907700017E-2</v>
          </cell>
          <cell r="T130">
            <v>19.555329718530398</v>
          </cell>
        </row>
        <row r="131">
          <cell r="B131" t="str">
            <v>Yasmany Tomas</v>
          </cell>
          <cell r="C131">
            <v>3600</v>
          </cell>
          <cell r="D131" t="str">
            <v>ARI</v>
          </cell>
          <cell r="E131" t="str">
            <v>OF</v>
          </cell>
          <cell r="F131" t="str">
            <v>@COL</v>
          </cell>
          <cell r="G131" t="str">
            <v>Gray</v>
          </cell>
          <cell r="H131" t="str">
            <v>R</v>
          </cell>
          <cell r="I131" t="str">
            <v>R</v>
          </cell>
          <cell r="J131">
            <v>649</v>
          </cell>
          <cell r="K131">
            <v>1</v>
          </cell>
          <cell r="L131">
            <v>0.30885978428351307</v>
          </cell>
          <cell r="M131">
            <v>0.32947103274559197</v>
          </cell>
          <cell r="N131">
            <v>0.31916540851455255</v>
          </cell>
          <cell r="O131">
            <v>0.16478190630048464</v>
          </cell>
          <cell r="P131">
            <v>0.16285714285714287</v>
          </cell>
          <cell r="Q131">
            <v>0.16381952457881377</v>
          </cell>
          <cell r="R131">
            <v>0.24149246654668316</v>
          </cell>
          <cell r="S131">
            <v>8.2585883622674994E-2</v>
          </cell>
          <cell r="T131">
            <v>19.943868737977109</v>
          </cell>
        </row>
        <row r="132">
          <cell r="B132" t="str">
            <v>Jace Peterson</v>
          </cell>
          <cell r="C132">
            <v>2700</v>
          </cell>
          <cell r="D132" t="str">
            <v>ATL</v>
          </cell>
          <cell r="E132" t="str">
            <v>2B</v>
          </cell>
          <cell r="F132" t="str">
            <v>@PHI</v>
          </cell>
          <cell r="G132" t="str">
            <v>Thompson</v>
          </cell>
          <cell r="H132" t="str">
            <v>R</v>
          </cell>
          <cell r="I132" t="str">
            <v>L</v>
          </cell>
          <cell r="J132">
            <v>766</v>
          </cell>
          <cell r="K132">
            <v>9</v>
          </cell>
          <cell r="L132">
            <v>0.31853785900783288</v>
          </cell>
          <cell r="M132">
            <v>0.40441176470588236</v>
          </cell>
          <cell r="N132">
            <v>0.36147481185685759</v>
          </cell>
          <cell r="O132">
            <v>0.11532625189681335</v>
          </cell>
          <cell r="P132">
            <v>0.23214285714285715</v>
          </cell>
          <cell r="Q132">
            <v>0.17373455451983524</v>
          </cell>
          <cell r="R132">
            <v>0.2676046831883464</v>
          </cell>
          <cell r="S132">
            <v>7.4458147383049997E-2</v>
          </cell>
          <cell r="T132">
            <v>19.925348941232301</v>
          </cell>
        </row>
        <row r="133">
          <cell r="B133" t="str">
            <v>Jonathan Schoop</v>
          </cell>
          <cell r="C133">
            <v>3200</v>
          </cell>
          <cell r="D133" t="str">
            <v>BAL</v>
          </cell>
          <cell r="E133" t="str">
            <v>2B</v>
          </cell>
          <cell r="F133" t="str">
            <v>NYY</v>
          </cell>
          <cell r="G133" t="str">
            <v>Pineda</v>
          </cell>
          <cell r="H133" t="str">
            <v>R</v>
          </cell>
          <cell r="I133" t="str">
            <v>R</v>
          </cell>
          <cell r="J133">
            <v>627</v>
          </cell>
          <cell r="K133">
            <v>5</v>
          </cell>
          <cell r="L133">
            <v>0.35709728867623602</v>
          </cell>
          <cell r="M133">
            <v>0.32776183644189383</v>
          </cell>
          <cell r="N133">
            <v>0.34242956255906493</v>
          </cell>
          <cell r="O133">
            <v>0.22222222222222221</v>
          </cell>
          <cell r="P133">
            <v>0.18721461187214611</v>
          </cell>
          <cell r="Q133">
            <v>0.20471841704718416</v>
          </cell>
          <cell r="R133">
            <v>0.27357398980312453</v>
          </cell>
          <cell r="S133">
            <v>7.1926643424299996E-2</v>
          </cell>
          <cell r="T133">
            <v>19.677258814732419</v>
          </cell>
        </row>
        <row r="134">
          <cell r="B134" t="str">
            <v>Austin Romine</v>
          </cell>
          <cell r="C134">
            <v>2300</v>
          </cell>
          <cell r="D134" t="str">
            <v>NYY</v>
          </cell>
          <cell r="E134" t="str">
            <v>C</v>
          </cell>
          <cell r="F134" t="str">
            <v>@BAL</v>
          </cell>
          <cell r="G134" t="str">
            <v>Miley</v>
          </cell>
          <cell r="H134" t="str">
            <v>L</v>
          </cell>
          <cell r="I134" t="str">
            <v>R</v>
          </cell>
          <cell r="J134">
            <v>84</v>
          </cell>
          <cell r="K134">
            <v>5</v>
          </cell>
          <cell r="L134">
            <v>0.31011904761904763</v>
          </cell>
          <cell r="M134">
            <v>0.34892665474060824</v>
          </cell>
          <cell r="N134">
            <v>0.32952285117982794</v>
          </cell>
          <cell r="O134">
            <v>0.17721518987341772</v>
          </cell>
          <cell r="P134">
            <v>0.17762512266928362</v>
          </cell>
          <cell r="Q134">
            <v>0.17742015627135066</v>
          </cell>
          <cell r="R134">
            <v>0.2534715037255893</v>
          </cell>
          <cell r="S134">
            <v>0.11895927293545</v>
          </cell>
          <cell r="T134">
            <v>30.152785793051311</v>
          </cell>
        </row>
        <row r="135">
          <cell r="B135" t="str">
            <v>Matt Wieters</v>
          </cell>
          <cell r="C135">
            <v>2500</v>
          </cell>
          <cell r="D135" t="str">
            <v>BAL</v>
          </cell>
          <cell r="E135" t="str">
            <v>C</v>
          </cell>
          <cell r="F135" t="str">
            <v>NYY</v>
          </cell>
          <cell r="G135" t="str">
            <v>Pineda</v>
          </cell>
          <cell r="H135" t="str">
            <v>R</v>
          </cell>
          <cell r="I135" t="str">
            <v>S</v>
          </cell>
          <cell r="J135">
            <v>491</v>
          </cell>
          <cell r="K135">
            <v>5</v>
          </cell>
          <cell r="L135">
            <v>0.32189409368635441</v>
          </cell>
          <cell r="M135">
            <v>0.33330564784053157</v>
          </cell>
          <cell r="N135">
            <v>0.32759987076344299</v>
          </cell>
          <cell r="O135">
            <v>0.16888888888888889</v>
          </cell>
          <cell r="P135">
            <v>0.17953321364452424</v>
          </cell>
          <cell r="Q135">
            <v>0.17421105126670655</v>
          </cell>
          <cell r="R135">
            <v>0.25090546101507477</v>
          </cell>
          <cell r="S135">
            <v>7.3914252488100005E-2</v>
          </cell>
          <cell r="T135">
            <v>18.54548959611137</v>
          </cell>
        </row>
        <row r="136">
          <cell r="B136" t="str">
            <v>C.J. Cron</v>
          </cell>
          <cell r="C136">
            <v>3200</v>
          </cell>
          <cell r="D136" t="str">
            <v>LAA</v>
          </cell>
          <cell r="E136" t="str">
            <v>1B</v>
          </cell>
          <cell r="F136" t="str">
            <v>@SEA</v>
          </cell>
          <cell r="G136" t="str">
            <v>Iwakuma</v>
          </cell>
          <cell r="H136" t="str">
            <v>R</v>
          </cell>
          <cell r="I136" t="str">
            <v>R</v>
          </cell>
          <cell r="J136">
            <v>530</v>
          </cell>
          <cell r="K136">
            <v>29</v>
          </cell>
          <cell r="L136">
            <v>0.34764150943396221</v>
          </cell>
          <cell r="M136">
            <v>0.30911251980982563</v>
          </cell>
          <cell r="N136">
            <v>0.32837701462189395</v>
          </cell>
          <cell r="O136">
            <v>0.20901639344262296</v>
          </cell>
          <cell r="P136">
            <v>0.18103448275862069</v>
          </cell>
          <cell r="Q136">
            <v>0.19502543810062184</v>
          </cell>
          <cell r="R136">
            <v>0.26170122636125792</v>
          </cell>
          <cell r="S136">
            <v>7.49719489361E-2</v>
          </cell>
          <cell r="T136">
            <v>19.620250979270974</v>
          </cell>
        </row>
        <row r="137">
          <cell r="B137" t="str">
            <v>Eric Hosmer</v>
          </cell>
          <cell r="C137">
            <v>3200</v>
          </cell>
          <cell r="D137" t="str">
            <v>KC</v>
          </cell>
          <cell r="E137" t="str">
            <v>1B</v>
          </cell>
          <cell r="F137" t="str">
            <v>DET</v>
          </cell>
          <cell r="G137" t="str">
            <v>Norris</v>
          </cell>
          <cell r="H137" t="str">
            <v>L</v>
          </cell>
          <cell r="I137" t="str">
            <v>L</v>
          </cell>
          <cell r="J137">
            <v>439</v>
          </cell>
          <cell r="K137">
            <v>20</v>
          </cell>
          <cell r="L137">
            <v>0.31059225512528477</v>
          </cell>
          <cell r="M137">
            <v>0.39054054054054055</v>
          </cell>
          <cell r="N137">
            <v>0.35056639783291266</v>
          </cell>
          <cell r="O137">
            <v>0.1308641975308642</v>
          </cell>
          <cell r="P137">
            <v>0.27551020408163263</v>
          </cell>
          <cell r="Q137">
            <v>0.20318720080624841</v>
          </cell>
          <cell r="R137">
            <v>0.27687679931958054</v>
          </cell>
          <cell r="S137">
            <v>6.9076211065949994E-2</v>
          </cell>
          <cell r="T137">
            <v>19.125600229064023</v>
          </cell>
        </row>
        <row r="138">
          <cell r="B138" t="str">
            <v>Dansby Swanson</v>
          </cell>
          <cell r="C138">
            <v>2500</v>
          </cell>
          <cell r="D138" t="str">
            <v>ATL</v>
          </cell>
          <cell r="E138" t="str">
            <v>SS</v>
          </cell>
          <cell r="F138" t="str">
            <v>@PHI</v>
          </cell>
          <cell r="G138" t="str">
            <v>Thompson</v>
          </cell>
          <cell r="H138" t="str">
            <v>R</v>
          </cell>
          <cell r="I138" t="str">
            <v>R</v>
          </cell>
          <cell r="J138">
            <v>50</v>
          </cell>
          <cell r="K138">
            <v>9</v>
          </cell>
          <cell r="L138">
            <v>0.25800000000000001</v>
          </cell>
          <cell r="M138">
            <v>0.3556603773584906</v>
          </cell>
          <cell r="N138">
            <v>0.30683018867924527</v>
          </cell>
          <cell r="O138">
            <v>4.2553191489361701E-2</v>
          </cell>
          <cell r="P138">
            <v>0.2978723404255319</v>
          </cell>
          <cell r="Q138">
            <v>0.1702127659574468</v>
          </cell>
          <cell r="R138">
            <v>0.23852147731834605</v>
          </cell>
          <cell r="S138">
            <v>8.1658705835700007E-2</v>
          </cell>
          <cell r="T138">
            <v>19.477355151835411</v>
          </cell>
        </row>
        <row r="139">
          <cell r="B139" t="str">
            <v>Drew Stubbs</v>
          </cell>
          <cell r="C139">
            <v>0</v>
          </cell>
          <cell r="D139" t="str">
            <v>BAL</v>
          </cell>
          <cell r="E139" t="str">
            <v>OF</v>
          </cell>
          <cell r="F139" t="str">
            <v>NYY</v>
          </cell>
          <cell r="G139" t="str">
            <v>Pineda</v>
          </cell>
          <cell r="H139" t="str">
            <v>R</v>
          </cell>
          <cell r="I139" t="str">
            <v>R</v>
          </cell>
          <cell r="J139">
            <v>103</v>
          </cell>
          <cell r="K139">
            <v>5</v>
          </cell>
          <cell r="L139">
            <v>0.34271844660194173</v>
          </cell>
          <cell r="M139">
            <v>0.32776183644189383</v>
          </cell>
          <cell r="N139">
            <v>0.33524014152191778</v>
          </cell>
          <cell r="O139">
            <v>0.24444444444444444</v>
          </cell>
          <cell r="P139">
            <v>0.18721461187214611</v>
          </cell>
          <cell r="Q139">
            <v>0.21582952815829526</v>
          </cell>
          <cell r="R139">
            <v>0.27553483484010655</v>
          </cell>
          <cell r="S139">
            <v>7.0651933580000006E-2</v>
          </cell>
          <cell r="T139">
            <v>19.46706885009948</v>
          </cell>
        </row>
        <row r="140">
          <cell r="B140" t="str">
            <v>Starlin Castro</v>
          </cell>
          <cell r="C140">
            <v>3100</v>
          </cell>
          <cell r="D140" t="str">
            <v>NYY</v>
          </cell>
          <cell r="E140" t="str">
            <v>2B</v>
          </cell>
          <cell r="F140" t="str">
            <v>@BAL</v>
          </cell>
          <cell r="G140" t="str">
            <v>Miley</v>
          </cell>
          <cell r="H140" t="str">
            <v>L</v>
          </cell>
          <cell r="I140" t="str">
            <v>R</v>
          </cell>
          <cell r="J140">
            <v>271</v>
          </cell>
          <cell r="K140">
            <v>5</v>
          </cell>
          <cell r="L140">
            <v>0.303690036900369</v>
          </cell>
          <cell r="M140">
            <v>0.34892665474060824</v>
          </cell>
          <cell r="N140">
            <v>0.32630834582048862</v>
          </cell>
          <cell r="O140">
            <v>0.12062256809338522</v>
          </cell>
          <cell r="P140">
            <v>0.17762512266928362</v>
          </cell>
          <cell r="Q140">
            <v>0.14912384538133441</v>
          </cell>
          <cell r="R140">
            <v>0.2377160956009115</v>
          </cell>
          <cell r="S140">
            <v>8.1850550729400007E-2</v>
          </cell>
          <cell r="T140">
            <v>19.457193342177309</v>
          </cell>
        </row>
        <row r="141">
          <cell r="B141" t="str">
            <v>Carlos Ruiz</v>
          </cell>
          <cell r="C141">
            <v>2600</v>
          </cell>
          <cell r="D141" t="str">
            <v>LAD</v>
          </cell>
          <cell r="E141" t="str">
            <v>C</v>
          </cell>
          <cell r="F141" t="str">
            <v>SD</v>
          </cell>
          <cell r="G141" t="str">
            <v>Friedrich</v>
          </cell>
          <cell r="H141" t="str">
            <v>L</v>
          </cell>
          <cell r="I141" t="str">
            <v>R</v>
          </cell>
          <cell r="J141">
            <v>128</v>
          </cell>
          <cell r="K141">
            <v>17</v>
          </cell>
          <cell r="L141">
            <v>0.375</v>
          </cell>
          <cell r="M141">
            <v>0.35939393939393943</v>
          </cell>
          <cell r="N141">
            <v>0.36719696969696969</v>
          </cell>
          <cell r="O141">
            <v>0.16190476190476191</v>
          </cell>
          <cell r="P141">
            <v>0.15151515151515152</v>
          </cell>
          <cell r="Q141">
            <v>0.15670995670995672</v>
          </cell>
          <cell r="R141">
            <v>0.26195346320346319</v>
          </cell>
          <cell r="S141">
            <v>7.4137745128049992E-2</v>
          </cell>
          <cell r="T141">
            <v>19.420639090388377</v>
          </cell>
        </row>
        <row r="142">
          <cell r="B142" t="str">
            <v>Kurt Suzuki</v>
          </cell>
          <cell r="C142">
            <v>2700</v>
          </cell>
          <cell r="D142" t="str">
            <v>MIN</v>
          </cell>
          <cell r="E142" t="str">
            <v>C</v>
          </cell>
          <cell r="F142" t="str">
            <v>CHW</v>
          </cell>
          <cell r="G142" t="str">
            <v>Ranaudo</v>
          </cell>
          <cell r="H142" t="str">
            <v>R</v>
          </cell>
          <cell r="I142" t="str">
            <v>R</v>
          </cell>
          <cell r="J142">
            <v>550</v>
          </cell>
          <cell r="K142">
            <v>18</v>
          </cell>
          <cell r="L142">
            <v>0.28181818181818175</v>
          </cell>
          <cell r="M142">
            <v>0.40352941176470586</v>
          </cell>
          <cell r="N142">
            <v>0.34267379679144383</v>
          </cell>
          <cell r="O142">
            <v>9.3253968253968256E-2</v>
          </cell>
          <cell r="P142">
            <v>0.26470588235294118</v>
          </cell>
          <cell r="Q142">
            <v>0.17897992530345472</v>
          </cell>
          <cell r="R142">
            <v>0.26082686104744929</v>
          </cell>
          <cell r="S142">
            <v>7.2855909061875002E-2</v>
          </cell>
          <cell r="T142">
            <v>19.002778069367274</v>
          </cell>
        </row>
        <row r="143">
          <cell r="B143" t="str">
            <v>Aaron Hill</v>
          </cell>
          <cell r="C143">
            <v>2700</v>
          </cell>
          <cell r="D143" t="str">
            <v>BOS</v>
          </cell>
          <cell r="E143" t="str">
            <v>3B</v>
          </cell>
          <cell r="F143" t="str">
            <v>@OAK</v>
          </cell>
          <cell r="G143" t="str">
            <v>Graveman</v>
          </cell>
          <cell r="H143" t="str">
            <v>R</v>
          </cell>
          <cell r="I143" t="str">
            <v>R</v>
          </cell>
          <cell r="J143">
            <v>495</v>
          </cell>
          <cell r="K143">
            <v>24</v>
          </cell>
          <cell r="L143">
            <v>0.30505050505050507</v>
          </cell>
          <cell r="M143">
            <v>0.31861510791366904</v>
          </cell>
          <cell r="N143">
            <v>0.31183280648208705</v>
          </cell>
          <cell r="O143">
            <v>0.12240184757505773</v>
          </cell>
          <cell r="P143">
            <v>0.1673076923076923</v>
          </cell>
          <cell r="Q143">
            <v>0.14485476994137503</v>
          </cell>
          <cell r="R143">
            <v>0.22834378821173104</v>
          </cell>
          <cell r="S143">
            <v>8.487847415630001E-2</v>
          </cell>
          <cell r="T143">
            <v>19.381472326481056</v>
          </cell>
        </row>
        <row r="144">
          <cell r="B144" t="str">
            <v>Joc Pederson</v>
          </cell>
          <cell r="C144">
            <v>2900</v>
          </cell>
          <cell r="D144" t="str">
            <v>LAD</v>
          </cell>
          <cell r="E144" t="str">
            <v>OF</v>
          </cell>
          <cell r="F144" t="str">
            <v>SD</v>
          </cell>
          <cell r="G144" t="str">
            <v>Friedrich</v>
          </cell>
          <cell r="H144" t="str">
            <v>L</v>
          </cell>
          <cell r="I144" t="str">
            <v>L</v>
          </cell>
          <cell r="J144">
            <v>186</v>
          </cell>
          <cell r="K144">
            <v>17</v>
          </cell>
          <cell r="L144">
            <v>0.25967741935483868</v>
          </cell>
          <cell r="M144">
            <v>0.29954751131221719</v>
          </cell>
          <cell r="N144">
            <v>0.2796124653335279</v>
          </cell>
          <cell r="O144">
            <v>0.15337423312883436</v>
          </cell>
          <cell r="P144">
            <v>0.11055276381909548</v>
          </cell>
          <cell r="Q144">
            <v>0.13196349847396494</v>
          </cell>
          <cell r="R144">
            <v>0.20578798190374642</v>
          </cell>
          <cell r="S144">
            <v>9.3749812141500008E-2</v>
          </cell>
          <cell r="T144">
            <v>19.292584644454632</v>
          </cell>
        </row>
        <row r="145">
          <cell r="B145" t="str">
            <v>Ryan Flaherty</v>
          </cell>
          <cell r="C145">
            <v>2000</v>
          </cell>
          <cell r="D145" t="str">
            <v>BAL</v>
          </cell>
          <cell r="E145" t="str">
            <v>3B</v>
          </cell>
          <cell r="F145" t="str">
            <v>NYY</v>
          </cell>
          <cell r="G145" t="str">
            <v>Pineda</v>
          </cell>
          <cell r="H145" t="str">
            <v>R</v>
          </cell>
          <cell r="I145" t="str">
            <v>L</v>
          </cell>
          <cell r="J145">
            <v>384</v>
          </cell>
          <cell r="K145">
            <v>5</v>
          </cell>
          <cell r="L145">
            <v>0.28515625</v>
          </cell>
          <cell r="M145">
            <v>0.33330564784053157</v>
          </cell>
          <cell r="N145">
            <v>0.30923094892026581</v>
          </cell>
          <cell r="O145">
            <v>0.14619883040935672</v>
          </cell>
          <cell r="P145">
            <v>0.17953321364452424</v>
          </cell>
          <cell r="Q145">
            <v>0.16286602202694048</v>
          </cell>
          <cell r="R145">
            <v>0.23604848547360313</v>
          </cell>
          <cell r="S145">
            <v>8.123058719670001E-2</v>
          </cell>
          <cell r="T145">
            <v>19.174357081912493</v>
          </cell>
        </row>
        <row r="146">
          <cell r="B146" t="str">
            <v>Brandon Crawford</v>
          </cell>
          <cell r="C146">
            <v>2900</v>
          </cell>
          <cell r="D146" t="str">
            <v>SF</v>
          </cell>
          <cell r="E146" t="str">
            <v>SS</v>
          </cell>
          <cell r="F146" t="str">
            <v>@CHC</v>
          </cell>
          <cell r="G146" t="str">
            <v>Lackey</v>
          </cell>
          <cell r="H146" t="str">
            <v>R</v>
          </cell>
          <cell r="I146" t="str">
            <v>L</v>
          </cell>
          <cell r="J146">
            <v>775</v>
          </cell>
          <cell r="K146">
            <v>11</v>
          </cell>
          <cell r="L146">
            <v>0.35167741935483871</v>
          </cell>
          <cell r="M146">
            <v>0.31755555555555559</v>
          </cell>
          <cell r="N146">
            <v>0.33461648745519712</v>
          </cell>
          <cell r="O146">
            <v>0.20967741935483872</v>
          </cell>
          <cell r="P146">
            <v>0.13232830820770519</v>
          </cell>
          <cell r="Q146">
            <v>0.17100286378127194</v>
          </cell>
          <cell r="R146">
            <v>0.25280967561823453</v>
          </cell>
          <cell r="S146">
            <v>7.4894371272349991E-2</v>
          </cell>
          <cell r="T146">
            <v>18.934021706994425</v>
          </cell>
        </row>
        <row r="147">
          <cell r="B147" t="str">
            <v>Carlos Santana</v>
          </cell>
          <cell r="C147">
            <v>3600</v>
          </cell>
          <cell r="D147" t="str">
            <v>CLE</v>
          </cell>
          <cell r="E147" t="str">
            <v>1B</v>
          </cell>
          <cell r="F147" t="str">
            <v>MIA</v>
          </cell>
          <cell r="G147" t="str">
            <v>Koehler</v>
          </cell>
          <cell r="H147" t="str">
            <v>R</v>
          </cell>
          <cell r="I147" t="str">
            <v>S</v>
          </cell>
          <cell r="J147">
            <v>844</v>
          </cell>
          <cell r="K147">
            <v>14</v>
          </cell>
          <cell r="L147">
            <v>0.35290284360189578</v>
          </cell>
          <cell r="M147">
            <v>0.33355525965379496</v>
          </cell>
          <cell r="N147">
            <v>0.34322905162784534</v>
          </cell>
          <cell r="O147">
            <v>0.23285714285714285</v>
          </cell>
          <cell r="P147">
            <v>0.16036308623298035</v>
          </cell>
          <cell r="Q147">
            <v>0.19661011454506161</v>
          </cell>
          <cell r="R147">
            <v>0.26991958308645347</v>
          </cell>
          <cell r="S147">
            <v>7.0741714635425001E-2</v>
          </cell>
          <cell r="T147">
            <v>19.09457412121478</v>
          </cell>
        </row>
        <row r="148">
          <cell r="B148" t="str">
            <v>Byron Buxton</v>
          </cell>
          <cell r="C148">
            <v>2700</v>
          </cell>
          <cell r="D148" t="str">
            <v>MIN</v>
          </cell>
          <cell r="E148" t="str">
            <v>OF</v>
          </cell>
          <cell r="F148" t="str">
            <v>CHW</v>
          </cell>
          <cell r="G148" t="str">
            <v>Ranaudo</v>
          </cell>
          <cell r="H148" t="str">
            <v>R</v>
          </cell>
          <cell r="I148" t="str">
            <v>R</v>
          </cell>
          <cell r="J148">
            <v>242</v>
          </cell>
          <cell r="K148">
            <v>18</v>
          </cell>
          <cell r="L148">
            <v>0.27809917355371899</v>
          </cell>
          <cell r="M148">
            <v>0.40352941176470586</v>
          </cell>
          <cell r="N148">
            <v>0.34081429265921243</v>
          </cell>
          <cell r="O148">
            <v>0.15111111111111111</v>
          </cell>
          <cell r="P148">
            <v>0.26470588235294118</v>
          </cell>
          <cell r="Q148">
            <v>0.20790849673202616</v>
          </cell>
          <cell r="R148">
            <v>0.27436139469561927</v>
          </cell>
          <cell r="S148">
            <v>6.8557153211999997E-2</v>
          </cell>
          <cell r="T148">
            <v>18.809436171605572</v>
          </cell>
        </row>
        <row r="149">
          <cell r="B149" t="str">
            <v>Hyun Soo Kim</v>
          </cell>
          <cell r="C149">
            <v>2900</v>
          </cell>
          <cell r="D149" t="str">
            <v>BAL</v>
          </cell>
          <cell r="E149" t="str">
            <v>OF</v>
          </cell>
          <cell r="F149" t="str">
            <v>NYY</v>
          </cell>
          <cell r="G149" t="str">
            <v>Pineda</v>
          </cell>
          <cell r="H149" t="str">
            <v>R</v>
          </cell>
          <cell r="I149" t="str">
            <v>L</v>
          </cell>
          <cell r="J149">
            <v>268</v>
          </cell>
          <cell r="K149">
            <v>5</v>
          </cell>
          <cell r="L149">
            <v>0.37985074626865672</v>
          </cell>
          <cell r="M149">
            <v>0.33330564784053157</v>
          </cell>
          <cell r="N149">
            <v>0.35657819705459415</v>
          </cell>
          <cell r="O149">
            <v>0.11666666666666667</v>
          </cell>
          <cell r="P149">
            <v>0.17953321364452424</v>
          </cell>
          <cell r="Q149">
            <v>0.14809994015559547</v>
          </cell>
          <cell r="R149">
            <v>0.25233906860509481</v>
          </cell>
          <cell r="S149">
            <v>7.5186412350000009E-2</v>
          </cell>
          <cell r="T149">
            <v>18.972469264157599</v>
          </cell>
        </row>
        <row r="150">
          <cell r="B150" t="str">
            <v>Conor Gillaspie</v>
          </cell>
          <cell r="C150">
            <v>2500</v>
          </cell>
          <cell r="D150" t="str">
            <v>SF</v>
          </cell>
          <cell r="E150" t="str">
            <v>3B</v>
          </cell>
          <cell r="F150" t="str">
            <v>@CHC</v>
          </cell>
          <cell r="G150" t="str">
            <v>Lackey</v>
          </cell>
          <cell r="H150" t="str">
            <v>R</v>
          </cell>
          <cell r="I150" t="str">
            <v>L</v>
          </cell>
          <cell r="J150">
            <v>391</v>
          </cell>
          <cell r="K150">
            <v>11</v>
          </cell>
          <cell r="L150">
            <v>0.2921994884910486</v>
          </cell>
          <cell r="M150">
            <v>0.31755555555555559</v>
          </cell>
          <cell r="N150">
            <v>0.30487752202330209</v>
          </cell>
          <cell r="O150">
            <v>0.15300546448087432</v>
          </cell>
          <cell r="P150">
            <v>0.13232830820770519</v>
          </cell>
          <cell r="Q150">
            <v>0.14266688634428976</v>
          </cell>
          <cell r="R150">
            <v>0.22377220418379593</v>
          </cell>
          <cell r="S150">
            <v>8.2394058376374993E-2</v>
          </cell>
          <cell r="T150">
            <v>18.437500054529785</v>
          </cell>
        </row>
        <row r="151">
          <cell r="B151" t="str">
            <v>Mark Teixeira</v>
          </cell>
          <cell r="C151">
            <v>2700</v>
          </cell>
          <cell r="D151" t="str">
            <v>NYY</v>
          </cell>
          <cell r="E151" t="str">
            <v>1B</v>
          </cell>
          <cell r="F151" t="str">
            <v>@BAL</v>
          </cell>
          <cell r="G151" t="str">
            <v>Miley</v>
          </cell>
          <cell r="H151" t="str">
            <v>L</v>
          </cell>
          <cell r="I151" t="str">
            <v>S</v>
          </cell>
          <cell r="J151">
            <v>263</v>
          </cell>
          <cell r="K151">
            <v>5</v>
          </cell>
          <cell r="L151">
            <v>0.32661596958174904</v>
          </cell>
          <cell r="M151">
            <v>0.34892665474060824</v>
          </cell>
          <cell r="N151">
            <v>0.33777131216117862</v>
          </cell>
          <cell r="O151">
            <v>0.14351851851851852</v>
          </cell>
          <cell r="P151">
            <v>0.17762512266928362</v>
          </cell>
          <cell r="Q151">
            <v>0.16057182059390107</v>
          </cell>
          <cell r="R151">
            <v>0.24917156637753984</v>
          </cell>
          <cell r="S151">
            <v>7.5915955567800009E-2</v>
          </cell>
          <cell r="T151">
            <v>18.916097561876445</v>
          </cell>
        </row>
        <row r="152">
          <cell r="B152" t="str">
            <v>Anthony Rizzo</v>
          </cell>
          <cell r="C152">
            <v>3800</v>
          </cell>
          <cell r="D152" t="str">
            <v>CHC</v>
          </cell>
          <cell r="E152" t="str">
            <v>1B</v>
          </cell>
          <cell r="F152" t="str">
            <v>SF</v>
          </cell>
          <cell r="G152" t="str">
            <v>Cueto</v>
          </cell>
          <cell r="H152" t="str">
            <v>R</v>
          </cell>
          <cell r="I152" t="str">
            <v>L</v>
          </cell>
          <cell r="J152">
            <v>885</v>
          </cell>
          <cell r="K152">
            <v>11</v>
          </cell>
          <cell r="L152">
            <v>0.39903954802259883</v>
          </cell>
          <cell r="M152">
            <v>0.28046979865771815</v>
          </cell>
          <cell r="N152">
            <v>0.33975467334015852</v>
          </cell>
          <cell r="O152">
            <v>0.26133333333333331</v>
          </cell>
          <cell r="P152">
            <v>0.11901306240928883</v>
          </cell>
          <cell r="Q152">
            <v>0.19017319787131107</v>
          </cell>
          <cell r="R152">
            <v>0.26496393560573478</v>
          </cell>
          <cell r="S152">
            <v>6.8151007349700019E-2</v>
          </cell>
          <cell r="T152">
            <v>18.057559122871872</v>
          </cell>
        </row>
        <row r="153">
          <cell r="B153" t="str">
            <v>Wilson Ramos</v>
          </cell>
          <cell r="C153">
            <v>3200</v>
          </cell>
          <cell r="D153" t="str">
            <v>WAS</v>
          </cell>
          <cell r="E153" t="str">
            <v>C</v>
          </cell>
          <cell r="F153" t="str">
            <v>@NYM</v>
          </cell>
          <cell r="G153" t="str">
            <v>Lugo</v>
          </cell>
          <cell r="H153" t="str">
            <v>R</v>
          </cell>
          <cell r="I153" t="str">
            <v>R</v>
          </cell>
          <cell r="J153">
            <v>732</v>
          </cell>
          <cell r="K153">
            <v>21</v>
          </cell>
          <cell r="L153">
            <v>0.31290983606557377</v>
          </cell>
          <cell r="M153">
            <v>0.23782051282051278</v>
          </cell>
          <cell r="N153">
            <v>0.27536517444304326</v>
          </cell>
          <cell r="O153">
            <v>0.1466275659824047</v>
          </cell>
          <cell r="P153">
            <v>7.8125E-2</v>
          </cell>
          <cell r="Q153">
            <v>0.11237628299120235</v>
          </cell>
          <cell r="R153">
            <v>0.1938707287171228</v>
          </cell>
          <cell r="S153">
            <v>9.6326393014799977E-2</v>
          </cell>
          <cell r="T153">
            <v>18.67486800847124</v>
          </cell>
        </row>
        <row r="154">
          <cell r="B154" t="str">
            <v>Yadier Molina</v>
          </cell>
          <cell r="C154">
            <v>3100</v>
          </cell>
          <cell r="D154" t="str">
            <v>STL</v>
          </cell>
          <cell r="E154" t="str">
            <v>C</v>
          </cell>
          <cell r="F154" t="str">
            <v>@CIN</v>
          </cell>
          <cell r="G154" t="str">
            <v>Adleman</v>
          </cell>
          <cell r="H154" t="str">
            <v>R</v>
          </cell>
          <cell r="I154" t="str">
            <v>R</v>
          </cell>
          <cell r="J154">
            <v>734</v>
          </cell>
          <cell r="K154">
            <v>3</v>
          </cell>
          <cell r="L154">
            <v>0.31682561307901907</v>
          </cell>
          <cell r="M154">
            <v>0.3430379746835443</v>
          </cell>
          <cell r="N154">
            <v>0.32993179388128169</v>
          </cell>
          <cell r="O154">
            <v>0.10557184750733138</v>
          </cell>
          <cell r="P154">
            <v>0.22857142857142856</v>
          </cell>
          <cell r="Q154">
            <v>0.16707163803937997</v>
          </cell>
          <cell r="R154">
            <v>0.24850171596033083</v>
          </cell>
          <cell r="S154">
            <v>7.8063961450199976E-2</v>
          </cell>
          <cell r="T154">
            <v>19.399028375035812</v>
          </cell>
        </row>
        <row r="155">
          <cell r="B155" t="str">
            <v>Howie Kendrick</v>
          </cell>
          <cell r="C155">
            <v>3000</v>
          </cell>
          <cell r="D155" t="str">
            <v>LAD</v>
          </cell>
          <cell r="E155" t="str">
            <v>2B</v>
          </cell>
          <cell r="F155" t="str">
            <v>SD</v>
          </cell>
          <cell r="G155" t="str">
            <v>Friedrich</v>
          </cell>
          <cell r="H155" t="str">
            <v>L</v>
          </cell>
          <cell r="I155" t="str">
            <v>R</v>
          </cell>
          <cell r="J155">
            <v>253</v>
          </cell>
          <cell r="K155">
            <v>17</v>
          </cell>
          <cell r="L155">
            <v>0.32075098814229253</v>
          </cell>
          <cell r="M155">
            <v>0.35939393939393943</v>
          </cell>
          <cell r="N155">
            <v>0.34007246376811595</v>
          </cell>
          <cell r="O155">
            <v>8.3700440528634359E-2</v>
          </cell>
          <cell r="P155">
            <v>0.15151515151515152</v>
          </cell>
          <cell r="Q155">
            <v>0.11760779602189295</v>
          </cell>
          <cell r="R155">
            <v>0.22884012989500446</v>
          </cell>
          <cell r="S155">
            <v>8.0909998576250003E-2</v>
          </cell>
          <cell r="T155">
            <v>18.515454583993677</v>
          </cell>
        </row>
        <row r="156">
          <cell r="B156" t="str">
            <v>Denard Span</v>
          </cell>
          <cell r="C156">
            <v>3000</v>
          </cell>
          <cell r="D156" t="str">
            <v>SF</v>
          </cell>
          <cell r="E156" t="str">
            <v>OF</v>
          </cell>
          <cell r="F156" t="str">
            <v>@CHC</v>
          </cell>
          <cell r="G156" t="str">
            <v>Lackey</v>
          </cell>
          <cell r="H156" t="str">
            <v>R</v>
          </cell>
          <cell r="I156" t="str">
            <v>L</v>
          </cell>
          <cell r="J156">
            <v>574</v>
          </cell>
          <cell r="K156">
            <v>11</v>
          </cell>
          <cell r="L156">
            <v>0.3520034843205575</v>
          </cell>
          <cell r="M156">
            <v>0.31755555555555559</v>
          </cell>
          <cell r="N156">
            <v>0.33477951993805655</v>
          </cell>
          <cell r="O156">
            <v>0.13618677042801555</v>
          </cell>
          <cell r="P156">
            <v>0.13232830820770519</v>
          </cell>
          <cell r="Q156">
            <v>0.13425753931786039</v>
          </cell>
          <cell r="R156">
            <v>0.23451852962795847</v>
          </cell>
          <cell r="S156">
            <v>7.6718770121099997E-2</v>
          </cell>
          <cell r="T156">
            <v>17.991973163665726</v>
          </cell>
        </row>
        <row r="157">
          <cell r="B157" t="str">
            <v>Christian Yelich</v>
          </cell>
          <cell r="C157">
            <v>3500</v>
          </cell>
          <cell r="D157" t="str">
            <v>MIA</v>
          </cell>
          <cell r="E157" t="str">
            <v>OF</v>
          </cell>
          <cell r="F157" t="str">
            <v>@CLE</v>
          </cell>
          <cell r="G157" t="str">
            <v>Salazar</v>
          </cell>
          <cell r="H157" t="str">
            <v>R</v>
          </cell>
          <cell r="I157" t="str">
            <v>L</v>
          </cell>
          <cell r="J157">
            <v>795</v>
          </cell>
          <cell r="K157">
            <v>14</v>
          </cell>
          <cell r="L157">
            <v>0.3818238993710692</v>
          </cell>
          <cell r="M157">
            <v>0.29333881578947368</v>
          </cell>
          <cell r="N157">
            <v>0.33758135758027141</v>
          </cell>
          <cell r="O157">
            <v>0.18025751072961374</v>
          </cell>
          <cell r="P157">
            <v>0.18214936247723132</v>
          </cell>
          <cell r="Q157">
            <v>0.18120343660342253</v>
          </cell>
          <cell r="R157">
            <v>0.25939239709184697</v>
          </cell>
          <cell r="S157">
            <v>7.0665946369574989E-2</v>
          </cell>
          <cell r="T157">
            <v>18.330209221567959</v>
          </cell>
        </row>
        <row r="158">
          <cell r="B158" t="str">
            <v>Curt Casali</v>
          </cell>
          <cell r="C158">
            <v>2400</v>
          </cell>
          <cell r="D158" t="str">
            <v>TB</v>
          </cell>
          <cell r="E158" t="str">
            <v>C</v>
          </cell>
          <cell r="F158" t="str">
            <v>TOR</v>
          </cell>
          <cell r="G158" t="str">
            <v>Happ</v>
          </cell>
          <cell r="H158" t="str">
            <v>L</v>
          </cell>
          <cell r="I158" t="str">
            <v>R</v>
          </cell>
          <cell r="J158">
            <v>100</v>
          </cell>
          <cell r="K158">
            <v>23</v>
          </cell>
          <cell r="L158">
            <v>0.309</v>
          </cell>
          <cell r="M158">
            <v>0.30424528301886794</v>
          </cell>
          <cell r="N158">
            <v>0.30662264150943397</v>
          </cell>
          <cell r="O158">
            <v>0.21978021978021978</v>
          </cell>
          <cell r="P158">
            <v>0.15061475409836064</v>
          </cell>
          <cell r="Q158">
            <v>0.18519748693929022</v>
          </cell>
          <cell r="R158">
            <v>0.2459100642243621</v>
          </cell>
          <cell r="S158">
            <v>4.5903582359400001E-2</v>
          </cell>
          <cell r="T158">
            <v>11.28815288612835</v>
          </cell>
        </row>
        <row r="159">
          <cell r="B159" t="str">
            <v>Hunter Pence</v>
          </cell>
          <cell r="C159">
            <v>3400</v>
          </cell>
          <cell r="D159" t="str">
            <v>SF</v>
          </cell>
          <cell r="E159" t="str">
            <v>OF</v>
          </cell>
          <cell r="F159" t="str">
            <v>@CHC</v>
          </cell>
          <cell r="G159" t="str">
            <v>Lackey</v>
          </cell>
          <cell r="H159" t="str">
            <v>R</v>
          </cell>
          <cell r="I159" t="str">
            <v>R</v>
          </cell>
          <cell r="J159">
            <v>418</v>
          </cell>
          <cell r="K159">
            <v>11</v>
          </cell>
          <cell r="L159">
            <v>0.34688995215311003</v>
          </cell>
          <cell r="M159">
            <v>0.26548780487804879</v>
          </cell>
          <cell r="N159">
            <v>0.30618887851557941</v>
          </cell>
          <cell r="O159">
            <v>0.15691489361702127</v>
          </cell>
          <cell r="P159">
            <v>0.12746386333771353</v>
          </cell>
          <cell r="Q159">
            <v>0.1421893784773674</v>
          </cell>
          <cell r="R159">
            <v>0.22418912849647341</v>
          </cell>
          <cell r="S159">
            <v>7.953954210625E-2</v>
          </cell>
          <cell r="T159">
            <v>17.831900625808739</v>
          </cell>
        </row>
        <row r="160">
          <cell r="B160" t="str">
            <v>Lorenzo Cain</v>
          </cell>
          <cell r="C160">
            <v>3100</v>
          </cell>
          <cell r="D160" t="str">
            <v>KC</v>
          </cell>
          <cell r="E160" t="str">
            <v>OF</v>
          </cell>
          <cell r="F160" t="str">
            <v>DET</v>
          </cell>
          <cell r="G160" t="str">
            <v>Norris</v>
          </cell>
          <cell r="H160" t="str">
            <v>L</v>
          </cell>
          <cell r="I160" t="str">
            <v>R</v>
          </cell>
          <cell r="J160">
            <v>300</v>
          </cell>
          <cell r="K160">
            <v>20</v>
          </cell>
          <cell r="L160">
            <v>0.41550000000000004</v>
          </cell>
          <cell r="M160">
            <v>0.31510903426791281</v>
          </cell>
          <cell r="N160">
            <v>0.3653045171339564</v>
          </cell>
          <cell r="O160">
            <v>0.23161764705882354</v>
          </cell>
          <cell r="P160">
            <v>0.1678082191780822</v>
          </cell>
          <cell r="Q160">
            <v>0.19971293311845287</v>
          </cell>
          <cell r="R160">
            <v>0.28250872512620462</v>
          </cell>
          <cell r="S160">
            <v>6.309743793987499E-2</v>
          </cell>
          <cell r="T160">
            <v>17.825576751123897</v>
          </cell>
        </row>
        <row r="161">
          <cell r="B161" t="str">
            <v>Chris Heisey</v>
          </cell>
          <cell r="C161">
            <v>2200</v>
          </cell>
          <cell r="D161" t="str">
            <v>WAS</v>
          </cell>
          <cell r="E161" t="str">
            <v>OF</v>
          </cell>
          <cell r="F161" t="str">
            <v>@NYM</v>
          </cell>
          <cell r="G161" t="str">
            <v>Lugo</v>
          </cell>
          <cell r="H161" t="str">
            <v>R</v>
          </cell>
          <cell r="I161" t="str">
            <v>R</v>
          </cell>
          <cell r="J161">
            <v>108</v>
          </cell>
          <cell r="K161">
            <v>21</v>
          </cell>
          <cell r="L161">
            <v>0.33148148148148143</v>
          </cell>
          <cell r="M161">
            <v>0.23782051282051278</v>
          </cell>
          <cell r="N161">
            <v>0.28465099715099712</v>
          </cell>
          <cell r="O161">
            <v>0.23404255319148937</v>
          </cell>
          <cell r="P161">
            <v>7.8125E-2</v>
          </cell>
          <cell r="Q161">
            <v>0.15608377659574468</v>
          </cell>
          <cell r="R161">
            <v>0.2203673868733709</v>
          </cell>
          <cell r="S161">
            <v>8.1423997961999992E-2</v>
          </cell>
          <cell r="T161">
            <v>17.943193659668616</v>
          </cell>
        </row>
        <row r="162">
          <cell r="B162" t="str">
            <v>Justin Upton</v>
          </cell>
          <cell r="C162">
            <v>2800</v>
          </cell>
          <cell r="D162" t="str">
            <v>DET</v>
          </cell>
          <cell r="E162" t="str">
            <v>OF</v>
          </cell>
          <cell r="F162" t="str">
            <v>@KC</v>
          </cell>
          <cell r="G162" t="str">
            <v>Volquez</v>
          </cell>
          <cell r="H162" t="str">
            <v>R</v>
          </cell>
          <cell r="I162" t="str">
            <v>R</v>
          </cell>
          <cell r="J162">
            <v>860</v>
          </cell>
          <cell r="K162">
            <v>20</v>
          </cell>
          <cell r="L162">
            <v>0.33918604651162798</v>
          </cell>
          <cell r="M162">
            <v>0.31851851851851853</v>
          </cell>
          <cell r="N162">
            <v>0.32885228251507326</v>
          </cell>
          <cell r="O162">
            <v>0.20026178010471204</v>
          </cell>
          <cell r="P162">
            <v>0.11834319526627218</v>
          </cell>
          <cell r="Q162">
            <v>0.1593024876854921</v>
          </cell>
          <cell r="R162">
            <v>0.24407738510028268</v>
          </cell>
          <cell r="S162">
            <v>7.2195412026524991E-2</v>
          </cell>
          <cell r="T162">
            <v>17.621267383671718</v>
          </cell>
        </row>
        <row r="163">
          <cell r="B163" t="str">
            <v>Jorge Polanco</v>
          </cell>
          <cell r="C163">
            <v>3300</v>
          </cell>
          <cell r="D163" t="str">
            <v>MIN</v>
          </cell>
          <cell r="E163" t="str">
            <v>3B</v>
          </cell>
          <cell r="F163" t="str">
            <v>CHW</v>
          </cell>
          <cell r="G163" t="str">
            <v>Ranaudo</v>
          </cell>
          <cell r="H163" t="str">
            <v>R</v>
          </cell>
          <cell r="I163" t="str">
            <v>S</v>
          </cell>
          <cell r="J163">
            <v>131</v>
          </cell>
          <cell r="K163">
            <v>18</v>
          </cell>
          <cell r="L163">
            <v>0.32748091603053442</v>
          </cell>
          <cell r="M163">
            <v>0.32990196078431372</v>
          </cell>
          <cell r="N163">
            <v>0.3286914384074241</v>
          </cell>
          <cell r="O163">
            <v>0.12605042016806722</v>
          </cell>
          <cell r="P163">
            <v>0.20930232558139536</v>
          </cell>
          <cell r="Q163">
            <v>0.16767637287473131</v>
          </cell>
          <cell r="R163">
            <v>0.2481839056410777</v>
          </cell>
          <cell r="S163">
            <v>6.9505659379350007E-2</v>
          </cell>
          <cell r="T163">
            <v>17.250186008925489</v>
          </cell>
        </row>
        <row r="164">
          <cell r="B164" t="str">
            <v>Kyle Seager</v>
          </cell>
          <cell r="C164">
            <v>3700</v>
          </cell>
          <cell r="D164" t="str">
            <v>SEA</v>
          </cell>
          <cell r="E164" t="str">
            <v>3B</v>
          </cell>
          <cell r="F164" t="str">
            <v>LAA</v>
          </cell>
          <cell r="G164" t="str">
            <v>Shoemaker</v>
          </cell>
          <cell r="H164" t="str">
            <v>R</v>
          </cell>
          <cell r="I164" t="str">
            <v>L</v>
          </cell>
          <cell r="J164">
            <v>805</v>
          </cell>
          <cell r="K164">
            <v>29</v>
          </cell>
          <cell r="L164">
            <v>0.36819875776397515</v>
          </cell>
          <cell r="M164">
            <v>0.31039755351681958</v>
          </cell>
          <cell r="N164">
            <v>0.33929815564039734</v>
          </cell>
          <cell r="O164">
            <v>0.20226308345120225</v>
          </cell>
          <cell r="P164">
            <v>0.16501650165016502</v>
          </cell>
          <cell r="Q164">
            <v>0.18363979255068363</v>
          </cell>
          <cell r="R164">
            <v>0.26146897409554049</v>
          </cell>
          <cell r="S164">
            <v>6.782080649729999E-2</v>
          </cell>
          <cell r="T164">
            <v>17.733036697181195</v>
          </cell>
        </row>
        <row r="165">
          <cell r="B165" t="str">
            <v>Jay Bruce</v>
          </cell>
          <cell r="C165">
            <v>3400</v>
          </cell>
          <cell r="D165" t="str">
            <v>NYM</v>
          </cell>
          <cell r="E165" t="str">
            <v>OF</v>
          </cell>
          <cell r="F165" t="str">
            <v>WAS</v>
          </cell>
          <cell r="G165" t="str">
            <v>Lopez</v>
          </cell>
          <cell r="H165" t="str">
            <v>R</v>
          </cell>
          <cell r="I165" t="str">
            <v>L</v>
          </cell>
          <cell r="J165">
            <v>824</v>
          </cell>
          <cell r="K165">
            <v>21</v>
          </cell>
          <cell r="L165">
            <v>0.3428398058252427</v>
          </cell>
          <cell r="M165">
            <v>0.28203125000000001</v>
          </cell>
          <cell r="N165">
            <v>0.31243552791262136</v>
          </cell>
          <cell r="O165">
            <v>0.25474254742547425</v>
          </cell>
          <cell r="P165">
            <v>0.16666666666666666</v>
          </cell>
          <cell r="Q165">
            <v>0.21070460704607047</v>
          </cell>
          <cell r="R165">
            <v>0.26157006747934591</v>
          </cell>
          <cell r="S165">
            <v>6.751170828719999E-2</v>
          </cell>
          <cell r="T165">
            <v>17.659042092328818</v>
          </cell>
        </row>
        <row r="166">
          <cell r="B166" t="str">
            <v>Dustin Pedroia</v>
          </cell>
          <cell r="C166">
            <v>3600</v>
          </cell>
          <cell r="D166" t="str">
            <v>BOS</v>
          </cell>
          <cell r="E166" t="str">
            <v>2B</v>
          </cell>
          <cell r="F166" t="str">
            <v>@OAK</v>
          </cell>
          <cell r="G166" t="str">
            <v>Graveman</v>
          </cell>
          <cell r="H166" t="str">
            <v>R</v>
          </cell>
          <cell r="I166" t="str">
            <v>R</v>
          </cell>
          <cell r="J166">
            <v>778</v>
          </cell>
          <cell r="K166">
            <v>24</v>
          </cell>
          <cell r="L166">
            <v>0.36311053984575836</v>
          </cell>
          <cell r="M166">
            <v>0.31861510791366904</v>
          </cell>
          <cell r="N166">
            <v>0.34086282387971367</v>
          </cell>
          <cell r="O166">
            <v>0.1382228490832158</v>
          </cell>
          <cell r="P166">
            <v>0.1673076923076923</v>
          </cell>
          <cell r="Q166">
            <v>0.15276527069545404</v>
          </cell>
          <cell r="R166">
            <v>0.24681404728758385</v>
          </cell>
          <cell r="S166">
            <v>7.1467130040150012E-2</v>
          </cell>
          <cell r="T166">
            <v>17.63909161323749</v>
          </cell>
        </row>
        <row r="167">
          <cell r="B167" t="str">
            <v>Eddie Rosario</v>
          </cell>
          <cell r="C167">
            <v>2900</v>
          </cell>
          <cell r="D167" t="str">
            <v>MIN</v>
          </cell>
          <cell r="E167" t="str">
            <v>OF</v>
          </cell>
          <cell r="F167" t="str">
            <v>CHW</v>
          </cell>
          <cell r="G167" t="str">
            <v>Ranaudo</v>
          </cell>
          <cell r="H167" t="str">
            <v>R</v>
          </cell>
          <cell r="I167" t="str">
            <v>L</v>
          </cell>
          <cell r="J167">
            <v>598</v>
          </cell>
          <cell r="K167">
            <v>18</v>
          </cell>
          <cell r="L167">
            <v>0.32015050167224079</v>
          </cell>
          <cell r="M167">
            <v>0.32990196078431372</v>
          </cell>
          <cell r="N167">
            <v>0.32502623122827723</v>
          </cell>
          <cell r="O167">
            <v>0.18914185639229422</v>
          </cell>
          <cell r="P167">
            <v>0.20930232558139536</v>
          </cell>
          <cell r="Q167">
            <v>0.19922209098684479</v>
          </cell>
          <cell r="R167">
            <v>0.26212416110756098</v>
          </cell>
          <cell r="S167">
            <v>6.5028647638799994E-2</v>
          </cell>
          <cell r="T167">
            <v>17.045579710279625</v>
          </cell>
        </row>
        <row r="168">
          <cell r="B168" t="str">
            <v>Yasiel Puig</v>
          </cell>
          <cell r="C168">
            <v>2600</v>
          </cell>
          <cell r="D168" t="str">
            <v>LAD</v>
          </cell>
          <cell r="E168" t="str">
            <v>OF</v>
          </cell>
          <cell r="F168" t="str">
            <v>SD</v>
          </cell>
          <cell r="G168" t="str">
            <v>Friedrich</v>
          </cell>
          <cell r="H168" t="str">
            <v>L</v>
          </cell>
          <cell r="I168" t="str">
            <v>R</v>
          </cell>
          <cell r="J168">
            <v>167</v>
          </cell>
          <cell r="K168">
            <v>17</v>
          </cell>
          <cell r="L168">
            <v>0.34640718562874251</v>
          </cell>
          <cell r="M168">
            <v>0.35939393939393943</v>
          </cell>
          <cell r="N168">
            <v>0.35290056251134094</v>
          </cell>
          <cell r="O168">
            <v>0.18791946308724833</v>
          </cell>
          <cell r="P168">
            <v>0.15151515151515152</v>
          </cell>
          <cell r="Q168">
            <v>0.16971730730119994</v>
          </cell>
          <cell r="R168">
            <v>0.26130893490627044</v>
          </cell>
          <cell r="S168">
            <v>6.7326782424100007E-2</v>
          </cell>
          <cell r="T168">
            <v>17.59308980590778</v>
          </cell>
        </row>
        <row r="169">
          <cell r="B169" t="str">
            <v>Chase Headley</v>
          </cell>
          <cell r="C169">
            <v>2900</v>
          </cell>
          <cell r="D169" t="str">
            <v>NYY</v>
          </cell>
          <cell r="E169" t="str">
            <v>3B</v>
          </cell>
          <cell r="F169" t="str">
            <v>@BAL</v>
          </cell>
          <cell r="G169" t="str">
            <v>Miley</v>
          </cell>
          <cell r="H169" t="str">
            <v>L</v>
          </cell>
          <cell r="I169" t="str">
            <v>S</v>
          </cell>
          <cell r="J169">
            <v>339</v>
          </cell>
          <cell r="K169">
            <v>5</v>
          </cell>
          <cell r="L169">
            <v>0.32050147492625364</v>
          </cell>
          <cell r="M169">
            <v>0.34892665474060824</v>
          </cell>
          <cell r="N169">
            <v>0.33471406483343091</v>
          </cell>
          <cell r="O169">
            <v>0.11326860841423948</v>
          </cell>
          <cell r="P169">
            <v>0.17762512266928362</v>
          </cell>
          <cell r="Q169">
            <v>0.14544686554176156</v>
          </cell>
          <cell r="R169">
            <v>0.24008046518759624</v>
          </cell>
          <cell r="S169">
            <v>7.2978992885250005E-2</v>
          </cell>
          <cell r="T169">
            <v>17.520830560813099</v>
          </cell>
        </row>
        <row r="170">
          <cell r="B170" t="str">
            <v>Tommy Joseph</v>
          </cell>
          <cell r="C170">
            <v>2300</v>
          </cell>
          <cell r="D170" t="str">
            <v>PHI</v>
          </cell>
          <cell r="E170" t="str">
            <v>1B</v>
          </cell>
          <cell r="F170" t="str">
            <v>ATL</v>
          </cell>
          <cell r="G170" t="str">
            <v>Teheran</v>
          </cell>
          <cell r="H170" t="str">
            <v>R</v>
          </cell>
          <cell r="I170" t="str">
            <v>R</v>
          </cell>
          <cell r="J170">
            <v>191</v>
          </cell>
          <cell r="K170">
            <v>9</v>
          </cell>
          <cell r="L170">
            <v>0.33246073298429318</v>
          </cell>
          <cell r="M170">
            <v>0.25510067114093959</v>
          </cell>
          <cell r="N170">
            <v>0.29378070206261642</v>
          </cell>
          <cell r="O170">
            <v>0.26704545454545453</v>
          </cell>
          <cell r="P170">
            <v>0.11901306240928883</v>
          </cell>
          <cell r="Q170">
            <v>0.19302925847737168</v>
          </cell>
          <cell r="R170">
            <v>0.24340498026999405</v>
          </cell>
          <cell r="S170">
            <v>7.180581896655E-2</v>
          </cell>
          <cell r="T170">
            <v>17.477893948823869</v>
          </cell>
        </row>
        <row r="171">
          <cell r="B171" t="str">
            <v>Yunel Escobar</v>
          </cell>
          <cell r="C171">
            <v>3200</v>
          </cell>
          <cell r="D171" t="str">
            <v>LAA</v>
          </cell>
          <cell r="E171" t="str">
            <v>3B</v>
          </cell>
          <cell r="F171" t="str">
            <v>@SEA</v>
          </cell>
          <cell r="G171" t="str">
            <v>Iwakuma</v>
          </cell>
          <cell r="H171" t="str">
            <v>R</v>
          </cell>
          <cell r="I171" t="str">
            <v>R</v>
          </cell>
          <cell r="J171">
            <v>831</v>
          </cell>
          <cell r="K171">
            <v>29</v>
          </cell>
          <cell r="L171">
            <v>0.33941034897713601</v>
          </cell>
          <cell r="M171">
            <v>0.30911251980982563</v>
          </cell>
          <cell r="N171">
            <v>0.32426143439348082</v>
          </cell>
          <cell r="O171">
            <v>7.9893475366178426E-2</v>
          </cell>
          <cell r="P171">
            <v>0.18103448275862069</v>
          </cell>
          <cell r="Q171">
            <v>0.13046397906239957</v>
          </cell>
          <cell r="R171">
            <v>0.22736270672794018</v>
          </cell>
          <cell r="S171">
            <v>7.6497070563399994E-2</v>
          </cell>
          <cell r="T171">
            <v>17.392581020052859</v>
          </cell>
        </row>
        <row r="172">
          <cell r="B172" t="str">
            <v>Joey Votto</v>
          </cell>
          <cell r="C172">
            <v>3800</v>
          </cell>
          <cell r="D172" t="str">
            <v>CIN</v>
          </cell>
          <cell r="E172" t="str">
            <v>1B</v>
          </cell>
          <cell r="F172" t="str">
            <v>STL</v>
          </cell>
          <cell r="G172" t="str">
            <v>Martinez</v>
          </cell>
          <cell r="H172" t="str">
            <v>R</v>
          </cell>
          <cell r="I172" t="str">
            <v>L</v>
          </cell>
          <cell r="J172">
            <v>881</v>
          </cell>
          <cell r="K172">
            <v>3</v>
          </cell>
          <cell r="L172">
            <v>0.43433598183881955</v>
          </cell>
          <cell r="M172">
            <v>0.32929362880886426</v>
          </cell>
          <cell r="N172">
            <v>0.38181480532384193</v>
          </cell>
          <cell r="O172">
            <v>0.24167872648335745</v>
          </cell>
          <cell r="P172">
            <v>0.14622641509433962</v>
          </cell>
          <cell r="Q172">
            <v>0.19395257078884853</v>
          </cell>
          <cell r="R172">
            <v>0.28788368805634523</v>
          </cell>
          <cell r="S172">
            <v>6.0160748527200006E-2</v>
          </cell>
          <cell r="T172">
            <v>17.319298162240678</v>
          </cell>
        </row>
        <row r="173">
          <cell r="B173" t="str">
            <v>Travis Shaw</v>
          </cell>
          <cell r="C173">
            <v>2900</v>
          </cell>
          <cell r="D173" t="str">
            <v>BOS</v>
          </cell>
          <cell r="E173" t="str">
            <v>3B</v>
          </cell>
          <cell r="F173" t="str">
            <v>@OAK</v>
          </cell>
          <cell r="G173" t="str">
            <v>Graveman</v>
          </cell>
          <cell r="H173" t="str">
            <v>R</v>
          </cell>
          <cell r="I173" t="str">
            <v>L</v>
          </cell>
          <cell r="J173">
            <v>529</v>
          </cell>
          <cell r="K173">
            <v>24</v>
          </cell>
          <cell r="L173">
            <v>0.33393194706994322</v>
          </cell>
          <cell r="M173">
            <v>0.33322314049586776</v>
          </cell>
          <cell r="N173">
            <v>0.33357754378290549</v>
          </cell>
          <cell r="O173">
            <v>0.18471337579617833</v>
          </cell>
          <cell r="P173">
            <v>0.13703703703703704</v>
          </cell>
          <cell r="Q173">
            <v>0.16087520641660769</v>
          </cell>
          <cell r="R173">
            <v>0.24722637509975659</v>
          </cell>
          <cell r="S173">
            <v>7.0054018407499988E-2</v>
          </cell>
          <cell r="T173">
            <v>17.319201032057844</v>
          </cell>
        </row>
        <row r="174">
          <cell r="B174" t="str">
            <v>Adam Lind</v>
          </cell>
          <cell r="C174">
            <v>2700</v>
          </cell>
          <cell r="D174" t="str">
            <v>SEA</v>
          </cell>
          <cell r="E174" t="str">
            <v>1B</v>
          </cell>
          <cell r="F174" t="str">
            <v>LAA</v>
          </cell>
          <cell r="G174" t="str">
            <v>Shoemaker</v>
          </cell>
          <cell r="H174" t="str">
            <v>R</v>
          </cell>
          <cell r="I174" t="str">
            <v>L</v>
          </cell>
          <cell r="J174">
            <v>780</v>
          </cell>
          <cell r="K174">
            <v>29</v>
          </cell>
          <cell r="L174">
            <v>0.35070512820512822</v>
          </cell>
          <cell r="M174">
            <v>0.31039755351681958</v>
          </cell>
          <cell r="N174">
            <v>0.33055134086097393</v>
          </cell>
          <cell r="O174">
            <v>0.2088698140200286</v>
          </cell>
          <cell r="P174">
            <v>0.16501650165016502</v>
          </cell>
          <cell r="Q174">
            <v>0.1869431578350968</v>
          </cell>
          <cell r="R174">
            <v>0.25874724934803539</v>
          </cell>
          <cell r="S174">
            <v>6.6917571908100007E-2</v>
          </cell>
          <cell r="T174">
            <v>17.31473766427024</v>
          </cell>
        </row>
        <row r="175">
          <cell r="B175" t="str">
            <v>Salvador Perez</v>
          </cell>
          <cell r="C175">
            <v>3100</v>
          </cell>
          <cell r="D175" t="str">
            <v>KC</v>
          </cell>
          <cell r="E175" t="str">
            <v>C</v>
          </cell>
          <cell r="F175" t="str">
            <v>DET</v>
          </cell>
          <cell r="G175" t="str">
            <v>Norris</v>
          </cell>
          <cell r="H175" t="str">
            <v>L</v>
          </cell>
          <cell r="I175" t="str">
            <v>R</v>
          </cell>
          <cell r="J175">
            <v>307</v>
          </cell>
          <cell r="K175">
            <v>20</v>
          </cell>
          <cell r="L175">
            <v>0.28371335504885992</v>
          </cell>
          <cell r="M175">
            <v>0.31510903426791281</v>
          </cell>
          <cell r="N175">
            <v>0.29941119465838639</v>
          </cell>
          <cell r="O175">
            <v>0.17567567567567569</v>
          </cell>
          <cell r="P175">
            <v>0.1678082191780822</v>
          </cell>
          <cell r="Q175">
            <v>0.17174194742687893</v>
          </cell>
          <cell r="R175">
            <v>0.23557657104263266</v>
          </cell>
          <cell r="S175">
            <v>7.2353542042049995E-2</v>
          </cell>
          <cell r="T175">
            <v>17.0447993370551</v>
          </cell>
        </row>
        <row r="176">
          <cell r="B176" t="str">
            <v>Hanley Ramirez</v>
          </cell>
          <cell r="C176">
            <v>3400</v>
          </cell>
          <cell r="D176" t="str">
            <v>BOS</v>
          </cell>
          <cell r="E176" t="str">
            <v>1B</v>
          </cell>
          <cell r="F176" t="str">
            <v>@OAK</v>
          </cell>
          <cell r="G176" t="str">
            <v>Graveman</v>
          </cell>
          <cell r="H176" t="str">
            <v>R</v>
          </cell>
          <cell r="I176" t="str">
            <v>R</v>
          </cell>
          <cell r="J176">
            <v>691</v>
          </cell>
          <cell r="K176">
            <v>24</v>
          </cell>
          <cell r="L176">
            <v>0.32192474674384947</v>
          </cell>
          <cell r="M176">
            <v>0.31861510791366904</v>
          </cell>
          <cell r="N176">
            <v>0.32026992732875925</v>
          </cell>
          <cell r="O176">
            <v>0.16057233704292528</v>
          </cell>
          <cell r="P176">
            <v>0.1673076923076923</v>
          </cell>
          <cell r="Q176">
            <v>0.16394001467530878</v>
          </cell>
          <cell r="R176">
            <v>0.24210497100203401</v>
          </cell>
          <cell r="S176">
            <v>7.0957765401125E-2</v>
          </cell>
          <cell r="T176">
            <v>17.179227734808499</v>
          </cell>
        </row>
        <row r="177">
          <cell r="B177" t="str">
            <v>Steven Souza</v>
          </cell>
          <cell r="C177">
            <v>2400</v>
          </cell>
          <cell r="D177" t="str">
            <v>TB</v>
          </cell>
          <cell r="E177" t="str">
            <v>OF</v>
          </cell>
          <cell r="F177" t="str">
            <v>TOR</v>
          </cell>
          <cell r="G177" t="str">
            <v>Happ</v>
          </cell>
          <cell r="H177" t="str">
            <v>L</v>
          </cell>
          <cell r="I177" t="str">
            <v>R</v>
          </cell>
          <cell r="J177">
            <v>230</v>
          </cell>
          <cell r="K177">
            <v>23</v>
          </cell>
          <cell r="L177">
            <v>0.28934782608695653</v>
          </cell>
          <cell r="M177">
            <v>0.30424528301886794</v>
          </cell>
          <cell r="N177">
            <v>0.29679655455291221</v>
          </cell>
          <cell r="O177">
            <v>0.1625615763546798</v>
          </cell>
          <cell r="P177">
            <v>0.15061475409836064</v>
          </cell>
          <cell r="Q177">
            <v>0.15658816522652022</v>
          </cell>
          <cell r="R177">
            <v>0.2266923598897162</v>
          </cell>
          <cell r="S177">
            <v>7.5699918986250003E-2</v>
          </cell>
          <cell r="T177">
            <v>17.160593278453344</v>
          </cell>
        </row>
        <row r="178">
          <cell r="B178" t="str">
            <v>Michael Conforto</v>
          </cell>
          <cell r="C178">
            <v>2500</v>
          </cell>
          <cell r="D178" t="str">
            <v>NYM</v>
          </cell>
          <cell r="E178" t="str">
            <v>OF</v>
          </cell>
          <cell r="F178" t="str">
            <v>WAS</v>
          </cell>
          <cell r="G178" t="str">
            <v>Lopez</v>
          </cell>
          <cell r="H178" t="str">
            <v>R</v>
          </cell>
          <cell r="I178" t="str">
            <v>L</v>
          </cell>
          <cell r="J178">
            <v>437</v>
          </cell>
          <cell r="K178">
            <v>21</v>
          </cell>
          <cell r="L178">
            <v>0.35675057208237981</v>
          </cell>
          <cell r="M178">
            <v>0.28203125000000001</v>
          </cell>
          <cell r="N178">
            <v>0.31939091104118988</v>
          </cell>
          <cell r="O178">
            <v>0.24352331606217617</v>
          </cell>
          <cell r="P178">
            <v>0.16666666666666666</v>
          </cell>
          <cell r="Q178">
            <v>0.20509499136442141</v>
          </cell>
          <cell r="R178">
            <v>0.26224295120280566</v>
          </cell>
          <cell r="S178">
            <v>6.53729354067E-2</v>
          </cell>
          <cell r="T178">
            <v>17.143591509843397</v>
          </cell>
        </row>
        <row r="179">
          <cell r="B179" t="str">
            <v>Brett Gardner</v>
          </cell>
          <cell r="C179">
            <v>3200</v>
          </cell>
          <cell r="D179" t="str">
            <v>NYY</v>
          </cell>
          <cell r="E179" t="str">
            <v>OF</v>
          </cell>
          <cell r="F179" t="str">
            <v>@BAL</v>
          </cell>
          <cell r="G179" t="str">
            <v>Miley</v>
          </cell>
          <cell r="H179" t="str">
            <v>L</v>
          </cell>
          <cell r="I179" t="str">
            <v>L</v>
          </cell>
          <cell r="J179">
            <v>350</v>
          </cell>
          <cell r="K179">
            <v>5</v>
          </cell>
          <cell r="L179">
            <v>0.31771428571428567</v>
          </cell>
          <cell r="M179">
            <v>0.29633757961783441</v>
          </cell>
          <cell r="N179">
            <v>0.30702593266606004</v>
          </cell>
          <cell r="O179">
            <v>0.10299003322259136</v>
          </cell>
          <cell r="P179">
            <v>0.14385964912280702</v>
          </cell>
          <cell r="Q179">
            <v>0.1234248411726992</v>
          </cell>
          <cell r="R179">
            <v>0.21522538691937962</v>
          </cell>
          <cell r="S179">
            <v>7.9498807519600007E-2</v>
          </cell>
          <cell r="T179">
            <v>17.110161608035199</v>
          </cell>
        </row>
        <row r="180">
          <cell r="B180" t="str">
            <v>Ian Kinsler</v>
          </cell>
          <cell r="C180">
            <v>3700</v>
          </cell>
          <cell r="D180" t="str">
            <v>DET</v>
          </cell>
          <cell r="E180" t="str">
            <v>2B</v>
          </cell>
          <cell r="F180" t="str">
            <v>@KC</v>
          </cell>
          <cell r="G180" t="str">
            <v>Volquez</v>
          </cell>
          <cell r="H180" t="str">
            <v>R</v>
          </cell>
          <cell r="I180" t="str">
            <v>R</v>
          </cell>
          <cell r="J180">
            <v>956</v>
          </cell>
          <cell r="K180">
            <v>20</v>
          </cell>
          <cell r="L180">
            <v>0.33378661087866113</v>
          </cell>
          <cell r="M180">
            <v>0.31851851851851853</v>
          </cell>
          <cell r="N180">
            <v>0.32615256469858983</v>
          </cell>
          <cell r="O180">
            <v>0.15304948216340622</v>
          </cell>
          <cell r="P180">
            <v>0.11834319526627218</v>
          </cell>
          <cell r="Q180">
            <v>0.13569633871483922</v>
          </cell>
          <cell r="R180">
            <v>0.23092445170671452</v>
          </cell>
          <cell r="S180">
            <v>7.3516614605299999E-2</v>
          </cell>
          <cell r="T180">
            <v>16.976783919062743</v>
          </cell>
        </row>
        <row r="181">
          <cell r="B181" t="str">
            <v>Carlos Correa</v>
          </cell>
          <cell r="C181">
            <v>3800</v>
          </cell>
          <cell r="D181" t="str">
            <v>HOU</v>
          </cell>
          <cell r="E181" t="str">
            <v>SS</v>
          </cell>
          <cell r="F181" t="str">
            <v>@TEX</v>
          </cell>
          <cell r="G181" t="str">
            <v>Darvish</v>
          </cell>
          <cell r="H181" t="str">
            <v>R</v>
          </cell>
          <cell r="I181" t="str">
            <v>R</v>
          </cell>
          <cell r="J181">
            <v>713</v>
          </cell>
          <cell r="K181">
            <v>7</v>
          </cell>
          <cell r="L181">
            <v>0.36633941093969152</v>
          </cell>
          <cell r="M181">
            <v>0.29222972972972971</v>
          </cell>
          <cell r="N181">
            <v>0.32928457033471059</v>
          </cell>
          <cell r="O181">
            <v>0.20602218700475436</v>
          </cell>
          <cell r="P181">
            <v>0.16788321167883211</v>
          </cell>
          <cell r="Q181">
            <v>0.18695269934179323</v>
          </cell>
          <cell r="R181">
            <v>0.25811863483825193</v>
          </cell>
          <cell r="S181">
            <v>6.5141053628174989E-2</v>
          </cell>
          <cell r="T181">
            <v>16.814119834429885</v>
          </cell>
        </row>
        <row r="182">
          <cell r="B182" t="str">
            <v>Asdrubal Cabrera</v>
          </cell>
          <cell r="C182">
            <v>3100</v>
          </cell>
          <cell r="D182" t="str">
            <v>NYM</v>
          </cell>
          <cell r="E182" t="str">
            <v>SS</v>
          </cell>
          <cell r="F182" t="str">
            <v>WAS</v>
          </cell>
          <cell r="G182" t="str">
            <v>Lopez</v>
          </cell>
          <cell r="H182" t="str">
            <v>R</v>
          </cell>
          <cell r="I182" t="str">
            <v>S</v>
          </cell>
          <cell r="J182">
            <v>738</v>
          </cell>
          <cell r="K182">
            <v>21</v>
          </cell>
          <cell r="L182">
            <v>0.33204607046070456</v>
          </cell>
          <cell r="M182">
            <v>0.28203125000000001</v>
          </cell>
          <cell r="N182">
            <v>0.30703866023035231</v>
          </cell>
          <cell r="O182">
            <v>0.19345238095238096</v>
          </cell>
          <cell r="P182">
            <v>0.16666666666666666</v>
          </cell>
          <cell r="Q182">
            <v>0.18005952380952381</v>
          </cell>
          <cell r="R182">
            <v>0.24354909201993807</v>
          </cell>
          <cell r="S182">
            <v>6.98121994612E-2</v>
          </cell>
          <cell r="T182">
            <v>17.002697790690071</v>
          </cell>
        </row>
        <row r="183">
          <cell r="B183" t="str">
            <v>Jarrett Parker</v>
          </cell>
          <cell r="C183">
            <v>2400</v>
          </cell>
          <cell r="D183" t="str">
            <v>SF</v>
          </cell>
          <cell r="E183" t="str">
            <v>OF</v>
          </cell>
          <cell r="F183" t="str">
            <v>@CHC</v>
          </cell>
          <cell r="G183" t="str">
            <v>Lackey</v>
          </cell>
          <cell r="H183" t="str">
            <v>R</v>
          </cell>
          <cell r="I183" t="str">
            <v>L</v>
          </cell>
          <cell r="J183">
            <v>141</v>
          </cell>
          <cell r="K183">
            <v>11</v>
          </cell>
          <cell r="L183">
            <v>0.42624113475177305</v>
          </cell>
          <cell r="M183">
            <v>0.31755555555555559</v>
          </cell>
          <cell r="N183">
            <v>0.37189834515366432</v>
          </cell>
          <cell r="O183">
            <v>0.25641025641025639</v>
          </cell>
          <cell r="P183">
            <v>0.13232830820770519</v>
          </cell>
          <cell r="Q183">
            <v>0.19436928230898079</v>
          </cell>
          <cell r="R183">
            <v>0.28313381373132257</v>
          </cell>
          <cell r="S183">
            <v>5.6816450275199992E-2</v>
          </cell>
          <cell r="T183">
            <v>16.086658249093425</v>
          </cell>
        </row>
        <row r="184">
          <cell r="B184" t="str">
            <v>Robinson Cano</v>
          </cell>
          <cell r="C184">
            <v>3500</v>
          </cell>
          <cell r="D184" t="str">
            <v>SEA</v>
          </cell>
          <cell r="E184" t="str">
            <v>2B</v>
          </cell>
          <cell r="F184" t="str">
            <v>LAA</v>
          </cell>
          <cell r="G184" t="str">
            <v>Shoemaker</v>
          </cell>
          <cell r="H184" t="str">
            <v>R</v>
          </cell>
          <cell r="I184" t="str">
            <v>L</v>
          </cell>
          <cell r="J184">
            <v>791</v>
          </cell>
          <cell r="K184">
            <v>29</v>
          </cell>
          <cell r="L184">
            <v>0.37882427307206068</v>
          </cell>
          <cell r="M184">
            <v>0.31039755351681958</v>
          </cell>
          <cell r="N184">
            <v>0.34461091329444016</v>
          </cell>
          <cell r="O184">
            <v>0.21111111111111111</v>
          </cell>
          <cell r="P184">
            <v>0.16501650165016502</v>
          </cell>
          <cell r="Q184">
            <v>0.18806380638063808</v>
          </cell>
          <cell r="R184">
            <v>0.26633735983753914</v>
          </cell>
          <cell r="S184">
            <v>6.3714654448049995E-2</v>
          </cell>
          <cell r="T184">
            <v>16.969592848654756</v>
          </cell>
        </row>
        <row r="185">
          <cell r="B185" t="str">
            <v>Ronald Torreyes</v>
          </cell>
          <cell r="C185">
            <v>2700</v>
          </cell>
          <cell r="D185" t="str">
            <v>NYY</v>
          </cell>
          <cell r="E185" t="str">
            <v>3B</v>
          </cell>
          <cell r="F185" t="str">
            <v>@BAL</v>
          </cell>
          <cell r="G185" t="str">
            <v>Miley</v>
          </cell>
          <cell r="H185" t="str">
            <v>L</v>
          </cell>
          <cell r="I185" t="str">
            <v>R</v>
          </cell>
          <cell r="J185">
            <v>31</v>
          </cell>
          <cell r="K185">
            <v>5</v>
          </cell>
          <cell r="L185">
            <v>0.30483870967741933</v>
          </cell>
          <cell r="M185">
            <v>0.34892665474060824</v>
          </cell>
          <cell r="N185">
            <v>0.32688268220901379</v>
          </cell>
          <cell r="O185">
            <v>3.7037037037037035E-2</v>
          </cell>
          <cell r="P185">
            <v>0.17762512266928362</v>
          </cell>
          <cell r="Q185">
            <v>0.10733107985316033</v>
          </cell>
          <cell r="R185">
            <v>0.21710688103108705</v>
          </cell>
          <cell r="S185">
            <v>7.8127481420800005E-2</v>
          </cell>
          <cell r="T185">
            <v>16.962013814084091</v>
          </cell>
        </row>
        <row r="186">
          <cell r="B186" t="str">
            <v>Jake Smolinski</v>
          </cell>
          <cell r="C186">
            <v>2800</v>
          </cell>
          <cell r="D186" t="str">
            <v>OAK</v>
          </cell>
          <cell r="E186" t="str">
            <v>OF</v>
          </cell>
          <cell r="F186" t="str">
            <v>BOS</v>
          </cell>
          <cell r="G186" t="str">
            <v>Rodriguez</v>
          </cell>
          <cell r="H186" t="str">
            <v>L</v>
          </cell>
          <cell r="I186" t="str">
            <v>R</v>
          </cell>
          <cell r="J186">
            <v>193</v>
          </cell>
          <cell r="K186">
            <v>24</v>
          </cell>
          <cell r="L186">
            <v>0.38134715025906735</v>
          </cell>
          <cell r="M186">
            <v>0.31575663026521061</v>
          </cell>
          <cell r="N186">
            <v>0.34855189026213895</v>
          </cell>
          <cell r="O186">
            <v>0.22289156626506024</v>
          </cell>
          <cell r="P186">
            <v>0.15397923875432526</v>
          </cell>
          <cell r="Q186">
            <v>0.18843540250969276</v>
          </cell>
          <cell r="R186">
            <v>0.26849364638591589</v>
          </cell>
          <cell r="S186">
            <v>6.2935880756399998E-2</v>
          </cell>
          <cell r="T186">
            <v>16.89788411279503</v>
          </cell>
        </row>
        <row r="187">
          <cell r="B187" t="str">
            <v>Juan Centeno</v>
          </cell>
          <cell r="C187">
            <v>2500</v>
          </cell>
          <cell r="D187" t="str">
            <v>MIN</v>
          </cell>
          <cell r="E187" t="str">
            <v>C</v>
          </cell>
          <cell r="F187" t="str">
            <v>CHW</v>
          </cell>
          <cell r="G187" t="str">
            <v>Ranaudo</v>
          </cell>
          <cell r="H187" t="str">
            <v>R</v>
          </cell>
          <cell r="I187" t="str">
            <v>L</v>
          </cell>
          <cell r="J187">
            <v>140</v>
          </cell>
          <cell r="K187">
            <v>18</v>
          </cell>
          <cell r="L187">
            <v>0.27464285714285719</v>
          </cell>
          <cell r="M187">
            <v>0.32990196078431372</v>
          </cell>
          <cell r="N187">
            <v>0.30227240896358543</v>
          </cell>
          <cell r="O187">
            <v>0.11538461538461539</v>
          </cell>
          <cell r="P187">
            <v>0.20930232558139536</v>
          </cell>
          <cell r="Q187">
            <v>0.16234347048300538</v>
          </cell>
          <cell r="R187">
            <v>0.23230793972329539</v>
          </cell>
          <cell r="S187">
            <v>6.9036238037024994E-2</v>
          </cell>
          <cell r="T187">
            <v>16.037666224628275</v>
          </cell>
        </row>
        <row r="188">
          <cell r="B188" t="str">
            <v>Jose Ramirez</v>
          </cell>
          <cell r="C188">
            <v>3200</v>
          </cell>
          <cell r="D188" t="str">
            <v>CLE</v>
          </cell>
          <cell r="E188" t="str">
            <v>3B</v>
          </cell>
          <cell r="F188" t="str">
            <v>MIA</v>
          </cell>
          <cell r="G188" t="str">
            <v>Koehler</v>
          </cell>
          <cell r="H188" t="str">
            <v>R</v>
          </cell>
          <cell r="I188" t="str">
            <v>S</v>
          </cell>
          <cell r="J188">
            <v>601</v>
          </cell>
          <cell r="K188">
            <v>14</v>
          </cell>
          <cell r="L188">
            <v>0.32820299500831945</v>
          </cell>
          <cell r="M188">
            <v>0.33355525965379496</v>
          </cell>
          <cell r="N188">
            <v>0.33087912733105718</v>
          </cell>
          <cell r="O188">
            <v>0.14180478821362799</v>
          </cell>
          <cell r="P188">
            <v>0.16036308623298035</v>
          </cell>
          <cell r="Q188">
            <v>0.15108393722330415</v>
          </cell>
          <cell r="R188">
            <v>0.24098153227718067</v>
          </cell>
          <cell r="S188">
            <v>6.9646602965399998E-2</v>
          </cell>
          <cell r="T188">
            <v>16.783545100502526</v>
          </cell>
        </row>
        <row r="189">
          <cell r="B189" t="str">
            <v>Kike Hernandez</v>
          </cell>
          <cell r="C189">
            <v>2600</v>
          </cell>
          <cell r="D189" t="str">
            <v>LAD</v>
          </cell>
          <cell r="E189" t="str">
            <v>OF</v>
          </cell>
          <cell r="F189" t="str">
            <v>SD</v>
          </cell>
          <cell r="G189" t="str">
            <v>Friedrich</v>
          </cell>
          <cell r="H189" t="str">
            <v>L</v>
          </cell>
          <cell r="I189" t="str">
            <v>R</v>
          </cell>
          <cell r="J189">
            <v>194</v>
          </cell>
          <cell r="K189">
            <v>17</v>
          </cell>
          <cell r="L189">
            <v>0.41185567010309282</v>
          </cell>
          <cell r="M189">
            <v>0.35939393939393943</v>
          </cell>
          <cell r="N189">
            <v>0.38562480474851613</v>
          </cell>
          <cell r="O189">
            <v>0.25301204819277107</v>
          </cell>
          <cell r="P189">
            <v>0.15151515151515152</v>
          </cell>
          <cell r="Q189">
            <v>0.20226359985396131</v>
          </cell>
          <cell r="R189">
            <v>0.29394420230123874</v>
          </cell>
          <cell r="S189">
            <v>5.6834634670749999E-2</v>
          </cell>
          <cell r="T189">
            <v>16.706211351375934</v>
          </cell>
        </row>
        <row r="190">
          <cell r="B190" t="str">
            <v>Carlos Perez</v>
          </cell>
          <cell r="C190">
            <v>2300</v>
          </cell>
          <cell r="D190" t="str">
            <v>LAA</v>
          </cell>
          <cell r="E190" t="str">
            <v>C</v>
          </cell>
          <cell r="F190" t="str">
            <v>@SEA</v>
          </cell>
          <cell r="G190" t="str">
            <v>Iwakuma</v>
          </cell>
          <cell r="H190" t="str">
            <v>R</v>
          </cell>
          <cell r="I190" t="str">
            <v>R</v>
          </cell>
          <cell r="J190">
            <v>415</v>
          </cell>
          <cell r="K190">
            <v>29</v>
          </cell>
          <cell r="L190">
            <v>0.28204819277108434</v>
          </cell>
          <cell r="M190">
            <v>0.30911251980982563</v>
          </cell>
          <cell r="N190">
            <v>0.29558035629045498</v>
          </cell>
          <cell r="O190">
            <v>0.12335958005249344</v>
          </cell>
          <cell r="P190">
            <v>0.18103448275862069</v>
          </cell>
          <cell r="Q190">
            <v>0.15219703140555707</v>
          </cell>
          <cell r="R190">
            <v>0.22388869384800603</v>
          </cell>
          <cell r="S190">
            <v>7.4532248358299996E-2</v>
          </cell>
          <cell r="T190">
            <v>16.686927734494976</v>
          </cell>
        </row>
        <row r="191">
          <cell r="B191" t="str">
            <v>Ryan Zimmerman</v>
          </cell>
          <cell r="C191">
            <v>2900</v>
          </cell>
          <cell r="D191" t="str">
            <v>WAS</v>
          </cell>
          <cell r="E191" t="str">
            <v>1B</v>
          </cell>
          <cell r="F191" t="str">
            <v>@NYM</v>
          </cell>
          <cell r="G191" t="str">
            <v>Lugo</v>
          </cell>
          <cell r="H191" t="str">
            <v>R</v>
          </cell>
          <cell r="I191" t="str">
            <v>R</v>
          </cell>
          <cell r="J191">
            <v>598</v>
          </cell>
          <cell r="K191">
            <v>21</v>
          </cell>
          <cell r="L191">
            <v>0.28812709030100331</v>
          </cell>
          <cell r="M191">
            <v>0.23782051282051278</v>
          </cell>
          <cell r="N191">
            <v>0.26297380156075806</v>
          </cell>
          <cell r="O191">
            <v>0.15700934579439252</v>
          </cell>
          <cell r="P191">
            <v>7.8125E-2</v>
          </cell>
          <cell r="Q191">
            <v>0.11756717289719626</v>
          </cell>
          <cell r="R191">
            <v>0.19027048722897716</v>
          </cell>
          <cell r="S191">
            <v>8.7116428670400009E-2</v>
          </cell>
          <cell r="T191">
            <v>16.575685328765445</v>
          </cell>
        </row>
        <row r="192">
          <cell r="B192" t="str">
            <v>Josh Harrison</v>
          </cell>
          <cell r="C192">
            <v>2800</v>
          </cell>
          <cell r="D192" t="str">
            <v>PIT</v>
          </cell>
          <cell r="E192" t="str">
            <v>2B</v>
          </cell>
          <cell r="F192" t="str">
            <v>MIL</v>
          </cell>
          <cell r="G192" t="str">
            <v>Anderson</v>
          </cell>
          <cell r="H192" t="str">
            <v>R</v>
          </cell>
          <cell r="I192" t="str">
            <v>R</v>
          </cell>
          <cell r="J192">
            <v>729</v>
          </cell>
          <cell r="K192">
            <v>27</v>
          </cell>
          <cell r="L192">
            <v>0.29252400548696844</v>
          </cell>
          <cell r="M192">
            <v>0.35568356374807991</v>
          </cell>
          <cell r="N192">
            <v>0.3241037846175242</v>
          </cell>
          <cell r="O192">
            <v>9.9853157121879588E-2</v>
          </cell>
          <cell r="P192">
            <v>0.20812182741116753</v>
          </cell>
          <cell r="Q192">
            <v>0.15398749226652356</v>
          </cell>
          <cell r="R192">
            <v>0.23904563844202387</v>
          </cell>
          <cell r="S192">
            <v>6.9160068291149998E-2</v>
          </cell>
          <cell r="T192">
            <v>16.532412679351921</v>
          </cell>
        </row>
        <row r="193">
          <cell r="B193" t="str">
            <v>Cesar Hernandez</v>
          </cell>
          <cell r="C193">
            <v>3200</v>
          </cell>
          <cell r="D193" t="str">
            <v>PHI</v>
          </cell>
          <cell r="E193" t="str">
            <v>2B</v>
          </cell>
          <cell r="F193" t="str">
            <v>ATL</v>
          </cell>
          <cell r="G193" t="str">
            <v>Teheran</v>
          </cell>
          <cell r="H193" t="str">
            <v>R</v>
          </cell>
          <cell r="I193" t="str">
            <v>S</v>
          </cell>
          <cell r="J193">
            <v>686</v>
          </cell>
          <cell r="K193">
            <v>9</v>
          </cell>
          <cell r="L193">
            <v>0.30940233236151604</v>
          </cell>
          <cell r="M193">
            <v>0.35223776223776226</v>
          </cell>
          <cell r="N193">
            <v>0.33082004729963915</v>
          </cell>
          <cell r="O193">
            <v>0.10837438423645321</v>
          </cell>
          <cell r="P193">
            <v>0.2016</v>
          </cell>
          <cell r="Q193">
            <v>0.15498719211822659</v>
          </cell>
          <cell r="R193">
            <v>0.24290361970893287</v>
          </cell>
          <cell r="S193">
            <v>6.7675760190675005E-2</v>
          </cell>
          <cell r="T193">
            <v>16.43868711686866</v>
          </cell>
        </row>
        <row r="194">
          <cell r="B194" t="str">
            <v>Sandy Leon</v>
          </cell>
          <cell r="C194">
            <v>2600</v>
          </cell>
          <cell r="D194" t="str">
            <v>BOS</v>
          </cell>
          <cell r="E194" t="str">
            <v>C</v>
          </cell>
          <cell r="F194" t="str">
            <v>@OAK</v>
          </cell>
          <cell r="G194" t="str">
            <v>Graveman</v>
          </cell>
          <cell r="H194" t="str">
            <v>R</v>
          </cell>
          <cell r="I194" t="str">
            <v>S</v>
          </cell>
          <cell r="J194">
            <v>231</v>
          </cell>
          <cell r="K194">
            <v>24</v>
          </cell>
          <cell r="L194">
            <v>0.33008658008658009</v>
          </cell>
          <cell r="M194">
            <v>0.33322314049586776</v>
          </cell>
          <cell r="N194">
            <v>0.33165486029122393</v>
          </cell>
          <cell r="O194">
            <v>0.125</v>
          </cell>
          <cell r="P194">
            <v>0.13703703703703704</v>
          </cell>
          <cell r="Q194">
            <v>0.13101851851851853</v>
          </cell>
          <cell r="R194">
            <v>0.23133668940487123</v>
          </cell>
          <cell r="S194">
            <v>7.1039828309624992E-2</v>
          </cell>
          <cell r="T194">
            <v>16.434118697039093</v>
          </cell>
        </row>
        <row r="195">
          <cell r="B195" t="str">
            <v>Maikel Franco</v>
          </cell>
          <cell r="C195">
            <v>2400</v>
          </cell>
          <cell r="D195" t="str">
            <v>PHI</v>
          </cell>
          <cell r="E195" t="str">
            <v>3B</v>
          </cell>
          <cell r="F195" t="str">
            <v>ATL</v>
          </cell>
          <cell r="G195" t="str">
            <v>Teheran</v>
          </cell>
          <cell r="H195" t="str">
            <v>R</v>
          </cell>
          <cell r="I195" t="str">
            <v>R</v>
          </cell>
          <cell r="J195">
            <v>669</v>
          </cell>
          <cell r="K195">
            <v>9</v>
          </cell>
          <cell r="L195">
            <v>0.32698056801195813</v>
          </cell>
          <cell r="M195">
            <v>0.25510067114093959</v>
          </cell>
          <cell r="N195">
            <v>0.29104061957644889</v>
          </cell>
          <cell r="O195">
            <v>0.18314424635332252</v>
          </cell>
          <cell r="P195">
            <v>0.11901306240928883</v>
          </cell>
          <cell r="Q195">
            <v>0.15107865438130569</v>
          </cell>
          <cell r="R195">
            <v>0.22105963697887729</v>
          </cell>
          <cell r="S195">
            <v>7.4079900201224999E-2</v>
          </cell>
          <cell r="T195">
            <v>16.376075845914254</v>
          </cell>
        </row>
        <row r="196">
          <cell r="B196" t="str">
            <v>Francisco Lindor</v>
          </cell>
          <cell r="C196">
            <v>3500</v>
          </cell>
          <cell r="D196" t="str">
            <v>CLE</v>
          </cell>
          <cell r="E196" t="str">
            <v>SS</v>
          </cell>
          <cell r="F196" t="str">
            <v>MIA</v>
          </cell>
          <cell r="G196" t="str">
            <v>Koehler</v>
          </cell>
          <cell r="H196" t="str">
            <v>R</v>
          </cell>
          <cell r="I196" t="str">
            <v>S</v>
          </cell>
          <cell r="J196">
            <v>675</v>
          </cell>
          <cell r="K196">
            <v>14</v>
          </cell>
          <cell r="L196">
            <v>0.35274074074074074</v>
          </cell>
          <cell r="M196">
            <v>0.33355525965379496</v>
          </cell>
          <cell r="N196">
            <v>0.34314800019726788</v>
          </cell>
          <cell r="O196">
            <v>0.1531986531986532</v>
          </cell>
          <cell r="P196">
            <v>0.16036308623298035</v>
          </cell>
          <cell r="Q196">
            <v>0.15678086971581678</v>
          </cell>
          <cell r="R196">
            <v>0.24996443495654233</v>
          </cell>
          <cell r="S196">
            <v>6.5495976780549997E-2</v>
          </cell>
          <cell r="T196">
            <v>16.371664827876998</v>
          </cell>
        </row>
        <row r="197">
          <cell r="B197" t="str">
            <v>Jason Kipnis</v>
          </cell>
          <cell r="C197">
            <v>3700</v>
          </cell>
          <cell r="D197" t="str">
            <v>CLE</v>
          </cell>
          <cell r="E197" t="str">
            <v>2B</v>
          </cell>
          <cell r="F197" t="str">
            <v>MIA</v>
          </cell>
          <cell r="G197" t="str">
            <v>Koehler</v>
          </cell>
          <cell r="H197" t="str">
            <v>R</v>
          </cell>
          <cell r="I197" t="str">
            <v>L</v>
          </cell>
          <cell r="J197">
            <v>792</v>
          </cell>
          <cell r="K197">
            <v>14</v>
          </cell>
          <cell r="L197">
            <v>0.37708333333333333</v>
          </cell>
          <cell r="M197">
            <v>0.33355525965379496</v>
          </cell>
          <cell r="N197">
            <v>0.35531929649356414</v>
          </cell>
          <cell r="O197">
            <v>0.18587896253602307</v>
          </cell>
          <cell r="P197">
            <v>0.16036308623298035</v>
          </cell>
          <cell r="Q197">
            <v>0.17312102438450172</v>
          </cell>
          <cell r="R197">
            <v>0.26422016043903296</v>
          </cell>
          <cell r="S197">
            <v>6.1872741617500004E-2</v>
          </cell>
          <cell r="T197">
            <v>16.348025716978682</v>
          </cell>
        </row>
        <row r="198">
          <cell r="B198" t="str">
            <v>Mike Napoli</v>
          </cell>
          <cell r="C198">
            <v>3400</v>
          </cell>
          <cell r="D198" t="str">
            <v>CLE</v>
          </cell>
          <cell r="E198" t="str">
            <v>1B</v>
          </cell>
          <cell r="F198" t="str">
            <v>MIA</v>
          </cell>
          <cell r="G198" t="str">
            <v>Koehler</v>
          </cell>
          <cell r="H198" t="str">
            <v>R</v>
          </cell>
          <cell r="I198" t="str">
            <v>R</v>
          </cell>
          <cell r="J198">
            <v>658</v>
          </cell>
          <cell r="K198">
            <v>14</v>
          </cell>
          <cell r="L198">
            <v>0.31193009118541032</v>
          </cell>
          <cell r="M198">
            <v>0.31426553672316382</v>
          </cell>
          <cell r="N198">
            <v>0.31309781395428704</v>
          </cell>
          <cell r="O198">
            <v>0.19137931034482758</v>
          </cell>
          <cell r="P198">
            <v>0.13687600644122383</v>
          </cell>
          <cell r="Q198">
            <v>0.1641276583930257</v>
          </cell>
          <cell r="R198">
            <v>0.23861273617365636</v>
          </cell>
          <cell r="S198">
            <v>6.8152699570524999E-2</v>
          </cell>
          <cell r="T198">
            <v>16.262102122144146</v>
          </cell>
        </row>
        <row r="199">
          <cell r="B199" t="str">
            <v>Socrates Brito</v>
          </cell>
          <cell r="C199">
            <v>3000</v>
          </cell>
          <cell r="D199" t="str">
            <v>ARI</v>
          </cell>
          <cell r="E199" t="str">
            <v>OF</v>
          </cell>
          <cell r="F199" t="str">
            <v>@COL</v>
          </cell>
          <cell r="G199" t="str">
            <v>Gray</v>
          </cell>
          <cell r="H199" t="str">
            <v>R</v>
          </cell>
          <cell r="I199" t="str">
            <v>L</v>
          </cell>
          <cell r="J199">
            <v>80</v>
          </cell>
          <cell r="K199">
            <v>1</v>
          </cell>
          <cell r="L199">
            <v>0.291875</v>
          </cell>
          <cell r="M199">
            <v>0.31737967914438503</v>
          </cell>
          <cell r="N199">
            <v>0.30462733957219251</v>
          </cell>
          <cell r="O199">
            <v>0.1875</v>
          </cell>
          <cell r="P199">
            <v>0.13897280966767372</v>
          </cell>
          <cell r="Q199">
            <v>0.16323640483383686</v>
          </cell>
          <cell r="R199">
            <v>0.2339318722030147</v>
          </cell>
          <cell r="S199">
            <v>6.901895315324999E-2</v>
          </cell>
          <cell r="T199">
            <v>16.145732928631936</v>
          </cell>
        </row>
        <row r="200">
          <cell r="B200" t="str">
            <v>Abraham Almonte</v>
          </cell>
          <cell r="C200">
            <v>2800</v>
          </cell>
          <cell r="D200" t="str">
            <v>CLE</v>
          </cell>
          <cell r="E200" t="str">
            <v>OF</v>
          </cell>
          <cell r="F200" t="str">
            <v>MIA</v>
          </cell>
          <cell r="G200" t="str">
            <v>Koehler</v>
          </cell>
          <cell r="H200" t="str">
            <v>R</v>
          </cell>
          <cell r="I200" t="str">
            <v>S</v>
          </cell>
          <cell r="J200">
            <v>277</v>
          </cell>
          <cell r="K200">
            <v>14</v>
          </cell>
          <cell r="L200">
            <v>0.31750902527075814</v>
          </cell>
          <cell r="M200">
            <v>0.33355525965379496</v>
          </cell>
          <cell r="N200">
            <v>0.32553214246227657</v>
          </cell>
          <cell r="O200">
            <v>0.17599999999999999</v>
          </cell>
          <cell r="P200">
            <v>0.16036308623298035</v>
          </cell>
          <cell r="Q200">
            <v>0.16818154311649017</v>
          </cell>
          <cell r="R200">
            <v>0.24685684278938336</v>
          </cell>
          <cell r="S200">
            <v>6.5374194201550009E-2</v>
          </cell>
          <cell r="T200">
            <v>16.138067180494645</v>
          </cell>
        </row>
        <row r="201">
          <cell r="B201" t="str">
            <v>J.B. Shuck</v>
          </cell>
          <cell r="C201">
            <v>2000</v>
          </cell>
          <cell r="D201" t="str">
            <v>CHW</v>
          </cell>
          <cell r="E201" t="str">
            <v>OF</v>
          </cell>
          <cell r="F201" t="str">
            <v>@MIN</v>
          </cell>
          <cell r="G201" t="str">
            <v>Albers</v>
          </cell>
          <cell r="H201" t="str">
            <v>L</v>
          </cell>
          <cell r="I201" t="str">
            <v>L</v>
          </cell>
          <cell r="J201">
            <v>57</v>
          </cell>
          <cell r="K201">
            <v>18</v>
          </cell>
          <cell r="L201">
            <v>0.33771929824561403</v>
          </cell>
          <cell r="M201">
            <v>0.26363636363636361</v>
          </cell>
          <cell r="N201">
            <v>0.30067783094098882</v>
          </cell>
          <cell r="O201">
            <v>0.10416666666666667</v>
          </cell>
          <cell r="P201">
            <v>0.27272727272727271</v>
          </cell>
          <cell r="Q201">
            <v>0.1884469696969697</v>
          </cell>
          <cell r="R201">
            <v>0.24456240031897925</v>
          </cell>
          <cell r="S201">
            <v>6.4441234440300005E-2</v>
          </cell>
          <cell r="T201">
            <v>15.759902974237843</v>
          </cell>
        </row>
        <row r="202">
          <cell r="B202" t="str">
            <v>Chris Owings</v>
          </cell>
          <cell r="C202">
            <v>3300</v>
          </cell>
          <cell r="D202" t="str">
            <v>ARI</v>
          </cell>
          <cell r="E202" t="str">
            <v>SS</v>
          </cell>
          <cell r="F202" t="str">
            <v>@COL</v>
          </cell>
          <cell r="G202" t="str">
            <v>Gray</v>
          </cell>
          <cell r="H202" t="str">
            <v>R</v>
          </cell>
          <cell r="I202" t="str">
            <v>R</v>
          </cell>
          <cell r="J202">
            <v>686</v>
          </cell>
          <cell r="K202">
            <v>1</v>
          </cell>
          <cell r="L202">
            <v>0.28301749271137028</v>
          </cell>
          <cell r="M202">
            <v>0.32947103274559197</v>
          </cell>
          <cell r="N202">
            <v>0.30624426272848115</v>
          </cell>
          <cell r="O202">
            <v>9.6875000000000003E-2</v>
          </cell>
          <cell r="P202">
            <v>0.16285714285714287</v>
          </cell>
          <cell r="Q202">
            <v>0.12986607142857143</v>
          </cell>
          <cell r="R202">
            <v>0.21805516707852629</v>
          </cell>
          <cell r="S202">
            <v>7.3673176277999991E-2</v>
          </cell>
          <cell r="T202">
            <v>16.064816762505007</v>
          </cell>
        </row>
        <row r="203">
          <cell r="B203" t="str">
            <v>Andrelton Simmons</v>
          </cell>
          <cell r="C203">
            <v>2300</v>
          </cell>
          <cell r="D203" t="str">
            <v>LAA</v>
          </cell>
          <cell r="E203" t="str">
            <v>SS</v>
          </cell>
          <cell r="F203" t="str">
            <v>@SEA</v>
          </cell>
          <cell r="G203" t="str">
            <v>Iwakuma</v>
          </cell>
          <cell r="H203" t="str">
            <v>R</v>
          </cell>
          <cell r="I203" t="str">
            <v>R</v>
          </cell>
          <cell r="J203">
            <v>761</v>
          </cell>
          <cell r="K203">
            <v>29</v>
          </cell>
          <cell r="L203">
            <v>0.29802890932982917</v>
          </cell>
          <cell r="M203">
            <v>0.30911251980982563</v>
          </cell>
          <cell r="N203">
            <v>0.30357071456982743</v>
          </cell>
          <cell r="O203">
            <v>6.79886685552408E-2</v>
          </cell>
          <cell r="P203">
            <v>0.18103448275862069</v>
          </cell>
          <cell r="Q203">
            <v>0.12451157565693075</v>
          </cell>
          <cell r="R203">
            <v>0.21404114511337907</v>
          </cell>
          <cell r="S203">
            <v>7.4956726092300002E-2</v>
          </cell>
          <cell r="T203">
            <v>16.04382348674579</v>
          </cell>
        </row>
        <row r="204">
          <cell r="B204" t="str">
            <v>Russell Martin</v>
          </cell>
          <cell r="C204">
            <v>3300</v>
          </cell>
          <cell r="D204" t="str">
            <v>TOR</v>
          </cell>
          <cell r="E204" t="str">
            <v>C</v>
          </cell>
          <cell r="F204" t="str">
            <v>@TB</v>
          </cell>
          <cell r="G204" t="str">
            <v>Archer</v>
          </cell>
          <cell r="H204" t="str">
            <v>R</v>
          </cell>
          <cell r="I204" t="str">
            <v>R</v>
          </cell>
          <cell r="J204">
            <v>721</v>
          </cell>
          <cell r="K204">
            <v>23</v>
          </cell>
          <cell r="L204">
            <v>0.330374479889043</v>
          </cell>
          <cell r="M204">
            <v>0.29910141206675223</v>
          </cell>
          <cell r="N204">
            <v>0.31473794597789762</v>
          </cell>
          <cell r="O204">
            <v>0.19745222929936307</v>
          </cell>
          <cell r="P204">
            <v>0.13940256045519203</v>
          </cell>
          <cell r="Q204">
            <v>0.16842739487727754</v>
          </cell>
          <cell r="R204">
            <v>0.24158267042758758</v>
          </cell>
          <cell r="S204">
            <v>6.275071477694999E-2</v>
          </cell>
          <cell r="T204">
            <v>15.159485247055461</v>
          </cell>
        </row>
        <row r="205">
          <cell r="B205" t="str">
            <v>Stephen Piscotty</v>
          </cell>
          <cell r="C205">
            <v>3400</v>
          </cell>
          <cell r="D205" t="str">
            <v>STL</v>
          </cell>
          <cell r="E205" t="str">
            <v>OF</v>
          </cell>
          <cell r="F205" t="str">
            <v>@CIN</v>
          </cell>
          <cell r="G205" t="str">
            <v>Adleman</v>
          </cell>
          <cell r="H205" t="str">
            <v>R</v>
          </cell>
          <cell r="I205" t="str">
            <v>R</v>
          </cell>
          <cell r="J205">
            <v>578</v>
          </cell>
          <cell r="K205">
            <v>3</v>
          </cell>
          <cell r="L205">
            <v>0.34169550173010382</v>
          </cell>
          <cell r="M205">
            <v>0.3430379746835443</v>
          </cell>
          <cell r="N205">
            <v>0.34236673820682406</v>
          </cell>
          <cell r="O205">
            <v>0.17267552182163187</v>
          </cell>
          <cell r="P205">
            <v>0.22857142857142856</v>
          </cell>
          <cell r="Q205">
            <v>0.20062347519653023</v>
          </cell>
          <cell r="R205">
            <v>0.27149510670167715</v>
          </cell>
          <cell r="S205">
            <v>5.8754060160800009E-2</v>
          </cell>
          <cell r="T205">
            <v>15.951439832513158</v>
          </cell>
        </row>
        <row r="206">
          <cell r="B206" t="str">
            <v>Freddy Galvis</v>
          </cell>
          <cell r="C206">
            <v>2500</v>
          </cell>
          <cell r="D206" t="str">
            <v>PHI</v>
          </cell>
          <cell r="E206" t="str">
            <v>SS</v>
          </cell>
          <cell r="F206" t="str">
            <v>ATL</v>
          </cell>
          <cell r="G206" t="str">
            <v>Teheran</v>
          </cell>
          <cell r="H206" t="str">
            <v>R</v>
          </cell>
          <cell r="I206" t="str">
            <v>S</v>
          </cell>
          <cell r="J206">
            <v>832</v>
          </cell>
          <cell r="K206">
            <v>9</v>
          </cell>
          <cell r="L206">
            <v>0.29230769230769232</v>
          </cell>
          <cell r="M206">
            <v>0.35223776223776226</v>
          </cell>
          <cell r="N206">
            <v>0.32227272727272727</v>
          </cell>
          <cell r="O206">
            <v>0.13666228646517739</v>
          </cell>
          <cell r="P206">
            <v>0.2016</v>
          </cell>
          <cell r="Q206">
            <v>0.16913114323258871</v>
          </cell>
          <cell r="R206">
            <v>0.24570193525265799</v>
          </cell>
          <cell r="S206">
            <v>6.4674706119300013E-2</v>
          </cell>
          <cell r="T206">
            <v>15.890700455408933</v>
          </cell>
        </row>
        <row r="207">
          <cell r="B207" t="str">
            <v>Khris Davis</v>
          </cell>
          <cell r="C207">
            <v>3200</v>
          </cell>
          <cell r="D207" t="str">
            <v>OAK</v>
          </cell>
          <cell r="E207" t="str">
            <v>OF</v>
          </cell>
          <cell r="F207" t="str">
            <v>BOS</v>
          </cell>
          <cell r="G207" t="str">
            <v>Rodriguez</v>
          </cell>
          <cell r="H207" t="str">
            <v>L</v>
          </cell>
          <cell r="I207" t="str">
            <v>R</v>
          </cell>
          <cell r="J207">
            <v>241</v>
          </cell>
          <cell r="K207">
            <v>24</v>
          </cell>
          <cell r="L207">
            <v>0.3460580912863071</v>
          </cell>
          <cell r="M207">
            <v>0.31575663026521061</v>
          </cell>
          <cell r="N207">
            <v>0.33090736077575889</v>
          </cell>
          <cell r="O207">
            <v>0.25233644859813081</v>
          </cell>
          <cell r="P207">
            <v>0.15397923875432526</v>
          </cell>
          <cell r="Q207">
            <v>0.20315784367622802</v>
          </cell>
          <cell r="R207">
            <v>0.26703260222599345</v>
          </cell>
          <cell r="S207">
            <v>5.923523728845001E-2</v>
          </cell>
          <cell r="T207">
            <v>15.817739556609006</v>
          </cell>
        </row>
        <row r="208">
          <cell r="B208" t="str">
            <v>Troy Tulowitzki</v>
          </cell>
          <cell r="C208">
            <v>3100</v>
          </cell>
          <cell r="D208" t="str">
            <v>TOR</v>
          </cell>
          <cell r="E208" t="str">
            <v>SS</v>
          </cell>
          <cell r="F208" t="str">
            <v>@TB</v>
          </cell>
          <cell r="G208" t="str">
            <v>Archer</v>
          </cell>
          <cell r="H208" t="str">
            <v>R</v>
          </cell>
          <cell r="I208" t="str">
            <v>R</v>
          </cell>
          <cell r="J208">
            <v>755</v>
          </cell>
          <cell r="K208">
            <v>23</v>
          </cell>
          <cell r="L208">
            <v>0.32430463576158941</v>
          </cell>
          <cell r="M208">
            <v>0.29910141206675223</v>
          </cell>
          <cell r="N208">
            <v>0.31170302391417082</v>
          </cell>
          <cell r="O208">
            <v>0.17794117647058824</v>
          </cell>
          <cell r="P208">
            <v>0.13940256045519203</v>
          </cell>
          <cell r="Q208">
            <v>0.15867186846289014</v>
          </cell>
          <cell r="R208">
            <v>0.23518744618853049</v>
          </cell>
          <cell r="S208">
            <v>6.7086068340375005E-2</v>
          </cell>
          <cell r="T208">
            <v>15.777801087802027</v>
          </cell>
        </row>
        <row r="209">
          <cell r="B209" t="str">
            <v>Ben Zobrist</v>
          </cell>
          <cell r="C209">
            <v>3200</v>
          </cell>
          <cell r="D209" t="str">
            <v>CHC</v>
          </cell>
          <cell r="E209" t="str">
            <v>2B</v>
          </cell>
          <cell r="F209" t="str">
            <v>SF</v>
          </cell>
          <cell r="G209" t="str">
            <v>Cueto</v>
          </cell>
          <cell r="H209" t="str">
            <v>R</v>
          </cell>
          <cell r="I209" t="str">
            <v>S</v>
          </cell>
          <cell r="J209">
            <v>750</v>
          </cell>
          <cell r="K209">
            <v>11</v>
          </cell>
          <cell r="L209">
            <v>0.34206666666666663</v>
          </cell>
          <cell r="M209">
            <v>0.28046979865771815</v>
          </cell>
          <cell r="N209">
            <v>0.31126823266219239</v>
          </cell>
          <cell r="O209">
            <v>0.16587677725118483</v>
          </cell>
          <cell r="P209">
            <v>0.11901306240928883</v>
          </cell>
          <cell r="Q209">
            <v>0.14244491983023683</v>
          </cell>
          <cell r="R209">
            <v>0.22685657624621461</v>
          </cell>
          <cell r="S209">
            <v>6.7690586926700005E-2</v>
          </cell>
          <cell r="T209">
            <v>15.356054794287939</v>
          </cell>
        </row>
        <row r="210">
          <cell r="B210" t="str">
            <v>Brandon Drury</v>
          </cell>
          <cell r="C210">
            <v>3200</v>
          </cell>
          <cell r="D210" t="str">
            <v>ARI</v>
          </cell>
          <cell r="E210" t="str">
            <v>OF</v>
          </cell>
          <cell r="F210" t="str">
            <v>@COL</v>
          </cell>
          <cell r="G210" t="str">
            <v>Gray</v>
          </cell>
          <cell r="H210" t="str">
            <v>R</v>
          </cell>
          <cell r="I210" t="str">
            <v>R</v>
          </cell>
          <cell r="J210">
            <v>321</v>
          </cell>
          <cell r="K210">
            <v>1</v>
          </cell>
          <cell r="L210">
            <v>0.3029595015576324</v>
          </cell>
          <cell r="M210">
            <v>0.32947103274559197</v>
          </cell>
          <cell r="N210">
            <v>0.31621526715161219</v>
          </cell>
          <cell r="O210">
            <v>0.14189189189189189</v>
          </cell>
          <cell r="P210">
            <v>0.16285714285714287</v>
          </cell>
          <cell r="Q210">
            <v>0.15237451737451738</v>
          </cell>
          <cell r="R210">
            <v>0.23429489226306477</v>
          </cell>
          <cell r="S210">
            <v>6.7078340554949989E-2</v>
          </cell>
          <cell r="T210">
            <v>15.716112573507177</v>
          </cell>
        </row>
        <row r="211">
          <cell r="B211" t="str">
            <v>Michael Bourn</v>
          </cell>
          <cell r="C211">
            <v>2600</v>
          </cell>
          <cell r="D211" t="str">
            <v>BAL</v>
          </cell>
          <cell r="E211" t="str">
            <v>OF</v>
          </cell>
          <cell r="F211" t="str">
            <v>NYY</v>
          </cell>
          <cell r="G211" t="str">
            <v>Pineda</v>
          </cell>
          <cell r="H211" t="str">
            <v>R</v>
          </cell>
          <cell r="I211" t="str">
            <v>L</v>
          </cell>
          <cell r="J211">
            <v>662</v>
          </cell>
          <cell r="K211">
            <v>5</v>
          </cell>
          <cell r="L211">
            <v>0.27560422960725073</v>
          </cell>
          <cell r="M211">
            <v>0.33330564784053157</v>
          </cell>
          <cell r="N211">
            <v>0.30445493872389118</v>
          </cell>
          <cell r="O211">
            <v>7.3455759599332218E-2</v>
          </cell>
          <cell r="P211">
            <v>0.17953321364452424</v>
          </cell>
          <cell r="Q211">
            <v>0.12649448662192822</v>
          </cell>
          <cell r="R211">
            <v>0.21547471267290969</v>
          </cell>
          <cell r="S211">
            <v>7.2772137562700012E-2</v>
          </cell>
          <cell r="T211">
            <v>15.680555431916245</v>
          </cell>
        </row>
        <row r="212">
          <cell r="B212" t="str">
            <v>Marcell Ozuna</v>
          </cell>
          <cell r="C212">
            <v>2800</v>
          </cell>
          <cell r="D212" t="str">
            <v>MIA</v>
          </cell>
          <cell r="E212" t="str">
            <v>OF</v>
          </cell>
          <cell r="F212" t="str">
            <v>@CLE</v>
          </cell>
          <cell r="G212" t="str">
            <v>Salazar</v>
          </cell>
          <cell r="H212" t="str">
            <v>R</v>
          </cell>
          <cell r="I212" t="str">
            <v>R</v>
          </cell>
          <cell r="J212">
            <v>811</v>
          </cell>
          <cell r="K212">
            <v>14</v>
          </cell>
          <cell r="L212">
            <v>0.30659679408138102</v>
          </cell>
          <cell r="M212">
            <v>0.30174165457184327</v>
          </cell>
          <cell r="N212">
            <v>0.30416922432661214</v>
          </cell>
          <cell r="O212">
            <v>0.14438502673796791</v>
          </cell>
          <cell r="P212">
            <v>0.12295081967213115</v>
          </cell>
          <cell r="Q212">
            <v>0.13366792320504953</v>
          </cell>
          <cell r="R212">
            <v>0.21891857376583085</v>
          </cell>
          <cell r="S212">
            <v>7.0533865195649997E-2</v>
          </cell>
          <cell r="T212">
            <v>15.441173170823074</v>
          </cell>
        </row>
        <row r="213">
          <cell r="B213" t="str">
            <v>Destin Hood</v>
          </cell>
          <cell r="C213">
            <v>2200</v>
          </cell>
          <cell r="D213" t="str">
            <v>MIA</v>
          </cell>
          <cell r="E213" t="str">
            <v>OF</v>
          </cell>
          <cell r="F213" t="str">
            <v>@CLE</v>
          </cell>
          <cell r="G213" t="str">
            <v>Salazar</v>
          </cell>
          <cell r="H213" t="str">
            <v>R</v>
          </cell>
          <cell r="I213" t="str">
            <v>R</v>
          </cell>
          <cell r="J213">
            <v>7</v>
          </cell>
          <cell r="K213">
            <v>14</v>
          </cell>
          <cell r="L213">
            <v>0.43571428571428567</v>
          </cell>
          <cell r="M213">
            <v>0.30174165457184327</v>
          </cell>
          <cell r="N213">
            <v>0.36872797014306447</v>
          </cell>
          <cell r="O213">
            <v>0.14285714285714285</v>
          </cell>
          <cell r="P213">
            <v>0.12295081967213115</v>
          </cell>
          <cell r="Q213">
            <v>0.13290398126463698</v>
          </cell>
          <cell r="R213">
            <v>0.25081597570385072</v>
          </cell>
          <cell r="S213">
            <v>6.1336564412499989E-2</v>
          </cell>
          <cell r="T213">
            <v>15.384190249443272</v>
          </cell>
        </row>
        <row r="214">
          <cell r="B214" t="str">
            <v>Nolan Reimold</v>
          </cell>
          <cell r="C214">
            <v>2200</v>
          </cell>
          <cell r="D214" t="str">
            <v>BAL</v>
          </cell>
          <cell r="E214" t="str">
            <v>OF</v>
          </cell>
          <cell r="F214" t="str">
            <v>NYY</v>
          </cell>
          <cell r="G214" t="str">
            <v>Pineda</v>
          </cell>
          <cell r="H214" t="str">
            <v>R</v>
          </cell>
          <cell r="I214" t="str">
            <v>R</v>
          </cell>
          <cell r="J214">
            <v>212</v>
          </cell>
          <cell r="K214">
            <v>5</v>
          </cell>
          <cell r="L214">
            <v>0.32759433962264145</v>
          </cell>
          <cell r="M214">
            <v>0.32776183644189383</v>
          </cell>
          <cell r="N214">
            <v>0.32767808803226761</v>
          </cell>
          <cell r="O214">
            <v>0.16577540106951871</v>
          </cell>
          <cell r="P214">
            <v>0.18721461187214611</v>
          </cell>
          <cell r="Q214">
            <v>0.17649500647083241</v>
          </cell>
          <cell r="R214">
            <v>0.25208654725155</v>
          </cell>
          <cell r="S214">
            <v>6.09656095373E-2</v>
          </cell>
          <cell r="T214">
            <v>15.368610009344124</v>
          </cell>
        </row>
        <row r="215">
          <cell r="B215" t="str">
            <v>Trevor Brown</v>
          </cell>
          <cell r="C215">
            <v>2100</v>
          </cell>
          <cell r="D215" t="str">
            <v>SF</v>
          </cell>
          <cell r="E215" t="str">
            <v>C</v>
          </cell>
          <cell r="F215" t="str">
            <v>@CHC</v>
          </cell>
          <cell r="G215" t="str">
            <v>Lackey</v>
          </cell>
          <cell r="H215" t="str">
            <v>R</v>
          </cell>
          <cell r="I215" t="str">
            <v>R</v>
          </cell>
          <cell r="J215">
            <v>139</v>
          </cell>
          <cell r="K215">
            <v>11</v>
          </cell>
          <cell r="L215">
            <v>0.29892086330935252</v>
          </cell>
          <cell r="M215">
            <v>0.26548780487804879</v>
          </cell>
          <cell r="N215">
            <v>0.28220433409370066</v>
          </cell>
          <cell r="O215">
            <v>0.12403100775193798</v>
          </cell>
          <cell r="P215">
            <v>0.12746386333771353</v>
          </cell>
          <cell r="Q215">
            <v>0.12574743554482576</v>
          </cell>
          <cell r="R215">
            <v>0.20397588481926321</v>
          </cell>
          <cell r="S215">
            <v>7.4365029625200002E-2</v>
          </cell>
          <cell r="T215">
            <v>15.168672717410892</v>
          </cell>
        </row>
        <row r="216">
          <cell r="B216" t="str">
            <v>Aaron Judge</v>
          </cell>
          <cell r="C216">
            <v>2700</v>
          </cell>
          <cell r="D216" t="str">
            <v>NYY</v>
          </cell>
          <cell r="E216" t="str">
            <v>OF</v>
          </cell>
          <cell r="F216" t="str">
            <v>@BAL</v>
          </cell>
          <cell r="G216" t="str">
            <v>Miley</v>
          </cell>
          <cell r="H216" t="str">
            <v>L</v>
          </cell>
          <cell r="I216" t="str">
            <v>R</v>
          </cell>
          <cell r="J216">
            <v>10</v>
          </cell>
          <cell r="K216">
            <v>5</v>
          </cell>
          <cell r="L216">
            <v>0.09</v>
          </cell>
          <cell r="M216">
            <v>0.34892665474060824</v>
          </cell>
          <cell r="N216">
            <v>0.21946332737030411</v>
          </cell>
          <cell r="O216">
            <v>0</v>
          </cell>
          <cell r="P216">
            <v>0.17762512266928362</v>
          </cell>
          <cell r="Q216">
            <v>8.8812561334641812E-2</v>
          </cell>
          <cell r="R216">
            <v>0.15413794435247297</v>
          </cell>
          <cell r="S216">
            <v>9.9457046229449994E-2</v>
          </cell>
          <cell r="T216">
            <v>15.330104657176294</v>
          </cell>
        </row>
        <row r="217">
          <cell r="B217" t="str">
            <v>Kolten Wong</v>
          </cell>
          <cell r="C217">
            <v>2300</v>
          </cell>
          <cell r="D217" t="str">
            <v>STL</v>
          </cell>
          <cell r="E217" t="str">
            <v>2B</v>
          </cell>
          <cell r="F217" t="str">
            <v>@CIN</v>
          </cell>
          <cell r="G217" t="str">
            <v>Adleman</v>
          </cell>
          <cell r="H217" t="str">
            <v>R</v>
          </cell>
          <cell r="I217" t="str">
            <v>L</v>
          </cell>
          <cell r="J217">
            <v>675</v>
          </cell>
          <cell r="K217">
            <v>3</v>
          </cell>
          <cell r="L217">
            <v>0.32644444444444448</v>
          </cell>
          <cell r="M217">
            <v>0.35833333333333334</v>
          </cell>
          <cell r="N217">
            <v>0.34238888888888891</v>
          </cell>
          <cell r="O217">
            <v>0.13522537562604339</v>
          </cell>
          <cell r="P217">
            <v>0.22580645161290322</v>
          </cell>
          <cell r="Q217">
            <v>0.18051591361947331</v>
          </cell>
          <cell r="R217">
            <v>0.26145240125418112</v>
          </cell>
          <cell r="S217">
            <v>5.8377338677950003E-2</v>
          </cell>
          <cell r="T217">
            <v>15.26289537617861</v>
          </cell>
        </row>
        <row r="218">
          <cell r="B218" t="str">
            <v>Chris Young</v>
          </cell>
          <cell r="C218">
            <v>3000</v>
          </cell>
          <cell r="D218" t="str">
            <v>BOS</v>
          </cell>
          <cell r="E218" t="str">
            <v>OF</v>
          </cell>
          <cell r="F218" t="str">
            <v>@OAK</v>
          </cell>
          <cell r="G218" t="str">
            <v>Graveman</v>
          </cell>
          <cell r="H218" t="str">
            <v>R</v>
          </cell>
          <cell r="I218" t="str">
            <v>R</v>
          </cell>
          <cell r="J218">
            <v>286</v>
          </cell>
          <cell r="K218">
            <v>24</v>
          </cell>
          <cell r="L218">
            <v>0.27237762237762242</v>
          </cell>
          <cell r="M218">
            <v>0.31861510791366904</v>
          </cell>
          <cell r="N218">
            <v>0.2954963651456457</v>
          </cell>
          <cell r="O218">
            <v>0.15444015444015444</v>
          </cell>
          <cell r="P218">
            <v>0.1673076923076923</v>
          </cell>
          <cell r="Q218">
            <v>0.16087392337392337</v>
          </cell>
          <cell r="R218">
            <v>0.22818514425978453</v>
          </cell>
          <cell r="S218">
            <v>6.6589956181349996E-2</v>
          </cell>
          <cell r="T218">
            <v>15.194838757494081</v>
          </cell>
        </row>
        <row r="219">
          <cell r="B219" t="str">
            <v>Carlos Beltran</v>
          </cell>
          <cell r="C219">
            <v>3400</v>
          </cell>
          <cell r="D219" t="str">
            <v>TEX</v>
          </cell>
          <cell r="E219" t="str">
            <v>OF</v>
          </cell>
          <cell r="F219" t="str">
            <v>HOU</v>
          </cell>
          <cell r="G219" t="str">
            <v>McHugh</v>
          </cell>
          <cell r="H219" t="str">
            <v>R</v>
          </cell>
          <cell r="I219" t="str">
            <v>S</v>
          </cell>
          <cell r="J219">
            <v>724</v>
          </cell>
          <cell r="K219">
            <v>7</v>
          </cell>
          <cell r="L219">
            <v>0.35207182320441988</v>
          </cell>
          <cell r="M219">
            <v>0.31513437057991517</v>
          </cell>
          <cell r="N219">
            <v>0.33360309689216749</v>
          </cell>
          <cell r="O219">
            <v>0.20574886535552195</v>
          </cell>
          <cell r="P219">
            <v>0.13734567901234568</v>
          </cell>
          <cell r="Q219">
            <v>0.17154727218393381</v>
          </cell>
          <cell r="R219">
            <v>0.25257518453805067</v>
          </cell>
          <cell r="S219">
            <v>5.9376257754899991E-2</v>
          </cell>
          <cell r="T219">
            <v>14.996969259622727</v>
          </cell>
        </row>
        <row r="220">
          <cell r="B220" t="str">
            <v>Jose Altuve</v>
          </cell>
          <cell r="C220">
            <v>3700</v>
          </cell>
          <cell r="D220" t="str">
            <v>HOU</v>
          </cell>
          <cell r="E220" t="str">
            <v>2B</v>
          </cell>
          <cell r="F220" t="str">
            <v>@TEX</v>
          </cell>
          <cell r="G220" t="str">
            <v>Darvish</v>
          </cell>
          <cell r="H220" t="str">
            <v>R</v>
          </cell>
          <cell r="I220" t="str">
            <v>R</v>
          </cell>
          <cell r="J220">
            <v>921</v>
          </cell>
          <cell r="K220">
            <v>7</v>
          </cell>
          <cell r="L220">
            <v>0.36677524429967423</v>
          </cell>
          <cell r="M220">
            <v>0.29222972972972971</v>
          </cell>
          <cell r="N220">
            <v>0.32950248701470197</v>
          </cell>
          <cell r="O220">
            <v>0.17159763313609466</v>
          </cell>
          <cell r="P220">
            <v>0.16788321167883211</v>
          </cell>
          <cell r="Q220">
            <v>0.1697404224074634</v>
          </cell>
          <cell r="R220">
            <v>0.24962145471108269</v>
          </cell>
          <cell r="S220">
            <v>5.9192176592699999E-2</v>
          </cell>
          <cell r="T220">
            <v>14.775637228585072</v>
          </cell>
        </row>
        <row r="221">
          <cell r="B221" t="str">
            <v>Chris Coghlan</v>
          </cell>
          <cell r="C221">
            <v>2900</v>
          </cell>
          <cell r="D221" t="str">
            <v>CHC</v>
          </cell>
          <cell r="E221" t="str">
            <v>OF</v>
          </cell>
          <cell r="F221" t="str">
            <v>SF</v>
          </cell>
          <cell r="G221" t="str">
            <v>Cueto</v>
          </cell>
          <cell r="H221" t="str">
            <v>R</v>
          </cell>
          <cell r="I221" t="str">
            <v>L</v>
          </cell>
          <cell r="J221">
            <v>677</v>
          </cell>
          <cell r="K221">
            <v>11</v>
          </cell>
          <cell r="L221">
            <v>0.33168389955686856</v>
          </cell>
          <cell r="M221">
            <v>0.28046979865771815</v>
          </cell>
          <cell r="N221">
            <v>0.30607684910729338</v>
          </cell>
          <cell r="O221">
            <v>0.18887015177065766</v>
          </cell>
          <cell r="P221">
            <v>0.11901306240928883</v>
          </cell>
          <cell r="Q221">
            <v>0.15394160708997323</v>
          </cell>
          <cell r="R221">
            <v>0.23000922809863331</v>
          </cell>
          <cell r="S221">
            <v>6.4172783743200013E-2</v>
          </cell>
          <cell r="T221">
            <v>14.760332453713961</v>
          </cell>
        </row>
        <row r="222">
          <cell r="B222" t="str">
            <v>Nelson Cruz</v>
          </cell>
          <cell r="C222">
            <v>3500</v>
          </cell>
          <cell r="D222" t="str">
            <v>SEA</v>
          </cell>
          <cell r="E222" t="str">
            <v>OF</v>
          </cell>
          <cell r="F222" t="str">
            <v>LAA</v>
          </cell>
          <cell r="G222" t="str">
            <v>Shoemaker</v>
          </cell>
          <cell r="H222" t="str">
            <v>R</v>
          </cell>
          <cell r="I222" t="str">
            <v>R</v>
          </cell>
          <cell r="J222">
            <v>830</v>
          </cell>
          <cell r="K222">
            <v>29</v>
          </cell>
          <cell r="L222">
            <v>0.37283132530120483</v>
          </cell>
          <cell r="M222">
            <v>0.32975778546712803</v>
          </cell>
          <cell r="N222">
            <v>0.35129455538416643</v>
          </cell>
          <cell r="O222">
            <v>0.23790322580645162</v>
          </cell>
          <cell r="P222">
            <v>0.18198874296435272</v>
          </cell>
          <cell r="Q222">
            <v>0.20994598438540218</v>
          </cell>
          <cell r="R222">
            <v>0.28062026988478428</v>
          </cell>
          <cell r="S222">
            <v>5.3403419582999989E-2</v>
          </cell>
          <cell r="T222">
            <v>14.986082016151832</v>
          </cell>
        </row>
        <row r="223">
          <cell r="B223" t="str">
            <v>Xander Bogaerts</v>
          </cell>
          <cell r="C223">
            <v>3800</v>
          </cell>
          <cell r="D223" t="str">
            <v>BOS</v>
          </cell>
          <cell r="E223" t="str">
            <v>SS</v>
          </cell>
          <cell r="F223" t="str">
            <v>@OAK</v>
          </cell>
          <cell r="G223" t="str">
            <v>Graveman</v>
          </cell>
          <cell r="H223" t="str">
            <v>R</v>
          </cell>
          <cell r="I223" t="str">
            <v>R</v>
          </cell>
          <cell r="J223">
            <v>962</v>
          </cell>
          <cell r="K223">
            <v>24</v>
          </cell>
          <cell r="L223">
            <v>0.33596673596673593</v>
          </cell>
          <cell r="M223">
            <v>0.31861510791366904</v>
          </cell>
          <cell r="N223">
            <v>0.32729092194020248</v>
          </cell>
          <cell r="O223">
            <v>0.11955307262569832</v>
          </cell>
          <cell r="P223">
            <v>0.1673076923076923</v>
          </cell>
          <cell r="Q223">
            <v>0.14343038246669532</v>
          </cell>
          <cell r="R223">
            <v>0.2353606522034489</v>
          </cell>
          <cell r="S223">
            <v>6.3479223676124991E-2</v>
          </cell>
          <cell r="T223">
            <v>14.940511485781393</v>
          </cell>
        </row>
        <row r="224">
          <cell r="B224" t="str">
            <v>Nick Buss</v>
          </cell>
          <cell r="C224">
            <v>2200</v>
          </cell>
          <cell r="D224" t="str">
            <v>LAA</v>
          </cell>
          <cell r="E224" t="str">
            <v>OF</v>
          </cell>
          <cell r="F224" t="str">
            <v>@SEA</v>
          </cell>
          <cell r="G224" t="str">
            <v>Iwakuma</v>
          </cell>
          <cell r="H224" t="str">
            <v>R</v>
          </cell>
          <cell r="I224" t="str">
            <v>L</v>
          </cell>
          <cell r="J224">
            <v>49</v>
          </cell>
          <cell r="K224">
            <v>29</v>
          </cell>
          <cell r="L224">
            <v>0.33265306122448973</v>
          </cell>
          <cell r="M224">
            <v>0.31929674099485428</v>
          </cell>
          <cell r="N224">
            <v>0.32597490110967198</v>
          </cell>
          <cell r="O224">
            <v>0.23404255319148937</v>
          </cell>
          <cell r="P224">
            <v>0.16152450090744103</v>
          </cell>
          <cell r="Q224">
            <v>0.1977835270494652</v>
          </cell>
          <cell r="R224">
            <v>0.2618792140795686</v>
          </cell>
          <cell r="S224">
            <v>5.6691909063349991E-2</v>
          </cell>
          <cell r="T224">
            <v>14.846432590180468</v>
          </cell>
        </row>
        <row r="225">
          <cell r="B225" t="str">
            <v>Eduardo Escobar</v>
          </cell>
          <cell r="C225">
            <v>2200</v>
          </cell>
          <cell r="D225" t="str">
            <v>MIN</v>
          </cell>
          <cell r="E225" t="str">
            <v>SS</v>
          </cell>
          <cell r="F225" t="str">
            <v>CHW</v>
          </cell>
          <cell r="G225" t="str">
            <v>Ranaudo</v>
          </cell>
          <cell r="H225" t="str">
            <v>R</v>
          </cell>
          <cell r="I225" t="str">
            <v>S</v>
          </cell>
          <cell r="J225">
            <v>522</v>
          </cell>
          <cell r="K225">
            <v>18</v>
          </cell>
          <cell r="L225">
            <v>0.30852490421455941</v>
          </cell>
          <cell r="M225">
            <v>0.32990196078431372</v>
          </cell>
          <cell r="N225">
            <v>0.31921343249943657</v>
          </cell>
          <cell r="O225">
            <v>0.14256198347107438</v>
          </cell>
          <cell r="P225">
            <v>0.20930232558139536</v>
          </cell>
          <cell r="Q225">
            <v>0.17593215452623487</v>
          </cell>
          <cell r="R225">
            <v>0.24757279351283573</v>
          </cell>
          <cell r="S225">
            <v>5.9233282531424999E-2</v>
          </cell>
          <cell r="T225">
            <v>14.664549225239941</v>
          </cell>
        </row>
        <row r="226">
          <cell r="B226" t="str">
            <v>Jean Segura</v>
          </cell>
          <cell r="C226">
            <v>3900</v>
          </cell>
          <cell r="D226" t="str">
            <v>ARI</v>
          </cell>
          <cell r="E226" t="str">
            <v>2B</v>
          </cell>
          <cell r="F226" t="str">
            <v>@COL</v>
          </cell>
          <cell r="G226" t="str">
            <v>Gray</v>
          </cell>
          <cell r="H226" t="str">
            <v>R</v>
          </cell>
          <cell r="I226" t="str">
            <v>R</v>
          </cell>
          <cell r="J226">
            <v>875</v>
          </cell>
          <cell r="K226">
            <v>1</v>
          </cell>
          <cell r="L226">
            <v>0.32228571428571429</v>
          </cell>
          <cell r="M226">
            <v>0.32947103274559197</v>
          </cell>
          <cell r="N226">
            <v>0.32587837351565313</v>
          </cell>
          <cell r="O226">
            <v>0.11613691931540342</v>
          </cell>
          <cell r="P226">
            <v>0.16285714285714287</v>
          </cell>
          <cell r="Q226">
            <v>0.13949703108627315</v>
          </cell>
          <cell r="R226">
            <v>0.23268770230096314</v>
          </cell>
          <cell r="S226">
            <v>6.3475451317949988E-2</v>
          </cell>
          <cell r="T226">
            <v>14.769956919690426</v>
          </cell>
        </row>
        <row r="227">
          <cell r="B227" t="str">
            <v>Jonathan Lucroy</v>
          </cell>
          <cell r="C227">
            <v>3400</v>
          </cell>
          <cell r="D227" t="str">
            <v>TEX</v>
          </cell>
          <cell r="E227" t="str">
            <v>C</v>
          </cell>
          <cell r="F227" t="str">
            <v>HOU</v>
          </cell>
          <cell r="G227" t="str">
            <v>McHugh</v>
          </cell>
          <cell r="H227" t="str">
            <v>R</v>
          </cell>
          <cell r="I227" t="str">
            <v>R</v>
          </cell>
          <cell r="J227">
            <v>652</v>
          </cell>
          <cell r="K227">
            <v>7</v>
          </cell>
          <cell r="L227">
            <v>0.35835889570552149</v>
          </cell>
          <cell r="M227">
            <v>0.34371108343711082</v>
          </cell>
          <cell r="N227">
            <v>0.35103498957131618</v>
          </cell>
          <cell r="O227">
            <v>0.17376490630323679</v>
          </cell>
          <cell r="P227">
            <v>0.16666666666666666</v>
          </cell>
          <cell r="Q227">
            <v>0.17021578648495173</v>
          </cell>
          <cell r="R227">
            <v>0.26062538802813395</v>
          </cell>
          <cell r="S227">
            <v>5.6139400856699995E-2</v>
          </cell>
          <cell r="T227">
            <v>14.631353131944392</v>
          </cell>
        </row>
        <row r="228">
          <cell r="B228" t="str">
            <v>Jett Bandy</v>
          </cell>
          <cell r="C228">
            <v>2600</v>
          </cell>
          <cell r="D228" t="str">
            <v>LAA</v>
          </cell>
          <cell r="E228" t="str">
            <v>C</v>
          </cell>
          <cell r="F228" t="str">
            <v>@SEA</v>
          </cell>
          <cell r="G228" t="str">
            <v>Iwakuma</v>
          </cell>
          <cell r="H228" t="str">
            <v>R</v>
          </cell>
          <cell r="I228" t="str">
            <v>R</v>
          </cell>
          <cell r="J228">
            <v>139</v>
          </cell>
          <cell r="K228">
            <v>29</v>
          </cell>
          <cell r="L228">
            <v>0.2906474820143885</v>
          </cell>
          <cell r="M228">
            <v>0.30911251980982563</v>
          </cell>
          <cell r="N228">
            <v>0.29988000091210709</v>
          </cell>
          <cell r="O228">
            <v>0.15079365079365079</v>
          </cell>
          <cell r="P228">
            <v>0.18103448275862069</v>
          </cell>
          <cell r="Q228">
            <v>0.16591406677613574</v>
          </cell>
          <cell r="R228">
            <v>0.23289703384412141</v>
          </cell>
          <cell r="S228">
            <v>6.3114186126600011E-2</v>
          </cell>
          <cell r="T228">
            <v>14.69910674237094</v>
          </cell>
        </row>
        <row r="229">
          <cell r="B229" t="str">
            <v>Paulo Orlando</v>
          </cell>
          <cell r="C229">
            <v>3100</v>
          </cell>
          <cell r="D229" t="str">
            <v>KC</v>
          </cell>
          <cell r="E229" t="str">
            <v>OF</v>
          </cell>
          <cell r="F229" t="str">
            <v>DET</v>
          </cell>
          <cell r="G229" t="str">
            <v>Norris</v>
          </cell>
          <cell r="H229" t="str">
            <v>L</v>
          </cell>
          <cell r="I229" t="str">
            <v>R</v>
          </cell>
          <cell r="J229">
            <v>219</v>
          </cell>
          <cell r="K229">
            <v>20</v>
          </cell>
          <cell r="L229">
            <v>0.33995433789954338</v>
          </cell>
          <cell r="M229">
            <v>0.31510903426791281</v>
          </cell>
          <cell r="N229">
            <v>0.32753168608372807</v>
          </cell>
          <cell r="O229">
            <v>0.16346153846153846</v>
          </cell>
          <cell r="P229">
            <v>0.1678082191780822</v>
          </cell>
          <cell r="Q229">
            <v>0.16563487881981032</v>
          </cell>
          <cell r="R229">
            <v>0.24658328245176919</v>
          </cell>
          <cell r="S229">
            <v>5.8505098938900005E-2</v>
          </cell>
          <cell r="T229">
            <v>14.426379336519481</v>
          </cell>
        </row>
        <row r="230">
          <cell r="B230" t="str">
            <v>Wilmer Flores</v>
          </cell>
          <cell r="C230">
            <v>2700</v>
          </cell>
          <cell r="D230" t="str">
            <v>NYM</v>
          </cell>
          <cell r="E230" t="str">
            <v>2B</v>
          </cell>
          <cell r="F230" t="str">
            <v>WAS</v>
          </cell>
          <cell r="G230" t="str">
            <v>Lopez</v>
          </cell>
          <cell r="H230" t="str">
            <v>R</v>
          </cell>
          <cell r="I230" t="str">
            <v>R</v>
          </cell>
          <cell r="J230">
            <v>616</v>
          </cell>
          <cell r="K230">
            <v>21</v>
          </cell>
          <cell r="L230">
            <v>0.28246753246753248</v>
          </cell>
          <cell r="M230">
            <v>0.41785714285714282</v>
          </cell>
          <cell r="N230">
            <v>0.35016233766233762</v>
          </cell>
          <cell r="O230">
            <v>0.11652173913043479</v>
          </cell>
          <cell r="P230">
            <v>0.12244897959183673</v>
          </cell>
          <cell r="Q230">
            <v>0.11948535936113576</v>
          </cell>
          <cell r="R230">
            <v>0.23482384851173668</v>
          </cell>
          <cell r="S230">
            <v>6.2427070816199991E-2</v>
          </cell>
          <cell r="T230">
            <v>14.659365020374805</v>
          </cell>
        </row>
        <row r="231">
          <cell r="B231" t="str">
            <v>Logan Schafer</v>
          </cell>
          <cell r="C231">
            <v>2600</v>
          </cell>
          <cell r="D231" t="str">
            <v>MIN</v>
          </cell>
          <cell r="E231" t="str">
            <v>OF</v>
          </cell>
          <cell r="F231" t="str">
            <v>CHW</v>
          </cell>
          <cell r="G231" t="str">
            <v>Ranaudo</v>
          </cell>
          <cell r="H231" t="str">
            <v>R</v>
          </cell>
          <cell r="I231" t="str">
            <v>L</v>
          </cell>
          <cell r="J231">
            <v>124</v>
          </cell>
          <cell r="K231">
            <v>18</v>
          </cell>
          <cell r="L231">
            <v>0.29395161290322575</v>
          </cell>
          <cell r="M231">
            <v>0.32990196078431372</v>
          </cell>
          <cell r="N231">
            <v>0.31192678684376973</v>
          </cell>
          <cell r="O231">
            <v>0.12264150943396226</v>
          </cell>
          <cell r="P231">
            <v>0.20930232558139536</v>
          </cell>
          <cell r="Q231">
            <v>0.16597191750767881</v>
          </cell>
          <cell r="R231">
            <v>0.23894935217572427</v>
          </cell>
          <cell r="S231">
            <v>6.0294941215499998E-2</v>
          </cell>
          <cell r="T231">
            <v>14.407437142917102</v>
          </cell>
        </row>
        <row r="232">
          <cell r="B232" t="str">
            <v>Scott Schebler</v>
          </cell>
          <cell r="C232">
            <v>3200</v>
          </cell>
          <cell r="D232" t="str">
            <v>CIN</v>
          </cell>
          <cell r="E232" t="str">
            <v>OF</v>
          </cell>
          <cell r="F232" t="str">
            <v>STL</v>
          </cell>
          <cell r="G232" t="str">
            <v>Martinez</v>
          </cell>
          <cell r="H232" t="str">
            <v>R</v>
          </cell>
          <cell r="I232" t="str">
            <v>L</v>
          </cell>
          <cell r="J232">
            <v>193</v>
          </cell>
          <cell r="K232">
            <v>3</v>
          </cell>
          <cell r="L232">
            <v>0.33082901554404148</v>
          </cell>
          <cell r="M232">
            <v>0.32929362880886426</v>
          </cell>
          <cell r="N232">
            <v>0.3300613221764529</v>
          </cell>
          <cell r="O232">
            <v>0.20454545454545456</v>
          </cell>
          <cell r="P232">
            <v>0.14622641509433962</v>
          </cell>
          <cell r="Q232">
            <v>0.17538593481989709</v>
          </cell>
          <cell r="R232">
            <v>0.25272362849817498</v>
          </cell>
          <cell r="S232">
            <v>5.7833928915974997E-2</v>
          </cell>
          <cell r="T232">
            <v>14.616000365950725</v>
          </cell>
        </row>
        <row r="233">
          <cell r="B233" t="str">
            <v>Adam Duvall</v>
          </cell>
          <cell r="C233">
            <v>3100</v>
          </cell>
          <cell r="D233" t="str">
            <v>CIN</v>
          </cell>
          <cell r="E233" t="str">
            <v>OF</v>
          </cell>
          <cell r="F233" t="str">
            <v>STL</v>
          </cell>
          <cell r="G233" t="str">
            <v>Martinez</v>
          </cell>
          <cell r="H233" t="str">
            <v>R</v>
          </cell>
          <cell r="I233" t="str">
            <v>R</v>
          </cell>
          <cell r="J233">
            <v>431</v>
          </cell>
          <cell r="K233">
            <v>3</v>
          </cell>
          <cell r="L233">
            <v>0.34443155452436192</v>
          </cell>
          <cell r="M233">
            <v>0.25387994143484627</v>
          </cell>
          <cell r="N233">
            <v>0.29915574797960409</v>
          </cell>
          <cell r="O233">
            <v>0.27979274611398963</v>
          </cell>
          <cell r="P233">
            <v>6.4829821717990274E-2</v>
          </cell>
          <cell r="Q233">
            <v>0.17231128391598996</v>
          </cell>
          <cell r="R233">
            <v>0.23573351594779701</v>
          </cell>
          <cell r="S233">
            <v>6.1991768134649995E-2</v>
          </cell>
          <cell r="T233">
            <v>14.61353746220165</v>
          </cell>
        </row>
        <row r="234">
          <cell r="B234" t="str">
            <v>Brad Miller</v>
          </cell>
          <cell r="C234">
            <v>3400</v>
          </cell>
          <cell r="D234" t="str">
            <v>TB</v>
          </cell>
          <cell r="E234" t="str">
            <v>SS</v>
          </cell>
          <cell r="F234" t="str">
            <v>TOR</v>
          </cell>
          <cell r="G234" t="str">
            <v>Happ</v>
          </cell>
          <cell r="H234" t="str">
            <v>L</v>
          </cell>
          <cell r="I234" t="str">
            <v>L</v>
          </cell>
          <cell r="J234">
            <v>208</v>
          </cell>
          <cell r="K234">
            <v>23</v>
          </cell>
          <cell r="L234">
            <v>0.25673076923076921</v>
          </cell>
          <cell r="M234">
            <v>0.29563106796116501</v>
          </cell>
          <cell r="N234">
            <v>0.27618091859596711</v>
          </cell>
          <cell r="O234">
            <v>6.25E-2</v>
          </cell>
          <cell r="P234">
            <v>0.11149825783972125</v>
          </cell>
          <cell r="Q234">
            <v>8.6999128919860627E-2</v>
          </cell>
          <cell r="R234">
            <v>0.18159002375791386</v>
          </cell>
          <cell r="S234">
            <v>7.9713784413599997E-2</v>
          </cell>
          <cell r="T234">
            <v>14.475228005498847</v>
          </cell>
        </row>
        <row r="235">
          <cell r="B235" t="str">
            <v>Eduardo Nunez</v>
          </cell>
          <cell r="C235">
            <v>2900</v>
          </cell>
          <cell r="D235" t="str">
            <v>SF</v>
          </cell>
          <cell r="E235" t="str">
            <v>3B</v>
          </cell>
          <cell r="F235" t="str">
            <v>@CHC</v>
          </cell>
          <cell r="G235" t="str">
            <v>Lackey</v>
          </cell>
          <cell r="H235" t="str">
            <v>R</v>
          </cell>
          <cell r="I235" t="str">
            <v>R</v>
          </cell>
          <cell r="J235">
            <v>538</v>
          </cell>
          <cell r="K235">
            <v>11</v>
          </cell>
          <cell r="L235">
            <v>0.33206319702602233</v>
          </cell>
          <cell r="M235">
            <v>0.26548780487804879</v>
          </cell>
          <cell r="N235">
            <v>0.29877550095203553</v>
          </cell>
          <cell r="O235">
            <v>0.13453815261044177</v>
          </cell>
          <cell r="P235">
            <v>0.12746386333771353</v>
          </cell>
          <cell r="Q235">
            <v>0.13100100797407765</v>
          </cell>
          <cell r="R235">
            <v>0.21488825446305659</v>
          </cell>
          <cell r="S235">
            <v>6.6958312086750002E-2</v>
          </cell>
          <cell r="T235">
            <v>14.388554806114293</v>
          </cell>
        </row>
        <row r="236">
          <cell r="B236" t="str">
            <v>Kevin Kiermaier</v>
          </cell>
          <cell r="C236">
            <v>3100</v>
          </cell>
          <cell r="D236" t="str">
            <v>TB</v>
          </cell>
          <cell r="E236" t="str">
            <v>OF</v>
          </cell>
          <cell r="F236" t="str">
            <v>TOR</v>
          </cell>
          <cell r="G236" t="str">
            <v>Happ</v>
          </cell>
          <cell r="H236" t="str">
            <v>L</v>
          </cell>
          <cell r="I236" t="str">
            <v>L</v>
          </cell>
          <cell r="J236">
            <v>223</v>
          </cell>
          <cell r="K236">
            <v>23</v>
          </cell>
          <cell r="L236">
            <v>0.27713004484304932</v>
          </cell>
          <cell r="M236">
            <v>0.29563106796116501</v>
          </cell>
          <cell r="N236">
            <v>0.28638055640210713</v>
          </cell>
          <cell r="O236">
            <v>0.11881188118811881</v>
          </cell>
          <cell r="P236">
            <v>0.11149825783972125</v>
          </cell>
          <cell r="Q236">
            <v>0.11515506951392003</v>
          </cell>
          <cell r="R236">
            <v>0.20076781295801358</v>
          </cell>
          <cell r="S236">
            <v>7.1761785565950004E-2</v>
          </cell>
          <cell r="T236">
            <v>14.407456742037729</v>
          </cell>
        </row>
        <row r="237">
          <cell r="B237" t="str">
            <v>Cheslor Cuthbert</v>
          </cell>
          <cell r="C237">
            <v>3200</v>
          </cell>
          <cell r="D237" t="str">
            <v>KC</v>
          </cell>
          <cell r="E237" t="str">
            <v>3B</v>
          </cell>
          <cell r="F237" t="str">
            <v>DET</v>
          </cell>
          <cell r="G237" t="str">
            <v>Norris</v>
          </cell>
          <cell r="H237" t="str">
            <v>L</v>
          </cell>
          <cell r="I237" t="str">
            <v>R</v>
          </cell>
          <cell r="J237">
            <v>124</v>
          </cell>
          <cell r="K237">
            <v>20</v>
          </cell>
          <cell r="L237">
            <v>0.37741935483870964</v>
          </cell>
          <cell r="M237">
            <v>0.31510903426791281</v>
          </cell>
          <cell r="N237">
            <v>0.34626419455331126</v>
          </cell>
          <cell r="O237">
            <v>0.1623931623931624</v>
          </cell>
          <cell r="P237">
            <v>0.1678082191780822</v>
          </cell>
          <cell r="Q237">
            <v>0.16510069078562228</v>
          </cell>
          <cell r="R237">
            <v>0.25568244266946677</v>
          </cell>
          <cell r="S237">
            <v>5.5752539688899996E-2</v>
          </cell>
          <cell r="T237">
            <v>14.254945532684344</v>
          </cell>
        </row>
        <row r="238">
          <cell r="B238" t="str">
            <v>Devon Travis</v>
          </cell>
          <cell r="C238">
            <v>3100</v>
          </cell>
          <cell r="D238" t="str">
            <v>TOR</v>
          </cell>
          <cell r="E238" t="str">
            <v>2B</v>
          </cell>
          <cell r="F238" t="str">
            <v>@TB</v>
          </cell>
          <cell r="G238" t="str">
            <v>Archer</v>
          </cell>
          <cell r="H238" t="str">
            <v>R</v>
          </cell>
          <cell r="I238" t="str">
            <v>R</v>
          </cell>
          <cell r="J238">
            <v>412</v>
          </cell>
          <cell r="K238">
            <v>23</v>
          </cell>
          <cell r="L238">
            <v>0.36747572815533974</v>
          </cell>
          <cell r="M238">
            <v>0.29910141206675223</v>
          </cell>
          <cell r="N238">
            <v>0.33328857011104596</v>
          </cell>
          <cell r="O238">
            <v>0.18684210526315789</v>
          </cell>
          <cell r="P238">
            <v>0.13940256045519203</v>
          </cell>
          <cell r="Q238">
            <v>0.16312233285917496</v>
          </cell>
          <cell r="R238">
            <v>0.24820545148511047</v>
          </cell>
          <cell r="S238">
            <v>5.8005816526499998E-2</v>
          </cell>
          <cell r="T238">
            <v>14.397359879722416</v>
          </cell>
        </row>
        <row r="239">
          <cell r="B239" t="str">
            <v>JT Realmuto</v>
          </cell>
          <cell r="C239">
            <v>3000</v>
          </cell>
          <cell r="D239" t="str">
            <v>MIA</v>
          </cell>
          <cell r="E239" t="str">
            <v>C</v>
          </cell>
          <cell r="F239" t="str">
            <v>@CLE</v>
          </cell>
          <cell r="G239" t="str">
            <v>Salazar</v>
          </cell>
          <cell r="H239" t="str">
            <v>R</v>
          </cell>
          <cell r="I239" t="str">
            <v>R</v>
          </cell>
          <cell r="J239">
            <v>748</v>
          </cell>
          <cell r="K239">
            <v>14</v>
          </cell>
          <cell r="L239">
            <v>0.33322192513368987</v>
          </cell>
          <cell r="M239">
            <v>0.30174165457184327</v>
          </cell>
          <cell r="N239">
            <v>0.31748178985276654</v>
          </cell>
          <cell r="O239">
            <v>0.13124108416547789</v>
          </cell>
          <cell r="P239">
            <v>0.12295081967213115</v>
          </cell>
          <cell r="Q239">
            <v>0.12709595191880452</v>
          </cell>
          <cell r="R239">
            <v>0.22228887088578553</v>
          </cell>
          <cell r="S239">
            <v>6.4764833620349987E-2</v>
          </cell>
          <cell r="T239">
            <v>14.39650173857336</v>
          </cell>
        </row>
        <row r="240">
          <cell r="B240" t="str">
            <v>Rougned Odor</v>
          </cell>
          <cell r="C240">
            <v>3800</v>
          </cell>
          <cell r="D240" t="str">
            <v>TEX</v>
          </cell>
          <cell r="E240" t="str">
            <v>2B</v>
          </cell>
          <cell r="F240" t="str">
            <v>HOU</v>
          </cell>
          <cell r="G240" t="str">
            <v>McHugh</v>
          </cell>
          <cell r="H240" t="str">
            <v>R</v>
          </cell>
          <cell r="I240" t="str">
            <v>L</v>
          </cell>
          <cell r="J240">
            <v>687</v>
          </cell>
          <cell r="K240">
            <v>7</v>
          </cell>
          <cell r="L240">
            <v>0.3426491994177584</v>
          </cell>
          <cell r="M240">
            <v>0.31513437057991517</v>
          </cell>
          <cell r="N240">
            <v>0.32889178499883676</v>
          </cell>
          <cell r="O240">
            <v>0.23183925811437403</v>
          </cell>
          <cell r="P240">
            <v>0.13734567901234568</v>
          </cell>
          <cell r="Q240">
            <v>0.18459246856335987</v>
          </cell>
          <cell r="R240">
            <v>0.25674212678109831</v>
          </cell>
          <cell r="S240">
            <v>5.5468955180699997E-2</v>
          </cell>
          <cell r="T240">
            <v>14.241217523418339</v>
          </cell>
        </row>
        <row r="241">
          <cell r="B241" t="str">
            <v>Adrian Beltre</v>
          </cell>
          <cell r="C241">
            <v>3500</v>
          </cell>
          <cell r="D241" t="str">
            <v>TEX</v>
          </cell>
          <cell r="E241" t="str">
            <v>3B</v>
          </cell>
          <cell r="F241" t="str">
            <v>HOU</v>
          </cell>
          <cell r="G241" t="str">
            <v>McHugh</v>
          </cell>
          <cell r="H241" t="str">
            <v>R</v>
          </cell>
          <cell r="I241" t="str">
            <v>R</v>
          </cell>
          <cell r="J241">
            <v>812</v>
          </cell>
          <cell r="K241">
            <v>7</v>
          </cell>
          <cell r="L241">
            <v>0.32623152709359604</v>
          </cell>
          <cell r="M241">
            <v>0.34371108343711082</v>
          </cell>
          <cell r="N241">
            <v>0.33497130526535346</v>
          </cell>
          <cell r="O241">
            <v>0.156</v>
          </cell>
          <cell r="P241">
            <v>0.16666666666666666</v>
          </cell>
          <cell r="Q241">
            <v>0.16133333333333333</v>
          </cell>
          <cell r="R241">
            <v>0.24815231929934339</v>
          </cell>
          <cell r="S241">
            <v>5.7113422700399985E-2</v>
          </cell>
          <cell r="T241">
            <v>14.172828306228023</v>
          </cell>
        </row>
        <row r="242">
          <cell r="B242" t="str">
            <v>AJ Pollock</v>
          </cell>
          <cell r="C242">
            <v>4200</v>
          </cell>
          <cell r="D242" t="str">
            <v>ARI</v>
          </cell>
          <cell r="E242" t="str">
            <v>OF</v>
          </cell>
          <cell r="F242" t="str">
            <v>@COL</v>
          </cell>
          <cell r="G242" t="str">
            <v>Gray</v>
          </cell>
          <cell r="H242" t="str">
            <v>R</v>
          </cell>
          <cell r="I242" t="str">
            <v>R</v>
          </cell>
          <cell r="J242">
            <v>547</v>
          </cell>
          <cell r="K242">
            <v>1</v>
          </cell>
          <cell r="L242">
            <v>0.37358318098720289</v>
          </cell>
          <cell r="M242">
            <v>0.32947103274559197</v>
          </cell>
          <cell r="N242">
            <v>0.35152710686639743</v>
          </cell>
          <cell r="O242">
            <v>0.18089430894308944</v>
          </cell>
          <cell r="P242">
            <v>0.16285714285714287</v>
          </cell>
          <cell r="Q242">
            <v>0.17187572590011616</v>
          </cell>
          <cell r="R242">
            <v>0.26170141638325678</v>
          </cell>
          <cell r="S242">
            <v>5.4713323529999996E-2</v>
          </cell>
          <cell r="T242">
            <v>14.31855426283637</v>
          </cell>
        </row>
        <row r="243">
          <cell r="B243" t="str">
            <v>Danny Valencia</v>
          </cell>
          <cell r="C243">
            <v>3000</v>
          </cell>
          <cell r="D243" t="str">
            <v>OAK</v>
          </cell>
          <cell r="E243" t="str">
            <v>3B</v>
          </cell>
          <cell r="F243" t="str">
            <v>BOS</v>
          </cell>
          <cell r="G243" t="str">
            <v>Rodriguez</v>
          </cell>
          <cell r="H243" t="str">
            <v>L</v>
          </cell>
          <cell r="I243" t="str">
            <v>R</v>
          </cell>
          <cell r="J243">
            <v>269</v>
          </cell>
          <cell r="K243">
            <v>24</v>
          </cell>
          <cell r="L243">
            <v>0.39293680297397771</v>
          </cell>
          <cell r="M243">
            <v>0.31575663026521061</v>
          </cell>
          <cell r="N243">
            <v>0.35434671661959416</v>
          </cell>
          <cell r="O243">
            <v>0.18907563025210083</v>
          </cell>
          <cell r="P243">
            <v>0.15397923875432526</v>
          </cell>
          <cell r="Q243">
            <v>0.17152743450321306</v>
          </cell>
          <cell r="R243">
            <v>0.26293707556140361</v>
          </cell>
          <cell r="S243">
            <v>5.4441659207700013E-2</v>
          </cell>
          <cell r="T243">
            <v>14.314730660783203</v>
          </cell>
        </row>
        <row r="244">
          <cell r="B244" t="str">
            <v>Bruce Maxwell</v>
          </cell>
          <cell r="C244">
            <v>2200</v>
          </cell>
          <cell r="D244" t="str">
            <v>OAK</v>
          </cell>
          <cell r="E244" t="str">
            <v>C</v>
          </cell>
          <cell r="F244" t="str">
            <v>BOS</v>
          </cell>
          <cell r="G244" t="str">
            <v>Rodriguez</v>
          </cell>
          <cell r="H244" t="str">
            <v>L</v>
          </cell>
          <cell r="I244" t="str">
            <v>L</v>
          </cell>
          <cell r="J244">
            <v>12</v>
          </cell>
          <cell r="K244">
            <v>24</v>
          </cell>
          <cell r="L244">
            <v>0.10416666666666667</v>
          </cell>
          <cell r="M244">
            <v>0.33842364532019703</v>
          </cell>
          <cell r="N244">
            <v>0.22129515599343186</v>
          </cell>
          <cell r="O244">
            <v>8.3333333333333329E-2</v>
          </cell>
          <cell r="P244">
            <v>0.18784530386740331</v>
          </cell>
          <cell r="Q244">
            <v>0.13558931860036832</v>
          </cell>
          <cell r="R244">
            <v>0.17844223729690009</v>
          </cell>
          <cell r="S244">
            <v>8.0073648434399999E-2</v>
          </cell>
          <cell r="T244">
            <v>14.288520975159757</v>
          </cell>
        </row>
        <row r="245">
          <cell r="B245" t="str">
            <v>Evan Gattis</v>
          </cell>
          <cell r="C245">
            <v>3100</v>
          </cell>
          <cell r="D245" t="str">
            <v>HOU</v>
          </cell>
          <cell r="E245" t="str">
            <v>C</v>
          </cell>
          <cell r="F245" t="str">
            <v>@TEX</v>
          </cell>
          <cell r="G245" t="str">
            <v>Darvish</v>
          </cell>
          <cell r="H245" t="str">
            <v>R</v>
          </cell>
          <cell r="I245" t="str">
            <v>R</v>
          </cell>
          <cell r="J245">
            <v>644</v>
          </cell>
          <cell r="K245">
            <v>7</v>
          </cell>
          <cell r="L245">
            <v>0.3223602484472049</v>
          </cell>
          <cell r="M245">
            <v>0.29222972972972971</v>
          </cell>
          <cell r="N245">
            <v>0.30729498908846731</v>
          </cell>
          <cell r="O245">
            <v>0.21996615905245348</v>
          </cell>
          <cell r="P245">
            <v>0.16788321167883211</v>
          </cell>
          <cell r="Q245">
            <v>0.19392468536564278</v>
          </cell>
          <cell r="R245">
            <v>0.25060983722705504</v>
          </cell>
          <cell r="S245">
            <v>5.6509255558049989E-2</v>
          </cell>
          <cell r="T245">
            <v>14.161775337224963</v>
          </cell>
        </row>
        <row r="246">
          <cell r="B246" t="str">
            <v>Alex Bregman</v>
          </cell>
          <cell r="C246">
            <v>3300</v>
          </cell>
          <cell r="D246" t="str">
            <v>HOU</v>
          </cell>
          <cell r="E246" t="str">
            <v>3B</v>
          </cell>
          <cell r="F246" t="str">
            <v>@TEX</v>
          </cell>
          <cell r="G246" t="str">
            <v>Darvish</v>
          </cell>
          <cell r="H246" t="str">
            <v>R</v>
          </cell>
          <cell r="I246" t="str">
            <v>R</v>
          </cell>
          <cell r="J246">
            <v>115</v>
          </cell>
          <cell r="K246">
            <v>7</v>
          </cell>
          <cell r="L246">
            <v>0.3178260869565217</v>
          </cell>
          <cell r="M246">
            <v>0.29222972972972971</v>
          </cell>
          <cell r="N246">
            <v>0.30502790834312571</v>
          </cell>
          <cell r="O246">
            <v>0.19811320754716982</v>
          </cell>
          <cell r="P246">
            <v>0.16788321167883211</v>
          </cell>
          <cell r="Q246">
            <v>0.18299820961300095</v>
          </cell>
          <cell r="R246">
            <v>0.24401305897806333</v>
          </cell>
          <cell r="S246">
            <v>5.7548466712349998E-2</v>
          </cell>
          <cell r="T246">
            <v>14.042577401977775</v>
          </cell>
        </row>
        <row r="247">
          <cell r="B247" t="str">
            <v>Adrian Gonzalez</v>
          </cell>
          <cell r="C247">
            <v>3100</v>
          </cell>
          <cell r="D247" t="str">
            <v>LAD</v>
          </cell>
          <cell r="E247" t="str">
            <v>1B</v>
          </cell>
          <cell r="F247" t="str">
            <v>SD</v>
          </cell>
          <cell r="G247" t="str">
            <v>Friedrich</v>
          </cell>
          <cell r="H247" t="str">
            <v>L</v>
          </cell>
          <cell r="I247" t="str">
            <v>L</v>
          </cell>
          <cell r="J247">
            <v>324</v>
          </cell>
          <cell r="K247">
            <v>17</v>
          </cell>
          <cell r="L247">
            <v>0.3183641975308642</v>
          </cell>
          <cell r="M247">
            <v>0.29954751131221719</v>
          </cell>
          <cell r="N247">
            <v>0.30895585442154072</v>
          </cell>
          <cell r="O247">
            <v>0.11148648648648649</v>
          </cell>
          <cell r="P247">
            <v>0.11055276381909548</v>
          </cell>
          <cell r="Q247">
            <v>0.11101962515279098</v>
          </cell>
          <cell r="R247">
            <v>0.20998773978716584</v>
          </cell>
          <cell r="S247">
            <v>6.779342735985E-2</v>
          </cell>
          <cell r="T247">
            <v>14.235788583720311</v>
          </cell>
        </row>
        <row r="248">
          <cell r="B248" t="str">
            <v>Robinson Chirinos</v>
          </cell>
          <cell r="C248">
            <v>2700</v>
          </cell>
          <cell r="D248" t="str">
            <v>TEX</v>
          </cell>
          <cell r="E248" t="str">
            <v>C</v>
          </cell>
          <cell r="F248" t="str">
            <v>HOU</v>
          </cell>
          <cell r="G248" t="str">
            <v>McHugh</v>
          </cell>
          <cell r="H248" t="str">
            <v>R</v>
          </cell>
          <cell r="I248" t="str">
            <v>R</v>
          </cell>
          <cell r="J248">
            <v>300</v>
          </cell>
          <cell r="K248">
            <v>7</v>
          </cell>
          <cell r="L248">
            <v>0.31116666666666665</v>
          </cell>
          <cell r="M248">
            <v>0.34371108343711082</v>
          </cell>
          <cell r="N248">
            <v>0.32743887505188873</v>
          </cell>
          <cell r="O248">
            <v>0.21568627450980393</v>
          </cell>
          <cell r="P248">
            <v>0.16666666666666666</v>
          </cell>
          <cell r="Q248">
            <v>0.19117647058823528</v>
          </cell>
          <cell r="R248">
            <v>0.25930767282006201</v>
          </cell>
          <cell r="S248">
            <v>5.3836944586499978E-2</v>
          </cell>
          <cell r="T248">
            <v>13.960332812467945</v>
          </cell>
        </row>
        <row r="249">
          <cell r="B249" t="str">
            <v>Brian McCann</v>
          </cell>
          <cell r="C249">
            <v>2900</v>
          </cell>
          <cell r="D249" t="str">
            <v>NYY</v>
          </cell>
          <cell r="E249" t="str">
            <v>C</v>
          </cell>
          <cell r="F249" t="str">
            <v>@BAL</v>
          </cell>
          <cell r="G249" t="str">
            <v>Miley</v>
          </cell>
          <cell r="H249" t="str">
            <v>L</v>
          </cell>
          <cell r="I249" t="str">
            <v>L</v>
          </cell>
          <cell r="J249">
            <v>217</v>
          </cell>
          <cell r="K249">
            <v>5</v>
          </cell>
          <cell r="L249">
            <v>0.31589861751152071</v>
          </cell>
          <cell r="M249">
            <v>0.29633757961783441</v>
          </cell>
          <cell r="N249">
            <v>0.30611809856467753</v>
          </cell>
          <cell r="O249">
            <v>0.1702127659574468</v>
          </cell>
          <cell r="P249">
            <v>0.14385964912280702</v>
          </cell>
          <cell r="Q249">
            <v>0.15703620754012693</v>
          </cell>
          <cell r="R249">
            <v>0.23157715305240223</v>
          </cell>
          <cell r="S249">
            <v>8.4861438680150003E-2</v>
          </cell>
          <cell r="T249">
            <v>19.651970373480143</v>
          </cell>
        </row>
        <row r="250">
          <cell r="B250" t="str">
            <v>Tucker Barnhart</v>
          </cell>
          <cell r="C250">
            <v>2300</v>
          </cell>
          <cell r="D250" t="str">
            <v>CIN</v>
          </cell>
          <cell r="E250" t="str">
            <v>C</v>
          </cell>
          <cell r="F250" t="str">
            <v>STL</v>
          </cell>
          <cell r="G250" t="str">
            <v>Martinez</v>
          </cell>
          <cell r="H250" t="str">
            <v>R</v>
          </cell>
          <cell r="I250" t="str">
            <v>S</v>
          </cell>
          <cell r="J250">
            <v>487</v>
          </cell>
          <cell r="K250">
            <v>3</v>
          </cell>
          <cell r="L250">
            <v>0.32659137577002051</v>
          </cell>
          <cell r="M250">
            <v>0.32929362880886426</v>
          </cell>
          <cell r="N250">
            <v>0.32794250228944238</v>
          </cell>
          <cell r="O250">
            <v>0.12354312354312354</v>
          </cell>
          <cell r="P250">
            <v>0.14622641509433962</v>
          </cell>
          <cell r="Q250">
            <v>0.13488476931873158</v>
          </cell>
          <cell r="R250">
            <v>0.23141363580408697</v>
          </cell>
          <cell r="S250">
            <v>4.2763267154324991E-2</v>
          </cell>
          <cell r="T250">
            <v>9.8960031310438374</v>
          </cell>
        </row>
        <row r="251">
          <cell r="B251" t="str">
            <v>Ryan Schimpf</v>
          </cell>
          <cell r="C251">
            <v>3000</v>
          </cell>
          <cell r="D251" t="str">
            <v>SD</v>
          </cell>
          <cell r="E251" t="str">
            <v>2B</v>
          </cell>
          <cell r="F251" t="str">
            <v>@LAD</v>
          </cell>
          <cell r="G251" t="str">
            <v>Deleon</v>
          </cell>
          <cell r="H251" t="str">
            <v>R</v>
          </cell>
          <cell r="I251" t="str">
            <v>L</v>
          </cell>
          <cell r="J251">
            <v>204</v>
          </cell>
          <cell r="K251">
            <v>17</v>
          </cell>
          <cell r="L251">
            <v>0.3977941176470588</v>
          </cell>
          <cell r="M251">
            <v>0.31</v>
          </cell>
          <cell r="N251">
            <v>0.3538970588235294</v>
          </cell>
          <cell r="O251">
            <v>0.36094674556213019</v>
          </cell>
          <cell r="P251">
            <v>0.16</v>
          </cell>
          <cell r="Q251">
            <v>0.26047337278106508</v>
          </cell>
          <cell r="R251">
            <v>0.30718521580229724</v>
          </cell>
          <cell r="S251">
            <v>7.4382430023449991E-2</v>
          </cell>
          <cell r="T251">
            <v>22.849182818652761</v>
          </cell>
        </row>
        <row r="252">
          <cell r="B252" t="str">
            <v>Rajai Davis</v>
          </cell>
          <cell r="C252">
            <v>3000</v>
          </cell>
          <cell r="D252" t="str">
            <v>CLE</v>
          </cell>
          <cell r="E252" t="str">
            <v>OF</v>
          </cell>
          <cell r="F252" t="str">
            <v>MIA</v>
          </cell>
          <cell r="G252" t="str">
            <v>Koehler</v>
          </cell>
          <cell r="H252" t="str">
            <v>R</v>
          </cell>
          <cell r="I252" t="str">
            <v>R</v>
          </cell>
          <cell r="J252">
            <v>484</v>
          </cell>
          <cell r="K252">
            <v>14</v>
          </cell>
          <cell r="L252">
            <v>0.32169421487603306</v>
          </cell>
          <cell r="M252">
            <v>0.31426553672316382</v>
          </cell>
          <cell r="N252">
            <v>0.31797987579959841</v>
          </cell>
          <cell r="O252">
            <v>0.15873015873015872</v>
          </cell>
          <cell r="P252">
            <v>0.13687600644122383</v>
          </cell>
          <cell r="Q252">
            <v>0.14780308258569128</v>
          </cell>
          <cell r="R252">
            <v>0.23289147919264486</v>
          </cell>
          <cell r="S252">
            <v>6.0381655970100007E-2</v>
          </cell>
          <cell r="T252">
            <v>14.062373174977987</v>
          </cell>
        </row>
        <row r="253">
          <cell r="B253" t="str">
            <v>Raul Mondesi</v>
          </cell>
          <cell r="C253">
            <v>2600</v>
          </cell>
          <cell r="D253" t="str">
            <v>KC</v>
          </cell>
          <cell r="E253" t="str">
            <v>2B</v>
          </cell>
          <cell r="F253" t="str">
            <v>DET</v>
          </cell>
          <cell r="G253" t="str">
            <v>Norris</v>
          </cell>
          <cell r="H253" t="str">
            <v>L</v>
          </cell>
          <cell r="I253" t="str">
            <v>S</v>
          </cell>
          <cell r="J253">
            <v>35</v>
          </cell>
          <cell r="K253">
            <v>20</v>
          </cell>
          <cell r="L253">
            <v>0.22857142857142856</v>
          </cell>
          <cell r="M253">
            <v>0.31510903426791281</v>
          </cell>
          <cell r="N253">
            <v>0.27184023141967067</v>
          </cell>
          <cell r="O253">
            <v>7.1428571428571425E-2</v>
          </cell>
          <cell r="P253">
            <v>0.1678082191780822</v>
          </cell>
          <cell r="Q253">
            <v>0.11961839530332681</v>
          </cell>
          <cell r="R253">
            <v>0.19572931336149874</v>
          </cell>
          <cell r="S253">
            <v>7.1256174914400006E-2</v>
          </cell>
          <cell r="T253">
            <v>13.946922188762365</v>
          </cell>
        </row>
        <row r="254">
          <cell r="B254" t="str">
            <v>Gregorio Petit</v>
          </cell>
          <cell r="C254">
            <v>2300</v>
          </cell>
          <cell r="D254" t="str">
            <v>LAA</v>
          </cell>
          <cell r="E254" t="str">
            <v>SS</v>
          </cell>
          <cell r="F254" t="str">
            <v>@SEA</v>
          </cell>
          <cell r="G254" t="str">
            <v>Iwakuma</v>
          </cell>
          <cell r="H254" t="str">
            <v>R</v>
          </cell>
          <cell r="I254" t="str">
            <v>R</v>
          </cell>
          <cell r="J254">
            <v>158</v>
          </cell>
          <cell r="K254">
            <v>29</v>
          </cell>
          <cell r="L254">
            <v>0.29778481012658231</v>
          </cell>
          <cell r="M254">
            <v>0.30911251980982563</v>
          </cell>
          <cell r="N254">
            <v>0.303448664968204</v>
          </cell>
          <cell r="O254">
            <v>0.1095890410958904</v>
          </cell>
          <cell r="P254">
            <v>0.18103448275862069</v>
          </cell>
          <cell r="Q254">
            <v>0.14531176192725553</v>
          </cell>
          <cell r="R254">
            <v>0.22438021344772976</v>
          </cell>
          <cell r="S254">
            <v>6.2538268868100003E-2</v>
          </cell>
          <cell r="T254">
            <v>14.032350117275792</v>
          </cell>
        </row>
        <row r="255">
          <cell r="B255" t="str">
            <v>Josh Reddick</v>
          </cell>
          <cell r="C255">
            <v>2800</v>
          </cell>
          <cell r="D255" t="str">
            <v>LAD</v>
          </cell>
          <cell r="E255" t="str">
            <v>OF</v>
          </cell>
          <cell r="F255" t="str">
            <v>SD</v>
          </cell>
          <cell r="G255" t="str">
            <v>Friedrich</v>
          </cell>
          <cell r="H255" t="str">
            <v>L</v>
          </cell>
          <cell r="I255" t="str">
            <v>L</v>
          </cell>
          <cell r="J255">
            <v>245</v>
          </cell>
          <cell r="K255">
            <v>17</v>
          </cell>
          <cell r="L255">
            <v>0.24673469387755104</v>
          </cell>
          <cell r="M255">
            <v>0.29954751131221719</v>
          </cell>
          <cell r="N255">
            <v>0.27314110259488411</v>
          </cell>
          <cell r="O255">
            <v>8.4821428571428575E-2</v>
          </cell>
          <cell r="P255">
            <v>0.11055276381909548</v>
          </cell>
          <cell r="Q255">
            <v>9.768709619526203E-2</v>
          </cell>
          <cell r="R255">
            <v>0.18541409939507308</v>
          </cell>
          <cell r="S255">
            <v>7.5424532734799987E-2</v>
          </cell>
          <cell r="T255">
            <v>13.984771809317149</v>
          </cell>
        </row>
        <row r="256">
          <cell r="B256" t="str">
            <v>Martin Maldonado</v>
          </cell>
          <cell r="C256">
            <v>2600</v>
          </cell>
          <cell r="D256" t="str">
            <v>MIL</v>
          </cell>
          <cell r="E256" t="str">
            <v>C</v>
          </cell>
          <cell r="F256" t="str">
            <v>@PIT</v>
          </cell>
          <cell r="G256" t="str">
            <v>Brault</v>
          </cell>
          <cell r="H256" t="str">
            <v>L</v>
          </cell>
          <cell r="I256" t="str">
            <v>R</v>
          </cell>
          <cell r="J256">
            <v>111</v>
          </cell>
          <cell r="K256">
            <v>27</v>
          </cell>
          <cell r="L256">
            <v>0.2990990990990991</v>
          </cell>
          <cell r="M256">
            <v>0.34711538461538455</v>
          </cell>
          <cell r="N256">
            <v>0.32310724185724182</v>
          </cell>
          <cell r="O256">
            <v>0.1368421052631579</v>
          </cell>
          <cell r="P256">
            <v>0.13636363636363635</v>
          </cell>
          <cell r="Q256">
            <v>0.13660287081339711</v>
          </cell>
          <cell r="R256">
            <v>0.22985505633531947</v>
          </cell>
          <cell r="S256">
            <v>3.5996331717049995E-2</v>
          </cell>
          <cell r="T256">
            <v>8.2739388546873744</v>
          </cell>
        </row>
        <row r="257">
          <cell r="B257" t="str">
            <v>Yulieski Gurriel</v>
          </cell>
          <cell r="C257">
            <v>3000</v>
          </cell>
          <cell r="D257" t="str">
            <v>HOU</v>
          </cell>
          <cell r="E257" t="str">
            <v>3B</v>
          </cell>
          <cell r="F257" t="str">
            <v>@TEX</v>
          </cell>
          <cell r="G257" t="str">
            <v>Darvish</v>
          </cell>
          <cell r="H257" t="str">
            <v>R</v>
          </cell>
          <cell r="I257" t="str">
            <v>R</v>
          </cell>
          <cell r="J257">
            <v>16</v>
          </cell>
          <cell r="K257">
            <v>7</v>
          </cell>
          <cell r="L257">
            <v>0.44687500000000002</v>
          </cell>
          <cell r="M257">
            <v>0.29222972972972971</v>
          </cell>
          <cell r="N257">
            <v>0.36955236486486487</v>
          </cell>
          <cell r="O257">
            <v>7.1428571428571425E-2</v>
          </cell>
          <cell r="P257">
            <v>0.16788321167883211</v>
          </cell>
          <cell r="Q257">
            <v>0.11965589155370177</v>
          </cell>
          <cell r="R257">
            <v>0.24460412820928332</v>
          </cell>
          <cell r="S257">
            <v>5.5563079227074999E-2</v>
          </cell>
          <cell r="T257">
            <v>13.59095855496202</v>
          </cell>
        </row>
        <row r="258">
          <cell r="B258" t="str">
            <v>Bryan Holaday</v>
          </cell>
          <cell r="C258">
            <v>2000</v>
          </cell>
          <cell r="D258" t="str">
            <v>BOS</v>
          </cell>
          <cell r="E258" t="str">
            <v>C</v>
          </cell>
          <cell r="F258" t="str">
            <v>@OAK</v>
          </cell>
          <cell r="G258" t="str">
            <v>Graveman</v>
          </cell>
          <cell r="H258" t="str">
            <v>R</v>
          </cell>
          <cell r="I258" t="str">
            <v>R</v>
          </cell>
          <cell r="J258">
            <v>126</v>
          </cell>
          <cell r="K258">
            <v>24</v>
          </cell>
          <cell r="L258">
            <v>0.27698412698412705</v>
          </cell>
          <cell r="M258">
            <v>0.31861510791366904</v>
          </cell>
          <cell r="N258">
            <v>0.29779961744889805</v>
          </cell>
          <cell r="O258">
            <v>0.13793103448275862</v>
          </cell>
          <cell r="P258">
            <v>0.1673076923076923</v>
          </cell>
          <cell r="Q258">
            <v>0.15261936339522547</v>
          </cell>
          <cell r="R258">
            <v>0.22520949042206176</v>
          </cell>
          <cell r="S258">
            <v>6.1727583412500002E-2</v>
          </cell>
          <cell r="T258">
            <v>13.901637605314438</v>
          </cell>
        </row>
        <row r="259">
          <cell r="B259" t="str">
            <v>Ryan Braun</v>
          </cell>
          <cell r="C259">
            <v>4000</v>
          </cell>
          <cell r="D259" t="str">
            <v>MIL</v>
          </cell>
          <cell r="E259" t="str">
            <v>OF</v>
          </cell>
          <cell r="F259" t="str">
            <v>@PIT</v>
          </cell>
          <cell r="G259" t="str">
            <v>Brault</v>
          </cell>
          <cell r="H259" t="str">
            <v>L</v>
          </cell>
          <cell r="I259" t="str">
            <v>R</v>
          </cell>
          <cell r="J259">
            <v>259</v>
          </cell>
          <cell r="K259">
            <v>27</v>
          </cell>
          <cell r="L259">
            <v>0.4140926640926641</v>
          </cell>
          <cell r="M259">
            <v>0.34711538461538455</v>
          </cell>
          <cell r="N259">
            <v>0.3806040243540243</v>
          </cell>
          <cell r="O259">
            <v>0.23076923076923078</v>
          </cell>
          <cell r="P259">
            <v>0.13636363636363635</v>
          </cell>
          <cell r="Q259">
            <v>0.18356643356643357</v>
          </cell>
          <cell r="R259">
            <v>0.28208522896022892</v>
          </cell>
          <cell r="S259">
            <v>4.9200094517599997E-2</v>
          </cell>
          <cell r="T259">
            <v>13.878619926862099</v>
          </cell>
        </row>
        <row r="260">
          <cell r="B260" t="str">
            <v>Keon Broxton</v>
          </cell>
          <cell r="C260">
            <v>2900</v>
          </cell>
          <cell r="D260" t="str">
            <v>MIL</v>
          </cell>
          <cell r="E260" t="str">
            <v>OF</v>
          </cell>
          <cell r="F260" t="str">
            <v>@PIT</v>
          </cell>
          <cell r="G260" t="str">
            <v>Brault</v>
          </cell>
          <cell r="H260" t="str">
            <v>L</v>
          </cell>
          <cell r="I260" t="str">
            <v>R</v>
          </cell>
          <cell r="J260">
            <v>88</v>
          </cell>
          <cell r="K260">
            <v>27</v>
          </cell>
          <cell r="L260">
            <v>0.38295454545454549</v>
          </cell>
          <cell r="M260">
            <v>0.34711538461538455</v>
          </cell>
          <cell r="N260">
            <v>0.36503496503496502</v>
          </cell>
          <cell r="O260">
            <v>0.18309859154929578</v>
          </cell>
          <cell r="P260">
            <v>0.13636363636363635</v>
          </cell>
          <cell r="Q260">
            <v>0.15973111395646605</v>
          </cell>
          <cell r="R260">
            <v>0.26238303949571551</v>
          </cell>
          <cell r="S260">
            <v>5.2833535788700009E-2</v>
          </cell>
          <cell r="T260">
            <v>13.862623707544774</v>
          </cell>
        </row>
        <row r="261">
          <cell r="B261" t="str">
            <v>Travis d'Arnaud</v>
          </cell>
          <cell r="C261">
            <v>2300</v>
          </cell>
          <cell r="D261" t="str">
            <v>NYM</v>
          </cell>
          <cell r="E261" t="str">
            <v>C</v>
          </cell>
          <cell r="F261" t="str">
            <v>WAS</v>
          </cell>
          <cell r="G261" t="str">
            <v>Lopez</v>
          </cell>
          <cell r="H261" t="str">
            <v>R</v>
          </cell>
          <cell r="I261" t="str">
            <v>R</v>
          </cell>
          <cell r="J261">
            <v>394</v>
          </cell>
          <cell r="K261">
            <v>21</v>
          </cell>
          <cell r="L261">
            <v>0.31878172588832487</v>
          </cell>
          <cell r="M261">
            <v>0.41785714285714282</v>
          </cell>
          <cell r="N261">
            <v>0.36831943437273384</v>
          </cell>
          <cell r="O261">
            <v>0.15126050420168066</v>
          </cell>
          <cell r="P261">
            <v>0.12244897959183673</v>
          </cell>
          <cell r="Q261">
            <v>0.1368547418967587</v>
          </cell>
          <cell r="R261">
            <v>0.25258708813474628</v>
          </cell>
          <cell r="S261">
            <v>5.46931478644E-2</v>
          </cell>
          <cell r="T261">
            <v>13.814782959991913</v>
          </cell>
        </row>
        <row r="262">
          <cell r="B262" t="str">
            <v>Chris Carter</v>
          </cell>
          <cell r="C262">
            <v>3500</v>
          </cell>
          <cell r="D262" t="str">
            <v>MIL</v>
          </cell>
          <cell r="E262" t="str">
            <v>1B</v>
          </cell>
          <cell r="F262" t="str">
            <v>@PIT</v>
          </cell>
          <cell r="G262" t="str">
            <v>Brault</v>
          </cell>
          <cell r="H262" t="str">
            <v>L</v>
          </cell>
          <cell r="I262" t="str">
            <v>R</v>
          </cell>
          <cell r="J262">
            <v>321</v>
          </cell>
          <cell r="K262">
            <v>27</v>
          </cell>
          <cell r="L262">
            <v>0.35591900311526481</v>
          </cell>
          <cell r="M262">
            <v>0.34711538461538455</v>
          </cell>
          <cell r="N262">
            <v>0.35151719386532465</v>
          </cell>
          <cell r="O262">
            <v>0.26315789473684209</v>
          </cell>
          <cell r="P262">
            <v>0.13636363636363635</v>
          </cell>
          <cell r="Q262">
            <v>0.19976076555023922</v>
          </cell>
          <cell r="R262">
            <v>0.27563897970778195</v>
          </cell>
          <cell r="S262">
            <v>4.9991815610850004E-2</v>
          </cell>
          <cell r="T262">
            <v>13.779693048714261</v>
          </cell>
        </row>
        <row r="263">
          <cell r="B263" t="str">
            <v>Adeiny Hechavarria</v>
          </cell>
          <cell r="C263">
            <v>2000</v>
          </cell>
          <cell r="D263" t="str">
            <v>MIA</v>
          </cell>
          <cell r="E263" t="str">
            <v>SS</v>
          </cell>
          <cell r="F263" t="str">
            <v>@CLE</v>
          </cell>
          <cell r="G263" t="str">
            <v>Salazar</v>
          </cell>
          <cell r="H263" t="str">
            <v>R</v>
          </cell>
          <cell r="I263" t="str">
            <v>R</v>
          </cell>
          <cell r="J263">
            <v>766</v>
          </cell>
          <cell r="K263">
            <v>14</v>
          </cell>
          <cell r="L263">
            <v>0.27989556135770238</v>
          </cell>
          <cell r="M263">
            <v>0.30174165457184327</v>
          </cell>
          <cell r="N263">
            <v>0.29081860796477282</v>
          </cell>
          <cell r="O263">
            <v>7.6495132127955487E-2</v>
          </cell>
          <cell r="P263">
            <v>0.12295081967213115</v>
          </cell>
          <cell r="Q263">
            <v>9.9722975900043309E-2</v>
          </cell>
          <cell r="R263">
            <v>0.19527079193240807</v>
          </cell>
          <cell r="S263">
            <v>7.0233191622374999E-2</v>
          </cell>
          <cell r="T263">
            <v>13.714490948041734</v>
          </cell>
        </row>
        <row r="264">
          <cell r="B264" t="str">
            <v>Willson Contreras</v>
          </cell>
          <cell r="C264">
            <v>3000</v>
          </cell>
          <cell r="D264" t="str">
            <v>CHC</v>
          </cell>
          <cell r="E264" t="str">
            <v>C</v>
          </cell>
          <cell r="F264" t="str">
            <v>SF</v>
          </cell>
          <cell r="G264" t="str">
            <v>Cueto</v>
          </cell>
          <cell r="H264" t="str">
            <v>R</v>
          </cell>
          <cell r="I264" t="str">
            <v>R</v>
          </cell>
          <cell r="J264">
            <v>162</v>
          </cell>
          <cell r="K264">
            <v>11</v>
          </cell>
          <cell r="L264">
            <v>0.34259259259259262</v>
          </cell>
          <cell r="M264">
            <v>0.29508670520231212</v>
          </cell>
          <cell r="N264">
            <v>0.31883964889745237</v>
          </cell>
          <cell r="O264">
            <v>0.19148936170212766</v>
          </cell>
          <cell r="P264">
            <v>0.14107365792759052</v>
          </cell>
          <cell r="Q264">
            <v>0.16628150981485909</v>
          </cell>
          <cell r="R264">
            <v>0.24256057935615571</v>
          </cell>
          <cell r="S264">
            <v>5.5183707106200006E-2</v>
          </cell>
          <cell r="T264">
            <v>13.385391966700281</v>
          </cell>
        </row>
        <row r="265">
          <cell r="B265" t="str">
            <v>Martin Prado</v>
          </cell>
          <cell r="C265">
            <v>3000</v>
          </cell>
          <cell r="D265" t="str">
            <v>MIA</v>
          </cell>
          <cell r="E265" t="str">
            <v>3B</v>
          </cell>
          <cell r="F265" t="str">
            <v>@CLE</v>
          </cell>
          <cell r="G265" t="str">
            <v>Salazar</v>
          </cell>
          <cell r="H265" t="str">
            <v>R</v>
          </cell>
          <cell r="I265" t="str">
            <v>R</v>
          </cell>
          <cell r="J265">
            <v>855</v>
          </cell>
          <cell r="K265">
            <v>14</v>
          </cell>
          <cell r="L265">
            <v>0.30929824561403513</v>
          </cell>
          <cell r="M265">
            <v>0.30174165457184327</v>
          </cell>
          <cell r="N265">
            <v>0.3055199500929392</v>
          </cell>
          <cell r="O265">
            <v>9.9110546378653117E-2</v>
          </cell>
          <cell r="P265">
            <v>0.12295081967213115</v>
          </cell>
          <cell r="Q265">
            <v>0.11103068302539212</v>
          </cell>
          <cell r="R265">
            <v>0.20827531655916565</v>
          </cell>
          <cell r="S265">
            <v>6.4806596280150008E-2</v>
          </cell>
          <cell r="T265">
            <v>13.49761435537029</v>
          </cell>
        </row>
        <row r="266">
          <cell r="B266" t="str">
            <v>Tony Wolters</v>
          </cell>
          <cell r="C266">
            <v>3000</v>
          </cell>
          <cell r="D266" t="str">
            <v>COL</v>
          </cell>
          <cell r="E266" t="str">
            <v>C</v>
          </cell>
          <cell r="F266" t="str">
            <v>ARI</v>
          </cell>
          <cell r="G266" t="str">
            <v>Bradley</v>
          </cell>
          <cell r="H266" t="str">
            <v>R</v>
          </cell>
          <cell r="I266" t="str">
            <v>L</v>
          </cell>
          <cell r="J266">
            <v>162</v>
          </cell>
          <cell r="K266">
            <v>1</v>
          </cell>
          <cell r="L266">
            <v>0.31604938271604938</v>
          </cell>
          <cell r="M266">
            <v>0.38090909090909086</v>
          </cell>
          <cell r="N266">
            <v>0.34847923681257009</v>
          </cell>
          <cell r="O266">
            <v>0.15602836879432624</v>
          </cell>
          <cell r="P266">
            <v>0.18545454545454546</v>
          </cell>
          <cell r="Q266">
            <v>0.17074145712443584</v>
          </cell>
          <cell r="R266">
            <v>0.25961034696850294</v>
          </cell>
          <cell r="S266">
            <v>5.1891308576099998E-2</v>
          </cell>
          <cell r="T266">
            <v>13.471520624090973</v>
          </cell>
        </row>
        <row r="267">
          <cell r="B267" t="str">
            <v>Jonathan Villar</v>
          </cell>
          <cell r="C267">
            <v>3700</v>
          </cell>
          <cell r="D267" t="str">
            <v>MIL</v>
          </cell>
          <cell r="E267" t="str">
            <v>3B</v>
          </cell>
          <cell r="F267" t="str">
            <v>@PIT</v>
          </cell>
          <cell r="G267" t="str">
            <v>Brault</v>
          </cell>
          <cell r="H267" t="str">
            <v>L</v>
          </cell>
          <cell r="I267" t="str">
            <v>S</v>
          </cell>
          <cell r="J267">
            <v>232</v>
          </cell>
          <cell r="K267">
            <v>27</v>
          </cell>
          <cell r="L267">
            <v>0.37068965517241381</v>
          </cell>
          <cell r="M267">
            <v>0.34711538461538455</v>
          </cell>
          <cell r="N267">
            <v>0.35890251989389921</v>
          </cell>
          <cell r="O267">
            <v>0.18226600985221675</v>
          </cell>
          <cell r="P267">
            <v>0.13636363636363635</v>
          </cell>
          <cell r="Q267">
            <v>0.15931482310792655</v>
          </cell>
          <cell r="R267">
            <v>0.25910867150091288</v>
          </cell>
          <cell r="S267">
            <v>5.1730372477949996E-2</v>
          </cell>
          <cell r="T267">
            <v>13.40378808900901</v>
          </cell>
        </row>
        <row r="268">
          <cell r="B268" t="str">
            <v>Aaron Altherr</v>
          </cell>
          <cell r="C268">
            <v>2400</v>
          </cell>
          <cell r="D268" t="str">
            <v>PHI</v>
          </cell>
          <cell r="E268" t="str">
            <v>OF</v>
          </cell>
          <cell r="F268" t="str">
            <v>ATL</v>
          </cell>
          <cell r="G268" t="str">
            <v>Teheran</v>
          </cell>
          <cell r="H268" t="str">
            <v>R</v>
          </cell>
          <cell r="I268" t="str">
            <v>R</v>
          </cell>
          <cell r="J268">
            <v>208</v>
          </cell>
          <cell r="K268">
            <v>9</v>
          </cell>
          <cell r="L268">
            <v>0.33125000000000004</v>
          </cell>
          <cell r="M268">
            <v>0.25510067114093959</v>
          </cell>
          <cell r="N268">
            <v>0.29317533557046982</v>
          </cell>
          <cell r="O268">
            <v>0.19672131147540983</v>
          </cell>
          <cell r="P268">
            <v>0.11901306240928883</v>
          </cell>
          <cell r="Q268">
            <v>0.15786718694234933</v>
          </cell>
          <cell r="R268">
            <v>0.22552126125640959</v>
          </cell>
          <cell r="S268">
            <v>5.9416883464799994E-2</v>
          </cell>
          <cell r="T268">
            <v>13.399770498906802</v>
          </cell>
        </row>
        <row r="269">
          <cell r="B269" t="str">
            <v>Caleb Joseph</v>
          </cell>
          <cell r="C269">
            <v>2300</v>
          </cell>
          <cell r="D269" t="str">
            <v>BAL</v>
          </cell>
          <cell r="E269" t="str">
            <v>C</v>
          </cell>
          <cell r="F269" t="str">
            <v>NYY</v>
          </cell>
          <cell r="G269" t="str">
            <v>Pineda</v>
          </cell>
          <cell r="H269" t="str">
            <v>R</v>
          </cell>
          <cell r="I269" t="str">
            <v>R</v>
          </cell>
          <cell r="J269">
            <v>330</v>
          </cell>
          <cell r="K269">
            <v>5</v>
          </cell>
          <cell r="L269">
            <v>0.27969696969696967</v>
          </cell>
          <cell r="M269">
            <v>0.32776183644189383</v>
          </cell>
          <cell r="N269">
            <v>0.30372940306943175</v>
          </cell>
          <cell r="O269">
            <v>0.11864406779661017</v>
          </cell>
          <cell r="P269">
            <v>0.18721461187214611</v>
          </cell>
          <cell r="Q269">
            <v>0.15292933983437815</v>
          </cell>
          <cell r="R269">
            <v>0.22832937145190496</v>
          </cell>
          <cell r="S269">
            <v>3.2949724459199997E-2</v>
          </cell>
          <cell r="T269">
            <v>7.5233898752825947</v>
          </cell>
        </row>
        <row r="270">
          <cell r="B270" t="str">
            <v>Greg Garcia</v>
          </cell>
          <cell r="C270">
            <v>2500</v>
          </cell>
          <cell r="D270" t="str">
            <v>STL</v>
          </cell>
          <cell r="E270" t="str">
            <v>2B</v>
          </cell>
          <cell r="F270" t="str">
            <v>@CIN</v>
          </cell>
          <cell r="G270" t="str">
            <v>Adleman</v>
          </cell>
          <cell r="H270" t="str">
            <v>R</v>
          </cell>
          <cell r="I270" t="str">
            <v>L</v>
          </cell>
          <cell r="J270">
            <v>260</v>
          </cell>
          <cell r="K270">
            <v>3</v>
          </cell>
          <cell r="L270">
            <v>0.34942307692307689</v>
          </cell>
          <cell r="M270">
            <v>0.35833333333333334</v>
          </cell>
          <cell r="N270">
            <v>0.35387820512820511</v>
          </cell>
          <cell r="O270">
            <v>0.11737089201877934</v>
          </cell>
          <cell r="P270">
            <v>0.22580645161290322</v>
          </cell>
          <cell r="Q270">
            <v>0.17158867181584128</v>
          </cell>
          <cell r="R270">
            <v>0.26273343847202318</v>
          </cell>
          <cell r="S270">
            <v>5.0859077589449991E-2</v>
          </cell>
          <cell r="T270">
            <v>13.362380332591613</v>
          </cell>
        </row>
        <row r="271">
          <cell r="B271" t="str">
            <v>Tyler White</v>
          </cell>
          <cell r="C271">
            <v>2100</v>
          </cell>
          <cell r="D271" t="str">
            <v>HOU</v>
          </cell>
          <cell r="E271" t="str">
            <v>1B</v>
          </cell>
          <cell r="F271" t="str">
            <v>@TEX</v>
          </cell>
          <cell r="G271" t="str">
            <v>Darvish</v>
          </cell>
          <cell r="H271" t="str">
            <v>R</v>
          </cell>
          <cell r="I271" t="str">
            <v>R</v>
          </cell>
          <cell r="J271">
            <v>154</v>
          </cell>
          <cell r="K271">
            <v>7</v>
          </cell>
          <cell r="L271">
            <v>0.27142857142857141</v>
          </cell>
          <cell r="M271">
            <v>0.29222972972972971</v>
          </cell>
          <cell r="N271">
            <v>0.28182915057915059</v>
          </cell>
          <cell r="O271">
            <v>0.12408759124087591</v>
          </cell>
          <cell r="P271">
            <v>0.16788321167883211</v>
          </cell>
          <cell r="Q271">
            <v>0.145985401459854</v>
          </cell>
          <cell r="R271">
            <v>0.2139072760195023</v>
          </cell>
          <cell r="S271">
            <v>6.2385960764399992E-2</v>
          </cell>
          <cell r="T271">
            <v>13.344810928972349</v>
          </cell>
        </row>
        <row r="272">
          <cell r="B272" t="str">
            <v>Jason Castro</v>
          </cell>
          <cell r="C272">
            <v>2700</v>
          </cell>
          <cell r="D272" t="str">
            <v>HOU</v>
          </cell>
          <cell r="E272" t="str">
            <v>C</v>
          </cell>
          <cell r="F272" t="str">
            <v>@TEX</v>
          </cell>
          <cell r="G272" t="str">
            <v>Darvish</v>
          </cell>
          <cell r="H272" t="str">
            <v>R</v>
          </cell>
          <cell r="I272" t="str">
            <v>L</v>
          </cell>
          <cell r="J272">
            <v>508</v>
          </cell>
          <cell r="K272">
            <v>7</v>
          </cell>
          <cell r="L272">
            <v>0.32687007874015744</v>
          </cell>
          <cell r="M272">
            <v>0.2795918367346939</v>
          </cell>
          <cell r="N272">
            <v>0.3032309577374257</v>
          </cell>
          <cell r="O272">
            <v>0.2</v>
          </cell>
          <cell r="P272">
            <v>0.14393939393939395</v>
          </cell>
          <cell r="Q272">
            <v>0.17196969696969699</v>
          </cell>
          <cell r="R272">
            <v>0.23760032735356135</v>
          </cell>
          <cell r="S272">
            <v>5.6142835756649995E-2</v>
          </cell>
          <cell r="T272">
            <v>13.339556154337268</v>
          </cell>
        </row>
        <row r="273">
          <cell r="B273" t="str">
            <v>Xavier Scruggs</v>
          </cell>
          <cell r="C273">
            <v>2200</v>
          </cell>
          <cell r="D273" t="str">
            <v>MIA</v>
          </cell>
          <cell r="E273" t="str">
            <v>1B</v>
          </cell>
          <cell r="F273" t="str">
            <v>@CLE</v>
          </cell>
          <cell r="G273" t="str">
            <v>Salazar</v>
          </cell>
          <cell r="H273" t="str">
            <v>R</v>
          </cell>
          <cell r="I273" t="str">
            <v>R</v>
          </cell>
          <cell r="J273">
            <v>79</v>
          </cell>
          <cell r="K273">
            <v>14</v>
          </cell>
          <cell r="L273">
            <v>0.30379746835443039</v>
          </cell>
          <cell r="M273">
            <v>0.30174165457184327</v>
          </cell>
          <cell r="N273">
            <v>0.30276956146313683</v>
          </cell>
          <cell r="O273">
            <v>9.45945945945946E-2</v>
          </cell>
          <cell r="P273">
            <v>0.12295081967213115</v>
          </cell>
          <cell r="Q273">
            <v>0.10877270713336287</v>
          </cell>
          <cell r="R273">
            <v>0.20577113429824984</v>
          </cell>
          <cell r="S273">
            <v>6.4673390149299986E-2</v>
          </cell>
          <cell r="T273">
            <v>13.307916849934715</v>
          </cell>
        </row>
        <row r="274">
          <cell r="B274" t="str">
            <v>Rickie Weeks</v>
          </cell>
          <cell r="C274">
            <v>3000</v>
          </cell>
          <cell r="D274" t="str">
            <v>ARI</v>
          </cell>
          <cell r="E274" t="str">
            <v>OF</v>
          </cell>
          <cell r="F274" t="str">
            <v>@COL</v>
          </cell>
          <cell r="G274" t="str">
            <v>Gray</v>
          </cell>
          <cell r="H274" t="str">
            <v>R</v>
          </cell>
          <cell r="I274" t="str">
            <v>R</v>
          </cell>
          <cell r="J274">
            <v>166</v>
          </cell>
          <cell r="K274">
            <v>1</v>
          </cell>
          <cell r="L274">
            <v>0.261144578313253</v>
          </cell>
          <cell r="M274">
            <v>0.32947103274559197</v>
          </cell>
          <cell r="N274">
            <v>0.29530780552942248</v>
          </cell>
          <cell r="O274">
            <v>9.6551724137931033E-2</v>
          </cell>
          <cell r="P274">
            <v>0.16285714285714287</v>
          </cell>
          <cell r="Q274">
            <v>0.12970443349753696</v>
          </cell>
          <cell r="R274">
            <v>0.21250611951347972</v>
          </cell>
          <cell r="S274">
            <v>6.2598016742650003E-2</v>
          </cell>
          <cell r="T274">
            <v>13.302461627220387</v>
          </cell>
        </row>
        <row r="275">
          <cell r="B275" t="str">
            <v>Jarrod Dyson</v>
          </cell>
          <cell r="C275">
            <v>3100</v>
          </cell>
          <cell r="D275" t="str">
            <v>KC</v>
          </cell>
          <cell r="E275" t="str">
            <v>OF</v>
          </cell>
          <cell r="F275" t="str">
            <v>DET</v>
          </cell>
          <cell r="G275" t="str">
            <v>Norris</v>
          </cell>
          <cell r="H275" t="str">
            <v>L</v>
          </cell>
          <cell r="I275" t="str">
            <v>L</v>
          </cell>
          <cell r="J275">
            <v>65</v>
          </cell>
          <cell r="K275">
            <v>20</v>
          </cell>
          <cell r="L275">
            <v>0.31000000000000005</v>
          </cell>
          <cell r="M275">
            <v>0.39054054054054055</v>
          </cell>
          <cell r="N275">
            <v>0.3502702702702703</v>
          </cell>
          <cell r="O275">
            <v>8.9285714285714288E-2</v>
          </cell>
          <cell r="P275">
            <v>0.27551020408163263</v>
          </cell>
          <cell r="Q275">
            <v>0.18239795918367346</v>
          </cell>
          <cell r="R275">
            <v>0.26633411472697188</v>
          </cell>
          <cell r="S275">
            <v>4.9716076374849996E-2</v>
          </cell>
          <cell r="T275">
            <v>13.241087188994195</v>
          </cell>
        </row>
        <row r="276">
          <cell r="B276" t="str">
            <v>Ryon Healy</v>
          </cell>
          <cell r="C276">
            <v>2800</v>
          </cell>
          <cell r="D276" t="str">
            <v>OAK</v>
          </cell>
          <cell r="E276" t="str">
            <v>3B</v>
          </cell>
          <cell r="F276" t="str">
            <v>BOS</v>
          </cell>
          <cell r="G276" t="str">
            <v>Rodriguez</v>
          </cell>
          <cell r="H276" t="str">
            <v>L</v>
          </cell>
          <cell r="I276" t="str">
            <v>R</v>
          </cell>
          <cell r="J276">
            <v>44</v>
          </cell>
          <cell r="K276">
            <v>24</v>
          </cell>
          <cell r="L276">
            <v>0.30681818181818182</v>
          </cell>
          <cell r="M276">
            <v>0.31575663026521061</v>
          </cell>
          <cell r="N276">
            <v>0.31128740604169625</v>
          </cell>
          <cell r="O276">
            <v>0.18604651162790697</v>
          </cell>
          <cell r="P276">
            <v>0.15397923875432526</v>
          </cell>
          <cell r="Q276">
            <v>0.17001287519111613</v>
          </cell>
          <cell r="R276">
            <v>0.24065014061640619</v>
          </cell>
          <cell r="S276">
            <v>5.4865151738250004E-2</v>
          </cell>
          <cell r="T276">
            <v>13.203306480750326</v>
          </cell>
        </row>
        <row r="277">
          <cell r="B277" t="str">
            <v>Kevin Pillar</v>
          </cell>
          <cell r="C277">
            <v>2700</v>
          </cell>
          <cell r="D277" t="str">
            <v>TOR</v>
          </cell>
          <cell r="E277" t="str">
            <v>OF</v>
          </cell>
          <cell r="F277" t="str">
            <v>@TB</v>
          </cell>
          <cell r="G277" t="str">
            <v>Archer</v>
          </cell>
          <cell r="H277" t="str">
            <v>R</v>
          </cell>
          <cell r="I277" t="str">
            <v>R</v>
          </cell>
          <cell r="J277">
            <v>823</v>
          </cell>
          <cell r="K277">
            <v>23</v>
          </cell>
          <cell r="L277">
            <v>0.30364520048602672</v>
          </cell>
          <cell r="M277">
            <v>0.29910141206675223</v>
          </cell>
          <cell r="N277">
            <v>0.30137330627638947</v>
          </cell>
          <cell r="O277">
            <v>0.12564766839378239</v>
          </cell>
          <cell r="P277">
            <v>0.13940256045519203</v>
          </cell>
          <cell r="Q277">
            <v>0.13252511442448722</v>
          </cell>
          <cell r="R277">
            <v>0.21694921035043835</v>
          </cell>
          <cell r="S277">
            <v>6.0493285451025003E-2</v>
          </cell>
          <cell r="T277">
            <v>13.123970510103534</v>
          </cell>
        </row>
        <row r="278">
          <cell r="B278" t="str">
            <v>Colby Rasmus</v>
          </cell>
          <cell r="C278">
            <v>2900</v>
          </cell>
          <cell r="D278" t="str">
            <v>HOU</v>
          </cell>
          <cell r="E278" t="str">
            <v>OF</v>
          </cell>
          <cell r="F278" t="str">
            <v>@TEX</v>
          </cell>
          <cell r="G278" t="str">
            <v>Darvish</v>
          </cell>
          <cell r="H278" t="str">
            <v>R</v>
          </cell>
          <cell r="I278" t="str">
            <v>L</v>
          </cell>
          <cell r="J278">
            <v>640</v>
          </cell>
          <cell r="K278">
            <v>7</v>
          </cell>
          <cell r="L278">
            <v>0.31203124999999998</v>
          </cell>
          <cell r="M278">
            <v>0.2795918367346939</v>
          </cell>
          <cell r="N278">
            <v>0.29581154336734694</v>
          </cell>
          <cell r="O278">
            <v>0.20383275261324041</v>
          </cell>
          <cell r="P278">
            <v>0.14393939393939395</v>
          </cell>
          <cell r="Q278">
            <v>0.17388607327631717</v>
          </cell>
          <cell r="R278">
            <v>0.23484880832183205</v>
          </cell>
          <cell r="S278">
            <v>5.5875663222599993E-2</v>
          </cell>
          <cell r="T278">
            <v>13.122332922019625</v>
          </cell>
        </row>
        <row r="279">
          <cell r="B279" t="str">
            <v>Cristhian Adames</v>
          </cell>
          <cell r="C279">
            <v>3000</v>
          </cell>
          <cell r="D279" t="str">
            <v>COL</v>
          </cell>
          <cell r="E279" t="str">
            <v>SS</v>
          </cell>
          <cell r="F279" t="str">
            <v>ARI</v>
          </cell>
          <cell r="G279" t="str">
            <v>Bradley</v>
          </cell>
          <cell r="H279" t="str">
            <v>R</v>
          </cell>
          <cell r="I279" t="str">
            <v>S</v>
          </cell>
          <cell r="J279">
            <v>179</v>
          </cell>
          <cell r="K279">
            <v>1</v>
          </cell>
          <cell r="L279">
            <v>0.2659217877094972</v>
          </cell>
          <cell r="M279">
            <v>0.38090909090909086</v>
          </cell>
          <cell r="N279">
            <v>0.32341543930929406</v>
          </cell>
          <cell r="O279">
            <v>5.8064516129032261E-2</v>
          </cell>
          <cell r="P279">
            <v>0.18545454545454546</v>
          </cell>
          <cell r="Q279">
            <v>0.12175953079178886</v>
          </cell>
          <cell r="R279">
            <v>0.22258748505054146</v>
          </cell>
          <cell r="S279">
            <v>5.8025150054100007E-2</v>
          </cell>
          <cell r="T279">
            <v>12.915672220222412</v>
          </cell>
        </row>
        <row r="280">
          <cell r="B280" t="str">
            <v>Mitch Moreland</v>
          </cell>
          <cell r="C280">
            <v>2700</v>
          </cell>
          <cell r="D280" t="str">
            <v>TEX</v>
          </cell>
          <cell r="E280" t="str">
            <v>1B</v>
          </cell>
          <cell r="F280" t="str">
            <v>HOU</v>
          </cell>
          <cell r="G280" t="str">
            <v>McHugh</v>
          </cell>
          <cell r="H280" t="str">
            <v>R</v>
          </cell>
          <cell r="I280" t="str">
            <v>L</v>
          </cell>
          <cell r="J280">
            <v>680</v>
          </cell>
          <cell r="K280">
            <v>7</v>
          </cell>
          <cell r="L280">
            <v>0.36213235294117646</v>
          </cell>
          <cell r="M280">
            <v>0.31513437057991517</v>
          </cell>
          <cell r="N280">
            <v>0.33863336176054581</v>
          </cell>
          <cell r="O280">
            <v>0.2280130293159609</v>
          </cell>
          <cell r="P280">
            <v>0.13734567901234568</v>
          </cell>
          <cell r="Q280">
            <v>0.18267935416415329</v>
          </cell>
          <cell r="R280">
            <v>0.26065635796234954</v>
          </cell>
          <cell r="S280">
            <v>4.9488711272099993E-2</v>
          </cell>
          <cell r="T280">
            <v>12.899547240435858</v>
          </cell>
        </row>
        <row r="281">
          <cell r="B281" t="str">
            <v>Teoscar Hernandez</v>
          </cell>
          <cell r="C281">
            <v>2800</v>
          </cell>
          <cell r="D281" t="str">
            <v>HOU</v>
          </cell>
          <cell r="E281" t="str">
            <v>OF</v>
          </cell>
          <cell r="F281" t="str">
            <v>@TEX</v>
          </cell>
          <cell r="G281" t="str">
            <v>Darvish</v>
          </cell>
          <cell r="H281" t="str">
            <v>R</v>
          </cell>
          <cell r="I281" t="str">
            <v>R</v>
          </cell>
          <cell r="J281">
            <v>43</v>
          </cell>
          <cell r="K281">
            <v>7</v>
          </cell>
          <cell r="L281">
            <v>0.32906976744186045</v>
          </cell>
          <cell r="M281">
            <v>0.29222972972972971</v>
          </cell>
          <cell r="N281">
            <v>0.31064974858579508</v>
          </cell>
          <cell r="O281">
            <v>0.23684210526315788</v>
          </cell>
          <cell r="P281">
            <v>0.16788321167883211</v>
          </cell>
          <cell r="Q281">
            <v>0.20236265847099499</v>
          </cell>
          <cell r="R281">
            <v>0.25650620352839504</v>
          </cell>
          <cell r="S281">
            <v>5.0209086623624985E-2</v>
          </cell>
          <cell r="T281">
            <v>12.878942192454367</v>
          </cell>
        </row>
        <row r="282">
          <cell r="B282" t="str">
            <v>Tyler Collins</v>
          </cell>
          <cell r="C282">
            <v>2100</v>
          </cell>
          <cell r="D282" t="str">
            <v>DET</v>
          </cell>
          <cell r="E282" t="str">
            <v>OF</v>
          </cell>
          <cell r="F282" t="str">
            <v>@KC</v>
          </cell>
          <cell r="G282" t="str">
            <v>Volquez</v>
          </cell>
          <cell r="H282" t="str">
            <v>R</v>
          </cell>
          <cell r="I282" t="str">
            <v>L</v>
          </cell>
          <cell r="J282">
            <v>293</v>
          </cell>
          <cell r="K282">
            <v>20</v>
          </cell>
          <cell r="L282">
            <v>0.32133105802047784</v>
          </cell>
          <cell r="M282">
            <v>0.32149068322981367</v>
          </cell>
          <cell r="N282">
            <v>0.32141087062514573</v>
          </cell>
          <cell r="O282">
            <v>0.15671641791044777</v>
          </cell>
          <cell r="P282">
            <v>0.14125874125874127</v>
          </cell>
          <cell r="Q282">
            <v>0.14898757958459452</v>
          </cell>
          <cell r="R282">
            <v>0.23519922510487012</v>
          </cell>
          <cell r="S282">
            <v>5.4678073596349998E-2</v>
          </cell>
          <cell r="T282">
            <v>12.860240540088578</v>
          </cell>
        </row>
        <row r="283">
          <cell r="B283" t="str">
            <v>Jacoby Ellsbury</v>
          </cell>
          <cell r="C283">
            <v>3200</v>
          </cell>
          <cell r="D283" t="str">
            <v>NYY</v>
          </cell>
          <cell r="E283" t="str">
            <v>OF</v>
          </cell>
          <cell r="F283" t="str">
            <v>@BAL</v>
          </cell>
          <cell r="G283" t="str">
            <v>Miley</v>
          </cell>
          <cell r="H283" t="str">
            <v>L</v>
          </cell>
          <cell r="I283" t="str">
            <v>L</v>
          </cell>
          <cell r="J283">
            <v>326</v>
          </cell>
          <cell r="K283">
            <v>5</v>
          </cell>
          <cell r="L283">
            <v>0.27760736196319025</v>
          </cell>
          <cell r="M283">
            <v>0.29633757961783441</v>
          </cell>
          <cell r="N283">
            <v>0.28697247079051236</v>
          </cell>
          <cell r="O283">
            <v>7.8767123287671229E-2</v>
          </cell>
          <cell r="P283">
            <v>0.14385964912280702</v>
          </cell>
          <cell r="Q283">
            <v>0.11131338620523912</v>
          </cell>
          <cell r="R283">
            <v>0.19914292849787574</v>
          </cell>
          <cell r="S283">
            <v>6.450131026665E-2</v>
          </cell>
          <cell r="T283">
            <v>12.84497981845078</v>
          </cell>
        </row>
        <row r="284">
          <cell r="B284" t="str">
            <v>Matt Duffy</v>
          </cell>
          <cell r="C284">
            <v>3000</v>
          </cell>
          <cell r="D284" t="str">
            <v>TB</v>
          </cell>
          <cell r="E284" t="str">
            <v>SS</v>
          </cell>
          <cell r="F284" t="str">
            <v>TOR</v>
          </cell>
          <cell r="G284" t="str">
            <v>Happ</v>
          </cell>
          <cell r="H284" t="str">
            <v>L</v>
          </cell>
          <cell r="I284" t="str">
            <v>R</v>
          </cell>
          <cell r="J284">
            <v>258</v>
          </cell>
          <cell r="K284">
            <v>23</v>
          </cell>
          <cell r="L284">
            <v>0.29844961240310075</v>
          </cell>
          <cell r="M284">
            <v>0.30424528301886794</v>
          </cell>
          <cell r="N284">
            <v>0.30134744771098432</v>
          </cell>
          <cell r="O284">
            <v>9.7046413502109699E-2</v>
          </cell>
          <cell r="P284">
            <v>0.15061475409836064</v>
          </cell>
          <cell r="Q284">
            <v>0.12383058380023518</v>
          </cell>
          <cell r="R284">
            <v>0.21258901575560973</v>
          </cell>
          <cell r="S284">
            <v>6.0351380887125002E-2</v>
          </cell>
          <cell r="T284">
            <v>12.830040662285821</v>
          </cell>
        </row>
        <row r="285">
          <cell r="B285" t="str">
            <v>Jose Lobaton</v>
          </cell>
          <cell r="C285">
            <v>2700</v>
          </cell>
          <cell r="D285" t="str">
            <v>WAS</v>
          </cell>
          <cell r="E285" t="str">
            <v>C</v>
          </cell>
          <cell r="F285" t="str">
            <v>@NYM</v>
          </cell>
          <cell r="G285" t="str">
            <v>Lugo</v>
          </cell>
          <cell r="H285" t="str">
            <v>R</v>
          </cell>
          <cell r="I285" t="str">
            <v>S</v>
          </cell>
          <cell r="J285">
            <v>208</v>
          </cell>
          <cell r="K285">
            <v>21</v>
          </cell>
          <cell r="L285">
            <v>0.28605769230769229</v>
          </cell>
          <cell r="M285">
            <v>0.27333333333333332</v>
          </cell>
          <cell r="N285">
            <v>0.2796955128205128</v>
          </cell>
          <cell r="O285">
            <v>0.12568306010928962</v>
          </cell>
          <cell r="P285">
            <v>0.13461538461538461</v>
          </cell>
          <cell r="Q285">
            <v>0.13014922236233711</v>
          </cell>
          <cell r="R285">
            <v>0.20492236759142496</v>
          </cell>
          <cell r="S285">
            <v>6.2384508826200002E-2</v>
          </cell>
          <cell r="T285">
            <v>12.783981249693053</v>
          </cell>
        </row>
        <row r="286">
          <cell r="B286" t="str">
            <v>Hector Sanchez</v>
          </cell>
          <cell r="C286">
            <v>2200</v>
          </cell>
          <cell r="D286" t="str">
            <v>SD</v>
          </cell>
          <cell r="E286" t="str">
            <v>C</v>
          </cell>
          <cell r="F286" t="str">
            <v>@LAD</v>
          </cell>
          <cell r="G286" t="str">
            <v>Deleon</v>
          </cell>
          <cell r="H286" t="str">
            <v>R</v>
          </cell>
          <cell r="I286" t="str">
            <v>S</v>
          </cell>
          <cell r="J286">
            <v>69</v>
          </cell>
          <cell r="K286">
            <v>17</v>
          </cell>
          <cell r="L286">
            <v>0.30434782608695654</v>
          </cell>
          <cell r="M286">
            <v>0.31</v>
          </cell>
          <cell r="N286">
            <v>0.3071739130434783</v>
          </cell>
          <cell r="O286">
            <v>0.20634920634920634</v>
          </cell>
          <cell r="P286">
            <v>0.16</v>
          </cell>
          <cell r="Q286">
            <v>0.18317460317460316</v>
          </cell>
          <cell r="R286">
            <v>0.24517425810904073</v>
          </cell>
          <cell r="S286">
            <v>0.10003498090799999</v>
          </cell>
          <cell r="T286">
            <v>24.526002229070951</v>
          </cell>
        </row>
        <row r="287">
          <cell r="B287" t="str">
            <v>Seth Smith</v>
          </cell>
          <cell r="C287">
            <v>3100</v>
          </cell>
          <cell r="D287" t="str">
            <v>SEA</v>
          </cell>
          <cell r="E287" t="str">
            <v>OF</v>
          </cell>
          <cell r="F287" t="str">
            <v>LAA</v>
          </cell>
          <cell r="G287" t="str">
            <v>Shoemaker</v>
          </cell>
          <cell r="H287" t="str">
            <v>R</v>
          </cell>
          <cell r="I287" t="str">
            <v>L</v>
          </cell>
          <cell r="J287">
            <v>736</v>
          </cell>
          <cell r="K287">
            <v>29</v>
          </cell>
          <cell r="L287">
            <v>0.34476902173913043</v>
          </cell>
          <cell r="M287">
            <v>0.31039755351681958</v>
          </cell>
          <cell r="N287">
            <v>0.32758328762797501</v>
          </cell>
          <cell r="O287">
            <v>0.18110236220472442</v>
          </cell>
          <cell r="P287">
            <v>0.16501650165016502</v>
          </cell>
          <cell r="Q287">
            <v>0.17305943192744472</v>
          </cell>
          <cell r="R287">
            <v>0.25032135977770986</v>
          </cell>
          <cell r="S287">
            <v>4.9826810973599998E-2</v>
          </cell>
          <cell r="T287">
            <v>12.472715076298467</v>
          </cell>
        </row>
        <row r="288">
          <cell r="B288" t="str">
            <v>Yonder Alonso</v>
          </cell>
          <cell r="C288">
            <v>2600</v>
          </cell>
          <cell r="D288" t="str">
            <v>OAK</v>
          </cell>
          <cell r="E288" t="str">
            <v>1B</v>
          </cell>
          <cell r="F288" t="str">
            <v>BOS</v>
          </cell>
          <cell r="G288" t="str">
            <v>Rodriguez</v>
          </cell>
          <cell r="H288" t="str">
            <v>L</v>
          </cell>
          <cell r="I288" t="str">
            <v>L</v>
          </cell>
          <cell r="J288">
            <v>147</v>
          </cell>
          <cell r="K288">
            <v>24</v>
          </cell>
          <cell r="L288">
            <v>0.27482993197278915</v>
          </cell>
          <cell r="M288">
            <v>0.33842364532019703</v>
          </cell>
          <cell r="N288">
            <v>0.30662678864649306</v>
          </cell>
          <cell r="O288">
            <v>6.2015503875968991E-2</v>
          </cell>
          <cell r="P288">
            <v>0.18784530386740331</v>
          </cell>
          <cell r="Q288">
            <v>0.12493040387168615</v>
          </cell>
          <cell r="R288">
            <v>0.2157785962590896</v>
          </cell>
          <cell r="S288">
            <v>5.7710358402300016E-2</v>
          </cell>
          <cell r="T288">
            <v>12.452660125657255</v>
          </cell>
        </row>
        <row r="289">
          <cell r="B289" t="str">
            <v>Ryan Rua</v>
          </cell>
          <cell r="C289">
            <v>2700</v>
          </cell>
          <cell r="D289" t="str">
            <v>TEX</v>
          </cell>
          <cell r="E289" t="str">
            <v>OF</v>
          </cell>
          <cell r="F289" t="str">
            <v>HOU</v>
          </cell>
          <cell r="G289" t="str">
            <v>McHugh</v>
          </cell>
          <cell r="H289" t="str">
            <v>R</v>
          </cell>
          <cell r="I289" t="str">
            <v>R</v>
          </cell>
          <cell r="J289">
            <v>170</v>
          </cell>
          <cell r="K289">
            <v>7</v>
          </cell>
          <cell r="L289">
            <v>0.28441176470588236</v>
          </cell>
          <cell r="M289">
            <v>0.34371108343711082</v>
          </cell>
          <cell r="N289">
            <v>0.31406142407149662</v>
          </cell>
          <cell r="O289">
            <v>0.14102564102564102</v>
          </cell>
          <cell r="P289">
            <v>0.16666666666666666</v>
          </cell>
          <cell r="Q289">
            <v>0.15384615384615385</v>
          </cell>
          <cell r="R289">
            <v>0.23395378895882524</v>
          </cell>
          <cell r="S289">
            <v>5.2947929681999989E-2</v>
          </cell>
          <cell r="T289">
            <v>12.387368766629343</v>
          </cell>
        </row>
        <row r="290">
          <cell r="B290" t="str">
            <v>Marcus Semien</v>
          </cell>
          <cell r="C290">
            <v>3100</v>
          </cell>
          <cell r="D290" t="str">
            <v>OAK</v>
          </cell>
          <cell r="E290" t="str">
            <v>SS</v>
          </cell>
          <cell r="F290" t="str">
            <v>BOS</v>
          </cell>
          <cell r="G290" t="str">
            <v>Rodriguez</v>
          </cell>
          <cell r="H290" t="str">
            <v>L</v>
          </cell>
          <cell r="I290" t="str">
            <v>R</v>
          </cell>
          <cell r="J290">
            <v>293</v>
          </cell>
          <cell r="K290">
            <v>24</v>
          </cell>
          <cell r="L290">
            <v>0.37764505119453928</v>
          </cell>
          <cell r="M290">
            <v>0.31575663026521061</v>
          </cell>
          <cell r="N290">
            <v>0.34670084072987495</v>
          </cell>
          <cell r="O290">
            <v>0.22627737226277372</v>
          </cell>
          <cell r="P290">
            <v>0.15397923875432526</v>
          </cell>
          <cell r="Q290">
            <v>0.19012830550854948</v>
          </cell>
          <cell r="R290">
            <v>0.26841457311921224</v>
          </cell>
          <cell r="S290">
            <v>4.5931788644850008E-2</v>
          </cell>
          <cell r="T290">
            <v>12.328761441709295</v>
          </cell>
        </row>
        <row r="291">
          <cell r="B291" t="str">
            <v>Ryan Hanigan</v>
          </cell>
          <cell r="C291">
            <v>2400</v>
          </cell>
          <cell r="D291" t="str">
            <v>BOS</v>
          </cell>
          <cell r="E291" t="str">
            <v>C</v>
          </cell>
          <cell r="F291" t="str">
            <v>@OAK</v>
          </cell>
          <cell r="G291" t="str">
            <v>Graveman</v>
          </cell>
          <cell r="H291" t="str">
            <v>R</v>
          </cell>
          <cell r="I291" t="str">
            <v>R</v>
          </cell>
          <cell r="J291">
            <v>231</v>
          </cell>
          <cell r="K291">
            <v>24</v>
          </cell>
          <cell r="L291">
            <v>0.27142857142857146</v>
          </cell>
          <cell r="M291">
            <v>0.31861510791366904</v>
          </cell>
          <cell r="N291">
            <v>0.29502183967112028</v>
          </cell>
          <cell r="O291">
            <v>9.8522167487684734E-2</v>
          </cell>
          <cell r="P291">
            <v>0.1673076923076923</v>
          </cell>
          <cell r="Q291">
            <v>0.13291492989768852</v>
          </cell>
          <cell r="R291">
            <v>0.21396838478440439</v>
          </cell>
          <cell r="S291">
            <v>5.7145346708499994E-2</v>
          </cell>
          <cell r="T291">
            <v>12.227297533162522</v>
          </cell>
        </row>
        <row r="292">
          <cell r="B292" t="str">
            <v>Mark Reynolds</v>
          </cell>
          <cell r="C292">
            <v>3500</v>
          </cell>
          <cell r="D292" t="str">
            <v>COL</v>
          </cell>
          <cell r="E292" t="str">
            <v>1B</v>
          </cell>
          <cell r="F292" t="str">
            <v>ARI</v>
          </cell>
          <cell r="G292" t="str">
            <v>Bradley</v>
          </cell>
          <cell r="H292" t="str">
            <v>R</v>
          </cell>
          <cell r="I292" t="str">
            <v>R</v>
          </cell>
          <cell r="J292">
            <v>591</v>
          </cell>
          <cell r="K292">
            <v>1</v>
          </cell>
          <cell r="L292">
            <v>0.3384940778341794</v>
          </cell>
          <cell r="M292">
            <v>0.31015151515151518</v>
          </cell>
          <cell r="N292">
            <v>0.32432279649284729</v>
          </cell>
          <cell r="O292">
            <v>0.16952380952380952</v>
          </cell>
          <cell r="P292">
            <v>0.15358361774744028</v>
          </cell>
          <cell r="Q292">
            <v>0.1615537136356249</v>
          </cell>
          <cell r="R292">
            <v>0.24293825506423611</v>
          </cell>
          <cell r="S292">
            <v>5.0256229954399996E-2</v>
          </cell>
          <cell r="T292">
            <v>12.20916081122893</v>
          </cell>
        </row>
        <row r="293">
          <cell r="B293" t="str">
            <v>Brett Nicholas</v>
          </cell>
          <cell r="C293">
            <v>2500</v>
          </cell>
          <cell r="D293" t="str">
            <v>TEX</v>
          </cell>
          <cell r="E293" t="str">
            <v>C</v>
          </cell>
          <cell r="F293" t="str">
            <v>HOU</v>
          </cell>
          <cell r="G293" t="str">
            <v>McHugh</v>
          </cell>
          <cell r="H293" t="str">
            <v>R</v>
          </cell>
          <cell r="I293" t="str">
            <v>L</v>
          </cell>
          <cell r="J293">
            <v>33</v>
          </cell>
          <cell r="K293">
            <v>7</v>
          </cell>
          <cell r="L293">
            <v>0.34696969696969693</v>
          </cell>
          <cell r="M293">
            <v>0.31513437057991517</v>
          </cell>
          <cell r="N293">
            <v>0.33105203377480608</v>
          </cell>
          <cell r="O293">
            <v>0.31034482758620691</v>
          </cell>
          <cell r="P293">
            <v>0.13734567901234568</v>
          </cell>
          <cell r="Q293">
            <v>0.22384525329927629</v>
          </cell>
          <cell r="R293">
            <v>0.27744864353704118</v>
          </cell>
          <cell r="S293">
            <v>4.3915447862999994E-2</v>
          </cell>
          <cell r="T293">
            <v>12.184281439911002</v>
          </cell>
        </row>
        <row r="294">
          <cell r="B294" t="str">
            <v>Eugenio Suarez</v>
          </cell>
          <cell r="C294">
            <v>2800</v>
          </cell>
          <cell r="D294" t="str">
            <v>CIN</v>
          </cell>
          <cell r="E294" t="str">
            <v>3B</v>
          </cell>
          <cell r="F294" t="str">
            <v>STL</v>
          </cell>
          <cell r="G294" t="str">
            <v>Martinez</v>
          </cell>
          <cell r="H294" t="str">
            <v>R</v>
          </cell>
          <cell r="I294" t="str">
            <v>R</v>
          </cell>
          <cell r="J294">
            <v>698</v>
          </cell>
          <cell r="K294">
            <v>3</v>
          </cell>
          <cell r="L294">
            <v>0.30795128939828081</v>
          </cell>
          <cell r="M294">
            <v>0.25387994143484627</v>
          </cell>
          <cell r="N294">
            <v>0.28091561541656351</v>
          </cell>
          <cell r="O294">
            <v>0.15912636505460218</v>
          </cell>
          <cell r="P294">
            <v>6.4829821717990274E-2</v>
          </cell>
          <cell r="Q294">
            <v>0.11197809338629622</v>
          </cell>
          <cell r="R294">
            <v>0.19644685440142987</v>
          </cell>
          <cell r="S294">
            <v>6.1970561301150001E-2</v>
          </cell>
          <cell r="T294">
            <v>12.173921833101899</v>
          </cell>
        </row>
        <row r="295">
          <cell r="B295" t="str">
            <v>Didi Gregorius</v>
          </cell>
          <cell r="C295">
            <v>2900</v>
          </cell>
          <cell r="D295" t="str">
            <v>NYY</v>
          </cell>
          <cell r="E295" t="str">
            <v>SS</v>
          </cell>
          <cell r="F295" t="str">
            <v>@BAL</v>
          </cell>
          <cell r="G295" t="str">
            <v>Miley</v>
          </cell>
          <cell r="H295" t="str">
            <v>L</v>
          </cell>
          <cell r="I295" t="str">
            <v>L</v>
          </cell>
          <cell r="J295">
            <v>289</v>
          </cell>
          <cell r="K295">
            <v>5</v>
          </cell>
          <cell r="L295">
            <v>0.31211072664359857</v>
          </cell>
          <cell r="M295">
            <v>0.29633757961783441</v>
          </cell>
          <cell r="N295">
            <v>0.30422415313071649</v>
          </cell>
          <cell r="O295">
            <v>0.1076923076923077</v>
          </cell>
          <cell r="P295">
            <v>0.14385964912280702</v>
          </cell>
          <cell r="Q295">
            <v>0.12577597840755736</v>
          </cell>
          <cell r="R295">
            <v>0.21500006576913694</v>
          </cell>
          <cell r="S295">
            <v>5.6448936907850009E-2</v>
          </cell>
          <cell r="T295">
            <v>12.136525147785614</v>
          </cell>
        </row>
        <row r="296">
          <cell r="B296" t="str">
            <v>Nomar Mazara</v>
          </cell>
          <cell r="C296">
            <v>3100</v>
          </cell>
          <cell r="D296" t="str">
            <v>TEX</v>
          </cell>
          <cell r="E296" t="str">
            <v>OF</v>
          </cell>
          <cell r="F296" t="str">
            <v>HOU</v>
          </cell>
          <cell r="G296" t="str">
            <v>McHugh</v>
          </cell>
          <cell r="H296" t="str">
            <v>R</v>
          </cell>
          <cell r="I296" t="str">
            <v>L</v>
          </cell>
          <cell r="J296">
            <v>375</v>
          </cell>
          <cell r="K296">
            <v>7</v>
          </cell>
          <cell r="L296">
            <v>0.35386666666666666</v>
          </cell>
          <cell r="M296">
            <v>0.31513437057991517</v>
          </cell>
          <cell r="N296">
            <v>0.33450051862329089</v>
          </cell>
          <cell r="O296">
            <v>0.18047337278106509</v>
          </cell>
          <cell r="P296">
            <v>0.13734567901234568</v>
          </cell>
          <cell r="Q296">
            <v>0.15890952589670537</v>
          </cell>
          <cell r="R296">
            <v>0.24670502225999813</v>
          </cell>
          <cell r="S296">
            <v>4.8898118870099996E-2</v>
          </cell>
          <cell r="T296">
            <v>12.063411504320054</v>
          </cell>
        </row>
        <row r="297">
          <cell r="B297" t="str">
            <v>Rene Rivera</v>
          </cell>
          <cell r="C297">
            <v>2200</v>
          </cell>
          <cell r="D297" t="str">
            <v>NYM</v>
          </cell>
          <cell r="E297" t="str">
            <v>C</v>
          </cell>
          <cell r="F297" t="str">
            <v>WAS</v>
          </cell>
          <cell r="G297" t="str">
            <v>Lopez</v>
          </cell>
          <cell r="H297" t="str">
            <v>R</v>
          </cell>
          <cell r="I297" t="str">
            <v>R</v>
          </cell>
          <cell r="J297">
            <v>338</v>
          </cell>
          <cell r="K297">
            <v>21</v>
          </cell>
          <cell r="L297">
            <v>0.228698224852071</v>
          </cell>
          <cell r="M297">
            <v>0.41785714285714282</v>
          </cell>
          <cell r="N297">
            <v>0.32327768385460692</v>
          </cell>
          <cell r="O297">
            <v>0.11290322580645161</v>
          </cell>
          <cell r="P297">
            <v>0.12244897959183673</v>
          </cell>
          <cell r="Q297">
            <v>0.11767610269914416</v>
          </cell>
          <cell r="R297">
            <v>0.22047689327687553</v>
          </cell>
          <cell r="S297">
            <v>5.4468018261999984E-2</v>
          </cell>
          <cell r="T297">
            <v>12.008939449353878</v>
          </cell>
        </row>
        <row r="298">
          <cell r="B298" t="str">
            <v>Mac Williamson</v>
          </cell>
          <cell r="C298">
            <v>2600</v>
          </cell>
          <cell r="D298" t="str">
            <v>SF</v>
          </cell>
          <cell r="E298" t="str">
            <v>OF</v>
          </cell>
          <cell r="F298" t="str">
            <v>@CHC</v>
          </cell>
          <cell r="G298" t="str">
            <v>Lackey</v>
          </cell>
          <cell r="H298" t="str">
            <v>R</v>
          </cell>
          <cell r="I298" t="str">
            <v>R</v>
          </cell>
          <cell r="J298">
            <v>68</v>
          </cell>
          <cell r="K298">
            <v>11</v>
          </cell>
          <cell r="L298">
            <v>0.33161764705882352</v>
          </cell>
          <cell r="M298">
            <v>0.26548780487804879</v>
          </cell>
          <cell r="N298">
            <v>0.29855272596843618</v>
          </cell>
          <cell r="O298">
            <v>0.15254237288135594</v>
          </cell>
          <cell r="P298">
            <v>0.12746386333771353</v>
          </cell>
          <cell r="Q298">
            <v>0.14000311810953475</v>
          </cell>
          <cell r="R298">
            <v>0.21927792203898547</v>
          </cell>
          <cell r="S298">
            <v>5.4640637798400005E-2</v>
          </cell>
          <cell r="T298">
            <v>11.981485515317999</v>
          </cell>
        </row>
        <row r="299">
          <cell r="B299" t="str">
            <v>Gary Sanchez</v>
          </cell>
          <cell r="C299">
            <v>4000</v>
          </cell>
          <cell r="D299" t="str">
            <v>NYY</v>
          </cell>
          <cell r="E299" t="str">
            <v>C</v>
          </cell>
          <cell r="F299" t="str">
            <v>@BAL</v>
          </cell>
          <cell r="G299" t="str">
            <v>Miley</v>
          </cell>
          <cell r="H299" t="str">
            <v>L</v>
          </cell>
          <cell r="I299" t="str">
            <v>R</v>
          </cell>
          <cell r="J299">
            <v>23</v>
          </cell>
          <cell r="K299">
            <v>5</v>
          </cell>
          <cell r="L299">
            <v>0.21739130434782608</v>
          </cell>
          <cell r="M299">
            <v>0.34892665474060824</v>
          </cell>
          <cell r="N299">
            <v>0.28315897954421715</v>
          </cell>
          <cell r="O299">
            <v>0.15</v>
          </cell>
          <cell r="P299">
            <v>0.17762512266928362</v>
          </cell>
          <cell r="Q299">
            <v>0.16381256133464181</v>
          </cell>
          <cell r="R299">
            <v>0.22348577043942947</v>
          </cell>
          <cell r="S299">
            <v>0.10233744777519999</v>
          </cell>
          <cell r="T299">
            <v>22.870963360845444</v>
          </cell>
        </row>
        <row r="300">
          <cell r="B300" t="str">
            <v>Aaron Hicks</v>
          </cell>
          <cell r="C300">
            <v>2600</v>
          </cell>
          <cell r="D300" t="str">
            <v>NYY</v>
          </cell>
          <cell r="E300" t="str">
            <v>OF</v>
          </cell>
          <cell r="F300" t="str">
            <v>@BAL</v>
          </cell>
          <cell r="G300" t="str">
            <v>Miley</v>
          </cell>
          <cell r="H300" t="str">
            <v>L</v>
          </cell>
          <cell r="I300" t="str">
            <v>S</v>
          </cell>
          <cell r="J300">
            <v>217</v>
          </cell>
          <cell r="K300">
            <v>5</v>
          </cell>
          <cell r="L300">
            <v>0.30253456221198161</v>
          </cell>
          <cell r="M300">
            <v>0.34892665474060824</v>
          </cell>
          <cell r="N300">
            <v>0.32573060847629492</v>
          </cell>
          <cell r="O300">
            <v>0.15306122448979592</v>
          </cell>
          <cell r="P300">
            <v>0.17762512266928362</v>
          </cell>
          <cell r="Q300">
            <v>0.16534317357953976</v>
          </cell>
          <cell r="R300">
            <v>0.24553689102791734</v>
          </cell>
          <cell r="S300">
            <v>4.834963622025E-2</v>
          </cell>
          <cell r="T300">
            <v>11.871619359850969</v>
          </cell>
        </row>
        <row r="301">
          <cell r="B301" t="str">
            <v>James McCann</v>
          </cell>
          <cell r="C301">
            <v>2600</v>
          </cell>
          <cell r="D301" t="str">
            <v>DET</v>
          </cell>
          <cell r="E301" t="str">
            <v>C</v>
          </cell>
          <cell r="F301" t="str">
            <v>@KC</v>
          </cell>
          <cell r="G301" t="str">
            <v>Volquez</v>
          </cell>
          <cell r="H301" t="str">
            <v>R</v>
          </cell>
          <cell r="I301" t="str">
            <v>R</v>
          </cell>
          <cell r="J301">
            <v>506</v>
          </cell>
          <cell r="K301">
            <v>20</v>
          </cell>
          <cell r="L301">
            <v>0.25681818181818178</v>
          </cell>
          <cell r="M301">
            <v>0.31851851851851853</v>
          </cell>
          <cell r="N301">
            <v>0.28766835016835013</v>
          </cell>
          <cell r="O301">
            <v>8.1932773109243698E-2</v>
          </cell>
          <cell r="P301">
            <v>0.11834319526627218</v>
          </cell>
          <cell r="Q301">
            <v>0.10013798418775793</v>
          </cell>
          <cell r="R301">
            <v>0.19390316717805403</v>
          </cell>
          <cell r="S301">
            <v>6.1752714811424997E-2</v>
          </cell>
          <cell r="T301">
            <v>11.974046983778434</v>
          </cell>
        </row>
        <row r="302">
          <cell r="B302" t="str">
            <v>Jose Reyes</v>
          </cell>
          <cell r="C302">
            <v>3000</v>
          </cell>
          <cell r="D302" t="str">
            <v>NYM</v>
          </cell>
          <cell r="E302" t="str">
            <v>3B</v>
          </cell>
          <cell r="F302" t="str">
            <v>WAS</v>
          </cell>
          <cell r="G302" t="str">
            <v>Lopez</v>
          </cell>
          <cell r="H302" t="str">
            <v>R</v>
          </cell>
          <cell r="I302" t="str">
            <v>S</v>
          </cell>
          <cell r="J302">
            <v>486</v>
          </cell>
          <cell r="K302">
            <v>21</v>
          </cell>
          <cell r="L302">
            <v>0.29711934156378594</v>
          </cell>
          <cell r="M302">
            <v>0.28203125000000001</v>
          </cell>
          <cell r="N302">
            <v>0.28957529578189301</v>
          </cell>
          <cell r="O302">
            <v>0.10352422907488987</v>
          </cell>
          <cell r="P302">
            <v>0.16666666666666666</v>
          </cell>
          <cell r="Q302">
            <v>0.13509544787077826</v>
          </cell>
          <cell r="R302">
            <v>0.21233537182633563</v>
          </cell>
          <cell r="S302">
            <v>5.5314474761099991E-2</v>
          </cell>
          <cell r="T302">
            <v>11.745219565776624</v>
          </cell>
        </row>
        <row r="303">
          <cell r="B303" t="str">
            <v>Manuel Pina</v>
          </cell>
          <cell r="C303">
            <v>2400</v>
          </cell>
          <cell r="D303" t="str">
            <v>MIL</v>
          </cell>
          <cell r="E303" t="str">
            <v>C</v>
          </cell>
          <cell r="F303" t="str">
            <v>@PIT</v>
          </cell>
          <cell r="G303" t="str">
            <v>Brault</v>
          </cell>
          <cell r="H303" t="str">
            <v>L</v>
          </cell>
          <cell r="I303" t="str">
            <v>R</v>
          </cell>
          <cell r="J303">
            <v>18</v>
          </cell>
          <cell r="K303">
            <v>27</v>
          </cell>
          <cell r="L303">
            <v>0.36666666666666664</v>
          </cell>
          <cell r="M303">
            <v>0.34711538461538455</v>
          </cell>
          <cell r="N303">
            <v>0.35689102564102559</v>
          </cell>
          <cell r="O303">
            <v>0</v>
          </cell>
          <cell r="P303">
            <v>0.13636363636363635</v>
          </cell>
          <cell r="Q303">
            <v>6.8181818181818177E-2</v>
          </cell>
          <cell r="R303">
            <v>0.21253642191142189</v>
          </cell>
          <cell r="S303">
            <v>6.7385418572100009E-2</v>
          </cell>
          <cell r="T303">
            <v>14.321855752317612</v>
          </cell>
        </row>
        <row r="304">
          <cell r="B304" t="str">
            <v>Angel Pagan</v>
          </cell>
          <cell r="C304">
            <v>3100</v>
          </cell>
          <cell r="D304" t="str">
            <v>SF</v>
          </cell>
          <cell r="E304" t="str">
            <v>OF</v>
          </cell>
          <cell r="F304" t="str">
            <v>@CHC</v>
          </cell>
          <cell r="G304" t="str">
            <v>Lackey</v>
          </cell>
          <cell r="H304" t="str">
            <v>R</v>
          </cell>
          <cell r="I304" t="str">
            <v>S</v>
          </cell>
          <cell r="J304">
            <v>682</v>
          </cell>
          <cell r="K304">
            <v>11</v>
          </cell>
          <cell r="L304">
            <v>0.30190615835777129</v>
          </cell>
          <cell r="M304">
            <v>0.31755555555555559</v>
          </cell>
          <cell r="N304">
            <v>0.30973085695666347</v>
          </cell>
          <cell r="O304">
            <v>0.10897435897435898</v>
          </cell>
          <cell r="P304">
            <v>0.13232830820770519</v>
          </cell>
          <cell r="Q304">
            <v>0.12065133359103208</v>
          </cell>
          <cell r="R304">
            <v>0.21519109527384778</v>
          </cell>
          <cell r="S304">
            <v>5.4797235023249999E-2</v>
          </cell>
          <cell r="T304">
            <v>11.791877022631619</v>
          </cell>
        </row>
        <row r="305">
          <cell r="B305" t="str">
            <v>Addison Russell</v>
          </cell>
          <cell r="C305">
            <v>2500</v>
          </cell>
          <cell r="D305" t="str">
            <v>CHC</v>
          </cell>
          <cell r="E305" t="str">
            <v>SS</v>
          </cell>
          <cell r="F305" t="str">
            <v>SF</v>
          </cell>
          <cell r="G305" t="str">
            <v>Cueto</v>
          </cell>
          <cell r="H305" t="str">
            <v>R</v>
          </cell>
          <cell r="I305" t="str">
            <v>R</v>
          </cell>
          <cell r="J305">
            <v>765</v>
          </cell>
          <cell r="K305">
            <v>11</v>
          </cell>
          <cell r="L305">
            <v>0.32562091503267976</v>
          </cell>
          <cell r="M305">
            <v>0.29508670520231212</v>
          </cell>
          <cell r="N305">
            <v>0.31035381011749597</v>
          </cell>
          <cell r="O305">
            <v>0.15395894428152493</v>
          </cell>
          <cell r="P305">
            <v>0.14107365792759052</v>
          </cell>
          <cell r="Q305">
            <v>0.14751630110455771</v>
          </cell>
          <cell r="R305">
            <v>0.22893505561102684</v>
          </cell>
          <cell r="S305">
            <v>5.00427360462E-2</v>
          </cell>
          <cell r="T305">
            <v>11.456536559664734</v>
          </cell>
        </row>
        <row r="306">
          <cell r="B306" t="str">
            <v>Brandon Guyer</v>
          </cell>
          <cell r="C306">
            <v>2800</v>
          </cell>
          <cell r="D306" t="str">
            <v>CLE</v>
          </cell>
          <cell r="E306" t="str">
            <v>OF</v>
          </cell>
          <cell r="F306" t="str">
            <v>MIA</v>
          </cell>
          <cell r="G306" t="str">
            <v>Koehler</v>
          </cell>
          <cell r="H306" t="str">
            <v>R</v>
          </cell>
          <cell r="I306" t="str">
            <v>R</v>
          </cell>
          <cell r="J306">
            <v>341</v>
          </cell>
          <cell r="K306">
            <v>14</v>
          </cell>
          <cell r="L306">
            <v>0.28489736070381233</v>
          </cell>
          <cell r="M306">
            <v>0.31426553672316382</v>
          </cell>
          <cell r="N306">
            <v>0.29958144871348807</v>
          </cell>
          <cell r="O306">
            <v>0.10855263157894737</v>
          </cell>
          <cell r="P306">
            <v>0.13687600644122383</v>
          </cell>
          <cell r="Q306">
            <v>0.1227143190100856</v>
          </cell>
          <cell r="R306">
            <v>0.21114788386178684</v>
          </cell>
          <cell r="S306">
            <v>5.3961430967549996E-2</v>
          </cell>
          <cell r="T306">
            <v>11.393841958952073</v>
          </cell>
        </row>
        <row r="307">
          <cell r="B307" t="str">
            <v>Coco Crisp</v>
          </cell>
          <cell r="C307">
            <v>2600</v>
          </cell>
          <cell r="D307" t="str">
            <v>CLE</v>
          </cell>
          <cell r="E307" t="str">
            <v>OF</v>
          </cell>
          <cell r="F307" t="str">
            <v>MIA</v>
          </cell>
          <cell r="G307" t="str">
            <v>Koehler</v>
          </cell>
          <cell r="H307" t="str">
            <v>R</v>
          </cell>
          <cell r="I307" t="str">
            <v>S</v>
          </cell>
          <cell r="J307">
            <v>447</v>
          </cell>
          <cell r="K307">
            <v>14</v>
          </cell>
          <cell r="L307">
            <v>0.29541387024608506</v>
          </cell>
          <cell r="M307">
            <v>0.33355525965379496</v>
          </cell>
          <cell r="N307">
            <v>0.31448456494994004</v>
          </cell>
          <cell r="O307">
            <v>0.14962593516209477</v>
          </cell>
          <cell r="P307">
            <v>0.16036308623298035</v>
          </cell>
          <cell r="Q307">
            <v>0.15499451069753756</v>
          </cell>
          <cell r="R307">
            <v>0.2347395378237388</v>
          </cell>
          <cell r="S307">
            <v>4.8473848979774997E-2</v>
          </cell>
          <cell r="T307">
            <v>11.378728906050096</v>
          </cell>
        </row>
        <row r="308">
          <cell r="B308" t="str">
            <v>Jason Heyward</v>
          </cell>
          <cell r="C308">
            <v>2800</v>
          </cell>
          <cell r="D308" t="str">
            <v>CHC</v>
          </cell>
          <cell r="E308" t="str">
            <v>OF</v>
          </cell>
          <cell r="F308" t="str">
            <v>SF</v>
          </cell>
          <cell r="G308" t="str">
            <v>Cueto</v>
          </cell>
          <cell r="H308" t="str">
            <v>R</v>
          </cell>
          <cell r="I308" t="str">
            <v>L</v>
          </cell>
          <cell r="J308">
            <v>779</v>
          </cell>
          <cell r="K308">
            <v>11</v>
          </cell>
          <cell r="L308">
            <v>0.32804878048780489</v>
          </cell>
          <cell r="M308">
            <v>0.28046979865771815</v>
          </cell>
          <cell r="N308">
            <v>0.30425928957276149</v>
          </cell>
          <cell r="O308">
            <v>0.13714285714285715</v>
          </cell>
          <cell r="P308">
            <v>0.11901306240928883</v>
          </cell>
          <cell r="Q308">
            <v>0.128077959776073</v>
          </cell>
          <cell r="R308">
            <v>0.21616862467441725</v>
          </cell>
          <cell r="S308">
            <v>5.2860631392900009E-2</v>
          </cell>
          <cell r="T308">
            <v>11.426809987624519</v>
          </cell>
        </row>
        <row r="309">
          <cell r="B309" t="str">
            <v>Hernan Perez</v>
          </cell>
          <cell r="C309">
            <v>3300</v>
          </cell>
          <cell r="D309" t="str">
            <v>MIL</v>
          </cell>
          <cell r="E309" t="str">
            <v>OF</v>
          </cell>
          <cell r="F309" t="str">
            <v>@PIT</v>
          </cell>
          <cell r="G309" t="str">
            <v>Brault</v>
          </cell>
          <cell r="H309" t="str">
            <v>L</v>
          </cell>
          <cell r="I309" t="str">
            <v>R</v>
          </cell>
          <cell r="J309">
            <v>225</v>
          </cell>
          <cell r="K309">
            <v>27</v>
          </cell>
          <cell r="L309">
            <v>0.3086666666666667</v>
          </cell>
          <cell r="M309">
            <v>0.34711538461538455</v>
          </cell>
          <cell r="N309">
            <v>0.32789102564102562</v>
          </cell>
          <cell r="O309">
            <v>0.19718309859154928</v>
          </cell>
          <cell r="P309">
            <v>0.13636363636363635</v>
          </cell>
          <cell r="Q309">
            <v>0.1667733674775928</v>
          </cell>
          <cell r="R309">
            <v>0.24733219655930921</v>
          </cell>
          <cell r="S309">
            <v>4.5959853506100004E-2</v>
          </cell>
          <cell r="T309">
            <v>11.367351521207784</v>
          </cell>
        </row>
        <row r="310">
          <cell r="B310" t="str">
            <v>Kelly Johnson</v>
          </cell>
          <cell r="C310">
            <v>2200</v>
          </cell>
          <cell r="D310" t="str">
            <v>NYM</v>
          </cell>
          <cell r="E310" t="str">
            <v>3B</v>
          </cell>
          <cell r="F310" t="str">
            <v>WAS</v>
          </cell>
          <cell r="G310" t="str">
            <v>Lopez</v>
          </cell>
          <cell r="H310" t="str">
            <v>R</v>
          </cell>
          <cell r="I310" t="str">
            <v>L</v>
          </cell>
          <cell r="J310">
            <v>541</v>
          </cell>
          <cell r="K310">
            <v>21</v>
          </cell>
          <cell r="L310">
            <v>0.32107208872458409</v>
          </cell>
          <cell r="M310">
            <v>0.28203125000000001</v>
          </cell>
          <cell r="N310">
            <v>0.30155166936229205</v>
          </cell>
          <cell r="O310">
            <v>0.16056910569105692</v>
          </cell>
          <cell r="P310">
            <v>0.16666666666666666</v>
          </cell>
          <cell r="Q310">
            <v>0.1636178861788618</v>
          </cell>
          <cell r="R310">
            <v>0.23258477777057693</v>
          </cell>
          <cell r="S310">
            <v>4.8774308747399998E-2</v>
          </cell>
          <cell r="T310">
            <v>11.344161760927534</v>
          </cell>
        </row>
        <row r="311">
          <cell r="B311" t="str">
            <v>Dae-Ho Lee</v>
          </cell>
          <cell r="C311">
            <v>2600</v>
          </cell>
          <cell r="D311" t="str">
            <v>SEA</v>
          </cell>
          <cell r="E311" t="str">
            <v>1B</v>
          </cell>
          <cell r="F311" t="str">
            <v>LAA</v>
          </cell>
          <cell r="G311" t="str">
            <v>Shoemaker</v>
          </cell>
          <cell r="H311" t="str">
            <v>R</v>
          </cell>
          <cell r="I311" t="str">
            <v>R</v>
          </cell>
          <cell r="J311">
            <v>126</v>
          </cell>
          <cell r="K311">
            <v>29</v>
          </cell>
          <cell r="L311">
            <v>0.32658730158730159</v>
          </cell>
          <cell r="M311">
            <v>0.32975778546712803</v>
          </cell>
          <cell r="N311">
            <v>0.32817254352721481</v>
          </cell>
          <cell r="O311">
            <v>0.17796610169491525</v>
          </cell>
          <cell r="P311">
            <v>0.18198874296435272</v>
          </cell>
          <cell r="Q311">
            <v>0.17997742232963398</v>
          </cell>
          <cell r="R311">
            <v>0.2540749829284244</v>
          </cell>
          <cell r="S311">
            <v>4.4503096624800002E-2</v>
          </cell>
          <cell r="T311">
            <v>11.307123515208081</v>
          </cell>
        </row>
        <row r="312">
          <cell r="B312" t="str">
            <v>Ramon Cabrera</v>
          </cell>
          <cell r="C312">
            <v>2200</v>
          </cell>
          <cell r="D312" t="str">
            <v>CIN</v>
          </cell>
          <cell r="E312" t="str">
            <v>C</v>
          </cell>
          <cell r="F312" t="str">
            <v>STL</v>
          </cell>
          <cell r="G312" t="str">
            <v>Martinez</v>
          </cell>
          <cell r="H312" t="str">
            <v>R</v>
          </cell>
          <cell r="I312" t="str">
            <v>S</v>
          </cell>
          <cell r="J312">
            <v>133</v>
          </cell>
          <cell r="K312">
            <v>3</v>
          </cell>
          <cell r="L312">
            <v>0.27218045112781958</v>
          </cell>
          <cell r="M312">
            <v>0.32929362880886426</v>
          </cell>
          <cell r="N312">
            <v>0.30073703996834189</v>
          </cell>
          <cell r="O312">
            <v>8.7999999999999995E-2</v>
          </cell>
          <cell r="P312">
            <v>0.14622641509433962</v>
          </cell>
          <cell r="Q312">
            <v>0.11711320754716981</v>
          </cell>
          <cell r="R312">
            <v>0.20892512375775585</v>
          </cell>
          <cell r="S312">
            <v>4.2955549622999994E-2</v>
          </cell>
          <cell r="T312">
            <v>8.9744935210676964</v>
          </cell>
        </row>
        <row r="313">
          <cell r="B313" t="str">
            <v>Dexter Fowler</v>
          </cell>
          <cell r="C313">
            <v>3600</v>
          </cell>
          <cell r="D313" t="str">
            <v>CHC</v>
          </cell>
          <cell r="E313" t="str">
            <v>OF</v>
          </cell>
          <cell r="F313" t="str">
            <v>SF</v>
          </cell>
          <cell r="G313" t="str">
            <v>Cueto</v>
          </cell>
          <cell r="H313" t="str">
            <v>R</v>
          </cell>
          <cell r="I313" t="str">
            <v>S</v>
          </cell>
          <cell r="J313">
            <v>852</v>
          </cell>
          <cell r="K313">
            <v>11</v>
          </cell>
          <cell r="L313">
            <v>0.33849765258215958</v>
          </cell>
          <cell r="M313">
            <v>0.28046979865771815</v>
          </cell>
          <cell r="N313">
            <v>0.30948372561993887</v>
          </cell>
          <cell r="O313">
            <v>0.16689847009735745</v>
          </cell>
          <cell r="P313">
            <v>0.11901306240928883</v>
          </cell>
          <cell r="Q313">
            <v>0.14295576625332312</v>
          </cell>
          <cell r="R313">
            <v>0.22621974593663099</v>
          </cell>
          <cell r="S313">
            <v>5.02546122372E-2</v>
          </cell>
          <cell r="T313">
            <v>11.36858561244329</v>
          </cell>
        </row>
        <row r="314">
          <cell r="B314" t="str">
            <v>Kaleb Cowart</v>
          </cell>
          <cell r="C314">
            <v>2300</v>
          </cell>
          <cell r="D314" t="str">
            <v>LAA</v>
          </cell>
          <cell r="E314" t="str">
            <v>3B</v>
          </cell>
          <cell r="F314" t="str">
            <v>@SEA</v>
          </cell>
          <cell r="G314" t="str">
            <v>Iwakuma</v>
          </cell>
          <cell r="H314" t="str">
            <v>R</v>
          </cell>
          <cell r="I314" t="str">
            <v>S</v>
          </cell>
          <cell r="J314">
            <v>68</v>
          </cell>
          <cell r="K314">
            <v>29</v>
          </cell>
          <cell r="L314">
            <v>0.27132352941176469</v>
          </cell>
          <cell r="M314">
            <v>0.31929674099485428</v>
          </cell>
          <cell r="N314">
            <v>0.29531013520330951</v>
          </cell>
          <cell r="O314">
            <v>0.14516129032258066</v>
          </cell>
          <cell r="P314">
            <v>0.16152450090744103</v>
          </cell>
          <cell r="Q314">
            <v>0.15334289561501085</v>
          </cell>
          <cell r="R314">
            <v>0.22432651540916018</v>
          </cell>
          <cell r="S314">
            <v>5.0201777162849993E-2</v>
          </cell>
          <cell r="T314">
            <v>11.261589738289295</v>
          </cell>
        </row>
        <row r="315">
          <cell r="B315" t="str">
            <v>Jeff Francoeur</v>
          </cell>
          <cell r="C315">
            <v>2500</v>
          </cell>
          <cell r="D315" t="str">
            <v>MIA</v>
          </cell>
          <cell r="E315" t="str">
            <v>OF</v>
          </cell>
          <cell r="F315" t="str">
            <v>@CLE</v>
          </cell>
          <cell r="G315" t="str">
            <v>Salazar</v>
          </cell>
          <cell r="H315" t="str">
            <v>R</v>
          </cell>
          <cell r="I315" t="str">
            <v>R</v>
          </cell>
          <cell r="J315">
            <v>366</v>
          </cell>
          <cell r="K315">
            <v>14</v>
          </cell>
          <cell r="L315">
            <v>0.30860655737704917</v>
          </cell>
          <cell r="M315">
            <v>0.30174165457184327</v>
          </cell>
          <cell r="N315">
            <v>0.30517410597444622</v>
          </cell>
          <cell r="O315">
            <v>0.17241379310344829</v>
          </cell>
          <cell r="P315">
            <v>0.12295081967213115</v>
          </cell>
          <cell r="Q315">
            <v>0.14768230638778973</v>
          </cell>
          <cell r="R315">
            <v>0.22642820618111797</v>
          </cell>
          <cell r="S315">
            <v>4.9533613781424998E-2</v>
          </cell>
          <cell r="T315">
            <v>11.215807314196367</v>
          </cell>
        </row>
        <row r="316">
          <cell r="B316" t="str">
            <v>Brock Holt</v>
          </cell>
          <cell r="C316">
            <v>3000</v>
          </cell>
          <cell r="D316" t="str">
            <v>BOS</v>
          </cell>
          <cell r="E316" t="str">
            <v>OF</v>
          </cell>
          <cell r="F316" t="str">
            <v>@OAK</v>
          </cell>
          <cell r="G316" t="str">
            <v>Graveman</v>
          </cell>
          <cell r="H316" t="str">
            <v>R</v>
          </cell>
          <cell r="I316" t="str">
            <v>L</v>
          </cell>
          <cell r="J316">
            <v>613</v>
          </cell>
          <cell r="K316">
            <v>24</v>
          </cell>
          <cell r="L316">
            <v>0.31859706362153345</v>
          </cell>
          <cell r="M316">
            <v>0.33322314049586776</v>
          </cell>
          <cell r="N316">
            <v>0.32591010205870063</v>
          </cell>
          <cell r="O316">
            <v>0.11891891891891893</v>
          </cell>
          <cell r="P316">
            <v>0.13703703703703704</v>
          </cell>
          <cell r="Q316">
            <v>0.127977977977978</v>
          </cell>
          <cell r="R316">
            <v>0.22694404001833932</v>
          </cell>
          <cell r="S316">
            <v>4.9408802135749996E-2</v>
          </cell>
          <cell r="T316">
            <v>11.213033169153857</v>
          </cell>
        </row>
        <row r="317">
          <cell r="B317" t="str">
            <v>Mike Zunino</v>
          </cell>
          <cell r="C317">
            <v>2900</v>
          </cell>
          <cell r="D317" t="str">
            <v>SEA</v>
          </cell>
          <cell r="E317" t="str">
            <v>C</v>
          </cell>
          <cell r="F317" t="str">
            <v>LAA</v>
          </cell>
          <cell r="G317" t="str">
            <v>Shoemaker</v>
          </cell>
          <cell r="H317" t="str">
            <v>R</v>
          </cell>
          <cell r="I317" t="str">
            <v>R</v>
          </cell>
          <cell r="J317">
            <v>356</v>
          </cell>
          <cell r="K317">
            <v>29</v>
          </cell>
          <cell r="L317">
            <v>0.26699438202247189</v>
          </cell>
          <cell r="M317">
            <v>0.32975778546712803</v>
          </cell>
          <cell r="N317">
            <v>0.29837608374479996</v>
          </cell>
          <cell r="O317">
            <v>0.19375000000000001</v>
          </cell>
          <cell r="P317">
            <v>0.18198874296435272</v>
          </cell>
          <cell r="Q317">
            <v>0.18786937148217636</v>
          </cell>
          <cell r="R317">
            <v>0.24312272761348816</v>
          </cell>
          <cell r="S317">
            <v>4.5917159672249998E-2</v>
          </cell>
          <cell r="T317">
            <v>11.163505103781478</v>
          </cell>
        </row>
        <row r="318">
          <cell r="B318" t="str">
            <v>Marwin Gonzalez</v>
          </cell>
          <cell r="C318">
            <v>3000</v>
          </cell>
          <cell r="D318" t="str">
            <v>HOU</v>
          </cell>
          <cell r="E318" t="str">
            <v>1B</v>
          </cell>
          <cell r="F318" t="str">
            <v>@TEX</v>
          </cell>
          <cell r="G318" t="str">
            <v>Darvish</v>
          </cell>
          <cell r="H318" t="str">
            <v>R</v>
          </cell>
          <cell r="I318" t="str">
            <v>S</v>
          </cell>
          <cell r="J318">
            <v>484</v>
          </cell>
          <cell r="K318">
            <v>7</v>
          </cell>
          <cell r="L318">
            <v>0.29442148760330578</v>
          </cell>
          <cell r="M318">
            <v>0.2795918367346939</v>
          </cell>
          <cell r="N318">
            <v>0.28700666216899984</v>
          </cell>
          <cell r="O318">
            <v>0.13626373626373625</v>
          </cell>
          <cell r="P318">
            <v>0.14393939393939395</v>
          </cell>
          <cell r="Q318">
            <v>0.1401015651015651</v>
          </cell>
          <cell r="R318">
            <v>0.21355411363528248</v>
          </cell>
          <cell r="S318">
            <v>5.2836758427074991E-2</v>
          </cell>
          <cell r="T318">
            <v>11.283507113255542</v>
          </cell>
        </row>
        <row r="319">
          <cell r="B319" t="str">
            <v>Rob Segedin</v>
          </cell>
          <cell r="C319">
            <v>2300</v>
          </cell>
          <cell r="D319" t="str">
            <v>LAD</v>
          </cell>
          <cell r="E319" t="str">
            <v>OF</v>
          </cell>
          <cell r="F319" t="str">
            <v>SD</v>
          </cell>
          <cell r="G319" t="str">
            <v>Friedrich</v>
          </cell>
          <cell r="H319" t="str">
            <v>L</v>
          </cell>
          <cell r="I319" t="str">
            <v>R</v>
          </cell>
          <cell r="J319">
            <v>20</v>
          </cell>
          <cell r="K319">
            <v>17</v>
          </cell>
          <cell r="L319">
            <v>0.29749999999999999</v>
          </cell>
          <cell r="M319">
            <v>0.35939393939393943</v>
          </cell>
          <cell r="N319">
            <v>0.32844696969696974</v>
          </cell>
          <cell r="O319">
            <v>0.2</v>
          </cell>
          <cell r="P319">
            <v>0.15151515151515152</v>
          </cell>
          <cell r="Q319">
            <v>0.17575757575757578</v>
          </cell>
          <cell r="R319">
            <v>0.25210227272727276</v>
          </cell>
          <cell r="S319">
            <v>4.4208729261225002E-2</v>
          </cell>
          <cell r="T319">
            <v>11.145121121139509</v>
          </cell>
        </row>
        <row r="320">
          <cell r="B320" t="str">
            <v>Corey Dickerson</v>
          </cell>
          <cell r="C320">
            <v>2400</v>
          </cell>
          <cell r="D320" t="str">
            <v>TB</v>
          </cell>
          <cell r="E320" t="str">
            <v>OF</v>
          </cell>
          <cell r="F320" t="str">
            <v>TOR</v>
          </cell>
          <cell r="G320" t="str">
            <v>Happ</v>
          </cell>
          <cell r="H320" t="str">
            <v>L</v>
          </cell>
          <cell r="I320" t="str">
            <v>L</v>
          </cell>
          <cell r="J320">
            <v>137</v>
          </cell>
          <cell r="K320">
            <v>23</v>
          </cell>
          <cell r="L320">
            <v>0.26423357664233577</v>
          </cell>
          <cell r="M320">
            <v>0.29563106796116501</v>
          </cell>
          <cell r="N320">
            <v>0.27993232230175036</v>
          </cell>
          <cell r="O320">
            <v>6.8702290076335881E-2</v>
          </cell>
          <cell r="P320">
            <v>0.11149825783972125</v>
          </cell>
          <cell r="Q320">
            <v>9.0100273958028568E-2</v>
          </cell>
          <cell r="R320">
            <v>0.18501629812988946</v>
          </cell>
          <cell r="S320">
            <v>6.0177799272975008E-2</v>
          </cell>
          <cell r="T320">
            <v>11.13387365108939</v>
          </cell>
        </row>
        <row r="321">
          <cell r="B321" t="str">
            <v>Ben Revere</v>
          </cell>
          <cell r="C321">
            <v>2700</v>
          </cell>
          <cell r="D321" t="str">
            <v>WAS</v>
          </cell>
          <cell r="E321" t="str">
            <v>OF</v>
          </cell>
          <cell r="F321" t="str">
            <v>@NYM</v>
          </cell>
          <cell r="G321" t="str">
            <v>Lugo</v>
          </cell>
          <cell r="H321" t="str">
            <v>R</v>
          </cell>
          <cell r="I321" t="str">
            <v>L</v>
          </cell>
          <cell r="J321">
            <v>746</v>
          </cell>
          <cell r="K321">
            <v>21</v>
          </cell>
          <cell r="L321">
            <v>0.30026809651474529</v>
          </cell>
          <cell r="M321">
            <v>0.27333333333333332</v>
          </cell>
          <cell r="N321">
            <v>0.2868007149240393</v>
          </cell>
          <cell r="O321">
            <v>8.1428571428571433E-2</v>
          </cell>
          <cell r="P321">
            <v>0.13461538461538461</v>
          </cell>
          <cell r="Q321">
            <v>0.10802197802197802</v>
          </cell>
          <cell r="R321">
            <v>0.19741134647300868</v>
          </cell>
          <cell r="S321">
            <v>5.6242545698399996E-2</v>
          </cell>
          <cell r="T321">
            <v>11.102916675390865</v>
          </cell>
        </row>
        <row r="322">
          <cell r="B322" t="str">
            <v>Josh Phegley</v>
          </cell>
          <cell r="C322">
            <v>0</v>
          </cell>
          <cell r="D322" t="str">
            <v>OAK</v>
          </cell>
          <cell r="E322" t="str">
            <v>C</v>
          </cell>
          <cell r="F322" t="str">
            <v>BOS</v>
          </cell>
          <cell r="G322" t="str">
            <v>Rodriguez</v>
          </cell>
          <cell r="H322" t="str">
            <v>L</v>
          </cell>
          <cell r="I322" t="str">
            <v>R</v>
          </cell>
          <cell r="J322">
            <v>165</v>
          </cell>
          <cell r="K322">
            <v>24</v>
          </cell>
          <cell r="L322">
            <v>0.33454545454545459</v>
          </cell>
          <cell r="M322">
            <v>0.31575663026521061</v>
          </cell>
          <cell r="N322">
            <v>0.3251510424053326</v>
          </cell>
          <cell r="O322">
            <v>0.16447368421052633</v>
          </cell>
          <cell r="P322">
            <v>0.15397923875432526</v>
          </cell>
          <cell r="Q322">
            <v>0.15922646148242581</v>
          </cell>
          <cell r="R322">
            <v>0.2421887519438792</v>
          </cell>
          <cell r="S322">
            <v>4.5598968012150007E-2</v>
          </cell>
          <cell r="T322">
            <v>11.043557152791481</v>
          </cell>
        </row>
        <row r="323">
          <cell r="B323" t="str">
            <v>Rob Refsnyder</v>
          </cell>
          <cell r="C323">
            <v>2200</v>
          </cell>
          <cell r="D323" t="str">
            <v>NYY</v>
          </cell>
          <cell r="E323" t="str">
            <v>1B</v>
          </cell>
          <cell r="F323" t="str">
            <v>@BAL</v>
          </cell>
          <cell r="G323" t="str">
            <v>Miley</v>
          </cell>
          <cell r="H323" t="str">
            <v>L</v>
          </cell>
          <cell r="I323" t="str">
            <v>R</v>
          </cell>
          <cell r="J323">
            <v>89</v>
          </cell>
          <cell r="K323">
            <v>5</v>
          </cell>
          <cell r="L323">
            <v>0.3146067415730337</v>
          </cell>
          <cell r="M323">
            <v>0.34892665474060824</v>
          </cell>
          <cell r="N323">
            <v>0.33176669815682097</v>
          </cell>
          <cell r="O323">
            <v>7.792207792207792E-2</v>
          </cell>
          <cell r="P323">
            <v>0.17762512266928362</v>
          </cell>
          <cell r="Q323">
            <v>0.12777360029568077</v>
          </cell>
          <cell r="R323">
            <v>0.22977014922625089</v>
          </cell>
          <cell r="S323">
            <v>4.8026852032899997E-2</v>
          </cell>
          <cell r="T323">
            <v>11.035136958466504</v>
          </cell>
        </row>
        <row r="324">
          <cell r="B324" t="str">
            <v>Zack Cozart</v>
          </cell>
          <cell r="C324">
            <v>3000</v>
          </cell>
          <cell r="D324" t="str">
            <v>CIN</v>
          </cell>
          <cell r="E324" t="str">
            <v>SS</v>
          </cell>
          <cell r="F324" t="str">
            <v>STL</v>
          </cell>
          <cell r="G324" t="str">
            <v>Martinez</v>
          </cell>
          <cell r="H324" t="str">
            <v>R</v>
          </cell>
          <cell r="I324" t="str">
            <v>R</v>
          </cell>
          <cell r="J324">
            <v>536</v>
          </cell>
          <cell r="K324">
            <v>3</v>
          </cell>
          <cell r="L324">
            <v>0.32014925373134334</v>
          </cell>
          <cell r="M324">
            <v>0.25387994143484627</v>
          </cell>
          <cell r="N324">
            <v>0.28701459758309478</v>
          </cell>
          <cell r="O324">
            <v>0.1721311475409836</v>
          </cell>
          <cell r="P324">
            <v>6.4829821717990274E-2</v>
          </cell>
          <cell r="Q324">
            <v>0.11848048462948693</v>
          </cell>
          <cell r="R324">
            <v>0.20274754110629084</v>
          </cell>
          <cell r="S324">
            <v>5.4422870957999997E-2</v>
          </cell>
          <cell r="T324">
            <v>11.034103266679466</v>
          </cell>
        </row>
        <row r="325">
          <cell r="B325" t="str">
            <v>Billy Butler</v>
          </cell>
          <cell r="C325">
            <v>2600</v>
          </cell>
          <cell r="D325" t="str">
            <v>OAK</v>
          </cell>
          <cell r="E325" t="str">
            <v>1B</v>
          </cell>
          <cell r="F325" t="str">
            <v>BOS</v>
          </cell>
          <cell r="G325" t="str">
            <v>Rodriguez</v>
          </cell>
          <cell r="H325" t="str">
            <v>L</v>
          </cell>
          <cell r="I325" t="str">
            <v>R</v>
          </cell>
          <cell r="J325">
            <v>279</v>
          </cell>
          <cell r="K325">
            <v>24</v>
          </cell>
          <cell r="L325">
            <v>0.31379928315412187</v>
          </cell>
          <cell r="M325">
            <v>0.31575663026521061</v>
          </cell>
          <cell r="N325">
            <v>0.31477795670966624</v>
          </cell>
          <cell r="O325">
            <v>0.13389121338912133</v>
          </cell>
          <cell r="P325">
            <v>0.15397923875432526</v>
          </cell>
          <cell r="Q325">
            <v>0.14393522607172329</v>
          </cell>
          <cell r="R325">
            <v>0.22935659139069475</v>
          </cell>
          <cell r="S325">
            <v>4.77913435104E-2</v>
          </cell>
          <cell r="T325">
            <v>10.961259645527145</v>
          </cell>
        </row>
        <row r="326">
          <cell r="B326" t="str">
            <v>Charlie Culberson</v>
          </cell>
          <cell r="C326">
            <v>2400</v>
          </cell>
          <cell r="D326" t="str">
            <v>LAD</v>
          </cell>
          <cell r="E326" t="str">
            <v>2B</v>
          </cell>
          <cell r="F326" t="str">
            <v>SD</v>
          </cell>
          <cell r="G326" t="str">
            <v>Friedrich</v>
          </cell>
          <cell r="H326" t="str">
            <v>L</v>
          </cell>
          <cell r="I326" t="str">
            <v>R</v>
          </cell>
          <cell r="J326">
            <v>30</v>
          </cell>
          <cell r="K326">
            <v>17</v>
          </cell>
          <cell r="L326">
            <v>0.30499999999999999</v>
          </cell>
          <cell r="M326">
            <v>0.35939393939393943</v>
          </cell>
          <cell r="N326">
            <v>0.33219696969696971</v>
          </cell>
          <cell r="O326">
            <v>3.4482758620689655E-2</v>
          </cell>
          <cell r="P326">
            <v>0.15151515151515152</v>
          </cell>
          <cell r="Q326">
            <v>9.299895506792058E-2</v>
          </cell>
          <cell r="R326">
            <v>0.21259796238244516</v>
          </cell>
          <cell r="S326">
            <v>5.1277307039999998E-2</v>
          </cell>
          <cell r="T326">
            <v>10.90145099316301</v>
          </cell>
        </row>
        <row r="327">
          <cell r="B327" t="str">
            <v>Chris Gimenez</v>
          </cell>
          <cell r="C327">
            <v>2100</v>
          </cell>
          <cell r="D327" t="str">
            <v>CLE</v>
          </cell>
          <cell r="E327" t="str">
            <v>C</v>
          </cell>
          <cell r="F327" t="str">
            <v>MIA</v>
          </cell>
          <cell r="G327" t="str">
            <v>Koehler</v>
          </cell>
          <cell r="H327" t="str">
            <v>R</v>
          </cell>
          <cell r="I327" t="str">
            <v>R</v>
          </cell>
          <cell r="J327">
            <v>179</v>
          </cell>
          <cell r="K327">
            <v>14</v>
          </cell>
          <cell r="L327">
            <v>0.27262569832402234</v>
          </cell>
          <cell r="M327">
            <v>0.31426553672316382</v>
          </cell>
          <cell r="N327">
            <v>0.29344561752359311</v>
          </cell>
          <cell r="O327">
            <v>0.12962962962962962</v>
          </cell>
          <cell r="P327">
            <v>0.13687600644122383</v>
          </cell>
          <cell r="Q327">
            <v>0.13325281803542671</v>
          </cell>
          <cell r="R327">
            <v>0.21334921777950991</v>
          </cell>
          <cell r="S327">
            <v>5.09111130303E-2</v>
          </cell>
          <cell r="T327">
            <v>10.861846141298718</v>
          </cell>
        </row>
        <row r="328">
          <cell r="B328" t="str">
            <v>Cliff Pennington</v>
          </cell>
          <cell r="C328">
            <v>2000</v>
          </cell>
          <cell r="D328" t="str">
            <v>LAA</v>
          </cell>
          <cell r="E328" t="str">
            <v>SS</v>
          </cell>
          <cell r="F328" t="str">
            <v>@SEA</v>
          </cell>
          <cell r="G328" t="str">
            <v>Iwakuma</v>
          </cell>
          <cell r="H328" t="str">
            <v>R</v>
          </cell>
          <cell r="I328" t="str">
            <v>S</v>
          </cell>
          <cell r="J328">
            <v>312</v>
          </cell>
          <cell r="K328">
            <v>29</v>
          </cell>
          <cell r="L328">
            <v>0.28189102564102564</v>
          </cell>
          <cell r="M328">
            <v>0.31929674099485428</v>
          </cell>
          <cell r="N328">
            <v>0.30059388331793996</v>
          </cell>
          <cell r="O328">
            <v>0.11355311355311355</v>
          </cell>
          <cell r="P328">
            <v>0.16152450090744103</v>
          </cell>
          <cell r="Q328">
            <v>0.13753880723027728</v>
          </cell>
          <cell r="R328">
            <v>0.21906634527410862</v>
          </cell>
          <cell r="S328">
            <v>4.9576160758599996E-2</v>
          </cell>
          <cell r="T328">
            <v>10.860468350108182</v>
          </cell>
        </row>
        <row r="329">
          <cell r="B329" t="str">
            <v>Ian Desmond</v>
          </cell>
          <cell r="C329">
            <v>3500</v>
          </cell>
          <cell r="D329" t="str">
            <v>TEX</v>
          </cell>
          <cell r="E329" t="str">
            <v>OF</v>
          </cell>
          <cell r="F329" t="str">
            <v>HOU</v>
          </cell>
          <cell r="G329" t="str">
            <v>McHugh</v>
          </cell>
          <cell r="H329" t="str">
            <v>R</v>
          </cell>
          <cell r="I329" t="str">
            <v>R</v>
          </cell>
          <cell r="J329">
            <v>942</v>
          </cell>
          <cell r="K329">
            <v>7</v>
          </cell>
          <cell r="L329">
            <v>0.31050955414012738</v>
          </cell>
          <cell r="M329">
            <v>0.34371108343711082</v>
          </cell>
          <cell r="N329">
            <v>0.32711031878861907</v>
          </cell>
          <cell r="O329">
            <v>0.15819861431870669</v>
          </cell>
          <cell r="P329">
            <v>0.16666666666666666</v>
          </cell>
          <cell r="Q329">
            <v>0.16243264049268669</v>
          </cell>
          <cell r="R329">
            <v>0.24477147964065288</v>
          </cell>
          <cell r="S329">
            <v>4.5553246715999987E-2</v>
          </cell>
          <cell r="T329">
            <v>11.15013560111103</v>
          </cell>
        </row>
        <row r="330">
          <cell r="B330" t="str">
            <v>Pedro Severino</v>
          </cell>
          <cell r="C330">
            <v>0</v>
          </cell>
          <cell r="D330" t="str">
            <v>WAS</v>
          </cell>
          <cell r="E330" t="str">
            <v>C</v>
          </cell>
          <cell r="F330" t="str">
            <v>@NYM</v>
          </cell>
          <cell r="G330" t="str">
            <v>Lugo</v>
          </cell>
          <cell r="H330" t="str">
            <v>R</v>
          </cell>
          <cell r="I330" t="str">
            <v>R</v>
          </cell>
          <cell r="J330">
            <v>24</v>
          </cell>
          <cell r="K330">
            <v>21</v>
          </cell>
          <cell r="L330">
            <v>0.46249999999999997</v>
          </cell>
          <cell r="M330">
            <v>0.23782051282051278</v>
          </cell>
          <cell r="N330">
            <v>0.35016025641025639</v>
          </cell>
          <cell r="O330">
            <v>0.23809523809523808</v>
          </cell>
          <cell r="P330">
            <v>7.8125E-2</v>
          </cell>
          <cell r="Q330">
            <v>0.15811011904761904</v>
          </cell>
          <cell r="R330">
            <v>0.25413518772893773</v>
          </cell>
          <cell r="S330">
            <v>4.2542251884599994E-2</v>
          </cell>
          <cell r="T330">
            <v>10.811483169104575</v>
          </cell>
        </row>
        <row r="331">
          <cell r="B331" t="str">
            <v>Stephen Vogt</v>
          </cell>
          <cell r="C331">
            <v>2600</v>
          </cell>
          <cell r="D331" t="str">
            <v>OAK</v>
          </cell>
          <cell r="E331" t="str">
            <v>C</v>
          </cell>
          <cell r="F331" t="str">
            <v>BOS</v>
          </cell>
          <cell r="G331" t="str">
            <v>Rodriguez</v>
          </cell>
          <cell r="H331" t="str">
            <v>L</v>
          </cell>
          <cell r="I331" t="str">
            <v>L</v>
          </cell>
          <cell r="J331">
            <v>191</v>
          </cell>
          <cell r="K331">
            <v>24</v>
          </cell>
          <cell r="L331">
            <v>0.27591623036649215</v>
          </cell>
          <cell r="M331">
            <v>0.33842364532019703</v>
          </cell>
          <cell r="N331">
            <v>0.30716993784334456</v>
          </cell>
          <cell r="O331">
            <v>0.11560693641618497</v>
          </cell>
          <cell r="P331">
            <v>0.18784530386740331</v>
          </cell>
          <cell r="Q331">
            <v>0.15172612014179415</v>
          </cell>
          <cell r="R331">
            <v>0.22944802899256936</v>
          </cell>
          <cell r="S331">
            <v>4.6807637190300004E-2</v>
          </cell>
          <cell r="T331">
            <v>10.739920095113623</v>
          </cell>
        </row>
        <row r="332">
          <cell r="B332" t="str">
            <v>Yoan Moncada</v>
          </cell>
          <cell r="C332">
            <v>3000</v>
          </cell>
          <cell r="D332" t="str">
            <v>BOS</v>
          </cell>
          <cell r="E332" t="str">
            <v>3B</v>
          </cell>
          <cell r="F332" t="str">
            <v>@OAK</v>
          </cell>
          <cell r="G332" t="str">
            <v>Graveman</v>
          </cell>
          <cell r="H332" t="str">
            <v>R</v>
          </cell>
          <cell r="I332" t="str">
            <v>S</v>
          </cell>
          <cell r="J332">
            <v>6</v>
          </cell>
          <cell r="K332">
            <v>24</v>
          </cell>
          <cell r="L332">
            <v>0.32500000000000001</v>
          </cell>
          <cell r="M332">
            <v>0.33322314049586776</v>
          </cell>
          <cell r="N332">
            <v>0.32911157024793392</v>
          </cell>
          <cell r="O332">
            <v>0.2</v>
          </cell>
          <cell r="P332">
            <v>0.13703703703703704</v>
          </cell>
          <cell r="Q332">
            <v>0.16851851851851851</v>
          </cell>
          <cell r="R332">
            <v>0.24881504438322621</v>
          </cell>
          <cell r="S332">
            <v>4.3053522131250001E-2</v>
          </cell>
          <cell r="T332">
            <v>10.71236401994118</v>
          </cell>
        </row>
        <row r="333">
          <cell r="B333" t="str">
            <v>Jeff Mathis</v>
          </cell>
          <cell r="C333">
            <v>2200</v>
          </cell>
          <cell r="D333" t="str">
            <v>MIA</v>
          </cell>
          <cell r="E333" t="str">
            <v>C</v>
          </cell>
          <cell r="F333" t="str">
            <v>@CLE</v>
          </cell>
          <cell r="G333" t="str">
            <v>Salazar</v>
          </cell>
          <cell r="H333" t="str">
            <v>R</v>
          </cell>
          <cell r="I333" t="str">
            <v>R</v>
          </cell>
          <cell r="J333">
            <v>172</v>
          </cell>
          <cell r="K333">
            <v>14</v>
          </cell>
          <cell r="L333">
            <v>0.21947674418604654</v>
          </cell>
          <cell r="M333">
            <v>0.30174165457184327</v>
          </cell>
          <cell r="N333">
            <v>0.26060919937894489</v>
          </cell>
          <cell r="O333">
            <v>9.3167701863354033E-2</v>
          </cell>
          <cell r="P333">
            <v>0.12295081967213115</v>
          </cell>
          <cell r="Q333">
            <v>0.10805926076774258</v>
          </cell>
          <cell r="R333">
            <v>0.18433423007334374</v>
          </cell>
          <cell r="S333">
            <v>5.7241921439299993E-2</v>
          </cell>
          <cell r="T333">
            <v>10.551645516432192</v>
          </cell>
        </row>
        <row r="334">
          <cell r="B334" t="str">
            <v>Cameron Rupp</v>
          </cell>
          <cell r="C334">
            <v>2700</v>
          </cell>
          <cell r="D334" t="str">
            <v>PHI</v>
          </cell>
          <cell r="E334" t="str">
            <v>C</v>
          </cell>
          <cell r="F334" t="str">
            <v>ATL</v>
          </cell>
          <cell r="G334" t="str">
            <v>Teheran</v>
          </cell>
          <cell r="H334" t="str">
            <v>R</v>
          </cell>
          <cell r="I334" t="str">
            <v>R</v>
          </cell>
          <cell r="J334">
            <v>506</v>
          </cell>
          <cell r="K334">
            <v>9</v>
          </cell>
          <cell r="L334">
            <v>0.30128458498023714</v>
          </cell>
          <cell r="M334">
            <v>0.25510067114093959</v>
          </cell>
          <cell r="N334">
            <v>0.27819262806058837</v>
          </cell>
          <cell r="O334">
            <v>0.15</v>
          </cell>
          <cell r="P334">
            <v>0.11901306240928883</v>
          </cell>
          <cell r="Q334">
            <v>0.1345065312046444</v>
          </cell>
          <cell r="R334">
            <v>0.20634957963261638</v>
          </cell>
          <cell r="S334">
            <v>8.7676922109974992E-2</v>
          </cell>
          <cell r="T334">
            <v>18.092096020874987</v>
          </cell>
        </row>
        <row r="335">
          <cell r="B335" t="str">
            <v>Chris Iannetta</v>
          </cell>
          <cell r="C335">
            <v>2500</v>
          </cell>
          <cell r="D335" t="str">
            <v>SEA</v>
          </cell>
          <cell r="E335" t="str">
            <v>C</v>
          </cell>
          <cell r="F335" t="str">
            <v>LAA</v>
          </cell>
          <cell r="G335" t="str">
            <v>Shoemaker</v>
          </cell>
          <cell r="H335" t="str">
            <v>R</v>
          </cell>
          <cell r="I335" t="str">
            <v>R</v>
          </cell>
          <cell r="J335">
            <v>414</v>
          </cell>
          <cell r="K335">
            <v>29</v>
          </cell>
          <cell r="L335">
            <v>0.25881642512077296</v>
          </cell>
          <cell r="M335">
            <v>0.32975778546712803</v>
          </cell>
          <cell r="N335">
            <v>0.29428710529395052</v>
          </cell>
          <cell r="O335">
            <v>0.12806539509536785</v>
          </cell>
          <cell r="P335">
            <v>0.18198874296435272</v>
          </cell>
          <cell r="Q335">
            <v>0.1550270690298603</v>
          </cell>
          <cell r="R335">
            <v>0.22465708716190541</v>
          </cell>
          <cell r="S335">
            <v>4.6525321569600001E-2</v>
          </cell>
          <cell r="T335">
            <v>10.452243223097305</v>
          </cell>
        </row>
        <row r="336">
          <cell r="B336" t="str">
            <v>Chris Johnson</v>
          </cell>
          <cell r="C336">
            <v>2100</v>
          </cell>
          <cell r="D336" t="str">
            <v>MIA</v>
          </cell>
          <cell r="E336" t="str">
            <v>1B</v>
          </cell>
          <cell r="F336" t="str">
            <v>@CLE</v>
          </cell>
          <cell r="G336" t="str">
            <v>Salazar</v>
          </cell>
          <cell r="H336" t="str">
            <v>R</v>
          </cell>
          <cell r="I336" t="str">
            <v>R</v>
          </cell>
          <cell r="J336">
            <v>301</v>
          </cell>
          <cell r="K336">
            <v>14</v>
          </cell>
          <cell r="L336">
            <v>0.26179401993355483</v>
          </cell>
          <cell r="M336">
            <v>0.30174165457184327</v>
          </cell>
          <cell r="N336">
            <v>0.28176783725269905</v>
          </cell>
          <cell r="O336">
            <v>9.9644128113879002E-2</v>
          </cell>
          <cell r="P336">
            <v>0.12295081967213115</v>
          </cell>
          <cell r="Q336">
            <v>0.11129747389300507</v>
          </cell>
          <cell r="R336">
            <v>0.19653265557285204</v>
          </cell>
          <cell r="S336">
            <v>5.2815778797824994E-2</v>
          </cell>
          <cell r="T336">
            <v>10.380025263284882</v>
          </cell>
        </row>
        <row r="337">
          <cell r="B337" t="str">
            <v>Brian Goodwin</v>
          </cell>
          <cell r="C337">
            <v>2100</v>
          </cell>
          <cell r="D337" t="str">
            <v>WAS</v>
          </cell>
          <cell r="E337" t="str">
            <v>OF</v>
          </cell>
          <cell r="F337" t="str">
            <v>@NYM</v>
          </cell>
          <cell r="G337" t="str">
            <v>Lugo</v>
          </cell>
          <cell r="H337" t="str">
            <v>R</v>
          </cell>
          <cell r="I337" t="str">
            <v>L</v>
          </cell>
          <cell r="J337">
            <v>15</v>
          </cell>
          <cell r="K337">
            <v>21</v>
          </cell>
          <cell r="L337">
            <v>0.28666666666666668</v>
          </cell>
          <cell r="M337">
            <v>0.27333333333333332</v>
          </cell>
          <cell r="N337">
            <v>0.28000000000000003</v>
          </cell>
          <cell r="O337">
            <v>0</v>
          </cell>
          <cell r="P337">
            <v>0.13461538461538461</v>
          </cell>
          <cell r="Q337">
            <v>6.7307692307692304E-2</v>
          </cell>
          <cell r="R337">
            <v>0.17365384615384616</v>
          </cell>
          <cell r="S337">
            <v>5.9746072663199992E-2</v>
          </cell>
          <cell r="T337">
            <v>10.375135310551846</v>
          </cell>
        </row>
        <row r="338">
          <cell r="B338" t="str">
            <v>Michael Taylor</v>
          </cell>
          <cell r="C338">
            <v>2300</v>
          </cell>
          <cell r="D338" t="str">
            <v>WAS</v>
          </cell>
          <cell r="E338" t="str">
            <v>OF</v>
          </cell>
          <cell r="F338" t="str">
            <v>@NYM</v>
          </cell>
          <cell r="G338" t="str">
            <v>Lugo</v>
          </cell>
          <cell r="H338" t="str">
            <v>R</v>
          </cell>
          <cell r="I338" t="str">
            <v>R</v>
          </cell>
          <cell r="J338">
            <v>539</v>
          </cell>
          <cell r="K338">
            <v>21</v>
          </cell>
          <cell r="L338">
            <v>0.27717996289424857</v>
          </cell>
          <cell r="M338">
            <v>0.23782051282051278</v>
          </cell>
          <cell r="N338">
            <v>0.25750023785738069</v>
          </cell>
          <cell r="O338">
            <v>0.12625250501002003</v>
          </cell>
          <cell r="P338">
            <v>7.8125E-2</v>
          </cell>
          <cell r="Q338">
            <v>0.10218875250501001</v>
          </cell>
          <cell r="R338">
            <v>0.17984449518119536</v>
          </cell>
          <cell r="S338">
            <v>5.7575257847999994E-2</v>
          </cell>
          <cell r="T338">
            <v>10.354593182600714</v>
          </cell>
        </row>
        <row r="339">
          <cell r="B339" t="str">
            <v>George Springer</v>
          </cell>
          <cell r="C339">
            <v>3700</v>
          </cell>
          <cell r="D339" t="str">
            <v>HOU</v>
          </cell>
          <cell r="E339" t="str">
            <v>OF</v>
          </cell>
          <cell r="F339" t="str">
            <v>@TEX</v>
          </cell>
          <cell r="G339" t="str">
            <v>Darvish</v>
          </cell>
          <cell r="H339" t="str">
            <v>R</v>
          </cell>
          <cell r="I339" t="str">
            <v>R</v>
          </cell>
          <cell r="J339">
            <v>743</v>
          </cell>
          <cell r="K339">
            <v>7</v>
          </cell>
          <cell r="L339">
            <v>0.33963660834454912</v>
          </cell>
          <cell r="M339">
            <v>0.29222972972972971</v>
          </cell>
          <cell r="N339">
            <v>0.31593316903713942</v>
          </cell>
          <cell r="O339">
            <v>0.16897081413210446</v>
          </cell>
          <cell r="P339">
            <v>0.16788321167883211</v>
          </cell>
          <cell r="Q339">
            <v>0.1684270129054683</v>
          </cell>
          <cell r="R339">
            <v>0.24218009097130386</v>
          </cell>
          <cell r="S339">
            <v>4.4754189969524988E-2</v>
          </cell>
          <cell r="T339">
            <v>10.838573798166577</v>
          </cell>
        </row>
        <row r="340">
          <cell r="B340" t="str">
            <v>Carlos Gomez</v>
          </cell>
          <cell r="C340">
            <v>2600</v>
          </cell>
          <cell r="D340" t="str">
            <v>TEX</v>
          </cell>
          <cell r="E340" t="str">
            <v>OF</v>
          </cell>
          <cell r="F340" t="str">
            <v>HOU</v>
          </cell>
          <cell r="G340" t="str">
            <v>McHugh</v>
          </cell>
          <cell r="H340" t="str">
            <v>R</v>
          </cell>
          <cell r="I340" t="str">
            <v>R</v>
          </cell>
          <cell r="J340">
            <v>621</v>
          </cell>
          <cell r="K340">
            <v>7</v>
          </cell>
          <cell r="L340">
            <v>0.30241545893719807</v>
          </cell>
          <cell r="M340">
            <v>0.34371108343711082</v>
          </cell>
          <cell r="N340">
            <v>0.32306327118715444</v>
          </cell>
          <cell r="O340">
            <v>0.14938488576449913</v>
          </cell>
          <cell r="P340">
            <v>0.16666666666666666</v>
          </cell>
          <cell r="Q340">
            <v>0.15802577621558289</v>
          </cell>
          <cell r="R340">
            <v>0.24054452370136867</v>
          </cell>
          <cell r="S340">
            <v>4.29477533841E-2</v>
          </cell>
          <cell r="T340">
            <v>10.330846881822179</v>
          </cell>
        </row>
        <row r="341">
          <cell r="B341" t="str">
            <v>James Loney</v>
          </cell>
          <cell r="C341">
            <v>2400</v>
          </cell>
          <cell r="D341" t="str">
            <v>NYM</v>
          </cell>
          <cell r="E341" t="str">
            <v>1B</v>
          </cell>
          <cell r="F341" t="str">
            <v>WAS</v>
          </cell>
          <cell r="G341" t="str">
            <v>Lopez</v>
          </cell>
          <cell r="H341" t="str">
            <v>R</v>
          </cell>
          <cell r="I341" t="str">
            <v>L</v>
          </cell>
          <cell r="J341">
            <v>554</v>
          </cell>
          <cell r="K341">
            <v>21</v>
          </cell>
          <cell r="L341">
            <v>0.31660649819494585</v>
          </cell>
          <cell r="M341">
            <v>0.28203125000000001</v>
          </cell>
          <cell r="N341">
            <v>0.29931887409747293</v>
          </cell>
          <cell r="O341">
            <v>9.7465886939571145E-2</v>
          </cell>
          <cell r="P341">
            <v>0.16666666666666666</v>
          </cell>
          <cell r="Q341">
            <v>0.13206627680311889</v>
          </cell>
          <cell r="R341">
            <v>0.21569257545029591</v>
          </cell>
          <cell r="S341">
            <v>4.73983107918E-2</v>
          </cell>
          <cell r="T341">
            <v>10.223463726676895</v>
          </cell>
        </row>
        <row r="342">
          <cell r="B342" t="str">
            <v>Jacob Marisnick</v>
          </cell>
          <cell r="C342">
            <v>2500</v>
          </cell>
          <cell r="D342" t="str">
            <v>HOU</v>
          </cell>
          <cell r="E342" t="str">
            <v>OF</v>
          </cell>
          <cell r="F342" t="str">
            <v>@TEX</v>
          </cell>
          <cell r="G342" t="str">
            <v>Darvish</v>
          </cell>
          <cell r="H342" t="str">
            <v>R</v>
          </cell>
          <cell r="I342" t="str">
            <v>R</v>
          </cell>
          <cell r="J342">
            <v>357</v>
          </cell>
          <cell r="K342">
            <v>7</v>
          </cell>
          <cell r="L342">
            <v>0.26932773109243702</v>
          </cell>
          <cell r="M342">
            <v>0.29222972972972971</v>
          </cell>
          <cell r="N342">
            <v>0.28077873041108337</v>
          </cell>
          <cell r="O342">
            <v>9.480122324159021E-2</v>
          </cell>
          <cell r="P342">
            <v>0.16788321167883211</v>
          </cell>
          <cell r="Q342">
            <v>0.13134221746021116</v>
          </cell>
          <cell r="R342">
            <v>0.20606047393564725</v>
          </cell>
          <cell r="S342">
            <v>4.9900964773199989E-2</v>
          </cell>
          <cell r="T342">
            <v>10.282616451011629</v>
          </cell>
        </row>
        <row r="343">
          <cell r="B343" t="str">
            <v>Chad Pinder</v>
          </cell>
          <cell r="C343">
            <v>2100</v>
          </cell>
          <cell r="D343" t="str">
            <v>OAK</v>
          </cell>
          <cell r="E343" t="str">
            <v>2B</v>
          </cell>
          <cell r="F343" t="str">
            <v>BOS</v>
          </cell>
          <cell r="G343" t="str">
            <v>Rodriguez</v>
          </cell>
          <cell r="H343" t="str">
            <v>L</v>
          </cell>
          <cell r="I343" t="str">
            <v>R</v>
          </cell>
          <cell r="J343">
            <v>13</v>
          </cell>
          <cell r="K343">
            <v>24</v>
          </cell>
          <cell r="L343">
            <v>0.13846153846153847</v>
          </cell>
          <cell r="M343">
            <v>0.31575663026521061</v>
          </cell>
          <cell r="N343">
            <v>0.22710908436337454</v>
          </cell>
          <cell r="O343">
            <v>0</v>
          </cell>
          <cell r="P343">
            <v>0.15397923875432526</v>
          </cell>
          <cell r="Q343">
            <v>7.698961937716263E-2</v>
          </cell>
          <cell r="R343">
            <v>0.15204935187026858</v>
          </cell>
          <cell r="S343">
            <v>6.6314697278999996E-2</v>
          </cell>
          <cell r="T343">
            <v>10.083106740745011</v>
          </cell>
        </row>
        <row r="344">
          <cell r="B344" t="str">
            <v>Leonys Martin</v>
          </cell>
          <cell r="C344">
            <v>2700</v>
          </cell>
          <cell r="D344" t="str">
            <v>SEA</v>
          </cell>
          <cell r="E344" t="str">
            <v>OF</v>
          </cell>
          <cell r="F344" t="str">
            <v>LAA</v>
          </cell>
          <cell r="G344" t="str">
            <v>Shoemaker</v>
          </cell>
          <cell r="H344" t="str">
            <v>R</v>
          </cell>
          <cell r="I344" t="str">
            <v>L</v>
          </cell>
          <cell r="J344">
            <v>511</v>
          </cell>
          <cell r="K344">
            <v>29</v>
          </cell>
          <cell r="L344">
            <v>0.27896281800391393</v>
          </cell>
          <cell r="M344">
            <v>0.31039755351681958</v>
          </cell>
          <cell r="N344">
            <v>0.29468018576036675</v>
          </cell>
          <cell r="O344">
            <v>0.12582781456953643</v>
          </cell>
          <cell r="P344">
            <v>0.16501650165016502</v>
          </cell>
          <cell r="Q344">
            <v>0.14542215810985071</v>
          </cell>
          <cell r="R344">
            <v>0.22005117193510873</v>
          </cell>
          <cell r="S344">
            <v>4.5436134432899997E-2</v>
          </cell>
          <cell r="T344">
            <v>9.9982746301607914</v>
          </cell>
        </row>
        <row r="345">
          <cell r="B345" t="str">
            <v>Lonnie Chisenhall</v>
          </cell>
          <cell r="C345">
            <v>2800</v>
          </cell>
          <cell r="D345" t="str">
            <v>CLE</v>
          </cell>
          <cell r="E345" t="str">
            <v>OF</v>
          </cell>
          <cell r="F345" t="str">
            <v>MIA</v>
          </cell>
          <cell r="G345" t="str">
            <v>Koehler</v>
          </cell>
          <cell r="H345" t="str">
            <v>R</v>
          </cell>
          <cell r="I345" t="str">
            <v>L</v>
          </cell>
          <cell r="J345">
            <v>609</v>
          </cell>
          <cell r="K345">
            <v>14</v>
          </cell>
          <cell r="L345">
            <v>0.3183087027914614</v>
          </cell>
          <cell r="M345">
            <v>0.33355525965379496</v>
          </cell>
          <cell r="N345">
            <v>0.32593198122262818</v>
          </cell>
          <cell r="O345">
            <v>0.15178571428571427</v>
          </cell>
          <cell r="P345">
            <v>0.16036308623298035</v>
          </cell>
          <cell r="Q345">
            <v>0.15607440025934732</v>
          </cell>
          <cell r="R345">
            <v>0.24100319074098775</v>
          </cell>
          <cell r="S345">
            <v>4.1164450132500002E-2</v>
          </cell>
          <cell r="T345">
            <v>9.9207638270307754</v>
          </cell>
        </row>
        <row r="346">
          <cell r="B346" t="str">
            <v>Bobby Wilson</v>
          </cell>
          <cell r="C346">
            <v>2200</v>
          </cell>
          <cell r="D346" t="str">
            <v>TB</v>
          </cell>
          <cell r="E346" t="str">
            <v>C</v>
          </cell>
          <cell r="F346" t="str">
            <v>TOR</v>
          </cell>
          <cell r="G346" t="str">
            <v>Happ</v>
          </cell>
          <cell r="H346" t="str">
            <v>L</v>
          </cell>
          <cell r="I346" t="str">
            <v>R</v>
          </cell>
          <cell r="J346">
            <v>98</v>
          </cell>
          <cell r="K346">
            <v>23</v>
          </cell>
          <cell r="L346">
            <v>0.24693877551020407</v>
          </cell>
          <cell r="M346">
            <v>0.30424528301886794</v>
          </cell>
          <cell r="N346">
            <v>0.27559202926453602</v>
          </cell>
          <cell r="O346">
            <v>9.1954022988505746E-2</v>
          </cell>
          <cell r="P346">
            <v>0.15061475409836064</v>
          </cell>
          <cell r="Q346">
            <v>0.12128438854343319</v>
          </cell>
          <cell r="R346">
            <v>0.19843820890398461</v>
          </cell>
          <cell r="S346">
            <v>5.2851420240000002E-2</v>
          </cell>
          <cell r="T346">
            <v>10.487741170457403</v>
          </cell>
        </row>
        <row r="347">
          <cell r="B347" t="str">
            <v>Drew Butera</v>
          </cell>
          <cell r="C347">
            <v>2000</v>
          </cell>
          <cell r="D347" t="str">
            <v>KC</v>
          </cell>
          <cell r="E347" t="str">
            <v>C</v>
          </cell>
          <cell r="F347" t="str">
            <v>DET</v>
          </cell>
          <cell r="G347" t="str">
            <v>Norris</v>
          </cell>
          <cell r="H347" t="str">
            <v>L</v>
          </cell>
          <cell r="I347" t="str">
            <v>R</v>
          </cell>
          <cell r="J347">
            <v>51</v>
          </cell>
          <cell r="K347">
            <v>20</v>
          </cell>
          <cell r="L347">
            <v>0.23137254901960785</v>
          </cell>
          <cell r="M347">
            <v>0.31510903426791281</v>
          </cell>
          <cell r="N347">
            <v>0.27324079164376036</v>
          </cell>
          <cell r="O347">
            <v>4.3478260869565216E-2</v>
          </cell>
          <cell r="P347">
            <v>0.1678082191780822</v>
          </cell>
          <cell r="Q347">
            <v>0.10564324002382371</v>
          </cell>
          <cell r="R347">
            <v>0.18944201583379203</v>
          </cell>
          <cell r="S347">
            <v>5.3952352999199996E-2</v>
          </cell>
          <cell r="T347">
            <v>10.220842511144783</v>
          </cell>
        </row>
        <row r="348">
          <cell r="B348" t="str">
            <v>Elvis Andrus</v>
          </cell>
          <cell r="C348">
            <v>2400</v>
          </cell>
          <cell r="D348" t="str">
            <v>TEX</v>
          </cell>
          <cell r="E348" t="str">
            <v>SS</v>
          </cell>
          <cell r="F348" t="str">
            <v>HOU</v>
          </cell>
          <cell r="G348" t="str">
            <v>McHugh</v>
          </cell>
          <cell r="H348" t="str">
            <v>R</v>
          </cell>
          <cell r="I348" t="str">
            <v>R</v>
          </cell>
          <cell r="J348">
            <v>791</v>
          </cell>
          <cell r="K348">
            <v>7</v>
          </cell>
          <cell r="L348">
            <v>0.29437420986093554</v>
          </cell>
          <cell r="M348">
            <v>0.34371108343711082</v>
          </cell>
          <cell r="N348">
            <v>0.31904264664902315</v>
          </cell>
          <cell r="O348">
            <v>8.6647727272727279E-2</v>
          </cell>
          <cell r="P348">
            <v>0.16666666666666666</v>
          </cell>
          <cell r="Q348">
            <v>0.12665719696969696</v>
          </cell>
          <cell r="R348">
            <v>0.22284992180936006</v>
          </cell>
          <cell r="S348">
            <v>4.4173629201E-2</v>
          </cell>
          <cell r="T348">
            <v>9.8440898134785133</v>
          </cell>
        </row>
        <row r="349">
          <cell r="B349" t="str">
            <v>Yangervis Solarte</v>
          </cell>
          <cell r="C349">
            <v>3100</v>
          </cell>
          <cell r="D349" t="str">
            <v>SD</v>
          </cell>
          <cell r="E349" t="str">
            <v>3B</v>
          </cell>
          <cell r="F349" t="str">
            <v>@LAD</v>
          </cell>
          <cell r="G349" t="str">
            <v>Deleon</v>
          </cell>
          <cell r="H349" t="str">
            <v>R</v>
          </cell>
          <cell r="I349" t="str">
            <v>S</v>
          </cell>
          <cell r="J349">
            <v>722</v>
          </cell>
          <cell r="K349">
            <v>17</v>
          </cell>
          <cell r="L349">
            <v>0.33871191135734074</v>
          </cell>
          <cell r="M349">
            <v>0.31</v>
          </cell>
          <cell r="N349">
            <v>0.32435595567867037</v>
          </cell>
          <cell r="O349">
            <v>0.17673716012084592</v>
          </cell>
          <cell r="P349">
            <v>0.16</v>
          </cell>
          <cell r="Q349">
            <v>0.16836858006042296</v>
          </cell>
          <cell r="R349">
            <v>0.24636226786954668</v>
          </cell>
          <cell r="S349">
            <v>7.6185352493999992E-2</v>
          </cell>
          <cell r="T349">
            <v>18.769196218862664</v>
          </cell>
        </row>
        <row r="350">
          <cell r="B350" t="str">
            <v>Raimel Tapia</v>
          </cell>
          <cell r="C350">
            <v>0</v>
          </cell>
          <cell r="D350" t="str">
            <v>COL</v>
          </cell>
          <cell r="E350" t="str">
            <v>OF</v>
          </cell>
          <cell r="F350" t="str">
            <v>ARI</v>
          </cell>
          <cell r="G350" t="str">
            <v>Bradley</v>
          </cell>
          <cell r="H350" t="str">
            <v>R</v>
          </cell>
          <cell r="I350" t="str">
            <v>L</v>
          </cell>
          <cell r="J350">
            <v>5</v>
          </cell>
          <cell r="K350">
            <v>1</v>
          </cell>
          <cell r="L350">
            <v>0.36</v>
          </cell>
          <cell r="M350">
            <v>0.38090909090909086</v>
          </cell>
          <cell r="N350">
            <v>0.37045454545454543</v>
          </cell>
          <cell r="O350">
            <v>0</v>
          </cell>
          <cell r="P350">
            <v>0.18545454545454546</v>
          </cell>
          <cell r="Q350">
            <v>9.2727272727272728E-2</v>
          </cell>
          <cell r="R350">
            <v>0.23159090909090907</v>
          </cell>
          <cell r="S350">
            <v>4.2168246256199998E-2</v>
          </cell>
          <cell r="T350">
            <v>9.7657824852426796</v>
          </cell>
        </row>
        <row r="351">
          <cell r="B351" t="str">
            <v>Domingo Santana</v>
          </cell>
          <cell r="C351">
            <v>2000</v>
          </cell>
          <cell r="D351" t="str">
            <v>MIL</v>
          </cell>
          <cell r="E351" t="str">
            <v>OF</v>
          </cell>
          <cell r="F351" t="str">
            <v>@PIT</v>
          </cell>
          <cell r="G351" t="str">
            <v>Brault</v>
          </cell>
          <cell r="H351" t="str">
            <v>L</v>
          </cell>
          <cell r="I351" t="str">
            <v>R</v>
          </cell>
          <cell r="J351">
            <v>122</v>
          </cell>
          <cell r="K351">
            <v>27</v>
          </cell>
          <cell r="L351">
            <v>0.38688524590163936</v>
          </cell>
          <cell r="M351">
            <v>0.34711538461538455</v>
          </cell>
          <cell r="N351">
            <v>0.36700031525851196</v>
          </cell>
          <cell r="O351">
            <v>0.20192307692307693</v>
          </cell>
          <cell r="P351">
            <v>0.13636363636363635</v>
          </cell>
          <cell r="Q351">
            <v>0.16914335664335664</v>
          </cell>
          <cell r="R351">
            <v>0.26807183595093431</v>
          </cell>
          <cell r="S351">
            <v>3.58794560061E-2</v>
          </cell>
          <cell r="T351">
            <v>9.6182716444760032</v>
          </cell>
        </row>
        <row r="352">
          <cell r="B352" t="str">
            <v>Tony Kemp</v>
          </cell>
          <cell r="C352">
            <v>2500</v>
          </cell>
          <cell r="D352" t="str">
            <v>HOU</v>
          </cell>
          <cell r="E352" t="str">
            <v>OF</v>
          </cell>
          <cell r="F352" t="str">
            <v>@TEX</v>
          </cell>
          <cell r="G352" t="str">
            <v>Darvish</v>
          </cell>
          <cell r="H352" t="str">
            <v>R</v>
          </cell>
          <cell r="I352" t="str">
            <v>L</v>
          </cell>
          <cell r="J352">
            <v>73</v>
          </cell>
          <cell r="K352">
            <v>7</v>
          </cell>
          <cell r="L352">
            <v>0.30547945205479454</v>
          </cell>
          <cell r="M352">
            <v>0.2795918367346939</v>
          </cell>
          <cell r="N352">
            <v>0.29253564439474422</v>
          </cell>
          <cell r="O352">
            <v>9.375E-2</v>
          </cell>
          <cell r="P352">
            <v>0.14393939393939395</v>
          </cell>
          <cell r="Q352">
            <v>0.11884469696969698</v>
          </cell>
          <cell r="R352">
            <v>0.20569017068222059</v>
          </cell>
          <cell r="S352">
            <v>4.7802257815199992E-2</v>
          </cell>
          <cell r="T352">
            <v>9.8324545690039997</v>
          </cell>
        </row>
        <row r="353">
          <cell r="B353" t="str">
            <v>Steve Clevenger</v>
          </cell>
          <cell r="C353">
            <v>0</v>
          </cell>
          <cell r="D353" t="str">
            <v>SEA</v>
          </cell>
          <cell r="E353" t="str">
            <v>C</v>
          </cell>
          <cell r="F353" t="str">
            <v>LAA</v>
          </cell>
          <cell r="G353" t="str">
            <v>Shoemaker</v>
          </cell>
          <cell r="H353" t="str">
            <v>R</v>
          </cell>
          <cell r="I353" t="str">
            <v>L</v>
          </cell>
          <cell r="J353">
            <v>169</v>
          </cell>
          <cell r="K353">
            <v>29</v>
          </cell>
          <cell r="L353">
            <v>0.31035502958579886</v>
          </cell>
          <cell r="M353">
            <v>0.31039755351681958</v>
          </cell>
          <cell r="N353">
            <v>0.31037629155130919</v>
          </cell>
          <cell r="O353">
            <v>0.12738853503184713</v>
          </cell>
          <cell r="P353">
            <v>0.16501650165016502</v>
          </cell>
          <cell r="Q353">
            <v>0.14620251834100606</v>
          </cell>
          <cell r="R353">
            <v>0.22828940494615763</v>
          </cell>
          <cell r="S353">
            <v>4.1952163072800003E-2</v>
          </cell>
          <cell r="T353">
            <v>9.5772343440936805</v>
          </cell>
        </row>
        <row r="354">
          <cell r="B354" t="str">
            <v>Orlando Arcia</v>
          </cell>
          <cell r="C354">
            <v>2600</v>
          </cell>
          <cell r="D354" t="str">
            <v>MIL</v>
          </cell>
          <cell r="E354" t="str">
            <v>SS</v>
          </cell>
          <cell r="F354" t="str">
            <v>@PIT</v>
          </cell>
          <cell r="G354" t="str">
            <v>Brault</v>
          </cell>
          <cell r="H354" t="str">
            <v>L</v>
          </cell>
          <cell r="I354" t="str">
            <v>R</v>
          </cell>
          <cell r="J354">
            <v>28</v>
          </cell>
          <cell r="K354">
            <v>27</v>
          </cell>
          <cell r="L354">
            <v>0.38750000000000001</v>
          </cell>
          <cell r="M354">
            <v>0.34711538461538455</v>
          </cell>
          <cell r="N354">
            <v>0.36730769230769228</v>
          </cell>
          <cell r="O354">
            <v>0.13043478260869565</v>
          </cell>
          <cell r="P354">
            <v>0.13636363636363635</v>
          </cell>
          <cell r="Q354">
            <v>0.13339920948616601</v>
          </cell>
          <cell r="R354">
            <v>0.25035345089692917</v>
          </cell>
          <cell r="S354">
            <v>3.8099209272200001E-2</v>
          </cell>
          <cell r="T354">
            <v>9.5382685177395512</v>
          </cell>
        </row>
        <row r="355">
          <cell r="B355" t="str">
            <v>Wil Myers</v>
          </cell>
          <cell r="C355">
            <v>3500</v>
          </cell>
          <cell r="D355" t="str">
            <v>SD</v>
          </cell>
          <cell r="E355" t="str">
            <v>1B</v>
          </cell>
          <cell r="F355" t="str">
            <v>@LAD</v>
          </cell>
          <cell r="G355" t="str">
            <v>Deleon</v>
          </cell>
          <cell r="H355" t="str">
            <v>R</v>
          </cell>
          <cell r="I355" t="str">
            <v>R</v>
          </cell>
          <cell r="J355">
            <v>622</v>
          </cell>
          <cell r="K355">
            <v>17</v>
          </cell>
          <cell r="L355">
            <v>0.33199356913183281</v>
          </cell>
          <cell r="M355">
            <v>0.31</v>
          </cell>
          <cell r="N355">
            <v>0.3209967845659164</v>
          </cell>
          <cell r="O355">
            <v>0.19424460431654678</v>
          </cell>
          <cell r="P355">
            <v>0.16</v>
          </cell>
          <cell r="Q355">
            <v>0.1771223021582734</v>
          </cell>
          <cell r="R355">
            <v>0.2490595433620949</v>
          </cell>
          <cell r="S355">
            <v>7.2037326001750002E-2</v>
          </cell>
          <cell r="T355">
            <v>17.94158351902222</v>
          </cell>
        </row>
        <row r="356">
          <cell r="B356" t="str">
            <v>AJ Reed</v>
          </cell>
          <cell r="C356">
            <v>2300</v>
          </cell>
          <cell r="D356" t="str">
            <v>HOU</v>
          </cell>
          <cell r="E356" t="str">
            <v>1B</v>
          </cell>
          <cell r="F356" t="str">
            <v>@TEX</v>
          </cell>
          <cell r="G356" t="str">
            <v>Darvish</v>
          </cell>
          <cell r="H356" t="str">
            <v>R</v>
          </cell>
          <cell r="I356" t="str">
            <v>L</v>
          </cell>
          <cell r="J356">
            <v>107</v>
          </cell>
          <cell r="K356">
            <v>7</v>
          </cell>
          <cell r="L356">
            <v>0.27523364485981305</v>
          </cell>
          <cell r="M356">
            <v>0.2795918367346939</v>
          </cell>
          <cell r="N356">
            <v>0.27741274079725348</v>
          </cell>
          <cell r="O356">
            <v>0.13043478260869565</v>
          </cell>
          <cell r="P356">
            <v>0.14393939393939395</v>
          </cell>
          <cell r="Q356">
            <v>0.1371870882740448</v>
          </cell>
          <cell r="R356">
            <v>0.20729991453564914</v>
          </cell>
          <cell r="S356">
            <v>4.6343606780099994E-2</v>
          </cell>
          <cell r="T356">
            <v>9.6070257247884587</v>
          </cell>
        </row>
        <row r="357">
          <cell r="B357" t="str">
            <v>Ty Kelly</v>
          </cell>
          <cell r="C357">
            <v>2200</v>
          </cell>
          <cell r="D357" t="str">
            <v>NYM</v>
          </cell>
          <cell r="E357" t="str">
            <v>1B</v>
          </cell>
          <cell r="F357" t="str">
            <v>WAS</v>
          </cell>
          <cell r="G357" t="str">
            <v>Lopez</v>
          </cell>
          <cell r="H357" t="str">
            <v>R</v>
          </cell>
          <cell r="I357" t="str">
            <v>S</v>
          </cell>
          <cell r="J357">
            <v>35</v>
          </cell>
          <cell r="K357">
            <v>21</v>
          </cell>
          <cell r="L357">
            <v>0.25</v>
          </cell>
          <cell r="M357">
            <v>0.28203125000000001</v>
          </cell>
          <cell r="N357">
            <v>0.26601562499999998</v>
          </cell>
          <cell r="O357">
            <v>0.13333333333333333</v>
          </cell>
          <cell r="P357">
            <v>0.16666666666666666</v>
          </cell>
          <cell r="Q357">
            <v>0.15</v>
          </cell>
          <cell r="R357">
            <v>0.2080078125</v>
          </cell>
          <cell r="S357">
            <v>4.44376210824E-2</v>
          </cell>
          <cell r="T357">
            <v>9.2433723540539052</v>
          </cell>
        </row>
        <row r="358">
          <cell r="B358" t="str">
            <v>Ketel Marte</v>
          </cell>
          <cell r="C358">
            <v>2600</v>
          </cell>
          <cell r="D358" t="str">
            <v>SEA</v>
          </cell>
          <cell r="E358" t="str">
            <v>SS</v>
          </cell>
          <cell r="F358" t="str">
            <v>LAA</v>
          </cell>
          <cell r="G358" t="str">
            <v>Shoemaker</v>
          </cell>
          <cell r="H358" t="str">
            <v>R</v>
          </cell>
          <cell r="I358" t="str">
            <v>S</v>
          </cell>
          <cell r="J358">
            <v>381</v>
          </cell>
          <cell r="K358">
            <v>29</v>
          </cell>
          <cell r="L358">
            <v>0.31981627296587928</v>
          </cell>
          <cell r="M358">
            <v>0.31039755351681958</v>
          </cell>
          <cell r="N358">
            <v>0.31510691324134943</v>
          </cell>
          <cell r="O358">
            <v>8.9595375722543349E-2</v>
          </cell>
          <cell r="P358">
            <v>0.16501650165016502</v>
          </cell>
          <cell r="Q358">
            <v>0.12730593868635418</v>
          </cell>
          <cell r="R358">
            <v>0.22120642596385182</v>
          </cell>
          <cell r="S358">
            <v>4.1676499402049996E-2</v>
          </cell>
          <cell r="T358">
            <v>9.2191094794120882</v>
          </cell>
        </row>
        <row r="359">
          <cell r="B359" t="str">
            <v>Erick Aybar</v>
          </cell>
          <cell r="C359">
            <v>2100</v>
          </cell>
          <cell r="D359" t="str">
            <v>DET</v>
          </cell>
          <cell r="E359" t="str">
            <v>SS</v>
          </cell>
          <cell r="F359" t="str">
            <v>@KC</v>
          </cell>
          <cell r="G359" t="str">
            <v>Volquez</v>
          </cell>
          <cell r="H359" t="str">
            <v>R</v>
          </cell>
          <cell r="I359" t="str">
            <v>S</v>
          </cell>
          <cell r="J359">
            <v>762</v>
          </cell>
          <cell r="K359">
            <v>20</v>
          </cell>
          <cell r="L359">
            <v>0.28503937007874014</v>
          </cell>
          <cell r="M359">
            <v>0.32149068322981367</v>
          </cell>
          <cell r="N359">
            <v>0.3032650266542769</v>
          </cell>
          <cell r="O359">
            <v>8.0924855491329481E-2</v>
          </cell>
          <cell r="P359">
            <v>0.14125874125874127</v>
          </cell>
          <cell r="Q359">
            <v>0.11109179837503538</v>
          </cell>
          <cell r="R359">
            <v>0.20717841251465613</v>
          </cell>
          <cell r="S359">
            <v>4.473326717935E-2</v>
          </cell>
          <cell r="T359">
            <v>9.267767280811702</v>
          </cell>
        </row>
        <row r="360">
          <cell r="B360" t="str">
            <v>Matt McBride</v>
          </cell>
          <cell r="C360">
            <v>2200</v>
          </cell>
          <cell r="D360" t="str">
            <v>OAK</v>
          </cell>
          <cell r="E360" t="str">
            <v>OF</v>
          </cell>
          <cell r="F360" t="str">
            <v>BOS</v>
          </cell>
          <cell r="G360" t="str">
            <v>Rodriguez</v>
          </cell>
          <cell r="H360" t="str">
            <v>L</v>
          </cell>
          <cell r="I360" t="str">
            <v>R</v>
          </cell>
          <cell r="J360">
            <v>35</v>
          </cell>
          <cell r="K360">
            <v>24</v>
          </cell>
          <cell r="L360">
            <v>0.26142857142857145</v>
          </cell>
          <cell r="M360">
            <v>0.31575663026521061</v>
          </cell>
          <cell r="N360">
            <v>0.28859260084689103</v>
          </cell>
          <cell r="O360">
            <v>8.5714285714285715E-2</v>
          </cell>
          <cell r="P360">
            <v>0.15397923875432526</v>
          </cell>
          <cell r="Q360">
            <v>0.11984676223430549</v>
          </cell>
          <cell r="R360">
            <v>0.20421968154059827</v>
          </cell>
          <cell r="S360">
            <v>4.4521074704400004E-2</v>
          </cell>
          <cell r="T360">
            <v>9.0920796979777556</v>
          </cell>
        </row>
        <row r="361">
          <cell r="B361" t="str">
            <v>Scooter Gennett</v>
          </cell>
          <cell r="C361">
            <v>3000</v>
          </cell>
          <cell r="D361" t="str">
            <v>MIL</v>
          </cell>
          <cell r="E361" t="str">
            <v>2B</v>
          </cell>
          <cell r="F361" t="str">
            <v>@PIT</v>
          </cell>
          <cell r="G361" t="str">
            <v>Brault</v>
          </cell>
          <cell r="H361" t="str">
            <v>L</v>
          </cell>
          <cell r="I361" t="str">
            <v>L</v>
          </cell>
          <cell r="J361">
            <v>136</v>
          </cell>
          <cell r="K361">
            <v>27</v>
          </cell>
          <cell r="L361">
            <v>0.27610294117647055</v>
          </cell>
          <cell r="M361">
            <v>0.31785714285714289</v>
          </cell>
          <cell r="N361">
            <v>0.29698004201680672</v>
          </cell>
          <cell r="O361">
            <v>0.10483870967741936</v>
          </cell>
          <cell r="P361">
            <v>8.3333333333333329E-2</v>
          </cell>
          <cell r="Q361">
            <v>9.4086021505376344E-2</v>
          </cell>
          <cell r="R361">
            <v>0.19553303176109155</v>
          </cell>
          <cell r="S361">
            <v>4.6458402896549997E-2</v>
          </cell>
          <cell r="T361">
            <v>9.084152369140698</v>
          </cell>
        </row>
        <row r="362">
          <cell r="B362" t="str">
            <v>Alcides Escobar</v>
          </cell>
          <cell r="C362">
            <v>2600</v>
          </cell>
          <cell r="D362" t="str">
            <v>KC</v>
          </cell>
          <cell r="E362" t="str">
            <v>SS</v>
          </cell>
          <cell r="F362" t="str">
            <v>DET</v>
          </cell>
          <cell r="G362" t="str">
            <v>Norris</v>
          </cell>
          <cell r="H362" t="str">
            <v>L</v>
          </cell>
          <cell r="I362" t="str">
            <v>R</v>
          </cell>
          <cell r="J362">
            <v>333</v>
          </cell>
          <cell r="K362">
            <v>20</v>
          </cell>
          <cell r="L362">
            <v>0.26336336336336336</v>
          </cell>
          <cell r="M362">
            <v>0.31510903426791281</v>
          </cell>
          <cell r="N362">
            <v>0.28923619881563811</v>
          </cell>
          <cell r="O362">
            <v>6.6225165562913912E-2</v>
          </cell>
          <cell r="P362">
            <v>0.1678082191780822</v>
          </cell>
          <cell r="Q362">
            <v>0.11701669237049805</v>
          </cell>
          <cell r="R362">
            <v>0.20312644559306808</v>
          </cell>
          <cell r="S362">
            <v>4.5301156030049999E-2</v>
          </cell>
          <cell r="T362">
            <v>9.2018628056410403</v>
          </cell>
        </row>
        <row r="363">
          <cell r="B363" t="str">
            <v>Jurickson Profar</v>
          </cell>
          <cell r="C363">
            <v>2500</v>
          </cell>
          <cell r="D363" t="str">
            <v>TEX</v>
          </cell>
          <cell r="E363" t="str">
            <v>OF</v>
          </cell>
          <cell r="F363" t="str">
            <v>HOU</v>
          </cell>
          <cell r="G363" t="str">
            <v>McHugh</v>
          </cell>
          <cell r="H363" t="str">
            <v>R</v>
          </cell>
          <cell r="I363" t="str">
            <v>S</v>
          </cell>
          <cell r="J363">
            <v>184</v>
          </cell>
          <cell r="K363">
            <v>7</v>
          </cell>
          <cell r="L363">
            <v>0.33668478260869567</v>
          </cell>
          <cell r="M363">
            <v>0.31513437057991517</v>
          </cell>
          <cell r="N363">
            <v>0.32590957659430542</v>
          </cell>
          <cell r="O363">
            <v>0.14545454545454545</v>
          </cell>
          <cell r="P363">
            <v>0.13734567901234568</v>
          </cell>
          <cell r="Q363">
            <v>0.14140011223344556</v>
          </cell>
          <cell r="R363">
            <v>0.23365484441387549</v>
          </cell>
          <cell r="S363">
            <v>3.8786018728799998E-2</v>
          </cell>
          <cell r="T363">
            <v>9.062541171511425</v>
          </cell>
        </row>
        <row r="364">
          <cell r="B364" t="str">
            <v>Omar Narvaez</v>
          </cell>
          <cell r="C364">
            <v>2500</v>
          </cell>
          <cell r="D364" t="str">
            <v>CHW</v>
          </cell>
          <cell r="E364" t="str">
            <v>C</v>
          </cell>
          <cell r="F364" t="str">
            <v>@MIN</v>
          </cell>
          <cell r="G364" t="str">
            <v>Albers</v>
          </cell>
          <cell r="H364" t="str">
            <v>L</v>
          </cell>
          <cell r="I364" t="str">
            <v>L</v>
          </cell>
          <cell r="J364">
            <v>8</v>
          </cell>
          <cell r="K364">
            <v>18</v>
          </cell>
          <cell r="L364">
            <v>0.55625000000000002</v>
          </cell>
          <cell r="M364">
            <v>0.26363636363636361</v>
          </cell>
          <cell r="N364">
            <v>0.40994318181818179</v>
          </cell>
          <cell r="O364">
            <v>0.16666666666666666</v>
          </cell>
          <cell r="P364">
            <v>0.27272727272727271</v>
          </cell>
          <cell r="Q364">
            <v>0.21969696969696967</v>
          </cell>
          <cell r="R364">
            <v>0.31482007575757576</v>
          </cell>
          <cell r="S364">
            <v>2.8723148214599998E-2</v>
          </cell>
          <cell r="T364">
            <v>9.0426236969164471</v>
          </cell>
        </row>
        <row r="365">
          <cell r="B365" t="str">
            <v>Tuffy Gosewisch</v>
          </cell>
          <cell r="C365">
            <v>3000</v>
          </cell>
          <cell r="D365" t="str">
            <v>ARI</v>
          </cell>
          <cell r="E365" t="str">
            <v>C</v>
          </cell>
          <cell r="F365" t="str">
            <v>@COL</v>
          </cell>
          <cell r="G365" t="str">
            <v>Gray</v>
          </cell>
          <cell r="H365" t="str">
            <v>R</v>
          </cell>
          <cell r="I365" t="str">
            <v>R</v>
          </cell>
          <cell r="J365">
            <v>164</v>
          </cell>
          <cell r="K365">
            <v>1</v>
          </cell>
          <cell r="L365">
            <v>0.21371951219512197</v>
          </cell>
          <cell r="M365">
            <v>0.32947103274559197</v>
          </cell>
          <cell r="N365">
            <v>0.27159527247035697</v>
          </cell>
          <cell r="O365">
            <v>6.535947712418301E-2</v>
          </cell>
          <cell r="P365">
            <v>0.16285714285714287</v>
          </cell>
          <cell r="Q365">
            <v>0.11410830999066293</v>
          </cell>
          <cell r="R365">
            <v>0.19285179123050994</v>
          </cell>
          <cell r="S365">
            <v>4.6472232249249998E-2</v>
          </cell>
          <cell r="T365">
            <v>8.9622532317481323</v>
          </cell>
        </row>
        <row r="366">
          <cell r="B366" t="str">
            <v>Jose Iglesias</v>
          </cell>
          <cell r="C366">
            <v>2400</v>
          </cell>
          <cell r="D366" t="str">
            <v>DET</v>
          </cell>
          <cell r="E366" t="str">
            <v>SS</v>
          </cell>
          <cell r="F366" t="str">
            <v>@KC</v>
          </cell>
          <cell r="G366" t="str">
            <v>Volquez</v>
          </cell>
          <cell r="H366" t="str">
            <v>R</v>
          </cell>
          <cell r="I366" t="str">
            <v>R</v>
          </cell>
          <cell r="J366">
            <v>631</v>
          </cell>
          <cell r="K366">
            <v>20</v>
          </cell>
          <cell r="L366">
            <v>0.28573692551505542</v>
          </cell>
          <cell r="M366">
            <v>0.31851851851851853</v>
          </cell>
          <cell r="N366">
            <v>0.30212772201678695</v>
          </cell>
          <cell r="O366">
            <v>5.4982817869415807E-2</v>
          </cell>
          <cell r="P366">
            <v>0.11834319526627218</v>
          </cell>
          <cell r="Q366">
            <v>8.6663006567843995E-2</v>
          </cell>
          <cell r="R366">
            <v>0.19439536429231546</v>
          </cell>
          <cell r="S366">
            <v>4.5747293751549997E-2</v>
          </cell>
          <cell r="T366">
            <v>8.8930618342201289</v>
          </cell>
        </row>
        <row r="367">
          <cell r="B367" t="str">
            <v>Adam Rosales</v>
          </cell>
          <cell r="C367">
            <v>2300</v>
          </cell>
          <cell r="D367" t="str">
            <v>SD</v>
          </cell>
          <cell r="E367" t="str">
            <v>2B</v>
          </cell>
          <cell r="F367" t="str">
            <v>@LAD</v>
          </cell>
          <cell r="G367" t="str">
            <v>Deleon</v>
          </cell>
          <cell r="H367" t="str">
            <v>R</v>
          </cell>
          <cell r="I367" t="str">
            <v>R</v>
          </cell>
          <cell r="J367">
            <v>164</v>
          </cell>
          <cell r="K367">
            <v>17</v>
          </cell>
          <cell r="L367">
            <v>0.30975609756097566</v>
          </cell>
          <cell r="M367">
            <v>0.31</v>
          </cell>
          <cell r="N367">
            <v>0.30987804878048786</v>
          </cell>
          <cell r="O367">
            <v>0.21917808219178081</v>
          </cell>
          <cell r="P367">
            <v>0.16</v>
          </cell>
          <cell r="Q367">
            <v>0.18958904109589042</v>
          </cell>
          <cell r="R367">
            <v>0.24973354493818914</v>
          </cell>
          <cell r="S367">
            <v>6.5974184729799989E-2</v>
          </cell>
          <cell r="T367">
            <v>16.475967026979898</v>
          </cell>
        </row>
        <row r="368">
          <cell r="B368" t="str">
            <v>Joseph Wendle</v>
          </cell>
          <cell r="C368">
            <v>0</v>
          </cell>
          <cell r="D368" t="str">
            <v>OAK</v>
          </cell>
          <cell r="E368" t="str">
            <v>2B</v>
          </cell>
          <cell r="F368" t="str">
            <v>BOS</v>
          </cell>
          <cell r="G368" t="str">
            <v>Rodriguez</v>
          </cell>
          <cell r="H368" t="str">
            <v>L</v>
          </cell>
          <cell r="I368" t="str">
            <v>L</v>
          </cell>
          <cell r="J368">
            <v>1</v>
          </cell>
          <cell r="K368">
            <v>24</v>
          </cell>
          <cell r="L368">
            <v>0</v>
          </cell>
          <cell r="M368">
            <v>0.33842364532019703</v>
          </cell>
          <cell r="N368">
            <v>0.16921182266009852</v>
          </cell>
          <cell r="O368">
            <v>0</v>
          </cell>
          <cell r="P368">
            <v>0.18784530386740331</v>
          </cell>
          <cell r="Q368">
            <v>9.3922651933701654E-2</v>
          </cell>
          <cell r="R368">
            <v>0.13156723729690009</v>
          </cell>
          <cell r="S368">
            <v>6.5598872568000011E-2</v>
          </cell>
          <cell r="T368">
            <v>8.6306624335631668</v>
          </cell>
        </row>
        <row r="369">
          <cell r="B369" t="str">
            <v>Kelby Tomlinson</v>
          </cell>
          <cell r="C369">
            <v>2100</v>
          </cell>
          <cell r="D369" t="str">
            <v>SF</v>
          </cell>
          <cell r="E369" t="str">
            <v>2B</v>
          </cell>
          <cell r="F369" t="str">
            <v>@CHC</v>
          </cell>
          <cell r="G369" t="str">
            <v>Lackey</v>
          </cell>
          <cell r="H369" t="str">
            <v>R</v>
          </cell>
          <cell r="I369" t="str">
            <v>R</v>
          </cell>
          <cell r="J369">
            <v>166</v>
          </cell>
          <cell r="K369">
            <v>11</v>
          </cell>
          <cell r="L369">
            <v>0.30722891566265059</v>
          </cell>
          <cell r="M369">
            <v>0.26548780487804879</v>
          </cell>
          <cell r="N369">
            <v>0.28635836027034967</v>
          </cell>
          <cell r="O369">
            <v>5.4794520547945202E-2</v>
          </cell>
          <cell r="P369">
            <v>0.12746386333771353</v>
          </cell>
          <cell r="Q369">
            <v>9.1129191942829368E-2</v>
          </cell>
          <cell r="R369">
            <v>0.18874377610658952</v>
          </cell>
          <cell r="S369">
            <v>4.4953982553600003E-2</v>
          </cell>
          <cell r="T369">
            <v>8.4847844181962113</v>
          </cell>
        </row>
        <row r="370">
          <cell r="B370" t="str">
            <v>Brandon Phillips</v>
          </cell>
          <cell r="C370">
            <v>2900</v>
          </cell>
          <cell r="D370" t="str">
            <v>CIN</v>
          </cell>
          <cell r="E370" t="str">
            <v>2B</v>
          </cell>
          <cell r="F370" t="str">
            <v>STL</v>
          </cell>
          <cell r="G370" t="str">
            <v>Martinez</v>
          </cell>
          <cell r="H370" t="str">
            <v>R</v>
          </cell>
          <cell r="I370" t="str">
            <v>R</v>
          </cell>
          <cell r="J370">
            <v>842</v>
          </cell>
          <cell r="K370">
            <v>3</v>
          </cell>
          <cell r="L370">
            <v>0.31965558194774346</v>
          </cell>
          <cell r="M370">
            <v>0.25387994143484627</v>
          </cell>
          <cell r="N370">
            <v>0.28676776169129486</v>
          </cell>
          <cell r="O370">
            <v>0.11504424778761062</v>
          </cell>
          <cell r="P370">
            <v>6.4829821717990274E-2</v>
          </cell>
          <cell r="Q370">
            <v>8.9937034752800446E-2</v>
          </cell>
          <cell r="R370">
            <v>0.18835239822204766</v>
          </cell>
          <cell r="S370">
            <v>4.4428660337174991E-2</v>
          </cell>
          <cell r="T370">
            <v>8.3682447242996787</v>
          </cell>
        </row>
        <row r="371">
          <cell r="B371" t="str">
            <v>Roberto Perez</v>
          </cell>
          <cell r="C371">
            <v>2400</v>
          </cell>
          <cell r="D371" t="str">
            <v>CLE</v>
          </cell>
          <cell r="E371" t="str">
            <v>C</v>
          </cell>
          <cell r="F371" t="str">
            <v>MIA</v>
          </cell>
          <cell r="G371" t="str">
            <v>Koehler</v>
          </cell>
          <cell r="H371" t="str">
            <v>R</v>
          </cell>
          <cell r="I371" t="str">
            <v>R</v>
          </cell>
          <cell r="J371">
            <v>245</v>
          </cell>
          <cell r="K371">
            <v>14</v>
          </cell>
          <cell r="L371">
            <v>0.28877551020408165</v>
          </cell>
          <cell r="M371">
            <v>0.31426553672316382</v>
          </cell>
          <cell r="N371">
            <v>0.30152052346362274</v>
          </cell>
          <cell r="O371">
            <v>0.15075376884422109</v>
          </cell>
          <cell r="P371">
            <v>0.13687600644122383</v>
          </cell>
          <cell r="Q371">
            <v>0.14381488764272246</v>
          </cell>
          <cell r="R371">
            <v>0.22266770555317261</v>
          </cell>
          <cell r="S371">
            <v>3.7456382633899998E-2</v>
          </cell>
          <cell r="T371">
            <v>8.3403267794122122</v>
          </cell>
        </row>
        <row r="372">
          <cell r="B372" t="str">
            <v>Dioner Navarro</v>
          </cell>
          <cell r="C372">
            <v>2300</v>
          </cell>
          <cell r="D372" t="str">
            <v>TOR</v>
          </cell>
          <cell r="E372" t="str">
            <v>C</v>
          </cell>
          <cell r="F372" t="str">
            <v>@TB</v>
          </cell>
          <cell r="G372" t="str">
            <v>Archer</v>
          </cell>
          <cell r="H372" t="str">
            <v>R</v>
          </cell>
          <cell r="I372" t="str">
            <v>S</v>
          </cell>
          <cell r="J372">
            <v>355</v>
          </cell>
          <cell r="K372">
            <v>23</v>
          </cell>
          <cell r="L372">
            <v>0.263943661971831</v>
          </cell>
          <cell r="M372">
            <v>0.27725030826140568</v>
          </cell>
          <cell r="N372">
            <v>0.27059698511661834</v>
          </cell>
          <cell r="O372">
            <v>0.1021671826625387</v>
          </cell>
          <cell r="P372">
            <v>0.12789115646258503</v>
          </cell>
          <cell r="Q372">
            <v>0.11502916956256187</v>
          </cell>
          <cell r="R372">
            <v>0.19281307733959011</v>
          </cell>
          <cell r="S372">
            <v>6.0480154927424992E-2</v>
          </cell>
          <cell r="T372">
            <v>11.661364789531987</v>
          </cell>
        </row>
        <row r="373">
          <cell r="B373" t="str">
            <v>Alex Dickerson</v>
          </cell>
          <cell r="C373">
            <v>3000</v>
          </cell>
          <cell r="D373" t="str">
            <v>SD</v>
          </cell>
          <cell r="E373" t="str">
            <v>OF</v>
          </cell>
          <cell r="F373" t="str">
            <v>@LAD</v>
          </cell>
          <cell r="G373" t="str">
            <v>Deleon</v>
          </cell>
          <cell r="H373" t="str">
            <v>R</v>
          </cell>
          <cell r="I373" t="str">
            <v>L</v>
          </cell>
          <cell r="J373">
            <v>164</v>
          </cell>
          <cell r="K373">
            <v>17</v>
          </cell>
          <cell r="L373">
            <v>0.33445121951219514</v>
          </cell>
          <cell r="M373">
            <v>0.31</v>
          </cell>
          <cell r="N373">
            <v>0.3222256097560976</v>
          </cell>
          <cell r="O373">
            <v>0.21476510067114093</v>
          </cell>
          <cell r="P373">
            <v>0.16</v>
          </cell>
          <cell r="Q373">
            <v>0.18738255033557047</v>
          </cell>
          <cell r="R373">
            <v>0.25480408004583405</v>
          </cell>
          <cell r="S373">
            <v>6.0018610917199997E-2</v>
          </cell>
          <cell r="T373">
            <v>15.292986940385997</v>
          </cell>
        </row>
        <row r="374">
          <cell r="B374" t="str">
            <v>Dee Gordon</v>
          </cell>
          <cell r="C374">
            <v>2500</v>
          </cell>
          <cell r="D374" t="str">
            <v>MIA</v>
          </cell>
          <cell r="E374" t="str">
            <v>2B</v>
          </cell>
          <cell r="F374" t="str">
            <v>@CLE</v>
          </cell>
          <cell r="G374" t="str">
            <v>Salazar</v>
          </cell>
          <cell r="H374" t="str">
            <v>R</v>
          </cell>
          <cell r="I374" t="str">
            <v>L</v>
          </cell>
          <cell r="J374">
            <v>667</v>
          </cell>
          <cell r="K374">
            <v>14</v>
          </cell>
          <cell r="L374">
            <v>0.31859070464767619</v>
          </cell>
          <cell r="M374">
            <v>0.29333881578947368</v>
          </cell>
          <cell r="N374">
            <v>0.30596476021857494</v>
          </cell>
          <cell r="O374">
            <v>7.0175438596491224E-2</v>
          </cell>
          <cell r="P374">
            <v>0.18214936247723132</v>
          </cell>
          <cell r="Q374">
            <v>0.12616240053686129</v>
          </cell>
          <cell r="R374">
            <v>0.21606358037771811</v>
          </cell>
          <cell r="S374">
            <v>3.7969098277049994E-2</v>
          </cell>
          <cell r="T374">
            <v>8.2037393174528699</v>
          </cell>
        </row>
        <row r="375">
          <cell r="B375" t="str">
            <v>Darin Ruf</v>
          </cell>
          <cell r="C375">
            <v>2100</v>
          </cell>
          <cell r="D375" t="str">
            <v>PHI</v>
          </cell>
          <cell r="E375" t="str">
            <v>1B</v>
          </cell>
          <cell r="F375" t="str">
            <v>ATL</v>
          </cell>
          <cell r="G375" t="str">
            <v>Teheran</v>
          </cell>
          <cell r="H375" t="str">
            <v>R</v>
          </cell>
          <cell r="I375" t="str">
            <v>R</v>
          </cell>
          <cell r="J375">
            <v>230</v>
          </cell>
          <cell r="K375">
            <v>9</v>
          </cell>
          <cell r="L375">
            <v>0.20369565217391306</v>
          </cell>
          <cell r="M375">
            <v>0.25510067114093959</v>
          </cell>
          <cell r="N375">
            <v>0.22939816165742632</v>
          </cell>
          <cell r="O375">
            <v>9.8130841121495324E-2</v>
          </cell>
          <cell r="P375">
            <v>0.11901306240928883</v>
          </cell>
          <cell r="Q375">
            <v>0.10857195176539208</v>
          </cell>
          <cell r="R375">
            <v>0.1689850567114092</v>
          </cell>
          <cell r="S375">
            <v>4.8417828991650008E-2</v>
          </cell>
          <cell r="T375">
            <v>8.1818895779972909</v>
          </cell>
        </row>
        <row r="376">
          <cell r="B376" t="str">
            <v>Peter Bourjos</v>
          </cell>
          <cell r="C376">
            <v>2700</v>
          </cell>
          <cell r="D376" t="str">
            <v>PHI</v>
          </cell>
          <cell r="E376" t="str">
            <v>OF</v>
          </cell>
          <cell r="F376" t="str">
            <v>ATL</v>
          </cell>
          <cell r="G376" t="str">
            <v>Teheran</v>
          </cell>
          <cell r="H376" t="str">
            <v>R</v>
          </cell>
          <cell r="I376" t="str">
            <v>R</v>
          </cell>
          <cell r="J376">
            <v>420</v>
          </cell>
          <cell r="K376">
            <v>9</v>
          </cell>
          <cell r="L376">
            <v>0.27499999999999997</v>
          </cell>
          <cell r="M376">
            <v>0.25510067114093959</v>
          </cell>
          <cell r="N376">
            <v>0.26505033557046975</v>
          </cell>
          <cell r="O376">
            <v>0.14324324324324325</v>
          </cell>
          <cell r="P376">
            <v>0.11901306240928883</v>
          </cell>
          <cell r="Q376">
            <v>0.13112815282626605</v>
          </cell>
          <cell r="R376">
            <v>0.1980892441983679</v>
          </cell>
          <cell r="S376">
            <v>4.0165991439299997E-2</v>
          </cell>
          <cell r="T376">
            <v>7.9564508866890522</v>
          </cell>
        </row>
        <row r="377">
          <cell r="B377" t="str">
            <v>Guillermo Heredia</v>
          </cell>
          <cell r="C377">
            <v>2700</v>
          </cell>
          <cell r="D377" t="str">
            <v>SEA</v>
          </cell>
          <cell r="E377" t="str">
            <v>OF</v>
          </cell>
          <cell r="F377" t="str">
            <v>LAA</v>
          </cell>
          <cell r="G377" t="str">
            <v>Shoemaker</v>
          </cell>
          <cell r="H377" t="str">
            <v>R</v>
          </cell>
          <cell r="I377" t="str">
            <v>S</v>
          </cell>
          <cell r="J377">
            <v>12</v>
          </cell>
          <cell r="K377">
            <v>29</v>
          </cell>
          <cell r="L377">
            <v>0.26666666666666666</v>
          </cell>
          <cell r="M377">
            <v>0.31039755351681958</v>
          </cell>
          <cell r="N377">
            <v>0.28853211009174312</v>
          </cell>
          <cell r="O377">
            <v>0</v>
          </cell>
          <cell r="P377">
            <v>0.16501650165016502</v>
          </cell>
          <cell r="Q377">
            <v>8.2508250825082508E-2</v>
          </cell>
          <cell r="R377">
            <v>0.18552018045841281</v>
          </cell>
          <cell r="S377">
            <v>4.287598181369999E-2</v>
          </cell>
          <cell r="T377">
            <v>7.9543598834092482</v>
          </cell>
        </row>
        <row r="378">
          <cell r="B378" t="str">
            <v>Michael Martinez</v>
          </cell>
          <cell r="C378">
            <v>2000</v>
          </cell>
          <cell r="D378" t="str">
            <v>CLE</v>
          </cell>
          <cell r="E378" t="str">
            <v>SS</v>
          </cell>
          <cell r="F378" t="str">
            <v>MIA</v>
          </cell>
          <cell r="G378" t="str">
            <v>Koehler</v>
          </cell>
          <cell r="H378" t="str">
            <v>R</v>
          </cell>
          <cell r="I378" t="str">
            <v>S</v>
          </cell>
          <cell r="J378">
            <v>80</v>
          </cell>
          <cell r="K378">
            <v>14</v>
          </cell>
          <cell r="L378">
            <v>0.27124999999999999</v>
          </cell>
          <cell r="M378">
            <v>0.33355525965379496</v>
          </cell>
          <cell r="N378">
            <v>0.30240262982689747</v>
          </cell>
          <cell r="O378">
            <v>9.2105263157894732E-2</v>
          </cell>
          <cell r="P378">
            <v>0.16036308623298035</v>
          </cell>
          <cell r="Q378">
            <v>0.12623417469543755</v>
          </cell>
          <cell r="R378">
            <v>0.2143184022611675</v>
          </cell>
          <cell r="S378">
            <v>3.684594330020001E-2</v>
          </cell>
          <cell r="T378">
            <v>7.8967636979044347</v>
          </cell>
        </row>
        <row r="379">
          <cell r="B379" t="str">
            <v>Max Muncy</v>
          </cell>
          <cell r="C379">
            <v>2100</v>
          </cell>
          <cell r="D379" t="str">
            <v>OAK</v>
          </cell>
          <cell r="E379" t="str">
            <v>OF</v>
          </cell>
          <cell r="F379" t="str">
            <v>BOS</v>
          </cell>
          <cell r="G379" t="str">
            <v>Rodriguez</v>
          </cell>
          <cell r="H379" t="str">
            <v>L</v>
          </cell>
          <cell r="I379" t="str">
            <v>L</v>
          </cell>
          <cell r="J379">
            <v>5</v>
          </cell>
          <cell r="K379">
            <v>24</v>
          </cell>
          <cell r="L379">
            <v>0.13999999999999999</v>
          </cell>
          <cell r="M379">
            <v>0.33842364532019703</v>
          </cell>
          <cell r="N379">
            <v>0.23921182266009849</v>
          </cell>
          <cell r="O379">
            <v>0</v>
          </cell>
          <cell r="P379">
            <v>0.18784530386740331</v>
          </cell>
          <cell r="Q379">
            <v>9.3922651933701654E-2</v>
          </cell>
          <cell r="R379">
            <v>0.16656723729690007</v>
          </cell>
          <cell r="S379">
            <v>4.6940396622000002E-2</v>
          </cell>
          <cell r="T379">
            <v>7.8187321829472811</v>
          </cell>
        </row>
        <row r="380">
          <cell r="B380" t="str">
            <v>Shawn O'Malley</v>
          </cell>
          <cell r="C380">
            <v>2400</v>
          </cell>
          <cell r="D380" t="str">
            <v>SEA</v>
          </cell>
          <cell r="E380" t="str">
            <v>OF</v>
          </cell>
          <cell r="F380" t="str">
            <v>LAA</v>
          </cell>
          <cell r="G380" t="str">
            <v>Shoemaker</v>
          </cell>
          <cell r="H380" t="str">
            <v>R</v>
          </cell>
          <cell r="I380" t="str">
            <v>S</v>
          </cell>
          <cell r="J380">
            <v>143</v>
          </cell>
          <cell r="K380">
            <v>29</v>
          </cell>
          <cell r="L380">
            <v>0.30419580419580422</v>
          </cell>
          <cell r="M380">
            <v>0.31039755351681958</v>
          </cell>
          <cell r="N380">
            <v>0.3072966788563119</v>
          </cell>
          <cell r="O380">
            <v>9.8360655737704916E-2</v>
          </cell>
          <cell r="P380">
            <v>0.16501650165016502</v>
          </cell>
          <cell r="Q380">
            <v>0.13168857869393497</v>
          </cell>
          <cell r="R380">
            <v>0.21949262877512343</v>
          </cell>
          <cell r="S380">
            <v>3.5284329537599995E-2</v>
          </cell>
          <cell r="T380">
            <v>7.744650244775559</v>
          </cell>
        </row>
        <row r="381">
          <cell r="B381" t="str">
            <v>Rafael Ortega</v>
          </cell>
          <cell r="C381">
            <v>2100</v>
          </cell>
          <cell r="D381" t="str">
            <v>LAA</v>
          </cell>
          <cell r="E381" t="str">
            <v>OF</v>
          </cell>
          <cell r="F381" t="str">
            <v>@SEA</v>
          </cell>
          <cell r="G381" t="str">
            <v>Iwakuma</v>
          </cell>
          <cell r="H381" t="str">
            <v>R</v>
          </cell>
          <cell r="I381" t="str">
            <v>L</v>
          </cell>
          <cell r="J381">
            <v>122</v>
          </cell>
          <cell r="K381">
            <v>29</v>
          </cell>
          <cell r="L381">
            <v>0.24959016393442623</v>
          </cell>
          <cell r="M381">
            <v>0.31929674099485428</v>
          </cell>
          <cell r="N381">
            <v>0.28444345246464026</v>
          </cell>
          <cell r="O381">
            <v>7.0175438596491224E-2</v>
          </cell>
          <cell r="P381">
            <v>0.16152450090744103</v>
          </cell>
          <cell r="Q381">
            <v>0.11584996975196613</v>
          </cell>
          <cell r="R381">
            <v>0.20014671110830318</v>
          </cell>
          <cell r="S381">
            <v>3.8216026968699995E-2</v>
          </cell>
          <cell r="T381">
            <v>7.6488121094115211</v>
          </cell>
        </row>
        <row r="382">
          <cell r="B382" t="str">
            <v>Miguel Rojas</v>
          </cell>
          <cell r="C382">
            <v>2000</v>
          </cell>
          <cell r="D382" t="str">
            <v>MIA</v>
          </cell>
          <cell r="E382" t="str">
            <v>SS</v>
          </cell>
          <cell r="F382" t="str">
            <v>@CLE</v>
          </cell>
          <cell r="G382" t="str">
            <v>Salazar</v>
          </cell>
          <cell r="H382" t="str">
            <v>R</v>
          </cell>
          <cell r="I382" t="str">
            <v>R</v>
          </cell>
          <cell r="J382">
            <v>267</v>
          </cell>
          <cell r="K382">
            <v>14</v>
          </cell>
          <cell r="L382">
            <v>0.29475655430711606</v>
          </cell>
          <cell r="M382">
            <v>0.30174165457184327</v>
          </cell>
          <cell r="N382">
            <v>0.29824910443947966</v>
          </cell>
          <cell r="O382">
            <v>7.1129707112970716E-2</v>
          </cell>
          <cell r="P382">
            <v>0.12295081967213115</v>
          </cell>
          <cell r="Q382">
            <v>9.7040263392550924E-2</v>
          </cell>
          <cell r="R382">
            <v>0.19764468391601531</v>
          </cell>
          <cell r="S382">
            <v>3.8687717965724989E-2</v>
          </cell>
          <cell r="T382">
            <v>7.646421788767662</v>
          </cell>
        </row>
        <row r="383">
          <cell r="B383" t="str">
            <v>Brett Eibner</v>
          </cell>
          <cell r="C383">
            <v>2000</v>
          </cell>
          <cell r="D383" t="str">
            <v>OAK</v>
          </cell>
          <cell r="E383" t="str">
            <v>OF</v>
          </cell>
          <cell r="F383" t="str">
            <v>BOS</v>
          </cell>
          <cell r="G383" t="str">
            <v>Rodriguez</v>
          </cell>
          <cell r="H383" t="str">
            <v>L</v>
          </cell>
          <cell r="I383" t="str">
            <v>R</v>
          </cell>
          <cell r="J383">
            <v>64</v>
          </cell>
          <cell r="K383">
            <v>24</v>
          </cell>
          <cell r="L383">
            <v>0.29062500000000002</v>
          </cell>
          <cell r="M383">
            <v>0.31575663026521061</v>
          </cell>
          <cell r="N383">
            <v>0.30319081513260532</v>
          </cell>
          <cell r="O383">
            <v>0.17241379310344829</v>
          </cell>
          <cell r="P383">
            <v>0.15397923875432526</v>
          </cell>
          <cell r="Q383">
            <v>0.16319651592888679</v>
          </cell>
          <cell r="R383">
            <v>0.23319366553074605</v>
          </cell>
          <cell r="S383">
            <v>3.2463449825999996E-2</v>
          </cell>
          <cell r="T383">
            <v>7.5702708606983995</v>
          </cell>
        </row>
        <row r="384">
          <cell r="B384" t="str">
            <v>Ichiro Suzuki</v>
          </cell>
          <cell r="C384">
            <v>2500</v>
          </cell>
          <cell r="D384" t="str">
            <v>MIA</v>
          </cell>
          <cell r="E384" t="str">
            <v>OF</v>
          </cell>
          <cell r="F384" t="str">
            <v>@CLE</v>
          </cell>
          <cell r="G384" t="str">
            <v>Salazar</v>
          </cell>
          <cell r="H384" t="str">
            <v>R</v>
          </cell>
          <cell r="I384" t="str">
            <v>L</v>
          </cell>
          <cell r="J384">
            <v>592</v>
          </cell>
          <cell r="K384">
            <v>14</v>
          </cell>
          <cell r="L384">
            <v>0.27043918918918924</v>
          </cell>
          <cell r="M384">
            <v>0.29333881578947368</v>
          </cell>
          <cell r="N384">
            <v>0.28188900248933146</v>
          </cell>
          <cell r="O384">
            <v>4.519774011299435E-2</v>
          </cell>
          <cell r="P384">
            <v>0.18214936247723132</v>
          </cell>
          <cell r="Q384">
            <v>0.11367355129511283</v>
          </cell>
          <cell r="R384">
            <v>0.19778127689222214</v>
          </cell>
          <cell r="S384">
            <v>3.8271593638224993E-2</v>
          </cell>
          <cell r="T384">
            <v>7.5694046584683852</v>
          </cell>
        </row>
        <row r="385">
          <cell r="B385" t="str">
            <v>Ehire Adrianza</v>
          </cell>
          <cell r="C385">
            <v>0</v>
          </cell>
          <cell r="D385" t="str">
            <v>SF</v>
          </cell>
          <cell r="E385" t="str">
            <v>SS</v>
          </cell>
          <cell r="F385" t="str">
            <v>@CHC</v>
          </cell>
          <cell r="G385" t="str">
            <v>Lackey</v>
          </cell>
          <cell r="H385" t="str">
            <v>R</v>
          </cell>
          <cell r="I385" t="str">
            <v>S</v>
          </cell>
          <cell r="J385">
            <v>115</v>
          </cell>
          <cell r="K385">
            <v>11</v>
          </cell>
          <cell r="L385">
            <v>0.25956521739130434</v>
          </cell>
          <cell r="M385">
            <v>0.31755555555555559</v>
          </cell>
          <cell r="N385">
            <v>0.28856038647342996</v>
          </cell>
          <cell r="O385">
            <v>7.2916666666666671E-2</v>
          </cell>
          <cell r="P385">
            <v>0.13232830820770519</v>
          </cell>
          <cell r="Q385">
            <v>0.10262248743718594</v>
          </cell>
          <cell r="R385">
            <v>0.19559143695530795</v>
          </cell>
          <cell r="S385">
            <v>3.5668599935999995E-2</v>
          </cell>
          <cell r="T385">
            <v>6.9764727156662438</v>
          </cell>
        </row>
        <row r="386">
          <cell r="B386" t="str">
            <v>Austin Barnes</v>
          </cell>
          <cell r="C386">
            <v>2500</v>
          </cell>
          <cell r="D386" t="str">
            <v>LAD</v>
          </cell>
          <cell r="E386" t="str">
            <v>C</v>
          </cell>
          <cell r="F386" t="str">
            <v>SD</v>
          </cell>
          <cell r="G386" t="str">
            <v>Friedrich</v>
          </cell>
          <cell r="H386" t="str">
            <v>L</v>
          </cell>
          <cell r="I386" t="str">
            <v>R</v>
          </cell>
          <cell r="J386">
            <v>24</v>
          </cell>
          <cell r="K386">
            <v>17</v>
          </cell>
          <cell r="L386">
            <v>0.34583333333333338</v>
          </cell>
          <cell r="M386">
            <v>0.35939393939393943</v>
          </cell>
          <cell r="N386">
            <v>0.35261363636363641</v>
          </cell>
          <cell r="O386">
            <v>0.11764705882352941</v>
          </cell>
          <cell r="P386">
            <v>0.15151515151515152</v>
          </cell>
          <cell r="Q386">
            <v>0.13458110516934046</v>
          </cell>
          <cell r="R386">
            <v>0.24359737076648844</v>
          </cell>
          <cell r="S386">
            <v>2.9968942312000004E-2</v>
          </cell>
          <cell r="T386">
            <v>7.3003555518557679</v>
          </cell>
        </row>
        <row r="387">
          <cell r="B387" t="str">
            <v>Kirk Nieuwenhuis</v>
          </cell>
          <cell r="C387">
            <v>2500</v>
          </cell>
          <cell r="D387" t="str">
            <v>MIL</v>
          </cell>
          <cell r="E387" t="str">
            <v>OF</v>
          </cell>
          <cell r="F387" t="str">
            <v>@PIT</v>
          </cell>
          <cell r="G387" t="str">
            <v>Brault</v>
          </cell>
          <cell r="H387" t="str">
            <v>L</v>
          </cell>
          <cell r="I387" t="str">
            <v>L</v>
          </cell>
          <cell r="J387">
            <v>53</v>
          </cell>
          <cell r="K387">
            <v>27</v>
          </cell>
          <cell r="L387">
            <v>0.22452830188679243</v>
          </cell>
          <cell r="M387">
            <v>0.31785714285714289</v>
          </cell>
          <cell r="N387">
            <v>0.27119272237196768</v>
          </cell>
          <cell r="O387">
            <v>0.1111111111111111</v>
          </cell>
          <cell r="P387">
            <v>8.3333333333333329E-2</v>
          </cell>
          <cell r="Q387">
            <v>9.722222222222221E-2</v>
          </cell>
          <cell r="R387">
            <v>0.18420747229709494</v>
          </cell>
          <cell r="S387">
            <v>3.8990531988650004E-2</v>
          </cell>
          <cell r="T387">
            <v>7.1823473411482395</v>
          </cell>
        </row>
        <row r="388">
          <cell r="B388" t="str">
            <v>Jesus Sucre</v>
          </cell>
          <cell r="C388">
            <v>0</v>
          </cell>
          <cell r="D388" t="str">
            <v>SEA</v>
          </cell>
          <cell r="E388" t="str">
            <v>C</v>
          </cell>
          <cell r="F388" t="str">
            <v>LAA</v>
          </cell>
          <cell r="G388" t="str">
            <v>Shoemaker</v>
          </cell>
          <cell r="H388" t="str">
            <v>R</v>
          </cell>
          <cell r="I388" t="str">
            <v>R</v>
          </cell>
          <cell r="J388">
            <v>104</v>
          </cell>
          <cell r="K388">
            <v>29</v>
          </cell>
          <cell r="L388">
            <v>0.11730769230769231</v>
          </cell>
          <cell r="M388">
            <v>0.32975778546712803</v>
          </cell>
          <cell r="N388">
            <v>0.22353273888741015</v>
          </cell>
          <cell r="O388">
            <v>5.2083333333333336E-2</v>
          </cell>
          <cell r="P388">
            <v>0.18198874296435272</v>
          </cell>
          <cell r="Q388">
            <v>0.11703603814884303</v>
          </cell>
          <cell r="R388">
            <v>0.17028438851812661</v>
          </cell>
          <cell r="S388">
            <v>4.1212849352849995E-2</v>
          </cell>
          <cell r="T388">
            <v>7.0179048511397308</v>
          </cell>
        </row>
        <row r="389">
          <cell r="B389" t="str">
            <v>Robert Andino</v>
          </cell>
          <cell r="C389">
            <v>0</v>
          </cell>
          <cell r="D389" t="str">
            <v>MIA</v>
          </cell>
          <cell r="E389" t="str">
            <v>2B</v>
          </cell>
          <cell r="F389" t="str">
            <v>@CLE</v>
          </cell>
          <cell r="G389" t="str">
            <v>Salazar</v>
          </cell>
          <cell r="H389" t="str">
            <v>R</v>
          </cell>
          <cell r="I389" t="str">
            <v>R</v>
          </cell>
          <cell r="J389">
            <v>13</v>
          </cell>
          <cell r="K389">
            <v>14</v>
          </cell>
          <cell r="L389">
            <v>0.27692307692307694</v>
          </cell>
          <cell r="M389">
            <v>0.30174165457184327</v>
          </cell>
          <cell r="N389">
            <v>0.28933236574746013</v>
          </cell>
          <cell r="O389">
            <v>0</v>
          </cell>
          <cell r="P389">
            <v>0.12295081967213115</v>
          </cell>
          <cell r="Q389">
            <v>6.1475409836065573E-2</v>
          </cell>
          <cell r="R389">
            <v>0.17540388779176286</v>
          </cell>
          <cell r="S389">
            <v>3.9888639283074998E-2</v>
          </cell>
          <cell r="T389">
            <v>6.9966224089745914</v>
          </cell>
        </row>
        <row r="390">
          <cell r="B390" t="str">
            <v>Delino DeShields</v>
          </cell>
          <cell r="C390">
            <v>2700</v>
          </cell>
          <cell r="D390" t="str">
            <v>TEX</v>
          </cell>
          <cell r="E390" t="str">
            <v>OF</v>
          </cell>
          <cell r="F390" t="str">
            <v>HOU</v>
          </cell>
          <cell r="G390" t="str">
            <v>McHugh</v>
          </cell>
          <cell r="H390" t="str">
            <v>R</v>
          </cell>
          <cell r="I390" t="str">
            <v>R</v>
          </cell>
          <cell r="J390">
            <v>438</v>
          </cell>
          <cell r="K390">
            <v>7</v>
          </cell>
          <cell r="L390">
            <v>0.30627853881278533</v>
          </cell>
          <cell r="M390">
            <v>0.34371108343711082</v>
          </cell>
          <cell r="N390">
            <v>0.3249948111249481</v>
          </cell>
          <cell r="O390">
            <v>0.11466666666666667</v>
          </cell>
          <cell r="P390">
            <v>0.16666666666666666</v>
          </cell>
          <cell r="Q390">
            <v>0.14066666666666666</v>
          </cell>
          <cell r="R390">
            <v>0.23283073889580738</v>
          </cell>
          <cell r="S390">
            <v>2.6656818067199994E-2</v>
          </cell>
          <cell r="T390">
            <v>6.2065266471972826</v>
          </cell>
        </row>
        <row r="391">
          <cell r="B391" t="str">
            <v>Billy Hamilton</v>
          </cell>
          <cell r="C391">
            <v>2900</v>
          </cell>
          <cell r="D391" t="str">
            <v>CIN</v>
          </cell>
          <cell r="E391" t="str">
            <v>OF</v>
          </cell>
          <cell r="F391" t="str">
            <v>STL</v>
          </cell>
          <cell r="G391" t="str">
            <v>Martinez</v>
          </cell>
          <cell r="H391" t="str">
            <v>R</v>
          </cell>
          <cell r="I391" t="str">
            <v>S</v>
          </cell>
          <cell r="J391">
            <v>659</v>
          </cell>
          <cell r="K391">
            <v>3</v>
          </cell>
          <cell r="L391">
            <v>0.27116843702579668</v>
          </cell>
          <cell r="M391">
            <v>0.32929362880886426</v>
          </cell>
          <cell r="N391">
            <v>0.30023103291733044</v>
          </cell>
          <cell r="O391">
            <v>5.8119658119658121E-2</v>
          </cell>
          <cell r="P391">
            <v>0.14622641509433962</v>
          </cell>
          <cell r="Q391">
            <v>0.10217303660699886</v>
          </cell>
          <cell r="R391">
            <v>0.20120203476216464</v>
          </cell>
          <cell r="S391">
            <v>3.3676753000425004E-2</v>
          </cell>
          <cell r="T391">
            <v>6.7758312278683448</v>
          </cell>
        </row>
        <row r="392">
          <cell r="B392" t="str">
            <v>Derek Norris</v>
          </cell>
          <cell r="C392">
            <v>2400</v>
          </cell>
          <cell r="D392" t="str">
            <v>SD</v>
          </cell>
          <cell r="E392" t="str">
            <v>C</v>
          </cell>
          <cell r="F392" t="str">
            <v>@LAD</v>
          </cell>
          <cell r="G392" t="str">
            <v>Deleon</v>
          </cell>
          <cell r="H392" t="str">
            <v>R</v>
          </cell>
          <cell r="I392" t="str">
            <v>R</v>
          </cell>
          <cell r="J392">
            <v>705</v>
          </cell>
          <cell r="K392">
            <v>17</v>
          </cell>
          <cell r="L392">
            <v>0.26900709219858154</v>
          </cell>
          <cell r="M392">
            <v>0.31</v>
          </cell>
          <cell r="N392">
            <v>0.28950354609929074</v>
          </cell>
          <cell r="O392">
            <v>0.14461538461538462</v>
          </cell>
          <cell r="P392">
            <v>0.16</v>
          </cell>
          <cell r="Q392">
            <v>0.15230769230769231</v>
          </cell>
          <cell r="R392">
            <v>0.22090561920349153</v>
          </cell>
          <cell r="S392">
            <v>6.3825244763999991E-2</v>
          </cell>
          <cell r="T392">
            <v>14.099355215405824</v>
          </cell>
        </row>
        <row r="393">
          <cell r="B393" t="str">
            <v>Ivan De Jesus</v>
          </cell>
          <cell r="C393">
            <v>2000</v>
          </cell>
          <cell r="D393" t="str">
            <v>CIN</v>
          </cell>
          <cell r="E393" t="str">
            <v>SS</v>
          </cell>
          <cell r="F393" t="str">
            <v>STL</v>
          </cell>
          <cell r="G393" t="str">
            <v>Martinez</v>
          </cell>
          <cell r="H393" t="str">
            <v>R</v>
          </cell>
          <cell r="I393" t="str">
            <v>R</v>
          </cell>
          <cell r="J393">
            <v>312</v>
          </cell>
          <cell r="K393">
            <v>3</v>
          </cell>
          <cell r="L393">
            <v>0.28653846153846158</v>
          </cell>
          <cell r="M393">
            <v>0.25387994143484627</v>
          </cell>
          <cell r="N393">
            <v>0.27020920148665395</v>
          </cell>
          <cell r="O393">
            <v>8.771929824561403E-2</v>
          </cell>
          <cell r="P393">
            <v>6.4829821717990274E-2</v>
          </cell>
          <cell r="Q393">
            <v>7.6274559981802159E-2</v>
          </cell>
          <cell r="R393">
            <v>0.17324188073422805</v>
          </cell>
          <cell r="S393">
            <v>3.7805569024949998E-2</v>
          </cell>
          <cell r="T393">
            <v>6.5495078801100135</v>
          </cell>
        </row>
        <row r="394">
          <cell r="B394" t="str">
            <v>Jose Peraza</v>
          </cell>
          <cell r="C394">
            <v>2400</v>
          </cell>
          <cell r="D394" t="str">
            <v>CIN</v>
          </cell>
          <cell r="E394" t="str">
            <v>SS</v>
          </cell>
          <cell r="F394" t="str">
            <v>STL</v>
          </cell>
          <cell r="G394" t="str">
            <v>Martinez</v>
          </cell>
          <cell r="H394" t="str">
            <v>R</v>
          </cell>
          <cell r="I394" t="str">
            <v>R</v>
          </cell>
          <cell r="J394">
            <v>111</v>
          </cell>
          <cell r="K394">
            <v>3</v>
          </cell>
          <cell r="L394">
            <v>0.31351351351351348</v>
          </cell>
          <cell r="M394">
            <v>0.25387994143484627</v>
          </cell>
          <cell r="N394">
            <v>0.28369672747417984</v>
          </cell>
          <cell r="O394">
            <v>4.7619047619047616E-2</v>
          </cell>
          <cell r="P394">
            <v>6.4829821717990274E-2</v>
          </cell>
          <cell r="Q394">
            <v>5.6224434668518945E-2</v>
          </cell>
          <cell r="R394">
            <v>0.1699605810713494</v>
          </cell>
          <cell r="S394">
            <v>3.7972563363749996E-2</v>
          </cell>
          <cell r="T394">
            <v>6.4538389340715829</v>
          </cell>
        </row>
        <row r="395">
          <cell r="B395" t="str">
            <v>Jake Elmore</v>
          </cell>
          <cell r="C395">
            <v>2000</v>
          </cell>
          <cell r="D395" t="str">
            <v>MIL</v>
          </cell>
          <cell r="E395" t="str">
            <v>2B</v>
          </cell>
          <cell r="F395" t="str">
            <v>@PIT</v>
          </cell>
          <cell r="G395" t="str">
            <v>Brault</v>
          </cell>
          <cell r="H395" t="str">
            <v>L</v>
          </cell>
          <cell r="I395" t="str">
            <v>R</v>
          </cell>
          <cell r="J395">
            <v>103</v>
          </cell>
          <cell r="K395">
            <v>27</v>
          </cell>
          <cell r="L395">
            <v>0.36165048543689321</v>
          </cell>
          <cell r="M395">
            <v>0.34711538461538455</v>
          </cell>
          <cell r="N395">
            <v>0.35438293502613888</v>
          </cell>
          <cell r="O395">
            <v>9.5238095238095233E-2</v>
          </cell>
          <cell r="P395">
            <v>0.13636363636363635</v>
          </cell>
          <cell r="Q395">
            <v>0.11580086580086579</v>
          </cell>
          <cell r="R395">
            <v>0.23509190041350234</v>
          </cell>
          <cell r="S395">
            <v>2.7363404602799995E-2</v>
          </cell>
          <cell r="T395">
            <v>6.4329147898558281</v>
          </cell>
        </row>
        <row r="396">
          <cell r="B396" t="str">
            <v>Oswaldo Arcia</v>
          </cell>
          <cell r="C396">
            <v>2600</v>
          </cell>
          <cell r="D396" t="str">
            <v>SD</v>
          </cell>
          <cell r="E396" t="str">
            <v>OF</v>
          </cell>
          <cell r="F396" t="str">
            <v>@LAD</v>
          </cell>
          <cell r="G396" t="str">
            <v>Deleon</v>
          </cell>
          <cell r="H396" t="str">
            <v>R</v>
          </cell>
          <cell r="I396" t="str">
            <v>L</v>
          </cell>
          <cell r="J396">
            <v>201</v>
          </cell>
          <cell r="K396">
            <v>17</v>
          </cell>
          <cell r="L396">
            <v>0.32114427860696515</v>
          </cell>
          <cell r="M396">
            <v>0.31</v>
          </cell>
          <cell r="N396">
            <v>0.3155721393034826</v>
          </cell>
          <cell r="O396">
            <v>0.19444444444444445</v>
          </cell>
          <cell r="P396">
            <v>0.16</v>
          </cell>
          <cell r="Q396">
            <v>0.17722222222222223</v>
          </cell>
          <cell r="R396">
            <v>0.24639718076285241</v>
          </cell>
          <cell r="S396">
            <v>4.8505928888800003E-2</v>
          </cell>
          <cell r="T396">
            <v>11.951724128483718</v>
          </cell>
        </row>
        <row r="397">
          <cell r="B397" t="str">
            <v>Gorkys Hernandez</v>
          </cell>
          <cell r="C397">
            <v>2000</v>
          </cell>
          <cell r="D397" t="str">
            <v>SF</v>
          </cell>
          <cell r="E397" t="str">
            <v>OF</v>
          </cell>
          <cell r="F397" t="str">
            <v>@CHC</v>
          </cell>
          <cell r="G397" t="str">
            <v>Lackey</v>
          </cell>
          <cell r="H397" t="str">
            <v>R</v>
          </cell>
          <cell r="I397" t="str">
            <v>R</v>
          </cell>
          <cell r="J397">
            <v>16</v>
          </cell>
          <cell r="K397">
            <v>11</v>
          </cell>
          <cell r="L397">
            <v>0.15625</v>
          </cell>
          <cell r="M397">
            <v>0.26548780487804879</v>
          </cell>
          <cell r="N397">
            <v>0.2108689024390244</v>
          </cell>
          <cell r="O397">
            <v>0.125</v>
          </cell>
          <cell r="P397">
            <v>0.12746386333771353</v>
          </cell>
          <cell r="Q397">
            <v>0.12623193166885677</v>
          </cell>
          <cell r="R397">
            <v>0.16855041705394058</v>
          </cell>
          <cell r="S397">
            <v>3.6403627155999999E-2</v>
          </cell>
          <cell r="T397">
            <v>6.1358465394199566</v>
          </cell>
        </row>
        <row r="398">
          <cell r="B398" t="str">
            <v>Billy Burns</v>
          </cell>
          <cell r="C398">
            <v>2400</v>
          </cell>
          <cell r="D398" t="str">
            <v>KC</v>
          </cell>
          <cell r="E398" t="str">
            <v>OF</v>
          </cell>
          <cell r="F398" t="str">
            <v>DET</v>
          </cell>
          <cell r="G398" t="str">
            <v>Norris</v>
          </cell>
          <cell r="H398" t="str">
            <v>L</v>
          </cell>
          <cell r="I398" t="str">
            <v>S</v>
          </cell>
          <cell r="J398">
            <v>247</v>
          </cell>
          <cell r="K398">
            <v>20</v>
          </cell>
          <cell r="L398">
            <v>0.32834008097165995</v>
          </cell>
          <cell r="M398">
            <v>0.31510903426791281</v>
          </cell>
          <cell r="N398">
            <v>0.32172455761978636</v>
          </cell>
          <cell r="O398">
            <v>0.10344827586206896</v>
          </cell>
          <cell r="P398">
            <v>0.1678082191780822</v>
          </cell>
          <cell r="Q398">
            <v>0.13562824752007557</v>
          </cell>
          <cell r="R398">
            <v>0.22867640256993096</v>
          </cell>
          <cell r="S398">
            <v>1.9724988771599998E-2</v>
          </cell>
          <cell r="T398">
            <v>4.5106394730217696</v>
          </cell>
        </row>
        <row r="399">
          <cell r="B399" t="str">
            <v>Brett Wallace</v>
          </cell>
          <cell r="C399">
            <v>2000</v>
          </cell>
          <cell r="D399" t="str">
            <v>SD</v>
          </cell>
          <cell r="E399" t="str">
            <v>3B</v>
          </cell>
          <cell r="F399" t="str">
            <v>@LAD</v>
          </cell>
          <cell r="G399" t="str">
            <v>Deleon</v>
          </cell>
          <cell r="H399" t="str">
            <v>R</v>
          </cell>
          <cell r="I399" t="str">
            <v>L</v>
          </cell>
          <cell r="J399">
            <v>287</v>
          </cell>
          <cell r="K399">
            <v>17</v>
          </cell>
          <cell r="L399">
            <v>0.31986062717770036</v>
          </cell>
          <cell r="M399">
            <v>0.31</v>
          </cell>
          <cell r="N399">
            <v>0.31493031358885015</v>
          </cell>
          <cell r="O399">
            <v>0.18442622950819673</v>
          </cell>
          <cell r="P399">
            <v>0.16</v>
          </cell>
          <cell r="Q399">
            <v>0.17221311475409837</v>
          </cell>
          <cell r="R399">
            <v>0.24357171417147427</v>
          </cell>
          <cell r="S399">
            <v>4.6575500410799983E-2</v>
          </cell>
          <cell r="T399">
            <v>11.344474473452756</v>
          </cell>
        </row>
        <row r="400">
          <cell r="B400" t="str">
            <v>Benjamin Gamel</v>
          </cell>
          <cell r="C400">
            <v>2000</v>
          </cell>
          <cell r="D400" t="str">
            <v>SEA</v>
          </cell>
          <cell r="E400" t="str">
            <v>OF</v>
          </cell>
          <cell r="F400" t="str">
            <v>LAA</v>
          </cell>
          <cell r="G400" t="str">
            <v>Shoemaker</v>
          </cell>
          <cell r="H400" t="str">
            <v>R</v>
          </cell>
          <cell r="I400" t="str">
            <v>L</v>
          </cell>
          <cell r="J400">
            <v>14</v>
          </cell>
          <cell r="K400">
            <v>29</v>
          </cell>
          <cell r="L400">
            <v>0.16428571428571428</v>
          </cell>
          <cell r="M400">
            <v>0.31039755351681958</v>
          </cell>
          <cell r="N400">
            <v>0.23734163390126695</v>
          </cell>
          <cell r="O400">
            <v>0</v>
          </cell>
          <cell r="P400">
            <v>0.16501650165016502</v>
          </cell>
          <cell r="Q400">
            <v>8.2508250825082508E-2</v>
          </cell>
          <cell r="R400">
            <v>0.15992494236317473</v>
          </cell>
          <cell r="S400">
            <v>3.6260637454799995E-2</v>
          </cell>
          <cell r="T400">
            <v>5.7989803550108636</v>
          </cell>
        </row>
        <row r="401">
          <cell r="B401" t="str">
            <v>Travis Jankowski</v>
          </cell>
          <cell r="C401">
            <v>2600</v>
          </cell>
          <cell r="D401" t="str">
            <v>SD</v>
          </cell>
          <cell r="E401" t="str">
            <v>OF</v>
          </cell>
          <cell r="F401" t="str">
            <v>@LAD</v>
          </cell>
          <cell r="G401" t="str">
            <v>Deleon</v>
          </cell>
          <cell r="H401" t="str">
            <v>R</v>
          </cell>
          <cell r="I401" t="str">
            <v>L</v>
          </cell>
          <cell r="J401">
            <v>309</v>
          </cell>
          <cell r="K401">
            <v>17</v>
          </cell>
          <cell r="L401">
            <v>0.33268608414239487</v>
          </cell>
          <cell r="M401">
            <v>0.31</v>
          </cell>
          <cell r="N401">
            <v>0.32134304207119746</v>
          </cell>
          <cell r="O401">
            <v>0.10740740740740741</v>
          </cell>
          <cell r="P401">
            <v>0.16</v>
          </cell>
          <cell r="Q401">
            <v>0.13370370370370371</v>
          </cell>
          <cell r="R401">
            <v>0.22752337288745059</v>
          </cell>
          <cell r="S401">
            <v>5.0162834697749986E-2</v>
          </cell>
          <cell r="T401">
            <v>11.413217344027714</v>
          </cell>
        </row>
        <row r="402">
          <cell r="B402" t="str">
            <v>Marco Hernandez</v>
          </cell>
          <cell r="C402">
            <v>2000</v>
          </cell>
          <cell r="D402" t="str">
            <v>BOS</v>
          </cell>
          <cell r="E402" t="str">
            <v>SS</v>
          </cell>
          <cell r="F402" t="str">
            <v>@OAK</v>
          </cell>
          <cell r="G402" t="str">
            <v>Graveman</v>
          </cell>
          <cell r="H402" t="str">
            <v>R</v>
          </cell>
          <cell r="I402" t="str">
            <v>L</v>
          </cell>
          <cell r="J402">
            <v>42</v>
          </cell>
          <cell r="K402">
            <v>24</v>
          </cell>
          <cell r="L402">
            <v>0.33690476190476187</v>
          </cell>
          <cell r="M402">
            <v>0.33322314049586776</v>
          </cell>
          <cell r="N402">
            <v>0.33506395120031485</v>
          </cell>
          <cell r="O402">
            <v>0.10526315789473684</v>
          </cell>
          <cell r="P402">
            <v>0.13703703703703704</v>
          </cell>
          <cell r="Q402">
            <v>0.12115009746588694</v>
          </cell>
          <cell r="R402">
            <v>0.2281070243331009</v>
          </cell>
          <cell r="S402">
            <v>2.3913863095000001E-2</v>
          </cell>
          <cell r="T402">
            <v>5.4549201509096088</v>
          </cell>
        </row>
        <row r="403">
          <cell r="B403" t="str">
            <v>Kevin Plawecki</v>
          </cell>
          <cell r="C403">
            <v>2000</v>
          </cell>
          <cell r="D403" t="str">
            <v>NYM</v>
          </cell>
          <cell r="E403" t="str">
            <v>C</v>
          </cell>
          <cell r="F403" t="str">
            <v>WAS</v>
          </cell>
          <cell r="G403" t="str">
            <v>Lopez</v>
          </cell>
          <cell r="H403" t="str">
            <v>R</v>
          </cell>
          <cell r="I403" t="str">
            <v>R</v>
          </cell>
          <cell r="J403">
            <v>323</v>
          </cell>
          <cell r="K403">
            <v>21</v>
          </cell>
          <cell r="L403">
            <v>0.27043343653250773</v>
          </cell>
          <cell r="M403">
            <v>0.41785714285714282</v>
          </cell>
          <cell r="N403">
            <v>0.34414528969482527</v>
          </cell>
          <cell r="O403">
            <v>5.6737588652482268E-2</v>
          </cell>
          <cell r="P403">
            <v>0.12244897959183673</v>
          </cell>
          <cell r="Q403">
            <v>8.95932841221595E-2</v>
          </cell>
          <cell r="R403">
            <v>0.21686928690849239</v>
          </cell>
          <cell r="S403">
            <v>2.4578567675199996E-2</v>
          </cell>
          <cell r="T403">
            <v>5.3303364449527448</v>
          </cell>
        </row>
        <row r="404">
          <cell r="B404" t="str">
            <v>Deven Marrero</v>
          </cell>
          <cell r="C404">
            <v>2000</v>
          </cell>
          <cell r="D404" t="str">
            <v>BOS</v>
          </cell>
          <cell r="E404" t="str">
            <v>3B</v>
          </cell>
          <cell r="F404" t="str">
            <v>@OAK</v>
          </cell>
          <cell r="G404" t="str">
            <v>Graveman</v>
          </cell>
          <cell r="H404" t="str">
            <v>R</v>
          </cell>
          <cell r="I404" t="str">
            <v>R</v>
          </cell>
          <cell r="J404">
            <v>37</v>
          </cell>
          <cell r="K404">
            <v>24</v>
          </cell>
          <cell r="L404">
            <v>0.30540540540540545</v>
          </cell>
          <cell r="M404">
            <v>0.31861510791366904</v>
          </cell>
          <cell r="N404">
            <v>0.31201025665953724</v>
          </cell>
          <cell r="O404">
            <v>8.8235294117647065E-2</v>
          </cell>
          <cell r="P404">
            <v>0.1673076923076923</v>
          </cell>
          <cell r="Q404">
            <v>0.12777149321266967</v>
          </cell>
          <cell r="R404">
            <v>0.21989087493610346</v>
          </cell>
          <cell r="S404">
            <v>2.41125117735E-2</v>
          </cell>
          <cell r="T404">
            <v>5.3021213107820104</v>
          </cell>
        </row>
        <row r="405">
          <cell r="B405" t="str">
            <v>Tyler Holt</v>
          </cell>
          <cell r="C405">
            <v>2000</v>
          </cell>
          <cell r="D405" t="str">
            <v>CIN</v>
          </cell>
          <cell r="E405" t="str">
            <v>OF</v>
          </cell>
          <cell r="F405" t="str">
            <v>STL</v>
          </cell>
          <cell r="G405" t="str">
            <v>Martinez</v>
          </cell>
          <cell r="H405" t="str">
            <v>R</v>
          </cell>
          <cell r="I405" t="str">
            <v>R</v>
          </cell>
          <cell r="J405">
            <v>147</v>
          </cell>
          <cell r="K405">
            <v>3</v>
          </cell>
          <cell r="L405">
            <v>0.22346938775510206</v>
          </cell>
          <cell r="M405">
            <v>0.25387994143484627</v>
          </cell>
          <cell r="N405">
            <v>0.23867466459497416</v>
          </cell>
          <cell r="O405">
            <v>3.7593984962406013E-2</v>
          </cell>
          <cell r="P405">
            <v>6.4829821717990274E-2</v>
          </cell>
          <cell r="Q405">
            <v>5.1211903340198144E-2</v>
          </cell>
          <cell r="R405">
            <v>0.14494328396758616</v>
          </cell>
          <cell r="S405">
            <v>3.4750584821475E-2</v>
          </cell>
          <cell r="T405">
            <v>5.0368638838187403</v>
          </cell>
        </row>
        <row r="406">
          <cell r="B406" t="str">
            <v>Alexei Ramirez</v>
          </cell>
          <cell r="C406">
            <v>2000</v>
          </cell>
          <cell r="D406" t="str">
            <v>SD</v>
          </cell>
          <cell r="E406" t="str">
            <v>SS</v>
          </cell>
          <cell r="F406" t="str">
            <v>@LAD</v>
          </cell>
          <cell r="G406" t="str">
            <v>Deleon</v>
          </cell>
          <cell r="H406" t="str">
            <v>R</v>
          </cell>
          <cell r="I406" t="str">
            <v>R</v>
          </cell>
          <cell r="J406">
            <v>809</v>
          </cell>
          <cell r="K406">
            <v>17</v>
          </cell>
          <cell r="L406">
            <v>0.25970333745364649</v>
          </cell>
          <cell r="M406">
            <v>0.31</v>
          </cell>
          <cell r="N406">
            <v>0.28485166872682322</v>
          </cell>
          <cell r="O406">
            <v>0.1</v>
          </cell>
          <cell r="P406">
            <v>0.16</v>
          </cell>
          <cell r="Q406">
            <v>0.13</v>
          </cell>
          <cell r="R406">
            <v>0.20742583436341161</v>
          </cell>
          <cell r="S406">
            <v>5.2709813922600005E-2</v>
          </cell>
          <cell r="T406">
            <v>10.933377132035476</v>
          </cell>
        </row>
        <row r="407">
          <cell r="B407" t="str">
            <v>Hanser Alberto</v>
          </cell>
          <cell r="C407">
            <v>2000</v>
          </cell>
          <cell r="D407" t="str">
            <v>TEX</v>
          </cell>
          <cell r="E407" t="str">
            <v>2B</v>
          </cell>
          <cell r="F407" t="str">
            <v>HOU</v>
          </cell>
          <cell r="G407" t="str">
            <v>McHugh</v>
          </cell>
          <cell r="H407" t="str">
            <v>R</v>
          </cell>
          <cell r="I407" t="str">
            <v>R</v>
          </cell>
          <cell r="J407">
            <v>87</v>
          </cell>
          <cell r="K407">
            <v>7</v>
          </cell>
          <cell r="L407">
            <v>0.25344827586206897</v>
          </cell>
          <cell r="M407">
            <v>0.34371108343711082</v>
          </cell>
          <cell r="N407">
            <v>0.29857967964958987</v>
          </cell>
          <cell r="O407">
            <v>5.9523809523809521E-2</v>
          </cell>
          <cell r="P407">
            <v>0.16666666666666666</v>
          </cell>
          <cell r="Q407">
            <v>0.11309523809523808</v>
          </cell>
          <cell r="R407">
            <v>0.20583745887241398</v>
          </cell>
          <cell r="S407">
            <v>1.0337202225E-2</v>
          </cell>
          <cell r="T407">
            <v>2.1277834378442639</v>
          </cell>
        </row>
        <row r="408">
          <cell r="B408" t="str">
            <v>Erik Gonzalez</v>
          </cell>
          <cell r="C408">
            <v>0</v>
          </cell>
          <cell r="D408" t="str">
            <v>CLE</v>
          </cell>
          <cell r="E408" t="str">
            <v>SS</v>
          </cell>
          <cell r="F408" t="str">
            <v>MIA</v>
          </cell>
          <cell r="G408" t="str">
            <v>Koehler</v>
          </cell>
          <cell r="H408" t="str">
            <v>R</v>
          </cell>
          <cell r="I408" t="str">
            <v>R</v>
          </cell>
          <cell r="J408">
            <v>4</v>
          </cell>
          <cell r="K408">
            <v>14</v>
          </cell>
          <cell r="L408">
            <v>0</v>
          </cell>
          <cell r="M408">
            <v>0.31426553672316382</v>
          </cell>
          <cell r="N408">
            <v>0.15713276836158191</v>
          </cell>
          <cell r="O408">
            <v>0</v>
          </cell>
          <cell r="P408">
            <v>0.13687600644122383</v>
          </cell>
          <cell r="Q408">
            <v>6.8438003220611915E-2</v>
          </cell>
          <cell r="R408">
            <v>0.11278538579109691</v>
          </cell>
          <cell r="S408">
            <v>2.9982263475E-2</v>
          </cell>
          <cell r="T408">
            <v>3.3815611529181888</v>
          </cell>
        </row>
        <row r="409">
          <cell r="B409" t="str">
            <v>Luis Sardinas</v>
          </cell>
          <cell r="C409">
            <v>2100</v>
          </cell>
          <cell r="D409" t="str">
            <v>SD</v>
          </cell>
          <cell r="E409" t="str">
            <v>SS</v>
          </cell>
          <cell r="F409" t="str">
            <v>@LAD</v>
          </cell>
          <cell r="G409" t="str">
            <v>Deleon</v>
          </cell>
          <cell r="H409" t="str">
            <v>R</v>
          </cell>
          <cell r="I409" t="str">
            <v>S</v>
          </cell>
          <cell r="J409">
            <v>151</v>
          </cell>
          <cell r="K409">
            <v>17</v>
          </cell>
          <cell r="L409">
            <v>0.20463576158940397</v>
          </cell>
          <cell r="M409">
            <v>0.31</v>
          </cell>
          <cell r="N409">
            <v>0.25731788079470197</v>
          </cell>
          <cell r="O409">
            <v>1.4705882352941176E-2</v>
          </cell>
          <cell r="P409">
            <v>0.16</v>
          </cell>
          <cell r="Q409">
            <v>8.7352941176470592E-2</v>
          </cell>
          <cell r="R409">
            <v>0.17233541098558627</v>
          </cell>
          <cell r="S409">
            <v>6.0275270933399988E-2</v>
          </cell>
          <cell r="T409">
            <v>10.387563588575048</v>
          </cell>
        </row>
        <row r="410">
          <cell r="B410" t="str">
            <v>Tyler Austin</v>
          </cell>
          <cell r="C410">
            <v>0</v>
          </cell>
          <cell r="D410" t="str">
            <v>NYY</v>
          </cell>
          <cell r="E410" t="str">
            <v>1B</v>
          </cell>
          <cell r="F410" t="str">
            <v>@BAL</v>
          </cell>
          <cell r="G410" t="str">
            <v>Miley</v>
          </cell>
          <cell r="H410" t="str">
            <v>L</v>
          </cell>
          <cell r="I410" t="str">
            <v>R</v>
          </cell>
          <cell r="J410">
            <v>5</v>
          </cell>
          <cell r="K410">
            <v>5</v>
          </cell>
          <cell r="L410">
            <v>0</v>
          </cell>
          <cell r="M410">
            <v>0.34892665474060824</v>
          </cell>
          <cell r="N410">
            <v>0.17446332737030412</v>
          </cell>
          <cell r="O410">
            <v>0</v>
          </cell>
          <cell r="P410">
            <v>0.17762512266928362</v>
          </cell>
          <cell r="Q410">
            <v>8.8812561334641812E-2</v>
          </cell>
          <cell r="R410">
            <v>0.13163794435247297</v>
          </cell>
          <cell r="S410">
            <v>2.4035478719350002E-2</v>
          </cell>
          <cell r="T410">
            <v>3.1639810101428436</v>
          </cell>
        </row>
        <row r="411">
          <cell r="B411" t="str">
            <v>Alexi Amarista</v>
          </cell>
          <cell r="C411">
            <v>2300</v>
          </cell>
          <cell r="D411" t="str">
            <v>SD</v>
          </cell>
          <cell r="E411" t="str">
            <v>SS</v>
          </cell>
          <cell r="F411" t="str">
            <v>@LAD</v>
          </cell>
          <cell r="G411" t="str">
            <v>Deleon</v>
          </cell>
          <cell r="H411" t="str">
            <v>R</v>
          </cell>
          <cell r="I411" t="str">
            <v>L</v>
          </cell>
          <cell r="J411">
            <v>414</v>
          </cell>
          <cell r="K411">
            <v>17</v>
          </cell>
          <cell r="L411">
            <v>0.25338164251207729</v>
          </cell>
          <cell r="M411">
            <v>0.31</v>
          </cell>
          <cell r="N411">
            <v>0.28169082125603861</v>
          </cell>
          <cell r="O411">
            <v>6.4171122994652413E-2</v>
          </cell>
          <cell r="P411">
            <v>0.16</v>
          </cell>
          <cell r="Q411">
            <v>0.11208556149732621</v>
          </cell>
          <cell r="R411">
            <v>0.1968881913766824</v>
          </cell>
          <cell r="S411">
            <v>3.1554523756799999E-2</v>
          </cell>
          <cell r="T411">
            <v>6.2127131122289097</v>
          </cell>
        </row>
        <row r="412">
          <cell r="B412" t="str">
            <v>Tony Cruz</v>
          </cell>
          <cell r="C412">
            <v>2000</v>
          </cell>
          <cell r="D412" t="str">
            <v>KC</v>
          </cell>
          <cell r="E412" t="str">
            <v>C</v>
          </cell>
          <cell r="F412" t="str">
            <v>DET</v>
          </cell>
          <cell r="G412" t="str">
            <v>Norris</v>
          </cell>
          <cell r="H412" t="str">
            <v>L</v>
          </cell>
          <cell r="I412" t="str">
            <v>R</v>
          </cell>
          <cell r="J412">
            <v>29</v>
          </cell>
          <cell r="K412">
            <v>20</v>
          </cell>
          <cell r="L412">
            <v>0.27068965517241378</v>
          </cell>
          <cell r="M412">
            <v>0.31510903426791281</v>
          </cell>
          <cell r="N412">
            <v>0.29289934472016332</v>
          </cell>
          <cell r="O412">
            <v>0.04</v>
          </cell>
          <cell r="P412">
            <v>0.1678082191780822</v>
          </cell>
          <cell r="Q412">
            <v>0.1039041095890411</v>
          </cell>
          <cell r="R412">
            <v>0.19840172715460222</v>
          </cell>
          <cell r="S412">
            <v>4.3832964755999996E-3</v>
          </cell>
          <cell r="T412">
            <v>0.86965359138972065</v>
          </cell>
        </row>
        <row r="413">
          <cell r="B413" t="str">
            <v>Jemile Weeks</v>
          </cell>
          <cell r="C413">
            <v>0</v>
          </cell>
          <cell r="D413" t="str">
            <v>SD</v>
          </cell>
          <cell r="E413" t="str">
            <v>2B</v>
          </cell>
          <cell r="F413" t="str">
            <v>@LAD</v>
          </cell>
          <cell r="G413" t="str">
            <v>Deleon</v>
          </cell>
          <cell r="H413" t="str">
            <v>R</v>
          </cell>
          <cell r="I413" t="str">
            <v>S</v>
          </cell>
          <cell r="J413">
            <v>49</v>
          </cell>
          <cell r="K413">
            <v>17</v>
          </cell>
          <cell r="L413">
            <v>0.16734693877551018</v>
          </cell>
          <cell r="M413">
            <v>0.31</v>
          </cell>
          <cell r="N413">
            <v>0.23867346938775508</v>
          </cell>
          <cell r="O413">
            <v>4.7619047619047616E-2</v>
          </cell>
          <cell r="P413">
            <v>0.16</v>
          </cell>
          <cell r="Q413">
            <v>0.10380952380952381</v>
          </cell>
          <cell r="R413">
            <v>0.17124149659863944</v>
          </cell>
          <cell r="S413">
            <v>3.7372485748799998E-2</v>
          </cell>
          <cell r="T413">
            <v>6.399720391235836</v>
          </cell>
        </row>
        <row r="414">
          <cell r="B414" t="str">
            <v>Francisco Pena</v>
          </cell>
          <cell r="C414">
            <v>2000</v>
          </cell>
          <cell r="D414" t="str">
            <v>BAL</v>
          </cell>
          <cell r="E414" t="str">
            <v>C</v>
          </cell>
          <cell r="F414" t="str">
            <v>NYY</v>
          </cell>
          <cell r="G414" t="str">
            <v>Pineda</v>
          </cell>
          <cell r="H414" t="str">
            <v>R</v>
          </cell>
          <cell r="I414" t="str">
            <v>R</v>
          </cell>
          <cell r="J414">
            <v>32</v>
          </cell>
          <cell r="K414">
            <v>5</v>
          </cell>
          <cell r="L414">
            <v>0.140625</v>
          </cell>
          <cell r="M414">
            <v>0.32776183644189383</v>
          </cell>
          <cell r="N414">
            <v>0.23419341822094691</v>
          </cell>
          <cell r="O414">
            <v>9.6774193548387094E-2</v>
          </cell>
          <cell r="P414">
            <v>0.18721461187214611</v>
          </cell>
          <cell r="Q414">
            <v>0.14199440271026659</v>
          </cell>
          <cell r="R414">
            <v>0.18809391046560675</v>
          </cell>
          <cell r="S414">
            <v>7.5244511056399996E-2</v>
          </cell>
          <cell r="T414">
            <v>14.153034325670859</v>
          </cell>
        </row>
        <row r="415">
          <cell r="B415" t="str">
            <v>Eric Young</v>
          </cell>
          <cell r="C415">
            <v>2000</v>
          </cell>
          <cell r="D415" t="str">
            <v>NYY</v>
          </cell>
          <cell r="E415" t="str">
            <v>OF</v>
          </cell>
          <cell r="F415" t="str">
            <v>@BAL</v>
          </cell>
          <cell r="G415" t="str">
            <v>Miley</v>
          </cell>
          <cell r="H415" t="str">
            <v>L</v>
          </cell>
          <cell r="I415" t="str">
            <v>S</v>
          </cell>
          <cell r="J415">
            <v>12</v>
          </cell>
          <cell r="K415">
            <v>5</v>
          </cell>
          <cell r="L415">
            <v>0.16250000000000001</v>
          </cell>
          <cell r="M415">
            <v>0.34892665474060824</v>
          </cell>
          <cell r="N415">
            <v>0.25571332737030411</v>
          </cell>
          <cell r="O415">
            <v>0.1</v>
          </cell>
          <cell r="P415">
            <v>0.17762512266928362</v>
          </cell>
          <cell r="Q415">
            <v>0.13881256133464182</v>
          </cell>
          <cell r="R415">
            <v>0.19726294435247296</v>
          </cell>
          <cell r="S415">
            <v>4.2606642141000007E-3</v>
          </cell>
          <cell r="T415">
            <v>0.8404711677705814</v>
          </cell>
        </row>
        <row r="416">
          <cell r="B416" t="str">
            <v>Andrew Lambo</v>
          </cell>
          <cell r="C416">
            <v>0</v>
          </cell>
          <cell r="D416" t="str">
            <v>OAK</v>
          </cell>
          <cell r="E416" t="str">
            <v>OF</v>
          </cell>
          <cell r="F416" t="str">
            <v>BOS</v>
          </cell>
          <cell r="G416" t="str">
            <v>Rodriguez</v>
          </cell>
          <cell r="H416" t="str">
            <v>L</v>
          </cell>
          <cell r="I416" t="str">
            <v>L</v>
          </cell>
          <cell r="J416">
            <v>2</v>
          </cell>
          <cell r="K416">
            <v>24</v>
          </cell>
          <cell r="L416">
            <v>0</v>
          </cell>
          <cell r="M416">
            <v>0.33842364532019703</v>
          </cell>
          <cell r="N416">
            <v>0.16921182266009852</v>
          </cell>
          <cell r="O416">
            <v>0</v>
          </cell>
          <cell r="P416">
            <v>0.18784530386740331</v>
          </cell>
          <cell r="Q416">
            <v>9.3922651933701654E-2</v>
          </cell>
          <cell r="R416">
            <v>0.13156723729690009</v>
          </cell>
          <cell r="S416">
            <v>5.0433232668000011E-3</v>
          </cell>
          <cell r="T416">
            <v>0.66353610900805304</v>
          </cell>
        </row>
        <row r="417">
          <cell r="B417" t="str">
            <v>Tomas Telis</v>
          </cell>
          <cell r="C417">
            <v>2000</v>
          </cell>
          <cell r="D417" t="str">
            <v>MIA</v>
          </cell>
          <cell r="E417" t="str">
            <v>C</v>
          </cell>
          <cell r="F417" t="str">
            <v>@CLE</v>
          </cell>
          <cell r="G417" t="str">
            <v>Salazar</v>
          </cell>
          <cell r="H417" t="str">
            <v>R</v>
          </cell>
          <cell r="I417" t="str">
            <v>S</v>
          </cell>
          <cell r="J417">
            <v>35</v>
          </cell>
          <cell r="K417">
            <v>14</v>
          </cell>
          <cell r="L417">
            <v>0.14285714285714285</v>
          </cell>
          <cell r="M417">
            <v>0.29333881578947368</v>
          </cell>
          <cell r="N417">
            <v>0.21809797932330827</v>
          </cell>
          <cell r="O417">
            <v>0</v>
          </cell>
          <cell r="P417">
            <v>0.18214936247723132</v>
          </cell>
          <cell r="Q417">
            <v>9.107468123861566E-2</v>
          </cell>
          <cell r="R417">
            <v>0.15458633028096197</v>
          </cell>
          <cell r="S417">
            <v>4.2880524500000005E-3</v>
          </cell>
          <cell r="T417">
            <v>0.66287429229778827</v>
          </cell>
        </row>
        <row r="418">
          <cell r="B418" t="str">
            <v>Rafael Lopez</v>
          </cell>
          <cell r="C418">
            <v>0</v>
          </cell>
          <cell r="D418" t="str">
            <v>CIN</v>
          </cell>
          <cell r="E418" t="str">
            <v>C</v>
          </cell>
          <cell r="F418" t="str">
            <v>STL</v>
          </cell>
          <cell r="G418" t="str">
            <v>Martinez</v>
          </cell>
          <cell r="H418" t="str">
            <v>R</v>
          </cell>
          <cell r="I418" t="str">
            <v>L</v>
          </cell>
          <cell r="J418">
            <v>3</v>
          </cell>
          <cell r="K418">
            <v>3</v>
          </cell>
          <cell r="L418">
            <v>0</v>
          </cell>
          <cell r="M418">
            <v>0.32929362880886426</v>
          </cell>
          <cell r="N418">
            <v>0.16464681440443213</v>
          </cell>
          <cell r="O418">
            <v>0</v>
          </cell>
          <cell r="P418">
            <v>0.14622641509433962</v>
          </cell>
          <cell r="Q418">
            <v>7.3113207547169809E-2</v>
          </cell>
          <cell r="R418">
            <v>0.11888001097580098</v>
          </cell>
          <cell r="S418">
            <v>0</v>
          </cell>
          <cell r="T418">
            <v>0</v>
          </cell>
        </row>
        <row r="419">
          <cell r="B419" t="str">
            <v>Terrance Gore</v>
          </cell>
          <cell r="C419">
            <v>2000</v>
          </cell>
          <cell r="D419" t="str">
            <v>KC</v>
          </cell>
          <cell r="E419" t="str">
            <v>OF</v>
          </cell>
          <cell r="F419" t="str">
            <v>DET</v>
          </cell>
          <cell r="G419" t="str">
            <v>Norris</v>
          </cell>
          <cell r="H419" t="str">
            <v>L</v>
          </cell>
          <cell r="I419" t="str">
            <v>R</v>
          </cell>
          <cell r="J419">
            <v>1</v>
          </cell>
          <cell r="K419">
            <v>20</v>
          </cell>
          <cell r="L419">
            <v>0</v>
          </cell>
          <cell r="M419">
            <v>0.31510903426791281</v>
          </cell>
          <cell r="N419">
            <v>0.15755451713395641</v>
          </cell>
          <cell r="O419">
            <v>0</v>
          </cell>
          <cell r="P419">
            <v>0.1678082191780822</v>
          </cell>
          <cell r="Q419">
            <v>8.3904109589041098E-2</v>
          </cell>
          <cell r="R419">
            <v>0.12072931336149875</v>
          </cell>
          <cell r="S419">
            <v>0</v>
          </cell>
          <cell r="T419">
            <v>0</v>
          </cell>
        </row>
      </sheetData>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tching 4-29"/>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Yrs"/>
      <sheetName val="vs r"/>
      <sheetName val="vs L"/>
      <sheetName val="pitching 4-29"/>
    </sheetNames>
    <sheetDataSet>
      <sheetData sheetId="0" refreshError="1"/>
      <sheetData sheetId="1"/>
      <sheetData sheetId="2"/>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SFD718"/>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heet Info"/>
      <sheetName val="Previous Day"/>
      <sheetName val="Batter Feed Main"/>
      <sheetName val="Yesterday Batter Results"/>
      <sheetName val="BAT Yesterday (RESULTS)"/>
      <sheetName val="BAT Yesterday (DATA)"/>
      <sheetName val="Yesterday (SP) Results"/>
      <sheetName val="SP Yesterday RESULTS"/>
      <sheetName val="SP Yesterday DATA"/>
      <sheetName val="BVP"/>
      <sheetName val="Today Batter MATCHUPS"/>
      <sheetName val="Compare Batters"/>
      <sheetName val="BAT TODAY"/>
      <sheetName val="VEGAS"/>
      <sheetName val="Hard Contact"/>
      <sheetName val="Today (SP) Matchups"/>
      <sheetName val="Previous Team 14"/>
      <sheetName val="Previous SP 30"/>
      <sheetName val="SP TODAY"/>
      <sheetName val="Parks"/>
      <sheetName val="Lineup Builder"/>
      <sheetName val="SP 2 Year"/>
      <sheetName val="Team Names"/>
      <sheetName val="SP 2 Year DATA"/>
      <sheetName val="SP 2 Year SPLITS"/>
      <sheetName val="SP 2 Year Split DATA"/>
      <sheetName val="Team Stats 2016"/>
      <sheetName val="DRS PROJECTIONS"/>
      <sheetName val="TEAM2016"/>
      <sheetName val="SP14day"/>
      <sheetName val="SP30day"/>
      <sheetName val="SPtoday30daybbm"/>
      <sheetName val="TEAM14day"/>
      <sheetName val="SP2016season"/>
      <sheetName val="SP2015season"/>
      <sheetName val="BATvsL"/>
      <sheetName val="BATvsR"/>
      <sheetName val="DRSFD7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D2">
            <v>1</v>
          </cell>
        </row>
      </sheetData>
      <sheetData sheetId="14"/>
      <sheetData sheetId="15"/>
      <sheetData sheetId="16"/>
      <sheetData sheetId="17"/>
      <sheetData sheetId="18"/>
      <sheetData sheetId="19"/>
      <sheetData sheetId="20"/>
      <sheetData sheetId="21"/>
      <sheetData sheetId="22"/>
      <sheetData sheetId="23">
        <row r="1">
          <cell r="A1" t="str">
            <v>Name</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row r="2">
          <cell r="A2" t="str">
            <v>Chin-hui Tsao</v>
          </cell>
        </row>
      </sheetData>
      <sheetData sheetId="37">
        <row r="2">
          <cell r="A2" t="str">
            <v>Buddy Carlyle</v>
          </cell>
        </row>
      </sheetData>
      <sheetData sheetId="3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P) Matchups"/>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heet Info"/>
      <sheetName val="Previous Day"/>
      <sheetName val="Yesterday Batter Results"/>
      <sheetName val="BAT Yesterday (RESULTS)"/>
      <sheetName val="BAT Yesterday (DATA)"/>
      <sheetName val="Batter Feed Main"/>
      <sheetName val="Yesterday (SP) Results"/>
      <sheetName val="SP Yesterday DATA"/>
      <sheetName val="SP Yesterday RESULTS"/>
      <sheetName val="Today Batter MATCHUPS"/>
      <sheetName val="Compare Batters"/>
      <sheetName val="TODAY"/>
      <sheetName val="Batter Feed"/>
      <sheetName val="Today (SP) Matchups"/>
      <sheetName val="SP TODAY"/>
      <sheetName val="SP 2 Year"/>
      <sheetName val="SP 2 Year DATA"/>
      <sheetName val="SP 2 Year SPLITS"/>
      <sheetName val="SP 2 Year Split DATA"/>
      <sheetName val="Team Stats 2016"/>
      <sheetName val="Lineup Builder"/>
      <sheetName val="DRS PROJECTIONS"/>
      <sheetName val="TEAM2016"/>
      <sheetName val="TEAM14day"/>
      <sheetName val="SP14day"/>
      <sheetName val="BATvsL"/>
      <sheetName val="BATvsR"/>
      <sheetName val="DRS-FANDUEL-MLB-CHEAT-SHEET 5-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ow r="19">
          <cell r="B19" t="str">
            <v>Aaron Nola</v>
          </cell>
          <cell r="C19">
            <v>8900</v>
          </cell>
          <cell r="D19" t="str">
            <v>PHI</v>
          </cell>
          <cell r="E19" t="str">
            <v>@DET</v>
          </cell>
          <cell r="F19" t="str">
            <v>R</v>
          </cell>
          <cell r="G19">
            <v>0.26718916486824423</v>
          </cell>
          <cell r="H19">
            <v>0.13187250556552882</v>
          </cell>
          <cell r="I19">
            <v>0.19953083521688653</v>
          </cell>
          <cell r="J19">
            <v>0.77700000000000002</v>
          </cell>
          <cell r="K19">
            <v>0.217</v>
          </cell>
          <cell r="L19">
            <v>0.32600000000000001</v>
          </cell>
          <cell r="M19">
            <v>0.753</v>
          </cell>
          <cell r="N19">
            <v>0.27200000000000002</v>
          </cell>
          <cell r="O19">
            <v>0.214</v>
          </cell>
          <cell r="P19">
            <v>0.2445</v>
          </cell>
          <cell r="Q19">
            <v>0.15565777516951981</v>
          </cell>
          <cell r="R19">
            <v>8.8842224830480182E-2</v>
          </cell>
        </row>
        <row r="20">
          <cell r="B20" t="str">
            <v>Tanner Roark</v>
          </cell>
          <cell r="C20">
            <v>8300</v>
          </cell>
          <cell r="D20" t="str">
            <v>WAS</v>
          </cell>
          <cell r="E20" t="str">
            <v>NYM</v>
          </cell>
          <cell r="F20" t="str">
            <v>R</v>
          </cell>
          <cell r="G20">
            <v>0.31713996457059568</v>
          </cell>
          <cell r="H20">
            <v>0.14553506758067647</v>
          </cell>
          <cell r="I20">
            <v>0.23133751607563607</v>
          </cell>
          <cell r="J20">
            <v>0.75</v>
          </cell>
          <cell r="K20">
            <v>0.26400000000000001</v>
          </cell>
          <cell r="L20">
            <v>0.30299999999999999</v>
          </cell>
          <cell r="M20">
            <v>0.80600000000000005</v>
          </cell>
          <cell r="N20">
            <v>0.224</v>
          </cell>
          <cell r="O20">
            <v>0.23400000000000001</v>
          </cell>
          <cell r="P20">
            <v>0.24399999999999999</v>
          </cell>
          <cell r="Q20">
            <v>0.15996670768876944</v>
          </cell>
          <cell r="R20">
            <v>8.4033292311230551E-2</v>
          </cell>
        </row>
        <row r="21">
          <cell r="B21" t="str">
            <v>Corey Kluber</v>
          </cell>
          <cell r="C21">
            <v>9200</v>
          </cell>
          <cell r="D21" t="str">
            <v>CLE</v>
          </cell>
          <cell r="E21" t="str">
            <v>@CHW</v>
          </cell>
          <cell r="F21" t="str">
            <v>R</v>
          </cell>
          <cell r="G21">
            <v>0.27204092679512171</v>
          </cell>
          <cell r="H21">
            <v>0.13228126109357508</v>
          </cell>
          <cell r="I21">
            <v>0.20216109394434839</v>
          </cell>
          <cell r="J21">
            <v>0.76800000000000002</v>
          </cell>
          <cell r="K21">
            <v>0.222</v>
          </cell>
          <cell r="L21">
            <v>0.27500000000000002</v>
          </cell>
          <cell r="M21">
            <v>0.74</v>
          </cell>
          <cell r="N21">
            <v>0.24199999999999999</v>
          </cell>
          <cell r="O21">
            <v>0.29699999999999999</v>
          </cell>
          <cell r="P21">
            <v>0.23199999999999998</v>
          </cell>
          <cell r="Q21">
            <v>0.16303535762269455</v>
          </cell>
          <cell r="R21">
            <v>6.896464237730543E-2</v>
          </cell>
        </row>
        <row r="22">
          <cell r="B22" t="str">
            <v>Mike Foltynewicz</v>
          </cell>
          <cell r="C22">
            <v>6300</v>
          </cell>
          <cell r="D22" t="str">
            <v>ATL</v>
          </cell>
          <cell r="E22" t="str">
            <v>MIL</v>
          </cell>
          <cell r="F22" t="str">
            <v>R</v>
          </cell>
          <cell r="G22">
            <v>0.3828169282719821</v>
          </cell>
          <cell r="H22">
            <v>0.22842039532030226</v>
          </cell>
          <cell r="I22">
            <v>0.30561866179614217</v>
          </cell>
          <cell r="J22">
            <v>0.72899999999999998</v>
          </cell>
          <cell r="K22">
            <v>0.26800000000000002</v>
          </cell>
          <cell r="L22">
            <v>0.34100000000000003</v>
          </cell>
          <cell r="M22">
            <v>0.83099999999999996</v>
          </cell>
          <cell r="N22">
            <v>0.183</v>
          </cell>
          <cell r="O22">
            <v>0.28799999999999998</v>
          </cell>
          <cell r="P22">
            <v>0.22550000000000001</v>
          </cell>
          <cell r="Q22">
            <v>0.19557902304496222</v>
          </cell>
          <cell r="R22">
            <v>2.9920976955037787E-2</v>
          </cell>
        </row>
        <row r="23">
          <cell r="B23" t="str">
            <v>Steven Matz</v>
          </cell>
          <cell r="C23">
            <v>9900</v>
          </cell>
          <cell r="D23" t="str">
            <v>NYM</v>
          </cell>
          <cell r="E23" t="str">
            <v>@WAS</v>
          </cell>
          <cell r="F23" t="str">
            <v>L</v>
          </cell>
          <cell r="G23">
            <v>0.26776380035671976</v>
          </cell>
          <cell r="H23">
            <v>9.2976225115036559E-2</v>
          </cell>
          <cell r="I23">
            <v>0.18037001273587816</v>
          </cell>
          <cell r="J23">
            <v>0.81699999999999995</v>
          </cell>
          <cell r="K23">
            <v>0.17699999999999999</v>
          </cell>
          <cell r="L23">
            <v>0.34399999999999997</v>
          </cell>
          <cell r="M23">
            <v>0.81100000000000005</v>
          </cell>
          <cell r="N23">
            <v>0.25900000000000001</v>
          </cell>
          <cell r="O23">
            <v>0.23899999999999999</v>
          </cell>
          <cell r="P23">
            <v>0.218</v>
          </cell>
          <cell r="Q23">
            <v>0.17571328623750282</v>
          </cell>
          <cell r="R23">
            <v>4.228671376249718E-2</v>
          </cell>
        </row>
        <row r="24">
          <cell r="B24" t="str">
            <v>Scott Kazmir</v>
          </cell>
          <cell r="C24">
            <v>8600</v>
          </cell>
          <cell r="D24" t="str">
            <v>LAD</v>
          </cell>
          <cell r="E24" t="str">
            <v>CIN</v>
          </cell>
          <cell r="F24" t="str">
            <v>L</v>
          </cell>
          <cell r="G24">
            <v>0.30499880192487727</v>
          </cell>
          <cell r="H24">
            <v>0.15324616655547332</v>
          </cell>
          <cell r="I24">
            <v>0.22912248424017528</v>
          </cell>
          <cell r="J24">
            <v>0.79</v>
          </cell>
          <cell r="K24">
            <v>0.223</v>
          </cell>
          <cell r="L24">
            <v>0.27600000000000002</v>
          </cell>
          <cell r="M24">
            <v>0.78200000000000003</v>
          </cell>
          <cell r="N24">
            <v>0.21099999999999999</v>
          </cell>
          <cell r="O24">
            <v>0.219</v>
          </cell>
          <cell r="P24">
            <v>0.217</v>
          </cell>
          <cell r="Q24">
            <v>0.14859260494981447</v>
          </cell>
          <cell r="R24">
            <v>6.8407395050185532E-2</v>
          </cell>
        </row>
        <row r="25">
          <cell r="B25" t="str">
            <v>Jeff Locke</v>
          </cell>
          <cell r="C25">
            <v>7000</v>
          </cell>
          <cell r="D25" t="str">
            <v>PIT</v>
          </cell>
          <cell r="E25" t="str">
            <v>ARI</v>
          </cell>
          <cell r="F25" t="str">
            <v>L</v>
          </cell>
          <cell r="G25">
            <v>0.33320560170727492</v>
          </cell>
          <cell r="H25">
            <v>0.13742378671675781</v>
          </cell>
          <cell r="I25">
            <v>0.23531469421201637</v>
          </cell>
          <cell r="P25" t="e">
            <v>#DIV/0!</v>
          </cell>
          <cell r="Q25" t="e">
            <v>#DIV/0!</v>
          </cell>
          <cell r="R25" t="e">
            <v>#DIV/0!</v>
          </cell>
        </row>
        <row r="26">
          <cell r="B26" t="str">
            <v>Jake Arrieta</v>
          </cell>
          <cell r="C26">
            <v>12300</v>
          </cell>
          <cell r="D26" t="str">
            <v>CHC</v>
          </cell>
          <cell r="E26" t="str">
            <v>@STL</v>
          </cell>
          <cell r="F26" t="str">
            <v>R</v>
          </cell>
          <cell r="G26">
            <v>0.22302000879673897</v>
          </cell>
          <cell r="H26">
            <v>8.5170771087709485E-2</v>
          </cell>
          <cell r="I26">
            <v>0.15409538994222421</v>
          </cell>
          <cell r="J26">
            <v>0.80700000000000005</v>
          </cell>
          <cell r="K26">
            <v>0.16200000000000001</v>
          </cell>
          <cell r="L26">
            <v>0.31900000000000001</v>
          </cell>
          <cell r="M26">
            <v>0.77600000000000002</v>
          </cell>
          <cell r="N26">
            <v>0.26700000000000002</v>
          </cell>
          <cell r="O26">
            <v>0.23699999999999999</v>
          </cell>
          <cell r="P26">
            <v>0.21450000000000002</v>
          </cell>
          <cell r="Q26">
            <v>0.16097083946797947</v>
          </cell>
          <cell r="R26">
            <v>5.3529160532020559E-2</v>
          </cell>
        </row>
        <row r="27">
          <cell r="B27" t="str">
            <v>Hector Santiago</v>
          </cell>
          <cell r="C27">
            <v>7900</v>
          </cell>
          <cell r="D27" t="str">
            <v>LAA</v>
          </cell>
          <cell r="E27" t="str">
            <v>@TEX</v>
          </cell>
          <cell r="F27" t="str">
            <v>L</v>
          </cell>
          <cell r="G27">
            <v>0.30165231844579216</v>
          </cell>
          <cell r="H27">
            <v>0.16921871348537587</v>
          </cell>
          <cell r="I27">
            <v>0.23543551596558401</v>
          </cell>
          <cell r="P27" t="e">
            <v>#DIV/0!</v>
          </cell>
          <cell r="Q27" t="e">
            <v>#DIV/0!</v>
          </cell>
          <cell r="R27" t="e">
            <v>#DIV/0!</v>
          </cell>
        </row>
        <row r="28">
          <cell r="B28" t="str">
            <v>Junior Guerra</v>
          </cell>
          <cell r="C28">
            <v>7200</v>
          </cell>
          <cell r="D28" t="str">
            <v>MIL</v>
          </cell>
          <cell r="E28" t="str">
            <v>@ATL</v>
          </cell>
          <cell r="F28" t="str">
            <v>R</v>
          </cell>
          <cell r="G28">
            <v>0.3192258679137584</v>
          </cell>
          <cell r="H28">
            <v>0.14932812500000001</v>
          </cell>
          <cell r="I28">
            <v>0.23427699645687922</v>
          </cell>
          <cell r="J28">
            <v>0.78300000000000003</v>
          </cell>
          <cell r="K28">
            <v>0.17299999999999999</v>
          </cell>
          <cell r="L28">
            <v>0.249</v>
          </cell>
          <cell r="M28">
            <v>0.74199999999999999</v>
          </cell>
          <cell r="N28">
            <v>0.247</v>
          </cell>
          <cell r="O28">
            <v>0.35399999999999998</v>
          </cell>
          <cell r="P28">
            <v>0.21</v>
          </cell>
          <cell r="Q28">
            <v>0.17680733814391639</v>
          </cell>
          <cell r="R28">
            <v>3.3192661856083605E-2</v>
          </cell>
        </row>
        <row r="29">
          <cell r="B29" t="str">
            <v>Marco Estrada</v>
          </cell>
          <cell r="C29">
            <v>8400</v>
          </cell>
          <cell r="D29" t="str">
            <v>TOR</v>
          </cell>
          <cell r="E29" t="str">
            <v>@NYY</v>
          </cell>
          <cell r="F29" t="str">
            <v>R</v>
          </cell>
          <cell r="G29">
            <v>0.2735783935059703</v>
          </cell>
          <cell r="H29">
            <v>0.15579036686661421</v>
          </cell>
          <cell r="I29">
            <v>0.21468438018629227</v>
          </cell>
          <cell r="J29">
            <v>0.81100000000000005</v>
          </cell>
          <cell r="K29">
            <v>0.17699999999999999</v>
          </cell>
          <cell r="L29">
            <v>0.24099999999999999</v>
          </cell>
          <cell r="M29">
            <v>0.76200000000000001</v>
          </cell>
          <cell r="N29">
            <v>0.24199999999999999</v>
          </cell>
          <cell r="O29">
            <v>0.32600000000000001</v>
          </cell>
          <cell r="P29">
            <v>0.20949999999999999</v>
          </cell>
          <cell r="Q29">
            <v>0.1689361739276046</v>
          </cell>
          <cell r="R29">
            <v>4.0563826072395393E-2</v>
          </cell>
        </row>
        <row r="30">
          <cell r="B30" t="str">
            <v>Rubby De La Rosa</v>
          </cell>
          <cell r="C30">
            <v>6700</v>
          </cell>
          <cell r="D30" t="str">
            <v>ARI</v>
          </cell>
          <cell r="E30" t="str">
            <v>@PIT</v>
          </cell>
          <cell r="F30" t="str">
            <v>R</v>
          </cell>
          <cell r="G30">
            <v>0.29729265027168944</v>
          </cell>
          <cell r="H30">
            <v>0.16244775189502392</v>
          </cell>
          <cell r="I30">
            <v>0.22987020108335668</v>
          </cell>
          <cell r="P30" t="e">
            <v>#DIV/0!</v>
          </cell>
          <cell r="Q30" t="e">
            <v>#DIV/0!</v>
          </cell>
          <cell r="R30" t="e">
            <v>#DIV/0!</v>
          </cell>
        </row>
        <row r="31">
          <cell r="B31" t="str">
            <v>Jose Quintana</v>
          </cell>
          <cell r="C31">
            <v>9300</v>
          </cell>
          <cell r="D31" t="str">
            <v>CHW</v>
          </cell>
          <cell r="E31" t="str">
            <v>CLE</v>
          </cell>
          <cell r="F31" t="str">
            <v>L</v>
          </cell>
          <cell r="G31">
            <v>0.30211978434787179</v>
          </cell>
          <cell r="H31">
            <v>0.12476073486777116</v>
          </cell>
          <cell r="I31">
            <v>0.21344025960782148</v>
          </cell>
          <cell r="J31">
            <v>0.80700000000000005</v>
          </cell>
          <cell r="K31">
            <v>0.19</v>
          </cell>
          <cell r="L31">
            <v>0.29899999999999999</v>
          </cell>
          <cell r="M31">
            <v>0.81899999999999995</v>
          </cell>
          <cell r="N31">
            <v>0.22800000000000001</v>
          </cell>
          <cell r="O31">
            <v>0.315</v>
          </cell>
          <cell r="P31">
            <v>0.20900000000000002</v>
          </cell>
          <cell r="Q31">
            <v>0.18823605323320039</v>
          </cell>
          <cell r="R31">
            <v>2.0763946766799629E-2</v>
          </cell>
        </row>
        <row r="32">
          <cell r="B32" t="str">
            <v>Jake Peavy</v>
          </cell>
          <cell r="C32">
            <v>5900</v>
          </cell>
          <cell r="D32" t="str">
            <v>SF</v>
          </cell>
          <cell r="E32" t="str">
            <v>SD</v>
          </cell>
          <cell r="F32" t="str">
            <v>R</v>
          </cell>
          <cell r="G32">
            <v>0.33915396528552516</v>
          </cell>
          <cell r="H32">
            <v>0.19724361843588997</v>
          </cell>
          <cell r="I32">
            <v>0.26819879186070755</v>
          </cell>
          <cell r="J32">
            <v>0.78</v>
          </cell>
          <cell r="K32">
            <v>0.23200000000000001</v>
          </cell>
          <cell r="L32">
            <v>0.33400000000000002</v>
          </cell>
          <cell r="M32">
            <v>0.76200000000000001</v>
          </cell>
          <cell r="N32">
            <v>0.17899999999999999</v>
          </cell>
          <cell r="O32">
            <v>0.38100000000000001</v>
          </cell>
          <cell r="P32">
            <v>0.20550000000000002</v>
          </cell>
          <cell r="Q32">
            <v>0.21571535603006767</v>
          </cell>
          <cell r="R32">
            <v>-1.0215356030067652E-2</v>
          </cell>
        </row>
        <row r="33">
          <cell r="B33" t="str">
            <v>Anibal Sanchez</v>
          </cell>
          <cell r="C33">
            <v>6800</v>
          </cell>
          <cell r="D33" t="str">
            <v>DET</v>
          </cell>
          <cell r="E33" t="str">
            <v>PHI</v>
          </cell>
          <cell r="F33" t="str">
            <v>R</v>
          </cell>
          <cell r="G33">
            <v>0.34327640720147817</v>
          </cell>
          <cell r="H33">
            <v>0.21151630661034332</v>
          </cell>
          <cell r="I33">
            <v>0.27739635690591075</v>
          </cell>
          <cell r="J33">
            <v>0.79</v>
          </cell>
          <cell r="K33">
            <v>0.19600000000000001</v>
          </cell>
          <cell r="L33">
            <v>0.26600000000000001</v>
          </cell>
          <cell r="M33">
            <v>0.80300000000000005</v>
          </cell>
          <cell r="N33">
            <v>0.2</v>
          </cell>
          <cell r="O33">
            <v>0.28499999999999998</v>
          </cell>
          <cell r="P33">
            <v>0.19800000000000001</v>
          </cell>
          <cell r="Q33">
            <v>0.17176473210919282</v>
          </cell>
          <cell r="R33">
            <v>2.6235267890807185E-2</v>
          </cell>
        </row>
        <row r="34">
          <cell r="B34" t="str">
            <v>Chad Bettis</v>
          </cell>
          <cell r="C34">
            <v>6200</v>
          </cell>
          <cell r="D34" t="str">
            <v>COL</v>
          </cell>
          <cell r="E34" t="str">
            <v>@BOS</v>
          </cell>
          <cell r="F34" t="str">
            <v>R</v>
          </cell>
          <cell r="G34">
            <v>0.32410800574933257</v>
          </cell>
          <cell r="H34">
            <v>0.15741333753594744</v>
          </cell>
          <cell r="I34">
            <v>0.24076067164264001</v>
          </cell>
          <cell r="P34" t="e">
            <v>#DIV/0!</v>
          </cell>
          <cell r="Q34" t="e">
            <v>#DIV/0!</v>
          </cell>
          <cell r="R34" t="e">
            <v>#DIV/0!</v>
          </cell>
        </row>
        <row r="35">
          <cell r="B35" t="str">
            <v>Dillon Gee</v>
          </cell>
          <cell r="C35">
            <v>6900</v>
          </cell>
          <cell r="D35" t="str">
            <v>KC</v>
          </cell>
          <cell r="E35" t="str">
            <v>@MIN</v>
          </cell>
          <cell r="F35" t="str">
            <v>R</v>
          </cell>
          <cell r="G35">
            <v>0.33594861341714766</v>
          </cell>
          <cell r="H35">
            <v>0.15171414364942082</v>
          </cell>
          <cell r="I35">
            <v>0.24383137853328424</v>
          </cell>
          <cell r="J35">
            <v>0.753</v>
          </cell>
          <cell r="K35">
            <v>0.25600000000000001</v>
          </cell>
          <cell r="L35">
            <v>0.33100000000000002</v>
          </cell>
          <cell r="M35">
            <v>0.77900000000000003</v>
          </cell>
          <cell r="N35">
            <v>0.19700000000000001</v>
          </cell>
          <cell r="O35">
            <v>0.29399999999999998</v>
          </cell>
          <cell r="P35">
            <v>0.22650000000000001</v>
          </cell>
          <cell r="Q35">
            <v>0.18498243526388378</v>
          </cell>
          <cell r="R35">
            <v>4.151756473611623E-2</v>
          </cell>
        </row>
        <row r="36">
          <cell r="B36" t="str">
            <v>Dan Straily</v>
          </cell>
          <cell r="C36">
            <v>6700</v>
          </cell>
          <cell r="D36" t="str">
            <v>CIN</v>
          </cell>
          <cell r="E36" t="str">
            <v>@LAD</v>
          </cell>
          <cell r="F36" t="str">
            <v>R</v>
          </cell>
          <cell r="G36">
            <v>0.29422512457983058</v>
          </cell>
          <cell r="H36">
            <v>0.13211212858349081</v>
          </cell>
          <cell r="I36">
            <v>0.21316862658166069</v>
          </cell>
          <cell r="P36" t="e">
            <v>#DIV/0!</v>
          </cell>
          <cell r="Q36" t="e">
            <v>#DIV/0!</v>
          </cell>
          <cell r="R36" t="e">
            <v>#DIV/0!</v>
          </cell>
        </row>
        <row r="37">
          <cell r="B37" t="str">
            <v>Steven Wright</v>
          </cell>
          <cell r="C37">
            <v>9500</v>
          </cell>
          <cell r="D37" t="str">
            <v>BOS</v>
          </cell>
          <cell r="E37" t="str">
            <v>COL</v>
          </cell>
          <cell r="F37" t="str">
            <v>R</v>
          </cell>
          <cell r="G37">
            <v>0.28990962530183434</v>
          </cell>
          <cell r="H37">
            <v>0.13955426085649522</v>
          </cell>
          <cell r="I37">
            <v>0.21473194307916477</v>
          </cell>
          <cell r="J37">
            <v>0.83</v>
          </cell>
          <cell r="K37">
            <v>0.17100000000000001</v>
          </cell>
          <cell r="L37">
            <v>0.29099999999999998</v>
          </cell>
          <cell r="M37">
            <v>0.74199999999999999</v>
          </cell>
          <cell r="N37">
            <v>0.218</v>
          </cell>
          <cell r="O37">
            <v>0.27900000000000003</v>
          </cell>
          <cell r="P37">
            <v>0.19450000000000001</v>
          </cell>
          <cell r="Q37">
            <v>0.16973953459252064</v>
          </cell>
          <cell r="R37">
            <v>2.4760465407479365E-2</v>
          </cell>
        </row>
        <row r="38">
          <cell r="B38" t="str">
            <v>Colby Lewis</v>
          </cell>
          <cell r="C38">
            <v>7400</v>
          </cell>
          <cell r="D38" t="str">
            <v>TEX</v>
          </cell>
          <cell r="E38" t="str">
            <v>LAA</v>
          </cell>
          <cell r="F38" t="str">
            <v>R</v>
          </cell>
          <cell r="G38">
            <v>0.30691631388514384</v>
          </cell>
          <cell r="H38">
            <v>0.16012158974650026</v>
          </cell>
          <cell r="I38">
            <v>0.23351895181582205</v>
          </cell>
          <cell r="J38">
            <v>0.79</v>
          </cell>
          <cell r="K38">
            <v>0.188</v>
          </cell>
          <cell r="L38">
            <v>0.34100000000000003</v>
          </cell>
          <cell r="M38">
            <v>0.81100000000000005</v>
          </cell>
          <cell r="N38">
            <v>0.19</v>
          </cell>
          <cell r="O38">
            <v>0.36599999999999999</v>
          </cell>
          <cell r="P38">
            <v>0.189</v>
          </cell>
          <cell r="Q38">
            <v>0.21616748315563106</v>
          </cell>
          <cell r="R38">
            <v>-2.7167483155631056E-2</v>
          </cell>
        </row>
        <row r="39">
          <cell r="B39" t="str">
            <v>James Shields</v>
          </cell>
          <cell r="C39">
            <v>8100</v>
          </cell>
          <cell r="D39" t="str">
            <v>SD</v>
          </cell>
          <cell r="E39" t="str">
            <v>@SF</v>
          </cell>
          <cell r="F39" t="str">
            <v>R</v>
          </cell>
          <cell r="G39">
            <v>0.34110565622936301</v>
          </cell>
          <cell r="H39">
            <v>0.19888893774938737</v>
          </cell>
          <cell r="I39">
            <v>0.26999729698937519</v>
          </cell>
          <cell r="J39">
            <v>0.82499999999999996</v>
          </cell>
          <cell r="K39">
            <v>0.16900000000000001</v>
          </cell>
          <cell r="L39">
            <v>0.33400000000000002</v>
          </cell>
          <cell r="M39">
            <v>0.74299999999999999</v>
          </cell>
          <cell r="N39">
            <v>0.20799999999999999</v>
          </cell>
          <cell r="O39">
            <v>0.311</v>
          </cell>
          <cell r="P39">
            <v>0.1885</v>
          </cell>
          <cell r="Q39">
            <v>0.19758470942635784</v>
          </cell>
          <cell r="R39">
            <v>-9.0847094263578343E-3</v>
          </cell>
        </row>
        <row r="40">
          <cell r="B40" t="str">
            <v>Tyler Duffey</v>
          </cell>
          <cell r="C40">
            <v>6000</v>
          </cell>
          <cell r="D40" t="str">
            <v>MIN</v>
          </cell>
          <cell r="E40" t="str">
            <v>KC</v>
          </cell>
          <cell r="F40" t="str">
            <v>R</v>
          </cell>
          <cell r="G40">
            <v>0.29765963787160843</v>
          </cell>
          <cell r="H40">
            <v>0.1628311488728772</v>
          </cell>
          <cell r="I40">
            <v>0.23024539337224281</v>
          </cell>
          <cell r="J40">
            <v>0.78700000000000003</v>
          </cell>
          <cell r="K40">
            <v>0.17899999999999999</v>
          </cell>
          <cell r="L40">
            <v>0.28100000000000003</v>
          </cell>
          <cell r="M40">
            <v>0.81200000000000006</v>
          </cell>
          <cell r="N40">
            <v>0.19500000000000001</v>
          </cell>
          <cell r="O40">
            <v>0.30499999999999999</v>
          </cell>
          <cell r="P40">
            <v>0.187</v>
          </cell>
          <cell r="Q40">
            <v>0.1786563000860224</v>
          </cell>
          <cell r="R40">
            <v>8.343699913977598E-3</v>
          </cell>
        </row>
        <row r="41">
          <cell r="B41" t="str">
            <v>Collin McHugh</v>
          </cell>
          <cell r="C41">
            <v>7600</v>
          </cell>
          <cell r="D41" t="str">
            <v>HOU</v>
          </cell>
          <cell r="E41" t="str">
            <v>BAL</v>
          </cell>
          <cell r="F41" t="str">
            <v>R</v>
          </cell>
          <cell r="G41">
            <v>0.3227209318220815</v>
          </cell>
          <cell r="H41">
            <v>0.13880318498313649</v>
          </cell>
          <cell r="I41">
            <v>0.23076205840260899</v>
          </cell>
          <cell r="J41">
            <v>0.78300000000000003</v>
          </cell>
          <cell r="K41">
            <v>0.191</v>
          </cell>
          <cell r="L41">
            <v>0.34799999999999998</v>
          </cell>
          <cell r="M41">
            <v>0.8</v>
          </cell>
          <cell r="N41">
            <v>0.17899999999999999</v>
          </cell>
          <cell r="O41">
            <v>0.255</v>
          </cell>
          <cell r="P41">
            <v>0.185</v>
          </cell>
          <cell r="Q41">
            <v>0.18228308686946221</v>
          </cell>
          <cell r="R41">
            <v>2.7169131305377903E-3</v>
          </cell>
        </row>
        <row r="42">
          <cell r="B42" t="str">
            <v>Hisashi Iwakuma</v>
          </cell>
          <cell r="C42">
            <v>8600</v>
          </cell>
          <cell r="D42" t="str">
            <v>SEA</v>
          </cell>
          <cell r="E42" t="str">
            <v>OAK</v>
          </cell>
          <cell r="F42" t="str">
            <v>R</v>
          </cell>
          <cell r="G42">
            <v>0.30669664681956571</v>
          </cell>
          <cell r="H42">
            <v>0.16372352635614731</v>
          </cell>
          <cell r="I42">
            <v>0.23521008658785653</v>
          </cell>
          <cell r="J42">
            <v>0.81100000000000005</v>
          </cell>
          <cell r="K42">
            <v>0.183</v>
          </cell>
          <cell r="L42">
            <v>0.27600000000000002</v>
          </cell>
          <cell r="M42">
            <v>0.82</v>
          </cell>
          <cell r="N42">
            <v>0.184</v>
          </cell>
          <cell r="O42">
            <v>0.26900000000000002</v>
          </cell>
          <cell r="P42">
            <v>0.1835</v>
          </cell>
          <cell r="Q42">
            <v>0.16951408286506364</v>
          </cell>
          <cell r="R42">
            <v>1.3985917134936354E-2</v>
          </cell>
        </row>
        <row r="43">
          <cell r="B43" t="str">
            <v>Carlos Martinez</v>
          </cell>
          <cell r="C43">
            <v>8500</v>
          </cell>
          <cell r="D43" t="str">
            <v>STL</v>
          </cell>
          <cell r="E43" t="str">
            <v>CHC</v>
          </cell>
          <cell r="F43" t="str">
            <v>R</v>
          </cell>
          <cell r="G43">
            <v>0.31812431591697338</v>
          </cell>
          <cell r="H43">
            <v>0.14164094367842719</v>
          </cell>
          <cell r="I43">
            <v>0.2298826297977003</v>
          </cell>
          <cell r="J43">
            <v>0.79200000000000004</v>
          </cell>
          <cell r="K43">
            <v>0.186</v>
          </cell>
          <cell r="L43">
            <v>0.34</v>
          </cell>
          <cell r="M43">
            <v>0.82499999999999996</v>
          </cell>
          <cell r="N43">
            <v>0.17899999999999999</v>
          </cell>
          <cell r="O43">
            <v>0.32600000000000001</v>
          </cell>
          <cell r="P43">
            <v>0.1825</v>
          </cell>
          <cell r="Q43">
            <v>0.20500397190754474</v>
          </cell>
          <cell r="R43">
            <v>-2.2503971907544745E-2</v>
          </cell>
        </row>
        <row r="44">
          <cell r="B44" t="str">
            <v>Matthew Andriese</v>
          </cell>
          <cell r="C44">
            <v>7600</v>
          </cell>
          <cell r="D44" t="str">
            <v>TB</v>
          </cell>
          <cell r="E44" t="str">
            <v>MIA</v>
          </cell>
          <cell r="F44" t="str">
            <v>R</v>
          </cell>
          <cell r="G44">
            <v>0.29611950964179251</v>
          </cell>
          <cell r="H44">
            <v>0.12153283391679211</v>
          </cell>
          <cell r="I44">
            <v>0.2088261717792923</v>
          </cell>
          <cell r="J44">
            <v>0.78100000000000003</v>
          </cell>
          <cell r="K44">
            <v>0.19800000000000001</v>
          </cell>
          <cell r="L44">
            <v>0.33900000000000002</v>
          </cell>
          <cell r="M44" t="str">
            <v/>
          </cell>
          <cell r="N44" t="str">
            <v/>
          </cell>
          <cell r="O44" t="str">
            <v/>
          </cell>
          <cell r="P44">
            <v>0.19800000000000001</v>
          </cell>
          <cell r="Q44">
            <v>0.16777553611659007</v>
          </cell>
          <cell r="R44">
            <v>3.0224463883409936E-2</v>
          </cell>
        </row>
        <row r="45">
          <cell r="B45" t="str">
            <v>Ivan Nova</v>
          </cell>
          <cell r="C45">
            <v>6800</v>
          </cell>
          <cell r="D45" t="str">
            <v>NYY</v>
          </cell>
          <cell r="E45" t="str">
            <v>TOR</v>
          </cell>
          <cell r="F45" t="str">
            <v>R</v>
          </cell>
          <cell r="G45">
            <v>0.3137938582373066</v>
          </cell>
          <cell r="H45">
            <v>0.16922512932148162</v>
          </cell>
          <cell r="I45">
            <v>0.24150949377939412</v>
          </cell>
          <cell r="J45">
            <v>0.79200000000000004</v>
          </cell>
          <cell r="K45">
            <v>0.20200000000000001</v>
          </cell>
          <cell r="L45">
            <v>0.35699999999999998</v>
          </cell>
          <cell r="M45">
            <v>0.83599999999999997</v>
          </cell>
          <cell r="N45">
            <v>0.123</v>
          </cell>
          <cell r="O45">
            <v>0.28399999999999997</v>
          </cell>
          <cell r="P45">
            <v>0.16250000000000001</v>
          </cell>
          <cell r="Q45">
            <v>0.19972593091876528</v>
          </cell>
          <cell r="R45">
            <v>-3.7225930918765276E-2</v>
          </cell>
        </row>
      </sheetData>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st Week Results"/>
      <sheetName val="Projections"/>
      <sheetName val="LastWeekFDResultsData"/>
      <sheetName val="FD_Salary_Changes"/>
      <sheetName val="Salaries"/>
      <sheetName val="QB_matchups"/>
      <sheetName val="QBYTD"/>
      <sheetName val="RBYTD"/>
      <sheetName val="WRYTD"/>
      <sheetName val="TEYTD"/>
      <sheetName val="KYTD"/>
      <sheetName val="QBstats1"/>
      <sheetName val="QBstats2"/>
      <sheetName val="QBstats3"/>
      <sheetName val="Qb Allowed"/>
      <sheetName val="RB_matchups"/>
      <sheetName val="HBstats1"/>
      <sheetName val="HBstats2"/>
      <sheetName val="HBstats3"/>
      <sheetName val="HB Allowed"/>
      <sheetName val="WR_matchups"/>
      <sheetName val="WRstats1"/>
      <sheetName val="WRstats2"/>
      <sheetName val="WRstats3"/>
      <sheetName val="WR Allowed"/>
      <sheetName val="TE_matchups"/>
      <sheetName val="TEstats1"/>
      <sheetName val="TEstats2"/>
      <sheetName val="TEstats3"/>
      <sheetName val="TE Allowed"/>
      <sheetName val="K_matchups"/>
      <sheetName val="Kstats1"/>
      <sheetName val="Kstats2"/>
      <sheetName val="Kstats3"/>
      <sheetName val="DEF_matchups"/>
      <sheetName val="Stack Data"/>
      <sheetName val="DEFstats1"/>
      <sheetName val="DEFstats2"/>
      <sheetName val="DEFstats3"/>
      <sheetName val="2015 Team OFF Stats"/>
      <sheetName val="Lineup Builder"/>
      <sheetName val="Stack Builder"/>
      <sheetName val="W3WRvCB"/>
      <sheetName val="2016 Target Tracker"/>
      <sheetName val="2016 YAC"/>
      <sheetName val="2016YAC-DATA"/>
      <sheetName val="Depth Charts"/>
      <sheetName val="Ease of Schedu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9">
          <cell r="B9" t="str">
            <v>Projection</v>
          </cell>
          <cell r="D9" t="str">
            <v>Team</v>
          </cell>
          <cell r="E9" t="str">
            <v>Team</v>
          </cell>
          <cell r="F9" t="str">
            <v>Team</v>
          </cell>
          <cell r="G9" t="str">
            <v>Team</v>
          </cell>
        </row>
        <row r="11">
          <cell r="D11" t="str">
            <v>QB1</v>
          </cell>
          <cell r="E11" t="str">
            <v>WR1</v>
          </cell>
          <cell r="F11" t="str">
            <v>WR2</v>
          </cell>
          <cell r="G11" t="str">
            <v>NONE</v>
          </cell>
          <cell r="I11">
            <v>3</v>
          </cell>
        </row>
      </sheetData>
      <sheetData sheetId="42"/>
      <sheetData sheetId="43"/>
      <sheetData sheetId="44"/>
      <sheetData sheetId="45"/>
      <sheetData sheetId="46"/>
      <sheetData sheetId="4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st Week Results"/>
      <sheetName val="LastWeekFDResultsData"/>
      <sheetName val="LastWeekDK"/>
      <sheetName val="ALLmatchups"/>
      <sheetName val="ALLmatchupsDATA"/>
      <sheetName val="DK_salaries"/>
      <sheetName val="Qb Allowed"/>
      <sheetName val="QB_matchups"/>
      <sheetName val="QBstats1"/>
      <sheetName val="QBstats2"/>
      <sheetName val="QBstats3"/>
      <sheetName val="RB_matchups"/>
      <sheetName val="HBstats1"/>
      <sheetName val="HBstats2"/>
      <sheetName val="HBstats3"/>
      <sheetName val="HB Allowed"/>
      <sheetName val="WR_matchups"/>
      <sheetName val="WRstats1"/>
      <sheetName val="WRstats2"/>
      <sheetName val="WRstats3"/>
      <sheetName val="WR Allowed"/>
      <sheetName val="TE_matchups"/>
      <sheetName val="TEstats1"/>
      <sheetName val="TEstats2"/>
      <sheetName val="TEstats3"/>
      <sheetName val="TE Allowed"/>
      <sheetName val="K_matchups"/>
      <sheetName val="Kstats1"/>
      <sheetName val="Kstats2"/>
      <sheetName val="Kstats3"/>
      <sheetName val="DEF_matchups"/>
      <sheetName val="Stack Data"/>
      <sheetName val="Wk1WRvCB"/>
      <sheetName val="DEFstats1"/>
      <sheetName val="DEFstats2"/>
      <sheetName val="DEFstats3"/>
      <sheetName val="Lineup Builder"/>
      <sheetName val="Stack Builder"/>
      <sheetName val="2016 Target Tracker"/>
      <sheetName val="2015 Targets"/>
      <sheetName val="Sheet2"/>
      <sheetName val="2015 YAC"/>
      <sheetName val="Depth Charts"/>
      <sheetName val="Ease of Schedule"/>
      <sheetName val="Vegas"/>
      <sheetName val="Projections"/>
      <sheetName val="2015 TE Stats"/>
      <sheetName val="2015 WR Stats"/>
      <sheetName val="FD_salaries"/>
      <sheetName val="2015 Team OFF Stats"/>
      <sheetName val="Salary Chang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9">
          <cell r="B9" t="str">
            <v>Projection</v>
          </cell>
          <cell r="D9" t="str">
            <v>Team</v>
          </cell>
          <cell r="E9" t="str">
            <v>Team</v>
          </cell>
          <cell r="F9" t="str">
            <v>Opponent</v>
          </cell>
          <cell r="G9" t="str">
            <v>Team</v>
          </cell>
        </row>
        <row r="11">
          <cell r="D11" t="str">
            <v>QB1</v>
          </cell>
          <cell r="E11" t="str">
            <v>WR1</v>
          </cell>
          <cell r="F11" t="str">
            <v>WR1</v>
          </cell>
          <cell r="G11" t="str">
            <v>NONE</v>
          </cell>
          <cell r="I11">
            <v>3</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st Week Results"/>
      <sheetName val="Projections"/>
      <sheetName val="LastWeekFDResultsData"/>
      <sheetName val="FD_Salary_Changes"/>
      <sheetName val="Salaries"/>
      <sheetName val="QB_matchups"/>
      <sheetName val="QBYTD"/>
      <sheetName val="RBYTD"/>
      <sheetName val="WRYTD"/>
      <sheetName val="TEYTD"/>
      <sheetName val="KYTD"/>
      <sheetName val="QBstats1"/>
      <sheetName val="QBstats2"/>
      <sheetName val="QBstats3"/>
      <sheetName val="Qb Allowed"/>
      <sheetName val="RB_matchups"/>
      <sheetName val="HBstats1"/>
      <sheetName val="HBstats2"/>
      <sheetName val="HBstats3"/>
      <sheetName val="HB Allowed"/>
      <sheetName val="WR_matchups"/>
      <sheetName val="WRstats1"/>
      <sheetName val="WRstats2"/>
      <sheetName val="WRstats3"/>
      <sheetName val="WR Allowed"/>
      <sheetName val="TE_matchups"/>
      <sheetName val="TEstats1"/>
      <sheetName val="TEstats2"/>
      <sheetName val="TEstats3"/>
      <sheetName val="TE Allowed"/>
      <sheetName val="K_matchups"/>
      <sheetName val="Kstats1"/>
      <sheetName val="Kstats2"/>
      <sheetName val="Kstats3"/>
      <sheetName val="DEF_matchups"/>
      <sheetName val="Stack Data"/>
      <sheetName val="DEFstats1"/>
      <sheetName val="DEFstats2"/>
      <sheetName val="DEFstats3"/>
      <sheetName val="2015 Team OFF Stats"/>
      <sheetName val="Lineup Builder"/>
      <sheetName val="Stack Builder"/>
      <sheetName val="W3WRvCB"/>
      <sheetName val="2016 Target Tracker"/>
      <sheetName val="2015 Targets"/>
      <sheetName val="Sheet2"/>
      <sheetName val="2015 YAC"/>
      <sheetName val="Depth Charts"/>
      <sheetName val="Ease of Schedule"/>
      <sheetName val="2015 TE Stats"/>
      <sheetName val="2015 WR Stats"/>
      <sheetName val="DRSFDNFLWeek3-922-YTD"/>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9">
          <cell r="B9" t="str">
            <v>Projection</v>
          </cell>
          <cell r="D9" t="str">
            <v>Team</v>
          </cell>
          <cell r="E9" t="str">
            <v>Team</v>
          </cell>
          <cell r="F9" t="str">
            <v>Team</v>
          </cell>
          <cell r="G9" t="str">
            <v>Team</v>
          </cell>
        </row>
        <row r="11">
          <cell r="D11" t="str">
            <v>QB1</v>
          </cell>
          <cell r="E11" t="str">
            <v>WR1</v>
          </cell>
          <cell r="F11" t="str">
            <v>WR2</v>
          </cell>
          <cell r="G11" t="str">
            <v>NONE</v>
          </cell>
          <cell r="I11">
            <v>3</v>
          </cell>
        </row>
      </sheetData>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st Week Results"/>
      <sheetName val="LastWeekFD-DATA"/>
      <sheetName val="LastWeekDK"/>
      <sheetName val="ALLmatchups"/>
      <sheetName val="ALLmatchupsDATA"/>
      <sheetName val="DK_salaries"/>
      <sheetName val="Qb Allowed"/>
      <sheetName val="QB_matchups"/>
      <sheetName val="QBstats1"/>
      <sheetName val="QBstats2"/>
      <sheetName val="QBstats3"/>
      <sheetName val="RB_matchups"/>
      <sheetName val="HBstats1"/>
      <sheetName val="HBstats2"/>
      <sheetName val="HBstats3"/>
      <sheetName val="HB Allowed"/>
      <sheetName val="WR_matchups"/>
      <sheetName val="WRstats1"/>
      <sheetName val="WRstats2"/>
      <sheetName val="WRstats3"/>
      <sheetName val="WR Allowed"/>
      <sheetName val="TE_matchups"/>
      <sheetName val="TEstats1"/>
      <sheetName val="TEstats2"/>
      <sheetName val="TEstats3"/>
      <sheetName val="TE Allowed"/>
      <sheetName val="K_matchups"/>
      <sheetName val="Kstats1"/>
      <sheetName val="Kstats2"/>
      <sheetName val="Kstats3"/>
      <sheetName val="DEF_matchups"/>
      <sheetName val="Stack Data"/>
      <sheetName val="Wk2WRvCB"/>
      <sheetName val="DEFstats1"/>
      <sheetName val="DEFstats2"/>
      <sheetName val="DEFstats3"/>
      <sheetName val="Lineup Builder"/>
      <sheetName val="Stack Builder"/>
      <sheetName val="2016 Target Tracker"/>
      <sheetName val="2015 Targets"/>
      <sheetName val="Sheet2"/>
      <sheetName val="2015 YAC"/>
      <sheetName val="Depth Charts"/>
      <sheetName val="Ease of Schedule"/>
      <sheetName val="Vegas"/>
      <sheetName val="Projections"/>
      <sheetName val="2015 TE Stats"/>
      <sheetName val="2015 WR Stats"/>
      <sheetName val="FD_salaries"/>
      <sheetName val="2015 Team OFF Stats"/>
      <sheetName val="Salary Chang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9">
          <cell r="B9" t="str">
            <v>Value</v>
          </cell>
          <cell r="D9" t="str">
            <v>Team</v>
          </cell>
          <cell r="E9" t="str">
            <v>Team</v>
          </cell>
          <cell r="F9" t="str">
            <v>Team</v>
          </cell>
          <cell r="G9" t="str">
            <v>Team</v>
          </cell>
        </row>
        <row r="11">
          <cell r="D11" t="str">
            <v>QB1</v>
          </cell>
          <cell r="E11" t="str">
            <v>WR1</v>
          </cell>
          <cell r="F11" t="str">
            <v>WR2</v>
          </cell>
          <cell r="G11" t="str">
            <v>NONE</v>
          </cell>
          <cell r="I11">
            <v>3</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queryTables/queryTable1.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13">
    <queryTableFields count="12">
      <queryTableField id="1" name="Team" tableColumnId="24"/>
      <queryTableField id="2" name="G" tableColumnId="25"/>
      <queryTableField id="3" name="Cmp" tableColumnId="26"/>
      <queryTableField id="4" name="Att" tableColumnId="27"/>
      <queryTableField id="5" name="Yard" tableColumnId="28"/>
      <queryTableField id="6" name="TD" tableColumnId="29"/>
      <queryTableField id="7" name="INT" tableColumnId="30"/>
      <queryTableField id="8" name="Att_1" tableColumnId="31"/>
      <queryTableField id="9" name="Yard_2" tableColumnId="32"/>
      <queryTableField id="10" name="TD_3" tableColumnId="33"/>
      <queryTableField id="11" name="FPts" tableColumnId="34"/>
      <queryTableField id="12" name="FPts/G" tableColumnId="35"/>
    </queryTableFields>
  </queryTableRefresh>
</queryTable>
</file>

<file path=xl/queryTables/queryTable2.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75" unboundColumnsRight="50">
    <queryTableFields count="64">
      <queryTableField id="1" name="Player" tableColumnId="1"/>
      <queryTableField id="2" name="Team" tableColumnId="2"/>
      <queryTableField id="3" name="Status" tableColumnId="3"/>
      <queryTableField id="4" name="Games G" tableColumnId="4"/>
      <queryTableField id="5" name="Games GS" tableColumnId="5"/>
      <queryTableField id="6" name="Snaps (%)" tableColumnId="6"/>
      <queryTableField id="7" name="Carries" tableColumnId="7"/>
      <queryTableField id="8" name="Rush Yards" tableColumnId="8"/>
      <queryTableField id="9" name="Rush TD" tableColumnId="9"/>
      <queryTableField id="10" name="Rec Targets" tableColumnId="10"/>
      <queryTableField id="11" name="Rec" tableColumnId="11"/>
      <queryTableField id="12" name="Rec Yards" tableColumnId="12"/>
      <queryTableField id="13" name="Rec TD" tableColumnId="13"/>
      <queryTableField id="14" name="Fantasy per Game FantPt" tableColumnId="14"/>
      <queryTableField id="74" dataBound="0" tableColumnId="15"/>
      <queryTableField id="73" dataBound="0" tableColumnId="16"/>
      <queryTableField id="72" dataBound="0" tableColumnId="17"/>
      <queryTableField id="71" dataBound="0" tableColumnId="18"/>
      <queryTableField id="70" dataBound="0" tableColumnId="19"/>
      <queryTableField id="69" dataBound="0" tableColumnId="20"/>
      <queryTableField id="68" dataBound="0" tableColumnId="21"/>
      <queryTableField id="67" dataBound="0" tableColumnId="22"/>
      <queryTableField id="66" dataBound="0" tableColumnId="23"/>
      <queryTableField id="65" dataBound="0" tableColumnId="24"/>
      <queryTableField id="64" dataBound="0" tableColumnId="25"/>
      <queryTableField id="63" dataBound="0" tableColumnId="26"/>
      <queryTableField id="62" dataBound="0" tableColumnId="27"/>
      <queryTableField id="61" dataBound="0" tableColumnId="28"/>
      <queryTableField id="60" dataBound="0" tableColumnId="29"/>
      <queryTableField id="59" dataBound="0" tableColumnId="30"/>
      <queryTableField id="58" dataBound="0" tableColumnId="31"/>
      <queryTableField id="57" dataBound="0" tableColumnId="32"/>
      <queryTableField id="56" dataBound="0" tableColumnId="33"/>
      <queryTableField id="55" dataBound="0" tableColumnId="34"/>
      <queryTableField id="54" dataBound="0" tableColumnId="35"/>
      <queryTableField id="53" dataBound="0" tableColumnId="36"/>
      <queryTableField id="52" dataBound="0" tableColumnId="37"/>
      <queryTableField id="51" dataBound="0" tableColumnId="38"/>
      <queryTableField id="50" dataBound="0" tableColumnId="39"/>
      <queryTableField id="49" dataBound="0" tableColumnId="40"/>
      <queryTableField id="48" dataBound="0" tableColumnId="41"/>
      <queryTableField id="47" dataBound="0" tableColumnId="42"/>
      <queryTableField id="46" dataBound="0" tableColumnId="43"/>
      <queryTableField id="45" dataBound="0" tableColumnId="44"/>
      <queryTableField id="44" dataBound="0" tableColumnId="45"/>
      <queryTableField id="43" dataBound="0" tableColumnId="46"/>
      <queryTableField id="42" dataBound="0" tableColumnId="47"/>
      <queryTableField id="41" dataBound="0" tableColumnId="48"/>
      <queryTableField id="40" dataBound="0" tableColumnId="49"/>
      <queryTableField id="39" dataBound="0" tableColumnId="50"/>
      <queryTableField id="38" dataBound="0" tableColumnId="51"/>
      <queryTableField id="37" dataBound="0" tableColumnId="52"/>
      <queryTableField id="36" dataBound="0" tableColumnId="53"/>
      <queryTableField id="35" dataBound="0" tableColumnId="54"/>
      <queryTableField id="34" dataBound="0" tableColumnId="55"/>
      <queryTableField id="33" dataBound="0" tableColumnId="56"/>
      <queryTableField id="32" dataBound="0" tableColumnId="57"/>
      <queryTableField id="31" dataBound="0" tableColumnId="58"/>
      <queryTableField id="30" dataBound="0" tableColumnId="59"/>
      <queryTableField id="29" dataBound="0" tableColumnId="60"/>
      <queryTableField id="28" dataBound="0" tableColumnId="61"/>
      <queryTableField id="27" dataBound="0" tableColumnId="62"/>
      <queryTableField id="26" dataBound="0" tableColumnId="63"/>
      <queryTableField id="25" dataBound="0" tableColumnId="64"/>
    </queryTableFields>
    <queryTableDeletedFields count="10">
      <deletedField name="DK Avg"/>
      <deletedField name="FD Avg"/>
      <deletedField name="Opp"/>
      <deletedField name="DVP Rank"/>
      <deletedField name="Fantasy Allowed per Game FantPt"/>
      <deletedField name="DK DVP Avg"/>
      <deletedField name="FD DVP Avg"/>
      <deletedField name="Projected Ranks FnRk"/>
      <deletedField name="DK POS Rank"/>
      <deletedField name="FD POS Rank"/>
    </queryTableDeletedFields>
  </queryTableRefresh>
</queryTable>
</file>

<file path=xl/queryTables/queryTable3.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11">
    <queryTableFields count="10">
      <queryTableField id="1" name="Team" tableColumnId="20"/>
      <queryTableField id="2" name="G" tableColumnId="21"/>
      <queryTableField id="3" name="Att" tableColumnId="22"/>
      <queryTableField id="4" name="Yard" tableColumnId="23"/>
      <queryTableField id="5" name="TD" tableColumnId="24"/>
      <queryTableField id="6" name="Rec" tableColumnId="25"/>
      <queryTableField id="7" name="Yard_1" tableColumnId="26"/>
      <queryTableField id="8" name="TD_2" tableColumnId="27"/>
      <queryTableField id="9" name="FPts" tableColumnId="28"/>
      <queryTableField id="10" name="FPts/G" tableColumnId="29"/>
    </queryTableFields>
  </queryTableRefresh>
</queryTable>
</file>

<file path=xl/queryTables/queryTable4.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8">
    <queryTableFields count="7">
      <queryTableField id="1" name="Team" tableColumnId="14"/>
      <queryTableField id="2" name="G" tableColumnId="15"/>
      <queryTableField id="3" name="Rec" tableColumnId="16"/>
      <queryTableField id="4" name="Yard" tableColumnId="17"/>
      <queryTableField id="5" name="TD" tableColumnId="18"/>
      <queryTableField id="6" name="FPts" tableColumnId="19"/>
      <queryTableField id="7" name="FPts/G" tableColumnId="20"/>
    </queryTableFields>
  </queryTableRefresh>
</queryTable>
</file>

<file path=xl/queryTables/queryTable5.xml><?xml version="1.0" encoding="utf-8"?>
<queryTable xmlns="http://schemas.openxmlformats.org/spreadsheetml/2006/main" name="ExternalData_1" connectionId="9" autoFormatId="0" applyNumberFormats="0" applyBorderFormats="0" applyFontFormats="1" applyPatternFormats="1" applyAlignmentFormats="0" applyWidthHeightFormats="0">
  <queryTableRefresh preserveSortFilterLayout="0" nextId="8">
    <queryTableFields count="7">
      <queryTableField id="1" name="Team" tableColumnId="14"/>
      <queryTableField id="2" name="G" tableColumnId="15"/>
      <queryTableField id="3" name="Rec" tableColumnId="16"/>
      <queryTableField id="4" name="Yard" tableColumnId="17"/>
      <queryTableField id="5" name="TD" tableColumnId="18"/>
      <queryTableField id="6" name="FPts" tableColumnId="19"/>
      <queryTableField id="7" name="FPts/G" tableColumnId="20"/>
    </queryTableFields>
  </queryTableRefresh>
</queryTable>
</file>

<file path=xl/queryTables/queryTable6.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9" unboundColumnsRight="2">
    <queryTableFields count="8">
      <queryTableField id="1" name="Pos" tableColumnId="9"/>
      <queryTableField id="2" name="Team" tableColumnId="10"/>
      <queryTableField id="3" name="Name" tableColumnId="11"/>
      <queryTableField id="4" name="Salary" tableColumnId="12"/>
      <queryTableField id="5" name="Projection" tableColumnId="13"/>
      <queryTableField id="6" name="$/FP" tableColumnId="14"/>
      <queryTableField id="8" dataBound="0" tableColumnId="15"/>
      <queryTableField id="7" dataBound="0"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eam1" sourceName="Team">
  <extLst>
    <x:ext xmlns:x15="http://schemas.microsoft.com/office/spreadsheetml/2010/11/main" uri="{2F2917AC-EB37-4324-AD4E-5DD8C200BD13}">
      <x15:tableSlicerCache tableId="12" column="4" customListSort="0"/>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eam2" sourceName="Team">
  <extLst>
    <x:ext xmlns:x15="http://schemas.microsoft.com/office/spreadsheetml/2010/11/main" uri="{2F2917AC-EB37-4324-AD4E-5DD8C200BD13}">
      <x15:tableSlicerCache tableId="13" column="4" customListSort="0"/>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am3" sourceName="Team">
  <extLst>
    <x:ext xmlns:x15="http://schemas.microsoft.com/office/spreadsheetml/2010/11/main" uri="{2F2917AC-EB37-4324-AD4E-5DD8C200BD13}">
      <x15:tableSlicerCache tableId="14" column="4" customListSort="0"/>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eam5" sourceName="Team">
  <extLst>
    <x:ext xmlns:x15="http://schemas.microsoft.com/office/spreadsheetml/2010/11/main" uri="{2F2917AC-EB37-4324-AD4E-5DD8C200BD13}">
      <x15:tableSlicerCache tableId="46" column="4" customListSort="0"/>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am" sourceName="Team">
  <extLst>
    <x:ext xmlns:x15="http://schemas.microsoft.com/office/spreadsheetml/2010/11/main" uri="{2F2917AC-EB37-4324-AD4E-5DD8C200BD13}">
      <x15:tableSlicerCache tableId="11" column="4" customListSort="0"/>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Team71" sourceName="Team">
  <extLst>
    <x:ext xmlns:x15="http://schemas.microsoft.com/office/spreadsheetml/2010/11/main" uri="{2F2917AC-EB37-4324-AD4E-5DD8C200BD13}">
      <x15:tableSlicerCache tableId="54"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eam10" sourceName="Team">
  <extLst>
    <x:ext xmlns:x15="http://schemas.microsoft.com/office/spreadsheetml/2010/11/main" uri="{2F2917AC-EB37-4324-AD4E-5DD8C200BD13}">
      <x15:tableSlicerCache tableId="53" column="28"/>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Team81" sourceName="Team">
  <extLst>
    <x:ext xmlns:x15="http://schemas.microsoft.com/office/spreadsheetml/2010/11/main" uri="{2F2917AC-EB37-4324-AD4E-5DD8C200BD13}">
      <x15:tableSlicerCache tableId="73" column="3" customListSort="0"/>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Team91" sourceName="Team">
  <extLst>
    <x:ext xmlns:x15="http://schemas.microsoft.com/office/spreadsheetml/2010/11/main" uri="{2F2917AC-EB37-4324-AD4E-5DD8C200BD13}">
      <x15:tableSlicerCache tableId="69" column="3" customListSort="0"/>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eam" cache="Slicer_Team" caption="Team" columnCount="16" showCaption="0" rowHeight="182880"/>
</slicers>
</file>

<file path=xl/slicers/slicer2.xml><?xml version="1.0" encoding="utf-8"?>
<slicers xmlns="http://schemas.microsoft.com/office/spreadsheetml/2009/9/main" xmlns:mc="http://schemas.openxmlformats.org/markup-compatibility/2006" xmlns:x="http://schemas.openxmlformats.org/spreadsheetml/2006/main" mc:Ignorable="x">
  <slicer name="Team 1" cache="Slicer_Team1" caption="Team" columnCount="16" showCaption="0" rowHeight="182880"/>
</slicers>
</file>

<file path=xl/slicers/slicer3.xml><?xml version="1.0" encoding="utf-8"?>
<slicers xmlns="http://schemas.microsoft.com/office/spreadsheetml/2009/9/main" xmlns:mc="http://schemas.openxmlformats.org/markup-compatibility/2006" xmlns:x="http://schemas.openxmlformats.org/spreadsheetml/2006/main" mc:Ignorable="x">
  <slicer name="Team 2" cache="Slicer_Team2" caption="Team" columnCount="16" showCaption="0" rowHeight="182880"/>
</slicers>
</file>

<file path=xl/slicers/slicer4.xml><?xml version="1.0" encoding="utf-8"?>
<slicers xmlns="http://schemas.microsoft.com/office/spreadsheetml/2009/9/main" xmlns:mc="http://schemas.openxmlformats.org/markup-compatibility/2006" xmlns:x="http://schemas.openxmlformats.org/spreadsheetml/2006/main" mc:Ignorable="x">
  <slicer name="Team 3" cache="Slicer_Team3" caption="Team" columnCount="16" showCaption="0" rowHeight="182880"/>
</slicers>
</file>

<file path=xl/slicers/slicer5.xml><?xml version="1.0" encoding="utf-8"?>
<slicers xmlns="http://schemas.microsoft.com/office/spreadsheetml/2009/9/main" xmlns:mc="http://schemas.openxmlformats.org/markup-compatibility/2006" xmlns:x="http://schemas.openxmlformats.org/spreadsheetml/2006/main" mc:Ignorable="x">
  <slicer name="Team 5" cache="Slicer_Team5" caption="Team" columnCount="11" showCaption="0" rowHeight="182880"/>
</slicers>
</file>

<file path=xl/slicers/slicer6.xml><?xml version="1.0" encoding="utf-8"?>
<slicers xmlns="http://schemas.microsoft.com/office/spreadsheetml/2009/9/main" xmlns:mc="http://schemas.openxmlformats.org/markup-compatibility/2006" xmlns:x="http://schemas.openxmlformats.org/spreadsheetml/2006/main" mc:Ignorable="x">
  <slicer name="Team 11" cache="Slicer_Team71" caption="Team" columnCount="7" showCaption="0" rowHeight="182880"/>
  <slicer name="Team 10" cache="Slicer_Team10" caption="Team" columnCount="16" showCaption="0" rowHeight="182880"/>
</slicers>
</file>

<file path=xl/slicers/slicer7.xml><?xml version="1.0" encoding="utf-8"?>
<slicers xmlns="http://schemas.microsoft.com/office/spreadsheetml/2009/9/main" xmlns:mc="http://schemas.openxmlformats.org/markup-compatibility/2006" xmlns:x="http://schemas.openxmlformats.org/spreadsheetml/2006/main" mc:Ignorable="x">
  <slicer name="Team 12" cache="Slicer_Team81" caption="Team" columnCount="16" showCaption="0" rowHeight="182880"/>
  <slicer name="Team 13" cache="Slicer_Team91" caption="Team" columnCount="16" showCaption="0" rowHeight="182880"/>
</slicers>
</file>

<file path=xl/tables/_rels/table2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4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4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id="9" name="Salaries" displayName="Salaries" ref="A1:BL385" totalsRowShown="0">
  <autoFilter ref="A1:BL385"/>
  <sortState ref="A2:J552">
    <sortCondition ref="A1:A552"/>
  </sortState>
  <tableColumns count="64">
    <tableColumn id="1" name="Season"/>
    <tableColumn id="2" name="Week" dataDxfId="1206"/>
    <tableColumn id="3" name="PID" dataDxfId="1205"/>
    <tableColumn id="4" name="Player"/>
    <tableColumn id="9" name="Pos"/>
    <tableColumn id="8" name="Team"/>
    <tableColumn id="7" name="Opp"/>
    <tableColumn id="5" name="aFPA"/>
    <tableColumn id="6" name="FFPts"/>
    <tableColumn id="10" name="FFPtsPPR" dataDxfId="1204">
      <calculatedColumnFormula>IF(Salaries[[#This Row],[FFPts]]=Salaries[[#This Row],[Pos]],Salaries[[#This Row],[Player]],Salaries[[#This Row],[Pos]])</calculatedColumnFormula>
    </tableColumn>
    <tableColumn id="11" name="Pass Comp"/>
    <tableColumn id="12" name="Pass Att"/>
    <tableColumn id="13" name="Pass Yds"/>
    <tableColumn id="14" name="Pass TD"/>
    <tableColumn id="15" name="INT"/>
    <tableColumn id="16" name="Rush Att"/>
    <tableColumn id="17" name="Rush Yds"/>
    <tableColumn id="18" name="Rush TD"/>
    <tableColumn id="19" name="Rec"/>
    <tableColumn id="20" name="Rec Yds"/>
    <tableColumn id="21" name="Rec TD"/>
    <tableColumn id="22" name="Fum"/>
    <tableColumn id="23" name="XP"/>
    <tableColumn id="24" name="FG"/>
    <tableColumn id="25" name="Grade"/>
    <tableColumn id="26" name="FantasyAces (Projected points)"/>
    <tableColumn id="27" name="FantasyAces (Price)"/>
    <tableColumn id="28" name="FantasyAces ($/point)"/>
    <tableColumn id="29" name="FantasyAces (Value)"/>
    <tableColumn id="30" name="DraftDay (Projected points)"/>
    <tableColumn id="31" name="DraftDay (Price)"/>
    <tableColumn id="32" name="DraftDay ($/point)"/>
    <tableColumn id="33" name="DraftDay (Value)"/>
    <tableColumn id="34" name="DraftKings (Projected points)"/>
    <tableColumn id="35" name="DraftKings (Price)"/>
    <tableColumn id="36" name="DraftKings ($/point)"/>
    <tableColumn id="37" name="DraftKings (Value)"/>
    <tableColumn id="38" name="FanDuel (Projected points)"/>
    <tableColumn id="39" name="FanDuel (Price)"/>
    <tableColumn id="40" name="FanDuel ($/point)"/>
    <tableColumn id="41" name="FanDuel (Value)"/>
    <tableColumn id="42" name="FantasyFeud (Projected points)"/>
    <tableColumn id="43" name="FantasyFeud (Price)"/>
    <tableColumn id="44" name="FantasyFeud ($/point)"/>
    <tableColumn id="45" name="FantasyFeud (Value)"/>
    <tableColumn id="46" name="StarsDraft (Projected points)"/>
    <tableColumn id="47" name="StarsDraft (Price)"/>
    <tableColumn id="48" name="StarsDraft ($/point)"/>
    <tableColumn id="49" name="StarsDraft (Value)"/>
    <tableColumn id="50" name="Yahoo! (Projected points)"/>
    <tableColumn id="51" name="Yahoo! (Price)"/>
    <tableColumn id="52" name="Yahoo! ($/point)"/>
    <tableColumn id="53" name="Yahoo! (Value)"/>
    <tableColumn id="54" name="OwnThePlay (Projected points)"/>
    <tableColumn id="55" name="OwnThePlay (Price)"/>
    <tableColumn id="56" name="OwnThePlay ($/point)"/>
    <tableColumn id="57" name="OwnThePlay (Value)"/>
    <tableColumn id="58" name="FantasyDraft (Projected points)"/>
    <tableColumn id="59" name="FantasyDraft (Price)"/>
    <tableColumn id="60" name="FantasyDraft ($/point)"/>
    <tableColumn id="61" name="FantasyDraft (Value)"/>
    <tableColumn id="62" name="O/U"/>
    <tableColumn id="63" name="Spread"/>
    <tableColumn id="64" name="Team O/U"/>
  </tableColumns>
  <tableStyleInfo name="TableStyleMedium2" showFirstColumn="0" showLastColumn="0" showRowStripes="1" showColumnStripes="0"/>
</table>
</file>

<file path=xl/tables/table2.xml><?xml version="1.0" encoding="utf-8"?>
<table xmlns="http://schemas.openxmlformats.org/spreadsheetml/2006/main" id="8" name="DK_Salary_Changes" displayName="DK_Salary_Changes" ref="A1:K524" totalsRowShown="0">
  <autoFilter ref="A1:K524"/>
  <tableColumns count="11">
    <tableColumn id="1" name="Position"/>
    <tableColumn id="2" name="Player"/>
    <tableColumn id="3" name="Team"/>
    <tableColumn id="4" name="Vs"/>
    <tableColumn id="5" name="M/U"/>
    <tableColumn id="6" name="Open $"/>
    <tableColumn id="7" name="Current $"/>
    <tableColumn id="8" name="% of Cap"/>
    <tableColumn id="9" name="SeasonChange"/>
    <tableColumn id="10" name="Last Week"/>
    <tableColumn id="11" name="WeekChange"/>
  </tableColumns>
  <tableStyleInfo name="TableStyleMedium2" showFirstColumn="0" showLastColumn="0" showRowStripes="1" showColumnStripes="0"/>
</table>
</file>

<file path=xl/tables/table3.xml><?xml version="1.0" encoding="utf-8"?>
<table xmlns="http://schemas.openxmlformats.org/spreadsheetml/2006/main" id="79" name="Table617380" displayName="Table617380" ref="H10:L69" totalsRowShown="0" headerRowDxfId="1203" dataDxfId="1202">
  <autoFilter ref="H10:L69"/>
  <sortState ref="H11:L75">
    <sortCondition descending="1" ref="I10:I75"/>
  </sortState>
  <tableColumns count="5">
    <tableColumn id="1" name="Name" dataDxfId="1201"/>
    <tableColumn id="2" name="Proj" dataDxfId="1200"/>
    <tableColumn id="5" name="Proj Rank" dataDxfId="1199">
      <calculatedColumnFormula>_xlfn.RANK.AVG(Table617380[[#This Row],[Proj]],Table617380[Proj],0)</calculatedColumnFormula>
    </tableColumn>
    <tableColumn id="3" name="Actual" dataDxfId="1198">
      <calculatedColumnFormula>IFERROR(INDEX(DK_Last_Week_Results_Data[Actual Score],MATCH(Table617380[[#This Row],[Name]],DK_Last_Week_Results_Data[Player],0)),"")</calculatedColumnFormula>
    </tableColumn>
    <tableColumn id="4" name="Actual Rank" dataDxfId="1197">
      <calculatedColumnFormula>_xlfn.RANK.AVG(Table617380[[#This Row],[Actual]],Table617380[Actual],0)</calculatedColumnFormula>
    </tableColumn>
  </tableColumns>
  <tableStyleInfo name="TableStyleLight8" showFirstColumn="0" showLastColumn="0" showRowStripes="1" showColumnStripes="0"/>
</table>
</file>

<file path=xl/tables/table4.xml><?xml version="1.0" encoding="utf-8"?>
<table xmlns="http://schemas.openxmlformats.org/spreadsheetml/2006/main" id="80" name="Table61627481" displayName="Table61627481" ref="N10:R112" totalsRowShown="0" headerRowDxfId="1196" dataDxfId="1195">
  <autoFilter ref="N10:R112"/>
  <sortState ref="N11:R128">
    <sortCondition descending="1" ref="O10:O128"/>
  </sortState>
  <tableColumns count="5">
    <tableColumn id="1" name="Name" dataDxfId="1194"/>
    <tableColumn id="2" name="Proj" dataDxfId="1193"/>
    <tableColumn id="3" name="Proj Rank" dataDxfId="1192">
      <calculatedColumnFormula>_xlfn.RANK.AVG(Table61627481[[#This Row],[Proj]],Table61627481[Proj],0)</calculatedColumnFormula>
    </tableColumn>
    <tableColumn id="4" name="Actual" dataDxfId="1191">
      <calculatedColumnFormula>IFERROR(INDEX(DK_Last_Week_Results_Data[Actual Score],MATCH(Table61627481[[#This Row],[Name]],DK_Last_Week_Results_Data[Player],0)),"")</calculatedColumnFormula>
    </tableColumn>
    <tableColumn id="5" name="Actual Rank" dataDxfId="1190">
      <calculatedColumnFormula>_xlfn.RANK.AVG(Table61627481[[#This Row],[Actual]],Table61627481[Actual],0)</calculatedColumnFormula>
    </tableColumn>
  </tableColumns>
  <tableStyleInfo name="TableStyleLight8" showFirstColumn="0" showLastColumn="0" showRowStripes="1" showColumnStripes="0"/>
</table>
</file>

<file path=xl/tables/table5.xml><?xml version="1.0" encoding="utf-8"?>
<table xmlns="http://schemas.openxmlformats.org/spreadsheetml/2006/main" id="81" name="Table61637582" displayName="Table61637582" ref="T10:X154" totalsRowShown="0" headerRowDxfId="1189" dataDxfId="1188">
  <autoFilter ref="T10:X154"/>
  <sortState ref="T11:X154">
    <sortCondition ref="V10:V154"/>
  </sortState>
  <tableColumns count="5">
    <tableColumn id="1" name="Name" dataDxfId="1187"/>
    <tableColumn id="2" name="Proj" dataDxfId="1186"/>
    <tableColumn id="3" name="Proj Rank" dataDxfId="1185">
      <calculatedColumnFormula>_xlfn.RANK.AVG(Table61637582[[#This Row],[Proj]],Table61637582[Proj],0)</calculatedColumnFormula>
    </tableColumn>
    <tableColumn id="4" name="Actual" dataDxfId="1184">
      <calculatedColumnFormula>IFERROR(INDEX(DK_Last_Week_Results_Data[Actual Score],MATCH(Table61637582[[#This Row],[Name]],DK_Last_Week_Results_Data[Player],0)),"")</calculatedColumnFormula>
    </tableColumn>
    <tableColumn id="5" name="Actual Rank" dataDxfId="1183">
      <calculatedColumnFormula>_xlfn.RANK.AVG(Table61637582[[#This Row],[Actual]],Table61637582[Actual],0)</calculatedColumnFormula>
    </tableColumn>
  </tableColumns>
  <tableStyleInfo name="TableStyleLight8" showFirstColumn="0" showLastColumn="0" showRowStripes="1" showColumnStripes="0"/>
</table>
</file>

<file path=xl/tables/table6.xml><?xml version="1.0" encoding="utf-8"?>
<table xmlns="http://schemas.openxmlformats.org/spreadsheetml/2006/main" id="82" name="Table61647683" displayName="Table61647683" ref="Z10:AD84" totalsRowShown="0" headerRowDxfId="1182" dataDxfId="1181">
  <autoFilter ref="Z10:AD84"/>
  <sortState ref="Z11:AD92">
    <sortCondition descending="1" ref="AA10:AA92"/>
  </sortState>
  <tableColumns count="5">
    <tableColumn id="1" name="Name" dataDxfId="1180"/>
    <tableColumn id="2" name="Proj" dataDxfId="1179"/>
    <tableColumn id="3" name="Proj Rank" dataDxfId="1178">
      <calculatedColumnFormula>_xlfn.RANK.AVG(Table61647683[[#This Row],[Proj]],Table61647683[Proj],0)</calculatedColumnFormula>
    </tableColumn>
    <tableColumn id="4" name="Actual" dataDxfId="1177">
      <calculatedColumnFormula>IFERROR(INDEX(DK_Last_Week_Results_Data[Actual Score],MATCH(Table61647683[[#This Row],[Name]],DK_Last_Week_Results_Data[Player],0)),"")</calculatedColumnFormula>
    </tableColumn>
    <tableColumn id="5" name="Actual Rank" dataDxfId="1176">
      <calculatedColumnFormula>_xlfn.RANK.AVG(Table61647683[[#This Row],[Actual]],Table61647683[Actual],0)</calculatedColumnFormula>
    </tableColumn>
  </tableColumns>
  <tableStyleInfo name="TableStyleLight8" showFirstColumn="0" showLastColumn="0" showRowStripes="1" showColumnStripes="0"/>
</table>
</file>

<file path=xl/tables/table7.xml><?xml version="1.0" encoding="utf-8"?>
<table xmlns="http://schemas.openxmlformats.org/spreadsheetml/2006/main" id="84" name="Table61667885" displayName="Table61667885" ref="AF10:AJ41" totalsRowShown="0" headerRowDxfId="1175" dataDxfId="1174">
  <autoFilter ref="AF10:AJ41"/>
  <sortState ref="AF11:AJ41">
    <sortCondition descending="1" ref="AG10:AG41"/>
  </sortState>
  <tableColumns count="5">
    <tableColumn id="1" name="Name" dataDxfId="1173"/>
    <tableColumn id="2" name="Proj" dataDxfId="1172"/>
    <tableColumn id="3" name="Proj Rank" dataDxfId="1171">
      <calculatedColumnFormula>_xlfn.RANK.AVG(Table61667885[[#This Row],[Proj]],Table61667885[Proj],0)</calculatedColumnFormula>
    </tableColumn>
    <tableColumn id="4" name="Actual" dataDxfId="1170">
      <calculatedColumnFormula>IFERROR(INDEX(DK_Last_Week_Results_Data[Actual Score],MATCH(Table61667885[[#This Row],[Name]],DK_Last_Week_Results_Data[Player],0)),"")</calculatedColumnFormula>
    </tableColumn>
    <tableColumn id="5" name="Actual Rank" dataDxfId="1169">
      <calculatedColumnFormula>_xlfn.RANK.AVG(Table61667885[[#This Row],[Actual]],Table61667885[Actual],0)</calculatedColumnFormula>
    </tableColumn>
  </tableColumns>
  <tableStyleInfo name="TableStyleLight8" showFirstColumn="0" showLastColumn="0" showRowStripes="1" showColumnStripes="0"/>
</table>
</file>

<file path=xl/tables/table8.xml><?xml version="1.0" encoding="utf-8"?>
<table xmlns="http://schemas.openxmlformats.org/spreadsheetml/2006/main" id="85" name="Table667986" displayName="Table667986" ref="B10:F346" totalsRowShown="0" headerRowDxfId="1168" dataDxfId="1167" tableBorderDxfId="1166">
  <autoFilter ref="B10:F346"/>
  <sortState ref="B11:F419">
    <sortCondition descending="1" ref="C10:C419"/>
  </sortState>
  <tableColumns count="5">
    <tableColumn id="1" name="Name" dataDxfId="1165"/>
    <tableColumn id="2" name="Proj" dataDxfId="1164"/>
    <tableColumn id="3" name="Proj Rank" dataDxfId="1163">
      <calculatedColumnFormula>_xlfn.RANK.AVG(Table667986[[#This Row],[Proj]],Table667986[Proj],0)</calculatedColumnFormula>
    </tableColumn>
    <tableColumn id="4" name="Actual" dataDxfId="1162">
      <calculatedColumnFormula>IFERROR(INDEX(DK_Last_Week_Results_Data[Actual Score],MATCH(Table667986[[#This Row],[Name]],DK_Last_Week_Results_Data[Player],0)),"")</calculatedColumnFormula>
    </tableColumn>
    <tableColumn id="5" name="Actual Rank" dataDxfId="1161">
      <calculatedColumnFormula>_xlfn.RANK.AVG(Table667986[[#This Row],[Actual]],Table667986[Actual],0)</calculatedColumnFormula>
    </tableColumn>
  </tableColumns>
  <tableStyleInfo name="TableStyleLight8" showFirstColumn="0" showLastColumn="0" showRowStripes="1" showColumnStripes="0"/>
</table>
</file>

<file path=xl/tables/table9.xml><?xml version="1.0" encoding="utf-8"?>
<table xmlns="http://schemas.openxmlformats.org/spreadsheetml/2006/main" id="71" name="DK_Last_Week_Results_Data" displayName="DK_Last_Week_Results_Data" ref="A1:P551" totalsRowShown="0">
  <autoFilter ref="A1:P551"/>
  <sortState ref="A2:P924">
    <sortCondition ref="B1:B924"/>
  </sortState>
  <tableColumns count="16">
    <tableColumn id="1" name="Player"/>
    <tableColumn id="2" name="Pos"/>
    <tableColumn id="3" name="Team"/>
    <tableColumn id="4" name="Opp"/>
    <tableColumn id="5" name="Def v Pos"/>
    <tableColumn id="6" name="Salary"/>
    <tableColumn id="7" name="Floor"/>
    <tableColumn id="8" name="Ceiling"/>
    <tableColumn id="9" name="2015 Avg"/>
    <tableColumn id="10" name="FC Proj"/>
    <tableColumn id="11" name="My Proj"/>
    <tableColumn id="12" name="Exposure"/>
    <tableColumn id="13" name="Consistency"/>
    <tableColumn id="14" name="Value"/>
    <tableColumn id="15" name="Actual Score"/>
    <tableColumn id="16" name="Actual Val"/>
  </tableColumns>
  <tableStyleInfo name="TableStyleMedium2" showFirstColumn="0" showLastColumn="0" showRowStripes="1" showColumnStripes="0"/>
</table>
</file>

<file path=xl/tables/table10.xml><?xml version="1.0" encoding="utf-8"?>
<table xmlns="http://schemas.openxmlformats.org/spreadsheetml/2006/main" id="1" name="QBYTD" displayName="QBYTD" ref="A1:Q41" totalsRowShown="0" headerRowDxfId="1160" dataDxfId="1159">
  <autoFilter ref="A1:Q41"/>
  <tableColumns count="17">
    <tableColumn id="1" name="#" dataDxfId="1158"/>
    <tableColumn id="2" name="Player" dataDxfId="1157"/>
    <tableColumn id="3" name="Team" dataDxfId="1156"/>
    <tableColumn id="4" name="Cmp" dataDxfId="1155"/>
    <tableColumn id="5" name="Att" dataDxfId="1154"/>
    <tableColumn id="6" name="%" dataDxfId="1153"/>
    <tableColumn id="7" name="Pass Yds" dataDxfId="1152"/>
    <tableColumn id="8" name="Pass TD" dataDxfId="1151"/>
    <tableColumn id="9" name="INT" dataDxfId="1150"/>
    <tableColumn id="10" name="YPPA" dataDxfId="1149"/>
    <tableColumn id="11" name="YPPC" dataDxfId="1148"/>
    <tableColumn id="12" name="Rush Att" dataDxfId="1147"/>
    <tableColumn id="13" name="Rush Yds" dataDxfId="1146"/>
    <tableColumn id="14" name="Rush TD" dataDxfId="1145"/>
    <tableColumn id="15" name="YPC" dataDxfId="1144"/>
    <tableColumn id="16" name="FF Pts" dataDxfId="1143"/>
    <tableColumn id="17" name="/G" dataDxfId="1142"/>
  </tableColumns>
  <tableStyleInfo name="TableStyleLight8" showFirstColumn="0" showLastColumn="0" showRowStripes="1" showColumnStripes="0"/>
</table>
</file>

<file path=xl/tables/table11.xml><?xml version="1.0" encoding="utf-8"?>
<table xmlns="http://schemas.openxmlformats.org/spreadsheetml/2006/main" id="6" name="RBYTD" displayName="RBYTD" ref="A1:M76" totalsRowShown="0" headerRowDxfId="1141" dataDxfId="1140">
  <autoFilter ref="A1:M76"/>
  <tableColumns count="13">
    <tableColumn id="1" name="#" dataDxfId="1139"/>
    <tableColumn id="2" name="Player" dataDxfId="1138"/>
    <tableColumn id="3" name="Team" dataDxfId="1137"/>
    <tableColumn id="4" name="Rush ATT" dataDxfId="1136"/>
    <tableColumn id="5" name="Rush Yds" dataDxfId="1135"/>
    <tableColumn id="6" name="Rush TD" dataDxfId="1134"/>
    <tableColumn id="7" name="YPC" dataDxfId="1133"/>
    <tableColumn id="8" name="Rec" dataDxfId="1132"/>
    <tableColumn id="9" name="Rec Yds" dataDxfId="1131"/>
    <tableColumn id="10" name="Rec TD" dataDxfId="1130"/>
    <tableColumn id="11" name="YPR" dataDxfId="1129"/>
    <tableColumn id="12" name="FF Pts" dataDxfId="1128"/>
    <tableColumn id="13" name="/G" dataDxfId="1127"/>
  </tableColumns>
  <tableStyleInfo name="TableStyleLight8" showFirstColumn="0" showLastColumn="0" showRowStripes="1" showColumnStripes="0"/>
</table>
</file>

<file path=xl/tables/table12.xml><?xml version="1.0" encoding="utf-8"?>
<table xmlns="http://schemas.openxmlformats.org/spreadsheetml/2006/main" id="7" name="WRYTD" displayName="WRYTD" ref="A1:M81" totalsRowShown="0" headerRowDxfId="1126" dataDxfId="1125">
  <autoFilter ref="A1:M81"/>
  <tableColumns count="13">
    <tableColumn id="1" name="#" dataDxfId="1124"/>
    <tableColumn id="2" name="Player" dataDxfId="1123"/>
    <tableColumn id="3" name="Team" dataDxfId="1122"/>
    <tableColumn id="4" name="Rec" dataDxfId="1121"/>
    <tableColumn id="5" name="Rec Yds" dataDxfId="1120"/>
    <tableColumn id="6" name="Rec TD" dataDxfId="1119"/>
    <tableColumn id="7" name="YPR" dataDxfId="1118"/>
    <tableColumn id="8" name="Rush ATT" dataDxfId="1117"/>
    <tableColumn id="9" name="Rush Yds" dataDxfId="1116"/>
    <tableColumn id="10" name="Rush TD" dataDxfId="1115"/>
    <tableColumn id="11" name="YPC" dataDxfId="1114"/>
    <tableColumn id="12" name="FF Pts" dataDxfId="1113"/>
    <tableColumn id="13" name="/G" dataDxfId="1112"/>
  </tableColumns>
  <tableStyleInfo name="TableStyleLight8" showFirstColumn="0" showLastColumn="0" showRowStripes="1" showColumnStripes="0"/>
</table>
</file>

<file path=xl/tables/table13.xml><?xml version="1.0" encoding="utf-8"?>
<table xmlns="http://schemas.openxmlformats.org/spreadsheetml/2006/main" id="64" name="TightEndYTD" displayName="TightEndYTD" ref="A1:M41" totalsRowShown="0" headerRowDxfId="1111" dataDxfId="1110">
  <autoFilter ref="A1:M41"/>
  <tableColumns count="13">
    <tableColumn id="1" name="#" dataDxfId="1109"/>
    <tableColumn id="2" name="Player" dataDxfId="1108"/>
    <tableColumn id="3" name="Team" dataDxfId="1107"/>
    <tableColumn id="4" name="Rec" dataDxfId="1106"/>
    <tableColumn id="5" name="Rec Yds" dataDxfId="1105"/>
    <tableColumn id="6" name="Rec TD" dataDxfId="1104"/>
    <tableColumn id="7" name="YPR" dataDxfId="1103"/>
    <tableColumn id="8" name="Rush ATT" dataDxfId="1102"/>
    <tableColumn id="9" name="Rush Yds" dataDxfId="1101"/>
    <tableColumn id="10" name="Rush TD" dataDxfId="1100"/>
    <tableColumn id="11" name="YPC" dataDxfId="1099"/>
    <tableColumn id="12" name="FF Pts" dataDxfId="1098"/>
    <tableColumn id="13" name="/G" dataDxfId="1097"/>
  </tableColumns>
  <tableStyleInfo name="TableStyleLight8" showFirstColumn="0" showLastColumn="0" showRowStripes="1" showColumnStripes="0"/>
</table>
</file>

<file path=xl/tables/table14.xml><?xml version="1.0" encoding="utf-8"?>
<table xmlns="http://schemas.openxmlformats.org/spreadsheetml/2006/main" id="78" name="qbproj" displayName="qbproj" ref="A2:B67" totalsRowShown="0">
  <autoFilter ref="A2:B67"/>
  <sortState ref="A3:B67">
    <sortCondition descending="1" ref="B2:B67"/>
  </sortState>
  <tableColumns count="2">
    <tableColumn id="1" name="Name"/>
    <tableColumn id="2" name="Projection" dataDxfId="1096">
      <calculatedColumnFormula>IFERROR(INDEX(QBmatchups3[Projection],MATCH(qbproj[Name],QBmatchups3[Name],0)),"")</calculatedColumnFormula>
    </tableColumn>
  </tableColumns>
  <tableStyleInfo name="TableStyleLight8" showFirstColumn="0" showLastColumn="0" showRowStripes="1" showColumnStripes="0"/>
</table>
</file>

<file path=xl/tables/table15.xml><?xml version="1.0" encoding="utf-8"?>
<table xmlns="http://schemas.openxmlformats.org/spreadsheetml/2006/main" id="83" name="rbproj" displayName="rbproj" ref="D2:E120" totalsRowShown="0">
  <autoFilter ref="D2:E120"/>
  <sortState ref="D3:E120">
    <sortCondition descending="1" ref="E2:E120"/>
  </sortState>
  <tableColumns count="2">
    <tableColumn id="1" name="Name" dataDxfId="1095"/>
    <tableColumn id="2" name="Projection" dataDxfId="1094">
      <calculatedColumnFormula>IFERROR(INDEX(RBmatchups[Projection],MATCH(rbproj[Name],RBmatchups[Name],0)),"")</calculatedColumnFormula>
    </tableColumn>
  </tableColumns>
  <tableStyleInfo name="TableStyleLight8" showFirstColumn="0" showLastColumn="0" showRowStripes="1" showColumnStripes="0"/>
</table>
</file>

<file path=xl/tables/table16.xml><?xml version="1.0" encoding="utf-8"?>
<table xmlns="http://schemas.openxmlformats.org/spreadsheetml/2006/main" id="86" name="wrproj" displayName="wrproj" ref="G2:H165" totalsRowShown="0">
  <autoFilter ref="G2:H165"/>
  <sortState ref="G3:H165">
    <sortCondition descending="1" ref="H2:H165"/>
  </sortState>
  <tableColumns count="2">
    <tableColumn id="1" name="Name" dataDxfId="1093"/>
    <tableColumn id="2" name="Projection" dataDxfId="1092">
      <calculatedColumnFormula>IFERROR(INDEX(WRmatchups[Projection],MATCH(wrproj[Name],WRmatchups[Name],0)),"")</calculatedColumnFormula>
    </tableColumn>
  </tableColumns>
  <tableStyleInfo name="TableStyleLight8" showFirstColumn="0" showLastColumn="0" showRowStripes="1" showColumnStripes="0"/>
</table>
</file>

<file path=xl/tables/table17.xml><?xml version="1.0" encoding="utf-8"?>
<table xmlns="http://schemas.openxmlformats.org/spreadsheetml/2006/main" id="87" name="teproj" displayName="teproj" ref="J2:K84" totalsRowShown="0">
  <autoFilter ref="J2:K84"/>
  <tableColumns count="2">
    <tableColumn id="1" name="Name" dataDxfId="1091"/>
    <tableColumn id="2" name="Projection" dataDxfId="1090">
      <calculatedColumnFormula>IFERROR(INDEX(TEmatchups[Projection],MATCH(teproj[Name],TEmatchups[Name],0)),"")</calculatedColumnFormula>
    </tableColumn>
  </tableColumns>
  <tableStyleInfo name="TableStyleLight8" showFirstColumn="0" showLastColumn="0" showRowStripes="1" showColumnStripes="0"/>
</table>
</file>

<file path=xl/tables/table18.xml><?xml version="1.0" encoding="utf-8"?>
<table xmlns="http://schemas.openxmlformats.org/spreadsheetml/2006/main" id="89" name="defproj" displayName="defproj" ref="N2:O33" totalsRowShown="0">
  <autoFilter ref="N2:O33"/>
  <sortState ref="N3:O15">
    <sortCondition descending="1" ref="O2:O15"/>
  </sortState>
  <tableColumns count="2">
    <tableColumn id="1" name="Name" dataDxfId="1089"/>
    <tableColumn id="2" name="Projection" dataDxfId="1088"/>
  </tableColumns>
  <tableStyleInfo name="TableStyleLight8" showFirstColumn="0" showLastColumn="0" showRowStripes="1" showColumnStripes="0"/>
</table>
</file>

<file path=xl/tables/table19.xml><?xml version="1.0" encoding="utf-8"?>
<table xmlns="http://schemas.openxmlformats.org/spreadsheetml/2006/main" id="90" name="Table66" displayName="Table66" ref="Q2:R410" totalsRowShown="0" headerRowDxfId="1087" tableBorderDxfId="1086">
  <autoFilter ref="Q2:R410"/>
  <tableColumns count="2">
    <tableColumn id="1" name="Name" dataDxfId="1085">
      <calculatedColumnFormula>qbproj[[#This Row],[Name]]</calculatedColumnFormula>
    </tableColumn>
    <tableColumn id="2" name="Projection" dataDxfId="1084"/>
  </tableColumns>
  <tableStyleInfo name="TableStyleLight8" showFirstColumn="0" showLastColumn="0" showRowStripes="1" showColumnStripes="0"/>
</table>
</file>

<file path=xl/tables/table20.xml><?xml version="1.0" encoding="utf-8"?>
<table xmlns="http://schemas.openxmlformats.org/spreadsheetml/2006/main" id="11" name="QBmatchups3" displayName="QBmatchups3" ref="A10:BN42" totalsRowShown="0" headerRowDxfId="1082" dataDxfId="1081">
  <autoFilter ref="A10:BN42"/>
  <sortState ref="A11:BN42">
    <sortCondition descending="1" ref="AB10:AB42"/>
  </sortState>
  <tableColumns count="66">
    <tableColumn id="1" name="Column1" dataDxfId="1080">
      <calculatedColumnFormula>QBstats1!AL2</calculatedColumnFormula>
    </tableColumn>
    <tableColumn id="2" name="Name" dataDxfId="1079">
      <calculatedColumnFormula>QBstats1!D2</calculatedColumnFormula>
    </tableColumn>
    <tableColumn id="3" name="Salary" dataDxfId="1078" dataCellStyle="Currency">
      <calculatedColumnFormula>IFERROR(INDEX(Salaries[DraftKings (Price)],MATCH(QBmatchups3[[#This Row],[Name]],Salaries[Player],0)),"")</calculatedColumnFormula>
    </tableColumn>
    <tableColumn id="19" name="Price +/-" dataDxfId="1077" dataCellStyle="Currency">
      <calculatedColumnFormula>IFERROR(INDEX(DK_Salary_Changes[WeekChange],MATCH(QBmatchups3[[#This Row],[Name]],DK_Salary_Changes[Player],0)),"")</calculatedColumnFormula>
    </tableColumn>
    <tableColumn id="4" name="Team" dataDxfId="1076">
      <calculatedColumnFormula>IFERROR(INDEX(Salaries[Team],MATCH(QBmatchups3[[#This Row],[Name]],Salaries[Player],0)),"")</calculatedColumnFormula>
    </tableColumn>
    <tableColumn id="5" name="Opp" dataDxfId="1075">
      <calculatedColumnFormula>IFERROR(INDEX(Salaries[Opp],MATCH(QBmatchups3[[#This Row],[Team]],Salaries[Team],0)),"")</calculatedColumnFormula>
    </tableColumn>
    <tableColumn id="22" name="Pass Att" dataDxfId="1074">
      <calculatedColumnFormula>IFERROR(INDEX(QBYTD[Att],MATCH(QBmatchups3[Name],QBYTD[Player],0)),"")</calculatedColumnFormula>
    </tableColumn>
    <tableColumn id="23" name="%" dataDxfId="1073">
      <calculatedColumnFormula>IFERROR(INDEX(QBYTD[%],MATCH(QBmatchups3[Name],QBYTD[Player],0)),"")</calculatedColumnFormula>
    </tableColumn>
    <tableColumn id="25" name="Pass Yds" dataDxfId="1072">
      <calculatedColumnFormula>IFERROR(INDEX(QBYTD[Pass Yds],MATCH(QBmatchups3[Name],QBYTD[Player],0)),"")</calculatedColumnFormula>
    </tableColumn>
    <tableColumn id="26" name="Pass TDs" dataDxfId="1071">
      <calculatedColumnFormula>IFERROR(INDEX(QBYTD[Pass TD],MATCH(QBmatchups3[Name],QBYTD[Player],0)),"")</calculatedColumnFormula>
    </tableColumn>
    <tableColumn id="28" name="Rush Yds" dataDxfId="1070">
      <calculatedColumnFormula>IFERROR(INDEX(QBYTD[Rush Yds],MATCH(QBmatchups3[Name],QBYTD[Player],0)),"")</calculatedColumnFormula>
    </tableColumn>
    <tableColumn id="29" name="Rush TDs" dataDxfId="1069">
      <calculatedColumnFormula>IFERROR(INDEX(QBYTD[Rush TD],MATCH(QBmatchups3[Name],QBYTD[Player],0)),"")</calculatedColumnFormula>
    </tableColumn>
    <tableColumn id="14" name="O/U" dataDxfId="1068">
      <calculatedColumnFormula>IFERROR(INDEX(Salaries[O/U],MATCH(QBmatchups3[[#This Row],[Team]],Salaries[Team],0)),"")</calculatedColumnFormula>
    </tableColumn>
    <tableColumn id="13" name="Team Total" dataDxfId="1067">
      <calculatedColumnFormula>IFERROR(INDEX(Salaries[Team O/U],MATCH(QBmatchups3[[#This Row],[Team]],Salaries[Team],0)),"")</calculatedColumnFormula>
    </tableColumn>
    <tableColumn id="20" name="Spread" dataDxfId="1066">
      <calculatedColumnFormula>IFERROR(INDEX(Salaries[Spread],MATCH(QBmatchups3[[#This Row],[Team]],Salaries[Team],0)),"")</calculatedColumnFormula>
    </tableColumn>
    <tableColumn id="6" name="OppDVP" dataDxfId="1065">
      <calculatedColumnFormula>IFERROR(INDEX(QBallowed[DVP],MATCH(QBmatchups3[[#This Row],[Opp]],QBallowed[Team],0)),IFERROR(INDEX(QBallowed[DVP],MATCH(QBmatchups3[[#This Row],[Opp]],QBallowed[OPP],0)),""))</calculatedColumnFormula>
    </tableColumn>
    <tableColumn id="21" name="Attempts" dataDxfId="1064">
      <calculatedColumnFormula>AVERAGE(QBmatchups3[[#This Row],[Att1]:[Atta]])</calculatedColumnFormula>
    </tableColumn>
    <tableColumn id="24" name="Comp" dataDxfId="1063">
      <calculatedColumnFormula>AVERAGE(QBmatchups3[[#This Row],[Comp1]:[Compa]])</calculatedColumnFormula>
    </tableColumn>
    <tableColumn id="10" name="Comp%" dataDxfId="1062" dataCellStyle="Percent">
      <calculatedColumnFormula>SUM(QBmatchups3[[#This Row],[Comp]]/QBmatchups3[[#This Row],[Attempts]])</calculatedColumnFormula>
    </tableColumn>
    <tableColumn id="27" name="Yards" dataDxfId="1061">
      <calculatedColumnFormula>AVERAGE(QBmatchups3[[#This Row],[Yards1]:[Yardsa]])</calculatedColumnFormula>
    </tableColumn>
    <tableColumn id="12" name="Yards/Att" dataDxfId="1060">
      <calculatedColumnFormula>SUM(QBmatchups3[[#This Row],[Yards]]/QBmatchups3[[#This Row],[Attempts]])</calculatedColumnFormula>
    </tableColumn>
    <tableColumn id="30" name="Pass TD" dataDxfId="1059">
      <calculatedColumnFormula>AVERAGE(QBmatchups3[[#This Row],[TD1]:[Tda]])</calculatedColumnFormula>
    </tableColumn>
    <tableColumn id="33" name="INT" dataDxfId="1058">
      <calculatedColumnFormula>AVERAGE(QBmatchups3[[#This Row],[INT1]:[INTa]])</calculatedColumnFormula>
    </tableColumn>
    <tableColumn id="67" name="RushAtt" dataDxfId="1057">
      <calculatedColumnFormula>AVERAGE(QBmatchups3[[#This Row],[RushAtt1]:[RushAtta]])</calculatedColumnFormula>
    </tableColumn>
    <tableColumn id="36" name="RushYards" dataDxfId="1056">
      <calculatedColumnFormula>AVERAGE(QBmatchups3[[#This Row],[RushYards1]:[RushYardsa]])</calculatedColumnFormula>
    </tableColumn>
    <tableColumn id="39" name="RushTD" dataDxfId="1055">
      <calculatedColumnFormula>AVERAGE(QBmatchups3[[#This Row],[RushTD1]:[RushTDa]])</calculatedColumnFormula>
    </tableColumn>
    <tableColumn id="17" name="Proj Rank" dataDxfId="1054">
      <calculatedColumnFormula>_xlfn.RANK.EQ(QBmatchups3[[#This Row],[Projection]],QBmatchups3[Projection],0)</calculatedColumnFormula>
    </tableColumn>
    <tableColumn id="7" name="Projection" dataDxfId="1053">
      <calculatedColumnFormula>SUM(QBmatchups3[[#This Row],[Yards]]*0.04)+(QBmatchups3[[#This Row],[Pass TD]]*4)+(QBmatchups3[[#This Row],[RushYards]]*0.1)+(QBmatchups3[[#This Row],[RushTD]]*6)+(QBmatchups3[[#This Row],[INT]]*-1)+(QBmatchups3[[#This Row],[300+]])</calculatedColumnFormula>
    </tableColumn>
    <tableColumn id="15" name="Value Rank" dataDxfId="1052">
      <calculatedColumnFormula>_xlfn.RANK.EQ(QBmatchups3[[#This Row],[$/FP]],QBmatchups3[$/FP],1)</calculatedColumnFormula>
    </tableColumn>
    <tableColumn id="40" name="$/FP" dataDxfId="1051" dataCellStyle="Currency">
      <calculatedColumnFormula>SUM(QBmatchups3[[#This Row],[Salary]]/QBmatchups3[[#This Row],[Projection]])</calculatedColumnFormula>
    </tableColumn>
    <tableColumn id="18" name="Position Rank" dataDxfId="1050" dataCellStyle="Currency">
      <calculatedColumnFormula>_xlfn.RANK.EQ(QBmatchups3[[#This Row],[Average]],QBmatchups3[Average],1)</calculatedColumnFormula>
    </tableColumn>
    <tableColumn id="16" name="Average" dataDxfId="1049" dataCellStyle="Currency">
      <calculatedColumnFormula>AVERAGE(QBmatchups3[[#This Row],[Proj Rank]],QBmatchups3[[#This Row],[Value Rank]])</calculatedColumnFormula>
    </tableColumn>
    <tableColumn id="9" name="%of Cap" dataDxfId="1048" dataCellStyle="Percent">
      <calculatedColumnFormula>QBmatchups3[[#This Row],[Salary]]/50000</calculatedColumnFormula>
    </tableColumn>
    <tableColumn id="11" name="Column3" dataDxfId="1047" dataCellStyle="Percent"/>
    <tableColumn id="41" name="Att1" dataDxfId="1046">
      <calculatedColumnFormula>IFERROR(INDEX(QBstats1[Pass Att],MATCH(QBmatchups3[[#This Row],[Name]],QBstats1[Player],0)),"0")</calculatedColumnFormula>
    </tableColumn>
    <tableColumn id="42" name="Att2" dataDxfId="1045">
      <calculatedColumnFormula>IFERROR(INDEX(QBstats2[PassAtt],MATCH(QBmatchups3[[#This Row],[Name]],QBstats2[Player],0)),"0")</calculatedColumnFormula>
    </tableColumn>
    <tableColumn id="43" name="Att3" dataDxfId="1044">
      <calculatedColumnFormula>IFERROR(INDEX(QBstats3[PassAtt],MATCH(QBmatchups3[[#This Row],[Name]],QBstats3[Player],0)),"0")</calculatedColumnFormula>
    </tableColumn>
    <tableColumn id="44" name="Atta" dataDxfId="1043">
      <calculatedColumnFormula>IFERROR(INDEX(QBallowed[Att],MATCH(QBmatchups3[[#This Row],[Opp]],QBallowed[Team],0)),"0")</calculatedColumnFormula>
    </tableColumn>
    <tableColumn id="46" name="Comp1" dataDxfId="1042">
      <calculatedColumnFormula>IFERROR(INDEX(QBstats1[Pass Comp],MATCH(QBmatchups3[[#This Row],[Name]],QBstats1[Player],0)),"0")</calculatedColumnFormula>
    </tableColumn>
    <tableColumn id="47" name="Comp2" dataDxfId="1041">
      <calculatedColumnFormula>IFERROR(INDEX(QBstats2[PassComp],MATCH(QBmatchups3[[#This Row],[Name]],QBstats2[Player],0)),"0")</calculatedColumnFormula>
    </tableColumn>
    <tableColumn id="48" name="Comp3" dataDxfId="1040">
      <calculatedColumnFormula>IFERROR(INDEX(QBstats3[PassComp],MATCH(QBmatchups3[[#This Row],[Name]],QBstats3[Player],0)),"0")</calculatedColumnFormula>
    </tableColumn>
    <tableColumn id="49" name="Compa" dataDxfId="1039">
      <calculatedColumnFormula>IFERROR(INDEX(QBallowed[Cmp],MATCH(QBmatchups3[[#This Row],[Opp]],QBallowed[Team],0)),"0")</calculatedColumnFormula>
    </tableColumn>
    <tableColumn id="53" name="Yards1" dataDxfId="1038">
      <calculatedColumnFormula>IFERROR(INDEX(QBstats1[Pass Yds],MATCH(QBmatchups3[[#This Row],[Name]],QBstats1[Player],0)),"0")</calculatedColumnFormula>
    </tableColumn>
    <tableColumn id="54" name="Yards2" dataDxfId="1037">
      <calculatedColumnFormula>IFERROR(INDEX(QBstats2[PassYards],MATCH(QBmatchups3[[#This Row],[Name]],QBstats2[Player],0)),"0")</calculatedColumnFormula>
    </tableColumn>
    <tableColumn id="55" name="Yards3" dataDxfId="1036">
      <calculatedColumnFormula>IFERROR(INDEX(QBstats3[PassYards],MATCH(QBmatchups3[[#This Row],[Name]],QBstats3[Player],0)),"0")</calculatedColumnFormula>
    </tableColumn>
    <tableColumn id="56" name="Yardsa" dataDxfId="1035">
      <calculatedColumnFormula>IFERROR(INDEX(QBallowed[Yards],MATCH(QBmatchups3[[#This Row],[Opp]],QBallowed[Team],0)),"0")</calculatedColumnFormula>
    </tableColumn>
    <tableColumn id="57" name="TD1" dataDxfId="1034">
      <calculatedColumnFormula>IFERROR(INDEX(QBstats1[Pass TD],MATCH(QBmatchups3[[#This Row],[Name]],QBstats1[Player],0)),"0")</calculatedColumnFormula>
    </tableColumn>
    <tableColumn id="58" name="TD2" dataDxfId="1033">
      <calculatedColumnFormula>IFERROR(INDEX(QBstats2[PassTD],MATCH(QBmatchups3[[#This Row],[Name]],QBstats2[Player],0)),"0")</calculatedColumnFormula>
    </tableColumn>
    <tableColumn id="59" name="TD3" dataDxfId="1032">
      <calculatedColumnFormula>IFERROR(INDEX(QBstats3[PassTD],MATCH(QBmatchups3[[#This Row],[Name]],QBstats3[Player],0)),"0")</calculatedColumnFormula>
    </tableColumn>
    <tableColumn id="60" name="Tda" dataDxfId="1031">
      <calculatedColumnFormula>IFERROR(INDEX(QBallowed[TD],MATCH(QBmatchups3[[#This Row],[Opp]],QBallowed[Team],0)),"0")</calculatedColumnFormula>
    </tableColumn>
    <tableColumn id="61" name="INT1" dataDxfId="1030">
      <calculatedColumnFormula>IFERROR(INDEX(QBstats1[INT],MATCH(QBmatchups3[[#This Row],[Name]],QBstats1[Player],0)),"0")</calculatedColumnFormula>
    </tableColumn>
    <tableColumn id="62" name="INT2" dataDxfId="1029">
      <calculatedColumnFormula>IFERROR(INDEX(QBstats2[Int],MATCH(QBmatchups3[[#This Row],[Name]],QBstats2[Player],0)),"0")</calculatedColumnFormula>
    </tableColumn>
    <tableColumn id="63" name="INT3" dataDxfId="1028">
      <calculatedColumnFormula>IFERROR(INDEX(QBstats3[INT],MATCH(QBmatchups3[[#This Row],[Name]],QBstats3[Player],0)),"0")</calculatedColumnFormula>
    </tableColumn>
    <tableColumn id="64" name="INTa" dataDxfId="1027">
      <calculatedColumnFormula>IFERROR(INDEX(QBallowed[INT],MATCH(QBmatchups3[[#This Row],[Opp]],QBallowed[Team],0)),"0")</calculatedColumnFormula>
    </tableColumn>
    <tableColumn id="68" name="RushAtt1" dataDxfId="1026">
      <calculatedColumnFormula>IFERROR(INDEX(QBstats1[Rush Att],MATCH(QBmatchups3[[#This Row],[Name]],QBstats1[Player],0)),"0")</calculatedColumnFormula>
    </tableColumn>
    <tableColumn id="69" name="RushAtt3" dataDxfId="1025">
      <calculatedColumnFormula>IFERROR(INDEX(QBstats3[Rush Att],MATCH(QBmatchups3[[#This Row],[Name]],QBstats3[Player],0)),"0")</calculatedColumnFormula>
    </tableColumn>
    <tableColumn id="70" name="RushAtta" dataDxfId="1024">
      <calculatedColumnFormula>IFERROR(INDEX(QBallowed[RushAtt],MATCH(QBmatchups3[[#This Row],[Opp]],QBallowed[Team],0)),"0")</calculatedColumnFormula>
    </tableColumn>
    <tableColumn id="72" name="RushYards1" dataDxfId="1023">
      <calculatedColumnFormula>IFERROR(INDEX(QBstats1[Rush Yds],MATCH(QBmatchups3[[#This Row],[Name]],QBstats1[Player],0)),"0")</calculatedColumnFormula>
    </tableColumn>
    <tableColumn id="73" name="RushYards2" dataDxfId="1022">
      <calculatedColumnFormula>IFERROR(INDEX(QBstats2[RushYards],MATCH(QBmatchups3[[#This Row],[Name]],QBstats2[Player],0)),"0")</calculatedColumnFormula>
    </tableColumn>
    <tableColumn id="74" name="RushYards3" dataDxfId="1021">
      <calculatedColumnFormula>IFERROR(INDEX(QBstats3[RushYards],MATCH(QBmatchups3[[#This Row],[Name]],QBstats3[Player],0)),"0")</calculatedColumnFormula>
    </tableColumn>
    <tableColumn id="75" name="RushYardsa" dataDxfId="1020">
      <calculatedColumnFormula>IFERROR(INDEX(QBallowed[RushYard],MATCH(QBmatchups3[[#This Row],[Opp]],QBallowed[Team],0)),"0")</calculatedColumnFormula>
    </tableColumn>
    <tableColumn id="77" name="RushTD1" dataDxfId="1019">
      <calculatedColumnFormula>IFERROR(INDEX(QBstats1[Rush TD],MATCH(QBmatchups3[[#This Row],[Name]],QBstats1[Player],0)),"0")</calculatedColumnFormula>
    </tableColumn>
    <tableColumn id="78" name="RushTD2" dataDxfId="1018">
      <calculatedColumnFormula>IFERROR(INDEX(QBstats2[RushTD],MATCH(QBmatchups3[[#This Row],[Name]],QBstats2[Player],0)),"0")</calculatedColumnFormula>
    </tableColumn>
    <tableColumn id="79" name="RushTD3" dataDxfId="1017">
      <calculatedColumnFormula>IFERROR(INDEX(QBstats3[RushTD],MATCH(QBmatchups3[[#This Row],[Name]],QBstats3[Player],0)),"0")</calculatedColumnFormula>
    </tableColumn>
    <tableColumn id="80" name="RushTDa" dataDxfId="1016">
      <calculatedColumnFormula>IFERROR(INDEX(QBallowed[RushTD],MATCH(QBmatchups3[[#This Row],[Opp]],QBallowed[Team],0)),"0")</calculatedColumnFormula>
    </tableColumn>
    <tableColumn id="8" name="300+" dataDxfId="1015" dataCellStyle="Percent">
      <calculatedColumnFormula>IF(QBmatchups3[[#This Row],[Yards]]&gt;=300,3,0)</calculatedColumnFormula>
    </tableColumn>
  </tableColumns>
  <tableStyleInfo name="TableStyleMedium2" showFirstColumn="0" showLastColumn="0" showRowStripes="1" showColumnStripes="0"/>
</table>
</file>

<file path=xl/tables/table21.xml><?xml version="1.0" encoding="utf-8"?>
<table xmlns="http://schemas.openxmlformats.org/spreadsheetml/2006/main" id="3" name="QBstats1" displayName="QBstats1" ref="A1:BL33" totalsRowShown="0" headerRowDxfId="1014" dataDxfId="1012" headerRowBorderDxfId="1013" tableBorderDxfId="1011">
  <autoFilter ref="A1:BL33"/>
  <tableColumns count="64">
    <tableColumn id="1" name="Season"/>
    <tableColumn id="2" name="Week"/>
    <tableColumn id="3" name="PID"/>
    <tableColumn id="4" name="Player"/>
    <tableColumn id="5" name="Pos"/>
    <tableColumn id="6" name="Team"/>
    <tableColumn id="7" name="Opp"/>
    <tableColumn id="8" name="aFPA"/>
    <tableColumn id="9" name="FFPts"/>
    <tableColumn id="10" name="FFPtsPPR"/>
    <tableColumn id="11" name="Pass Comp"/>
    <tableColumn id="12" name="Pass Att"/>
    <tableColumn id="13" name="Pass Yds" dataDxfId="1010"/>
    <tableColumn id="14" name="Pass TD" dataDxfId="1009"/>
    <tableColumn id="15" name="INT" dataDxfId="1008"/>
    <tableColumn id="16" name="Rush Att" dataDxfId="1007"/>
    <tableColumn id="17" name="Rush Yds" dataDxfId="1006"/>
    <tableColumn id="18" name="Rush TD" dataDxfId="1005"/>
    <tableColumn id="19" name="Rec" dataDxfId="1004"/>
    <tableColumn id="20" name="Rec Yds" dataDxfId="1003"/>
    <tableColumn id="21" name="Rec TD" dataDxfId="1002"/>
    <tableColumn id="22" name="Fum" dataDxfId="1001"/>
    <tableColumn id="23" name="XP" dataDxfId="1000"/>
    <tableColumn id="24" name="FG" dataDxfId="999"/>
    <tableColumn id="25" name="Grade" dataDxfId="998"/>
    <tableColumn id="26" name="FantasyAces (Projected points)" dataDxfId="997"/>
    <tableColumn id="27" name="FantasyAces (Price)" dataDxfId="996"/>
    <tableColumn id="28" name="FantasyAces ($/point)" dataDxfId="995"/>
    <tableColumn id="29" name="FantasyAces (Value)" dataDxfId="994"/>
    <tableColumn id="30" name="DraftDay (Projected points)" dataDxfId="993"/>
    <tableColumn id="31" name="DraftDay (Price)" dataDxfId="992"/>
    <tableColumn id="32" name="DraftDay ($/point)" dataDxfId="991"/>
    <tableColumn id="33" name="DraftDay (Value)" dataDxfId="990"/>
    <tableColumn id="34" name="DraftKings (Projected points)" dataDxfId="989"/>
    <tableColumn id="35" name="Draftkings Price" dataDxfId="988"/>
    <tableColumn id="36" name="DraftKings ($/point)" dataDxfId="987"/>
    <tableColumn id="37" name="DraftKings (Value)" dataDxfId="986"/>
    <tableColumn id="38" name="FanDuel (Projected points)" dataDxfId="985"/>
    <tableColumn id="39" name="FanDuel (Price)" dataDxfId="984"/>
    <tableColumn id="40" name="FanDuel ($/point)" dataDxfId="983"/>
    <tableColumn id="41" name="FanDuel (Value)" dataDxfId="982"/>
    <tableColumn id="42" name="FantasyFeud (Projected points)" dataDxfId="981"/>
    <tableColumn id="43" name="FantasyFeud (Price)" dataDxfId="980"/>
    <tableColumn id="44" name="FantasyFeud ($/point)" dataDxfId="979"/>
    <tableColumn id="45" name="FantasyFeud (Value)" dataDxfId="978"/>
    <tableColumn id="46" name="StarsDraft (Projected points)" dataDxfId="977"/>
    <tableColumn id="47" name="StarsDraft (Price)" dataDxfId="976"/>
    <tableColumn id="48" name="StarsDraft ($/point)" dataDxfId="975"/>
    <tableColumn id="49" name="StarsDraft (Value)" dataDxfId="974"/>
    <tableColumn id="50" name="Yahoo! (Projected points)" dataDxfId="973"/>
    <tableColumn id="51" name="Yahoo! (Price)" dataDxfId="972"/>
    <tableColumn id="52" name="Yahoo! ($/point)" dataDxfId="971"/>
    <tableColumn id="53" name="Yahoo! (Value)" dataDxfId="970"/>
    <tableColumn id="54" name="OwnThePlay (Projected points)" dataDxfId="969"/>
    <tableColumn id="55" name="OwnThePlay (Price)" dataDxfId="968"/>
    <tableColumn id="56" name="OwnThePlay ($/point)" dataDxfId="967"/>
    <tableColumn id="57" name="OwnThePlay (Value)" dataDxfId="966"/>
    <tableColumn id="58" name="FantasyDraft (Projected points)" dataDxfId="965"/>
    <tableColumn id="59" name="FantasyDraft (Price)" dataDxfId="964"/>
    <tableColumn id="60" name="FantasyDraft ($/point)" dataDxfId="963"/>
    <tableColumn id="61" name="FantasyDraft (Value)" dataDxfId="962"/>
    <tableColumn id="62" name="O/U" dataDxfId="961"/>
    <tableColumn id="63" name="Total" dataDxfId="960"/>
    <tableColumn id="64" name="Team O/U" dataDxfId="959"/>
  </tableColumns>
  <tableStyleInfo name="TableStyleMedium2" showFirstColumn="0" showLastColumn="0" showRowStripes="1" showColumnStripes="0"/>
</table>
</file>

<file path=xl/tables/table22.xml><?xml version="1.0" encoding="utf-8"?>
<table xmlns="http://schemas.openxmlformats.org/spreadsheetml/2006/main" id="20" name="QBstats2" displayName="QBstats2" ref="A1:M33" totalsRowShown="0" headerRowDxfId="958" dataDxfId="957">
  <autoFilter ref="A1:M33"/>
  <sortState ref="A2:K39">
    <sortCondition ref="B1:B39"/>
  </sortState>
  <tableColumns count="13">
    <tableColumn id="1" name="Player"/>
    <tableColumn id="2" name="Team"/>
    <tableColumn id="3" name="Pos"/>
    <tableColumn id="4" name="PassComp" dataDxfId="956"/>
    <tableColumn id="5" name="PassAtt" dataDxfId="955"/>
    <tableColumn id="6" name="PassYards" dataDxfId="954"/>
    <tableColumn id="7" name="PassTD" dataDxfId="953"/>
    <tableColumn id="8" name="Int" dataDxfId="952" dataCellStyle="Currency"/>
    <tableColumn id="9" name="RushYards" dataDxfId="951"/>
    <tableColumn id="10" name="RushTD" dataDxfId="950"/>
    <tableColumn id="11" name="Column1" dataDxfId="949"/>
    <tableColumn id="12" name="Column2" dataDxfId="948"/>
    <tableColumn id="13" name="Column3" dataDxfId="947"/>
  </tableColumns>
  <tableStyleInfo name="TableStyleMedium2" showFirstColumn="0" showLastColumn="0" showRowStripes="1" showColumnStripes="0"/>
</table>
</file>

<file path=xl/tables/table23.xml><?xml version="1.0" encoding="utf-8"?>
<table xmlns="http://schemas.openxmlformats.org/spreadsheetml/2006/main" id="37" name="QBstats3" displayName="QBstats3" ref="A1:T69" totalsRowShown="0" headerRowDxfId="946" dataDxfId="945" tableBorderDxfId="944">
  <autoFilter ref="A1:T69"/>
  <sortState ref="A2:T66">
    <sortCondition ref="A1:A66"/>
  </sortState>
  <tableColumns count="20">
    <tableColumn id="1" name="Rank" dataDxfId="943"/>
    <tableColumn id="2" name="Player" dataDxfId="942"/>
    <tableColumn id="3" name="Team" dataDxfId="941"/>
    <tableColumn id="4" name="Opp" dataDxfId="940"/>
    <tableColumn id="5" name="Gms" dataDxfId="939"/>
    <tableColumn id="6" name="PassComp" dataDxfId="938"/>
    <tableColumn id="7" name="PassAtt" dataDxfId="937"/>
    <tableColumn id="8" name="PassYards" dataDxfId="936"/>
    <tableColumn id="9" name="PassTD" dataDxfId="935"/>
    <tableColumn id="10" name="INT" dataDxfId="934"/>
    <tableColumn id="11" name="Sack" dataDxfId="933"/>
    <tableColumn id="12" name="Rush Att" dataDxfId="932"/>
    <tableColumn id="13" name="RushYards" dataDxfId="931"/>
    <tableColumn id="14" name="RushTD" dataDxfId="930"/>
    <tableColumn id="15" name="Fum" dataDxfId="929"/>
    <tableColumn id="16" name="FL" dataDxfId="928"/>
    <tableColumn id="17" name="2pc" dataDxfId="927"/>
    <tableColumn id="18" name="Pts" dataDxfId="926"/>
    <tableColumn id="19" name="RV" dataDxfId="925"/>
    <tableColumn id="20" name="$" dataDxfId="924"/>
  </tableColumns>
  <tableStyleInfo name="TableStyleMedium2" showFirstColumn="0" showLastColumn="0" showRowStripes="1" showColumnStripes="0"/>
</table>
</file>

<file path=xl/tables/table24.xml><?xml version="1.0" encoding="utf-8"?>
<table xmlns="http://schemas.openxmlformats.org/spreadsheetml/2006/main" id="2" name="Table_3" displayName="Table_3" ref="A1:L33" tableType="queryTable" totalsRowShown="0" headerRowDxfId="923" dataDxfId="922">
  <autoFilter ref="A1:L33"/>
  <tableColumns count="12">
    <tableColumn id="24" uniqueName="24" name="Team" queryTableFieldId="1" dataDxfId="921"/>
    <tableColumn id="25" uniqueName="25" name="G" queryTableFieldId="2" dataDxfId="920"/>
    <tableColumn id="26" uniqueName="26" name="Cmp" queryTableFieldId="3" dataDxfId="919"/>
    <tableColumn id="27" uniqueName="27" name="Att" queryTableFieldId="4" dataDxfId="918"/>
    <tableColumn id="28" uniqueName="28" name="Yard" queryTableFieldId="5" dataDxfId="917"/>
    <tableColumn id="29" uniqueName="29" name="TD" queryTableFieldId="6" dataDxfId="916"/>
    <tableColumn id="30" uniqueName="30" name="INT" queryTableFieldId="7" dataDxfId="915"/>
    <tableColumn id="31" uniqueName="31" name="Att_1" queryTableFieldId="8" dataDxfId="914"/>
    <tableColumn id="32" uniqueName="32" name="Yard_2" queryTableFieldId="9" dataDxfId="913"/>
    <tableColumn id="33" uniqueName="33" name="TD_3" queryTableFieldId="10" dataDxfId="912"/>
    <tableColumn id="34" uniqueName="34" name="FPts" queryTableFieldId="11" dataDxfId="911"/>
    <tableColumn id="35" uniqueName="35" name="FPts/G" queryTableFieldId="12" dataDxfId="910"/>
  </tableColumns>
  <tableStyleInfo name="TableStyleQueryResult" showFirstColumn="0" showLastColumn="0" showRowStripes="1" showColumnStripes="0"/>
</table>
</file>

<file path=xl/tables/table25.xml><?xml version="1.0" encoding="utf-8"?>
<table xmlns="http://schemas.openxmlformats.org/spreadsheetml/2006/main" id="23" name="QBallowed" displayName="QBallowed" ref="N1:Z33" totalsRowShown="0" headerRowDxfId="909" tableBorderDxfId="908">
  <autoFilter ref="N1:Z33"/>
  <sortState ref="N2:Z33">
    <sortCondition ref="X1:X33"/>
  </sortState>
  <tableColumns count="13">
    <tableColumn id="1" name="16 Game Average" dataDxfId="907"/>
    <tableColumn id="2" name="G" dataDxfId="906"/>
    <tableColumn id="3" name="Cmp">
      <calculatedColumnFormula>SUM(Table_3[[#This Row],[Cmp]]/$O$2)</calculatedColumnFormula>
    </tableColumn>
    <tableColumn id="4" name="Att">
      <calculatedColumnFormula>SUM(Table_3[[#This Row],[Att]]/$O$2)</calculatedColumnFormula>
    </tableColumn>
    <tableColumn id="5" name="Yards">
      <calculatedColumnFormula>SUM(Table_3[[#This Row],[Yard]]/$O$2)</calculatedColumnFormula>
    </tableColumn>
    <tableColumn id="6" name="TD">
      <calculatedColumnFormula>SUM(Table_3[[#This Row],[TD]]/$O$2)</calculatedColumnFormula>
    </tableColumn>
    <tableColumn id="7" name="INT">
      <calculatedColumnFormula>SUM(Table_3[[#This Row],[INT]]/$O$2)</calculatedColumnFormula>
    </tableColumn>
    <tableColumn id="8" name="RushAtt">
      <calculatedColumnFormula>SUM(Table_3[[#This Row],[Att_1]]/$O$2)</calculatedColumnFormula>
    </tableColumn>
    <tableColumn id="9" name="RushYard">
      <calculatedColumnFormula>SUM(Table_3[[#This Row],[Yard_2]]/$O$2)</calculatedColumnFormula>
    </tableColumn>
    <tableColumn id="10" name="RushTD">
      <calculatedColumnFormula>SUM(Table_3[[#This Row],[TD_3]]/$O$2)</calculatedColumnFormula>
    </tableColumn>
    <tableColumn id="11" name="Team"/>
    <tableColumn id="12" name="OPP" dataDxfId="905"/>
    <tableColumn id="13" name="DVP"/>
  </tableColumns>
  <tableStyleInfo name="TableStyleMedium2" showFirstColumn="0" showLastColumn="0" showRowStripes="1" showColumnStripes="0"/>
</table>
</file>

<file path=xl/tables/table26.xml><?xml version="1.0" encoding="utf-8"?>
<table xmlns="http://schemas.openxmlformats.org/spreadsheetml/2006/main" id="12" name="RBmatchups" displayName="RBmatchups" ref="A10:BL97" totalsRowShown="0" headerRowDxfId="902" dataDxfId="901">
  <autoFilter ref="A10:BL97"/>
  <sortState ref="A11:BL97">
    <sortCondition descending="1" ref="AD10:AD97"/>
  </sortState>
  <tableColumns count="64">
    <tableColumn id="1" name="Column1" dataDxfId="900">
      <calculatedColumnFormula>HBstats1!AL2</calculatedColumnFormula>
    </tableColumn>
    <tableColumn id="2" name="Name" dataDxfId="899">
      <calculatedColumnFormula>HBstats1!D2</calculatedColumnFormula>
    </tableColumn>
    <tableColumn id="3" name="Salary" dataDxfId="898" dataCellStyle="Currency">
      <calculatedColumnFormula>IFERROR(INDEX(Salaries[DraftKings (Price)],MATCH(RBmatchups[[#This Row],[Name]],Salaries[Player],0)),"")</calculatedColumnFormula>
    </tableColumn>
    <tableColumn id="28" name="Price +/-" dataDxfId="897" dataCellStyle="Currency">
      <calculatedColumnFormula>IFERROR(INDEX(DK_Salary_Changes[WeekChange],MATCH(RBmatchups[[#This Row],[Name]],DK_Salary_Changes[Player],0)),"")</calculatedColumnFormula>
    </tableColumn>
    <tableColumn id="4" name="Team" dataDxfId="896" dataCellStyle="Currency">
      <calculatedColumnFormula>IFERROR(INDEX(Salaries[Team],MATCH(RBmatchups[[#This Row],[Name]],Salaries[Player],0)),"")</calculatedColumnFormula>
    </tableColumn>
    <tableColumn id="5" name="Opp" dataDxfId="895" dataCellStyle="Currency">
      <calculatedColumnFormula>IFERROR(INDEX(Salaries[Opp],MATCH(RBmatchups[[#This Row],[Team]],Salaries[Team],0)),"")</calculatedColumnFormula>
    </tableColumn>
    <tableColumn id="33" name="Carries" dataDxfId="894" dataCellStyle="Currency">
      <calculatedColumnFormula>IFERROR(INDEX(RBYTD[Rush ATT],MATCH(RBmatchups[Name],RBYTD[Player],0)),"0")</calculatedColumnFormula>
    </tableColumn>
    <tableColumn id="35" name="RushYds" dataDxfId="893" dataCellStyle="Currency">
      <calculatedColumnFormula>IFERROR(INDEX(RBYTD[Rush Yds],MATCH(RBmatchups[Name],RBYTD[Player],0)),"0")</calculatedColumnFormula>
    </tableColumn>
    <tableColumn id="36" name="RushTD" dataDxfId="892" dataCellStyle="Currency">
      <calculatedColumnFormula>IFERROR(INDEX(RBYTD[Rush TD],MATCH(RBmatchups[Name],RBYTD[Player],0)),"0")</calculatedColumnFormula>
    </tableColumn>
    <tableColumn id="37" name="Rec" dataDxfId="891" dataCellStyle="Currency">
      <calculatedColumnFormula>IFERROR(INDEX(RBYTD[Rec],MATCH(RBmatchups[Name],RBYTD[Player],0)),"0")</calculatedColumnFormula>
    </tableColumn>
    <tableColumn id="49" name="Targets" dataDxfId="890" dataCellStyle="Currency">
      <calculatedColumnFormula>IFERROR(INDEX(targettracker54[TTL],MATCH(RBmatchups[Name],targettracker54[Name],0)),"0")</calculatedColumnFormula>
    </tableColumn>
    <tableColumn id="50" name="RecYds" dataDxfId="889" dataCellStyle="Currency">
      <calculatedColumnFormula>IFERROR(INDEX(RBYTD[Rec Yds],MATCH(RBmatchups[Name],RBYTD[Player],0)),"0")</calculatedColumnFormula>
    </tableColumn>
    <tableColumn id="51" name="RecTD" dataDxfId="888" dataCellStyle="Currency">
      <calculatedColumnFormula>IFERROR(INDEX(RBYTD[Rec TD],MATCH(RBmatchups[Name],RBYTD[Player],0)),"0")</calculatedColumnFormula>
    </tableColumn>
    <tableColumn id="23" name="O/U" dataDxfId="887" dataCellStyle="Currency">
      <calculatedColumnFormula>IFERROR(INDEX(Salaries[O/U],MATCH(RBmatchups[[#This Row],[Team]],Salaries[Team],0)),"")</calculatedColumnFormula>
    </tableColumn>
    <tableColumn id="22" name="Team Total" dataDxfId="886" dataCellStyle="Currency">
      <calculatedColumnFormula>IFERROR(INDEX(Salaries[Team O/U],MATCH(RBmatchups[[#This Row],[Team]],Salaries[Team],0)),"")</calculatedColumnFormula>
    </tableColumn>
    <tableColumn id="32" name="Spread" dataDxfId="885" dataCellStyle="Currency">
      <calculatedColumnFormula>IFERROR(INDEX(Salaries[Spread],MATCH(RBmatchups[[#This Row],[Team]],Salaries[Team],0)),"")</calculatedColumnFormula>
    </tableColumn>
    <tableColumn id="6" name="OppDVP" dataDxfId="884" dataCellStyle="Currency">
      <calculatedColumnFormula>IFERROR(INDEX(HBallowed[DVP],MATCH(RBmatchups[[#This Row],[Opp]],HBallowed[Team],0)),IFERROR(INDEX(HBallowed[DVP],MATCH(RBmatchups[[#This Row],[Opp]],HBallowed[Opp],0)),""))</calculatedColumnFormula>
    </tableColumn>
    <tableColumn id="8" name="Carries2" dataDxfId="883" dataCellStyle="Currency">
      <calculatedColumnFormula>AVERAGE(RBmatchups[[#This Row],[Car1]:[Car3]])</calculatedColumnFormula>
    </tableColumn>
    <tableColumn id="21" name="Yards" dataDxfId="882" dataCellStyle="Currency">
      <calculatedColumnFormula>AVERAGE(RBmatchups[[#This Row],[Yards1]:[Yards3]])</calculatedColumnFormula>
    </tableColumn>
    <tableColumn id="13" name="Avg" dataDxfId="881" dataCellStyle="Currency">
      <calculatedColumnFormula>SUM(RBmatchups[[#This Row],[Yards]]/RBmatchups[[#This Row],[Carries2]])</calculatedColumnFormula>
    </tableColumn>
    <tableColumn id="24" name="TD" dataDxfId="880" dataCellStyle="Currency">
      <calculatedColumnFormula>AVERAGE(RBmatchups[[#This Row],[TD1]:[TD3]])</calculatedColumnFormula>
    </tableColumn>
    <tableColumn id="11" name="Targets3" dataDxfId="879" dataCellStyle="Currency">
      <calculatedColumnFormula>AVERAGE(RBmatchups[[#This Row],[Tar1]:[Tar3]])</calculatedColumnFormula>
    </tableColumn>
    <tableColumn id="27" name="Rec4" dataDxfId="878" dataCellStyle="Currency">
      <calculatedColumnFormula>AVERAGE(RBmatchups[[#This Row],[Rec1]:[Rec3]])</calculatedColumnFormula>
    </tableColumn>
    <tableColumn id="30" name="RecYards" dataDxfId="877" dataCellStyle="Currency">
      <calculatedColumnFormula>AVERAGE(RBmatchups[[#This Row],[RecYards1]:[RecYards3]])</calculatedColumnFormula>
    </tableColumn>
    <tableColumn id="31" name="RecTD5" dataDxfId="876" dataCellStyle="Currency">
      <calculatedColumnFormula>AVERAGE(RBmatchups[[#This Row],[RecTD1]:[RecTd3]])</calculatedColumnFormula>
    </tableColumn>
    <tableColumn id="14" name="Total Touches" dataDxfId="875" dataCellStyle="Currency">
      <calculatedColumnFormula>SUM(RBmatchups[[#This Row],[Carries2]]+RBmatchups[[#This Row],[Rec4]])</calculatedColumnFormula>
    </tableColumn>
    <tableColumn id="15" name="Total Yards" dataDxfId="874" dataCellStyle="Currency">
      <calculatedColumnFormula>SUM(RBmatchups[[#This Row],[Yards]]+RBmatchups[[#This Row],[RecYards]])</calculatedColumnFormula>
    </tableColumn>
    <tableColumn id="16" name="Total TD" dataDxfId="873" dataCellStyle="Currency">
      <calculatedColumnFormula>SUM(RBmatchups[[#This Row],[TD]]+RBmatchups[[#This Row],[RecTD5]])</calculatedColumnFormula>
    </tableColumn>
    <tableColumn id="17" name="Proj Rank" dataDxfId="872" dataCellStyle="Currency">
      <calculatedColumnFormula>_xlfn.RANK.EQ(RBmatchups[Projection],RBmatchups[Projection],0)</calculatedColumnFormula>
    </tableColumn>
    <tableColumn id="7" name="Projection" dataDxfId="871" dataCellStyle="Currency">
      <calculatedColumnFormula>SUM(RBmatchups[[#This Row],[Total Yards]]*0.1)+(RBmatchups[[#This Row],[Rec4]]*1)+(RBmatchups[[#This Row],[Total TD]]*6)+(RBmatchups[[#This Row],[100+]])</calculatedColumnFormula>
    </tableColumn>
    <tableColumn id="25" name="Value Rank" dataDxfId="870" dataCellStyle="Currency">
      <calculatedColumnFormula>_xlfn.RANK.EQ(RBmatchups[[#This Row],[$/FP]],RBmatchups[$/FP],1)</calculatedColumnFormula>
    </tableColumn>
    <tableColumn id="34" name="$/FP" dataDxfId="869" dataCellStyle="Currency">
      <calculatedColumnFormula>SUM(RBmatchups[[#This Row],[Salary]]/RBmatchups[[#This Row],[Projection]])</calculatedColumnFormula>
    </tableColumn>
    <tableColumn id="29" name="Position Rank" dataDxfId="868" dataCellStyle="Currency">
      <calculatedColumnFormula>_xlfn.RANK.EQ(RBmatchups[[#This Row],[Average]],RBmatchups[Average],1)</calculatedColumnFormula>
    </tableColumn>
    <tableColumn id="26" name="Average" dataDxfId="867" dataCellStyle="Currency">
      <calculatedColumnFormula>AVERAGE(RBmatchups[[#This Row],[Proj Rank]],RBmatchups[[#This Row],[Value Rank]])</calculatedColumnFormula>
    </tableColumn>
    <tableColumn id="18" name="%of Cap" dataDxfId="866" dataCellStyle="Percent">
      <calculatedColumnFormula>RBmatchups[[#This Row],[Salary]]/50000</calculatedColumnFormula>
    </tableColumn>
    <tableColumn id="20" name="Column3" dataDxfId="865" dataCellStyle="Percent"/>
    <tableColumn id="38" name="Car1" dataDxfId="864" dataCellStyle="Currency">
      <calculatedColumnFormula>IFERROR(INDEX(HBstats1[Rush Att],MATCH(RBmatchups[[#This Row],[Name]],HBstats1[Player],0)),"0")</calculatedColumnFormula>
    </tableColumn>
    <tableColumn id="39" name="Car2" dataDxfId="863" dataCellStyle="Currency">
      <calculatedColumnFormula>IFERROR(INDEX(HBstats2[Carries],MATCH(RBmatchups[[#This Row],[Name]],HBstats2[Player],0)),"0")</calculatedColumnFormula>
    </tableColumn>
    <tableColumn id="40" name="Car3" dataDxfId="862" dataCellStyle="Currency">
      <calculatedColumnFormula>IFERROR(INDEX(HBstats3[Carries],MATCH(RBmatchups[[#This Row],[Name]],HBstats3[Player],0)),"0")</calculatedColumnFormula>
    </tableColumn>
    <tableColumn id="41" name="Cara" dataDxfId="861" dataCellStyle="Currency">
      <calculatedColumnFormula>IFERROR(INDEX(HBallowed[Carries],MATCH(RBmatchups[[#This Row],[Opp]],HBallowed[Team],0)),"0")</calculatedColumnFormula>
    </tableColumn>
    <tableColumn id="42" name="Yards1" dataDxfId="860" dataCellStyle="Currency">
      <calculatedColumnFormula>IFERROR(INDEX(HBstats1[Rush Yds],MATCH(RBmatchups[[#This Row],[Name]],HBstats1[Player],0)),"0")</calculatedColumnFormula>
    </tableColumn>
    <tableColumn id="43" name="Yards2" dataDxfId="859" dataCellStyle="Currency">
      <calculatedColumnFormula>IFERROR(INDEX(HBstats2[RushYards],MATCH(RBmatchups[[#This Row],[Name]],HBstats2[Player],0)),"0")</calculatedColumnFormula>
    </tableColumn>
    <tableColumn id="44" name="Yards3" dataDxfId="858" dataCellStyle="Currency">
      <calculatedColumnFormula>IFERROR(INDEX(HBstats3[RushYards],MATCH(RBmatchups[[#This Row],[Name]],HBstats3[Player],0)),"0")</calculatedColumnFormula>
    </tableColumn>
    <tableColumn id="45" name="Yardsa" dataDxfId="857" dataCellStyle="Currency">
      <calculatedColumnFormula>IFERROR(INDEX(HBallowed[Yards],MATCH(RBmatchups[[#This Row],[Opp]],HBallowed[Team],0)),"0")</calculatedColumnFormula>
    </tableColumn>
    <tableColumn id="46" name="TD1" dataDxfId="856" dataCellStyle="Currency">
      <calculatedColumnFormula>IFERROR(INDEX(HBstats1[Rush TD],MATCH(RBmatchups[[#This Row],[Name]],HBstats1[Player],0)),"0")</calculatedColumnFormula>
    </tableColumn>
    <tableColumn id="47" name="TD2" dataDxfId="855" dataCellStyle="Currency">
      <calculatedColumnFormula>IFERROR(INDEX(HBstats2[RushTD],MATCH(RBmatchups[[#This Row],[Name]],HBstats2[Player],0)),"0")</calculatedColumnFormula>
    </tableColumn>
    <tableColumn id="48" name="TD3" dataDxfId="854" dataCellStyle="Currency">
      <calculatedColumnFormula>IFERROR(INDEX(HBstats3[RushTD],MATCH(RBmatchups[[#This Row],[Name]],HBstats3[Player],0)),"0")</calculatedColumnFormula>
    </tableColumn>
    <tableColumn id="52" name="Tda" dataDxfId="853" dataCellStyle="Currency">
      <calculatedColumnFormula>IFERROR(INDEX(HBallowed[TD],MATCH(RBmatchups[[#This Row],[Opp]],HBallowed[Team],0)),"0")</calculatedColumnFormula>
    </tableColumn>
    <tableColumn id="12" name="Tar1" dataDxfId="852">
      <calculatedColumnFormula>IFERROR(INDEX(HBstats3[Targets],MATCH(RBmatchups[[#This Row],[Name]],HBstats3[Player],0)),"0")</calculatedColumnFormula>
    </tableColumn>
    <tableColumn id="10" name="Tar2" dataDxfId="851">
      <calculatedColumnFormula>IFERROR(INDEX(HBstats2[Targets],MATCH(RBmatchups[[#This Row],[Name]],HBstats2[Player],0)),"0")</calculatedColumnFormula>
    </tableColumn>
    <tableColumn id="9" name="Tar3" dataDxfId="850">
      <calculatedColumnFormula>IFERROR(INDEX(HBstats3[Targets],MATCH(RBmatchups[[#This Row],[Name]],HBstats3[Player],0)),"0")</calculatedColumnFormula>
    </tableColumn>
    <tableColumn id="53" name="Rec1" dataDxfId="849" dataCellStyle="Currency">
      <calculatedColumnFormula>IFERROR(INDEX(HBstats1[Rec],MATCH(RBmatchups[[#This Row],[Name]],HBstats1[Player],0)),"0")</calculatedColumnFormula>
    </tableColumn>
    <tableColumn id="54" name="Rec2" dataDxfId="848" dataCellStyle="Currency">
      <calculatedColumnFormula>IFERROR(INDEX(HBstats2[Rec],MATCH(RBmatchups[[#This Row],[Name]],HBstats2[Player],0)),"0")</calculatedColumnFormula>
    </tableColumn>
    <tableColumn id="55" name="Rec3" dataDxfId="847" dataCellStyle="Currency">
      <calculatedColumnFormula>IFERROR(INDEX(HBstats3[Rec],MATCH(RBmatchups[[#This Row],[Name]],HBstats3[Player],0)),"0")</calculatedColumnFormula>
    </tableColumn>
    <tableColumn id="56" name="Reca" dataDxfId="846" dataCellStyle="Currency">
      <calculatedColumnFormula>IFERROR(INDEX(HBallowed[Rec],MATCH(RBmatchups[[#This Row],[Opp]],HBallowed[Team],0)),"0")</calculatedColumnFormula>
    </tableColumn>
    <tableColumn id="57" name="RecYards1" dataDxfId="845" dataCellStyle="Currency">
      <calculatedColumnFormula>IFERROR(INDEX(HBstats1[Rec Yds],MATCH(RBmatchups[[#This Row],[Name]],HBstats1[Player],0)),"0")</calculatedColumnFormula>
    </tableColumn>
    <tableColumn id="58" name="RecYards2" dataDxfId="844" dataCellStyle="Currency">
      <calculatedColumnFormula>IFERROR(INDEX(HBstats2[RecYards],MATCH(RBmatchups[[#This Row],[Name]],HBstats2[Player],0)),"0")</calculatedColumnFormula>
    </tableColumn>
    <tableColumn id="59" name="RecYards3" dataDxfId="843" dataCellStyle="Currency">
      <calculatedColumnFormula>IFERROR(INDEX(HBstats3[RecYards],MATCH(RBmatchups[[#This Row],[Name]],HBstats3[Player],0)),"0")</calculatedColumnFormula>
    </tableColumn>
    <tableColumn id="60" name="RecYardsa" dataDxfId="842" dataCellStyle="Currency">
      <calculatedColumnFormula>IFERROR(INDEX(HBallowed[RecYards],MATCH(RBmatchups[[#This Row],[Opp]],HBallowed[Team],0)),"0")</calculatedColumnFormula>
    </tableColumn>
    <tableColumn id="61" name="RecTD1" dataDxfId="841" dataCellStyle="Currency">
      <calculatedColumnFormula>IFERROR(INDEX(HBstats1[Rec TD],MATCH(RBmatchups[[#This Row],[Name]],HBstats1[Player],0)),"0")</calculatedColumnFormula>
    </tableColumn>
    <tableColumn id="62" name="RecTd2" dataDxfId="840" dataCellStyle="Currency">
      <calculatedColumnFormula>IFERROR(INDEX(HBstats2[RecTD],MATCH(RBmatchups[[#This Row],[Name]],HBstats2[Player],0)),"0")</calculatedColumnFormula>
    </tableColumn>
    <tableColumn id="63" name="RecTd3" dataDxfId="839" dataCellStyle="Currency">
      <calculatedColumnFormula>IFERROR(INDEX(HBstats3[RecTD],MATCH(RBmatchups[[#This Row],[Name]],HBstats3[Player],0)),"0")</calculatedColumnFormula>
    </tableColumn>
    <tableColumn id="64" name="RecTda" dataDxfId="838" dataCellStyle="Currency">
      <calculatedColumnFormula>IFERROR(INDEX(HBallowed[RecTD],MATCH(RBmatchups[[#This Row],[Opp]],HBallowed[Team],0)),"0")</calculatedColumnFormula>
    </tableColumn>
    <tableColumn id="19" name="100+" dataDxfId="837" dataCellStyle="Percent">
      <calculatedColumnFormula>IF(RBmatchups[[#This Row],[Yards]]&gt;=100,3,0)</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id="10" name="HBstats1" displayName="HBstats1" ref="A1:BL100" tableType="queryTable" totalsRowShown="0" headerRowDxfId="836" dataDxfId="835">
  <autoFilter ref="A1:BL100"/>
  <tableColumns count="64">
    <tableColumn id="1" uniqueName="1" name="Season" queryTableFieldId="1" dataDxfId="834"/>
    <tableColumn id="2" uniqueName="2" name="Week" queryTableFieldId="2" dataDxfId="833"/>
    <tableColumn id="3" uniqueName="3" name="PID" queryTableFieldId="3" dataDxfId="832"/>
    <tableColumn id="4" uniqueName="4" name="Player" queryTableFieldId="4" dataDxfId="831"/>
    <tableColumn id="5" uniqueName="5" name="Pos" queryTableFieldId="5" dataDxfId="830"/>
    <tableColumn id="6" uniqueName="6" name="Team" queryTableFieldId="6" dataDxfId="829"/>
    <tableColumn id="7" uniqueName="7" name="Opp" queryTableFieldId="7" dataDxfId="828"/>
    <tableColumn id="8" uniqueName="8" name="aFPA" queryTableFieldId="8" dataDxfId="827"/>
    <tableColumn id="9" uniqueName="9" name="FFPts" queryTableFieldId="9" dataDxfId="826"/>
    <tableColumn id="10" uniqueName="10" name="FFPtsPPR" queryTableFieldId="10" dataDxfId="825"/>
    <tableColumn id="11" uniqueName="11" name="Pass Comp" queryTableFieldId="11" dataDxfId="824"/>
    <tableColumn id="12" uniqueName="12" name="Pass Att" queryTableFieldId="12" dataDxfId="823"/>
    <tableColumn id="13" uniqueName="13" name="Pass Yds" queryTableFieldId="13" dataDxfId="822"/>
    <tableColumn id="14" uniqueName="14" name="Pass TD" queryTableFieldId="14" dataDxfId="821"/>
    <tableColumn id="15" uniqueName="15" name="INT" queryTableFieldId="74" dataDxfId="820"/>
    <tableColumn id="16" uniqueName="16" name="Rush Att" queryTableFieldId="73" dataDxfId="819"/>
    <tableColumn id="17" uniqueName="17" name="Rush Yds" queryTableFieldId="72" dataDxfId="818"/>
    <tableColumn id="18" uniqueName="18" name="Rush TD" queryTableFieldId="71" dataDxfId="817"/>
    <tableColumn id="19" uniqueName="19" name="Rec" queryTableFieldId="70" dataDxfId="816"/>
    <tableColumn id="20" uniqueName="20" name="Rec Yds" queryTableFieldId="69" dataDxfId="815"/>
    <tableColumn id="21" uniqueName="21" name="Rec TD" queryTableFieldId="68" dataDxfId="814"/>
    <tableColumn id="22" uniqueName="22" name="Fum" queryTableFieldId="67" dataDxfId="813"/>
    <tableColumn id="23" uniqueName="23" name="XP" queryTableFieldId="66" dataDxfId="812"/>
    <tableColumn id="24" uniqueName="24" name="FG" queryTableFieldId="65" dataDxfId="811"/>
    <tableColumn id="25" uniqueName="25" name="Grade" queryTableFieldId="64" dataDxfId="810"/>
    <tableColumn id="26" uniqueName="26" name="FantasyAces (Projected points)" queryTableFieldId="63" dataDxfId="809"/>
    <tableColumn id="27" uniqueName="27" name="FantasyAces (Price)" queryTableFieldId="62" dataDxfId="808"/>
    <tableColumn id="28" uniqueName="28" name="FantasyAces ($/point)" queryTableFieldId="61" dataDxfId="807"/>
    <tableColumn id="29" uniqueName="29" name="FantasyAces (Value)" queryTableFieldId="60" dataDxfId="806"/>
    <tableColumn id="30" uniqueName="30" name="DraftDay (Projected points)" queryTableFieldId="59" dataDxfId="805"/>
    <tableColumn id="31" uniqueName="31" name="DraftDay (Price)" queryTableFieldId="58" dataDxfId="804"/>
    <tableColumn id="32" uniqueName="32" name="DraftDay ($/point)" queryTableFieldId="57" dataDxfId="803"/>
    <tableColumn id="33" uniqueName="33" name="DraftDay (Value)" queryTableFieldId="56" dataDxfId="802"/>
    <tableColumn id="34" uniqueName="34" name="DraftKings (Projected points)" queryTableFieldId="55" dataDxfId="801"/>
    <tableColumn id="35" uniqueName="35" name="DraftKings (Price)" queryTableFieldId="54" dataDxfId="800"/>
    <tableColumn id="36" uniqueName="36" name="DraftKings ($/point)" queryTableFieldId="53" dataDxfId="799"/>
    <tableColumn id="37" uniqueName="37" name="DraftKings (Value)" queryTableFieldId="52" dataDxfId="798"/>
    <tableColumn id="38" uniqueName="38" name="FanDuel (Projected points)" queryTableFieldId="51" dataDxfId="797"/>
    <tableColumn id="39" uniqueName="39" name="FanDuel (Price)" queryTableFieldId="50" dataDxfId="796"/>
    <tableColumn id="40" uniqueName="40" name="FanDuel ($/point)" queryTableFieldId="49" dataDxfId="795"/>
    <tableColumn id="41" uniqueName="41" name="FanDuel (Value)" queryTableFieldId="48" dataDxfId="794"/>
    <tableColumn id="42" uniqueName="42" name="FantasyFeud (Projected points)" queryTableFieldId="47" dataDxfId="793"/>
    <tableColumn id="43" uniqueName="43" name="FantasyFeud (Price)" queryTableFieldId="46" dataDxfId="792"/>
    <tableColumn id="44" uniqueName="44" name="FantasyFeud ($/point)" queryTableFieldId="45" dataDxfId="791"/>
    <tableColumn id="45" uniqueName="45" name="FantasyFeud (Value)" queryTableFieldId="44" dataDxfId="790"/>
    <tableColumn id="46" uniqueName="46" name="StarsDraft (Projected points)" queryTableFieldId="43" dataDxfId="789"/>
    <tableColumn id="47" uniqueName="47" name="StarsDraft (Price)" queryTableFieldId="42" dataDxfId="788"/>
    <tableColumn id="48" uniqueName="48" name="StarsDraft ($/point)" queryTableFieldId="41" dataDxfId="787"/>
    <tableColumn id="49" uniqueName="49" name="StarsDraft (Value)" queryTableFieldId="40" dataDxfId="786"/>
    <tableColumn id="50" uniqueName="50" name="Yahoo! (Projected points)" queryTableFieldId="39" dataDxfId="785"/>
    <tableColumn id="51" uniqueName="51" name="Yahoo! (Price)" queryTableFieldId="38" dataDxfId="784"/>
    <tableColumn id="52" uniqueName="52" name="Yahoo! ($/point)" queryTableFieldId="37" dataDxfId="783"/>
    <tableColumn id="53" uniqueName="53" name="Yahoo! (Value)" queryTableFieldId="36" dataDxfId="782"/>
    <tableColumn id="54" uniqueName="54" name="OwnThePlay (Projected points)" queryTableFieldId="35" dataDxfId="781"/>
    <tableColumn id="55" uniqueName="55" name="OwnThePlay (Price)" queryTableFieldId="34" dataDxfId="780"/>
    <tableColumn id="56" uniqueName="56" name="OwnThePlay ($/point)" queryTableFieldId="33" dataDxfId="779"/>
    <tableColumn id="57" uniqueName="57" name="OwnThePlay (Value)" queryTableFieldId="32" dataDxfId="778"/>
    <tableColumn id="58" uniqueName="58" name="FantasyDraft (Projected points)" queryTableFieldId="31" dataDxfId="777"/>
    <tableColumn id="59" uniqueName="59" name="FantasyDraft (Price)" queryTableFieldId="30" dataDxfId="776"/>
    <tableColumn id="60" uniqueName="60" name="FantasyDraft ($/point)" queryTableFieldId="29" dataDxfId="775"/>
    <tableColumn id="61" uniqueName="61" name="FantasyDraft (Value)" queryTableFieldId="28" dataDxfId="774"/>
    <tableColumn id="62" uniqueName="62" name="O/U" queryTableFieldId="27" dataDxfId="773"/>
    <tableColumn id="63" uniqueName="63" name="Spread" queryTableFieldId="26" dataDxfId="772"/>
    <tableColumn id="64" uniqueName="64" name="Team O/U" queryTableFieldId="25" dataDxfId="771"/>
  </tableColumns>
  <tableStyleInfo name="TableStyleQueryResult" showFirstColumn="0" showLastColumn="0" showRowStripes="1" showColumnStripes="0"/>
</table>
</file>

<file path=xl/tables/table28.xml><?xml version="1.0" encoding="utf-8"?>
<table xmlns="http://schemas.openxmlformats.org/spreadsheetml/2006/main" id="19" name="HBstats2" displayName="HBstats2" ref="A1:M72" totalsRowShown="0">
  <autoFilter ref="A1:M72"/>
  <tableColumns count="13">
    <tableColumn id="1" name="Player"/>
    <tableColumn id="2" name="Tm"/>
    <tableColumn id="3" name="Pos"/>
    <tableColumn id="4" name="Carries"/>
    <tableColumn id="5" name="RushYards"/>
    <tableColumn id="6" name="RushTD"/>
    <tableColumn id="7" name="Targets"/>
    <tableColumn id="8" name="Rec"/>
    <tableColumn id="9" name="RecYards"/>
    <tableColumn id="10" name="RecTD"/>
    <tableColumn id="11" name="Column1"/>
    <tableColumn id="12" name="Column2"/>
    <tableColumn id="13" name="Column3"/>
  </tableColumns>
  <tableStyleInfo name="TableStyleMedium2" showFirstColumn="0" showLastColumn="0" showRowStripes="1" showColumnStripes="0"/>
</table>
</file>

<file path=xl/tables/table29.xml><?xml version="1.0" encoding="utf-8"?>
<table xmlns="http://schemas.openxmlformats.org/spreadsheetml/2006/main" id="38" name="HBstats3" displayName="HBstats3" ref="A1:T125" totalsRowShown="0" headerRowDxfId="770" dataDxfId="769" tableBorderDxfId="768">
  <autoFilter ref="A1:T125"/>
  <tableColumns count="20">
    <tableColumn id="1" name="Rank" dataDxfId="767"/>
    <tableColumn id="2" name="Player" dataDxfId="766"/>
    <tableColumn id="3" name="Team" dataDxfId="765"/>
    <tableColumn id="4" name="Opp" dataDxfId="764"/>
    <tableColumn id="5" name="Gms" dataDxfId="763"/>
    <tableColumn id="6" name="Carries" dataDxfId="762"/>
    <tableColumn id="7" name="RushYards" dataDxfId="761"/>
    <tableColumn id="8" name="RushTD" dataDxfId="760"/>
    <tableColumn id="9" name="Targets" dataDxfId="759"/>
    <tableColumn id="10" name="Rec" dataDxfId="758"/>
    <tableColumn id="11" name="RecYards" dataDxfId="757"/>
    <tableColumn id="12" name="RecTD" dataDxfId="756"/>
    <tableColumn id="13" name="Ret.Yds" dataDxfId="755"/>
    <tableColumn id="14" name="Ret.TDs" dataDxfId="754"/>
    <tableColumn id="15" name="Fum" dataDxfId="753"/>
    <tableColumn id="16" name="FL" dataDxfId="752"/>
    <tableColumn id="17" name="2pc" dataDxfId="751"/>
    <tableColumn id="18" name="Pts" dataDxfId="750"/>
    <tableColumn id="19" name="RV" dataDxfId="749"/>
    <tableColumn id="20" name="$" dataDxfId="748"/>
  </tableColumns>
  <tableStyleInfo name="TableStyleMedium2" showFirstColumn="0" showLastColumn="0" showRowStripes="1" showColumnStripes="0"/>
</table>
</file>

<file path=xl/tables/table30.xml><?xml version="1.0" encoding="utf-8"?>
<table xmlns="http://schemas.openxmlformats.org/spreadsheetml/2006/main" id="4" name="Table_3__2" displayName="Table_3__2" ref="A1:J33" tableType="queryTable" totalsRowShown="0" headerRowDxfId="747" dataDxfId="746">
  <autoFilter ref="A1:J33"/>
  <tableColumns count="10">
    <tableColumn id="20" uniqueName="20" name="Team" queryTableFieldId="1" dataDxfId="745"/>
    <tableColumn id="21" uniqueName="21" name="G" queryTableFieldId="2" dataDxfId="744"/>
    <tableColumn id="22" uniqueName="22" name="Att" queryTableFieldId="3" dataDxfId="743"/>
    <tableColumn id="23" uniqueName="23" name="Yard" queryTableFieldId="4" dataDxfId="742"/>
    <tableColumn id="24" uniqueName="24" name="TD" queryTableFieldId="5" dataDxfId="741"/>
    <tableColumn id="25" uniqueName="25" name="Rec" queryTableFieldId="6" dataDxfId="740"/>
    <tableColumn id="26" uniqueName="26" name="Yard_1" queryTableFieldId="7" dataDxfId="739"/>
    <tableColumn id="27" uniqueName="27" name="TD_2" queryTableFieldId="8" dataDxfId="738"/>
    <tableColumn id="28" uniqueName="28" name="FPts" queryTableFieldId="9" dataDxfId="737"/>
    <tableColumn id="29" uniqueName="29" name="FPts/G" queryTableFieldId="10" dataDxfId="736"/>
  </tableColumns>
  <tableStyleInfo name="TableStyleQueryResult" showFirstColumn="0" showLastColumn="0" showRowStripes="1" showColumnStripes="0"/>
</table>
</file>

<file path=xl/tables/table31.xml><?xml version="1.0" encoding="utf-8"?>
<table xmlns="http://schemas.openxmlformats.org/spreadsheetml/2006/main" id="24" name="HBallowed" displayName="HBallowed" ref="L1:V33" totalsRowShown="0" headerRowDxfId="735" tableBorderDxfId="734">
  <autoFilter ref="L1:V33"/>
  <sortState ref="L2:V33">
    <sortCondition ref="T1:T33"/>
  </sortState>
  <tableColumns count="11">
    <tableColumn id="1" name="16 Game Average" dataDxfId="733"/>
    <tableColumn id="2" name="G" dataDxfId="732"/>
    <tableColumn id="3" name="Carries">
      <calculatedColumnFormula>SUM(Table_3__2[[#This Row],[Att]]/$M$2)</calculatedColumnFormula>
    </tableColumn>
    <tableColumn id="4" name="Yards">
      <calculatedColumnFormula>SUM(Table_3__2[[#This Row],[Yard]]/$M$2)</calculatedColumnFormula>
    </tableColumn>
    <tableColumn id="5" name="TD">
      <calculatedColumnFormula>SUM(Table_3__2[[#This Row],[TD]]/$M$2)</calculatedColumnFormula>
    </tableColumn>
    <tableColumn id="6" name="Rec">
      <calculatedColumnFormula>SUM(Table_3__2[[#This Row],[Rec]]/$M$2)</calculatedColumnFormula>
    </tableColumn>
    <tableColumn id="7" name="RecYards">
      <calculatedColumnFormula>SUM(Table_3__2[[#This Row],[Yard_1]]/$M$2)</calculatedColumnFormula>
    </tableColumn>
    <tableColumn id="8" name="RecTD">
      <calculatedColumnFormula>SUM(Table_3__2[[#This Row],[TD_2]]/$M$2)</calculatedColumnFormula>
    </tableColumn>
    <tableColumn id="9" name="Team"/>
    <tableColumn id="10" name="Opp"/>
    <tableColumn id="11" name="DVP"/>
  </tableColumns>
  <tableStyleInfo name="TableStyleMedium2" showFirstColumn="0" showLastColumn="0" showRowStripes="1" showColumnStripes="0"/>
</table>
</file>

<file path=xl/tables/table32.xml><?xml version="1.0" encoding="utf-8"?>
<table xmlns="http://schemas.openxmlformats.org/spreadsheetml/2006/main" id="13" name="WRmatchups" displayName="WRmatchups" ref="A10:BD123" totalsRowShown="0" headerRowDxfId="730" dataDxfId="729">
  <autoFilter ref="A10:BD123"/>
  <sortState ref="A11:BD125">
    <sortCondition descending="1" ref="Z10:Z125"/>
  </sortState>
  <tableColumns count="56">
    <tableColumn id="1" name="Column1" dataDxfId="728">
      <calculatedColumnFormula>WRstats1!AL2</calculatedColumnFormula>
    </tableColumn>
    <tableColumn id="2" name="Name" dataDxfId="727">
      <calculatedColumnFormula>WRstats1!D2</calculatedColumnFormula>
    </tableColumn>
    <tableColumn id="3" name="Salary" dataDxfId="726" dataCellStyle="Currency">
      <calculatedColumnFormula>IFERROR(INDEX(Salaries[DraftKings (Price)],MATCH(WRmatchups[[#This Row],[Name]],Salaries[Player],0)),"")</calculatedColumnFormula>
    </tableColumn>
    <tableColumn id="23" name="Price +/-" dataDxfId="725" dataCellStyle="Currency">
      <calculatedColumnFormula>IFERROR(INDEX(DK_Salary_Changes[WeekChange],MATCH(WRmatchups[[#This Row],[Name]],DK_Salary_Changes[Player],0)),"")</calculatedColumnFormula>
    </tableColumn>
    <tableColumn id="4" name="Team" dataDxfId="724">
      <calculatedColumnFormula>IFERROR(INDEX(Salaries[Team],MATCH(WRmatchups[[#This Row],[Name]],Salaries[Player],0)),"")</calculatedColumnFormula>
    </tableColumn>
    <tableColumn id="5" name="Opp" dataDxfId="723">
      <calculatedColumnFormula>IFERROR(INDEX(Salaries[Opp],MATCH(WRmatchups[[#This Row],[Team]],Salaries[Team],0)),"")</calculatedColumnFormula>
    </tableColumn>
    <tableColumn id="26" name="Rec" dataDxfId="722" dataCellStyle="Currency">
      <calculatedColumnFormula>IFERROR(INDEX(WRYTD[Rec],MATCH(WRmatchups[Name],WRYTD[Player],0)),"0")</calculatedColumnFormula>
    </tableColumn>
    <tableColumn id="30" name="Targets" dataDxfId="721" dataCellStyle="Currency">
      <calculatedColumnFormula>IFERROR(INDEX(targettracker54[TTL],MATCH(WRmatchups[Name],targettracker54[Name],0)),"")</calculatedColumnFormula>
    </tableColumn>
    <tableColumn id="31" name="RecYds" dataDxfId="720" dataCellStyle="Currency">
      <calculatedColumnFormula>IFERROR(INDEX(WRYTD[Rec Yds],MATCH(WRmatchups[Name],WRYTD[Player],0)),"0")</calculatedColumnFormula>
    </tableColumn>
    <tableColumn id="52" name="RecTD" dataDxfId="719" dataCellStyle="Currency">
      <calculatedColumnFormula>IFERROR(INDEX(WRYTD[Rec TD],MATCH(WRmatchups[Name],WRYTD[Player],0)),"0")</calculatedColumnFormula>
    </tableColumn>
    <tableColumn id="15" name="O/U" dataDxfId="718">
      <calculatedColumnFormula>IFERROR(INDEX(Salaries[O/U],MATCH(WRmatchups[[#This Row],[Team]],Salaries[Team],0)),"")</calculatedColumnFormula>
    </tableColumn>
    <tableColumn id="14" name="Team Total" dataDxfId="717">
      <calculatedColumnFormula>IFERROR(INDEX(Salaries[Team O/U],MATCH(WRmatchups[[#This Row],[Team]],Salaries[Team],0)),"")</calculatedColumnFormula>
    </tableColumn>
    <tableColumn id="25" name="Spread" dataDxfId="716">
      <calculatedColumnFormula>IFERROR(INDEX(Salaries[Spread],MATCH(WRmatchups[[#This Row],[Team]],Salaries[Team],0)),"")</calculatedColumnFormula>
    </tableColumn>
    <tableColumn id="6" name="OppDVP" dataDxfId="715">
      <calculatedColumnFormula>IFERROR(INDEX(WRallowed[DVP],MATCH(WRmatchups[[#This Row],[Opp]],WRallowed[Team],0)),IFERROR(INDEX(WRallowed[DVP],MATCH(WRmatchups[[#This Row],[Opp]],WRallowed[Opp],0)),""))</calculatedColumnFormula>
    </tableColumn>
    <tableColumn id="53" name="YatC" dataDxfId="714" dataCellStyle="Currency">
      <calculatedColumnFormula>IFERROR(INDEX(YAtCData[YAtC],MATCH(WRmatchups[[#This Row],[Name]],YAtCData[Player],0)),"0")</calculatedColumnFormula>
    </tableColumn>
    <tableColumn id="54" name="YatC/Avg" dataDxfId="713" dataCellStyle="Currency">
      <calculatedColumnFormula>IFERROR(INDEX(YAtCData[YAtC/Rec],MATCH(WRmatchups[[#This Row],[Name]],YAtCData[Player],0)),"0")</calculatedColumnFormula>
    </tableColumn>
    <tableColumn id="55" name="YAC" dataDxfId="712" dataCellStyle="Currency">
      <calculatedColumnFormula>IFERROR(INDEX(YAtCData[YAC],MATCH(WRmatchups[[#This Row],[Name]],YAtCData[Player],0)),"0")</calculatedColumnFormula>
    </tableColumn>
    <tableColumn id="56" name="YAC/Rec" dataDxfId="711" dataCellStyle="Currency">
      <calculatedColumnFormula>IFERROR(INDEX(YACDATA[YAC per Reception],MATCH(WRmatchups[[#This Row],[Name]],YACDATA[Player],0)),"0")</calculatedColumnFormula>
    </tableColumn>
    <tableColumn id="8" name="Targets2" dataDxfId="710">
      <calculatedColumnFormula>AVERAGE(WRmatchups[[#This Row],[Tar1]:[Tar3]])</calculatedColumnFormula>
    </tableColumn>
    <tableColumn id="21" name="Rec4" dataDxfId="709">
      <calculatedColumnFormula>AVERAGE(WRmatchups[[#This Row],[Rec1]:[Rec3]])</calculatedColumnFormula>
    </tableColumn>
    <tableColumn id="10" name="Rec%" dataDxfId="708" dataCellStyle="Percent">
      <calculatedColumnFormula>SUM(WRmatchups[[#This Row],[Rec4]]/WRmatchups[[#This Row],[Targets2]])</calculatedColumnFormula>
    </tableColumn>
    <tableColumn id="24" name="Yards" dataDxfId="707">
      <calculatedColumnFormula>AVERAGE(WRmatchups[[#This Row],[Yards1]:[Yards3]])</calculatedColumnFormula>
    </tableColumn>
    <tableColumn id="12" name="Yards/Tar" dataDxfId="706">
      <calculatedColumnFormula>SUM(WRmatchups[[#This Row],[Yards]]/WRmatchups[[#This Row],[Targets2]])</calculatedColumnFormula>
    </tableColumn>
    <tableColumn id="27" name="RecTD5" dataDxfId="705">
      <calculatedColumnFormula>AVERAGE(WRmatchups[[#This Row],[TD1]:[TD3]])</calculatedColumnFormula>
    </tableColumn>
    <tableColumn id="17" name="Proj Rank" dataDxfId="704">
      <calculatedColumnFormula>_xlfn.RANK.EQ(WRmatchups[[#This Row],[Projection]],WRmatchups[Projection],0)</calculatedColumnFormula>
    </tableColumn>
    <tableColumn id="7" name="Projection" dataDxfId="703">
      <calculatedColumnFormula>SUM(WRmatchups[[#This Row],[Yards]]*0.1)+(WRmatchups[[#This Row],[RecTD5]]*6)+(WRmatchups[[#This Row],[Rec4]]*1)+(WRmatchups[[#This Row],[100+]])</calculatedColumnFormula>
    </tableColumn>
    <tableColumn id="19" name="Value Rank" dataDxfId="702">
      <calculatedColumnFormula>_xlfn.RANK.EQ(WRmatchups[[#This Row],[$/FP]],WRmatchups[$/FP],1)</calculatedColumnFormula>
    </tableColumn>
    <tableColumn id="18" name="$/FP" dataDxfId="701" dataCellStyle="Currency">
      <calculatedColumnFormula>SUM(WRmatchups[[#This Row],[Salary]]/WRmatchups[[#This Row],[Projection]])</calculatedColumnFormula>
    </tableColumn>
    <tableColumn id="22" name="Position Rank" dataDxfId="700" dataCellStyle="Currency">
      <calculatedColumnFormula>_xlfn.RANK.EQ(WRmatchups[[#This Row],[Average]],WRmatchups[Average],1)</calculatedColumnFormula>
    </tableColumn>
    <tableColumn id="20" name="Average" dataDxfId="699" dataCellStyle="Currency">
      <calculatedColumnFormula>AVERAGE(WRmatchups[[#This Row],[Proj Rank]],WRmatchups[[#This Row],[Value Rank]])</calculatedColumnFormula>
    </tableColumn>
    <tableColumn id="28" name="%of Cap" dataDxfId="698" dataCellStyle="Percent">
      <calculatedColumnFormula>WRmatchups[[#This Row],[Salary]]/50000</calculatedColumnFormula>
    </tableColumn>
    <tableColumn id="11" name="Column3" dataDxfId="697" dataCellStyle="Percent"/>
    <tableColumn id="29" name="Tar1" dataDxfId="696">
      <calculatedColumnFormula>IFERROR(INDEX(WRstats3[Targets],MATCH(WRmatchups[[#This Row],[Name]],WRstats3[Player],0)),"0")</calculatedColumnFormula>
    </tableColumn>
    <tableColumn id="32" name="Tar2" dataDxfId="695">
      <calculatedColumnFormula>IFERROR(INDEX(WRstats2[Targets],MATCH(WRmatchups[[#This Row],[Name]],WRstats2[Player],0)),"0")</calculatedColumnFormula>
    </tableColumn>
    <tableColumn id="33" name="Tar3" dataDxfId="694">
      <calculatedColumnFormula>IFERROR(INDEX(WRstats3[Targets],MATCH(WRmatchups[[#This Row],[Name]],WRstats3[Player],0)),"0")</calculatedColumnFormula>
    </tableColumn>
    <tableColumn id="34" name="Rec1" dataDxfId="693">
      <calculatedColumnFormula>IFERROR(INDEX(WRstats1[Rec],MATCH(WRmatchups[[#This Row],[Name]],WRstats1[Player],0)),"0")</calculatedColumnFormula>
    </tableColumn>
    <tableColumn id="35" name="Rec2" dataDxfId="692">
      <calculatedColumnFormula>IFERROR(INDEX(WRstats2[Rec],MATCH(WRmatchups[[#This Row],[Name]],WRstats2[Player],0)),"0")</calculatedColumnFormula>
    </tableColumn>
    <tableColumn id="36" name="Rec3" dataDxfId="691">
      <calculatedColumnFormula>IFERROR(INDEX(WRstats3[Rec],MATCH(WRmatchups[[#This Row],[Name]],WRstats3[Player],0)),"0")</calculatedColumnFormula>
    </tableColumn>
    <tableColumn id="37" name="Reca" dataDxfId="690">
      <calculatedColumnFormula>IFERROR(INDEX(WRallowed[Rec],MATCH(WRmatchups[[#This Row],[Opp]],WRallowed[Team],0)),"0")</calculatedColumnFormula>
    </tableColumn>
    <tableColumn id="38" name="Yards1" dataDxfId="689">
      <calculatedColumnFormula>IFERROR(INDEX(WRstats1[Rec Yds],MATCH(WRmatchups[[#This Row],[Name]],WRstats1[Player],0)),"0")</calculatedColumnFormula>
    </tableColumn>
    <tableColumn id="39" name="Yards2" dataDxfId="688">
      <calculatedColumnFormula>IFERROR(INDEX(WRstats2[RecYards],MATCH(WRmatchups[[#This Row],[Name]],WRstats2[Player],0)),"0")</calculatedColumnFormula>
    </tableColumn>
    <tableColumn id="40" name="Yards3" dataDxfId="687">
      <calculatedColumnFormula>IFERROR(INDEX(WRstats3[RecYards],MATCH(WRmatchups[[#This Row],[Name]],WRstats3[Player],0)),"0")</calculatedColumnFormula>
    </tableColumn>
    <tableColumn id="41" name="Yardsa" dataDxfId="686">
      <calculatedColumnFormula>IFERROR(INDEX(WRallowed[Yard],MATCH(WRmatchups[[#This Row],[Opp]],WRallowed[Team],0)),"0")</calculatedColumnFormula>
    </tableColumn>
    <tableColumn id="42" name="TD1" dataDxfId="685">
      <calculatedColumnFormula>IFERROR(INDEX(WRstats1[Rec TD],MATCH(WRmatchups[[#This Row],[Name]],WRstats1[Player],0)),"0")</calculatedColumnFormula>
    </tableColumn>
    <tableColumn id="43" name="TD2" dataDxfId="684">
      <calculatedColumnFormula>IFERROR(INDEX(WRstats2[RecTD],MATCH(WRmatchups[[#This Row],[Name]],WRstats2[Player],0)),"0")</calculatedColumnFormula>
    </tableColumn>
    <tableColumn id="44" name="TD3" dataDxfId="683">
      <calculatedColumnFormula>IFERROR(INDEX(WRstats3[RecTD],MATCH(WRmatchups[[#This Row],[Name]],WRstats3[Player],0)),"0")</calculatedColumnFormula>
    </tableColumn>
    <tableColumn id="45" name="Tda" dataDxfId="682">
      <calculatedColumnFormula>IFERROR(INDEX(WRallowed[TD],MATCH(WRmatchups[[#This Row],[Opp]],WRallowed[Team],0)),"0")*0.5</calculatedColumnFormula>
    </tableColumn>
    <tableColumn id="46" name="RushAtt2" dataDxfId="681">
      <calculatedColumnFormula>IFERROR(INDEX(WRstats2[RushAtt],MATCH(WRmatchups[[#This Row],[Name]],WRstats2[Player],0)),"0")</calculatedColumnFormula>
    </tableColumn>
    <tableColumn id="47" name="RushAtt3" dataDxfId="680">
      <calculatedColumnFormula>IFERROR(INDEX(WRstats3[RushATT],MATCH(WRmatchups[[#This Row],[Name]],WRstats3[Player],0)),"0")</calculatedColumnFormula>
    </tableColumn>
    <tableColumn id="48" name="RushYards2" dataDxfId="679">
      <calculatedColumnFormula>IFERROR(INDEX(WRstats2[RushYards],MATCH(WRmatchups[[#This Row],[Name]],WRstats2[Player],0)),"0")</calculatedColumnFormula>
    </tableColumn>
    <tableColumn id="49" name="RushYards3" dataDxfId="678">
      <calculatedColumnFormula>IFERROR(INDEX(WRstats3[RushYards],MATCH(WRmatchups[[#This Row],[Name]],WRstats3[Player],0)),"0")</calculatedColumnFormula>
    </tableColumn>
    <tableColumn id="50" name="RushTD2" dataDxfId="677">
      <calculatedColumnFormula>IFERROR(INDEX(WRstats2[RushTD],MATCH(WRmatchups[[#This Row],[Name]],WRstats2[Player],0)),"0")</calculatedColumnFormula>
    </tableColumn>
    <tableColumn id="51" name="RushTD3" dataDxfId="676">
      <calculatedColumnFormula>IFERROR(INDEX(WRstats3[RushTD],MATCH(WRmatchups[[#This Row],[Name]],WRstats3[Player],0)),"0")</calculatedColumnFormula>
    </tableColumn>
    <tableColumn id="9" name="100+" dataDxfId="675">
      <calculatedColumnFormula>IF(WRmatchups[[#This Row],[Yards]]&gt;=100,3,0)</calculatedColumnFormula>
    </tableColumn>
    <tableColumn id="16" name="Targets3" dataDxfId="674" dataCellStyle="Currency">
      <calculatedColumnFormula>IFERROR(INDEX(#REF!,MATCH(WRmatchups[Name],#REF!,0)),"0")</calculatedColumnFormula>
    </tableColumn>
    <tableColumn id="13" name="Targets/Salary" dataDxfId="673" dataCellStyle="Percent">
      <calculatedColumnFormula>WRmatchups[[#This Row],[Targets]]/WRmatchups[[#This Row],[Salary]]*100</calculatedColumnFormula>
    </tableColumn>
  </tableColumns>
  <tableStyleInfo name="TableStyleMedium2" showFirstColumn="0" showLastColumn="0" showRowStripes="1" showColumnStripes="0"/>
</table>
</file>

<file path=xl/tables/table33.xml><?xml version="1.0" encoding="utf-8"?>
<table xmlns="http://schemas.openxmlformats.org/spreadsheetml/2006/main" id="15" name="WRstats1" displayName="WRstats1" ref="A1:BL120" totalsRowShown="0">
  <autoFilter ref="A1:BL120"/>
  <sortState ref="A2:J552">
    <sortCondition ref="A1:A552"/>
  </sortState>
  <tableColumns count="64">
    <tableColumn id="1" name="Season"/>
    <tableColumn id="2" name="Week" dataDxfId="672"/>
    <tableColumn id="3" name="PID" dataDxfId="671"/>
    <tableColumn id="4" name="Player"/>
    <tableColumn id="9" name="Pos"/>
    <tableColumn id="8" name="Team"/>
    <tableColumn id="7" name="Opp"/>
    <tableColumn id="5" name="aFPA"/>
    <tableColumn id="6" name="FFPts"/>
    <tableColumn id="10" name="FFPtsPPR" dataDxfId="670">
      <calculatedColumnFormula>IF(WRstats1[[#This Row],[FFPts]]=WRstats1[[#This Row],[Pos]],WRstats1[[#This Row],[Player]],WRstats1[[#This Row],[Pos]])</calculatedColumnFormula>
    </tableColumn>
    <tableColumn id="11" name="Pass Comp"/>
    <tableColumn id="12" name="Pass Att"/>
    <tableColumn id="13" name="Pass Yds"/>
    <tableColumn id="14" name="Pass TD"/>
    <tableColumn id="15" name="INT"/>
    <tableColumn id="16" name="Rush Att"/>
    <tableColumn id="17" name="Rush Yds"/>
    <tableColumn id="18" name="Rush TD"/>
    <tableColumn id="19" name="Rec"/>
    <tableColumn id="20" name="Rec Yds"/>
    <tableColumn id="21" name="Rec TD"/>
    <tableColumn id="22" name="Fum"/>
    <tableColumn id="23" name="XP"/>
    <tableColumn id="24" name="FG"/>
    <tableColumn id="25" name="Grade"/>
    <tableColumn id="26" name="FantasyAces (Projected points)"/>
    <tableColumn id="27" name="FantasyAces (Price)"/>
    <tableColumn id="28" name="FantasyAces ($/point)"/>
    <tableColumn id="29" name="FantasyAces (Value)"/>
    <tableColumn id="30" name="DraftDay (Projected points)"/>
    <tableColumn id="31" name="DraftDay (Price)"/>
    <tableColumn id="32" name="DraftDay ($/point)"/>
    <tableColumn id="33" name="DraftDay (Value)"/>
    <tableColumn id="34" name="DraftKings (Projected points)"/>
    <tableColumn id="35" name="DraftKings (Price)"/>
    <tableColumn id="36" name="DraftKings ($/point)"/>
    <tableColumn id="37" name="DraftKings (Value)"/>
    <tableColumn id="38" name="FanDuel (Projected points)"/>
    <tableColumn id="39" name="FanDuel (Price)"/>
    <tableColumn id="40" name="FanDuel ($/point)"/>
    <tableColumn id="41" name="FanDuel (Value)"/>
    <tableColumn id="42" name="FantasyFeud (Projected points)"/>
    <tableColumn id="43" name="FantasyFeud (Price)"/>
    <tableColumn id="44" name="FantasyFeud ($/point)"/>
    <tableColumn id="45" name="FantasyFeud (Value)"/>
    <tableColumn id="46" name="StarsDraft (Projected points)"/>
    <tableColumn id="47" name="StarsDraft (Price)"/>
    <tableColumn id="48" name="StarsDraft ($/point)"/>
    <tableColumn id="49" name="StarsDraft (Value)"/>
    <tableColumn id="50" name="Yahoo! (Projected points)"/>
    <tableColumn id="51" name="Yahoo! (Price)"/>
    <tableColumn id="52" name="Yahoo! ($/point)"/>
    <tableColumn id="53" name="Yahoo! (Value)"/>
    <tableColumn id="54" name="OwnThePlay (Projected points)"/>
    <tableColumn id="55" name="OwnThePlay (Price)"/>
    <tableColumn id="56" name="OwnThePlay ($/point)"/>
    <tableColumn id="57" name="OwnThePlay (Value)"/>
    <tableColumn id="58" name="FantasyDraft (Projected points)"/>
    <tableColumn id="59" name="FantasyDraft (Price)"/>
    <tableColumn id="60" name="FantasyDraft ($/point)"/>
    <tableColumn id="61" name="FantasyDraft (Value)"/>
    <tableColumn id="62" name="O/U"/>
    <tableColumn id="63" name="Spread"/>
    <tableColumn id="64" name="Team O/U"/>
  </tableColumns>
  <tableStyleInfo name="TableStyleMedium2" showFirstColumn="0" showLastColumn="0" showRowStripes="1" showColumnStripes="0"/>
</table>
</file>

<file path=xl/tables/table34.xml><?xml version="1.0" encoding="utf-8"?>
<table xmlns="http://schemas.openxmlformats.org/spreadsheetml/2006/main" id="21" name="WRstats2" displayName="WRstats2" ref="A1:M102" totalsRowShown="0">
  <autoFilter ref="A1:M102"/>
  <tableColumns count="13">
    <tableColumn id="1" name="Player"/>
    <tableColumn id="2" name="Tm"/>
    <tableColumn id="3" name="Pos"/>
    <tableColumn id="4" name="RushAtt" dataDxfId="669"/>
    <tableColumn id="5" name="RushYards" dataDxfId="668"/>
    <tableColumn id="6" name="RushTD" dataDxfId="667"/>
    <tableColumn id="7" name="Targets" dataDxfId="666"/>
    <tableColumn id="8" name="Rec" dataDxfId="665"/>
    <tableColumn id="9" name="RecYards" dataDxfId="664"/>
    <tableColumn id="10" name="RecTD" dataDxfId="663"/>
    <tableColumn id="11" name="Column1" dataDxfId="662"/>
    <tableColumn id="12" name="Column2" dataDxfId="661"/>
    <tableColumn id="13" name="Column3" dataDxfId="660"/>
  </tableColumns>
  <tableStyleInfo name="TableStyleMedium2" showFirstColumn="0" showLastColumn="0" showRowStripes="1" showColumnStripes="0"/>
</table>
</file>

<file path=xl/tables/table35.xml><?xml version="1.0" encoding="utf-8"?>
<table xmlns="http://schemas.openxmlformats.org/spreadsheetml/2006/main" id="39" name="WRstats3" displayName="WRstats3" ref="A1:T176" totalsRowShown="0" headerRowDxfId="659" dataDxfId="658" tableBorderDxfId="657">
  <autoFilter ref="A1:T176"/>
  <tableColumns count="20">
    <tableColumn id="1" name="Rank" dataDxfId="656"/>
    <tableColumn id="2" name="Player" dataDxfId="655"/>
    <tableColumn id="3" name="Team" dataDxfId="654"/>
    <tableColumn id="4" name="Opp" dataDxfId="653"/>
    <tableColumn id="5" name="Gms" dataDxfId="652"/>
    <tableColumn id="6" name="Targets" dataDxfId="651"/>
    <tableColumn id="7" name="Rec" dataDxfId="650"/>
    <tableColumn id="8" name="RecYards" dataDxfId="649"/>
    <tableColumn id="9" name="RecTD" dataDxfId="648"/>
    <tableColumn id="10" name="RushATT" dataDxfId="647"/>
    <tableColumn id="11" name="RushYards" dataDxfId="646"/>
    <tableColumn id="12" name="RushTD" dataDxfId="645"/>
    <tableColumn id="13" name="Ret.Yds" dataDxfId="644"/>
    <tableColumn id="14" name="Ret.TDs" dataDxfId="643"/>
    <tableColumn id="15" name="Fum" dataDxfId="642"/>
    <tableColumn id="16" name="FL" dataDxfId="641"/>
    <tableColumn id="17" name="2pc" dataDxfId="640"/>
    <tableColumn id="18" name="Pts" dataDxfId="639"/>
    <tableColumn id="19" name="RV" dataDxfId="638"/>
    <tableColumn id="20" name="$" dataDxfId="637"/>
  </tableColumns>
  <tableStyleInfo name="TableStyleMedium2" showFirstColumn="0" showLastColumn="0" showRowStripes="1" showColumnStripes="0"/>
</table>
</file>

<file path=xl/tables/table36.xml><?xml version="1.0" encoding="utf-8"?>
<table xmlns="http://schemas.openxmlformats.org/spreadsheetml/2006/main" id="17" name="Table_3__3" displayName="Table_3__3" ref="A1:G33" tableType="queryTable" totalsRowShown="0" headerRowDxfId="636" dataDxfId="635">
  <autoFilter ref="A1:G33"/>
  <tableColumns count="7">
    <tableColumn id="14" uniqueName="14" name="Team" queryTableFieldId="1" dataDxfId="634"/>
    <tableColumn id="15" uniqueName="15" name="G" queryTableFieldId="2" dataDxfId="633"/>
    <tableColumn id="16" uniqueName="16" name="Rec" queryTableFieldId="3" dataDxfId="632"/>
    <tableColumn id="17" uniqueName="17" name="Yard" queryTableFieldId="4" dataDxfId="631"/>
    <tableColumn id="18" uniqueName="18" name="TD" queryTableFieldId="5" dataDxfId="630"/>
    <tableColumn id="19" uniqueName="19" name="FPts" queryTableFieldId="6" dataDxfId="629"/>
    <tableColumn id="20" uniqueName="20" name="FPts/G" queryTableFieldId="7" dataDxfId="628"/>
  </tableColumns>
  <tableStyleInfo name="TableStyleQueryResult" showFirstColumn="0" showLastColumn="0" showRowStripes="1" showColumnStripes="0"/>
</table>
</file>

<file path=xl/tables/table37.xml><?xml version="1.0" encoding="utf-8"?>
<table xmlns="http://schemas.openxmlformats.org/spreadsheetml/2006/main" id="25" name="WRallowed" displayName="WRallowed" ref="I1:P33" totalsRowShown="0" headerRowDxfId="627" tableBorderDxfId="626">
  <autoFilter ref="I1:P33"/>
  <sortState ref="I2:P33">
    <sortCondition ref="N1:N33"/>
  </sortState>
  <tableColumns count="8">
    <tableColumn id="1" name="16 Game Average" dataDxfId="625"/>
    <tableColumn id="2" name="G" dataDxfId="624"/>
    <tableColumn id="3" name="Rec">
      <calculatedColumnFormula>SUM(Table_3__3[[#This Row],[Rec]]/$J$2)</calculatedColumnFormula>
    </tableColumn>
    <tableColumn id="4" name="Yard">
      <calculatedColumnFormula>SUM(Table_3__3[[#This Row],[Yard]]/$J$2)</calculatedColumnFormula>
    </tableColumn>
    <tableColumn id="5" name="TD">
      <calculatedColumnFormula>SUM(Table_3__3[[#This Row],[TD]]/$J$2)</calculatedColumnFormula>
    </tableColumn>
    <tableColumn id="6" name="Team"/>
    <tableColumn id="7" name="Opp"/>
    <tableColumn id="8" name="DVP"/>
  </tableColumns>
  <tableStyleInfo name="TableStyleMedium2" showFirstColumn="0" showLastColumn="0" showRowStripes="1" showColumnStripes="0"/>
</table>
</file>

<file path=xl/tables/table38.xml><?xml version="1.0" encoding="utf-8"?>
<table xmlns="http://schemas.openxmlformats.org/spreadsheetml/2006/main" id="14" name="TEmatchups" displayName="TEmatchups" ref="A10:AV72" totalsRowShown="0" headerRowDxfId="619" dataDxfId="618">
  <autoFilter ref="A10:AV72"/>
  <sortState ref="A10:AZ71">
    <sortCondition ref="Y9:Y71"/>
  </sortState>
  <tableColumns count="48">
    <tableColumn id="1" name="Column1" dataDxfId="617">
      <calculatedColumnFormula>TEstats1!AL2</calculatedColumnFormula>
    </tableColumn>
    <tableColumn id="2" name="Name" dataDxfId="616">
      <calculatedColumnFormula>TEstats1!D2</calculatedColumnFormula>
    </tableColumn>
    <tableColumn id="3" name="Salary" dataDxfId="615" dataCellStyle="Currency">
      <calculatedColumnFormula>IFERROR(INDEX(Salaries[DraftKings (Price)],MATCH(TEmatchups[[#This Row],[Name]],Salaries[Player],0)),"")</calculatedColumnFormula>
    </tableColumn>
    <tableColumn id="22" name="Price +/-" dataDxfId="614" dataCellStyle="Currency">
      <calculatedColumnFormula>IFERROR(INDEX(DK_Salary_Changes[WeekChange],MATCH(TEmatchups[[#This Row],[Name]],DK_Salary_Changes[Player],0)),"")</calculatedColumnFormula>
    </tableColumn>
    <tableColumn id="4" name="Team" dataDxfId="613">
      <calculatedColumnFormula>IFERROR(INDEX(Salaries[Team],MATCH(TEmatchups[[#This Row],[Name]],Salaries[Player],0)),"")</calculatedColumnFormula>
    </tableColumn>
    <tableColumn id="5" name="Opp" dataDxfId="612">
      <calculatedColumnFormula>IFERROR(INDEX(Salaries[Opp],MATCH(TEmatchups[[#This Row],[Team]],Salaries[Team],0)),"")</calculatedColumnFormula>
    </tableColumn>
    <tableColumn id="49" name="Rec" dataDxfId="611" dataCellStyle="Currency">
      <calculatedColumnFormula>IFERROR(INDEX(TightEndYTD[Rec],MATCH(TEmatchups[Name],TightEndYTD[Player],0)),"0")</calculatedColumnFormula>
    </tableColumn>
    <tableColumn id="50" name="Targets" dataDxfId="610" dataCellStyle="Currency">
      <calculatedColumnFormula>IFERROR(INDEX(targettracker54[TTL],MATCH(TEmatchups[Name],targettracker54[Name],0)),"0")</calculatedColumnFormula>
    </tableColumn>
    <tableColumn id="51" name="RecYds" dataDxfId="609" dataCellStyle="Currency">
      <calculatedColumnFormula>IFERROR(INDEX(TightEndYTD[Rec Yds],MATCH(TEmatchups[Name],TightEndYTD[Player],0)),"0")</calculatedColumnFormula>
    </tableColumn>
    <tableColumn id="52" name="RecTD" dataDxfId="608" dataCellStyle="Currency">
      <calculatedColumnFormula>IFERROR(INDEX(TightEndYTD[Rec TD],MATCH(TEmatchups[Name],TightEndYTD[Player],0)),"0")</calculatedColumnFormula>
    </tableColumn>
    <tableColumn id="19" name="O/U" dataDxfId="607">
      <calculatedColumnFormula>IFERROR(INDEX(Salaries[O/U],MATCH(TEmatchups[[#This Row],[Team]],Salaries[Team],0)),"")</calculatedColumnFormula>
    </tableColumn>
    <tableColumn id="18" name="Team Total" dataDxfId="606">
      <calculatedColumnFormula>IFERROR(INDEX(Salaries[Team O/U],MATCH(TEmatchups[[#This Row],[Team]],Salaries[Team],0)),"")</calculatedColumnFormula>
    </tableColumn>
    <tableColumn id="27" name="Spread" dataDxfId="605">
      <calculatedColumnFormula>IFERROR(INDEX(Salaries[Spread],MATCH(TEmatchups[[#This Row],[Team]],Salaries[Team],0)),"")</calculatedColumnFormula>
    </tableColumn>
    <tableColumn id="6" name="OppDVP" dataDxfId="604">
      <calculatedColumnFormula>IFERROR(INDEX(TEallowed[DVP],MATCH(TEmatchups[[#This Row],[Opp]],TEallowed[Team],0)),IFERROR(INDEX(TEallowed[DVP],MATCH(TEmatchups[[#This Row],[Opp]],TEallowed[Opp],0)),""))</calculatedColumnFormula>
    </tableColumn>
    <tableColumn id="29" name="YatC" dataDxfId="603" dataCellStyle="Currency">
      <calculatedColumnFormula>IFERROR(INDEX(YAtCData[YAtC],MATCH(TEmatchups[[#This Row],[Name]],YAtCData[Player],0)),"0")</calculatedColumnFormula>
    </tableColumn>
    <tableColumn id="30" name="YatC/Avg" dataDxfId="602" dataCellStyle="Currency">
      <calculatedColumnFormula>IFERROR(INDEX(YAtCData[YAtC/Rec],MATCH(TEmatchups[[#This Row],[Name]],YAtCData[Player],0)),"0")</calculatedColumnFormula>
    </tableColumn>
    <tableColumn id="31" name="YAC" dataDxfId="601" dataCellStyle="Currency">
      <calculatedColumnFormula>IFERROR(INDEX(YAtCData[YAC],MATCH(TEmatchups[[#This Row],[Name]],YAtCData[Player],0)),"0")</calculatedColumnFormula>
    </tableColumn>
    <tableColumn id="48" name="YAC/Rec" dataDxfId="600" dataCellStyle="Currency">
      <calculatedColumnFormula>IFERROR(INDEX(YACDATA[YAC per Reception],MATCH(TEmatchups[[#This Row],[Name]],YACDATA[Player],0)),"0")</calculatedColumnFormula>
    </tableColumn>
    <tableColumn id="8" name="Targets2" dataDxfId="599">
      <calculatedColumnFormula>AVERAGE(TEmatchups[[#This Row],[Tar1]:[Tar3]])</calculatedColumnFormula>
    </tableColumn>
    <tableColumn id="20" name="Rec4" dataDxfId="598">
      <calculatedColumnFormula>AVERAGE(TEmatchups[[#This Row],[Rec1]:[Rec3]])</calculatedColumnFormula>
    </tableColumn>
    <tableColumn id="10" name="Rec%" dataDxfId="597" dataCellStyle="Percent">
      <calculatedColumnFormula>SUM(#REF!/TEmatchups[[#This Row],[Targets2]])</calculatedColumnFormula>
    </tableColumn>
    <tableColumn id="23" name="Yards" dataDxfId="596">
      <calculatedColumnFormula>AVERAGE(TEmatchups[[#This Row],[Yards1]:[Yards3]])</calculatedColumnFormula>
    </tableColumn>
    <tableColumn id="12" name="Yards/Target" dataDxfId="595">
      <calculatedColumnFormula>SUM(#REF!/TEmatchups[[#This Row],[Targets2]])</calculatedColumnFormula>
    </tableColumn>
    <tableColumn id="26" name="TD" dataDxfId="594">
      <calculatedColumnFormula>AVERAGE(TEmatchups[[#This Row],[TD1]:[TD3]])</calculatedColumnFormula>
    </tableColumn>
    <tableColumn id="17" name="Proj Rank" dataDxfId="593">
      <calculatedColumnFormula>IFERROR(INDEX(#REF!,MATCH(TEmatchups[[#This Row],[Name]],#REF!,0)),"")</calculatedColumnFormula>
    </tableColumn>
    <tableColumn id="7" name="Projection" dataDxfId="592">
      <calculatedColumnFormula>SUM(TEmatchups[[#This Row],[Yards]]*0.1)+(TEmatchups[[#This Row],[TD]]*6)+(TEmatchups[[#This Row],[Rec4]]*1)+(TEmatchups[[#This Row],[100+]])</calculatedColumnFormula>
    </tableColumn>
    <tableColumn id="21" name="Value Rank" dataDxfId="591">
      <calculatedColumnFormula>_xlfn.RANK.EQ(TEmatchups[[#This Row],[$/FP]],TEmatchups[$/FP],1)</calculatedColumnFormula>
    </tableColumn>
    <tableColumn id="28" name="$/FP" dataDxfId="590" dataCellStyle="Currency">
      <calculatedColumnFormula>SUM(TEmatchups[[#This Row],[Salary]]/TEmatchups[[#This Row],[Projection]])</calculatedColumnFormula>
    </tableColumn>
    <tableColumn id="25" name="Position Rank" dataDxfId="589" dataCellStyle="Currency">
      <calculatedColumnFormula>_xlfn.RANK.EQ(TEmatchups[[#This Row],[Average2]],TEmatchups[Average2],1)</calculatedColumnFormula>
    </tableColumn>
    <tableColumn id="24" name="Average2" dataDxfId="588" dataCellStyle="Currency">
      <calculatedColumnFormula>AVERAGE(TEmatchups[[#This Row],[Proj Rank]],TEmatchups[[#This Row],[Value Rank]])</calculatedColumnFormula>
    </tableColumn>
    <tableColumn id="32" name="%of Cap" dataDxfId="587">
      <calculatedColumnFormula>TEmatchups[[#This Row],[Salary]]/50000</calculatedColumnFormula>
    </tableColumn>
    <tableColumn id="9" name="Column2" dataDxfId="586"/>
    <tableColumn id="33" name="Tar1" dataDxfId="585">
      <calculatedColumnFormula>IFERROR(INDEX(TEstats3[Targets],MATCH(TEmatchups[[#This Row],[Name]],TEstats3[Player],0)),"0")</calculatedColumnFormula>
    </tableColumn>
    <tableColumn id="34" name="Tar2" dataDxfId="584">
      <calculatedColumnFormula>IFERROR(INDEX(TEstats2[Targets],MATCH(TEmatchups[[#This Row],[Name]],TEstats2[Player],0)),"0")</calculatedColumnFormula>
    </tableColumn>
    <tableColumn id="35" name="Tar3" dataDxfId="583">
      <calculatedColumnFormula>IFERROR(INDEX(TEstats3[Targets],MATCH(TEmatchups[[#This Row],[Name]],TEstats3[Player],0)),"0")</calculatedColumnFormula>
    </tableColumn>
    <tableColumn id="36" name="Rec1" dataDxfId="582">
      <calculatedColumnFormula>IFERROR(INDEX(TEstats1[Rec],MATCH(TEmatchups[[#This Row],[Name]],TEstats1[Player],0)),"0")</calculatedColumnFormula>
    </tableColumn>
    <tableColumn id="37" name="Rec2" dataDxfId="581">
      <calculatedColumnFormula>IFERROR(INDEX(TEstats2[Rec],MATCH(TEmatchups[[#This Row],[Name]],TEstats2[Player],0)),"0")</calculatedColumnFormula>
    </tableColumn>
    <tableColumn id="38" name="Rec3" dataDxfId="580">
      <calculatedColumnFormula>IFERROR(INDEX(TEstats3[Rec],MATCH(TEmatchups[[#This Row],[Name]],TEstats3[Player],0)),"0")</calculatedColumnFormula>
    </tableColumn>
    <tableColumn id="39" name="Reca" dataDxfId="579">
      <calculatedColumnFormula>IFERROR(INDEX(TEallowed[Rec],MATCH(TEmatchups[[#This Row],[Opp]],TEallowed[Team],0)),"0")</calculatedColumnFormula>
    </tableColumn>
    <tableColumn id="40" name="Yards1" dataDxfId="578">
      <calculatedColumnFormula>IFERROR(INDEX(TEstats1[Rec Yds],MATCH(TEmatchups[[#This Row],[Name]],TEstats1[Player],0)),"0")</calculatedColumnFormula>
    </tableColumn>
    <tableColumn id="41" name="Yards2" dataDxfId="577">
      <calculatedColumnFormula>IFERROR(INDEX(TEstats2[RecYards],MATCH(TEmatchups[[#This Row],[Name]],TEstats2[Player],0)),"0")</calculatedColumnFormula>
    </tableColumn>
    <tableColumn id="42" name="Yards3" dataDxfId="576">
      <calculatedColumnFormula>IFERROR(INDEX(TEstats3[RecYards],MATCH(TEmatchups[[#This Row],[Name]],TEstats3[Player],0)),"0")</calculatedColumnFormula>
    </tableColumn>
    <tableColumn id="43" name="Yardsa" dataDxfId="575">
      <calculatedColumnFormula>IFERROR(INDEX(TEallowed[Yard],MATCH(TEmatchups[[#This Row],[Opp]],TEallowed[Team],0)),"0")</calculatedColumnFormula>
    </tableColumn>
    <tableColumn id="44" name="TD1" dataDxfId="574">
      <calculatedColumnFormula>IFERROR(INDEX(TEstats1[Rec TD],MATCH(TEmatchups[[#This Row],[Name]],TEstats1[Player],0)),"0")</calculatedColumnFormula>
    </tableColumn>
    <tableColumn id="45" name="TD2" dataDxfId="573">
      <calculatedColumnFormula>IFERROR(INDEX(TEstats2[RecTD],MATCH(TEmatchups[[#This Row],[Name]],TEstats2[Player],0)),"0")</calculatedColumnFormula>
    </tableColumn>
    <tableColumn id="46" name="TD3" dataDxfId="572">
      <calculatedColumnFormula>IFERROR(INDEX(TEstats3[RecTD],MATCH(TEmatchups[[#This Row],[Name]],TEstats3[Player],0)),"0")</calculatedColumnFormula>
    </tableColumn>
    <tableColumn id="47" name="Tda" dataDxfId="571">
      <calculatedColumnFormula>IFERROR(INDEX(TEallowed[TD],MATCH(TEmatchups[[#This Row],[Opp]],TEallowed[Team],0)),"0")</calculatedColumnFormula>
    </tableColumn>
    <tableColumn id="16" name="100+" dataDxfId="570">
      <calculatedColumnFormula>IF(TEmatchups[[#This Row],[Yards]]&gt;=100,3,0)</calculatedColumnFormula>
    </tableColumn>
  </tableColumns>
  <tableStyleInfo name="TableStyleMedium2" showFirstColumn="0" showLastColumn="0" showRowStripes="1" showColumnStripes="0"/>
</table>
</file>

<file path=xl/tables/table39.xml><?xml version="1.0" encoding="utf-8"?>
<table xmlns="http://schemas.openxmlformats.org/spreadsheetml/2006/main" id="16" name="TEstats1" displayName="TEstats1" ref="A1:BL71" totalsRowShown="0">
  <autoFilter ref="A1:BL71"/>
  <sortState ref="A2:J552">
    <sortCondition ref="A1:A552"/>
  </sortState>
  <tableColumns count="64">
    <tableColumn id="1" name="Season"/>
    <tableColumn id="2" name="Week" dataDxfId="569"/>
    <tableColumn id="3" name="PID" dataDxfId="568"/>
    <tableColumn id="4" name="Player"/>
    <tableColumn id="9" name="Pos"/>
    <tableColumn id="8" name="Team"/>
    <tableColumn id="7" name="Opp"/>
    <tableColumn id="5" name="aFPA"/>
    <tableColumn id="6" name="FFPts"/>
    <tableColumn id="10" name="FFPtsPPR" dataDxfId="567">
      <calculatedColumnFormula>IF(TEstats1[[#This Row],[FFPts]]=TEstats1[[#This Row],[Pos]],TEstats1[[#This Row],[Player]],TEstats1[[#This Row],[Pos]])</calculatedColumnFormula>
    </tableColumn>
    <tableColumn id="11" name="Pass Comp"/>
    <tableColumn id="12" name="Pass Att"/>
    <tableColumn id="13" name="Pass Yds"/>
    <tableColumn id="14" name="Pass TD"/>
    <tableColumn id="15" name="INT"/>
    <tableColumn id="16" name="Rush Att"/>
    <tableColumn id="17" name="Rush Yds"/>
    <tableColumn id="18" name="Rush TD"/>
    <tableColumn id="19" name="Rec"/>
    <tableColumn id="20" name="Rec Yds"/>
    <tableColumn id="21" name="Rec TD"/>
    <tableColumn id="22" name="Fum"/>
    <tableColumn id="23" name="XP"/>
    <tableColumn id="24" name="FG"/>
    <tableColumn id="25" name="Grade"/>
    <tableColumn id="26" name="FantasyAces (Projected points)"/>
    <tableColumn id="27" name="FantasyAces (Price)"/>
    <tableColumn id="28" name="FantasyAces ($/point)"/>
    <tableColumn id="29" name="FantasyAces (Value)"/>
    <tableColumn id="30" name="DraftDay (Projected points)"/>
    <tableColumn id="31" name="DraftDay (Price)"/>
    <tableColumn id="32" name="DraftDay ($/point)"/>
    <tableColumn id="33" name="DraftDay (Value)"/>
    <tableColumn id="34" name="DraftKings (Projected points)"/>
    <tableColumn id="35" name="DraftKings (Price)"/>
    <tableColumn id="36" name="DraftKings ($/point)"/>
    <tableColumn id="37" name="DraftKings (Value)"/>
    <tableColumn id="38" name="FanDuel (Projected points)"/>
    <tableColumn id="39" name="FanDuel (Price)"/>
    <tableColumn id="40" name="FanDuel ($/point)"/>
    <tableColumn id="41" name="FanDuel (Value)"/>
    <tableColumn id="42" name="FantasyFeud (Projected points)"/>
    <tableColumn id="43" name="FantasyFeud (Price)"/>
    <tableColumn id="44" name="FantasyFeud ($/point)"/>
    <tableColumn id="45" name="FantasyFeud (Value)"/>
    <tableColumn id="46" name="StarsDraft (Projected points)"/>
    <tableColumn id="47" name="StarsDraft (Price)"/>
    <tableColumn id="48" name="StarsDraft ($/point)"/>
    <tableColumn id="49" name="StarsDraft (Value)"/>
    <tableColumn id="50" name="Yahoo! (Projected points)"/>
    <tableColumn id="51" name="Yahoo! (Price)"/>
    <tableColumn id="52" name="Yahoo! ($/point)"/>
    <tableColumn id="53" name="Yahoo! (Value)"/>
    <tableColumn id="54" name="OwnThePlay (Projected points)"/>
    <tableColumn id="55" name="OwnThePlay (Price)"/>
    <tableColumn id="56" name="OwnThePlay ($/point)"/>
    <tableColumn id="57" name="OwnThePlay (Value)"/>
    <tableColumn id="58" name="FantasyDraft (Projected points)"/>
    <tableColumn id="59" name="FantasyDraft (Price)"/>
    <tableColumn id="60" name="FantasyDraft ($/point)"/>
    <tableColumn id="61" name="FantasyDraft (Value)"/>
    <tableColumn id="62" name="O/U"/>
    <tableColumn id="63" name="Spread"/>
    <tableColumn id="64" name="Team O/U"/>
  </tableColumns>
  <tableStyleInfo name="TableStyleMedium2" showFirstColumn="0" showLastColumn="0" showRowStripes="1" showColumnStripes="0"/>
</table>
</file>

<file path=xl/tables/table40.xml><?xml version="1.0" encoding="utf-8"?>
<table xmlns="http://schemas.openxmlformats.org/spreadsheetml/2006/main" id="22" name="TEstats2" displayName="TEstats2" ref="A1:M48" totalsRowShown="0" headerRowDxfId="566">
  <autoFilter ref="A1:M48"/>
  <tableColumns count="13">
    <tableColumn id="1" name="Player"/>
    <tableColumn id="2" name="Tm"/>
    <tableColumn id="3" name="Pos"/>
    <tableColumn id="4" name="RushAtt" dataDxfId="565"/>
    <tableColumn id="5" name="RushYards" dataDxfId="564"/>
    <tableColumn id="6" name="RushTD" dataDxfId="563"/>
    <tableColumn id="7" name="Targets" dataDxfId="562"/>
    <tableColumn id="8" name="Rec" dataDxfId="561"/>
    <tableColumn id="9" name="RecYards" dataDxfId="560"/>
    <tableColumn id="10" name="RecTD" dataDxfId="559"/>
    <tableColumn id="11" name="Column1" dataDxfId="558"/>
    <tableColumn id="12" name="Column2" dataDxfId="557"/>
    <tableColumn id="13" name="Column3" dataDxfId="556"/>
  </tableColumns>
  <tableStyleInfo name="TableStyleMedium2" showFirstColumn="0" showLastColumn="0" showRowStripes="1" showColumnStripes="0"/>
</table>
</file>

<file path=xl/tables/table41.xml><?xml version="1.0" encoding="utf-8"?>
<table xmlns="http://schemas.openxmlformats.org/spreadsheetml/2006/main" id="40" name="TEstats3" displayName="TEstats3" ref="A1:Q89" totalsRowShown="0" headerRowDxfId="555" dataDxfId="554" tableBorderDxfId="553">
  <autoFilter ref="A1:Q89"/>
  <tableColumns count="17">
    <tableColumn id="1" name="Rank" dataDxfId="552"/>
    <tableColumn id="2" name="Player" dataDxfId="551"/>
    <tableColumn id="3" name="Team" dataDxfId="550"/>
    <tableColumn id="4" name="Opp" dataDxfId="549"/>
    <tableColumn id="5" name="Gms" dataDxfId="548"/>
    <tableColumn id="6" name="Targets" dataDxfId="547"/>
    <tableColumn id="7" name="Rec" dataDxfId="546"/>
    <tableColumn id="8" name="RecYards" dataDxfId="545"/>
    <tableColumn id="9" name="RecTD" dataDxfId="544"/>
    <tableColumn id="10" name="Ret.Yds" dataDxfId="543"/>
    <tableColumn id="11" name="Ret.TDs" dataDxfId="542"/>
    <tableColumn id="12" name="Fum" dataDxfId="541"/>
    <tableColumn id="13" name="FL" dataDxfId="540"/>
    <tableColumn id="14" name="2pc" dataDxfId="539"/>
    <tableColumn id="15" name="Pts" dataDxfId="538"/>
    <tableColumn id="16" name="RV" dataDxfId="537"/>
    <tableColumn id="17" name="$" dataDxfId="536"/>
  </tableColumns>
  <tableStyleInfo name="TableStyleMedium2" showFirstColumn="0" showLastColumn="0" showRowStripes="1" showColumnStripes="0"/>
</table>
</file>

<file path=xl/tables/table42.xml><?xml version="1.0" encoding="utf-8"?>
<table xmlns="http://schemas.openxmlformats.org/spreadsheetml/2006/main" id="18" name="Table_3__4" displayName="Table_3__4" ref="A1:G33" tableType="queryTable" totalsRowShown="0" headerRowDxfId="535" dataDxfId="534">
  <autoFilter ref="A1:G33"/>
  <tableColumns count="7">
    <tableColumn id="14" uniqueName="14" name="Team" queryTableFieldId="1" dataDxfId="533"/>
    <tableColumn id="15" uniqueName="15" name="G" queryTableFieldId="2" dataDxfId="532"/>
    <tableColumn id="16" uniqueName="16" name="Rec" queryTableFieldId="3" dataDxfId="531"/>
    <tableColumn id="17" uniqueName="17" name="Yard" queryTableFieldId="4" dataDxfId="530"/>
    <tableColumn id="18" uniqueName="18" name="TD" queryTableFieldId="5" dataDxfId="529"/>
    <tableColumn id="19" uniqueName="19" name="FPts" queryTableFieldId="6" dataDxfId="528"/>
    <tableColumn id="20" uniqueName="20" name="FPts/G" queryTableFieldId="7" dataDxfId="527"/>
  </tableColumns>
  <tableStyleInfo name="TableStyleQueryResult" showFirstColumn="0" showLastColumn="0" showRowStripes="1" showColumnStripes="0"/>
</table>
</file>

<file path=xl/tables/table43.xml><?xml version="1.0" encoding="utf-8"?>
<table xmlns="http://schemas.openxmlformats.org/spreadsheetml/2006/main" id="26" name="TEallowed" displayName="TEallowed" ref="I1:P33" totalsRowShown="0" headerRowDxfId="526" tableBorderDxfId="525">
  <autoFilter ref="I1:P33"/>
  <sortState ref="I2:P33">
    <sortCondition ref="N1:N33"/>
  </sortState>
  <tableColumns count="8">
    <tableColumn id="1" name="Teams" dataDxfId="524"/>
    <tableColumn id="2" name="G" dataDxfId="523"/>
    <tableColumn id="3" name="Rec">
      <calculatedColumnFormula>SUM(Table_3__4[[#This Row],[Rec]]/$J$2)</calculatedColumnFormula>
    </tableColumn>
    <tableColumn id="4" name="Yard">
      <calculatedColumnFormula>SUM(Table_3__4[[#This Row],[Yard]]/$J$2)</calculatedColumnFormula>
    </tableColumn>
    <tableColumn id="5" name="TD">
      <calculatedColumnFormula>SUM(Table_3__4[[#This Row],[TD]]/$J$2)</calculatedColumnFormula>
    </tableColumn>
    <tableColumn id="6" name="Team"/>
    <tableColumn id="7" name="Opp"/>
    <tableColumn id="8" name="DVP"/>
  </tableColumns>
  <tableStyleInfo name="TableStyleMedium2" showFirstColumn="0" showLastColumn="0" showRowStripes="1" showColumnStripes="0"/>
</table>
</file>

<file path=xl/tables/table44.xml><?xml version="1.0" encoding="utf-8"?>
<table xmlns="http://schemas.openxmlformats.org/spreadsheetml/2006/main" id="46" name="defenses" displayName="defenses" ref="A9:W39" totalsRowShown="0" headerRowDxfId="521" dataDxfId="520">
  <autoFilter ref="A9:W39"/>
  <sortState ref="A10:W39">
    <sortCondition descending="1" ref="N9:N39"/>
  </sortState>
  <tableColumns count="23">
    <tableColumn id="1" name="Column1" dataDxfId="519">
      <calculatedColumnFormula>DEFstats1!AL2</calculatedColumnFormula>
    </tableColumn>
    <tableColumn id="2" name="Name" dataDxfId="518">
      <calculatedColumnFormula>DEFstats1!D2</calculatedColumnFormula>
    </tableColumn>
    <tableColumn id="3" name="Salary" dataDxfId="517" dataCellStyle="Currency">
      <calculatedColumnFormula>IFERROR(INDEX(Salaries[DraftKings (Price)],MATCH(defenses[[#This Row],[Name]],Salaries[Player],0)),"")</calculatedColumnFormula>
    </tableColumn>
    <tableColumn id="13" name="Price +/-" dataDxfId="516" dataCellStyle="Currency">
      <calculatedColumnFormula>IFERROR(INDEX(DK_Salary_Changes[WeekChange],MATCH(defenses[[#This Row],[Name]],Salaries[Player],0)),"")</calculatedColumnFormula>
    </tableColumn>
    <tableColumn id="4" name="Team" dataDxfId="515">
      <calculatedColumnFormula>IFERROR(INDEX(Salaries[Team],MATCH(defenses[[#This Row],[Name]],Salaries[Player],0)),"")</calculatedColumnFormula>
    </tableColumn>
    <tableColumn id="5" name="Opp" dataDxfId="514">
      <calculatedColumnFormula>IFERROR(INDEX(Salaries[Opp],MATCH(defenses[[#This Row],[Name]],Salaries[Player],0)),"")</calculatedColumnFormula>
    </tableColumn>
    <tableColumn id="26" name="O/U" dataDxfId="513">
      <calculatedColumnFormula>IFERROR(INDEX(Salaries[O/U],MATCH(defenses[[#This Row],[Team]],Salaries[Team],0)),"")</calculatedColumnFormula>
    </tableColumn>
    <tableColumn id="25" name="Team Total" dataDxfId="512">
      <calculatedColumnFormula>IFERROR(INDEX(Salaries[Team O/U],MATCH(defenses[[#This Row],[Team]],Salaries[Team],0)),"")</calculatedColumnFormula>
    </tableColumn>
    <tableColumn id="16" name="Spread" dataDxfId="511">
      <calculatedColumnFormula>IFERROR(INDEX(Salaries[Spread],MATCH(defenses[[#This Row],[Team]],Salaries[Team],0)),"")</calculatedColumnFormula>
    </tableColumn>
    <tableColumn id="6" name="Opp Offense" dataDxfId="510">
      <calculatedColumnFormula>IFERROR(INDEX(TeamOffense2015[Rank],MATCH(defenses[[#This Row],[Opp]],TeamOffense2015[Team],0)),IFERROR(INDEX(TeamOffense2015[Rank],MATCH(defenses[[#This Row],[Opp]],TeamOffense2015[Column1],0)),""))</calculatedColumnFormula>
    </tableColumn>
    <tableColumn id="7" name="Opp Pass Yards" dataDxfId="509">
      <calculatedColumnFormula>IFERROR(INDEX(TeamPassing2015[Yds/G],MATCH(defenses[[#This Row],[Opp]],TeamPassing2015[Team],0)),IFERROR(INDEX(TeamPassing2015[Yds/G],MATCH(defenses[[#This Row],[Opp]],TeamPassing2015[Column1],0)),""))</calculatedColumnFormula>
    </tableColumn>
    <tableColumn id="14" name="Opp Rush Yards" dataDxfId="508">
      <calculatedColumnFormula>IFERROR(INDEX(TeamRushing2015[Yds/G],MATCH(defenses[[#This Row],[Opp]],TeamRushing2015[Team],0)),IFERROR(INDEX(TeamRushing2015[Yds/G],MATCH(defenses[[#This Row],[Opp]],TeamRushing2015[Column1],0)),""))</calculatedColumnFormula>
    </tableColumn>
    <tableColumn id="30" name="Proj Rank" dataDxfId="507">
      <calculatedColumnFormula>_xlfn.RANK.EQ(defenses[[#This Row],[Projection]],defenses[Projection],0)</calculatedColumnFormula>
    </tableColumn>
    <tableColumn id="29" name="Projection" dataDxfId="506">
      <calculatedColumnFormula>AVERAGE(defenses[[#This Row],[DEFstats1]:[DEFstats3]])</calculatedColumnFormula>
    </tableColumn>
    <tableColumn id="10" name="Value Rank" dataDxfId="505">
      <calculatedColumnFormula>_xlfn.RANK.EQ(defenses[[#This Row],[$/FP]],defenses[$/FP],1)</calculatedColumnFormula>
    </tableColumn>
    <tableColumn id="8" name="$/FP" dataDxfId="504" dataCellStyle="Currency">
      <calculatedColumnFormula>SUM(defenses[[#This Row],[Salary]]/defenses[[#This Row],[Projection]])</calculatedColumnFormula>
    </tableColumn>
    <tableColumn id="12" name="Position Rank" dataDxfId="503" dataCellStyle="Currency">
      <calculatedColumnFormula>_xlfn.RANK.EQ(defenses[[#This Row],[Average]],defenses[Average],1)</calculatedColumnFormula>
    </tableColumn>
    <tableColumn id="11" name="Average" dataDxfId="502" dataCellStyle="Currency">
      <calculatedColumnFormula>AVERAGE(defenses[[#This Row],[Proj Rank]],defenses[[#This Row],[Value Rank]])</calculatedColumnFormula>
    </tableColumn>
    <tableColumn id="15" name="%of Cap" dataDxfId="501" dataCellStyle="Percent">
      <calculatedColumnFormula>defenses[[#This Row],[Salary]]/50000</calculatedColumnFormula>
    </tableColumn>
    <tableColumn id="17" name="Column3" dataDxfId="500" dataCellStyle="Percent"/>
    <tableColumn id="9" name="DEFstats1" dataDxfId="499">
      <calculatedColumnFormula>IFERROR(INDEX(DEFstats1[DraftKings (Projected points)],MATCH(defenses[[#This Row],[Name]],DEFstats1[Player],0)),"")</calculatedColumnFormula>
    </tableColumn>
    <tableColumn id="18" name="DEFstats2" dataDxfId="498">
      <calculatedColumnFormula>IFERROR(INDEX(DEFstats2[FP],MATCH(defenses[[#This Row],[Name]],DEFstats2[Team],0)),"")</calculatedColumnFormula>
    </tableColumn>
    <tableColumn id="19" name="DEFstats3" dataDxfId="497">
      <calculatedColumnFormula>IFERROR(INDEX(DEFstats3[Pts],MATCH(defenses[[#This Row],[Name]],DEFstats3[Name],0)),"")</calculatedColumnFormula>
    </tableColumn>
  </tableColumns>
  <tableStyleInfo name="TableStyleMedium2" showFirstColumn="0" showLastColumn="0" showRowStripes="1" showColumnStripes="0"/>
</table>
</file>

<file path=xl/tables/table45.xml><?xml version="1.0" encoding="utf-8"?>
<table xmlns="http://schemas.openxmlformats.org/spreadsheetml/2006/main" id="43" name="Merged_Stack_Data" displayName="Merged_Stack_Data" ref="A1:H329" tableType="queryTable" totalsRowShown="0">
  <autoFilter ref="A1:H329"/>
  <tableColumns count="8">
    <tableColumn id="9" uniqueName="9" name="Pos" queryTableFieldId="1" dataDxfId="496"/>
    <tableColumn id="10" uniqueName="10" name="Team" queryTableFieldId="2" dataDxfId="495"/>
    <tableColumn id="11" uniqueName="11" name="Name" queryTableFieldId="3" dataDxfId="494"/>
    <tableColumn id="12" uniqueName="12" name="Salary" queryTableFieldId="4" dataDxfId="493"/>
    <tableColumn id="13" uniqueName="13" name="Projection" queryTableFieldId="5" dataDxfId="492"/>
    <tableColumn id="14" uniqueName="14" name="$/FP" queryTableFieldId="6" dataDxfId="491"/>
    <tableColumn id="15" uniqueName="15" name="Proj. Depth" queryTableFieldId="8"/>
    <tableColumn id="16" uniqueName="16" name="Value Depth" queryTableFieldId="7"/>
  </tableColumns>
  <tableStyleInfo name="TableStyleMedium7" showFirstColumn="0" showLastColumn="0" showRowStripes="1" showColumnStripes="0"/>
</table>
</file>

<file path=xl/tables/table46.xml><?xml version="1.0" encoding="utf-8"?>
<table xmlns="http://schemas.openxmlformats.org/spreadsheetml/2006/main" id="52" name="DEFstats1" displayName="DEFstats1" ref="A1:BL33" totalsRowShown="0">
  <autoFilter ref="A1:BL33"/>
  <sortState ref="A2:J552">
    <sortCondition ref="A1:A552"/>
  </sortState>
  <tableColumns count="64">
    <tableColumn id="1" name="Season"/>
    <tableColumn id="2" name="Week" dataDxfId="490"/>
    <tableColumn id="3" name="PID" dataDxfId="489"/>
    <tableColumn id="4" name="Player"/>
    <tableColumn id="9" name="Pos"/>
    <tableColumn id="8" name="Team"/>
    <tableColumn id="7" name="Opp"/>
    <tableColumn id="5" name="aFPA"/>
    <tableColumn id="6" name="FFPts"/>
    <tableColumn id="10" name="FFPtsPPR" dataDxfId="488"/>
    <tableColumn id="11" name="Pass Comp"/>
    <tableColumn id="12" name="Pass Att"/>
    <tableColumn id="13" name="Pass Yds"/>
    <tableColumn id="14" name="Pass TD"/>
    <tableColumn id="15" name="INT"/>
    <tableColumn id="16" name="Rush Att"/>
    <tableColumn id="17" name="Rush Yds"/>
    <tableColumn id="18" name="Rush TD"/>
    <tableColumn id="19" name="Rec"/>
    <tableColumn id="20" name="Rec Yds"/>
    <tableColumn id="21" name="Rec TD"/>
    <tableColumn id="22" name="Fum"/>
    <tableColumn id="23" name="XP"/>
    <tableColumn id="24" name="FG"/>
    <tableColumn id="25" name="Grade"/>
    <tableColumn id="26" name="FantasyAces (Projected points)"/>
    <tableColumn id="27" name="FantasyAces (Price)"/>
    <tableColumn id="28" name="FantasyAces ($/point)"/>
    <tableColumn id="29" name="FantasyAces (Value)"/>
    <tableColumn id="30" name="DraftDay (Projected points)"/>
    <tableColumn id="31" name="DraftDay (Price)"/>
    <tableColumn id="32" name="DraftDay ($/point)"/>
    <tableColumn id="33" name="DraftDay (Value)"/>
    <tableColumn id="34" name="DraftKings (Projected points)"/>
    <tableColumn id="35" name="DraftKings (Price)"/>
    <tableColumn id="36" name="DraftKings ($/point)"/>
    <tableColumn id="37" name="DraftKings (Value)"/>
    <tableColumn id="38" name="FanDuel (Projected points)"/>
    <tableColumn id="39" name="FanDuel (Price)"/>
    <tableColumn id="40" name="FanDuel ($/point)"/>
    <tableColumn id="41" name="FanDuel (Value)"/>
    <tableColumn id="42" name="FantasyFeud (Projected points)"/>
    <tableColumn id="43" name="FantasyFeud (Price)"/>
    <tableColumn id="44" name="FantasyFeud ($/point)"/>
    <tableColumn id="45" name="FantasyFeud (Value)"/>
    <tableColumn id="46" name="StarsDraft (Projected points)"/>
    <tableColumn id="47" name="StarsDraft (Price)"/>
    <tableColumn id="48" name="StarsDraft ($/point)"/>
    <tableColumn id="49" name="StarsDraft (Value)"/>
    <tableColumn id="50" name="Yahoo! (Projected points)"/>
    <tableColumn id="51" name="Yahoo! (Price)"/>
    <tableColumn id="52" name="Yahoo! ($/point)"/>
    <tableColumn id="53" name="Yahoo! (Value)"/>
    <tableColumn id="54" name="OwnThePlay (Projected points)"/>
    <tableColumn id="55" name="OwnThePlay (Price)"/>
    <tableColumn id="56" name="OwnThePlay ($/point)"/>
    <tableColumn id="57" name="OwnThePlay (Value)"/>
    <tableColumn id="58" name="FantasyDraft (Projected points)"/>
    <tableColumn id="59" name="FantasyDraft (Price)"/>
    <tableColumn id="60" name="FantasyDraft ($/point)"/>
    <tableColumn id="61" name="FantasyDraft (Value)"/>
    <tableColumn id="62" name="O/U"/>
    <tableColumn id="63" name="Spread"/>
    <tableColumn id="64" name="Team O/U"/>
  </tableColumns>
  <tableStyleInfo name="TableStyleMedium2" showFirstColumn="0" showLastColumn="0" showRowStripes="1" showColumnStripes="0"/>
</table>
</file>

<file path=xl/tables/table47.xml><?xml version="1.0" encoding="utf-8"?>
<table xmlns="http://schemas.openxmlformats.org/spreadsheetml/2006/main" id="70" name="DEFstats2" displayName="DEFstats2" ref="A1:L33" totalsRowShown="0" headerRowDxfId="487" dataDxfId="486">
  <autoFilter ref="A1:L33"/>
  <tableColumns count="12">
    <tableColumn id="1" name="Team"/>
    <tableColumn id="2" name="Tm" dataDxfId="485"/>
    <tableColumn id="3" name="Pos" dataDxfId="484"/>
    <tableColumn id="4" name="Sk" dataDxfId="483"/>
    <tableColumn id="5" name="STY" dataDxfId="482"/>
    <tableColumn id="6" name="FR" dataDxfId="481"/>
    <tableColumn id="7" name="BLK" dataDxfId="480"/>
    <tableColumn id="8" name="INT" dataDxfId="479"/>
    <tableColumn id="9" name="DTD" dataDxfId="478"/>
    <tableColumn id="10" name="FP" dataDxfId="477"/>
    <tableColumn id="11" name="$FD" dataDxfId="476"/>
    <tableColumn id="12" name="Pts/$1000" dataDxfId="475"/>
  </tableColumns>
  <tableStyleInfo name="TableStyleMedium2" showFirstColumn="0" showLastColumn="0" showRowStripes="1" showColumnStripes="0"/>
</table>
</file>

<file path=xl/tables/table48.xml><?xml version="1.0" encoding="utf-8"?>
<table xmlns="http://schemas.openxmlformats.org/spreadsheetml/2006/main" id="45" name="DEFstats3" displayName="DEFstats3" ref="A1:S33" totalsRowShown="0" headerRowDxfId="474" dataDxfId="473" tableBorderDxfId="472">
  <autoFilter ref="A1:S33"/>
  <tableColumns count="19">
    <tableColumn id="1" name="Rank" dataDxfId="471"/>
    <tableColumn id="21" name="Name" dataDxfId="470"/>
    <tableColumn id="3" name="Opp" dataDxfId="469"/>
    <tableColumn id="4" name="Sacks" dataDxfId="468"/>
    <tableColumn id="5" name="Safeties" dataDxfId="467"/>
    <tableColumn id="6" name="INT" dataDxfId="466"/>
    <tableColumn id="7" name="FF" dataDxfId="465"/>
    <tableColumn id="8" name="FR" dataDxfId="464"/>
    <tableColumn id="9" name="Def TD" dataDxfId="463"/>
    <tableColumn id="10" name="0" dataDxfId="462"/>
    <tableColumn id="11" name="0-6" dataDxfId="461"/>
    <tableColumn id="12" name="7-13" dataDxfId="460"/>
    <tableColumn id="13" name="14-20" dataDxfId="459"/>
    <tableColumn id="14" name="21-27" dataDxfId="458"/>
    <tableColumn id="15" name="28-34" dataDxfId="457"/>
    <tableColumn id="16" name="35+" dataDxfId="456"/>
    <tableColumn id="17" name="Pts" dataDxfId="455"/>
    <tableColumn id="18" name="RV" dataDxfId="454"/>
    <tableColumn id="19" name="$" dataDxfId="453"/>
  </tableColumns>
  <tableStyleInfo name="TableStyleMedium2" showFirstColumn="0" showLastColumn="0" showRowStripes="1" showColumnStripes="0"/>
</table>
</file>

<file path=xl/tables/table49.xml><?xml version="1.0" encoding="utf-8"?>
<table xmlns="http://schemas.openxmlformats.org/spreadsheetml/2006/main" id="44" name="Table76817" displayName="Table76817" ref="B10:U21" totalsRowCount="1" dataDxfId="452" tableBorderDxfId="451" dataCellStyle="Percent">
  <sortState ref="B11:U94">
    <sortCondition ref="B10:B94"/>
  </sortState>
  <tableColumns count="20">
    <tableColumn id="1" name="Name" totalsRowLabel="Total" dataDxfId="450" totalsRowDxfId="19"/>
    <tableColumn id="2" name="Salary" totalsRowFunction="sum" dataDxfId="449" totalsRowDxfId="18" dataCellStyle="Currency">
      <calculatedColumnFormula>IFERROR(INDEX(Salaries[DraftKings (Price)],MATCH(Table76817[Name],Salaries[Player],0)),"")</calculatedColumnFormula>
    </tableColumn>
    <tableColumn id="20" name="%of Cap" dataDxfId="448" totalsRowDxfId="17" dataCellStyle="Percent">
      <calculatedColumnFormula>Table76817[[#This Row],[Salary]]/$A$22</calculatedColumnFormula>
    </tableColumn>
    <tableColumn id="3" name="Team" dataDxfId="447" totalsRowDxfId="16">
      <calculatedColumnFormula>IFERROR(INDEX(RBmatchups[Team],MATCH(Table76817[Name],RBmatchups[Name],0)),"")</calculatedColumnFormula>
    </tableColumn>
    <tableColumn id="4" name="Opp" dataDxfId="446" totalsRowDxfId="15">
      <calculatedColumnFormula>IFERROR(INDEX(RBmatchups[Opp],MATCH(Table76817[Name],RBmatchups[Name],0)),"")</calculatedColumnFormula>
    </tableColumn>
    <tableColumn id="5" name="OppDVP" totalsRowLabel="^OffenseVsDef^" dataDxfId="445" totalsRowDxfId="14">
      <calculatedColumnFormula>IFERROR(INDEX(RBmatchups[OppDVP],MATCH(Table76817[Name],RBmatchups[Name],0)),"")</calculatedColumnFormula>
    </tableColumn>
    <tableColumn id="6" name="Carries" dataDxfId="444" totalsRowDxfId="13" dataCellStyle="Percent">
      <calculatedColumnFormula>IFERROR(INDEX(RBmatchups[Carries2],MATCH(Table76817[Name],RBmatchups[Name],0)),"")</calculatedColumnFormula>
    </tableColumn>
    <tableColumn id="7" name="Yards" dataDxfId="443" totalsRowDxfId="12" dataCellStyle="Percent">
      <calculatedColumnFormula>IFERROR(INDEX(RBmatchups[Yards],MATCH(Table76817[Name],RBmatchups[Name],0)),"")</calculatedColumnFormula>
    </tableColumn>
    <tableColumn id="8" name="Avg" dataDxfId="442" totalsRowDxfId="11" dataCellStyle="Comma">
      <calculatedColumnFormula>IFERROR(INDEX(RBmatchups[Avg],MATCH(Table76817[Name],RBmatchups[Name],0)),"")</calculatedColumnFormula>
    </tableColumn>
    <tableColumn id="9" name="TD" dataDxfId="441" totalsRowDxfId="10" dataCellStyle="Percent">
      <calculatedColumnFormula>IFERROR(INDEX(RBmatchups[TD],MATCH(Table76817[Name],RBmatchups[Name],0)),"")</calculatedColumnFormula>
    </tableColumn>
    <tableColumn id="19" name="Targets" dataDxfId="440" totalsRowDxfId="9" dataCellStyle="Percent">
      <calculatedColumnFormula>IFERROR(INDEX(RBmatchups[Targets3],MATCH(Table76817[Name],RBmatchups[Name],0)),"")</calculatedColumnFormula>
    </tableColumn>
    <tableColumn id="10" name="Receptions" dataDxfId="439" totalsRowDxfId="8">
      <calculatedColumnFormula>IFERROR(INDEX(RBmatchups[Rec4],MATCH(Table76817[Name],RBmatchups[Name],0)),"")</calculatedColumnFormula>
    </tableColumn>
    <tableColumn id="11" name="RecYards" dataDxfId="438" totalsRowDxfId="7">
      <calculatedColumnFormula>IFERROR(INDEX(RBmatchups[RecYards],MATCH(Table76817[Name],RBmatchups[Name],0)),"")</calculatedColumnFormula>
    </tableColumn>
    <tableColumn id="12" name="RecTD" dataDxfId="437" totalsRowDxfId="6">
      <calculatedColumnFormula>IFERROR(INDEX(RBmatchups[RecTD5],MATCH(Table76817[Name],RBmatchups[Name],0)),"")</calculatedColumnFormula>
    </tableColumn>
    <tableColumn id="13" name="Total Touches" dataDxfId="436" totalsRowDxfId="5">
      <calculatedColumnFormula>IFERROR(INDEX(RBmatchups[Total Touches],MATCH(Table76817[Name],RBmatchups[Name],0)),"")</calculatedColumnFormula>
    </tableColumn>
    <tableColumn id="14" name="Total Yards" dataDxfId="435" totalsRowDxfId="4" dataCellStyle="Percent">
      <calculatedColumnFormula>IFERROR(INDEX(RBmatchups[Total Yards],MATCH(Table76817[Name],RBmatchups[Name],0)),"")</calculatedColumnFormula>
    </tableColumn>
    <tableColumn id="15" name="Total TD" dataDxfId="434" totalsRowDxfId="3" dataCellStyle="Percent">
      <calculatedColumnFormula>IFERROR(INDEX(RBmatchups[Total TD],MATCH(Table76817[Name],RBmatchups[Name],0)),"")</calculatedColumnFormula>
    </tableColumn>
    <tableColumn id="16" name="Pos Rank" dataDxfId="433" totalsRowDxfId="2">
      <calculatedColumnFormula>IFERROR(INDEX(RBmatchups[Proj Rank],MATCH(Table76817[Name],RBmatchups[Name],0)),"")</calculatedColumnFormula>
    </tableColumn>
    <tableColumn id="17" name="Projection" dataDxfId="432" totalsRowDxfId="1" dataCellStyle="Percent">
      <calculatedColumnFormula>IFERROR(INDEX(RBmatchups[Projection],MATCH(Table76817[Name],RBmatchups[Name],0)),"")</calculatedColumnFormula>
    </tableColumn>
    <tableColumn id="18" name="$/FP" dataDxfId="431" totalsRowDxfId="0" dataCellStyle="Percent">
      <calculatedColumnFormula>IFERROR(INDEX(RBmatchups[$/FP],MATCH(Table76817[Name],RBmatchups[Name],0)),"")</calculatedColumnFormula>
    </tableColumn>
  </tableColumns>
  <tableStyleInfo name="TableStyleLight8" showFirstColumn="0" showLastColumn="0" showRowStripes="1" showColumnStripes="0"/>
</table>
</file>

<file path=xl/tables/table50.xml><?xml version="1.0" encoding="utf-8"?>
<table xmlns="http://schemas.openxmlformats.org/spreadsheetml/2006/main" id="51" name="Table2052" displayName="Table2052" ref="B27:T32" totalsRowShown="0" headerRowDxfId="430" dataDxfId="429" tableBorderDxfId="428" dataCellStyle="Percent">
  <autoFilter ref="B27:T32"/>
  <tableColumns count="19">
    <tableColumn id="1" name="Name" dataDxfId="427"/>
    <tableColumn id="2" name="Salary" dataDxfId="426" dataCellStyle="Currency">
      <calculatedColumnFormula>IFERROR(INDEX(Salaries[DraftKings (Price)],MATCH(Table2052[Name],Salaries[Player],0)),"")</calculatedColumnFormula>
    </tableColumn>
    <tableColumn id="18" name="%of Cap" dataDxfId="425">
      <calculatedColumnFormula>Table2052[[#This Row],[Salary]]/$A$22</calculatedColumnFormula>
    </tableColumn>
    <tableColumn id="3" name="Team" dataDxfId="424"/>
    <tableColumn id="4" name="Opp" dataDxfId="423" dataCellStyle="Currency"/>
    <tableColumn id="5" name="OppDVP" dataDxfId="422" dataCellStyle="Currency"/>
    <tableColumn id="32" name="Attempts" dataDxfId="421" dataCellStyle="Currency"/>
    <tableColumn id="6" name="Comp" dataDxfId="420" dataCellStyle="Currency"/>
    <tableColumn id="7" name="Comp%" dataDxfId="419" dataCellStyle="Percent"/>
    <tableColumn id="8" name="Yards" dataDxfId="418" dataCellStyle="Currency"/>
    <tableColumn id="9" name="Yards/Att" dataDxfId="417" dataCellStyle="Currency"/>
    <tableColumn id="10" name="TD" dataDxfId="416" dataCellStyle="Currency"/>
    <tableColumn id="11" name="INT" dataDxfId="415" dataCellStyle="Currency"/>
    <tableColumn id="12" name="RushAtt" dataDxfId="414" dataCellStyle="Currency"/>
    <tableColumn id="13" name="RushYards" dataDxfId="413" dataCellStyle="Currency"/>
    <tableColumn id="14" name="RushTD" dataDxfId="412" dataCellStyle="Currency"/>
    <tableColumn id="15" name="Pos Rank" dataDxfId="411" dataCellStyle="Currency"/>
    <tableColumn id="16" name="Projection" dataDxfId="410" dataCellStyle="Currency"/>
    <tableColumn id="17" name="$/FP" dataDxfId="409" dataCellStyle="Percent"/>
  </tableColumns>
  <tableStyleInfo name="TableStyleLight8" showFirstColumn="0" showLastColumn="0" showRowStripes="1" showColumnStripes="0"/>
</table>
</file>

<file path=xl/tables/table51.xml><?xml version="1.0" encoding="utf-8"?>
<table xmlns="http://schemas.openxmlformats.org/spreadsheetml/2006/main" id="5" name="Table7" displayName="Table7" ref="A5:W101" totalsRowShown="0" headerRowDxfId="408" dataDxfId="407">
  <autoFilter ref="A5:W101"/>
  <sortState ref="A6:W101">
    <sortCondition descending="1" ref="L5:L101"/>
  </sortState>
  <tableColumns count="23">
    <tableColumn id="1" name="OFF" dataDxfId="406"/>
    <tableColumn id="2" name="Receiver" dataDxfId="405"/>
    <tableColumn id="3" name="Pos" dataDxfId="404"/>
    <tableColumn id="5" name="Wt" dataDxfId="403"/>
    <tableColumn id="6" name="Routes" dataDxfId="402"/>
    <tableColumn id="7" name="LWR" dataDxfId="401"/>
    <tableColumn id="8" name="Slot" dataDxfId="400"/>
    <tableColumn id="9" name="RWR" dataDxfId="399"/>
    <tableColumn id="10" name="T/R" dataDxfId="398"/>
    <tableColumn id="11" name="F/R" dataDxfId="397"/>
    <tableColumn id="12" name="Grade" dataDxfId="396"/>
    <tableColumn id="14" name="Adv." dataDxfId="395"/>
    <tableColumn id="16" name="DEF" dataDxfId="394"/>
    <tableColumn id="17" name="Defender" dataDxfId="393"/>
    <tableColumn id="28" name="Grade10" dataDxfId="392"/>
    <tableColumn id="18" name="Pos3" dataDxfId="391"/>
    <tableColumn id="20" name="Wt5" dataDxfId="390"/>
    <tableColumn id="21" name="Routes2" dataDxfId="389"/>
    <tableColumn id="22" name="RCB" dataDxfId="388"/>
    <tableColumn id="23" name="Slot7" dataDxfId="387"/>
    <tableColumn id="24" name="LCB" dataDxfId="386"/>
    <tableColumn id="25" name="T/R8" dataDxfId="385"/>
    <tableColumn id="26" name="F/R9" dataDxfId="384"/>
  </tableColumns>
  <tableStyleInfo name="TableStyleLight8" showFirstColumn="0" showLastColumn="0" showRowStripes="1" showColumnStripes="0"/>
</table>
</file>

<file path=xl/tables/table52.xml><?xml version="1.0" encoding="utf-8"?>
<table xmlns="http://schemas.openxmlformats.org/spreadsheetml/2006/main" id="67" name="StackBuilder" displayName="StackBuilder" ref="B14:X46" totalsRowShown="0" headerRowDxfId="383" dataDxfId="382">
  <autoFilter ref="B14:X46"/>
  <sortState ref="B15:X46">
    <sortCondition descending="1" ref="T14:T46"/>
  </sortState>
  <tableColumns count="23">
    <tableColumn id="1" name="Team" dataDxfId="381"/>
    <tableColumn id="23" name="Opp" dataDxfId="380">
      <calculatedColumnFormula>IF(LEFT(INDEX(defenses[Opp],MATCH(StackBuilder[[#This Row],[Team]],defenses[Team],0)),1)="@",MID(INDEX(defenses[Opp],MATCH(StackBuilder[[#This Row],[Team]],defenses[Team],0)),2,4),INDEX(defenses[Opp],MATCH(StackBuilder[[#This Row],[Team]],defenses[Team],0)))</calculatedColumnFormula>
    </tableColumn>
    <tableColumn id="2" name="Stack Pos 1" dataDxfId="379">
      <calculatedColumnFormula>IFERROR(IF(Stack1="NONE","",INDEX(Merged_Stack_Data[Name],MATCH(IF(S1Team="Team",StackBuilder[[#This Row],[Team]],StackBuilder[[#This Row],[Opp]])&amp;" "&amp;Stack1,IF(StackBy="Projection",Merged_Stack_Data[Proj. Depth],Merged_Stack_Data[Value Depth]),0))),"")</calculatedColumnFormula>
    </tableColumn>
    <tableColumn id="3" name="Stack Pos 2" dataDxfId="378">
      <calculatedColumnFormula>IFERROR(IF(Stack2="NONE","",INDEX(Merged_Stack_Data[Name],MATCH(IF(S2Team="Team",StackBuilder[[#This Row],[Team]],StackBuilder[[#This Row],[Opp]])&amp;" "&amp;Stack2,IF(StackBy="Projection",Merged_Stack_Data[Proj. Depth],Merged_Stack_Data[Value Depth]),0))),"")</calculatedColumnFormula>
    </tableColumn>
    <tableColumn id="4" name="Stack Pos 3" dataDxfId="377">
      <calculatedColumnFormula>IFERROR(IF(Stack3="NONE","",INDEX(Merged_Stack_Data[Name],MATCH(IF(S3Team="Team",StackBuilder[[#This Row],[Team]],StackBuilder[[#This Row],[Opp]])&amp;" "&amp;Stack3,IF(StackBy="Projection",Merged_Stack_Data[Proj. Depth],Merged_Stack_Data[Value Depth]),0))),"")</calculatedColumnFormula>
    </tableColumn>
    <tableColumn id="5" name="Stack Pos 4" dataDxfId="376">
      <calculatedColumnFormula>IFERROR(IF(Stack4="NONE","",INDEX(Merged_Stack_Data[Name],MATCH(IF(S4Team="Team",StackBuilder[[#This Row],[Team]],StackBuilder[[#This Row],[Opp]])&amp;" "&amp;Stack4,IF(StackBy="Projection",Merged_Stack_Data[Proj. Depth],Merged_Stack_Data[Value Depth]),0))),"")</calculatedColumnFormula>
    </tableColumn>
    <tableColumn id="6" name="P1 Proj" dataDxfId="375">
      <calculatedColumnFormula>IFERROR(INDEX(Merged_Stack_Data[[Projection]:[Projection]],MATCH(StackBuilder[[#This Row],[Stack Pos 1]],Merged_Stack_Data[[Name]:[Name]],0)),"")</calculatedColumnFormula>
    </tableColumn>
    <tableColumn id="7" name="P2 Proj" dataDxfId="374">
      <calculatedColumnFormula>IFERROR(INDEX(Merged_Stack_Data[[Projection]:[Projection]],MATCH(StackBuilder[[#This Row],[Stack Pos 2]],Merged_Stack_Data[[Name]:[Name]],0)),"")</calculatedColumnFormula>
    </tableColumn>
    <tableColumn id="8" name="P3 Proj" dataDxfId="373">
      <calculatedColumnFormula>IFERROR(INDEX(Merged_Stack_Data[[Projection]:[Projection]],MATCH(StackBuilder[[#This Row],[Stack Pos 3]],Merged_Stack_Data[[Name]:[Name]],0)),"")</calculatedColumnFormula>
    </tableColumn>
    <tableColumn id="9" name="P4 Proj" dataDxfId="372">
      <calculatedColumnFormula>IFERROR(INDEX(Merged_Stack_Data[[Projection]:[Projection]],MATCH(StackBuilder[[#This Row],[Stack Pos 4]],Merged_Stack_Data[[Name]:[Name]],0)),"")</calculatedColumnFormula>
    </tableColumn>
    <tableColumn id="10" name="P1 Value" dataDxfId="371">
      <calculatedColumnFormula>IFERROR(INDEX(Merged_Stack_Data[[$/FP]:[$/FP]],MATCH(StackBuilder[[#This Row],[Stack Pos 1]],Merged_Stack_Data[[Name]:[Name]],0)),"")</calculatedColumnFormula>
    </tableColumn>
    <tableColumn id="11" name="P2 Value" dataDxfId="370">
      <calculatedColumnFormula>IFERROR(INDEX(Merged_Stack_Data[[$/FP]:[$/FP]],MATCH(StackBuilder[[#This Row],[Stack Pos 2]],Merged_Stack_Data[[Name]:[Name]],0)),"")</calculatedColumnFormula>
    </tableColumn>
    <tableColumn id="12" name="P3 Value" dataDxfId="369">
      <calculatedColumnFormula>IFERROR(INDEX(Merged_Stack_Data[[$/FP]:[$/FP]],MATCH(StackBuilder[[#This Row],[Stack Pos 3]],Merged_Stack_Data[[Name]:[Name]],0)),"")</calculatedColumnFormula>
    </tableColumn>
    <tableColumn id="13" name="P4 Value" dataDxfId="368">
      <calculatedColumnFormula>IFERROR(INDEX(Merged_Stack_Data[[$/FP]:[$/FP]],MATCH(StackBuilder[[#This Row],[Stack Pos 4]],Merged_Stack_Data[[Name]:[Name]],0)),"")</calculatedColumnFormula>
    </tableColumn>
    <tableColumn id="16" name="P1 Salary" dataDxfId="367">
      <calculatedColumnFormula>IFERROR(INDEX(Merged_Stack_Data[[Salary]:[Salary]],MATCH(StackBuilder[[#This Row],[Stack Pos 1]],Merged_Stack_Data[[Name]:[Name]],0)),"")</calculatedColumnFormula>
    </tableColumn>
    <tableColumn id="17" name="P2 Salary" dataDxfId="366">
      <calculatedColumnFormula>IFERROR(INDEX(Merged_Stack_Data[[Salary]:[Salary]],MATCH(StackBuilder[[#This Row],[Stack Pos 2]],Merged_Stack_Data[[Name]:[Name]],0)),"")</calculatedColumnFormula>
    </tableColumn>
    <tableColumn id="18" name="P3 Salary" dataDxfId="365">
      <calculatedColumnFormula>IFERROR(INDEX(Merged_Stack_Data[[Salary]:[Salary]],MATCH(StackBuilder[[#This Row],[Stack Pos 3]],Merged_Stack_Data[[Name]:[Name]],0)),"")</calculatedColumnFormula>
    </tableColumn>
    <tableColumn id="19" name="P4 Salary" dataDxfId="364">
      <calculatedColumnFormula>IFERROR(INDEX(Merged_Stack_Data[[Salary]:[Salary]],MATCH(StackBuilder[[#This Row],[Stack Pos 4]],Merged_Stack_Data[[Name]:[Name]],0)),"")</calculatedColumnFormula>
    </tableColumn>
    <tableColumn id="21" name="Stack Projection" dataDxfId="363">
      <calculatedColumnFormula>IF(4-COUNTBLANK(StackBuilder[[#This Row],[Stack Pos 1]:[Stack Pos 4]])=PosSelected,ROUND(SUM(StackBuilder[[#This Row],[P1 Proj]:[P4 Proj]]),2))</calculatedColumnFormula>
    </tableColumn>
    <tableColumn id="22" name="Proj. Rank" dataDxfId="362">
      <calculatedColumnFormula>IFERROR(_xlfn.RANK.EQ(StackBuilder[[#This Row],[Stack Projection]],StackBuilder[Stack Projection],0),"")</calculatedColumnFormula>
    </tableColumn>
    <tableColumn id="14" name="Stack Value" dataDxfId="361">
      <calculatedColumnFormula>IF(4-COUNTBLANK(StackBuilder[[#This Row],[Stack Pos 1]:[Stack Pos 4]])=PosSelected,ROUND(AVERAGE(StackBuilder[[#This Row],[P1 Value]:[P4 Value]]),2))</calculatedColumnFormula>
    </tableColumn>
    <tableColumn id="15" name="Value Rank" dataDxfId="360">
      <calculatedColumnFormula>IFERROR(_xlfn.RANK.EQ(StackBuilder[[#This Row],[Stack Value]],StackBuilder[Stack Value],1),"")</calculatedColumnFormula>
    </tableColumn>
    <tableColumn id="20" name="% of Cap" dataDxfId="359">
      <calculatedColumnFormula>IF(4-COUNTBLANK(StackBuilder[[#This Row],[Stack Pos 1]:[Stack Pos 4]])=PosSelected,SUM(StackBuilder[[#This Row],[P1 Salary]:[P4 Salary]])/50000,"")</calculatedColumnFormula>
    </tableColumn>
  </tableColumns>
  <tableStyleInfo name="TableStyleMedium15" showFirstColumn="0" showLastColumn="0" showRowStripes="1" showColumnStripes="0"/>
</table>
</file>

<file path=xl/tables/table53.xml><?xml version="1.0" encoding="utf-8"?>
<table xmlns="http://schemas.openxmlformats.org/spreadsheetml/2006/main" id="53" name="targettracker54" displayName="targettracker54" ref="A9:W377" totalsRowShown="0" headerRowDxfId="342" dataDxfId="341">
  <autoFilter ref="A9:W377"/>
  <tableColumns count="23">
    <tableColumn id="1" name="Rank" dataDxfId="340"/>
    <tableColumn id="23" name="Name" dataDxfId="339"/>
    <tableColumn id="3" name="Pos" dataDxfId="338"/>
    <tableColumn id="28" name="Team" dataDxfId="337"/>
    <tableColumn id="4" name="1" dataDxfId="336"/>
    <tableColumn id="5" name="2" dataDxfId="335"/>
    <tableColumn id="6" name="3" dataDxfId="334"/>
    <tableColumn id="7" name="4" dataDxfId="333"/>
    <tableColumn id="8" name="5" dataDxfId="332"/>
    <tableColumn id="9" name="6" dataDxfId="331"/>
    <tableColumn id="10" name="7" dataDxfId="330"/>
    <tableColumn id="11" name="8" dataDxfId="329"/>
    <tableColumn id="12" name="9" dataDxfId="328"/>
    <tableColumn id="13" name="10" dataDxfId="327"/>
    <tableColumn id="14" name="11" dataDxfId="326"/>
    <tableColumn id="15" name="12" dataDxfId="325"/>
    <tableColumn id="16" name="13" dataDxfId="324"/>
    <tableColumn id="17" name="14" dataDxfId="323"/>
    <tableColumn id="18" name="15" dataDxfId="322"/>
    <tableColumn id="19" name="16" dataDxfId="321"/>
    <tableColumn id="20" name="17" dataDxfId="320"/>
    <tableColumn id="21" name="TTL" dataDxfId="319"/>
    <tableColumn id="22" name="AVG" dataDxfId="318"/>
  </tableColumns>
  <tableStyleInfo name="TableStyleLight8" showFirstColumn="0" showLastColumn="0" showRowStripes="1" showColumnStripes="0"/>
</table>
</file>

<file path=xl/tables/table54.xml><?xml version="1.0" encoding="utf-8"?>
<table xmlns="http://schemas.openxmlformats.org/spreadsheetml/2006/main" id="54" name="Table6075" displayName="Table6075" ref="Z9:AG209" totalsRowShown="0" headerRowDxfId="317" dataDxfId="316">
  <autoFilter ref="Z9:AG209"/>
  <tableColumns count="8">
    <tableColumn id="1" name="Rank" dataDxfId="315"/>
    <tableColumn id="10" name="Name" dataDxfId="314"/>
    <tableColumn id="3" name="Team" dataDxfId="313"/>
    <tableColumn id="4" name="Pos" dataDxfId="312"/>
    <tableColumn id="5" name="Completions" dataDxfId="311"/>
    <tableColumn id="6" name="Targets" dataDxfId="310"/>
    <tableColumn id="7" name="Comp %" dataDxfId="309"/>
    <tableColumn id="8" name="TDs" dataDxfId="308"/>
  </tableColumns>
  <tableStyleInfo name="TableStyleLight8" showFirstColumn="0" showLastColumn="0" showRowStripes="1" showColumnStripes="0"/>
</table>
</file>

<file path=xl/tables/table55.xml><?xml version="1.0" encoding="utf-8"?>
<table xmlns="http://schemas.openxmlformats.org/spreadsheetml/2006/main" id="69" name="YACTE70" displayName="YACTE70" ref="M10:V67" totalsRowShown="0" headerRowDxfId="307" dataDxfId="306">
  <autoFilter ref="M10:V67"/>
  <sortState ref="M11:V79">
    <sortCondition descending="1" ref="R10:R79"/>
  </sortState>
  <tableColumns count="10">
    <tableColumn id="1" name="Rank" dataDxfId="305"/>
    <tableColumn id="2" name="Name" dataDxfId="304"/>
    <tableColumn id="3" name="Team" dataDxfId="303"/>
    <tableColumn id="4" name="Pos" dataDxfId="302"/>
    <tableColumn id="5" name="Rec" dataDxfId="301"/>
    <tableColumn id="6" name="Yards" dataDxfId="300"/>
    <tableColumn id="9" name="YAtC" dataDxfId="299"/>
    <tableColumn id="10" name="YAtC/Rec" dataDxfId="298"/>
    <tableColumn id="7" name="YAC" dataDxfId="297"/>
    <tableColumn id="8" name="YAC/Rec" dataDxfId="296"/>
  </tableColumns>
  <tableStyleInfo name="TableStyleLight8" showFirstColumn="0" showLastColumn="0" showRowStripes="1" showColumnStripes="0"/>
</table>
</file>

<file path=xl/tables/table56.xml><?xml version="1.0" encoding="utf-8"?>
<table xmlns="http://schemas.openxmlformats.org/spreadsheetml/2006/main" id="72" name="Table4573" displayName="Table4573" ref="X10:AA42" totalsRowShown="0" headerRowDxfId="295" dataDxfId="294">
  <autoFilter ref="X10:AA42"/>
  <sortState ref="X11:AA42">
    <sortCondition descending="1" ref="Z10:Z42"/>
  </sortState>
  <tableColumns count="4">
    <tableColumn id="1" name="Rank" dataDxfId="293"/>
    <tableColumn id="2" name="Team" dataDxfId="292"/>
    <tableColumn id="5" name="YAC Allowed" dataDxfId="291"/>
    <tableColumn id="3" name="YAC Allowed/Game" dataDxfId="290"/>
  </tableColumns>
  <tableStyleInfo name="TableStyleLight8" showFirstColumn="0" showLastColumn="0" showRowStripes="1" showColumnStripes="0"/>
</table>
</file>

<file path=xl/tables/table57.xml><?xml version="1.0" encoding="utf-8"?>
<table xmlns="http://schemas.openxmlformats.org/spreadsheetml/2006/main" id="73" name="YACWR74" displayName="YACWR74" ref="A10:J133" totalsRowShown="0" headerRowDxfId="289" dataDxfId="288">
  <autoFilter ref="A10:J133"/>
  <sortState ref="A11:J133">
    <sortCondition descending="1" ref="F10:F133"/>
  </sortState>
  <tableColumns count="10">
    <tableColumn id="1" name="Rank" dataDxfId="287"/>
    <tableColumn id="2" name="Name" dataDxfId="286"/>
    <tableColumn id="3" name="Team" dataDxfId="285"/>
    <tableColumn id="4" name="Pos" dataDxfId="284"/>
    <tableColumn id="5" name="Rec" dataDxfId="283"/>
    <tableColumn id="6" name="Yards" dataDxfId="282"/>
    <tableColumn id="8" name="YAtC" dataDxfId="281"/>
    <tableColumn id="9" name="YAtC/Rec" dataDxfId="280"/>
    <tableColumn id="7" name="YAC" dataDxfId="279"/>
    <tableColumn id="10" name="YAC/Rec" dataDxfId="278"/>
  </tableColumns>
  <tableStyleInfo name="TableStyleLight8" showFirstColumn="0" showLastColumn="0" showRowStripes="1" showColumnStripes="0"/>
</table>
</file>

<file path=xl/tables/table58.xml><?xml version="1.0" encoding="utf-8"?>
<table xmlns="http://schemas.openxmlformats.org/spreadsheetml/2006/main" id="58" name="YAtCData" displayName="YAtCData" ref="A3:I203" totalsRowShown="0" headerRowDxfId="277" dataDxfId="276">
  <autoFilter ref="A3:I203"/>
  <tableColumns count="9">
    <tableColumn id="1" name="Rank" dataDxfId="275"/>
    <tableColumn id="2" name="Player" dataDxfId="274"/>
    <tableColumn id="3" name="Team" dataDxfId="273"/>
    <tableColumn id="4" name="Pos" dataDxfId="272"/>
    <tableColumn id="5" name="Rec" dataDxfId="271"/>
    <tableColumn id="6" name="Yards" dataDxfId="270"/>
    <tableColumn id="7" name="YAC" dataDxfId="269"/>
    <tableColumn id="8" name="YAtC" dataDxfId="268"/>
    <tableColumn id="9" name="YAtC/Rec" dataDxfId="267"/>
  </tableColumns>
  <tableStyleInfo name="TableStyleLight8" showFirstColumn="0" showLastColumn="0" showRowStripes="1" showColumnStripes="0"/>
</table>
</file>

<file path=xl/tables/table59.xml><?xml version="1.0" encoding="utf-8"?>
<table xmlns="http://schemas.openxmlformats.org/spreadsheetml/2006/main" id="59" name="YACDATA" displayName="YACDATA" ref="K3:R303" totalsRowShown="0" dataDxfId="266">
  <autoFilter ref="K3:R303"/>
  <tableColumns count="8">
    <tableColumn id="1" name="Rank" dataDxfId="265"/>
    <tableColumn id="2" name="Player" dataDxfId="264"/>
    <tableColumn id="3" name="Team" dataDxfId="263"/>
    <tableColumn id="4" name="Pos" dataDxfId="262"/>
    <tableColumn id="5" name="Rec" dataDxfId="261"/>
    <tableColumn id="6" name="Rec Yards" dataDxfId="260"/>
    <tableColumn id="7" name="YAC" dataDxfId="259"/>
    <tableColumn id="8" name="YAC per Reception" dataDxfId="258"/>
  </tableColumns>
  <tableStyleInfo name="TableStyleLight8" showFirstColumn="0" showLastColumn="0" showRowStripes="1" showColumnStripes="0"/>
</table>
</file>

<file path=xl/tables/table60.xml><?xml version="1.0" encoding="utf-8"?>
<table xmlns="http://schemas.openxmlformats.org/spreadsheetml/2006/main" id="27" name="Table20" displayName="Table20" ref="A45:W77" totalsRowShown="0" headerRowDxfId="257" dataDxfId="256">
  <autoFilter ref="A45:W77"/>
  <tableColumns count="23">
    <tableColumn id="1" name="Rank" dataDxfId="255"/>
    <tableColumn id="2" name="Name" dataDxfId="254"/>
    <tableColumn id="26" name="Team" dataDxfId="253"/>
    <tableColumn id="3" name="1" dataDxfId="252"/>
    <tableColumn id="4" name="2" dataDxfId="251"/>
    <tableColumn id="5" name="3" dataDxfId="250"/>
    <tableColumn id="6" name="4" dataDxfId="249"/>
    <tableColumn id="7" name="5" dataDxfId="248"/>
    <tableColumn id="8" name="6" dataDxfId="247"/>
    <tableColumn id="9" name="7" dataDxfId="246"/>
    <tableColumn id="10" name="8" dataDxfId="245"/>
    <tableColumn id="11" name="9" dataDxfId="244"/>
    <tableColumn id="12" name="10" dataDxfId="243"/>
    <tableColumn id="13" name="11" dataDxfId="242"/>
    <tableColumn id="14" name="12" dataDxfId="241"/>
    <tableColumn id="15" name="13" dataDxfId="240"/>
    <tableColumn id="16" name="14" dataDxfId="239"/>
    <tableColumn id="17" name="15" dataDxfId="238"/>
    <tableColumn id="18" name="16" dataDxfId="237"/>
    <tableColumn id="19" name="17" dataDxfId="236"/>
    <tableColumn id="22" name="AVG 1-8" dataDxfId="235">
      <calculatedColumnFormula>AVERAGE(Table20[[#This Row],[1]:[8]])</calculatedColumnFormula>
    </tableColumn>
    <tableColumn id="21" name="AVG 9-17" dataDxfId="234">
      <calculatedColumnFormula>AVERAGE(Table20[[#This Row],[9]:[17]])</calculatedColumnFormula>
    </tableColumn>
    <tableColumn id="20" name="Ease" dataDxfId="233">
      <calculatedColumnFormula>AVERAGE(Table20[[#This Row],[1]:[17]])</calculatedColumnFormula>
    </tableColumn>
  </tableColumns>
  <tableStyleInfo name="TableStyleLight8" showFirstColumn="0" showLastColumn="0" showRowStripes="1" showColumnStripes="0"/>
</table>
</file>

<file path=xl/tables/table61.xml><?xml version="1.0" encoding="utf-8"?>
<table xmlns="http://schemas.openxmlformats.org/spreadsheetml/2006/main" id="28" name="Table2022" displayName="Table2022" ref="A80:W128" totalsRowShown="0" headerRowDxfId="232" dataDxfId="231">
  <autoFilter ref="A80:W128"/>
  <sortState ref="A74:AA121">
    <sortCondition descending="1" ref="T39:T87"/>
  </sortState>
  <tableColumns count="23">
    <tableColumn id="1" name="Rank" dataDxfId="230"/>
    <tableColumn id="2" name="Name" dataDxfId="229"/>
    <tableColumn id="26" name="Team" dataDxfId="228"/>
    <tableColumn id="3" name="1.00" dataDxfId="227"/>
    <tableColumn id="4" name="2.00" dataDxfId="226"/>
    <tableColumn id="5" name="3.00" dataDxfId="225"/>
    <tableColumn id="6" name="4.00" dataDxfId="224"/>
    <tableColumn id="7" name="5.00" dataDxfId="223"/>
    <tableColumn id="8" name="6.00" dataDxfId="222"/>
    <tableColumn id="9" name="7.00" dataDxfId="221"/>
    <tableColumn id="10" name="8.00" dataDxfId="220"/>
    <tableColumn id="11" name="9.00" dataDxfId="219"/>
    <tableColumn id="12" name="10.00" dataDxfId="218"/>
    <tableColumn id="13" name="11.00" dataDxfId="217"/>
    <tableColumn id="14" name="12.00" dataDxfId="216"/>
    <tableColumn id="15" name="13.00" dataDxfId="215"/>
    <tableColumn id="16" name="14.00" dataDxfId="214"/>
    <tableColumn id="17" name="15.00" dataDxfId="213"/>
    <tableColumn id="18" name="16.00" dataDxfId="212"/>
    <tableColumn id="19" name="17.00" dataDxfId="211"/>
    <tableColumn id="22" name="AVG 1-8" dataDxfId="210">
      <calculatedColumnFormula>AVERAGE(Table2022[[#This Row],[1.00]:[8.00]])</calculatedColumnFormula>
    </tableColumn>
    <tableColumn id="21" name="AVG 9-17" dataDxfId="209">
      <calculatedColumnFormula>AVERAGE(Table2022[[#This Row],[9.00]:[17.00]])</calculatedColumnFormula>
    </tableColumn>
    <tableColumn id="20" name="Ease" dataDxfId="208">
      <calculatedColumnFormula>AVERAGE(Table2022[[#This Row],[1.00]:[17.00]])</calculatedColumnFormula>
    </tableColumn>
  </tableColumns>
  <tableStyleInfo name="TableStyleLight8" showFirstColumn="0" showLastColumn="0" showRowStripes="1" showColumnStripes="0"/>
</table>
</file>

<file path=xl/tables/table62.xml><?xml version="1.0" encoding="utf-8"?>
<table xmlns="http://schemas.openxmlformats.org/spreadsheetml/2006/main" id="29" name="Table202223" displayName="Table202223" ref="A131:W182" totalsRowShown="0" headerRowDxfId="207" dataDxfId="206">
  <autoFilter ref="A131:W182"/>
  <sortState ref="A125:AA175">
    <sortCondition descending="1" ref="T90:T141"/>
  </sortState>
  <tableColumns count="23">
    <tableColumn id="1" name="Rank" dataDxfId="205"/>
    <tableColumn id="2" name="Name" dataDxfId="204"/>
    <tableColumn id="26" name="Team" dataDxfId="203"/>
    <tableColumn id="3" name="1.00" dataDxfId="202"/>
    <tableColumn id="4" name="2.00" dataDxfId="201"/>
    <tableColumn id="5" name="3.00" dataDxfId="200"/>
    <tableColumn id="6" name="4.00" dataDxfId="199"/>
    <tableColumn id="7" name="5.00" dataDxfId="198"/>
    <tableColumn id="8" name="6.00" dataDxfId="197"/>
    <tableColumn id="9" name="7.00" dataDxfId="196"/>
    <tableColumn id="10" name="8.00" dataDxfId="195"/>
    <tableColumn id="11" name="9.00" dataDxfId="194"/>
    <tableColumn id="12" name="10.00" dataDxfId="193"/>
    <tableColumn id="13" name="11.00" dataDxfId="192"/>
    <tableColumn id="14" name="12.00" dataDxfId="191"/>
    <tableColumn id="15" name="13.00" dataDxfId="190"/>
    <tableColumn id="16" name="14.00" dataDxfId="189"/>
    <tableColumn id="17" name="15.00" dataDxfId="188"/>
    <tableColumn id="18" name="16.00" dataDxfId="187"/>
    <tableColumn id="19" name="17.00" dataDxfId="186"/>
    <tableColumn id="22" name="AVG 1-8" dataDxfId="185">
      <calculatedColumnFormula>AVERAGE(Table202223[[#This Row],[1.00]:[8.00]])</calculatedColumnFormula>
    </tableColumn>
    <tableColumn id="21" name="AVG 9-17" dataDxfId="184">
      <calculatedColumnFormula>AVERAGE(Table202223[[#This Row],[9.00]:[17.00]])</calculatedColumnFormula>
    </tableColumn>
    <tableColumn id="20" name="Ease" dataDxfId="183">
      <calculatedColumnFormula>AVERAGE(Table202223[[#This Row],[1.00]:[17.00]])</calculatedColumnFormula>
    </tableColumn>
  </tableColumns>
  <tableStyleInfo name="TableStyleLight8" showFirstColumn="0" showLastColumn="0" showRowStripes="1" showColumnStripes="0"/>
</table>
</file>

<file path=xl/tables/table63.xml><?xml version="1.0" encoding="utf-8"?>
<table xmlns="http://schemas.openxmlformats.org/spreadsheetml/2006/main" id="30" name="Table20222324" displayName="Table20222324" ref="A185:W218" totalsRowShown="0" headerRowDxfId="182" dataDxfId="181">
  <autoFilter ref="A185:W218"/>
  <sortState ref="A179:AA229">
    <sortCondition descending="1" ref="T144:T195"/>
  </sortState>
  <tableColumns count="23">
    <tableColumn id="1" name="Rank" dataDxfId="180"/>
    <tableColumn id="2" name="Name" dataDxfId="179"/>
    <tableColumn id="26" name="Team" dataDxfId="178"/>
    <tableColumn id="3" name="1.0" dataDxfId="177"/>
    <tableColumn id="4" name="2.0" dataDxfId="176"/>
    <tableColumn id="5" name="3.0" dataDxfId="175"/>
    <tableColumn id="6" name="4.0" dataDxfId="174"/>
    <tableColumn id="7" name="5.0" dataDxfId="173"/>
    <tableColumn id="8" name="6.0" dataDxfId="172"/>
    <tableColumn id="9" name="7.0" dataDxfId="171"/>
    <tableColumn id="10" name="8.0" dataDxfId="170"/>
    <tableColumn id="11" name="9.0" dataDxfId="169"/>
    <tableColumn id="12" name="10.0" dataDxfId="168"/>
    <tableColumn id="13" name="11.0" dataDxfId="167"/>
    <tableColumn id="14" name="12.0" dataDxfId="166"/>
    <tableColumn id="15" name="13.0" dataDxfId="165"/>
    <tableColumn id="16" name="14.0" dataDxfId="164"/>
    <tableColumn id="17" name="15.0" dataDxfId="163"/>
    <tableColumn id="18" name="16.0" dataDxfId="162"/>
    <tableColumn id="19" name="17.0" dataDxfId="161"/>
    <tableColumn id="22" name="AVG 1-8" dataDxfId="160">
      <calculatedColumnFormula>AVERAGE(Table20222324[[#This Row],[1.0]:[8.0]])</calculatedColumnFormula>
    </tableColumn>
    <tableColumn id="21" name="AVG 9-17" dataDxfId="159">
      <calculatedColumnFormula>AVERAGE(Table20222324[[#This Row],[9.0]:[17.0]])</calculatedColumnFormula>
    </tableColumn>
    <tableColumn id="20" name="Ease" dataDxfId="158">
      <calculatedColumnFormula>AVERAGE(Table20222324[[#This Row],[1.0]:[17.0]])</calculatedColumnFormula>
    </tableColumn>
  </tableColumns>
  <tableStyleInfo name="TableStyleLight8" showFirstColumn="0" showLastColumn="0" showRowStripes="1" showColumnStripes="0"/>
</table>
</file>

<file path=xl/tables/table64.xml><?xml version="1.0" encoding="utf-8"?>
<table xmlns="http://schemas.openxmlformats.org/spreadsheetml/2006/main" id="31" name="Ease" displayName="Ease" ref="A9:J41" totalsRowShown="0" headerRowDxfId="157" dataDxfId="155" headerRowBorderDxfId="156">
  <autoFilter ref="A9:J41"/>
  <sortState ref="A3:K34">
    <sortCondition ref="A2:A34"/>
  </sortState>
  <tableColumns count="10">
    <tableColumn id="1" name="Team" dataDxfId="154"/>
    <tableColumn id="10" name="Ease Rank" dataDxfId="153">
      <calculatedColumnFormula>AVERAGE(C10,E10,G10,I10)</calculatedColumnFormula>
    </tableColumn>
    <tableColumn id="2" name="QBRank" dataDxfId="152"/>
    <tableColumn id="3" name="QB" dataDxfId="151"/>
    <tableColumn id="4" name="RBRank" dataDxfId="150"/>
    <tableColumn id="5" name="RB" dataDxfId="149"/>
    <tableColumn id="6" name="WRRank" dataDxfId="148"/>
    <tableColumn id="7" name="WR" dataDxfId="147"/>
    <tableColumn id="8" name="TERank" dataDxfId="146"/>
    <tableColumn id="9" name="TE" dataDxfId="145"/>
  </tableColumns>
  <tableStyleInfo name="TableStyleLight8" showFirstColumn="0" showLastColumn="0" showRowStripes="1" showColumnStripes="0"/>
</table>
</file>

<file path=xl/tables/table65.xml><?xml version="1.0" encoding="utf-8"?>
<table xmlns="http://schemas.openxmlformats.org/spreadsheetml/2006/main" id="32" name="Table13" displayName="Table13" ref="L9:Q41" totalsRowShown="0" dataDxfId="144">
  <autoFilter ref="L9:Q41"/>
  <sortState ref="K3:P34">
    <sortCondition descending="1" ref="O2:O34"/>
  </sortState>
  <tableColumns count="6">
    <tableColumn id="1" name="Team" dataDxfId="143"/>
    <tableColumn id="3" name="Cmp" dataDxfId="142"/>
    <tableColumn id="4" name="Att" dataDxfId="141"/>
    <tableColumn id="5" name="Yds" dataDxfId="140" dataCellStyle="Comma"/>
    <tableColumn id="6" name="TD" dataDxfId="139"/>
    <tableColumn id="7" name="Int" dataDxfId="138"/>
  </tableColumns>
  <tableStyleInfo name="TableStyleLight8" showFirstColumn="0" showLastColumn="0" showRowStripes="1" showColumnStripes="0"/>
</table>
</file>

<file path=xl/tables/table66.xml><?xml version="1.0" encoding="utf-8"?>
<table xmlns="http://schemas.openxmlformats.org/spreadsheetml/2006/main" id="33" name="Table17" displayName="Table17" ref="R9:Y41" totalsRowShown="0" dataDxfId="137">
  <autoFilter ref="R9:Y41"/>
  <sortState ref="Q3:X34">
    <sortCondition descending="1" ref="V2:V34"/>
  </sortState>
  <tableColumns count="8">
    <tableColumn id="1" name="Team" dataDxfId="136"/>
    <tableColumn id="3" name="Att" dataDxfId="135"/>
    <tableColumn id="4" name="Yds" dataDxfId="134"/>
    <tableColumn id="5" name="TD" dataDxfId="133"/>
    <tableColumn id="6" name="Tgt" dataDxfId="132"/>
    <tableColumn id="7" name="Rec" dataDxfId="131"/>
    <tableColumn id="8" name="Rec Yds" dataDxfId="130"/>
    <tableColumn id="9" name="Rec TD" dataDxfId="129"/>
  </tableColumns>
  <tableStyleInfo name="TableStyleLight8" showFirstColumn="0" showLastColumn="0" showRowStripes="1" showColumnStripes="0"/>
</table>
</file>

<file path=xl/tables/table67.xml><?xml version="1.0" encoding="utf-8"?>
<table xmlns="http://schemas.openxmlformats.org/spreadsheetml/2006/main" id="34" name="Table18" displayName="Table18" ref="Z9:AD41" totalsRowShown="0" dataDxfId="128">
  <autoFilter ref="Z9:AD41"/>
  <sortState ref="Y3:AC34">
    <sortCondition descending="1" ref="AC2:AC34"/>
  </sortState>
  <tableColumns count="5">
    <tableColumn id="1" name="Team" dataDxfId="127"/>
    <tableColumn id="3" name="Tgt" dataDxfId="126"/>
    <tableColumn id="4" name="Rec" dataDxfId="125"/>
    <tableColumn id="5" name="Yds" dataDxfId="124"/>
    <tableColumn id="6" name="TD" dataDxfId="123"/>
  </tableColumns>
  <tableStyleInfo name="TableStyleLight8" showFirstColumn="0" showLastColumn="0" showRowStripes="1" showColumnStripes="0"/>
</table>
</file>

<file path=xl/tables/table68.xml><?xml version="1.0" encoding="utf-8"?>
<table xmlns="http://schemas.openxmlformats.org/spreadsheetml/2006/main" id="35" name="Table24" displayName="Table24" ref="AE9:AI41" totalsRowShown="0" dataDxfId="122">
  <autoFilter ref="AE9:AI41"/>
  <tableColumns count="5">
    <tableColumn id="1" name="Team" dataDxfId="121"/>
    <tableColumn id="2" name="Tgt" dataDxfId="120"/>
    <tableColumn id="3" name="Rec" dataDxfId="119"/>
    <tableColumn id="4" name="Yds" dataDxfId="118"/>
    <tableColumn id="5" name="TD" dataDxfId="117"/>
  </tableColumns>
  <tableStyleInfo name="TableStyleLight8" showFirstColumn="0" showLastColumn="0" showRowStripes="1" showColumnStripes="0"/>
</table>
</file>

<file path=xl/tables/table69.xml><?xml version="1.0" encoding="utf-8"?>
<table xmlns="http://schemas.openxmlformats.org/spreadsheetml/2006/main" id="36" name="Table46" displayName="Table46" ref="Y45:AC77" totalsRowShown="0" dataDxfId="116">
  <autoFilter ref="Y45:AC77"/>
  <tableColumns count="5">
    <tableColumn id="1" name="Rank" dataDxfId="115"/>
    <tableColumn id="2" name="Team" dataDxfId="114"/>
    <tableColumn id="3" name="Sacks" dataDxfId="113"/>
    <tableColumn id="4" name="Passes" dataDxfId="112"/>
    <tableColumn id="5" name="Sack %" dataDxfId="111"/>
  </tableColumns>
  <tableStyleInfo name="TableStyleLight8" showFirstColumn="0" showLastColumn="0" showRowStripes="1" showColumnStripes="0"/>
</table>
</file>

<file path=xl/tables/table70.xml><?xml version="1.0" encoding="utf-8"?>
<table xmlns="http://schemas.openxmlformats.org/spreadsheetml/2006/main" id="68" name="Vegas" displayName="Vegas" ref="A1:I33" totalsRowShown="0" headerRowDxfId="110" dataDxfId="109" tableBorderDxfId="108">
  <autoFilter ref="A1:I33"/>
  <tableColumns count="9">
    <tableColumn id="1" name="Time" dataDxfId="107"/>
    <tableColumn id="2" name="Team" dataDxfId="106"/>
    <tableColumn id="3" name="Home/Away" dataDxfId="105"/>
    <tableColumn id="4" name="Opponent" dataDxfId="104"/>
    <tableColumn id="5" name="Column2" dataDxfId="103"/>
    <tableColumn id="6" name="Over/Under" dataDxfId="102"/>
    <tableColumn id="7" name="Projected Points" dataDxfId="101"/>
    <tableColumn id="8" name="Projected Points Change" dataDxfId="100" dataCellStyle="Hyperlink"/>
    <tableColumn id="9" name="Column3" dataDxfId="99"/>
  </tableColumns>
  <tableStyleInfo name="TableStyleMedium2" showFirstColumn="0" showLastColumn="0" showRowStripes="1" showColumnStripes="0"/>
</table>
</file>

<file path=xl/tables/table71.xml><?xml version="1.0" encoding="utf-8"?>
<table xmlns="http://schemas.openxmlformats.org/spreadsheetml/2006/main" id="47" name="TeamOffense2015" displayName="TeamOffense2015" ref="A2:U34" totalsRowShown="0" headerRowDxfId="98" dataDxfId="97">
  <autoFilter ref="A2:U34"/>
  <sortState ref="A3:T34">
    <sortCondition ref="A2:A34"/>
  </sortState>
  <tableColumns count="21">
    <tableColumn id="1" name="Team" dataDxfId="96"/>
    <tableColumn id="2" name="Rank" dataDxfId="95"/>
    <tableColumn id="3" name="Pts/G" dataDxfId="94"/>
    <tableColumn id="4" name="TotPts" dataDxfId="93"/>
    <tableColumn id="5" name="Plays" dataDxfId="92"/>
    <tableColumn id="6" name="Yds/G" dataDxfId="91"/>
    <tableColumn id="7" name="Yds/P" dataDxfId="90"/>
    <tableColumn id="8" name="1st/G" dataDxfId="89"/>
    <tableColumn id="9" name="3rd Md" dataDxfId="88"/>
    <tableColumn id="10" name="3rd Att" dataDxfId="87"/>
    <tableColumn id="11" name="3rd Pct" dataDxfId="86"/>
    <tableColumn id="12" name="4th Md" dataDxfId="85"/>
    <tableColumn id="13" name="4th Att" dataDxfId="84"/>
    <tableColumn id="14" name="4th Pct" dataDxfId="83"/>
    <tableColumn id="15" name="Pen" dataDxfId="82"/>
    <tableColumn id="16" name="Pen Yds" dataDxfId="81"/>
    <tableColumn id="17" name="ToP/G" dataDxfId="80"/>
    <tableColumn id="18" name="FUM" dataDxfId="79"/>
    <tableColumn id="19" name="Lost" dataDxfId="78"/>
    <tableColumn id="20" name="TO" dataDxfId="77"/>
    <tableColumn id="21" name="Column1" dataDxfId="76"/>
  </tableColumns>
  <tableStyleInfo name="TableStyleLight8" showFirstColumn="0" showLastColumn="0" showRowStripes="1" showColumnStripes="0"/>
</table>
</file>

<file path=xl/tables/table72.xml><?xml version="1.0" encoding="utf-8"?>
<table xmlns="http://schemas.openxmlformats.org/spreadsheetml/2006/main" id="48" name="TeamPassing2015" displayName="TeamPassing2015" ref="A37:T69" totalsRowShown="0" headerRowDxfId="75" dataDxfId="74">
  <autoFilter ref="A37:T69"/>
  <sortState ref="A38:S69">
    <sortCondition ref="A37:A69"/>
  </sortState>
  <tableColumns count="20">
    <tableColumn id="1" name="Team" dataDxfId="73"/>
    <tableColumn id="3" name="Pts/G" dataDxfId="72"/>
    <tableColumn id="4" name="TotPts" dataDxfId="71"/>
    <tableColumn id="5" name="Comp" dataDxfId="70"/>
    <tableColumn id="6" name="Att" dataDxfId="69"/>
    <tableColumn id="7" name="Pct" dataDxfId="68"/>
    <tableColumn id="8" name="Att/G" dataDxfId="67"/>
    <tableColumn id="9" name="Yds" dataDxfId="66"/>
    <tableColumn id="10" name="Avg" dataDxfId="65"/>
    <tableColumn id="11" name="Yds/G" dataDxfId="64"/>
    <tableColumn id="12" name="TD" dataDxfId="63"/>
    <tableColumn id="13" name="Int" dataDxfId="62"/>
    <tableColumn id="14" name="1st" dataDxfId="61"/>
    <tableColumn id="15" name="1st%" dataDxfId="60"/>
    <tableColumn id="16" name="Lng" dataDxfId="59"/>
    <tableColumn id="17" name="20+" dataDxfId="58"/>
    <tableColumn id="18" name="40+" dataDxfId="57"/>
    <tableColumn id="19" name="Sck" dataDxfId="56"/>
    <tableColumn id="20" name="Rate" dataDxfId="55"/>
    <tableColumn id="2" name="Column1" dataDxfId="54"/>
  </tableColumns>
  <tableStyleInfo name="TableStyleLight8" showFirstColumn="0" showLastColumn="0" showRowStripes="1" showColumnStripes="0"/>
</table>
</file>

<file path=xl/tables/table73.xml><?xml version="1.0" encoding="utf-8"?>
<table xmlns="http://schemas.openxmlformats.org/spreadsheetml/2006/main" id="49" name="TeamRushing2015" displayName="TeamRushing2015" ref="A72:P104" totalsRowShown="0" headerRowDxfId="53" dataDxfId="52">
  <autoFilter ref="A72:P104"/>
  <sortState ref="A73:O104">
    <sortCondition ref="A72:A104"/>
  </sortState>
  <tableColumns count="16">
    <tableColumn id="1" name="Team" dataDxfId="51"/>
    <tableColumn id="3" name="Pts/G" dataDxfId="50"/>
    <tableColumn id="4" name="TotPts" dataDxfId="49"/>
    <tableColumn id="5" name="Att" dataDxfId="48"/>
    <tableColumn id="6" name="Att/G" dataDxfId="47"/>
    <tableColumn id="7" name="Yds" dataDxfId="46"/>
    <tableColumn id="8" name="Avg" dataDxfId="45"/>
    <tableColumn id="9" name="Yds/G" dataDxfId="44"/>
    <tableColumn id="10" name="TD" dataDxfId="43"/>
    <tableColumn id="11" name="Lng" dataDxfId="42"/>
    <tableColumn id="12" name="1st" dataDxfId="41"/>
    <tableColumn id="13" name="1st%" dataDxfId="40"/>
    <tableColumn id="14" name="20+" dataDxfId="39"/>
    <tableColumn id="15" name="40+" dataDxfId="38"/>
    <tableColumn id="16" name="FUM" dataDxfId="37"/>
    <tableColumn id="2" name="Column1" dataDxfId="36"/>
  </tableColumns>
  <tableStyleInfo name="TableStyleLight8" showFirstColumn="0" showLastColumn="0" showRowStripes="1" showColumnStripes="0"/>
</table>
</file>

<file path=xl/tables/table74.xml><?xml version="1.0" encoding="utf-8"?>
<table xmlns="http://schemas.openxmlformats.org/spreadsheetml/2006/main" id="50" name="TeamReceiving2015" displayName="TeamReceiving2015" ref="A107:N139" totalsRowShown="0" headerRowDxfId="35" dataDxfId="34">
  <autoFilter ref="A107:N139"/>
  <sortState ref="A108:O139">
    <sortCondition descending="1" ref="N107:N139"/>
  </sortState>
  <tableColumns count="14">
    <tableColumn id="1" name="Team" dataDxfId="33"/>
    <tableColumn id="3" name="Pts/G" dataDxfId="32"/>
    <tableColumn id="4" name="TotPts" dataDxfId="31"/>
    <tableColumn id="5" name="Rec" dataDxfId="30"/>
    <tableColumn id="6" name="Yds" dataDxfId="29"/>
    <tableColumn id="7" name="Avg" dataDxfId="28"/>
    <tableColumn id="8" name="Yds/G" dataDxfId="27"/>
    <tableColumn id="9" name="Lng" dataDxfId="26"/>
    <tableColumn id="10" name="TD" dataDxfId="25"/>
    <tableColumn id="11" name="20+" dataDxfId="24"/>
    <tableColumn id="12" name="40+" dataDxfId="23"/>
    <tableColumn id="13" name="1st" dataDxfId="22"/>
    <tableColumn id="14" name="1st%" dataDxfId="21"/>
    <tableColumn id="15" name="FUM" dataDxfId="2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drawing" Target="../drawings/drawing1.xml"/><Relationship Id="rId1" Type="http://schemas.openxmlformats.org/officeDocument/2006/relationships/hyperlink" Target="http://www.dailyrotosharks.com/" TargetMode="Externa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table" Target="../tables/table14.xml"/><Relationship Id="rId1" Type="http://schemas.openxmlformats.org/officeDocument/2006/relationships/printerSettings" Target="../printerSettings/printerSettings1.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2.xml"/><Relationship Id="rId1" Type="http://schemas.openxmlformats.org/officeDocument/2006/relationships/hyperlink" Target="http://www.dailyrotosharks.com/" TargetMode="External"/><Relationship Id="rId4" Type="http://schemas.microsoft.com/office/2007/relationships/slicer" Target="../slicers/slicer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table" Target="../tables/table2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ww.dailyrotosharks.com/" TargetMode="External"/><Relationship Id="rId5" Type="http://schemas.microsoft.com/office/2007/relationships/slicer" Target="../slicers/slicer2.xml"/><Relationship Id="rId4" Type="http://schemas.openxmlformats.org/officeDocument/2006/relationships/table" Target="../tables/table2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table" Target="../tables/table30.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drawing" Target="../drawings/drawing4.xml"/><Relationship Id="rId1" Type="http://schemas.openxmlformats.org/officeDocument/2006/relationships/hyperlink" Target="http://www.dailyrotosharks.com/" TargetMode="External"/><Relationship Id="rId4" Type="http://schemas.microsoft.com/office/2007/relationships/slicer" Target="../slicers/slicer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table" Target="../tables/table36.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drawing" Target="../drawings/drawing5.xml"/><Relationship Id="rId1" Type="http://schemas.openxmlformats.org/officeDocument/2006/relationships/hyperlink" Target="http://www.dailyrotosharks.com/" TargetMode="External"/><Relationship Id="rId4" Type="http://schemas.microsoft.com/office/2007/relationships/slicer" Target="../slicers/slicer4.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table" Target="../tables/table42.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drawing" Target="../drawings/drawing6.xml"/><Relationship Id="rId1" Type="http://schemas.openxmlformats.org/officeDocument/2006/relationships/hyperlink" Target="http://www.dailyrotosharks.com/" TargetMode="External"/><Relationship Id="rId4" Type="http://schemas.microsoft.com/office/2007/relationships/slicer" Target="../slicers/slicer5.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hyperlink" Target="http://www.dailyrotosharks-nba.com/nba-memberships/" TargetMode="External"/><Relationship Id="rId5" Type="http://schemas.openxmlformats.org/officeDocument/2006/relationships/table" Target="../tables/table50.xml"/><Relationship Id="rId4" Type="http://schemas.openxmlformats.org/officeDocument/2006/relationships/table" Target="../tables/table49.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printerSettings" Target="../printerSettings/printerSettings4.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52.xml"/><Relationship Id="rId1" Type="http://schemas.openxmlformats.org/officeDocument/2006/relationships/drawing" Target="../drawings/drawing8.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6.bin"/><Relationship Id="rId1" Type="http://schemas.openxmlformats.org/officeDocument/2006/relationships/hyperlink" Target="http://www.dailyrotosharks.com/" TargetMode="External"/><Relationship Id="rId6" Type="http://schemas.microsoft.com/office/2007/relationships/slicer" Target="../slicers/slicer6.xml"/><Relationship Id="rId5" Type="http://schemas.openxmlformats.org/officeDocument/2006/relationships/table" Target="../tables/table54.xml"/><Relationship Id="rId4" Type="http://schemas.openxmlformats.org/officeDocument/2006/relationships/table" Target="../tables/table53.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56.xml"/><Relationship Id="rId2" Type="http://schemas.openxmlformats.org/officeDocument/2006/relationships/table" Target="../tables/table55.xml"/><Relationship Id="rId1" Type="http://schemas.openxmlformats.org/officeDocument/2006/relationships/drawing" Target="../drawings/drawing11.xml"/><Relationship Id="rId5" Type="http://schemas.microsoft.com/office/2007/relationships/slicer" Target="../slicers/slicer7.xml"/><Relationship Id="rId4" Type="http://schemas.openxmlformats.org/officeDocument/2006/relationships/table" Target="../tables/table57.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59.xml"/><Relationship Id="rId1" Type="http://schemas.openxmlformats.org/officeDocument/2006/relationships/table" Target="../tables/table58.xml"/></Relationships>
</file>

<file path=xl/worksheets/_rels/sheet42.xml.rels><?xml version="1.0" encoding="UTF-8" standalone="yes"?>
<Relationships xmlns="http://schemas.openxmlformats.org/package/2006/relationships"><Relationship Id="rId8" Type="http://schemas.openxmlformats.org/officeDocument/2006/relationships/table" Target="../tables/table65.xml"/><Relationship Id="rId3" Type="http://schemas.openxmlformats.org/officeDocument/2006/relationships/table" Target="../tables/table60.xml"/><Relationship Id="rId7" Type="http://schemas.openxmlformats.org/officeDocument/2006/relationships/table" Target="../tables/table64.xml"/><Relationship Id="rId12" Type="http://schemas.openxmlformats.org/officeDocument/2006/relationships/table" Target="../tables/table69.xml"/><Relationship Id="rId2" Type="http://schemas.openxmlformats.org/officeDocument/2006/relationships/drawing" Target="../drawings/drawing12.xml"/><Relationship Id="rId1" Type="http://schemas.openxmlformats.org/officeDocument/2006/relationships/hyperlink" Target="http://www.dailyrotosharks.com/" TargetMode="External"/><Relationship Id="rId6" Type="http://schemas.openxmlformats.org/officeDocument/2006/relationships/table" Target="../tables/table63.xml"/><Relationship Id="rId11" Type="http://schemas.openxmlformats.org/officeDocument/2006/relationships/table" Target="../tables/table68.xml"/><Relationship Id="rId5" Type="http://schemas.openxmlformats.org/officeDocument/2006/relationships/table" Target="../tables/table62.xml"/><Relationship Id="rId10" Type="http://schemas.openxmlformats.org/officeDocument/2006/relationships/table" Target="../tables/table67.xml"/><Relationship Id="rId4" Type="http://schemas.openxmlformats.org/officeDocument/2006/relationships/table" Target="../tables/table61.xml"/><Relationship Id="rId9" Type="http://schemas.openxmlformats.org/officeDocument/2006/relationships/table" Target="../tables/table66.xml"/></Relationships>
</file>

<file path=xl/worksheets/_rels/sheet43.xml.rels><?xml version="1.0" encoding="UTF-8" standalone="yes"?>
<Relationships xmlns="http://schemas.openxmlformats.org/package/2006/relationships"><Relationship Id="rId8" Type="http://schemas.openxmlformats.org/officeDocument/2006/relationships/hyperlink" Target="https://rotogrinders.com/schedules/nfl" TargetMode="External"/><Relationship Id="rId13" Type="http://schemas.openxmlformats.org/officeDocument/2006/relationships/hyperlink" Target="https://rotogrinders.com/schedules/nfl" TargetMode="External"/><Relationship Id="rId18" Type="http://schemas.openxmlformats.org/officeDocument/2006/relationships/hyperlink" Target="https://rotogrinders.com/schedules/nfl" TargetMode="External"/><Relationship Id="rId26" Type="http://schemas.openxmlformats.org/officeDocument/2006/relationships/hyperlink" Target="https://rotogrinders.com/schedules/nfl" TargetMode="External"/><Relationship Id="rId3" Type="http://schemas.openxmlformats.org/officeDocument/2006/relationships/hyperlink" Target="https://rotogrinders.com/schedules/nfl" TargetMode="External"/><Relationship Id="rId21" Type="http://schemas.openxmlformats.org/officeDocument/2006/relationships/hyperlink" Target="https://rotogrinders.com/schedules/nfl" TargetMode="External"/><Relationship Id="rId7" Type="http://schemas.openxmlformats.org/officeDocument/2006/relationships/hyperlink" Target="https://rotogrinders.com/schedules/nfl" TargetMode="External"/><Relationship Id="rId12" Type="http://schemas.openxmlformats.org/officeDocument/2006/relationships/hyperlink" Target="https://rotogrinders.com/schedules/nfl" TargetMode="External"/><Relationship Id="rId17" Type="http://schemas.openxmlformats.org/officeDocument/2006/relationships/hyperlink" Target="https://rotogrinders.com/schedules/nfl" TargetMode="External"/><Relationship Id="rId25" Type="http://schemas.openxmlformats.org/officeDocument/2006/relationships/hyperlink" Target="https://rotogrinders.com/schedules/nfl" TargetMode="External"/><Relationship Id="rId2" Type="http://schemas.openxmlformats.org/officeDocument/2006/relationships/hyperlink" Target="https://rotogrinders.com/schedules/nfl" TargetMode="External"/><Relationship Id="rId16" Type="http://schemas.openxmlformats.org/officeDocument/2006/relationships/hyperlink" Target="https://rotogrinders.com/schedules/nfl" TargetMode="External"/><Relationship Id="rId20" Type="http://schemas.openxmlformats.org/officeDocument/2006/relationships/hyperlink" Target="https://rotogrinders.com/schedules/nfl" TargetMode="External"/><Relationship Id="rId29" Type="http://schemas.openxmlformats.org/officeDocument/2006/relationships/hyperlink" Target="https://rotogrinders.com/schedules/nfl" TargetMode="External"/><Relationship Id="rId1" Type="http://schemas.openxmlformats.org/officeDocument/2006/relationships/hyperlink" Target="https://rotogrinders.com/schedules/nfl" TargetMode="External"/><Relationship Id="rId6" Type="http://schemas.openxmlformats.org/officeDocument/2006/relationships/hyperlink" Target="https://rotogrinders.com/schedules/nfl" TargetMode="External"/><Relationship Id="rId11" Type="http://schemas.openxmlformats.org/officeDocument/2006/relationships/hyperlink" Target="https://rotogrinders.com/schedules/nfl" TargetMode="External"/><Relationship Id="rId24" Type="http://schemas.openxmlformats.org/officeDocument/2006/relationships/hyperlink" Target="https://rotogrinders.com/schedules/nfl" TargetMode="External"/><Relationship Id="rId5" Type="http://schemas.openxmlformats.org/officeDocument/2006/relationships/hyperlink" Target="https://rotogrinders.com/schedules/nfl" TargetMode="External"/><Relationship Id="rId15" Type="http://schemas.openxmlformats.org/officeDocument/2006/relationships/hyperlink" Target="https://rotogrinders.com/schedules/nfl" TargetMode="External"/><Relationship Id="rId23" Type="http://schemas.openxmlformats.org/officeDocument/2006/relationships/hyperlink" Target="https://rotogrinders.com/schedules/nfl" TargetMode="External"/><Relationship Id="rId28" Type="http://schemas.openxmlformats.org/officeDocument/2006/relationships/hyperlink" Target="https://rotogrinders.com/schedules/nfl" TargetMode="External"/><Relationship Id="rId10" Type="http://schemas.openxmlformats.org/officeDocument/2006/relationships/hyperlink" Target="https://rotogrinders.com/schedules/nfl" TargetMode="External"/><Relationship Id="rId19" Type="http://schemas.openxmlformats.org/officeDocument/2006/relationships/hyperlink" Target="https://rotogrinders.com/schedules/nfl" TargetMode="External"/><Relationship Id="rId31" Type="http://schemas.openxmlformats.org/officeDocument/2006/relationships/table" Target="../tables/table70.xml"/><Relationship Id="rId4" Type="http://schemas.openxmlformats.org/officeDocument/2006/relationships/hyperlink" Target="https://rotogrinders.com/schedules/nfl" TargetMode="External"/><Relationship Id="rId9" Type="http://schemas.openxmlformats.org/officeDocument/2006/relationships/hyperlink" Target="https://rotogrinders.com/schedules/nfl" TargetMode="External"/><Relationship Id="rId14" Type="http://schemas.openxmlformats.org/officeDocument/2006/relationships/hyperlink" Target="https://rotogrinders.com/schedules/nfl" TargetMode="External"/><Relationship Id="rId22" Type="http://schemas.openxmlformats.org/officeDocument/2006/relationships/hyperlink" Target="https://rotogrinders.com/schedules/nfl" TargetMode="External"/><Relationship Id="rId27" Type="http://schemas.openxmlformats.org/officeDocument/2006/relationships/hyperlink" Target="https://rotogrinders.com/schedules/nfl" TargetMode="External"/><Relationship Id="rId30" Type="http://schemas.openxmlformats.org/officeDocument/2006/relationships/hyperlink" Target="https://rotogrinders.com/schedules/nfl" TargetMode="External"/></Relationships>
</file>

<file path=xl/worksheets/_rels/sheet44.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table" Target="../tables/table72.xml"/><Relationship Id="rId1" Type="http://schemas.openxmlformats.org/officeDocument/2006/relationships/table" Target="../tables/table71.xml"/><Relationship Id="rId4" Type="http://schemas.openxmlformats.org/officeDocument/2006/relationships/table" Target="../tables/table7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L385"/>
  <sheetViews>
    <sheetView topLeftCell="A234" workbookViewId="0">
      <selection activeCell="D250" sqref="D250"/>
    </sheetView>
  </sheetViews>
  <sheetFormatPr defaultRowHeight="14.4" x14ac:dyDescent="0.3"/>
  <cols>
    <col min="1" max="1" width="10.44140625" customWidth="1"/>
    <col min="2" max="2" width="24.5546875" bestFit="1" customWidth="1"/>
    <col min="3" max="3" width="8.44140625" customWidth="1"/>
    <col min="4" max="4" width="20.109375" bestFit="1" customWidth="1"/>
    <col min="5" max="5" width="20.21875" customWidth="1"/>
    <col min="6" max="6" width="14.109375" customWidth="1"/>
  </cols>
  <sheetData>
    <row r="1" spans="1:64" x14ac:dyDescent="0.3">
      <c r="A1" s="135" t="s">
        <v>1913</v>
      </c>
      <c r="B1" s="135" t="s">
        <v>1914</v>
      </c>
      <c r="C1" s="135" t="s">
        <v>1915</v>
      </c>
      <c r="D1" s="135" t="s">
        <v>1</v>
      </c>
      <c r="E1" s="135" t="s">
        <v>413</v>
      </c>
      <c r="F1" s="135" t="s">
        <v>387</v>
      </c>
      <c r="G1" s="135" t="s">
        <v>81</v>
      </c>
      <c r="H1" s="135" t="s">
        <v>1916</v>
      </c>
      <c r="I1" s="135" t="s">
        <v>1917</v>
      </c>
      <c r="J1" s="135" t="s">
        <v>1918</v>
      </c>
      <c r="K1" s="135" t="s">
        <v>797</v>
      </c>
      <c r="L1" s="135" t="s">
        <v>798</v>
      </c>
      <c r="M1" s="135" t="s">
        <v>1919</v>
      </c>
      <c r="N1" s="135" t="s">
        <v>799</v>
      </c>
      <c r="O1" s="135" t="s">
        <v>605</v>
      </c>
      <c r="P1" s="135" t="s">
        <v>800</v>
      </c>
      <c r="Q1" s="135" t="s">
        <v>801</v>
      </c>
      <c r="R1" s="135" t="s">
        <v>392</v>
      </c>
      <c r="S1" s="135" t="s">
        <v>389</v>
      </c>
      <c r="T1" s="135" t="s">
        <v>826</v>
      </c>
      <c r="U1" s="135" t="s">
        <v>393</v>
      </c>
      <c r="V1" s="135" t="s">
        <v>1230</v>
      </c>
      <c r="W1" s="135" t="s">
        <v>1257</v>
      </c>
      <c r="X1" s="135" t="s">
        <v>1920</v>
      </c>
      <c r="Y1" s="135" t="s">
        <v>1427</v>
      </c>
      <c r="Z1" s="135" t="s">
        <v>1921</v>
      </c>
      <c r="AA1" s="135" t="s">
        <v>1922</v>
      </c>
      <c r="AB1" s="135" t="s">
        <v>1923</v>
      </c>
      <c r="AC1" s="135" t="s">
        <v>1924</v>
      </c>
      <c r="AD1" s="135" t="s">
        <v>1925</v>
      </c>
      <c r="AE1" s="135" t="s">
        <v>1926</v>
      </c>
      <c r="AF1" s="135" t="s">
        <v>1927</v>
      </c>
      <c r="AG1" s="135" t="s">
        <v>1928</v>
      </c>
      <c r="AH1" s="135" t="s">
        <v>1929</v>
      </c>
      <c r="AI1" s="135" t="s">
        <v>1930</v>
      </c>
      <c r="AJ1" s="135" t="s">
        <v>1931</v>
      </c>
      <c r="AK1" s="135" t="s">
        <v>1932</v>
      </c>
      <c r="AL1" s="135" t="s">
        <v>1933</v>
      </c>
      <c r="AM1" s="135" t="s">
        <v>1934</v>
      </c>
      <c r="AN1" s="135" t="s">
        <v>1935</v>
      </c>
      <c r="AO1" s="135" t="s">
        <v>1936</v>
      </c>
      <c r="AP1" s="135" t="s">
        <v>1937</v>
      </c>
      <c r="AQ1" s="135" t="s">
        <v>1938</v>
      </c>
      <c r="AR1" s="135" t="s">
        <v>1939</v>
      </c>
      <c r="AS1" s="135" t="s">
        <v>1940</v>
      </c>
      <c r="AT1" s="135" t="s">
        <v>1941</v>
      </c>
      <c r="AU1" s="135" t="s">
        <v>1942</v>
      </c>
      <c r="AV1" s="135" t="s">
        <v>1943</v>
      </c>
      <c r="AW1" s="135" t="s">
        <v>1944</v>
      </c>
      <c r="AX1" s="135" t="s">
        <v>1945</v>
      </c>
      <c r="AY1" s="135" t="s">
        <v>1946</v>
      </c>
      <c r="AZ1" s="135" t="s">
        <v>1947</v>
      </c>
      <c r="BA1" s="135" t="s">
        <v>1948</v>
      </c>
      <c r="BB1" s="135" t="s">
        <v>1949</v>
      </c>
      <c r="BC1" s="135" t="s">
        <v>1950</v>
      </c>
      <c r="BD1" s="135" t="s">
        <v>1951</v>
      </c>
      <c r="BE1" s="135" t="s">
        <v>1952</v>
      </c>
      <c r="BF1" s="135" t="s">
        <v>1953</v>
      </c>
      <c r="BG1" s="135" t="s">
        <v>1954</v>
      </c>
      <c r="BH1" s="135" t="s">
        <v>1955</v>
      </c>
      <c r="BI1" s="135" t="s">
        <v>1956</v>
      </c>
      <c r="BJ1" s="135" t="s">
        <v>1606</v>
      </c>
      <c r="BK1" s="135" t="s">
        <v>2294</v>
      </c>
      <c r="BL1" s="135" t="s">
        <v>1957</v>
      </c>
    </row>
    <row r="2" spans="1:64" x14ac:dyDescent="0.3">
      <c r="A2" s="135">
        <v>2016</v>
      </c>
      <c r="B2" s="135">
        <v>4</v>
      </c>
      <c r="C2" s="135" t="s">
        <v>1961</v>
      </c>
      <c r="D2" s="135" t="s">
        <v>21</v>
      </c>
      <c r="E2" s="135" t="s">
        <v>405</v>
      </c>
      <c r="F2" s="135" t="s">
        <v>22</v>
      </c>
      <c r="G2" s="135" t="s">
        <v>2296</v>
      </c>
      <c r="H2" s="135">
        <v>23.95</v>
      </c>
      <c r="I2" s="135">
        <v>22.681000000000001</v>
      </c>
      <c r="J2" s="135">
        <v>22.681000000000001</v>
      </c>
      <c r="K2" s="135">
        <v>23.765000000000001</v>
      </c>
      <c r="L2" s="135">
        <v>36.606000000000002</v>
      </c>
      <c r="M2" s="135">
        <v>276.62599999999998</v>
      </c>
      <c r="N2" s="135">
        <v>1.9279999999999999</v>
      </c>
      <c r="O2" s="135">
        <v>0.93400000000000005</v>
      </c>
      <c r="P2" s="135">
        <v>6.9480000000000004</v>
      </c>
      <c r="Q2" s="135">
        <v>34.619999999999997</v>
      </c>
      <c r="R2" s="135">
        <v>0.46100000000000002</v>
      </c>
      <c r="S2" s="135">
        <v>0</v>
      </c>
      <c r="T2" s="135">
        <v>0</v>
      </c>
      <c r="U2" s="135">
        <v>0</v>
      </c>
      <c r="V2" s="135">
        <v>0.22800000000000001</v>
      </c>
      <c r="W2" s="135">
        <v>0</v>
      </c>
      <c r="X2" s="135">
        <v>0</v>
      </c>
      <c r="Y2" s="135" t="s">
        <v>1959</v>
      </c>
      <c r="Z2" s="135">
        <v>25.2</v>
      </c>
      <c r="AA2" s="135">
        <v>7300</v>
      </c>
      <c r="AB2" s="135">
        <v>289.5</v>
      </c>
      <c r="AC2" s="135">
        <v>3.45</v>
      </c>
      <c r="AD2" s="135">
        <v>23.6</v>
      </c>
      <c r="AE2" s="135">
        <v>21900</v>
      </c>
      <c r="AF2" s="135">
        <v>927.4</v>
      </c>
      <c r="AG2" s="135">
        <v>1.08</v>
      </c>
      <c r="AH2" s="135">
        <v>24.6</v>
      </c>
      <c r="AI2" s="135">
        <v>7800</v>
      </c>
      <c r="AJ2" s="135">
        <v>317</v>
      </c>
      <c r="AK2" s="135">
        <v>3.15</v>
      </c>
      <c r="AL2" s="135">
        <v>23.6</v>
      </c>
      <c r="AM2" s="135">
        <v>9300</v>
      </c>
      <c r="AN2" s="135">
        <v>393.8</v>
      </c>
      <c r="AO2" s="135">
        <v>2.54</v>
      </c>
      <c r="AP2" s="135"/>
      <c r="AQ2" s="135"/>
      <c r="AR2" s="135"/>
      <c r="AS2" s="135"/>
      <c r="AT2" s="135"/>
      <c r="AU2" s="135"/>
      <c r="AV2" s="135"/>
      <c r="AW2" s="135"/>
      <c r="AX2" s="135">
        <v>23.6</v>
      </c>
      <c r="AY2" s="135">
        <v>39</v>
      </c>
      <c r="AZ2" s="135">
        <v>1.7</v>
      </c>
      <c r="BA2" s="135">
        <v>0.61</v>
      </c>
      <c r="BB2" s="135"/>
      <c r="BC2" s="135"/>
      <c r="BD2" s="135"/>
      <c r="BE2" s="135"/>
      <c r="BF2" s="135">
        <v>24.6</v>
      </c>
      <c r="BG2" s="135">
        <v>14600</v>
      </c>
      <c r="BH2" s="135">
        <v>593.4</v>
      </c>
      <c r="BI2" s="135">
        <v>1.69</v>
      </c>
      <c r="BJ2" s="135">
        <v>50</v>
      </c>
      <c r="BK2" s="135">
        <v>-3</v>
      </c>
      <c r="BL2" s="135">
        <v>26.5</v>
      </c>
    </row>
    <row r="3" spans="1:64" x14ac:dyDescent="0.3">
      <c r="A3" s="135">
        <v>2016</v>
      </c>
      <c r="B3" s="135">
        <v>4</v>
      </c>
      <c r="C3" s="135" t="s">
        <v>1958</v>
      </c>
      <c r="D3" s="135" t="s">
        <v>15</v>
      </c>
      <c r="E3" s="135" t="s">
        <v>405</v>
      </c>
      <c r="F3" s="135" t="s">
        <v>16</v>
      </c>
      <c r="G3" s="135" t="s">
        <v>1980</v>
      </c>
      <c r="H3" s="135">
        <v>19.52</v>
      </c>
      <c r="I3" s="135">
        <v>20.219000000000001</v>
      </c>
      <c r="J3" s="135">
        <v>20.219000000000001</v>
      </c>
      <c r="K3" s="135">
        <v>25.026</v>
      </c>
      <c r="L3" s="135">
        <v>38.604999999999997</v>
      </c>
      <c r="M3" s="135">
        <v>284.73700000000002</v>
      </c>
      <c r="N3" s="135">
        <v>1.952</v>
      </c>
      <c r="O3" s="135">
        <v>0.94399999999999995</v>
      </c>
      <c r="P3" s="135">
        <v>2.7229999999999999</v>
      </c>
      <c r="Q3" s="135">
        <v>17.216000000000001</v>
      </c>
      <c r="R3" s="135">
        <v>0.26900000000000002</v>
      </c>
      <c r="S3" s="135">
        <v>0</v>
      </c>
      <c r="T3" s="135">
        <v>0</v>
      </c>
      <c r="U3" s="135">
        <v>0</v>
      </c>
      <c r="V3" s="135">
        <v>0.21299999999999999</v>
      </c>
      <c r="W3" s="135">
        <v>0</v>
      </c>
      <c r="X3" s="135">
        <v>0</v>
      </c>
      <c r="Y3" s="135" t="s">
        <v>1959</v>
      </c>
      <c r="Z3" s="135">
        <v>22.9</v>
      </c>
      <c r="AA3" s="135">
        <v>7400</v>
      </c>
      <c r="AB3" s="135">
        <v>323.8</v>
      </c>
      <c r="AC3" s="135">
        <v>3.09</v>
      </c>
      <c r="AD3" s="135">
        <v>21.2</v>
      </c>
      <c r="AE3" s="135">
        <v>17100</v>
      </c>
      <c r="AF3" s="135">
        <v>808</v>
      </c>
      <c r="AG3" s="135">
        <v>1.24</v>
      </c>
      <c r="AH3" s="135">
        <v>22</v>
      </c>
      <c r="AI3" s="135">
        <v>7400</v>
      </c>
      <c r="AJ3" s="135">
        <v>335.6</v>
      </c>
      <c r="AK3" s="135">
        <v>2.98</v>
      </c>
      <c r="AL3" s="135">
        <v>21.2</v>
      </c>
      <c r="AM3" s="135">
        <v>8900</v>
      </c>
      <c r="AN3" s="135">
        <v>420.5</v>
      </c>
      <c r="AO3" s="135">
        <v>2.38</v>
      </c>
      <c r="AP3" s="135"/>
      <c r="AQ3" s="135"/>
      <c r="AR3" s="135"/>
      <c r="AS3" s="135"/>
      <c r="AT3" s="135"/>
      <c r="AU3" s="135"/>
      <c r="AV3" s="135"/>
      <c r="AW3" s="135"/>
      <c r="AX3" s="135">
        <v>21.2</v>
      </c>
      <c r="AY3" s="135">
        <v>37</v>
      </c>
      <c r="AZ3" s="135">
        <v>1.7</v>
      </c>
      <c r="BA3" s="135">
        <v>0.56999999999999995</v>
      </c>
      <c r="BB3" s="135"/>
      <c r="BC3" s="135"/>
      <c r="BD3" s="135"/>
      <c r="BE3" s="135"/>
      <c r="BF3" s="135">
        <v>22</v>
      </c>
      <c r="BG3" s="135">
        <v>14000</v>
      </c>
      <c r="BH3" s="135">
        <v>635</v>
      </c>
      <c r="BI3" s="135">
        <v>1.57</v>
      </c>
      <c r="BJ3" s="135">
        <v>49.5</v>
      </c>
      <c r="BK3" s="135">
        <v>-2.5</v>
      </c>
      <c r="BL3" s="135">
        <v>26</v>
      </c>
    </row>
    <row r="4" spans="1:64" x14ac:dyDescent="0.3">
      <c r="A4" s="135">
        <v>2016</v>
      </c>
      <c r="B4" s="135">
        <v>4</v>
      </c>
      <c r="C4" s="135" t="s">
        <v>1970</v>
      </c>
      <c r="D4" s="135" t="s">
        <v>11</v>
      </c>
      <c r="E4" s="135" t="s">
        <v>405</v>
      </c>
      <c r="F4" s="135" t="s">
        <v>12</v>
      </c>
      <c r="G4" s="135" t="s">
        <v>16</v>
      </c>
      <c r="H4" s="135">
        <v>12.06</v>
      </c>
      <c r="I4" s="135">
        <v>19.388999999999999</v>
      </c>
      <c r="J4" s="135">
        <v>19.388999999999999</v>
      </c>
      <c r="K4" s="135">
        <v>27.224</v>
      </c>
      <c r="L4" s="135">
        <v>40.951999999999998</v>
      </c>
      <c r="M4" s="135">
        <v>290.87</v>
      </c>
      <c r="N4" s="135">
        <v>1.8580000000000001</v>
      </c>
      <c r="O4" s="135">
        <v>1.31</v>
      </c>
      <c r="P4" s="135">
        <v>5.056</v>
      </c>
      <c r="Q4" s="135">
        <v>28.202000000000002</v>
      </c>
      <c r="R4" s="135">
        <v>0.10100000000000001</v>
      </c>
      <c r="S4" s="135">
        <v>0</v>
      </c>
      <c r="T4" s="135">
        <v>0</v>
      </c>
      <c r="U4" s="135">
        <v>0</v>
      </c>
      <c r="V4" s="135">
        <v>0.24199999999999999</v>
      </c>
      <c r="W4" s="135">
        <v>0</v>
      </c>
      <c r="X4" s="135">
        <v>0</v>
      </c>
      <c r="Y4" s="135" t="s">
        <v>1959</v>
      </c>
      <c r="Z4" s="135">
        <v>22.1</v>
      </c>
      <c r="AA4" s="135">
        <v>6300</v>
      </c>
      <c r="AB4" s="135">
        <v>285.60000000000002</v>
      </c>
      <c r="AC4" s="135">
        <v>3.5</v>
      </c>
      <c r="AD4" s="135">
        <v>20.7</v>
      </c>
      <c r="AE4" s="135">
        <v>14300</v>
      </c>
      <c r="AF4" s="135">
        <v>690.9</v>
      </c>
      <c r="AG4" s="135">
        <v>1.45</v>
      </c>
      <c r="AH4" s="135">
        <v>21.7</v>
      </c>
      <c r="AI4" s="135">
        <v>6400</v>
      </c>
      <c r="AJ4" s="135">
        <v>295</v>
      </c>
      <c r="AK4" s="135">
        <v>3.39</v>
      </c>
      <c r="AL4" s="135">
        <v>20.7</v>
      </c>
      <c r="AM4" s="135">
        <v>7700</v>
      </c>
      <c r="AN4" s="135">
        <v>372</v>
      </c>
      <c r="AO4" s="135">
        <v>2.69</v>
      </c>
      <c r="AP4" s="135"/>
      <c r="AQ4" s="135"/>
      <c r="AR4" s="135"/>
      <c r="AS4" s="135"/>
      <c r="AT4" s="135"/>
      <c r="AU4" s="135"/>
      <c r="AV4" s="135"/>
      <c r="AW4" s="135"/>
      <c r="AX4" s="135">
        <v>20.7</v>
      </c>
      <c r="AY4" s="135">
        <v>34</v>
      </c>
      <c r="AZ4" s="135">
        <v>1.6</v>
      </c>
      <c r="BA4" s="135">
        <v>0.61</v>
      </c>
      <c r="BB4" s="135"/>
      <c r="BC4" s="135"/>
      <c r="BD4" s="135"/>
      <c r="BE4" s="135"/>
      <c r="BF4" s="135">
        <v>21.7</v>
      </c>
      <c r="BG4" s="135">
        <v>12000</v>
      </c>
      <c r="BH4" s="135">
        <v>553.20000000000005</v>
      </c>
      <c r="BI4" s="135">
        <v>1.81</v>
      </c>
      <c r="BJ4" s="135">
        <v>49.5</v>
      </c>
      <c r="BK4" s="135">
        <v>2.5</v>
      </c>
      <c r="BL4" s="135">
        <v>23.5</v>
      </c>
    </row>
    <row r="5" spans="1:64" x14ac:dyDescent="0.3">
      <c r="A5" s="135">
        <v>2016</v>
      </c>
      <c r="B5" s="135">
        <v>4</v>
      </c>
      <c r="C5" s="135" t="s">
        <v>1960</v>
      </c>
      <c r="D5" s="135" t="s">
        <v>8</v>
      </c>
      <c r="E5" s="135" t="s">
        <v>405</v>
      </c>
      <c r="F5" s="135" t="s">
        <v>404</v>
      </c>
      <c r="G5" s="135" t="s">
        <v>2308</v>
      </c>
      <c r="H5" s="135">
        <v>21.65</v>
      </c>
      <c r="I5" s="135">
        <v>19.326000000000001</v>
      </c>
      <c r="J5" s="135">
        <v>19.326000000000001</v>
      </c>
      <c r="K5" s="135">
        <v>28.977</v>
      </c>
      <c r="L5" s="135">
        <v>44.33</v>
      </c>
      <c r="M5" s="135">
        <v>322.92</v>
      </c>
      <c r="N5" s="135">
        <v>2.0299999999999998</v>
      </c>
      <c r="O5" s="135">
        <v>0.97499999999999998</v>
      </c>
      <c r="P5" s="135">
        <v>1.226</v>
      </c>
      <c r="Q5" s="135">
        <v>3.8119999999999998</v>
      </c>
      <c r="R5" s="135">
        <v>4.2000000000000003E-2</v>
      </c>
      <c r="S5" s="135">
        <v>0</v>
      </c>
      <c r="T5" s="135">
        <v>0</v>
      </c>
      <c r="U5" s="135">
        <v>0</v>
      </c>
      <c r="V5" s="135">
        <v>0.19700000000000001</v>
      </c>
      <c r="W5" s="135">
        <v>0</v>
      </c>
      <c r="X5" s="135">
        <v>0</v>
      </c>
      <c r="Y5" s="135" t="s">
        <v>1959</v>
      </c>
      <c r="Z5" s="135">
        <v>22.4</v>
      </c>
      <c r="AA5" s="135">
        <v>7600</v>
      </c>
      <c r="AB5" s="135">
        <v>339.9</v>
      </c>
      <c r="AC5" s="135">
        <v>2.94</v>
      </c>
      <c r="AD5" s="135">
        <v>20.3</v>
      </c>
      <c r="AE5" s="135">
        <v>18050</v>
      </c>
      <c r="AF5" s="135">
        <v>889.1</v>
      </c>
      <c r="AG5" s="135">
        <v>1.1200000000000001</v>
      </c>
      <c r="AH5" s="135">
        <v>21.2</v>
      </c>
      <c r="AI5" s="135">
        <v>7600</v>
      </c>
      <c r="AJ5" s="135">
        <v>359.1</v>
      </c>
      <c r="AK5" s="135">
        <v>2.79</v>
      </c>
      <c r="AL5" s="135">
        <v>20.3</v>
      </c>
      <c r="AM5" s="135">
        <v>8600</v>
      </c>
      <c r="AN5" s="135">
        <v>423.6</v>
      </c>
      <c r="AO5" s="135">
        <v>2.36</v>
      </c>
      <c r="AP5" s="135"/>
      <c r="AQ5" s="135"/>
      <c r="AR5" s="135"/>
      <c r="AS5" s="135"/>
      <c r="AT5" s="135"/>
      <c r="AU5" s="135"/>
      <c r="AV5" s="135"/>
      <c r="AW5" s="135"/>
      <c r="AX5" s="135">
        <v>20.3</v>
      </c>
      <c r="AY5" s="135">
        <v>40</v>
      </c>
      <c r="AZ5" s="135">
        <v>2</v>
      </c>
      <c r="BA5" s="135">
        <v>0.51</v>
      </c>
      <c r="BB5" s="135"/>
      <c r="BC5" s="135"/>
      <c r="BD5" s="135"/>
      <c r="BE5" s="135"/>
      <c r="BF5" s="135">
        <v>21.2</v>
      </c>
      <c r="BG5" s="135">
        <v>14200</v>
      </c>
      <c r="BH5" s="135">
        <v>670.9</v>
      </c>
      <c r="BI5" s="135">
        <v>1.49</v>
      </c>
      <c r="BJ5" s="135">
        <v>53.5</v>
      </c>
      <c r="BK5" s="135">
        <v>4</v>
      </c>
      <c r="BL5" s="135">
        <v>24.75</v>
      </c>
    </row>
    <row r="6" spans="1:64" x14ac:dyDescent="0.3">
      <c r="A6" s="135">
        <v>2016</v>
      </c>
      <c r="B6" s="135">
        <v>4</v>
      </c>
      <c r="C6" s="135" t="s">
        <v>1966</v>
      </c>
      <c r="D6" s="135" t="s">
        <v>40</v>
      </c>
      <c r="E6" s="135" t="s">
        <v>405</v>
      </c>
      <c r="F6" s="135" t="s">
        <v>407</v>
      </c>
      <c r="G6" s="135" t="s">
        <v>404</v>
      </c>
      <c r="H6" s="135">
        <v>13.49</v>
      </c>
      <c r="I6" s="135">
        <v>19.314</v>
      </c>
      <c r="J6" s="135">
        <v>19.314</v>
      </c>
      <c r="K6" s="135">
        <v>25.475999999999999</v>
      </c>
      <c r="L6" s="135">
        <v>36.781999999999996</v>
      </c>
      <c r="M6" s="135">
        <v>303.11599999999999</v>
      </c>
      <c r="N6" s="135">
        <v>2.121</v>
      </c>
      <c r="O6" s="135">
        <v>0.78100000000000003</v>
      </c>
      <c r="P6" s="135">
        <v>0.65100000000000002</v>
      </c>
      <c r="Q6" s="135">
        <v>2.1760000000000002</v>
      </c>
      <c r="R6" s="135">
        <v>6.8000000000000005E-2</v>
      </c>
      <c r="S6" s="135">
        <v>0</v>
      </c>
      <c r="T6" s="135">
        <v>0</v>
      </c>
      <c r="U6" s="135">
        <v>0</v>
      </c>
      <c r="V6" s="135">
        <v>0.17899999999999999</v>
      </c>
      <c r="W6" s="135">
        <v>0</v>
      </c>
      <c r="X6" s="135">
        <v>0</v>
      </c>
      <c r="Y6" s="135" t="s">
        <v>1959</v>
      </c>
      <c r="Z6" s="135">
        <v>22.2</v>
      </c>
      <c r="AA6" s="135">
        <v>6800</v>
      </c>
      <c r="AB6" s="135">
        <v>306.8</v>
      </c>
      <c r="AC6" s="135">
        <v>3.26</v>
      </c>
      <c r="AD6" s="135">
        <v>20.100000000000001</v>
      </c>
      <c r="AE6" s="135">
        <v>17750</v>
      </c>
      <c r="AF6" s="135">
        <v>883.3</v>
      </c>
      <c r="AG6" s="135">
        <v>1.1299999999999999</v>
      </c>
      <c r="AH6" s="135">
        <v>20.9</v>
      </c>
      <c r="AI6" s="135">
        <v>6900</v>
      </c>
      <c r="AJ6" s="135">
        <v>330.2</v>
      </c>
      <c r="AK6" s="135">
        <v>3.03</v>
      </c>
      <c r="AL6" s="135">
        <v>20.100000000000001</v>
      </c>
      <c r="AM6" s="135">
        <v>8500</v>
      </c>
      <c r="AN6" s="135">
        <v>423</v>
      </c>
      <c r="AO6" s="135">
        <v>2.36</v>
      </c>
      <c r="AP6" s="135"/>
      <c r="AQ6" s="135"/>
      <c r="AR6" s="135"/>
      <c r="AS6" s="135"/>
      <c r="AT6" s="135"/>
      <c r="AU6" s="135"/>
      <c r="AV6" s="135"/>
      <c r="AW6" s="135"/>
      <c r="AX6" s="135">
        <v>20.100000000000001</v>
      </c>
      <c r="AY6" s="135">
        <v>37</v>
      </c>
      <c r="AZ6" s="135">
        <v>1.8</v>
      </c>
      <c r="BA6" s="135">
        <v>0.54</v>
      </c>
      <c r="BB6" s="135"/>
      <c r="BC6" s="135"/>
      <c r="BD6" s="135"/>
      <c r="BE6" s="135"/>
      <c r="BF6" s="135">
        <v>20.9</v>
      </c>
      <c r="BG6" s="135">
        <v>13000</v>
      </c>
      <c r="BH6" s="135">
        <v>622.20000000000005</v>
      </c>
      <c r="BI6" s="135">
        <v>1.61</v>
      </c>
      <c r="BJ6" s="135">
        <v>53.5</v>
      </c>
      <c r="BK6" s="135">
        <v>-4</v>
      </c>
      <c r="BL6" s="135">
        <v>28.75</v>
      </c>
    </row>
    <row r="7" spans="1:64" x14ac:dyDescent="0.3">
      <c r="A7" s="135">
        <v>2016</v>
      </c>
      <c r="B7" s="135">
        <v>4</v>
      </c>
      <c r="C7" s="135" t="s">
        <v>1975</v>
      </c>
      <c r="D7" s="135" t="s">
        <v>25</v>
      </c>
      <c r="E7" s="135" t="s">
        <v>405</v>
      </c>
      <c r="F7" s="135" t="s">
        <v>26</v>
      </c>
      <c r="G7" s="135" t="s">
        <v>2298</v>
      </c>
      <c r="H7" s="135">
        <v>19.37</v>
      </c>
      <c r="I7" s="135">
        <v>19.106999999999999</v>
      </c>
      <c r="J7" s="135">
        <v>19.106999999999999</v>
      </c>
      <c r="K7" s="135">
        <v>24.696000000000002</v>
      </c>
      <c r="L7" s="135">
        <v>36.320999999999998</v>
      </c>
      <c r="M7" s="135">
        <v>280.76</v>
      </c>
      <c r="N7" s="135">
        <v>1.86</v>
      </c>
      <c r="O7" s="135">
        <v>0.79</v>
      </c>
      <c r="P7" s="135">
        <v>2.8330000000000002</v>
      </c>
      <c r="Q7" s="135">
        <v>13.942</v>
      </c>
      <c r="R7" s="135">
        <v>0.158</v>
      </c>
      <c r="S7" s="135">
        <v>0</v>
      </c>
      <c r="T7" s="135">
        <v>0</v>
      </c>
      <c r="U7" s="135">
        <v>0</v>
      </c>
      <c r="V7" s="135">
        <v>0.16300000000000001</v>
      </c>
      <c r="W7" s="135">
        <v>0</v>
      </c>
      <c r="X7" s="135">
        <v>0</v>
      </c>
      <c r="Y7" s="135" t="s">
        <v>1959</v>
      </c>
      <c r="Z7" s="135">
        <v>21.8</v>
      </c>
      <c r="AA7" s="135">
        <v>6850</v>
      </c>
      <c r="AB7" s="135">
        <v>314.89999999999998</v>
      </c>
      <c r="AC7" s="135">
        <v>3.18</v>
      </c>
      <c r="AD7" s="135">
        <v>19.899999999999999</v>
      </c>
      <c r="AE7" s="135">
        <v>16600</v>
      </c>
      <c r="AF7" s="135">
        <v>834.3</v>
      </c>
      <c r="AG7" s="135">
        <v>1.2</v>
      </c>
      <c r="AH7" s="135">
        <v>20.7</v>
      </c>
      <c r="AI7" s="135">
        <v>7300</v>
      </c>
      <c r="AJ7" s="135">
        <v>352.6</v>
      </c>
      <c r="AK7" s="135">
        <v>2.84</v>
      </c>
      <c r="AL7" s="135">
        <v>19.899999999999999</v>
      </c>
      <c r="AM7" s="135">
        <v>8300</v>
      </c>
      <c r="AN7" s="135">
        <v>417.2</v>
      </c>
      <c r="AO7" s="135">
        <v>2.4</v>
      </c>
      <c r="AP7" s="135"/>
      <c r="AQ7" s="135"/>
      <c r="AR7" s="135"/>
      <c r="AS7" s="135"/>
      <c r="AT7" s="135"/>
      <c r="AU7" s="135"/>
      <c r="AV7" s="135"/>
      <c r="AW7" s="135"/>
      <c r="AX7" s="135">
        <v>19.899999999999999</v>
      </c>
      <c r="AY7" s="135">
        <v>37</v>
      </c>
      <c r="AZ7" s="135">
        <v>1.9</v>
      </c>
      <c r="BA7" s="135">
        <v>0.54</v>
      </c>
      <c r="BB7" s="135"/>
      <c r="BC7" s="135"/>
      <c r="BD7" s="135"/>
      <c r="BE7" s="135"/>
      <c r="BF7" s="135">
        <v>20.7</v>
      </c>
      <c r="BG7" s="135">
        <v>13700</v>
      </c>
      <c r="BH7" s="135">
        <v>661.7</v>
      </c>
      <c r="BI7" s="135">
        <v>1.51</v>
      </c>
      <c r="BJ7" s="135">
        <v>46.5</v>
      </c>
      <c r="BK7" s="135">
        <v>-3</v>
      </c>
      <c r="BL7" s="135">
        <v>24.75</v>
      </c>
    </row>
    <row r="8" spans="1:64" x14ac:dyDescent="0.3">
      <c r="A8" s="135">
        <v>2016</v>
      </c>
      <c r="B8" s="135">
        <v>4</v>
      </c>
      <c r="C8" s="135" t="s">
        <v>1986</v>
      </c>
      <c r="D8" s="135" t="s">
        <v>17</v>
      </c>
      <c r="E8" s="135" t="s">
        <v>405</v>
      </c>
      <c r="F8" s="135" t="s">
        <v>18</v>
      </c>
      <c r="G8" s="135" t="s">
        <v>14</v>
      </c>
      <c r="H8" s="135">
        <v>18.37</v>
      </c>
      <c r="I8" s="135">
        <v>18.978000000000002</v>
      </c>
      <c r="J8" s="135">
        <v>18.978000000000002</v>
      </c>
      <c r="K8" s="135">
        <v>24.302</v>
      </c>
      <c r="L8" s="135">
        <v>39.103000000000002</v>
      </c>
      <c r="M8" s="135">
        <v>289.11900000000003</v>
      </c>
      <c r="N8" s="135">
        <v>1.9490000000000001</v>
      </c>
      <c r="O8" s="135">
        <v>0.92300000000000004</v>
      </c>
      <c r="P8" s="135">
        <v>3.0840000000000001</v>
      </c>
      <c r="Q8" s="135">
        <v>9.9109999999999996</v>
      </c>
      <c r="R8" s="135">
        <v>0.14399999999999999</v>
      </c>
      <c r="S8" s="135">
        <v>0</v>
      </c>
      <c r="T8" s="135">
        <v>0</v>
      </c>
      <c r="U8" s="135">
        <v>0</v>
      </c>
      <c r="V8" s="135">
        <v>0.19600000000000001</v>
      </c>
      <c r="W8" s="135">
        <v>0</v>
      </c>
      <c r="X8" s="135">
        <v>0</v>
      </c>
      <c r="Y8" s="135" t="s">
        <v>1959</v>
      </c>
      <c r="Z8" s="135">
        <v>21.7</v>
      </c>
      <c r="AA8" s="135">
        <v>6750</v>
      </c>
      <c r="AB8" s="135">
        <v>311.39999999999998</v>
      </c>
      <c r="AC8" s="135">
        <v>3.21</v>
      </c>
      <c r="AD8" s="135">
        <v>19.899999999999999</v>
      </c>
      <c r="AE8" s="135">
        <v>15500</v>
      </c>
      <c r="AF8" s="135">
        <v>778.9</v>
      </c>
      <c r="AG8" s="135">
        <v>1.28</v>
      </c>
      <c r="AH8" s="135">
        <v>20.7</v>
      </c>
      <c r="AI8" s="135">
        <v>6500</v>
      </c>
      <c r="AJ8" s="135">
        <v>313.5</v>
      </c>
      <c r="AK8" s="135">
        <v>3.19</v>
      </c>
      <c r="AL8" s="135">
        <v>19.899999999999999</v>
      </c>
      <c r="AM8" s="135">
        <v>7600</v>
      </c>
      <c r="AN8" s="135">
        <v>381.9</v>
      </c>
      <c r="AO8" s="135">
        <v>2.62</v>
      </c>
      <c r="AP8" s="135"/>
      <c r="AQ8" s="135"/>
      <c r="AR8" s="135"/>
      <c r="AS8" s="135"/>
      <c r="AT8" s="135"/>
      <c r="AU8" s="135"/>
      <c r="AV8" s="135"/>
      <c r="AW8" s="135"/>
      <c r="AX8" s="135">
        <v>19.899999999999999</v>
      </c>
      <c r="AY8" s="135">
        <v>38</v>
      </c>
      <c r="AZ8" s="135">
        <v>1.9</v>
      </c>
      <c r="BA8" s="135">
        <v>0.52</v>
      </c>
      <c r="BB8" s="135"/>
      <c r="BC8" s="135"/>
      <c r="BD8" s="135"/>
      <c r="BE8" s="135"/>
      <c r="BF8" s="135">
        <v>20.7</v>
      </c>
      <c r="BG8" s="135">
        <v>12300</v>
      </c>
      <c r="BH8" s="135">
        <v>593.20000000000005</v>
      </c>
      <c r="BI8" s="135">
        <v>1.69</v>
      </c>
      <c r="BJ8" s="135">
        <v>45.5</v>
      </c>
      <c r="BK8" s="135">
        <v>-8</v>
      </c>
      <c r="BL8" s="135">
        <v>26.75</v>
      </c>
    </row>
    <row r="9" spans="1:64" x14ac:dyDescent="0.3">
      <c r="A9" s="135">
        <v>2016</v>
      </c>
      <c r="B9" s="135">
        <v>4</v>
      </c>
      <c r="C9" s="135" t="s">
        <v>1990</v>
      </c>
      <c r="D9" s="135" t="s">
        <v>27</v>
      </c>
      <c r="E9" s="135" t="s">
        <v>405</v>
      </c>
      <c r="F9" s="135" t="s">
        <v>28</v>
      </c>
      <c r="G9" s="135" t="s">
        <v>57</v>
      </c>
      <c r="H9" s="135">
        <v>17.68</v>
      </c>
      <c r="I9" s="135">
        <v>18.681000000000001</v>
      </c>
      <c r="J9" s="135">
        <v>18.681000000000001</v>
      </c>
      <c r="K9" s="135">
        <v>23.939</v>
      </c>
      <c r="L9" s="135">
        <v>36.799999999999997</v>
      </c>
      <c r="M9" s="135">
        <v>279.13200000000001</v>
      </c>
      <c r="N9" s="135">
        <v>1.7969999999999999</v>
      </c>
      <c r="O9" s="135">
        <v>0.79300000000000004</v>
      </c>
      <c r="P9" s="135">
        <v>3.4119999999999999</v>
      </c>
      <c r="Q9" s="135">
        <v>11.714</v>
      </c>
      <c r="R9" s="135">
        <v>0.184</v>
      </c>
      <c r="S9" s="135">
        <v>0</v>
      </c>
      <c r="T9" s="135">
        <v>0</v>
      </c>
      <c r="U9" s="135">
        <v>0</v>
      </c>
      <c r="V9" s="135">
        <v>0.18099999999999999</v>
      </c>
      <c r="W9" s="135">
        <v>0</v>
      </c>
      <c r="X9" s="135">
        <v>0</v>
      </c>
      <c r="Y9" s="135" t="s">
        <v>1959</v>
      </c>
      <c r="Z9" s="135">
        <v>21.3</v>
      </c>
      <c r="AA9" s="135">
        <v>6350</v>
      </c>
      <c r="AB9" s="135">
        <v>298.2</v>
      </c>
      <c r="AC9" s="135">
        <v>3.35</v>
      </c>
      <c r="AD9" s="135">
        <v>19.5</v>
      </c>
      <c r="AE9" s="135">
        <v>16100</v>
      </c>
      <c r="AF9" s="135">
        <v>826.8</v>
      </c>
      <c r="AG9" s="135">
        <v>1.21</v>
      </c>
      <c r="AH9" s="135">
        <v>20.3</v>
      </c>
      <c r="AI9" s="135">
        <v>6100</v>
      </c>
      <c r="AJ9" s="135">
        <v>300.7</v>
      </c>
      <c r="AK9" s="135">
        <v>3.33</v>
      </c>
      <c r="AL9" s="135">
        <v>19.5</v>
      </c>
      <c r="AM9" s="135">
        <v>7600</v>
      </c>
      <c r="AN9" s="135">
        <v>390.3</v>
      </c>
      <c r="AO9" s="135">
        <v>2.56</v>
      </c>
      <c r="AP9" s="135"/>
      <c r="AQ9" s="135"/>
      <c r="AR9" s="135"/>
      <c r="AS9" s="135"/>
      <c r="AT9" s="135"/>
      <c r="AU9" s="135"/>
      <c r="AV9" s="135"/>
      <c r="AW9" s="135"/>
      <c r="AX9" s="135">
        <v>19.5</v>
      </c>
      <c r="AY9" s="135">
        <v>29</v>
      </c>
      <c r="AZ9" s="135">
        <v>1.5</v>
      </c>
      <c r="BA9" s="135">
        <v>0.67</v>
      </c>
      <c r="BB9" s="135"/>
      <c r="BC9" s="135"/>
      <c r="BD9" s="135"/>
      <c r="BE9" s="135"/>
      <c r="BF9" s="135">
        <v>20.3</v>
      </c>
      <c r="BG9" s="135">
        <v>11400</v>
      </c>
      <c r="BH9" s="135">
        <v>562</v>
      </c>
      <c r="BI9" s="135">
        <v>1.78</v>
      </c>
      <c r="BJ9" s="135">
        <v>44.5</v>
      </c>
      <c r="BK9" s="135">
        <v>-7</v>
      </c>
      <c r="BL9" s="135">
        <v>25.75</v>
      </c>
    </row>
    <row r="10" spans="1:64" x14ac:dyDescent="0.3">
      <c r="A10" s="135">
        <v>2016</v>
      </c>
      <c r="B10" s="135">
        <v>4</v>
      </c>
      <c r="C10" s="135" t="s">
        <v>1964</v>
      </c>
      <c r="D10" s="135" t="s">
        <v>19</v>
      </c>
      <c r="E10" s="135" t="s">
        <v>405</v>
      </c>
      <c r="F10" s="135" t="s">
        <v>20</v>
      </c>
      <c r="G10" s="135" t="s">
        <v>397</v>
      </c>
      <c r="H10" s="135">
        <v>7.94</v>
      </c>
      <c r="I10" s="135">
        <v>18.263000000000002</v>
      </c>
      <c r="J10" s="135">
        <v>18.263000000000002</v>
      </c>
      <c r="K10" s="135">
        <v>21.724</v>
      </c>
      <c r="L10" s="135">
        <v>36.978000000000002</v>
      </c>
      <c r="M10" s="135">
        <v>303.22000000000003</v>
      </c>
      <c r="N10" s="135">
        <v>1.857</v>
      </c>
      <c r="O10" s="135">
        <v>0.87</v>
      </c>
      <c r="P10" s="135">
        <v>1.901</v>
      </c>
      <c r="Q10" s="135">
        <v>5.3</v>
      </c>
      <c r="R10" s="135">
        <v>5.8000000000000003E-2</v>
      </c>
      <c r="S10" s="135">
        <v>0</v>
      </c>
      <c r="T10" s="135">
        <v>0</v>
      </c>
      <c r="U10" s="135">
        <v>0</v>
      </c>
      <c r="V10" s="135">
        <v>0.216</v>
      </c>
      <c r="W10" s="135">
        <v>0</v>
      </c>
      <c r="X10" s="135">
        <v>0</v>
      </c>
      <c r="Y10" s="135" t="s">
        <v>1959</v>
      </c>
      <c r="Z10" s="135">
        <v>21.1</v>
      </c>
      <c r="AA10" s="135">
        <v>6800</v>
      </c>
      <c r="AB10" s="135">
        <v>322.60000000000002</v>
      </c>
      <c r="AC10" s="135">
        <v>3.1</v>
      </c>
      <c r="AD10" s="135">
        <v>19.100000000000001</v>
      </c>
      <c r="AE10" s="135">
        <v>13850</v>
      </c>
      <c r="AF10" s="135">
        <v>723.9</v>
      </c>
      <c r="AG10" s="135">
        <v>1.38</v>
      </c>
      <c r="AH10" s="135">
        <v>20</v>
      </c>
      <c r="AI10" s="135">
        <v>7100</v>
      </c>
      <c r="AJ10" s="135">
        <v>355.2</v>
      </c>
      <c r="AK10" s="135">
        <v>2.82</v>
      </c>
      <c r="AL10" s="135">
        <v>19.100000000000001</v>
      </c>
      <c r="AM10" s="135">
        <v>8400</v>
      </c>
      <c r="AN10" s="135">
        <v>439</v>
      </c>
      <c r="AO10" s="135">
        <v>2.2799999999999998</v>
      </c>
      <c r="AP10" s="135"/>
      <c r="AQ10" s="135"/>
      <c r="AR10" s="135"/>
      <c r="AS10" s="135"/>
      <c r="AT10" s="135"/>
      <c r="AU10" s="135"/>
      <c r="AV10" s="135"/>
      <c r="AW10" s="135"/>
      <c r="AX10" s="135">
        <v>19.100000000000001</v>
      </c>
      <c r="AY10" s="135">
        <v>35</v>
      </c>
      <c r="AZ10" s="135">
        <v>1.8</v>
      </c>
      <c r="BA10" s="135">
        <v>0.55000000000000004</v>
      </c>
      <c r="BB10" s="135"/>
      <c r="BC10" s="135"/>
      <c r="BD10" s="135"/>
      <c r="BE10" s="135"/>
      <c r="BF10" s="135">
        <v>20</v>
      </c>
      <c r="BG10" s="135">
        <v>13400</v>
      </c>
      <c r="BH10" s="135">
        <v>670.4</v>
      </c>
      <c r="BI10" s="135">
        <v>1.49</v>
      </c>
      <c r="BJ10" s="135">
        <v>47.5</v>
      </c>
      <c r="BK10" s="135">
        <v>-5.5</v>
      </c>
      <c r="BL10" s="135">
        <v>26.5</v>
      </c>
    </row>
    <row r="11" spans="1:64" x14ac:dyDescent="0.3">
      <c r="A11" s="135">
        <v>2016</v>
      </c>
      <c r="B11" s="135">
        <v>4</v>
      </c>
      <c r="C11" s="135" t="s">
        <v>1968</v>
      </c>
      <c r="D11" s="135" t="s">
        <v>23</v>
      </c>
      <c r="E11" s="135" t="s">
        <v>405</v>
      </c>
      <c r="F11" s="135" t="s">
        <v>24</v>
      </c>
      <c r="G11" s="135" t="s">
        <v>409</v>
      </c>
      <c r="H11" s="135">
        <v>18.670000000000002</v>
      </c>
      <c r="I11" s="135">
        <v>17.385999999999999</v>
      </c>
      <c r="J11" s="135">
        <v>17.385999999999999</v>
      </c>
      <c r="K11" s="135">
        <v>22.31</v>
      </c>
      <c r="L11" s="135">
        <v>37.223999999999997</v>
      </c>
      <c r="M11" s="135">
        <v>289.62</v>
      </c>
      <c r="N11" s="135">
        <v>1.74</v>
      </c>
      <c r="O11" s="135">
        <v>0.5</v>
      </c>
      <c r="P11" s="135">
        <v>0.40200000000000002</v>
      </c>
      <c r="Q11" s="135">
        <v>1.127</v>
      </c>
      <c r="R11" s="135">
        <v>0.02</v>
      </c>
      <c r="S11" s="135">
        <v>0</v>
      </c>
      <c r="T11" s="135">
        <v>0</v>
      </c>
      <c r="U11" s="135">
        <v>0</v>
      </c>
      <c r="V11" s="135">
        <v>0.19600000000000001</v>
      </c>
      <c r="W11" s="135">
        <v>0</v>
      </c>
      <c r="X11" s="135">
        <v>0</v>
      </c>
      <c r="Y11" s="135" t="s">
        <v>1959</v>
      </c>
      <c r="Z11" s="135">
        <v>20.100000000000001</v>
      </c>
      <c r="AA11" s="135">
        <v>6800</v>
      </c>
      <c r="AB11" s="135">
        <v>338.5</v>
      </c>
      <c r="AC11" s="135">
        <v>2.95</v>
      </c>
      <c r="AD11" s="135">
        <v>17.899999999999999</v>
      </c>
      <c r="AE11" s="135">
        <v>14500</v>
      </c>
      <c r="AF11" s="135">
        <v>810.7</v>
      </c>
      <c r="AG11" s="135">
        <v>1.23</v>
      </c>
      <c r="AH11" s="135">
        <v>18.7</v>
      </c>
      <c r="AI11" s="135">
        <v>6300</v>
      </c>
      <c r="AJ11" s="135">
        <v>337.5</v>
      </c>
      <c r="AK11" s="135">
        <v>2.96</v>
      </c>
      <c r="AL11" s="135">
        <v>17.899999999999999</v>
      </c>
      <c r="AM11" s="135">
        <v>8000</v>
      </c>
      <c r="AN11" s="135">
        <v>447.3</v>
      </c>
      <c r="AO11" s="135">
        <v>2.2400000000000002</v>
      </c>
      <c r="AP11" s="135"/>
      <c r="AQ11" s="135"/>
      <c r="AR11" s="135"/>
      <c r="AS11" s="135"/>
      <c r="AT11" s="135"/>
      <c r="AU11" s="135"/>
      <c r="AV11" s="135"/>
      <c r="AW11" s="135"/>
      <c r="AX11" s="135">
        <v>17.899999999999999</v>
      </c>
      <c r="AY11" s="135">
        <v>31</v>
      </c>
      <c r="AZ11" s="135">
        <v>1.7</v>
      </c>
      <c r="BA11" s="135">
        <v>0.57999999999999996</v>
      </c>
      <c r="BB11" s="135"/>
      <c r="BC11" s="135"/>
      <c r="BD11" s="135"/>
      <c r="BE11" s="135"/>
      <c r="BF11" s="135">
        <v>18.7</v>
      </c>
      <c r="BG11" s="135">
        <v>11900</v>
      </c>
      <c r="BH11" s="135">
        <v>637.5</v>
      </c>
      <c r="BI11" s="135">
        <v>1.57</v>
      </c>
      <c r="BJ11" s="135">
        <v>43</v>
      </c>
      <c r="BK11" s="135">
        <v>-8</v>
      </c>
      <c r="BL11" s="135">
        <v>25.5</v>
      </c>
    </row>
    <row r="12" spans="1:64" x14ac:dyDescent="0.3">
      <c r="A12" s="135">
        <v>2016</v>
      </c>
      <c r="B12" s="135">
        <v>4</v>
      </c>
      <c r="C12" s="135" t="s">
        <v>1972</v>
      </c>
      <c r="D12" s="135" t="s">
        <v>6</v>
      </c>
      <c r="E12" s="135" t="s">
        <v>405</v>
      </c>
      <c r="F12" s="135" t="s">
        <v>7</v>
      </c>
      <c r="G12" s="135" t="s">
        <v>2305</v>
      </c>
      <c r="H12" s="135">
        <v>20.83</v>
      </c>
      <c r="I12" s="135">
        <v>17.366</v>
      </c>
      <c r="J12" s="135">
        <v>17.366</v>
      </c>
      <c r="K12" s="135">
        <v>23.733000000000001</v>
      </c>
      <c r="L12" s="135">
        <v>34.930999999999997</v>
      </c>
      <c r="M12" s="135">
        <v>282.94</v>
      </c>
      <c r="N12" s="135">
        <v>1.4390000000000001</v>
      </c>
      <c r="O12" s="135">
        <v>0.46</v>
      </c>
      <c r="P12" s="135">
        <v>2.7970000000000002</v>
      </c>
      <c r="Q12" s="135">
        <v>11.603999999999999</v>
      </c>
      <c r="R12" s="135">
        <v>9.4E-2</v>
      </c>
      <c r="S12" s="135">
        <v>0</v>
      </c>
      <c r="T12" s="135">
        <v>0</v>
      </c>
      <c r="U12" s="135">
        <v>0</v>
      </c>
      <c r="V12" s="135">
        <v>0.25600000000000001</v>
      </c>
      <c r="W12" s="135">
        <v>0</v>
      </c>
      <c r="X12" s="135">
        <v>0</v>
      </c>
      <c r="Y12" s="135" t="s">
        <v>1959</v>
      </c>
      <c r="Z12" s="135">
        <v>19.899999999999999</v>
      </c>
      <c r="AA12" s="135">
        <v>6600</v>
      </c>
      <c r="AB12" s="135">
        <v>331</v>
      </c>
      <c r="AC12" s="135">
        <v>3.02</v>
      </c>
      <c r="AD12" s="135">
        <v>17.8</v>
      </c>
      <c r="AE12" s="135">
        <v>13250</v>
      </c>
      <c r="AF12" s="135">
        <v>743.3</v>
      </c>
      <c r="AG12" s="135">
        <v>1.35</v>
      </c>
      <c r="AH12" s="135">
        <v>18.7</v>
      </c>
      <c r="AI12" s="135">
        <v>6600</v>
      </c>
      <c r="AJ12" s="135">
        <v>352.6</v>
      </c>
      <c r="AK12" s="135">
        <v>2.84</v>
      </c>
      <c r="AL12" s="135">
        <v>17.8</v>
      </c>
      <c r="AM12" s="135">
        <v>8400</v>
      </c>
      <c r="AN12" s="135">
        <v>471.2</v>
      </c>
      <c r="AO12" s="135">
        <v>2.12</v>
      </c>
      <c r="AP12" s="135"/>
      <c r="AQ12" s="135"/>
      <c r="AR12" s="135"/>
      <c r="AS12" s="135"/>
      <c r="AT12" s="135"/>
      <c r="AU12" s="135"/>
      <c r="AV12" s="135"/>
      <c r="AW12" s="135"/>
      <c r="AX12" s="135">
        <v>17.8</v>
      </c>
      <c r="AY12" s="135">
        <v>34</v>
      </c>
      <c r="AZ12" s="135">
        <v>1.9</v>
      </c>
      <c r="BA12" s="135">
        <v>0.52</v>
      </c>
      <c r="BB12" s="135"/>
      <c r="BC12" s="135"/>
      <c r="BD12" s="135"/>
      <c r="BE12" s="135"/>
      <c r="BF12" s="135">
        <v>18.7</v>
      </c>
      <c r="BG12" s="135">
        <v>12300</v>
      </c>
      <c r="BH12" s="135">
        <v>657.1</v>
      </c>
      <c r="BI12" s="135">
        <v>1.52</v>
      </c>
      <c r="BJ12" s="135">
        <v>40.5</v>
      </c>
      <c r="BK12" s="135">
        <v>-1.5</v>
      </c>
      <c r="BL12" s="135">
        <v>21</v>
      </c>
    </row>
    <row r="13" spans="1:64" x14ac:dyDescent="0.3">
      <c r="A13" s="135">
        <v>2016</v>
      </c>
      <c r="B13" s="135">
        <v>4</v>
      </c>
      <c r="C13" s="135" t="s">
        <v>1979</v>
      </c>
      <c r="D13" s="135" t="s">
        <v>31</v>
      </c>
      <c r="E13" s="135" t="s">
        <v>405</v>
      </c>
      <c r="F13" s="135" t="s">
        <v>32</v>
      </c>
      <c r="G13" s="135" t="s">
        <v>4</v>
      </c>
      <c r="H13" s="135">
        <v>17.53</v>
      </c>
      <c r="I13" s="135">
        <v>17.321999999999999</v>
      </c>
      <c r="J13" s="135">
        <v>17.321999999999999</v>
      </c>
      <c r="K13" s="135">
        <v>24.663</v>
      </c>
      <c r="L13" s="135">
        <v>37.718000000000004</v>
      </c>
      <c r="M13" s="135">
        <v>282.423</v>
      </c>
      <c r="N13" s="135">
        <v>1.8440000000000001</v>
      </c>
      <c r="O13" s="135">
        <v>0.97299999999999998</v>
      </c>
      <c r="P13" s="135">
        <v>0.82699999999999996</v>
      </c>
      <c r="Q13" s="135">
        <v>2.254</v>
      </c>
      <c r="R13" s="135">
        <v>0.125</v>
      </c>
      <c r="S13" s="135">
        <v>0</v>
      </c>
      <c r="T13" s="135">
        <v>0</v>
      </c>
      <c r="U13" s="135">
        <v>0</v>
      </c>
      <c r="V13" s="135">
        <v>0.19</v>
      </c>
      <c r="W13" s="135">
        <v>0</v>
      </c>
      <c r="X13" s="135">
        <v>0</v>
      </c>
      <c r="Y13" s="135" t="s">
        <v>1959</v>
      </c>
      <c r="Z13" s="135">
        <v>20</v>
      </c>
      <c r="AA13" s="135">
        <v>6100</v>
      </c>
      <c r="AB13" s="135">
        <v>305.7</v>
      </c>
      <c r="AC13" s="135">
        <v>3.27</v>
      </c>
      <c r="AD13" s="135">
        <v>18.3</v>
      </c>
      <c r="AE13" s="135">
        <v>14400</v>
      </c>
      <c r="AF13" s="135">
        <v>787.1</v>
      </c>
      <c r="AG13" s="135">
        <v>1.27</v>
      </c>
      <c r="AH13" s="135">
        <v>19.100000000000001</v>
      </c>
      <c r="AI13" s="135">
        <v>5900</v>
      </c>
      <c r="AJ13" s="135">
        <v>309.5</v>
      </c>
      <c r="AK13" s="135">
        <v>3.23</v>
      </c>
      <c r="AL13" s="135">
        <v>18.3</v>
      </c>
      <c r="AM13" s="135">
        <v>7700</v>
      </c>
      <c r="AN13" s="135">
        <v>420.9</v>
      </c>
      <c r="AO13" s="135">
        <v>2.38</v>
      </c>
      <c r="AP13" s="135"/>
      <c r="AQ13" s="135"/>
      <c r="AR13" s="135"/>
      <c r="AS13" s="135"/>
      <c r="AT13" s="135"/>
      <c r="AU13" s="135"/>
      <c r="AV13" s="135"/>
      <c r="AW13" s="135"/>
      <c r="AX13" s="135">
        <v>18.3</v>
      </c>
      <c r="AY13" s="135">
        <v>31</v>
      </c>
      <c r="AZ13" s="135">
        <v>1.7</v>
      </c>
      <c r="BA13" s="135">
        <v>0.59</v>
      </c>
      <c r="BB13" s="135"/>
      <c r="BC13" s="135"/>
      <c r="BD13" s="135"/>
      <c r="BE13" s="135"/>
      <c r="BF13" s="135">
        <v>19.100000000000001</v>
      </c>
      <c r="BG13" s="135">
        <v>11000</v>
      </c>
      <c r="BH13" s="135">
        <v>577</v>
      </c>
      <c r="BI13" s="135">
        <v>1.73</v>
      </c>
      <c r="BJ13" s="135">
        <v>46.5</v>
      </c>
      <c r="BK13" s="135">
        <v>-3.5</v>
      </c>
      <c r="BL13" s="135">
        <v>25</v>
      </c>
    </row>
    <row r="14" spans="1:64" x14ac:dyDescent="0.3">
      <c r="A14" s="135">
        <v>2016</v>
      </c>
      <c r="B14" s="135">
        <v>4</v>
      </c>
      <c r="C14" s="135" t="s">
        <v>1985</v>
      </c>
      <c r="D14" s="135" t="s">
        <v>444</v>
      </c>
      <c r="E14" s="135" t="s">
        <v>405</v>
      </c>
      <c r="F14" s="135" t="s">
        <v>52</v>
      </c>
      <c r="G14" s="135" t="s">
        <v>2309</v>
      </c>
      <c r="H14" s="135">
        <v>19.399999999999999</v>
      </c>
      <c r="I14" s="135">
        <v>17.18</v>
      </c>
      <c r="J14" s="135">
        <v>17.18</v>
      </c>
      <c r="K14" s="135">
        <v>21.081</v>
      </c>
      <c r="L14" s="135">
        <v>33.695</v>
      </c>
      <c r="M14" s="135">
        <v>243.06</v>
      </c>
      <c r="N14" s="135">
        <v>1.5269999999999999</v>
      </c>
      <c r="O14" s="135">
        <v>0.86499999999999999</v>
      </c>
      <c r="P14" s="135">
        <v>3.2450000000000001</v>
      </c>
      <c r="Q14" s="135">
        <v>17.635000000000002</v>
      </c>
      <c r="R14" s="135">
        <v>0.29099999999999998</v>
      </c>
      <c r="S14" s="135">
        <v>0</v>
      </c>
      <c r="T14" s="135">
        <v>0</v>
      </c>
      <c r="U14" s="135">
        <v>0</v>
      </c>
      <c r="V14" s="135">
        <v>0.215</v>
      </c>
      <c r="W14" s="135">
        <v>0</v>
      </c>
      <c r="X14" s="135">
        <v>0</v>
      </c>
      <c r="Y14" s="135" t="s">
        <v>1959</v>
      </c>
      <c r="Z14" s="135">
        <v>19.399999999999999</v>
      </c>
      <c r="AA14" s="135">
        <v>5600</v>
      </c>
      <c r="AB14" s="135">
        <v>288.7</v>
      </c>
      <c r="AC14" s="135">
        <v>3.46</v>
      </c>
      <c r="AD14" s="135">
        <v>18</v>
      </c>
      <c r="AE14" s="135">
        <v>13150</v>
      </c>
      <c r="AF14" s="135">
        <v>728.7</v>
      </c>
      <c r="AG14" s="135">
        <v>1.37</v>
      </c>
      <c r="AH14" s="135">
        <v>18.899999999999999</v>
      </c>
      <c r="AI14" s="135">
        <v>5700</v>
      </c>
      <c r="AJ14" s="135">
        <v>302.39999999999998</v>
      </c>
      <c r="AK14" s="135">
        <v>3.31</v>
      </c>
      <c r="AL14" s="135">
        <v>18</v>
      </c>
      <c r="AM14" s="135">
        <v>7200</v>
      </c>
      <c r="AN14" s="135">
        <v>399</v>
      </c>
      <c r="AO14" s="135">
        <v>2.5099999999999998</v>
      </c>
      <c r="AP14" s="135"/>
      <c r="AQ14" s="135"/>
      <c r="AR14" s="135"/>
      <c r="AS14" s="135"/>
      <c r="AT14" s="135"/>
      <c r="AU14" s="135"/>
      <c r="AV14" s="135"/>
      <c r="AW14" s="135"/>
      <c r="AX14" s="135">
        <v>18</v>
      </c>
      <c r="AY14" s="135">
        <v>28</v>
      </c>
      <c r="AZ14" s="135">
        <v>1.6</v>
      </c>
      <c r="BA14" s="135">
        <v>0.64</v>
      </c>
      <c r="BB14" s="135"/>
      <c r="BC14" s="135"/>
      <c r="BD14" s="135"/>
      <c r="BE14" s="135"/>
      <c r="BF14" s="135">
        <v>18.899999999999999</v>
      </c>
      <c r="BG14" s="135">
        <v>11200</v>
      </c>
      <c r="BH14" s="135">
        <v>594.1</v>
      </c>
      <c r="BI14" s="135">
        <v>1.68</v>
      </c>
      <c r="BJ14" s="135">
        <v>46</v>
      </c>
      <c r="BK14" s="135">
        <v>-3</v>
      </c>
      <c r="BL14" s="135">
        <v>24.5</v>
      </c>
    </row>
    <row r="15" spans="1:64" x14ac:dyDescent="0.3">
      <c r="A15" s="135">
        <v>2016</v>
      </c>
      <c r="B15" s="135">
        <v>4</v>
      </c>
      <c r="C15" s="135" t="s">
        <v>1977</v>
      </c>
      <c r="D15" s="135" t="s">
        <v>3</v>
      </c>
      <c r="E15" s="135" t="s">
        <v>405</v>
      </c>
      <c r="F15" s="135" t="s">
        <v>4</v>
      </c>
      <c r="G15" s="135" t="s">
        <v>2297</v>
      </c>
      <c r="H15" s="135">
        <v>11.34</v>
      </c>
      <c r="I15" s="135">
        <v>16.193999999999999</v>
      </c>
      <c r="J15" s="135">
        <v>16.193999999999999</v>
      </c>
      <c r="K15" s="135">
        <v>22.969000000000001</v>
      </c>
      <c r="L15" s="135">
        <v>35.591000000000001</v>
      </c>
      <c r="M15" s="135">
        <v>263.37</v>
      </c>
      <c r="N15" s="135">
        <v>1.468</v>
      </c>
      <c r="O15" s="135">
        <v>0.69</v>
      </c>
      <c r="P15" s="135">
        <v>2.2839999999999998</v>
      </c>
      <c r="Q15" s="135">
        <v>11.032</v>
      </c>
      <c r="R15" s="135">
        <v>8.7999999999999995E-2</v>
      </c>
      <c r="S15" s="135">
        <v>0</v>
      </c>
      <c r="T15" s="135">
        <v>0</v>
      </c>
      <c r="U15" s="135">
        <v>0</v>
      </c>
      <c r="V15" s="135">
        <v>0.23200000000000001</v>
      </c>
      <c r="W15" s="135">
        <v>0</v>
      </c>
      <c r="X15" s="135">
        <v>0</v>
      </c>
      <c r="Y15" s="135" t="s">
        <v>1983</v>
      </c>
      <c r="Z15" s="135">
        <v>18.600000000000001</v>
      </c>
      <c r="AA15" s="135">
        <v>6300</v>
      </c>
      <c r="AB15" s="135">
        <v>338.8</v>
      </c>
      <c r="AC15" s="135">
        <v>2.95</v>
      </c>
      <c r="AD15" s="135">
        <v>16.899999999999999</v>
      </c>
      <c r="AE15" s="135">
        <v>16400</v>
      </c>
      <c r="AF15" s="135">
        <v>971.3</v>
      </c>
      <c r="AG15" s="135">
        <v>1.03</v>
      </c>
      <c r="AH15" s="135">
        <v>17.7</v>
      </c>
      <c r="AI15" s="135">
        <v>6700</v>
      </c>
      <c r="AJ15" s="135">
        <v>378.3</v>
      </c>
      <c r="AK15" s="135">
        <v>2.64</v>
      </c>
      <c r="AL15" s="135">
        <v>16.899999999999999</v>
      </c>
      <c r="AM15" s="135">
        <v>8000</v>
      </c>
      <c r="AN15" s="135">
        <v>473.8</v>
      </c>
      <c r="AO15" s="135">
        <v>2.11</v>
      </c>
      <c r="AP15" s="135"/>
      <c r="AQ15" s="135"/>
      <c r="AR15" s="135"/>
      <c r="AS15" s="135"/>
      <c r="AT15" s="135"/>
      <c r="AU15" s="135"/>
      <c r="AV15" s="135"/>
      <c r="AW15" s="135"/>
      <c r="AX15" s="135">
        <v>16.899999999999999</v>
      </c>
      <c r="AY15" s="135">
        <v>30</v>
      </c>
      <c r="AZ15" s="135">
        <v>1.8</v>
      </c>
      <c r="BA15" s="135">
        <v>0.56000000000000005</v>
      </c>
      <c r="BB15" s="135"/>
      <c r="BC15" s="135"/>
      <c r="BD15" s="135"/>
      <c r="BE15" s="135"/>
      <c r="BF15" s="135">
        <v>17.7</v>
      </c>
      <c r="BG15" s="135">
        <v>12600</v>
      </c>
      <c r="BH15" s="135">
        <v>711.5</v>
      </c>
      <c r="BI15" s="135">
        <v>1.41</v>
      </c>
      <c r="BJ15" s="135">
        <v>46.5</v>
      </c>
      <c r="BK15" s="135">
        <v>3.5</v>
      </c>
      <c r="BL15" s="135">
        <v>21.5</v>
      </c>
    </row>
    <row r="16" spans="1:64" x14ac:dyDescent="0.3">
      <c r="A16" s="135">
        <v>2016</v>
      </c>
      <c r="B16" s="135">
        <v>4</v>
      </c>
      <c r="C16" s="135" t="s">
        <v>1962</v>
      </c>
      <c r="D16" s="135" t="s">
        <v>49</v>
      </c>
      <c r="E16" s="135" t="s">
        <v>405</v>
      </c>
      <c r="F16" s="135" t="s">
        <v>50</v>
      </c>
      <c r="G16" s="135" t="s">
        <v>22</v>
      </c>
      <c r="H16" s="135">
        <v>15.32</v>
      </c>
      <c r="I16" s="135">
        <v>16.170000000000002</v>
      </c>
      <c r="J16" s="135">
        <v>16.170000000000002</v>
      </c>
      <c r="K16" s="135">
        <v>23.047000000000001</v>
      </c>
      <c r="L16" s="135">
        <v>35.805</v>
      </c>
      <c r="M16" s="135">
        <v>272.29599999999999</v>
      </c>
      <c r="N16" s="135">
        <v>1.786</v>
      </c>
      <c r="O16" s="135">
        <v>1.0509999999999999</v>
      </c>
      <c r="P16" s="135">
        <v>1.786</v>
      </c>
      <c r="Q16" s="135">
        <v>5.681</v>
      </c>
      <c r="R16" s="135">
        <v>1.7000000000000001E-2</v>
      </c>
      <c r="S16" s="135">
        <v>0</v>
      </c>
      <c r="T16" s="135">
        <v>0</v>
      </c>
      <c r="U16" s="135">
        <v>0</v>
      </c>
      <c r="V16" s="135">
        <v>0.217</v>
      </c>
      <c r="W16" s="135">
        <v>0</v>
      </c>
      <c r="X16" s="135">
        <v>0</v>
      </c>
      <c r="Y16" s="135" t="s">
        <v>1983</v>
      </c>
      <c r="Z16" s="135">
        <v>18.7</v>
      </c>
      <c r="AA16" s="135">
        <v>6600</v>
      </c>
      <c r="AB16" s="135">
        <v>353.4</v>
      </c>
      <c r="AC16" s="135">
        <v>2.83</v>
      </c>
      <c r="AD16" s="135">
        <v>17.2</v>
      </c>
      <c r="AE16" s="135">
        <v>13750</v>
      </c>
      <c r="AF16" s="135">
        <v>798.4</v>
      </c>
      <c r="AG16" s="135">
        <v>1.25</v>
      </c>
      <c r="AH16" s="135">
        <v>18</v>
      </c>
      <c r="AI16" s="135">
        <v>7000</v>
      </c>
      <c r="AJ16" s="135">
        <v>388.5</v>
      </c>
      <c r="AK16" s="135">
        <v>2.57</v>
      </c>
      <c r="AL16" s="135">
        <v>17.2</v>
      </c>
      <c r="AM16" s="135">
        <v>7900</v>
      </c>
      <c r="AN16" s="135">
        <v>458.7</v>
      </c>
      <c r="AO16" s="135">
        <v>2.1800000000000002</v>
      </c>
      <c r="AP16" s="135"/>
      <c r="AQ16" s="135"/>
      <c r="AR16" s="135"/>
      <c r="AS16" s="135"/>
      <c r="AT16" s="135"/>
      <c r="AU16" s="135"/>
      <c r="AV16" s="135"/>
      <c r="AW16" s="135"/>
      <c r="AX16" s="135">
        <v>17.2</v>
      </c>
      <c r="AY16" s="135">
        <v>27</v>
      </c>
      <c r="AZ16" s="135">
        <v>1.6</v>
      </c>
      <c r="BA16" s="135">
        <v>0.64</v>
      </c>
      <c r="BB16" s="135"/>
      <c r="BC16" s="135"/>
      <c r="BD16" s="135"/>
      <c r="BE16" s="135"/>
      <c r="BF16" s="135">
        <v>18</v>
      </c>
      <c r="BG16" s="135">
        <v>13200</v>
      </c>
      <c r="BH16" s="135">
        <v>732.7</v>
      </c>
      <c r="BI16" s="135">
        <v>1.36</v>
      </c>
      <c r="BJ16" s="135">
        <v>50</v>
      </c>
      <c r="BK16" s="135">
        <v>3</v>
      </c>
      <c r="BL16" s="135">
        <v>23.5</v>
      </c>
    </row>
    <row r="17" spans="1:64" x14ac:dyDescent="0.3">
      <c r="A17" s="135">
        <v>2016</v>
      </c>
      <c r="B17" s="135">
        <v>4</v>
      </c>
      <c r="C17" s="135" t="s">
        <v>1988</v>
      </c>
      <c r="D17" s="135" t="s">
        <v>35</v>
      </c>
      <c r="E17" s="135" t="s">
        <v>405</v>
      </c>
      <c r="F17" s="135" t="s">
        <v>397</v>
      </c>
      <c r="G17" s="135" t="s">
        <v>2307</v>
      </c>
      <c r="H17" s="135">
        <v>16.75</v>
      </c>
      <c r="I17" s="135">
        <v>15.96</v>
      </c>
      <c r="J17" s="135">
        <v>15.96</v>
      </c>
      <c r="K17" s="135">
        <v>25.431999999999999</v>
      </c>
      <c r="L17" s="135">
        <v>39.451000000000001</v>
      </c>
      <c r="M17" s="135">
        <v>264.48399999999998</v>
      </c>
      <c r="N17" s="135">
        <v>1.5469999999999999</v>
      </c>
      <c r="O17" s="135">
        <v>1.0920000000000001</v>
      </c>
      <c r="P17" s="135">
        <v>3.3260000000000001</v>
      </c>
      <c r="Q17" s="135">
        <v>14.846</v>
      </c>
      <c r="R17" s="135">
        <v>0.06</v>
      </c>
      <c r="S17" s="135">
        <v>0</v>
      </c>
      <c r="T17" s="135">
        <v>0</v>
      </c>
      <c r="U17" s="135">
        <v>0</v>
      </c>
      <c r="V17" s="135">
        <v>0.23400000000000001</v>
      </c>
      <c r="W17" s="135">
        <v>0</v>
      </c>
      <c r="X17" s="135">
        <v>0</v>
      </c>
      <c r="Y17" s="135" t="s">
        <v>1983</v>
      </c>
      <c r="Z17" s="135">
        <v>18.399999999999999</v>
      </c>
      <c r="AA17" s="135">
        <v>6000</v>
      </c>
      <c r="AB17" s="135">
        <v>326.60000000000002</v>
      </c>
      <c r="AC17" s="135">
        <v>3.06</v>
      </c>
      <c r="AD17" s="135">
        <v>17.100000000000001</v>
      </c>
      <c r="AE17" s="135">
        <v>13850</v>
      </c>
      <c r="AF17" s="135">
        <v>812.2</v>
      </c>
      <c r="AG17" s="135">
        <v>1.23</v>
      </c>
      <c r="AH17" s="135">
        <v>17.899999999999999</v>
      </c>
      <c r="AI17" s="135">
        <v>5600</v>
      </c>
      <c r="AJ17" s="135">
        <v>312.8</v>
      </c>
      <c r="AK17" s="135">
        <v>3.2</v>
      </c>
      <c r="AL17" s="135">
        <v>17.100000000000001</v>
      </c>
      <c r="AM17" s="135">
        <v>6900</v>
      </c>
      <c r="AN17" s="135">
        <v>404.6</v>
      </c>
      <c r="AO17" s="135">
        <v>2.4700000000000002</v>
      </c>
      <c r="AP17" s="135"/>
      <c r="AQ17" s="135"/>
      <c r="AR17" s="135"/>
      <c r="AS17" s="135"/>
      <c r="AT17" s="135"/>
      <c r="AU17" s="135"/>
      <c r="AV17" s="135"/>
      <c r="AW17" s="135"/>
      <c r="AX17" s="135">
        <v>17.100000000000001</v>
      </c>
      <c r="AY17" s="135">
        <v>30</v>
      </c>
      <c r="AZ17" s="135">
        <v>1.8</v>
      </c>
      <c r="BA17" s="135">
        <v>0.56999999999999995</v>
      </c>
      <c r="BB17" s="135"/>
      <c r="BC17" s="135"/>
      <c r="BD17" s="135"/>
      <c r="BE17" s="135"/>
      <c r="BF17" s="135">
        <v>17.899999999999999</v>
      </c>
      <c r="BG17" s="135">
        <v>11200</v>
      </c>
      <c r="BH17" s="135">
        <v>625.6</v>
      </c>
      <c r="BI17" s="135">
        <v>1.6</v>
      </c>
      <c r="BJ17" s="135">
        <v>47.5</v>
      </c>
      <c r="BK17" s="135">
        <v>5.5</v>
      </c>
      <c r="BL17" s="135">
        <v>21</v>
      </c>
    </row>
    <row r="18" spans="1:64" x14ac:dyDescent="0.3">
      <c r="A18" s="135">
        <v>2016</v>
      </c>
      <c r="B18" s="135">
        <v>4</v>
      </c>
      <c r="C18" s="135" t="s">
        <v>1998</v>
      </c>
      <c r="D18" s="135" t="s">
        <v>1240</v>
      </c>
      <c r="E18" s="135" t="s">
        <v>405</v>
      </c>
      <c r="F18" s="135" t="s">
        <v>70</v>
      </c>
      <c r="G18" s="135" t="s">
        <v>2005</v>
      </c>
      <c r="H18" s="135">
        <v>23.05</v>
      </c>
      <c r="I18" s="135">
        <v>15.778</v>
      </c>
      <c r="J18" s="135">
        <v>15.778</v>
      </c>
      <c r="K18" s="135">
        <v>21.215</v>
      </c>
      <c r="L18" s="135">
        <v>33.762999999999998</v>
      </c>
      <c r="M18" s="135">
        <v>254.09899999999999</v>
      </c>
      <c r="N18" s="135">
        <v>1.645</v>
      </c>
      <c r="O18" s="135">
        <v>0.879</v>
      </c>
      <c r="P18" s="135">
        <v>3.4750000000000001</v>
      </c>
      <c r="Q18" s="135">
        <v>10.563000000000001</v>
      </c>
      <c r="R18" s="135">
        <v>2.5999999999999999E-2</v>
      </c>
      <c r="S18" s="135">
        <v>0</v>
      </c>
      <c r="T18" s="135">
        <v>0</v>
      </c>
      <c r="U18" s="135">
        <v>0</v>
      </c>
      <c r="V18" s="135">
        <v>0.21</v>
      </c>
      <c r="W18" s="135">
        <v>0</v>
      </c>
      <c r="X18" s="135">
        <v>0</v>
      </c>
      <c r="Y18" s="135" t="s">
        <v>1983</v>
      </c>
      <c r="Z18" s="135">
        <v>18.100000000000001</v>
      </c>
      <c r="AA18" s="135">
        <v>6000</v>
      </c>
      <c r="AB18" s="135">
        <v>331.3</v>
      </c>
      <c r="AC18" s="135">
        <v>3.02</v>
      </c>
      <c r="AD18" s="135">
        <v>16.7</v>
      </c>
      <c r="AE18" s="135">
        <v>13650</v>
      </c>
      <c r="AF18" s="135">
        <v>819.5</v>
      </c>
      <c r="AG18" s="135">
        <v>1.22</v>
      </c>
      <c r="AH18" s="135">
        <v>17.399999999999999</v>
      </c>
      <c r="AI18" s="135">
        <v>5400</v>
      </c>
      <c r="AJ18" s="135">
        <v>309.7</v>
      </c>
      <c r="AK18" s="135">
        <v>3.23</v>
      </c>
      <c r="AL18" s="135">
        <v>16.7</v>
      </c>
      <c r="AM18" s="135">
        <v>7400</v>
      </c>
      <c r="AN18" s="135">
        <v>444.3</v>
      </c>
      <c r="AO18" s="135">
        <v>2.25</v>
      </c>
      <c r="AP18" s="135"/>
      <c r="AQ18" s="135"/>
      <c r="AR18" s="135"/>
      <c r="AS18" s="135"/>
      <c r="AT18" s="135"/>
      <c r="AU18" s="135"/>
      <c r="AV18" s="135"/>
      <c r="AW18" s="135"/>
      <c r="AX18" s="135">
        <v>16.7</v>
      </c>
      <c r="AY18" s="135">
        <v>26</v>
      </c>
      <c r="AZ18" s="135">
        <v>1.6</v>
      </c>
      <c r="BA18" s="135">
        <v>0.64</v>
      </c>
      <c r="BB18" s="135"/>
      <c r="BC18" s="135"/>
      <c r="BD18" s="135"/>
      <c r="BE18" s="135"/>
      <c r="BF18" s="135">
        <v>17.399999999999999</v>
      </c>
      <c r="BG18" s="135">
        <v>10600</v>
      </c>
      <c r="BH18" s="135">
        <v>607.79999999999995</v>
      </c>
      <c r="BI18" s="135">
        <v>1.65</v>
      </c>
      <c r="BJ18" s="135">
        <v>44</v>
      </c>
      <c r="BK18" s="135">
        <v>-3</v>
      </c>
      <c r="BL18" s="135">
        <v>23.5</v>
      </c>
    </row>
    <row r="19" spans="1:64" x14ac:dyDescent="0.3">
      <c r="A19" s="135">
        <v>2016</v>
      </c>
      <c r="B19" s="135">
        <v>4</v>
      </c>
      <c r="C19" s="135" t="s">
        <v>1984</v>
      </c>
      <c r="D19" s="135" t="s">
        <v>44</v>
      </c>
      <c r="E19" s="135" t="s">
        <v>405</v>
      </c>
      <c r="F19" s="135" t="s">
        <v>401</v>
      </c>
      <c r="G19" s="135" t="s">
        <v>70</v>
      </c>
      <c r="H19" s="135">
        <v>8.94</v>
      </c>
      <c r="I19" s="135">
        <v>15.746</v>
      </c>
      <c r="J19" s="135">
        <v>15.746</v>
      </c>
      <c r="K19" s="135">
        <v>22.893999999999998</v>
      </c>
      <c r="L19" s="135">
        <v>38.494</v>
      </c>
      <c r="M19" s="135">
        <v>254.20400000000001</v>
      </c>
      <c r="N19" s="135">
        <v>1.5640000000000001</v>
      </c>
      <c r="O19" s="135">
        <v>1.125</v>
      </c>
      <c r="P19" s="135">
        <v>3.0640000000000001</v>
      </c>
      <c r="Q19" s="135">
        <v>9.7759999999999998</v>
      </c>
      <c r="R19" s="135">
        <v>0.183</v>
      </c>
      <c r="S19" s="135">
        <v>0</v>
      </c>
      <c r="T19" s="135">
        <v>0</v>
      </c>
      <c r="U19" s="135">
        <v>0</v>
      </c>
      <c r="V19" s="135">
        <v>0.252</v>
      </c>
      <c r="W19" s="135">
        <v>0</v>
      </c>
      <c r="X19" s="135">
        <v>0</v>
      </c>
      <c r="Y19" s="135" t="s">
        <v>1983</v>
      </c>
      <c r="Z19" s="135">
        <v>18</v>
      </c>
      <c r="AA19" s="135">
        <v>6400</v>
      </c>
      <c r="AB19" s="135">
        <v>354.8</v>
      </c>
      <c r="AC19" s="135">
        <v>2.82</v>
      </c>
      <c r="AD19" s="135">
        <v>16.899999999999999</v>
      </c>
      <c r="AE19" s="135">
        <v>12250</v>
      </c>
      <c r="AF19" s="135">
        <v>726.1</v>
      </c>
      <c r="AG19" s="135">
        <v>1.38</v>
      </c>
      <c r="AH19" s="135">
        <v>17.7</v>
      </c>
      <c r="AI19" s="135">
        <v>5400</v>
      </c>
      <c r="AJ19" s="135">
        <v>305.3</v>
      </c>
      <c r="AK19" s="135">
        <v>3.28</v>
      </c>
      <c r="AL19" s="135">
        <v>16.899999999999999</v>
      </c>
      <c r="AM19" s="135">
        <v>7100</v>
      </c>
      <c r="AN19" s="135">
        <v>420.8</v>
      </c>
      <c r="AO19" s="135">
        <v>2.38</v>
      </c>
      <c r="AP19" s="135"/>
      <c r="AQ19" s="135"/>
      <c r="AR19" s="135"/>
      <c r="AS19" s="135"/>
      <c r="AT19" s="135"/>
      <c r="AU19" s="135"/>
      <c r="AV19" s="135"/>
      <c r="AW19" s="135"/>
      <c r="AX19" s="135">
        <v>16.899999999999999</v>
      </c>
      <c r="AY19" s="135">
        <v>27</v>
      </c>
      <c r="AZ19" s="135">
        <v>1.6</v>
      </c>
      <c r="BA19" s="135">
        <v>0.62</v>
      </c>
      <c r="BB19" s="135"/>
      <c r="BC19" s="135"/>
      <c r="BD19" s="135"/>
      <c r="BE19" s="135"/>
      <c r="BF19" s="135">
        <v>17.7</v>
      </c>
      <c r="BG19" s="135">
        <v>10600</v>
      </c>
      <c r="BH19" s="135">
        <v>599.20000000000005</v>
      </c>
      <c r="BI19" s="135">
        <v>1.67</v>
      </c>
      <c r="BJ19" s="135">
        <v>44</v>
      </c>
      <c r="BK19" s="135">
        <v>3</v>
      </c>
      <c r="BL19" s="135">
        <v>20.5</v>
      </c>
    </row>
    <row r="20" spans="1:64" x14ac:dyDescent="0.3">
      <c r="A20" s="135">
        <v>2016</v>
      </c>
      <c r="B20" s="135">
        <v>4</v>
      </c>
      <c r="C20" s="135" t="s">
        <v>1974</v>
      </c>
      <c r="D20" s="135" t="s">
        <v>56</v>
      </c>
      <c r="E20" s="135" t="s">
        <v>405</v>
      </c>
      <c r="F20" s="135" t="s">
        <v>57</v>
      </c>
      <c r="G20" s="135" t="s">
        <v>1999</v>
      </c>
      <c r="H20" s="135">
        <v>26.45</v>
      </c>
      <c r="I20" s="135">
        <v>15.624000000000001</v>
      </c>
      <c r="J20" s="135">
        <v>15.624000000000001</v>
      </c>
      <c r="K20" s="135">
        <v>21.943999999999999</v>
      </c>
      <c r="L20" s="135">
        <v>36.729999999999997</v>
      </c>
      <c r="M20" s="135">
        <v>268.13</v>
      </c>
      <c r="N20" s="135">
        <v>1.456</v>
      </c>
      <c r="O20" s="135">
        <v>1.173</v>
      </c>
      <c r="P20" s="135">
        <v>3.2149999999999999</v>
      </c>
      <c r="Q20" s="135">
        <v>14.148</v>
      </c>
      <c r="R20" s="135">
        <v>8.8999999999999996E-2</v>
      </c>
      <c r="S20" s="135">
        <v>0</v>
      </c>
      <c r="T20" s="135">
        <v>0</v>
      </c>
      <c r="U20" s="135">
        <v>0</v>
      </c>
      <c r="V20" s="135">
        <v>0.26400000000000001</v>
      </c>
      <c r="W20" s="135">
        <v>0</v>
      </c>
      <c r="X20" s="135">
        <v>0</v>
      </c>
      <c r="Y20" s="135" t="s">
        <v>1983</v>
      </c>
      <c r="Z20" s="135">
        <v>18</v>
      </c>
      <c r="AA20" s="135">
        <v>6250</v>
      </c>
      <c r="AB20" s="135">
        <v>346.4</v>
      </c>
      <c r="AC20" s="135">
        <v>2.89</v>
      </c>
      <c r="AD20" s="135">
        <v>16.8</v>
      </c>
      <c r="AE20" s="135">
        <v>14300</v>
      </c>
      <c r="AF20" s="135">
        <v>851.3</v>
      </c>
      <c r="AG20" s="135">
        <v>1.17</v>
      </c>
      <c r="AH20" s="135">
        <v>17.7</v>
      </c>
      <c r="AI20" s="135">
        <v>5800</v>
      </c>
      <c r="AJ20" s="135">
        <v>328</v>
      </c>
      <c r="AK20" s="135">
        <v>3.05</v>
      </c>
      <c r="AL20" s="135">
        <v>16.8</v>
      </c>
      <c r="AM20" s="135">
        <v>7200</v>
      </c>
      <c r="AN20" s="135">
        <v>428.6</v>
      </c>
      <c r="AO20" s="135">
        <v>2.33</v>
      </c>
      <c r="AP20" s="135"/>
      <c r="AQ20" s="135"/>
      <c r="AR20" s="135"/>
      <c r="AS20" s="135"/>
      <c r="AT20" s="135"/>
      <c r="AU20" s="135"/>
      <c r="AV20" s="135"/>
      <c r="AW20" s="135"/>
      <c r="AX20" s="135">
        <v>16.8</v>
      </c>
      <c r="AY20" s="135">
        <v>28</v>
      </c>
      <c r="AZ20" s="135">
        <v>1.7</v>
      </c>
      <c r="BA20" s="135">
        <v>0.6</v>
      </c>
      <c r="BB20" s="135"/>
      <c r="BC20" s="135"/>
      <c r="BD20" s="135"/>
      <c r="BE20" s="135"/>
      <c r="BF20" s="135">
        <v>17.7</v>
      </c>
      <c r="BG20" s="135">
        <v>10900</v>
      </c>
      <c r="BH20" s="135">
        <v>616.4</v>
      </c>
      <c r="BI20" s="135">
        <v>1.62</v>
      </c>
      <c r="BJ20" s="135">
        <v>44.5</v>
      </c>
      <c r="BK20" s="135">
        <v>7</v>
      </c>
      <c r="BL20" s="135">
        <v>18.75</v>
      </c>
    </row>
    <row r="21" spans="1:64" x14ac:dyDescent="0.3">
      <c r="A21" s="135">
        <v>2016</v>
      </c>
      <c r="B21" s="135">
        <v>4</v>
      </c>
      <c r="C21" s="135" t="s">
        <v>2549</v>
      </c>
      <c r="D21" s="135" t="s">
        <v>429</v>
      </c>
      <c r="E21" s="135" t="s">
        <v>405</v>
      </c>
      <c r="F21" s="135" t="s">
        <v>402</v>
      </c>
      <c r="G21" s="135" t="s">
        <v>10</v>
      </c>
      <c r="H21" s="135">
        <v>14.3</v>
      </c>
      <c r="I21" s="135">
        <v>15.169</v>
      </c>
      <c r="J21" s="135">
        <v>15.169</v>
      </c>
      <c r="K21" s="135">
        <v>20.47</v>
      </c>
      <c r="L21" s="135">
        <v>32.268000000000001</v>
      </c>
      <c r="M21" s="135">
        <v>247.23500000000001</v>
      </c>
      <c r="N21" s="135">
        <v>1.5549999999999999</v>
      </c>
      <c r="O21" s="135">
        <v>0.82599999999999996</v>
      </c>
      <c r="P21" s="135">
        <v>1.627</v>
      </c>
      <c r="Q21" s="135">
        <v>4.4989999999999997</v>
      </c>
      <c r="R21" s="135">
        <v>0.109</v>
      </c>
      <c r="S21" s="135">
        <v>0</v>
      </c>
      <c r="T21" s="135">
        <v>0</v>
      </c>
      <c r="U21" s="135">
        <v>0</v>
      </c>
      <c r="V21" s="135">
        <v>0.19600000000000001</v>
      </c>
      <c r="W21" s="135">
        <v>0</v>
      </c>
      <c r="X21" s="135">
        <v>0</v>
      </c>
      <c r="Y21" s="135" t="s">
        <v>1983</v>
      </c>
      <c r="Z21" s="135">
        <v>17.399999999999999</v>
      </c>
      <c r="AA21" s="135">
        <v>6500</v>
      </c>
      <c r="AB21" s="135">
        <v>372.6</v>
      </c>
      <c r="AC21" s="135">
        <v>2.68</v>
      </c>
      <c r="AD21" s="135">
        <v>16</v>
      </c>
      <c r="AE21" s="135">
        <v>12750</v>
      </c>
      <c r="AF21" s="135">
        <v>797.1</v>
      </c>
      <c r="AG21" s="135">
        <v>1.25</v>
      </c>
      <c r="AH21" s="135">
        <v>16.7</v>
      </c>
      <c r="AI21" s="135">
        <v>5200</v>
      </c>
      <c r="AJ21" s="135">
        <v>311.10000000000002</v>
      </c>
      <c r="AK21" s="135">
        <v>3.21</v>
      </c>
      <c r="AL21" s="135">
        <v>16</v>
      </c>
      <c r="AM21" s="135">
        <v>7600</v>
      </c>
      <c r="AN21" s="135">
        <v>475.1</v>
      </c>
      <c r="AO21" s="135">
        <v>2.1</v>
      </c>
      <c r="AP21" s="135"/>
      <c r="AQ21" s="135"/>
      <c r="AR21" s="135"/>
      <c r="AS21" s="135"/>
      <c r="AT21" s="135"/>
      <c r="AU21" s="135"/>
      <c r="AV21" s="135"/>
      <c r="AW21" s="135"/>
      <c r="AX21" s="135">
        <v>16</v>
      </c>
      <c r="AY21" s="135">
        <v>33</v>
      </c>
      <c r="AZ21" s="135">
        <v>2.1</v>
      </c>
      <c r="BA21" s="135">
        <v>0.48</v>
      </c>
      <c r="BB21" s="135"/>
      <c r="BC21" s="135"/>
      <c r="BD21" s="135"/>
      <c r="BE21" s="135"/>
      <c r="BF21" s="135">
        <v>16.7</v>
      </c>
      <c r="BG21" s="135">
        <v>10200</v>
      </c>
      <c r="BH21" s="135">
        <v>610.29999999999995</v>
      </c>
      <c r="BI21" s="135">
        <v>1.64</v>
      </c>
      <c r="BJ21" s="135">
        <v>44</v>
      </c>
      <c r="BK21" s="135">
        <v>-4.5</v>
      </c>
      <c r="BL21" s="135">
        <v>24.25</v>
      </c>
    </row>
    <row r="22" spans="1:64" x14ac:dyDescent="0.3">
      <c r="A22" s="135">
        <v>2016</v>
      </c>
      <c r="B22" s="135">
        <v>4</v>
      </c>
      <c r="C22" s="135" t="s">
        <v>1991</v>
      </c>
      <c r="D22" s="135" t="s">
        <v>42</v>
      </c>
      <c r="E22" s="135" t="s">
        <v>405</v>
      </c>
      <c r="F22" s="135" t="s">
        <v>43</v>
      </c>
      <c r="G22" s="135" t="s">
        <v>30</v>
      </c>
      <c r="H22" s="135">
        <v>7.77</v>
      </c>
      <c r="I22" s="135">
        <v>15.163</v>
      </c>
      <c r="J22" s="135">
        <v>15.163</v>
      </c>
      <c r="K22" s="135">
        <v>19.405999999999999</v>
      </c>
      <c r="L22" s="135">
        <v>33.570999999999998</v>
      </c>
      <c r="M22" s="135">
        <v>247.1</v>
      </c>
      <c r="N22" s="135">
        <v>1.45</v>
      </c>
      <c r="O22" s="135">
        <v>0.83599999999999997</v>
      </c>
      <c r="P22" s="135">
        <v>2.7669999999999999</v>
      </c>
      <c r="Q22" s="135">
        <v>8.2739999999999991</v>
      </c>
      <c r="R22" s="135">
        <v>0.125</v>
      </c>
      <c r="S22" s="135">
        <v>0</v>
      </c>
      <c r="T22" s="135">
        <v>0</v>
      </c>
      <c r="U22" s="135">
        <v>0</v>
      </c>
      <c r="V22" s="135">
        <v>0.21299999999999999</v>
      </c>
      <c r="W22" s="135">
        <v>0</v>
      </c>
      <c r="X22" s="135">
        <v>0</v>
      </c>
      <c r="Y22" s="135" t="s">
        <v>1983</v>
      </c>
      <c r="Z22" s="135">
        <v>17.399999999999999</v>
      </c>
      <c r="AA22" s="135">
        <v>5850</v>
      </c>
      <c r="AB22" s="135">
        <v>335.8</v>
      </c>
      <c r="AC22" s="135">
        <v>2.98</v>
      </c>
      <c r="AD22" s="135">
        <v>16</v>
      </c>
      <c r="AE22" s="135">
        <v>14600</v>
      </c>
      <c r="AF22" s="135">
        <v>912.5</v>
      </c>
      <c r="AG22" s="135">
        <v>1.1000000000000001</v>
      </c>
      <c r="AH22" s="135">
        <v>16.8</v>
      </c>
      <c r="AI22" s="135">
        <v>5800</v>
      </c>
      <c r="AJ22" s="135">
        <v>346.1</v>
      </c>
      <c r="AK22" s="135">
        <v>2.89</v>
      </c>
      <c r="AL22" s="135">
        <v>16</v>
      </c>
      <c r="AM22" s="135">
        <v>7300</v>
      </c>
      <c r="AN22" s="135">
        <v>456.3</v>
      </c>
      <c r="AO22" s="135">
        <v>2.19</v>
      </c>
      <c r="AP22" s="135"/>
      <c r="AQ22" s="135"/>
      <c r="AR22" s="135"/>
      <c r="AS22" s="135"/>
      <c r="AT22" s="135"/>
      <c r="AU22" s="135"/>
      <c r="AV22" s="135"/>
      <c r="AW22" s="135"/>
      <c r="AX22" s="135">
        <v>16</v>
      </c>
      <c r="AY22" s="135">
        <v>29</v>
      </c>
      <c r="AZ22" s="135">
        <v>1.8</v>
      </c>
      <c r="BA22" s="135">
        <v>0.55000000000000004</v>
      </c>
      <c r="BB22" s="135"/>
      <c r="BC22" s="135"/>
      <c r="BD22" s="135"/>
      <c r="BE22" s="135"/>
      <c r="BF22" s="135">
        <v>16.8</v>
      </c>
      <c r="BG22" s="135">
        <v>11000</v>
      </c>
      <c r="BH22" s="135">
        <v>656.5</v>
      </c>
      <c r="BI22" s="135">
        <v>1.52</v>
      </c>
      <c r="BJ22" s="135">
        <v>40.5</v>
      </c>
      <c r="BK22" s="135">
        <v>-6.5</v>
      </c>
      <c r="BL22" s="135">
        <v>23.5</v>
      </c>
    </row>
    <row r="23" spans="1:64" x14ac:dyDescent="0.3">
      <c r="A23" s="135">
        <v>2016</v>
      </c>
      <c r="B23" s="135">
        <v>4</v>
      </c>
      <c r="C23" s="135" t="s">
        <v>1996</v>
      </c>
      <c r="D23" s="135" t="s">
        <v>38</v>
      </c>
      <c r="E23" s="135" t="s">
        <v>405</v>
      </c>
      <c r="F23" s="135" t="s">
        <v>41</v>
      </c>
      <c r="G23" s="135" t="s">
        <v>37</v>
      </c>
      <c r="H23" s="135">
        <v>9.6199999999999992</v>
      </c>
      <c r="I23" s="135">
        <v>15.032</v>
      </c>
      <c r="J23" s="135">
        <v>15.032</v>
      </c>
      <c r="K23" s="135">
        <v>22.268999999999998</v>
      </c>
      <c r="L23" s="135">
        <v>36.582000000000001</v>
      </c>
      <c r="M23" s="135">
        <v>256.07</v>
      </c>
      <c r="N23" s="135">
        <v>1.6819999999999999</v>
      </c>
      <c r="O23" s="135">
        <v>0.83299999999999996</v>
      </c>
      <c r="P23" s="135">
        <v>0.64100000000000001</v>
      </c>
      <c r="Q23" s="135">
        <v>1.696</v>
      </c>
      <c r="R23" s="135">
        <v>0</v>
      </c>
      <c r="S23" s="135">
        <v>0</v>
      </c>
      <c r="T23" s="135">
        <v>0</v>
      </c>
      <c r="U23" s="135">
        <v>0</v>
      </c>
      <c r="V23" s="135">
        <v>0.221</v>
      </c>
      <c r="W23" s="135">
        <v>0</v>
      </c>
      <c r="X23" s="135">
        <v>0</v>
      </c>
      <c r="Y23" s="135" t="s">
        <v>1983</v>
      </c>
      <c r="Z23" s="135">
        <v>17.399999999999999</v>
      </c>
      <c r="AA23" s="135">
        <v>5750</v>
      </c>
      <c r="AB23" s="135">
        <v>331</v>
      </c>
      <c r="AC23" s="135">
        <v>3.02</v>
      </c>
      <c r="AD23" s="135">
        <v>15.9</v>
      </c>
      <c r="AE23" s="135">
        <v>14700</v>
      </c>
      <c r="AF23" s="135">
        <v>926.5</v>
      </c>
      <c r="AG23" s="135">
        <v>1.08</v>
      </c>
      <c r="AH23" s="135">
        <v>16.600000000000001</v>
      </c>
      <c r="AI23" s="135">
        <v>5100</v>
      </c>
      <c r="AJ23" s="135">
        <v>307.10000000000002</v>
      </c>
      <c r="AK23" s="135">
        <v>3.26</v>
      </c>
      <c r="AL23" s="135">
        <v>15.9</v>
      </c>
      <c r="AM23" s="135">
        <v>7100</v>
      </c>
      <c r="AN23" s="135">
        <v>447.5</v>
      </c>
      <c r="AO23" s="135">
        <v>2.23</v>
      </c>
      <c r="AP23" s="135"/>
      <c r="AQ23" s="135"/>
      <c r="AR23" s="135"/>
      <c r="AS23" s="135"/>
      <c r="AT23" s="135"/>
      <c r="AU23" s="135"/>
      <c r="AV23" s="135"/>
      <c r="AW23" s="135"/>
      <c r="AX23" s="135">
        <v>15.9</v>
      </c>
      <c r="AY23" s="135">
        <v>31</v>
      </c>
      <c r="AZ23" s="135">
        <v>2</v>
      </c>
      <c r="BA23" s="135">
        <v>0.51</v>
      </c>
      <c r="BB23" s="135"/>
      <c r="BC23" s="135"/>
      <c r="BD23" s="135"/>
      <c r="BE23" s="135"/>
      <c r="BF23" s="135">
        <v>16.600000000000001</v>
      </c>
      <c r="BG23" s="135">
        <v>10100</v>
      </c>
      <c r="BH23" s="135">
        <v>608.1</v>
      </c>
      <c r="BI23" s="135">
        <v>1.64</v>
      </c>
      <c r="BJ23" s="135">
        <v>43.5</v>
      </c>
      <c r="BK23" s="135">
        <v>-4</v>
      </c>
      <c r="BL23" s="135">
        <v>23.75</v>
      </c>
    </row>
    <row r="24" spans="1:64" x14ac:dyDescent="0.3">
      <c r="A24" s="135">
        <v>2016</v>
      </c>
      <c r="B24" s="135">
        <v>4</v>
      </c>
      <c r="C24" s="135" t="s">
        <v>1989</v>
      </c>
      <c r="D24" s="135" t="s">
        <v>9</v>
      </c>
      <c r="E24" s="135" t="s">
        <v>405</v>
      </c>
      <c r="F24" s="135" t="s">
        <v>10</v>
      </c>
      <c r="G24" s="135" t="s">
        <v>1992</v>
      </c>
      <c r="H24" s="135">
        <v>17.66</v>
      </c>
      <c r="I24" s="135">
        <v>15</v>
      </c>
      <c r="J24" s="135">
        <v>15</v>
      </c>
      <c r="K24" s="135">
        <v>19.577999999999999</v>
      </c>
      <c r="L24" s="135">
        <v>32.465000000000003</v>
      </c>
      <c r="M24" s="135">
        <v>212.71</v>
      </c>
      <c r="N24" s="135">
        <v>1.1619999999999999</v>
      </c>
      <c r="O24" s="135">
        <v>1.0569999999999999</v>
      </c>
      <c r="P24" s="135">
        <v>6.5940000000000003</v>
      </c>
      <c r="Q24" s="135">
        <v>32.558999999999997</v>
      </c>
      <c r="R24" s="135">
        <v>0.20599999999999999</v>
      </c>
      <c r="S24" s="135">
        <v>0</v>
      </c>
      <c r="T24" s="135">
        <v>0</v>
      </c>
      <c r="U24" s="135">
        <v>0</v>
      </c>
      <c r="V24" s="135">
        <v>0.26700000000000002</v>
      </c>
      <c r="W24" s="135">
        <v>0</v>
      </c>
      <c r="X24" s="135">
        <v>0</v>
      </c>
      <c r="Y24" s="135" t="s">
        <v>1983</v>
      </c>
      <c r="Z24" s="135">
        <v>16.899999999999999</v>
      </c>
      <c r="AA24" s="135">
        <v>5900</v>
      </c>
      <c r="AB24" s="135">
        <v>349.9</v>
      </c>
      <c r="AC24" s="135">
        <v>2.86</v>
      </c>
      <c r="AD24" s="135">
        <v>16.100000000000001</v>
      </c>
      <c r="AE24" s="135">
        <v>15100</v>
      </c>
      <c r="AF24" s="135">
        <v>940.4</v>
      </c>
      <c r="AG24" s="135">
        <v>1.06</v>
      </c>
      <c r="AH24" s="135">
        <v>16.899999999999999</v>
      </c>
      <c r="AI24" s="135">
        <v>5400</v>
      </c>
      <c r="AJ24" s="135">
        <v>318.7</v>
      </c>
      <c r="AK24" s="135">
        <v>3.14</v>
      </c>
      <c r="AL24" s="135">
        <v>16.100000000000001</v>
      </c>
      <c r="AM24" s="135">
        <v>7600</v>
      </c>
      <c r="AN24" s="135">
        <v>473.3</v>
      </c>
      <c r="AO24" s="135">
        <v>2.11</v>
      </c>
      <c r="AP24" s="135"/>
      <c r="AQ24" s="135"/>
      <c r="AR24" s="135"/>
      <c r="AS24" s="135"/>
      <c r="AT24" s="135"/>
      <c r="AU24" s="135"/>
      <c r="AV24" s="135"/>
      <c r="AW24" s="135"/>
      <c r="AX24" s="135">
        <v>16.100000000000001</v>
      </c>
      <c r="AY24" s="135">
        <v>26</v>
      </c>
      <c r="AZ24" s="135">
        <v>1.6</v>
      </c>
      <c r="BA24" s="135">
        <v>0.62</v>
      </c>
      <c r="BB24" s="135"/>
      <c r="BC24" s="135"/>
      <c r="BD24" s="135"/>
      <c r="BE24" s="135"/>
      <c r="BF24" s="135">
        <v>16.899999999999999</v>
      </c>
      <c r="BG24" s="135">
        <v>10600</v>
      </c>
      <c r="BH24" s="135">
        <v>625.6</v>
      </c>
      <c r="BI24" s="135">
        <v>1.6</v>
      </c>
      <c r="BJ24" s="135">
        <v>44</v>
      </c>
      <c r="BK24" s="135">
        <v>4.5</v>
      </c>
      <c r="BL24" s="135">
        <v>19.75</v>
      </c>
    </row>
    <row r="25" spans="1:64" x14ac:dyDescent="0.3">
      <c r="A25" s="135">
        <v>2016</v>
      </c>
      <c r="B25" s="135">
        <v>4</v>
      </c>
      <c r="C25" s="135" t="s">
        <v>1971</v>
      </c>
      <c r="D25" s="135" t="s">
        <v>36</v>
      </c>
      <c r="E25" s="135" t="s">
        <v>405</v>
      </c>
      <c r="F25" s="135" t="s">
        <v>37</v>
      </c>
      <c r="G25" s="135" t="s">
        <v>2304</v>
      </c>
      <c r="H25" s="135">
        <v>11.6</v>
      </c>
      <c r="I25" s="135">
        <v>14.965999999999999</v>
      </c>
      <c r="J25" s="135">
        <v>14.965999999999999</v>
      </c>
      <c r="K25" s="135">
        <v>23.033000000000001</v>
      </c>
      <c r="L25" s="135">
        <v>36.343000000000004</v>
      </c>
      <c r="M25" s="135">
        <v>260.20999999999998</v>
      </c>
      <c r="N25" s="135">
        <v>1.6419999999999999</v>
      </c>
      <c r="O25" s="135">
        <v>0.89</v>
      </c>
      <c r="P25" s="135">
        <v>0.82799999999999996</v>
      </c>
      <c r="Q25" s="135">
        <v>2.3780000000000001</v>
      </c>
      <c r="R25" s="135">
        <v>8.0000000000000002E-3</v>
      </c>
      <c r="S25" s="135">
        <v>0</v>
      </c>
      <c r="T25" s="135">
        <v>0</v>
      </c>
      <c r="U25" s="135">
        <v>0</v>
      </c>
      <c r="V25" s="135">
        <v>0.25800000000000001</v>
      </c>
      <c r="W25" s="135">
        <v>0</v>
      </c>
      <c r="X25" s="135">
        <v>0</v>
      </c>
      <c r="Y25" s="135" t="s">
        <v>1983</v>
      </c>
      <c r="Z25" s="135">
        <v>17.3</v>
      </c>
      <c r="AA25" s="135">
        <v>6400</v>
      </c>
      <c r="AB25" s="135">
        <v>369.7</v>
      </c>
      <c r="AC25" s="135">
        <v>2.7</v>
      </c>
      <c r="AD25" s="135">
        <v>15.9</v>
      </c>
      <c r="AE25" s="135">
        <v>15200</v>
      </c>
      <c r="AF25" s="135">
        <v>958.6</v>
      </c>
      <c r="AG25" s="135">
        <v>1.04</v>
      </c>
      <c r="AH25" s="135">
        <v>16.600000000000001</v>
      </c>
      <c r="AI25" s="135">
        <v>6100</v>
      </c>
      <c r="AJ25" s="135">
        <v>366.4</v>
      </c>
      <c r="AK25" s="135">
        <v>2.73</v>
      </c>
      <c r="AL25" s="135">
        <v>15.9</v>
      </c>
      <c r="AM25" s="135">
        <v>7500</v>
      </c>
      <c r="AN25" s="135">
        <v>473</v>
      </c>
      <c r="AO25" s="135">
        <v>2.11</v>
      </c>
      <c r="AP25" s="135"/>
      <c r="AQ25" s="135"/>
      <c r="AR25" s="135"/>
      <c r="AS25" s="135"/>
      <c r="AT25" s="135"/>
      <c r="AU25" s="135"/>
      <c r="AV25" s="135"/>
      <c r="AW25" s="135"/>
      <c r="AX25" s="135">
        <v>15.9</v>
      </c>
      <c r="AY25" s="135">
        <v>32</v>
      </c>
      <c r="AZ25" s="135">
        <v>2</v>
      </c>
      <c r="BA25" s="135">
        <v>0.5</v>
      </c>
      <c r="BB25" s="135"/>
      <c r="BC25" s="135"/>
      <c r="BD25" s="135"/>
      <c r="BE25" s="135"/>
      <c r="BF25" s="135">
        <v>16.600000000000001</v>
      </c>
      <c r="BG25" s="135">
        <v>11400</v>
      </c>
      <c r="BH25" s="135">
        <v>684.7</v>
      </c>
      <c r="BI25" s="135">
        <v>1.46</v>
      </c>
      <c r="BJ25" s="135">
        <v>43.5</v>
      </c>
      <c r="BK25" s="135">
        <v>4</v>
      </c>
      <c r="BL25" s="135">
        <v>19.75</v>
      </c>
    </row>
    <row r="26" spans="1:64" x14ac:dyDescent="0.3">
      <c r="A26" s="135">
        <v>2016</v>
      </c>
      <c r="B26" s="135">
        <v>4</v>
      </c>
      <c r="C26" s="135" t="s">
        <v>1993</v>
      </c>
      <c r="D26" s="135" t="s">
        <v>45</v>
      </c>
      <c r="E26" s="135" t="s">
        <v>405</v>
      </c>
      <c r="F26" s="135" t="s">
        <v>46</v>
      </c>
      <c r="G26" s="135" t="s">
        <v>26</v>
      </c>
      <c r="H26" s="135">
        <v>27.36</v>
      </c>
      <c r="I26" s="135">
        <v>14.706</v>
      </c>
      <c r="J26" s="135">
        <v>14.706</v>
      </c>
      <c r="K26" s="135">
        <v>24.016999999999999</v>
      </c>
      <c r="L26" s="135">
        <v>37.152999999999999</v>
      </c>
      <c r="M26" s="135">
        <v>257.40199999999999</v>
      </c>
      <c r="N26" s="135">
        <v>1.59</v>
      </c>
      <c r="O26" s="135">
        <v>1.0309999999999999</v>
      </c>
      <c r="P26" s="135">
        <v>0.55500000000000005</v>
      </c>
      <c r="Q26" s="135">
        <v>1.94</v>
      </c>
      <c r="R26" s="135">
        <v>6.0999999999999999E-2</v>
      </c>
      <c r="S26" s="135">
        <v>0</v>
      </c>
      <c r="T26" s="135">
        <v>0</v>
      </c>
      <c r="U26" s="135">
        <v>0</v>
      </c>
      <c r="V26" s="135">
        <v>0.224</v>
      </c>
      <c r="W26" s="135">
        <v>0</v>
      </c>
      <c r="X26" s="135">
        <v>0</v>
      </c>
      <c r="Y26" s="135" t="s">
        <v>1983</v>
      </c>
      <c r="Z26" s="135">
        <v>17.100000000000001</v>
      </c>
      <c r="AA26" s="135">
        <v>5200</v>
      </c>
      <c r="AB26" s="135">
        <v>304.89999999999998</v>
      </c>
      <c r="AC26" s="135">
        <v>3.28</v>
      </c>
      <c r="AD26" s="135">
        <v>15.7</v>
      </c>
      <c r="AE26" s="135">
        <v>10000</v>
      </c>
      <c r="AF26" s="135">
        <v>635.4</v>
      </c>
      <c r="AG26" s="135">
        <v>1.57</v>
      </c>
      <c r="AH26" s="135">
        <v>16.5</v>
      </c>
      <c r="AI26" s="135">
        <v>5000</v>
      </c>
      <c r="AJ26" s="135">
        <v>303.3</v>
      </c>
      <c r="AK26" s="135">
        <v>3.3</v>
      </c>
      <c r="AL26" s="135">
        <v>15.7</v>
      </c>
      <c r="AM26" s="135">
        <v>6000</v>
      </c>
      <c r="AN26" s="135">
        <v>381.3</v>
      </c>
      <c r="AO26" s="135">
        <v>2.62</v>
      </c>
      <c r="AP26" s="135"/>
      <c r="AQ26" s="135"/>
      <c r="AR26" s="135"/>
      <c r="AS26" s="135"/>
      <c r="AT26" s="135"/>
      <c r="AU26" s="135"/>
      <c r="AV26" s="135"/>
      <c r="AW26" s="135"/>
      <c r="AX26" s="135">
        <v>15.7</v>
      </c>
      <c r="AY26" s="135">
        <v>23</v>
      </c>
      <c r="AZ26" s="135">
        <v>1.5</v>
      </c>
      <c r="BA26" s="135">
        <v>0.68</v>
      </c>
      <c r="BB26" s="135"/>
      <c r="BC26" s="135"/>
      <c r="BD26" s="135"/>
      <c r="BE26" s="135"/>
      <c r="BF26" s="135">
        <v>16.5</v>
      </c>
      <c r="BG26" s="135">
        <v>10000</v>
      </c>
      <c r="BH26" s="135">
        <v>606.5</v>
      </c>
      <c r="BI26" s="135">
        <v>1.65</v>
      </c>
      <c r="BJ26" s="135">
        <v>46.5</v>
      </c>
      <c r="BK26" s="135">
        <v>3</v>
      </c>
      <c r="BL26" s="135">
        <v>21.75</v>
      </c>
    </row>
    <row r="27" spans="1:64" x14ac:dyDescent="0.3">
      <c r="A27" s="135">
        <v>2016</v>
      </c>
      <c r="B27" s="135">
        <v>4</v>
      </c>
      <c r="C27" s="135" t="s">
        <v>2000</v>
      </c>
      <c r="D27" s="135" t="s">
        <v>47</v>
      </c>
      <c r="E27" s="135" t="s">
        <v>405</v>
      </c>
      <c r="F27" s="135" t="s">
        <v>398</v>
      </c>
      <c r="G27" s="135" t="s">
        <v>52</v>
      </c>
      <c r="H27" s="135">
        <v>22.45</v>
      </c>
      <c r="I27" s="135">
        <v>14.542</v>
      </c>
      <c r="J27" s="135">
        <v>14.542</v>
      </c>
      <c r="K27" s="135">
        <v>19.809000000000001</v>
      </c>
      <c r="L27" s="135">
        <v>34.35</v>
      </c>
      <c r="M27" s="135">
        <v>206.1</v>
      </c>
      <c r="N27" s="135">
        <v>1.369</v>
      </c>
      <c r="O27" s="135">
        <v>1.0169999999999999</v>
      </c>
      <c r="P27" s="135">
        <v>4.3920000000000003</v>
      </c>
      <c r="Q27" s="135">
        <v>24.259</v>
      </c>
      <c r="R27" s="135">
        <v>0.14799999999999999</v>
      </c>
      <c r="S27" s="135">
        <v>0</v>
      </c>
      <c r="T27" s="135">
        <v>0</v>
      </c>
      <c r="U27" s="135">
        <v>0</v>
      </c>
      <c r="V27" s="135">
        <v>0.22900000000000001</v>
      </c>
      <c r="W27" s="135">
        <v>0</v>
      </c>
      <c r="X27" s="135">
        <v>0</v>
      </c>
      <c r="Y27" s="135" t="s">
        <v>1983</v>
      </c>
      <c r="Z27" s="135">
        <v>16.399999999999999</v>
      </c>
      <c r="AA27" s="135">
        <v>5000</v>
      </c>
      <c r="AB27" s="135">
        <v>305.39999999999998</v>
      </c>
      <c r="AC27" s="135">
        <v>3.27</v>
      </c>
      <c r="AD27" s="135">
        <v>15.6</v>
      </c>
      <c r="AE27" s="135">
        <v>12050</v>
      </c>
      <c r="AF27" s="135">
        <v>774.5</v>
      </c>
      <c r="AG27" s="135">
        <v>1.29</v>
      </c>
      <c r="AH27" s="135">
        <v>16.3</v>
      </c>
      <c r="AI27" s="135">
        <v>5000</v>
      </c>
      <c r="AJ27" s="135">
        <v>305.89999999999998</v>
      </c>
      <c r="AK27" s="135">
        <v>3.27</v>
      </c>
      <c r="AL27" s="135">
        <v>15.6</v>
      </c>
      <c r="AM27" s="135">
        <v>6400</v>
      </c>
      <c r="AN27" s="135">
        <v>411.3</v>
      </c>
      <c r="AO27" s="135">
        <v>2.4300000000000002</v>
      </c>
      <c r="AP27" s="135"/>
      <c r="AQ27" s="135"/>
      <c r="AR27" s="135"/>
      <c r="AS27" s="135"/>
      <c r="AT27" s="135"/>
      <c r="AU27" s="135"/>
      <c r="AV27" s="135"/>
      <c r="AW27" s="135"/>
      <c r="AX27" s="135">
        <v>15.6</v>
      </c>
      <c r="AY27" s="135">
        <v>23</v>
      </c>
      <c r="AZ27" s="135">
        <v>1.5</v>
      </c>
      <c r="BA27" s="135">
        <v>0.68</v>
      </c>
      <c r="BB27" s="135"/>
      <c r="BC27" s="135"/>
      <c r="BD27" s="135"/>
      <c r="BE27" s="135"/>
      <c r="BF27" s="135">
        <v>16.3</v>
      </c>
      <c r="BG27" s="135">
        <v>10000</v>
      </c>
      <c r="BH27" s="135">
        <v>611.79999999999995</v>
      </c>
      <c r="BI27" s="135">
        <v>1.63</v>
      </c>
      <c r="BJ27" s="135">
        <v>46</v>
      </c>
      <c r="BK27" s="135">
        <v>3</v>
      </c>
      <c r="BL27" s="135">
        <v>21.5</v>
      </c>
    </row>
    <row r="28" spans="1:64" x14ac:dyDescent="0.3">
      <c r="A28" s="135">
        <v>2016</v>
      </c>
      <c r="B28" s="135">
        <v>4</v>
      </c>
      <c r="C28" s="135" t="s">
        <v>1981</v>
      </c>
      <c r="D28" s="135" t="s">
        <v>411</v>
      </c>
      <c r="E28" s="135" t="s">
        <v>405</v>
      </c>
      <c r="F28" s="135" t="s">
        <v>34</v>
      </c>
      <c r="G28" s="135" t="s">
        <v>7</v>
      </c>
      <c r="H28" s="135">
        <v>10.88</v>
      </c>
      <c r="I28" s="135">
        <v>13.728999999999999</v>
      </c>
      <c r="J28" s="135">
        <v>13.728999999999999</v>
      </c>
      <c r="K28" s="135">
        <v>18.184999999999999</v>
      </c>
      <c r="L28" s="135">
        <v>32.570999999999998</v>
      </c>
      <c r="M28" s="135">
        <v>211.94399999999999</v>
      </c>
      <c r="N28" s="135">
        <v>1.411</v>
      </c>
      <c r="O28" s="135">
        <v>1.014</v>
      </c>
      <c r="P28" s="135">
        <v>3.9790000000000001</v>
      </c>
      <c r="Q28" s="135">
        <v>16.916</v>
      </c>
      <c r="R28" s="135">
        <v>0.08</v>
      </c>
      <c r="S28" s="135">
        <v>0</v>
      </c>
      <c r="T28" s="135">
        <v>0</v>
      </c>
      <c r="U28" s="135">
        <v>0</v>
      </c>
      <c r="V28" s="135">
        <v>0.26800000000000002</v>
      </c>
      <c r="W28" s="135">
        <v>0</v>
      </c>
      <c r="X28" s="135">
        <v>0</v>
      </c>
      <c r="Y28" s="135" t="s">
        <v>1995</v>
      </c>
      <c r="Z28" s="135">
        <v>15.6</v>
      </c>
      <c r="AA28" s="135">
        <v>6100</v>
      </c>
      <c r="AB28" s="135">
        <v>391.5</v>
      </c>
      <c r="AC28" s="135">
        <v>2.5499999999999998</v>
      </c>
      <c r="AD28" s="135">
        <v>14.7</v>
      </c>
      <c r="AE28" s="135">
        <v>12500</v>
      </c>
      <c r="AF28" s="135">
        <v>847.8</v>
      </c>
      <c r="AG28" s="135">
        <v>1.18</v>
      </c>
      <c r="AH28" s="135">
        <v>15.5</v>
      </c>
      <c r="AI28" s="135">
        <v>5300</v>
      </c>
      <c r="AJ28" s="135">
        <v>341.1</v>
      </c>
      <c r="AK28" s="135">
        <v>2.93</v>
      </c>
      <c r="AL28" s="135">
        <v>14.7</v>
      </c>
      <c r="AM28" s="135">
        <v>6900</v>
      </c>
      <c r="AN28" s="135">
        <v>468</v>
      </c>
      <c r="AO28" s="135">
        <v>2.14</v>
      </c>
      <c r="AP28" s="135"/>
      <c r="AQ28" s="135"/>
      <c r="AR28" s="135"/>
      <c r="AS28" s="135"/>
      <c r="AT28" s="135"/>
      <c r="AU28" s="135"/>
      <c r="AV28" s="135"/>
      <c r="AW28" s="135"/>
      <c r="AX28" s="135">
        <v>14.7</v>
      </c>
      <c r="AY28" s="135">
        <v>28</v>
      </c>
      <c r="AZ28" s="135">
        <v>1.9</v>
      </c>
      <c r="BA28" s="135">
        <v>0.53</v>
      </c>
      <c r="BB28" s="135"/>
      <c r="BC28" s="135"/>
      <c r="BD28" s="135"/>
      <c r="BE28" s="135"/>
      <c r="BF28" s="135">
        <v>15.5</v>
      </c>
      <c r="BG28" s="135">
        <v>10500</v>
      </c>
      <c r="BH28" s="135">
        <v>675.8</v>
      </c>
      <c r="BI28" s="135">
        <v>1.48</v>
      </c>
      <c r="BJ28" s="135">
        <v>40.5</v>
      </c>
      <c r="BK28" s="135">
        <v>1.5</v>
      </c>
      <c r="BL28" s="135">
        <v>19.5</v>
      </c>
    </row>
    <row r="29" spans="1:64" x14ac:dyDescent="0.3">
      <c r="A29" s="135">
        <v>2016</v>
      </c>
      <c r="B29" s="135">
        <v>4</v>
      </c>
      <c r="C29" s="135" t="s">
        <v>1973</v>
      </c>
      <c r="D29" s="135" t="s">
        <v>29</v>
      </c>
      <c r="E29" s="135" t="s">
        <v>405</v>
      </c>
      <c r="F29" s="135" t="s">
        <v>30</v>
      </c>
      <c r="G29" s="135" t="s">
        <v>2302</v>
      </c>
      <c r="H29" s="135">
        <v>8.77</v>
      </c>
      <c r="I29" s="135">
        <v>12.871</v>
      </c>
      <c r="J29" s="135">
        <v>12.871</v>
      </c>
      <c r="K29" s="135">
        <v>18.195</v>
      </c>
      <c r="L29" s="135">
        <v>31.914999999999999</v>
      </c>
      <c r="M29" s="135">
        <v>207.45</v>
      </c>
      <c r="N29" s="135">
        <v>0.98</v>
      </c>
      <c r="O29" s="135">
        <v>1.0389999999999999</v>
      </c>
      <c r="P29" s="135">
        <v>3.5979999999999999</v>
      </c>
      <c r="Q29" s="135">
        <v>25.713999999999999</v>
      </c>
      <c r="R29" s="135">
        <v>9.6000000000000002E-2</v>
      </c>
      <c r="S29" s="135">
        <v>0</v>
      </c>
      <c r="T29" s="135">
        <v>0</v>
      </c>
      <c r="U29" s="135">
        <v>0</v>
      </c>
      <c r="V29" s="135">
        <v>0.20799999999999999</v>
      </c>
      <c r="W29" s="135">
        <v>0</v>
      </c>
      <c r="X29" s="135">
        <v>0</v>
      </c>
      <c r="Y29" s="135" t="s">
        <v>1995</v>
      </c>
      <c r="Z29" s="135">
        <v>14.7</v>
      </c>
      <c r="AA29" s="135">
        <v>5900</v>
      </c>
      <c r="AB29" s="135">
        <v>400.3</v>
      </c>
      <c r="AC29" s="135">
        <v>2.5</v>
      </c>
      <c r="AD29" s="135">
        <v>13.9</v>
      </c>
      <c r="AE29" s="135">
        <v>12850</v>
      </c>
      <c r="AF29" s="135">
        <v>923.8</v>
      </c>
      <c r="AG29" s="135">
        <v>1.08</v>
      </c>
      <c r="AH29" s="135">
        <v>14.7</v>
      </c>
      <c r="AI29" s="135">
        <v>5500</v>
      </c>
      <c r="AJ29" s="135">
        <v>374.5</v>
      </c>
      <c r="AK29" s="135">
        <v>2.67</v>
      </c>
      <c r="AL29" s="135">
        <v>13.9</v>
      </c>
      <c r="AM29" s="135">
        <v>7400</v>
      </c>
      <c r="AN29" s="135">
        <v>532</v>
      </c>
      <c r="AO29" s="135">
        <v>1.88</v>
      </c>
      <c r="AP29" s="135"/>
      <c r="AQ29" s="135"/>
      <c r="AR29" s="135"/>
      <c r="AS29" s="135"/>
      <c r="AT29" s="135"/>
      <c r="AU29" s="135"/>
      <c r="AV29" s="135"/>
      <c r="AW29" s="135"/>
      <c r="AX29" s="135">
        <v>13.9</v>
      </c>
      <c r="AY29" s="135">
        <v>28</v>
      </c>
      <c r="AZ29" s="135">
        <v>2</v>
      </c>
      <c r="BA29" s="135">
        <v>0.5</v>
      </c>
      <c r="BB29" s="135"/>
      <c r="BC29" s="135"/>
      <c r="BD29" s="135"/>
      <c r="BE29" s="135"/>
      <c r="BF29" s="135">
        <v>14.7</v>
      </c>
      <c r="BG29" s="135">
        <v>10800</v>
      </c>
      <c r="BH29" s="135">
        <v>735.3</v>
      </c>
      <c r="BI29" s="135">
        <v>1.36</v>
      </c>
      <c r="BJ29" s="135">
        <v>40.5</v>
      </c>
      <c r="BK29" s="135">
        <v>6.5</v>
      </c>
      <c r="BL29" s="135">
        <v>17</v>
      </c>
    </row>
    <row r="30" spans="1:64" x14ac:dyDescent="0.3">
      <c r="A30" s="135">
        <v>2016</v>
      </c>
      <c r="B30" s="135">
        <v>4</v>
      </c>
      <c r="C30" s="135" t="s">
        <v>2002</v>
      </c>
      <c r="D30" s="135" t="s">
        <v>445</v>
      </c>
      <c r="E30" s="135" t="s">
        <v>405</v>
      </c>
      <c r="F30" s="135" t="s">
        <v>14</v>
      </c>
      <c r="G30" s="135" t="s">
        <v>2310</v>
      </c>
      <c r="H30" s="135">
        <v>19.02</v>
      </c>
      <c r="I30" s="135">
        <v>12.051</v>
      </c>
      <c r="J30" s="135">
        <v>12.051</v>
      </c>
      <c r="K30" s="135">
        <v>20.943999999999999</v>
      </c>
      <c r="L30" s="135">
        <v>33.095999999999997</v>
      </c>
      <c r="M30" s="135">
        <v>221.89</v>
      </c>
      <c r="N30" s="135">
        <v>1.167</v>
      </c>
      <c r="O30" s="135">
        <v>1.1120000000000001</v>
      </c>
      <c r="P30" s="135">
        <v>1.1930000000000001</v>
      </c>
      <c r="Q30" s="135">
        <v>6.3959999999999999</v>
      </c>
      <c r="R30" s="135">
        <v>8.2000000000000003E-2</v>
      </c>
      <c r="S30" s="135">
        <v>0</v>
      </c>
      <c r="T30" s="135">
        <v>0</v>
      </c>
      <c r="U30" s="135">
        <v>0</v>
      </c>
      <c r="V30" s="135">
        <v>0.2</v>
      </c>
      <c r="W30" s="135">
        <v>0</v>
      </c>
      <c r="X30" s="135">
        <v>0</v>
      </c>
      <c r="Y30" s="135" t="s">
        <v>1995</v>
      </c>
      <c r="Z30" s="135">
        <v>14.1</v>
      </c>
      <c r="AA30" s="135">
        <v>5100</v>
      </c>
      <c r="AB30" s="135">
        <v>362.5</v>
      </c>
      <c r="AC30" s="135">
        <v>2.76</v>
      </c>
      <c r="AD30" s="135">
        <v>13.2</v>
      </c>
      <c r="AE30" s="135">
        <v>10700</v>
      </c>
      <c r="AF30" s="135">
        <v>812.9</v>
      </c>
      <c r="AG30" s="135">
        <v>1.23</v>
      </c>
      <c r="AH30" s="135">
        <v>13.8</v>
      </c>
      <c r="AI30" s="135">
        <v>5000</v>
      </c>
      <c r="AJ30" s="135">
        <v>361.1</v>
      </c>
      <c r="AK30" s="135">
        <v>2.77</v>
      </c>
      <c r="AL30" s="135">
        <v>13.2</v>
      </c>
      <c r="AM30" s="135">
        <v>6300</v>
      </c>
      <c r="AN30" s="135">
        <v>478.6</v>
      </c>
      <c r="AO30" s="135">
        <v>2.09</v>
      </c>
      <c r="AP30" s="135"/>
      <c r="AQ30" s="135"/>
      <c r="AR30" s="135"/>
      <c r="AS30" s="135"/>
      <c r="AT30" s="135"/>
      <c r="AU30" s="135"/>
      <c r="AV30" s="135"/>
      <c r="AW30" s="135"/>
      <c r="AX30" s="135">
        <v>13.2</v>
      </c>
      <c r="AY30" s="135">
        <v>23</v>
      </c>
      <c r="AZ30" s="135">
        <v>1.7</v>
      </c>
      <c r="BA30" s="135">
        <v>0.56999999999999995</v>
      </c>
      <c r="BB30" s="135"/>
      <c r="BC30" s="135"/>
      <c r="BD30" s="135"/>
      <c r="BE30" s="135"/>
      <c r="BF30" s="135">
        <v>13.8</v>
      </c>
      <c r="BG30" s="135">
        <v>10000</v>
      </c>
      <c r="BH30" s="135">
        <v>722.3</v>
      </c>
      <c r="BI30" s="135">
        <v>1.38</v>
      </c>
      <c r="BJ30" s="135">
        <v>45.5</v>
      </c>
      <c r="BK30" s="135">
        <v>8</v>
      </c>
      <c r="BL30" s="135">
        <v>18.75</v>
      </c>
    </row>
    <row r="31" spans="1:64" x14ac:dyDescent="0.3">
      <c r="A31" s="135">
        <v>2016</v>
      </c>
      <c r="B31" s="135">
        <v>4</v>
      </c>
      <c r="C31" s="135" t="s">
        <v>2004</v>
      </c>
      <c r="D31" s="135" t="s">
        <v>63</v>
      </c>
      <c r="E31" s="135" t="s">
        <v>405</v>
      </c>
      <c r="F31" s="135" t="s">
        <v>409</v>
      </c>
      <c r="G31" s="135" t="s">
        <v>2295</v>
      </c>
      <c r="H31" s="135">
        <v>7.41</v>
      </c>
      <c r="I31" s="135">
        <v>10.798999999999999</v>
      </c>
      <c r="J31" s="135">
        <v>10.798999999999999</v>
      </c>
      <c r="K31" s="135">
        <v>17.736999999999998</v>
      </c>
      <c r="L31" s="135">
        <v>32.505000000000003</v>
      </c>
      <c r="M31" s="135">
        <v>210.28800000000001</v>
      </c>
      <c r="N31" s="135">
        <v>1.0269999999999999</v>
      </c>
      <c r="O31" s="135">
        <v>1.177</v>
      </c>
      <c r="P31" s="135">
        <v>2.9849999999999999</v>
      </c>
      <c r="Q31" s="135">
        <v>9.0139999999999993</v>
      </c>
      <c r="R31" s="135">
        <v>3.7999999999999999E-2</v>
      </c>
      <c r="S31" s="135">
        <v>0</v>
      </c>
      <c r="T31" s="135">
        <v>0</v>
      </c>
      <c r="U31" s="135">
        <v>0</v>
      </c>
      <c r="V31" s="135">
        <v>0.248</v>
      </c>
      <c r="W31" s="135">
        <v>0</v>
      </c>
      <c r="X31" s="135">
        <v>0</v>
      </c>
      <c r="Y31" s="135" t="s">
        <v>1995</v>
      </c>
      <c r="Z31" s="135">
        <v>12.7</v>
      </c>
      <c r="AA31" s="135">
        <v>5000</v>
      </c>
      <c r="AB31" s="135">
        <v>395.1</v>
      </c>
      <c r="AC31" s="135">
        <v>2.5299999999999998</v>
      </c>
      <c r="AD31" s="135">
        <v>12</v>
      </c>
      <c r="AE31" s="135">
        <v>10800</v>
      </c>
      <c r="AF31" s="135">
        <v>901.8</v>
      </c>
      <c r="AG31" s="135">
        <v>1.1100000000000001</v>
      </c>
      <c r="AH31" s="135">
        <v>12.7</v>
      </c>
      <c r="AI31" s="135">
        <v>5000</v>
      </c>
      <c r="AJ31" s="135">
        <v>393.7</v>
      </c>
      <c r="AK31" s="135">
        <v>2.54</v>
      </c>
      <c r="AL31" s="135">
        <v>12</v>
      </c>
      <c r="AM31" s="135">
        <v>6500</v>
      </c>
      <c r="AN31" s="135">
        <v>542.79999999999995</v>
      </c>
      <c r="AO31" s="135">
        <v>1.84</v>
      </c>
      <c r="AP31" s="135"/>
      <c r="AQ31" s="135"/>
      <c r="AR31" s="135"/>
      <c r="AS31" s="135"/>
      <c r="AT31" s="135"/>
      <c r="AU31" s="135"/>
      <c r="AV31" s="135"/>
      <c r="AW31" s="135"/>
      <c r="AX31" s="135">
        <v>12</v>
      </c>
      <c r="AY31" s="135">
        <v>22</v>
      </c>
      <c r="AZ31" s="135">
        <v>1.8</v>
      </c>
      <c r="BA31" s="135">
        <v>0.54</v>
      </c>
      <c r="BB31" s="135"/>
      <c r="BC31" s="135"/>
      <c r="BD31" s="135"/>
      <c r="BE31" s="135"/>
      <c r="BF31" s="135">
        <v>12.7</v>
      </c>
      <c r="BG31" s="135">
        <v>10000</v>
      </c>
      <c r="BH31" s="135">
        <v>787.5</v>
      </c>
      <c r="BI31" s="135">
        <v>1.27</v>
      </c>
      <c r="BJ31" s="135">
        <v>43</v>
      </c>
      <c r="BK31" s="135">
        <v>8</v>
      </c>
      <c r="BL31" s="135">
        <v>17.5</v>
      </c>
    </row>
    <row r="32" spans="1:64" x14ac:dyDescent="0.3">
      <c r="A32" s="135">
        <v>2016</v>
      </c>
      <c r="B32" s="135">
        <v>4</v>
      </c>
      <c r="C32" s="135" t="s">
        <v>2007</v>
      </c>
      <c r="D32" s="135" t="s">
        <v>98</v>
      </c>
      <c r="E32" s="135" t="s">
        <v>394</v>
      </c>
      <c r="F32" s="135" t="s">
        <v>24</v>
      </c>
      <c r="G32" s="135" t="s">
        <v>409</v>
      </c>
      <c r="H32" s="135">
        <v>20.8</v>
      </c>
      <c r="I32" s="135">
        <v>17.632000000000001</v>
      </c>
      <c r="J32" s="135">
        <v>21.056000000000001</v>
      </c>
      <c r="K32" s="135">
        <v>0</v>
      </c>
      <c r="L32" s="135">
        <v>0</v>
      </c>
      <c r="M32" s="135">
        <v>0</v>
      </c>
      <c r="N32" s="135">
        <v>0</v>
      </c>
      <c r="O32" s="135">
        <v>0</v>
      </c>
      <c r="P32" s="135">
        <v>20.015999999999998</v>
      </c>
      <c r="Q32" s="135">
        <v>86.771000000000001</v>
      </c>
      <c r="R32" s="135">
        <v>0.75800000000000001</v>
      </c>
      <c r="S32" s="135">
        <v>3.4239999999999999</v>
      </c>
      <c r="T32" s="135">
        <v>37.651000000000003</v>
      </c>
      <c r="U32" s="135">
        <v>0.17399999999999999</v>
      </c>
      <c r="V32" s="135">
        <v>0.20100000000000001</v>
      </c>
      <c r="W32" s="135">
        <v>0</v>
      </c>
      <c r="X32" s="135">
        <v>0</v>
      </c>
      <c r="Y32" s="135" t="s">
        <v>1959</v>
      </c>
      <c r="Z32" s="135">
        <v>19.100000000000001</v>
      </c>
      <c r="AA32" s="135">
        <v>6100</v>
      </c>
      <c r="AB32" s="135">
        <v>318.7</v>
      </c>
      <c r="AC32" s="135">
        <v>3.14</v>
      </c>
      <c r="AD32" s="135">
        <v>21.1</v>
      </c>
      <c r="AE32" s="135">
        <v>16650</v>
      </c>
      <c r="AF32" s="135">
        <v>790.7</v>
      </c>
      <c r="AG32" s="135">
        <v>1.26</v>
      </c>
      <c r="AH32" s="135">
        <v>22</v>
      </c>
      <c r="AI32" s="135">
        <v>7800</v>
      </c>
      <c r="AJ32" s="135">
        <v>354.5</v>
      </c>
      <c r="AK32" s="135">
        <v>2.82</v>
      </c>
      <c r="AL32" s="135">
        <v>19.3</v>
      </c>
      <c r="AM32" s="135">
        <v>8700</v>
      </c>
      <c r="AN32" s="135">
        <v>449.7</v>
      </c>
      <c r="AO32" s="135">
        <v>2.2200000000000002</v>
      </c>
      <c r="AP32" s="135"/>
      <c r="AQ32" s="135"/>
      <c r="AR32" s="135"/>
      <c r="AS32" s="135"/>
      <c r="AT32" s="135"/>
      <c r="AU32" s="135"/>
      <c r="AV32" s="135"/>
      <c r="AW32" s="135"/>
      <c r="AX32" s="135">
        <v>19.3</v>
      </c>
      <c r="AY32" s="135">
        <v>37</v>
      </c>
      <c r="AZ32" s="135">
        <v>1.9</v>
      </c>
      <c r="BA32" s="135">
        <v>0.52</v>
      </c>
      <c r="BB32" s="135"/>
      <c r="BC32" s="135"/>
      <c r="BD32" s="135"/>
      <c r="BE32" s="135"/>
      <c r="BF32" s="135">
        <v>22</v>
      </c>
      <c r="BG32" s="135">
        <v>14700</v>
      </c>
      <c r="BH32" s="135">
        <v>668.1</v>
      </c>
      <c r="BI32" s="135">
        <v>1.5</v>
      </c>
      <c r="BJ32" s="135">
        <v>43</v>
      </c>
      <c r="BK32" s="135">
        <v>-8</v>
      </c>
      <c r="BL32" s="135">
        <v>25.5</v>
      </c>
    </row>
    <row r="33" spans="1:64" x14ac:dyDescent="0.3">
      <c r="A33" s="135">
        <v>2016</v>
      </c>
      <c r="B33" s="135">
        <v>4</v>
      </c>
      <c r="C33" s="135" t="s">
        <v>2009</v>
      </c>
      <c r="D33" s="135" t="s">
        <v>119</v>
      </c>
      <c r="E33" s="135" t="s">
        <v>394</v>
      </c>
      <c r="F33" s="135" t="s">
        <v>407</v>
      </c>
      <c r="G33" s="135" t="s">
        <v>404</v>
      </c>
      <c r="H33" s="135">
        <v>30.34</v>
      </c>
      <c r="I33" s="135">
        <v>17.286999999999999</v>
      </c>
      <c r="J33" s="135">
        <v>20.963999999999999</v>
      </c>
      <c r="K33" s="135">
        <v>0</v>
      </c>
      <c r="L33" s="135">
        <v>0</v>
      </c>
      <c r="M33" s="135">
        <v>0</v>
      </c>
      <c r="N33" s="135">
        <v>0</v>
      </c>
      <c r="O33" s="135">
        <v>0</v>
      </c>
      <c r="P33" s="135">
        <v>21.725999999999999</v>
      </c>
      <c r="Q33" s="135">
        <v>84.864000000000004</v>
      </c>
      <c r="R33" s="135">
        <v>0.95599999999999996</v>
      </c>
      <c r="S33" s="135">
        <v>3.677</v>
      </c>
      <c r="T33" s="135">
        <v>24.248999999999999</v>
      </c>
      <c r="U33" s="135">
        <v>0.17</v>
      </c>
      <c r="V33" s="135">
        <v>0.19</v>
      </c>
      <c r="W33" s="135">
        <v>0</v>
      </c>
      <c r="X33" s="135">
        <v>0</v>
      </c>
      <c r="Y33" s="135" t="s">
        <v>1959</v>
      </c>
      <c r="Z33" s="135">
        <v>18.899999999999999</v>
      </c>
      <c r="AA33" s="135">
        <v>5100</v>
      </c>
      <c r="AB33" s="135">
        <v>269.3</v>
      </c>
      <c r="AC33" s="135">
        <v>3.71</v>
      </c>
      <c r="AD33" s="135">
        <v>21</v>
      </c>
      <c r="AE33" s="135">
        <v>14550</v>
      </c>
      <c r="AF33" s="135">
        <v>694</v>
      </c>
      <c r="AG33" s="135">
        <v>1.44</v>
      </c>
      <c r="AH33" s="135">
        <v>21.8</v>
      </c>
      <c r="AI33" s="135">
        <v>6300</v>
      </c>
      <c r="AJ33" s="135">
        <v>288.89999999999998</v>
      </c>
      <c r="AK33" s="135">
        <v>3.46</v>
      </c>
      <c r="AL33" s="135">
        <v>19.100000000000001</v>
      </c>
      <c r="AM33" s="135">
        <v>7600</v>
      </c>
      <c r="AN33" s="135">
        <v>397.4</v>
      </c>
      <c r="AO33" s="135">
        <v>2.52</v>
      </c>
      <c r="AP33" s="135"/>
      <c r="AQ33" s="135"/>
      <c r="AR33" s="135"/>
      <c r="AS33" s="135"/>
      <c r="AT33" s="135"/>
      <c r="AU33" s="135"/>
      <c r="AV33" s="135"/>
      <c r="AW33" s="135"/>
      <c r="AX33" s="135">
        <v>19.100000000000001</v>
      </c>
      <c r="AY33" s="135">
        <v>30</v>
      </c>
      <c r="AZ33" s="135">
        <v>1.6</v>
      </c>
      <c r="BA33" s="135">
        <v>0.64</v>
      </c>
      <c r="BB33" s="135"/>
      <c r="BC33" s="135"/>
      <c r="BD33" s="135"/>
      <c r="BE33" s="135"/>
      <c r="BF33" s="135">
        <v>21.8</v>
      </c>
      <c r="BG33" s="135">
        <v>12000</v>
      </c>
      <c r="BH33" s="135">
        <v>550.20000000000005</v>
      </c>
      <c r="BI33" s="135">
        <v>1.82</v>
      </c>
      <c r="BJ33" s="135">
        <v>53.5</v>
      </c>
      <c r="BK33" s="135">
        <v>-4</v>
      </c>
      <c r="BL33" s="135">
        <v>28.75</v>
      </c>
    </row>
    <row r="34" spans="1:64" x14ac:dyDescent="0.3">
      <c r="A34" s="135">
        <v>2016</v>
      </c>
      <c r="B34" s="135">
        <v>4</v>
      </c>
      <c r="C34" s="135" t="s">
        <v>2552</v>
      </c>
      <c r="D34" s="135" t="s">
        <v>2553</v>
      </c>
      <c r="E34" s="135" t="s">
        <v>394</v>
      </c>
      <c r="F34" s="135" t="s">
        <v>20</v>
      </c>
      <c r="G34" s="135" t="s">
        <v>397</v>
      </c>
      <c r="H34" s="135">
        <v>19.64</v>
      </c>
      <c r="I34" s="135">
        <v>16.175000000000001</v>
      </c>
      <c r="J34" s="135">
        <v>19.867999999999999</v>
      </c>
      <c r="K34" s="135">
        <v>0</v>
      </c>
      <c r="L34" s="135">
        <v>0</v>
      </c>
      <c r="M34" s="135">
        <v>0</v>
      </c>
      <c r="N34" s="135">
        <v>0</v>
      </c>
      <c r="O34" s="135">
        <v>0</v>
      </c>
      <c r="P34" s="135">
        <v>17.518000000000001</v>
      </c>
      <c r="Q34" s="135">
        <v>80.09</v>
      </c>
      <c r="R34" s="135">
        <v>0.66900000000000004</v>
      </c>
      <c r="S34" s="135">
        <v>3.6930000000000001</v>
      </c>
      <c r="T34" s="135">
        <v>39.418999999999997</v>
      </c>
      <c r="U34" s="135">
        <v>9.2999999999999999E-2</v>
      </c>
      <c r="V34" s="135">
        <v>0.17399999999999999</v>
      </c>
      <c r="W34" s="135">
        <v>0</v>
      </c>
      <c r="X34" s="135">
        <v>0</v>
      </c>
      <c r="Y34" s="135" t="s">
        <v>1959</v>
      </c>
      <c r="Z34" s="135">
        <v>17.8</v>
      </c>
      <c r="AA34" s="135">
        <v>6250</v>
      </c>
      <c r="AB34" s="135">
        <v>350.2</v>
      </c>
      <c r="AC34" s="135">
        <v>2.86</v>
      </c>
      <c r="AD34" s="135">
        <v>19.899999999999999</v>
      </c>
      <c r="AE34" s="135">
        <v>13000</v>
      </c>
      <c r="AF34" s="135">
        <v>654.29999999999995</v>
      </c>
      <c r="AG34" s="135">
        <v>1.53</v>
      </c>
      <c r="AH34" s="135">
        <v>20.8</v>
      </c>
      <c r="AI34" s="135">
        <v>7500</v>
      </c>
      <c r="AJ34" s="135">
        <v>361.3</v>
      </c>
      <c r="AK34" s="135">
        <v>2.77</v>
      </c>
      <c r="AL34" s="135">
        <v>18</v>
      </c>
      <c r="AM34" s="135">
        <v>8300</v>
      </c>
      <c r="AN34" s="135">
        <v>460.6</v>
      </c>
      <c r="AO34" s="135">
        <v>2.17</v>
      </c>
      <c r="AP34" s="135"/>
      <c r="AQ34" s="135"/>
      <c r="AR34" s="135"/>
      <c r="AS34" s="135"/>
      <c r="AT34" s="135"/>
      <c r="AU34" s="135"/>
      <c r="AV34" s="135"/>
      <c r="AW34" s="135"/>
      <c r="AX34" s="135">
        <v>18</v>
      </c>
      <c r="AY34" s="135">
        <v>31</v>
      </c>
      <c r="AZ34" s="135">
        <v>1.7</v>
      </c>
      <c r="BA34" s="135">
        <v>0.57999999999999996</v>
      </c>
      <c r="BB34" s="135"/>
      <c r="BC34" s="135"/>
      <c r="BD34" s="135"/>
      <c r="BE34" s="135"/>
      <c r="BF34" s="135">
        <v>20.8</v>
      </c>
      <c r="BG34" s="135">
        <v>14100</v>
      </c>
      <c r="BH34" s="135">
        <v>679.2</v>
      </c>
      <c r="BI34" s="135">
        <v>1.47</v>
      </c>
      <c r="BJ34" s="135">
        <v>47.5</v>
      </c>
      <c r="BK34" s="135">
        <v>-5.5</v>
      </c>
      <c r="BL34" s="135">
        <v>26.5</v>
      </c>
    </row>
    <row r="35" spans="1:64" x14ac:dyDescent="0.3">
      <c r="A35" s="135">
        <v>2016</v>
      </c>
      <c r="B35" s="135">
        <v>4</v>
      </c>
      <c r="C35" s="135" t="s">
        <v>2008</v>
      </c>
      <c r="D35" s="135" t="s">
        <v>122</v>
      </c>
      <c r="E35" s="135" t="s">
        <v>394</v>
      </c>
      <c r="F35" s="135" t="s">
        <v>43</v>
      </c>
      <c r="G35" s="135" t="s">
        <v>30</v>
      </c>
      <c r="H35" s="135">
        <v>9.0399999999999991</v>
      </c>
      <c r="I35" s="135">
        <v>15.818</v>
      </c>
      <c r="J35" s="135">
        <v>18.795999999999999</v>
      </c>
      <c r="K35" s="135">
        <v>0</v>
      </c>
      <c r="L35" s="135">
        <v>0</v>
      </c>
      <c r="M35" s="135">
        <v>0</v>
      </c>
      <c r="N35" s="135">
        <v>0</v>
      </c>
      <c r="O35" s="135">
        <v>0</v>
      </c>
      <c r="P35" s="135">
        <v>22.547000000000001</v>
      </c>
      <c r="Q35" s="135">
        <v>94.564999999999998</v>
      </c>
      <c r="R35" s="135">
        <v>0.63100000000000001</v>
      </c>
      <c r="S35" s="135">
        <v>2.9780000000000002</v>
      </c>
      <c r="T35" s="135">
        <v>22.239000000000001</v>
      </c>
      <c r="U35" s="135">
        <v>0.13100000000000001</v>
      </c>
      <c r="V35" s="135">
        <v>0.217</v>
      </c>
      <c r="W35" s="135">
        <v>0</v>
      </c>
      <c r="X35" s="135">
        <v>0</v>
      </c>
      <c r="Y35" s="135" t="s">
        <v>1959</v>
      </c>
      <c r="Z35" s="135">
        <v>17.100000000000001</v>
      </c>
      <c r="AA35" s="135">
        <v>5150</v>
      </c>
      <c r="AB35" s="135">
        <v>301.3</v>
      </c>
      <c r="AC35" s="135">
        <v>3.32</v>
      </c>
      <c r="AD35" s="135">
        <v>18.8</v>
      </c>
      <c r="AE35" s="135">
        <v>14050</v>
      </c>
      <c r="AF35" s="135">
        <v>747.5</v>
      </c>
      <c r="AG35" s="135">
        <v>1.34</v>
      </c>
      <c r="AH35" s="135">
        <v>19.7</v>
      </c>
      <c r="AI35" s="135">
        <v>7000</v>
      </c>
      <c r="AJ35" s="135">
        <v>355.1</v>
      </c>
      <c r="AK35" s="135">
        <v>2.82</v>
      </c>
      <c r="AL35" s="135">
        <v>17.3</v>
      </c>
      <c r="AM35" s="135">
        <v>8200</v>
      </c>
      <c r="AN35" s="135">
        <v>473.8</v>
      </c>
      <c r="AO35" s="135">
        <v>2.11</v>
      </c>
      <c r="AP35" s="135"/>
      <c r="AQ35" s="135"/>
      <c r="AR35" s="135"/>
      <c r="AS35" s="135"/>
      <c r="AT35" s="135"/>
      <c r="AU35" s="135"/>
      <c r="AV35" s="135"/>
      <c r="AW35" s="135"/>
      <c r="AX35" s="135">
        <v>17.3</v>
      </c>
      <c r="AY35" s="135">
        <v>33</v>
      </c>
      <c r="AZ35" s="135">
        <v>1.9</v>
      </c>
      <c r="BA35" s="135">
        <v>0.52</v>
      </c>
      <c r="BB35" s="135"/>
      <c r="BC35" s="135"/>
      <c r="BD35" s="135"/>
      <c r="BE35" s="135"/>
      <c r="BF35" s="135">
        <v>19.7</v>
      </c>
      <c r="BG35" s="135">
        <v>13300</v>
      </c>
      <c r="BH35" s="135">
        <v>674.6</v>
      </c>
      <c r="BI35" s="135">
        <v>1.48</v>
      </c>
      <c r="BJ35" s="135">
        <v>40.5</v>
      </c>
      <c r="BK35" s="135">
        <v>-6.5</v>
      </c>
      <c r="BL35" s="135">
        <v>23.5</v>
      </c>
    </row>
    <row r="36" spans="1:64" x14ac:dyDescent="0.3">
      <c r="A36" s="135">
        <v>2016</v>
      </c>
      <c r="B36" s="135">
        <v>4</v>
      </c>
      <c r="C36" s="135" t="s">
        <v>2011</v>
      </c>
      <c r="D36" s="135" t="s">
        <v>428</v>
      </c>
      <c r="E36" s="135" t="s">
        <v>394</v>
      </c>
      <c r="F36" s="135" t="s">
        <v>52</v>
      </c>
      <c r="G36" s="135" t="s">
        <v>2309</v>
      </c>
      <c r="H36" s="135">
        <v>22.04</v>
      </c>
      <c r="I36" s="135">
        <v>14.481999999999999</v>
      </c>
      <c r="J36" s="135">
        <v>16.59</v>
      </c>
      <c r="K36" s="135">
        <v>0</v>
      </c>
      <c r="L36" s="135">
        <v>0</v>
      </c>
      <c r="M36" s="135">
        <v>0</v>
      </c>
      <c r="N36" s="135">
        <v>0</v>
      </c>
      <c r="O36" s="135">
        <v>0</v>
      </c>
      <c r="P36" s="135">
        <v>21.689</v>
      </c>
      <c r="Q36" s="135">
        <v>92.096000000000004</v>
      </c>
      <c r="R36" s="135">
        <v>0.64100000000000001</v>
      </c>
      <c r="S36" s="135">
        <v>2.1080000000000001</v>
      </c>
      <c r="T36" s="135">
        <v>14.584</v>
      </c>
      <c r="U36" s="135">
        <v>6.0999999999999999E-2</v>
      </c>
      <c r="V36" s="135">
        <v>0.19900000000000001</v>
      </c>
      <c r="W36" s="135">
        <v>0</v>
      </c>
      <c r="X36" s="135">
        <v>0</v>
      </c>
      <c r="Y36" s="135" t="s">
        <v>1959</v>
      </c>
      <c r="Z36" s="135">
        <v>15.3</v>
      </c>
      <c r="AA36" s="135">
        <v>5500</v>
      </c>
      <c r="AB36" s="135">
        <v>358.6</v>
      </c>
      <c r="AC36" s="135">
        <v>2.79</v>
      </c>
      <c r="AD36" s="135">
        <v>16.600000000000001</v>
      </c>
      <c r="AE36" s="135">
        <v>12450</v>
      </c>
      <c r="AF36" s="135">
        <v>750.5</v>
      </c>
      <c r="AG36" s="135">
        <v>1.33</v>
      </c>
      <c r="AH36" s="135">
        <v>17.399999999999999</v>
      </c>
      <c r="AI36" s="135">
        <v>6900</v>
      </c>
      <c r="AJ36" s="135">
        <v>395.9</v>
      </c>
      <c r="AK36" s="135">
        <v>2.5299999999999998</v>
      </c>
      <c r="AL36" s="135">
        <v>15.5</v>
      </c>
      <c r="AM36" s="135">
        <v>8100</v>
      </c>
      <c r="AN36" s="135">
        <v>521.4</v>
      </c>
      <c r="AO36" s="135">
        <v>1.92</v>
      </c>
      <c r="AP36" s="135"/>
      <c r="AQ36" s="135"/>
      <c r="AR36" s="135"/>
      <c r="AS36" s="135"/>
      <c r="AT36" s="135"/>
      <c r="AU36" s="135"/>
      <c r="AV36" s="135"/>
      <c r="AW36" s="135"/>
      <c r="AX36" s="135">
        <v>15.5</v>
      </c>
      <c r="AY36" s="135">
        <v>29</v>
      </c>
      <c r="AZ36" s="135">
        <v>1.9</v>
      </c>
      <c r="BA36" s="135">
        <v>0.54</v>
      </c>
      <c r="BB36" s="135"/>
      <c r="BC36" s="135"/>
      <c r="BD36" s="135"/>
      <c r="BE36" s="135"/>
      <c r="BF36" s="135">
        <v>17.399999999999999</v>
      </c>
      <c r="BG36" s="135">
        <v>13000</v>
      </c>
      <c r="BH36" s="135">
        <v>745.9</v>
      </c>
      <c r="BI36" s="135">
        <v>1.34</v>
      </c>
      <c r="BJ36" s="135">
        <v>46</v>
      </c>
      <c r="BK36" s="135">
        <v>-3</v>
      </c>
      <c r="BL36" s="135">
        <v>24.5</v>
      </c>
    </row>
    <row r="37" spans="1:64" x14ac:dyDescent="0.3">
      <c r="A37" s="135">
        <v>2016</v>
      </c>
      <c r="B37" s="135">
        <v>4</v>
      </c>
      <c r="C37" s="135" t="s">
        <v>2012</v>
      </c>
      <c r="D37" s="135" t="s">
        <v>106</v>
      </c>
      <c r="E37" s="135" t="s">
        <v>394</v>
      </c>
      <c r="F37" s="135" t="s">
        <v>70</v>
      </c>
      <c r="G37" s="135" t="s">
        <v>2005</v>
      </c>
      <c r="H37" s="135">
        <v>18.350000000000001</v>
      </c>
      <c r="I37" s="135">
        <v>14.378</v>
      </c>
      <c r="J37" s="135">
        <v>17.242000000000001</v>
      </c>
      <c r="K37" s="135">
        <v>0</v>
      </c>
      <c r="L37" s="135">
        <v>0</v>
      </c>
      <c r="M37" s="135">
        <v>0</v>
      </c>
      <c r="N37" s="135">
        <v>0</v>
      </c>
      <c r="O37" s="135">
        <v>0</v>
      </c>
      <c r="P37" s="135">
        <v>16.959</v>
      </c>
      <c r="Q37" s="135">
        <v>74.497</v>
      </c>
      <c r="R37" s="135">
        <v>0.66400000000000003</v>
      </c>
      <c r="S37" s="135">
        <v>2.8639999999999999</v>
      </c>
      <c r="T37" s="135">
        <v>24.138999999999999</v>
      </c>
      <c r="U37" s="135">
        <v>0.14799999999999999</v>
      </c>
      <c r="V37" s="135">
        <v>0.17899999999999999</v>
      </c>
      <c r="W37" s="135">
        <v>0</v>
      </c>
      <c r="X37" s="135">
        <v>0</v>
      </c>
      <c r="Y37" s="135" t="s">
        <v>1959</v>
      </c>
      <c r="Z37" s="135">
        <v>15.6</v>
      </c>
      <c r="AA37" s="135">
        <v>5700</v>
      </c>
      <c r="AB37" s="135">
        <v>364.7</v>
      </c>
      <c r="AC37" s="135">
        <v>2.74</v>
      </c>
      <c r="AD37" s="135">
        <v>17.2</v>
      </c>
      <c r="AE37" s="135">
        <v>12350</v>
      </c>
      <c r="AF37" s="135">
        <v>716.3</v>
      </c>
      <c r="AG37" s="135">
        <v>1.4</v>
      </c>
      <c r="AH37" s="135">
        <v>18</v>
      </c>
      <c r="AI37" s="135">
        <v>6500</v>
      </c>
      <c r="AJ37" s="135">
        <v>360.9</v>
      </c>
      <c r="AK37" s="135">
        <v>2.77</v>
      </c>
      <c r="AL37" s="135">
        <v>15.8</v>
      </c>
      <c r="AM37" s="135">
        <v>7900</v>
      </c>
      <c r="AN37" s="135">
        <v>499.7</v>
      </c>
      <c r="AO37" s="135">
        <v>2</v>
      </c>
      <c r="AP37" s="135"/>
      <c r="AQ37" s="135"/>
      <c r="AR37" s="135"/>
      <c r="AS37" s="135"/>
      <c r="AT37" s="135"/>
      <c r="AU37" s="135"/>
      <c r="AV37" s="135"/>
      <c r="AW37" s="135"/>
      <c r="AX37" s="135">
        <v>15.8</v>
      </c>
      <c r="AY37" s="135">
        <v>33</v>
      </c>
      <c r="AZ37" s="135">
        <v>2.1</v>
      </c>
      <c r="BA37" s="135">
        <v>0.48</v>
      </c>
      <c r="BB37" s="135"/>
      <c r="BC37" s="135"/>
      <c r="BD37" s="135"/>
      <c r="BE37" s="135"/>
      <c r="BF37" s="135">
        <v>18</v>
      </c>
      <c r="BG37" s="135">
        <v>12400</v>
      </c>
      <c r="BH37" s="135">
        <v>688.4</v>
      </c>
      <c r="BI37" s="135">
        <v>1.45</v>
      </c>
      <c r="BJ37" s="135">
        <v>44</v>
      </c>
      <c r="BK37" s="135">
        <v>-3</v>
      </c>
      <c r="BL37" s="135">
        <v>23.5</v>
      </c>
    </row>
    <row r="38" spans="1:64" x14ac:dyDescent="0.3">
      <c r="A38" s="135">
        <v>2016</v>
      </c>
      <c r="B38" s="135">
        <v>4</v>
      </c>
      <c r="C38" s="135" t="s">
        <v>2021</v>
      </c>
      <c r="D38" s="135" t="s">
        <v>101</v>
      </c>
      <c r="E38" s="135" t="s">
        <v>394</v>
      </c>
      <c r="F38" s="135" t="s">
        <v>402</v>
      </c>
      <c r="G38" s="135" t="s">
        <v>10</v>
      </c>
      <c r="H38" s="135">
        <v>23.35</v>
      </c>
      <c r="I38" s="135">
        <v>14.151</v>
      </c>
      <c r="J38" s="135">
        <v>14.56</v>
      </c>
      <c r="K38" s="135">
        <v>0</v>
      </c>
      <c r="L38" s="135">
        <v>0</v>
      </c>
      <c r="M38" s="135">
        <v>0</v>
      </c>
      <c r="N38" s="135">
        <v>0</v>
      </c>
      <c r="O38" s="135">
        <v>0</v>
      </c>
      <c r="P38" s="135">
        <v>22.524000000000001</v>
      </c>
      <c r="Q38" s="135">
        <v>86.602000000000004</v>
      </c>
      <c r="R38" s="135">
        <v>0.91900000000000004</v>
      </c>
      <c r="S38" s="135">
        <v>0.40899999999999997</v>
      </c>
      <c r="T38" s="135">
        <v>3.7090000000000001</v>
      </c>
      <c r="U38" s="135">
        <v>0</v>
      </c>
      <c r="V38" s="135">
        <v>0.19700000000000001</v>
      </c>
      <c r="W38" s="135">
        <v>0</v>
      </c>
      <c r="X38" s="135">
        <v>0</v>
      </c>
      <c r="Y38" s="135" t="s">
        <v>1959</v>
      </c>
      <c r="Z38" s="135">
        <v>14.2</v>
      </c>
      <c r="AA38" s="135">
        <v>4900</v>
      </c>
      <c r="AB38" s="135">
        <v>346.1</v>
      </c>
      <c r="AC38" s="135">
        <v>2.89</v>
      </c>
      <c r="AD38" s="135">
        <v>14.6</v>
      </c>
      <c r="AE38" s="135">
        <v>11000</v>
      </c>
      <c r="AF38" s="135">
        <v>755.5</v>
      </c>
      <c r="AG38" s="135">
        <v>1.32</v>
      </c>
      <c r="AH38" s="135">
        <v>15.3</v>
      </c>
      <c r="AI38" s="135">
        <v>5000</v>
      </c>
      <c r="AJ38" s="135">
        <v>326.8</v>
      </c>
      <c r="AK38" s="135">
        <v>3.06</v>
      </c>
      <c r="AL38" s="135">
        <v>14.4</v>
      </c>
      <c r="AM38" s="135">
        <v>7500</v>
      </c>
      <c r="AN38" s="135">
        <v>522.4</v>
      </c>
      <c r="AO38" s="135">
        <v>1.91</v>
      </c>
      <c r="AP38" s="135"/>
      <c r="AQ38" s="135"/>
      <c r="AR38" s="135"/>
      <c r="AS38" s="135"/>
      <c r="AT38" s="135"/>
      <c r="AU38" s="135"/>
      <c r="AV38" s="135"/>
      <c r="AW38" s="135"/>
      <c r="AX38" s="135">
        <v>14.4</v>
      </c>
      <c r="AY38" s="135">
        <v>33</v>
      </c>
      <c r="AZ38" s="135">
        <v>2.2999999999999998</v>
      </c>
      <c r="BA38" s="135">
        <v>0.44</v>
      </c>
      <c r="BB38" s="135"/>
      <c r="BC38" s="135"/>
      <c r="BD38" s="135"/>
      <c r="BE38" s="135"/>
      <c r="BF38" s="135">
        <v>15.3</v>
      </c>
      <c r="BG38" s="135">
        <v>9900</v>
      </c>
      <c r="BH38" s="135">
        <v>647.1</v>
      </c>
      <c r="BI38" s="135">
        <v>1.55</v>
      </c>
      <c r="BJ38" s="135">
        <v>44</v>
      </c>
      <c r="BK38" s="135">
        <v>-4.5</v>
      </c>
      <c r="BL38" s="135">
        <v>24.25</v>
      </c>
    </row>
    <row r="39" spans="1:64" x14ac:dyDescent="0.3">
      <c r="A39" s="135">
        <v>2016</v>
      </c>
      <c r="B39" s="135">
        <v>4</v>
      </c>
      <c r="C39" s="135" t="s">
        <v>2010</v>
      </c>
      <c r="D39" s="135" t="s">
        <v>128</v>
      </c>
      <c r="E39" s="135" t="s">
        <v>394</v>
      </c>
      <c r="F39" s="135" t="s">
        <v>30</v>
      </c>
      <c r="G39" s="135" t="s">
        <v>2302</v>
      </c>
      <c r="H39" s="135">
        <v>18.940000000000001</v>
      </c>
      <c r="I39" s="135">
        <v>13.298</v>
      </c>
      <c r="J39" s="135">
        <v>16.582000000000001</v>
      </c>
      <c r="K39" s="135">
        <v>0</v>
      </c>
      <c r="L39" s="135">
        <v>0</v>
      </c>
      <c r="M39" s="135">
        <v>0</v>
      </c>
      <c r="N39" s="135">
        <v>0</v>
      </c>
      <c r="O39" s="135">
        <v>0</v>
      </c>
      <c r="P39" s="135">
        <v>18.091000000000001</v>
      </c>
      <c r="Q39" s="135">
        <v>73.468000000000004</v>
      </c>
      <c r="R39" s="135">
        <v>0.41</v>
      </c>
      <c r="S39" s="135">
        <v>3.2839999999999998</v>
      </c>
      <c r="T39" s="135">
        <v>32.155000000000001</v>
      </c>
      <c r="U39" s="135">
        <v>0.11799999999999999</v>
      </c>
      <c r="V39" s="135">
        <v>0.216</v>
      </c>
      <c r="W39" s="135">
        <v>0</v>
      </c>
      <c r="X39" s="135">
        <v>0</v>
      </c>
      <c r="Y39" s="135" t="s">
        <v>1983</v>
      </c>
      <c r="Z39" s="135">
        <v>14.7</v>
      </c>
      <c r="AA39" s="135">
        <v>5350</v>
      </c>
      <c r="AB39" s="135">
        <v>363.3</v>
      </c>
      <c r="AC39" s="135">
        <v>2.75</v>
      </c>
      <c r="AD39" s="135">
        <v>16.600000000000001</v>
      </c>
      <c r="AE39" s="135">
        <v>12800</v>
      </c>
      <c r="AF39" s="135">
        <v>771.9</v>
      </c>
      <c r="AG39" s="135">
        <v>1.3</v>
      </c>
      <c r="AH39" s="135">
        <v>17.399999999999999</v>
      </c>
      <c r="AI39" s="135">
        <v>6800</v>
      </c>
      <c r="AJ39" s="135">
        <v>390.1</v>
      </c>
      <c r="AK39" s="135">
        <v>2.56</v>
      </c>
      <c r="AL39" s="135">
        <v>14.9</v>
      </c>
      <c r="AM39" s="135">
        <v>7300</v>
      </c>
      <c r="AN39" s="135">
        <v>488.6</v>
      </c>
      <c r="AO39" s="135">
        <v>2.0499999999999998</v>
      </c>
      <c r="AP39" s="135"/>
      <c r="AQ39" s="135"/>
      <c r="AR39" s="135"/>
      <c r="AS39" s="135"/>
      <c r="AT39" s="135"/>
      <c r="AU39" s="135"/>
      <c r="AV39" s="135"/>
      <c r="AW39" s="135"/>
      <c r="AX39" s="135">
        <v>14.9</v>
      </c>
      <c r="AY39" s="135">
        <v>30</v>
      </c>
      <c r="AZ39" s="135">
        <v>2</v>
      </c>
      <c r="BA39" s="135">
        <v>0.5</v>
      </c>
      <c r="BB39" s="135"/>
      <c r="BC39" s="135"/>
      <c r="BD39" s="135"/>
      <c r="BE39" s="135"/>
      <c r="BF39" s="135">
        <v>17.399999999999999</v>
      </c>
      <c r="BG39" s="135">
        <v>12700</v>
      </c>
      <c r="BH39" s="135">
        <v>728.5</v>
      </c>
      <c r="BI39" s="135">
        <v>1.37</v>
      </c>
      <c r="BJ39" s="135">
        <v>40.5</v>
      </c>
      <c r="BK39" s="135">
        <v>6.5</v>
      </c>
      <c r="BL39" s="135">
        <v>17</v>
      </c>
    </row>
    <row r="40" spans="1:64" x14ac:dyDescent="0.3">
      <c r="A40" s="135">
        <v>2016</v>
      </c>
      <c r="B40" s="135">
        <v>4</v>
      </c>
      <c r="C40" s="135" t="s">
        <v>2016</v>
      </c>
      <c r="D40" s="135" t="s">
        <v>93</v>
      </c>
      <c r="E40" s="135" t="s">
        <v>394</v>
      </c>
      <c r="F40" s="135" t="s">
        <v>10</v>
      </c>
      <c r="G40" s="135" t="s">
        <v>1992</v>
      </c>
      <c r="H40" s="135">
        <v>13.69</v>
      </c>
      <c r="I40" s="135">
        <v>13.022</v>
      </c>
      <c r="J40" s="135">
        <v>17.216999999999999</v>
      </c>
      <c r="K40" s="135">
        <v>0</v>
      </c>
      <c r="L40" s="135">
        <v>0</v>
      </c>
      <c r="M40" s="135">
        <v>0</v>
      </c>
      <c r="N40" s="135">
        <v>0</v>
      </c>
      <c r="O40" s="135">
        <v>0</v>
      </c>
      <c r="P40" s="135">
        <v>17.553999999999998</v>
      </c>
      <c r="Q40" s="135">
        <v>68.373999999999995</v>
      </c>
      <c r="R40" s="135">
        <v>0.57699999999999996</v>
      </c>
      <c r="S40" s="135">
        <v>4.1950000000000003</v>
      </c>
      <c r="T40" s="135">
        <v>25.524999999999999</v>
      </c>
      <c r="U40" s="135">
        <v>0.105</v>
      </c>
      <c r="V40" s="135">
        <v>0.23</v>
      </c>
      <c r="W40" s="135">
        <v>0</v>
      </c>
      <c r="X40" s="135">
        <v>0</v>
      </c>
      <c r="Y40" s="135" t="s">
        <v>1983</v>
      </c>
      <c r="Z40" s="135">
        <v>14.9</v>
      </c>
      <c r="AA40" s="135">
        <v>5000</v>
      </c>
      <c r="AB40" s="135">
        <v>335.8</v>
      </c>
      <c r="AC40" s="135">
        <v>2.98</v>
      </c>
      <c r="AD40" s="135">
        <v>17.2</v>
      </c>
      <c r="AE40" s="135">
        <v>11350</v>
      </c>
      <c r="AF40" s="135">
        <v>659.2</v>
      </c>
      <c r="AG40" s="135">
        <v>1.52</v>
      </c>
      <c r="AH40" s="135">
        <v>18</v>
      </c>
      <c r="AI40" s="135">
        <v>6700</v>
      </c>
      <c r="AJ40" s="135">
        <v>372</v>
      </c>
      <c r="AK40" s="135">
        <v>2.69</v>
      </c>
      <c r="AL40" s="135">
        <v>15.1</v>
      </c>
      <c r="AM40" s="135">
        <v>7600</v>
      </c>
      <c r="AN40" s="135">
        <v>502.7</v>
      </c>
      <c r="AO40" s="135">
        <v>1.99</v>
      </c>
      <c r="AP40" s="135"/>
      <c r="AQ40" s="135"/>
      <c r="AR40" s="135"/>
      <c r="AS40" s="135"/>
      <c r="AT40" s="135"/>
      <c r="AU40" s="135"/>
      <c r="AV40" s="135"/>
      <c r="AW40" s="135"/>
      <c r="AX40" s="135">
        <v>15.1</v>
      </c>
      <c r="AY40" s="135">
        <v>27</v>
      </c>
      <c r="AZ40" s="135">
        <v>1.8</v>
      </c>
      <c r="BA40" s="135">
        <v>0.56000000000000005</v>
      </c>
      <c r="BB40" s="135"/>
      <c r="BC40" s="135"/>
      <c r="BD40" s="135"/>
      <c r="BE40" s="135"/>
      <c r="BF40" s="135">
        <v>18</v>
      </c>
      <c r="BG40" s="135">
        <v>12600</v>
      </c>
      <c r="BH40" s="135">
        <v>699.6</v>
      </c>
      <c r="BI40" s="135">
        <v>1.43</v>
      </c>
      <c r="BJ40" s="135">
        <v>44</v>
      </c>
      <c r="BK40" s="135">
        <v>4.5</v>
      </c>
      <c r="BL40" s="135">
        <v>19.75</v>
      </c>
    </row>
    <row r="41" spans="1:64" x14ac:dyDescent="0.3">
      <c r="A41" s="135">
        <v>2016</v>
      </c>
      <c r="B41" s="135">
        <v>4</v>
      </c>
      <c r="C41" s="135" t="s">
        <v>2014</v>
      </c>
      <c r="D41" s="135" t="s">
        <v>83</v>
      </c>
      <c r="E41" s="135" t="s">
        <v>394</v>
      </c>
      <c r="F41" s="135" t="s">
        <v>409</v>
      </c>
      <c r="G41" s="135" t="s">
        <v>2295</v>
      </c>
      <c r="H41" s="135">
        <v>15.59</v>
      </c>
      <c r="I41" s="135">
        <v>12.923</v>
      </c>
      <c r="J41" s="135">
        <v>14.82</v>
      </c>
      <c r="K41" s="135">
        <v>0</v>
      </c>
      <c r="L41" s="135">
        <v>0</v>
      </c>
      <c r="M41" s="135">
        <v>0</v>
      </c>
      <c r="N41" s="135">
        <v>0</v>
      </c>
      <c r="O41" s="135">
        <v>0</v>
      </c>
      <c r="P41" s="135">
        <v>19.172999999999998</v>
      </c>
      <c r="Q41" s="135">
        <v>85.328000000000003</v>
      </c>
      <c r="R41" s="135">
        <v>0.51</v>
      </c>
      <c r="S41" s="135">
        <v>1.897</v>
      </c>
      <c r="T41" s="135">
        <v>14.72</v>
      </c>
      <c r="U41" s="135">
        <v>5.0999999999999997E-2</v>
      </c>
      <c r="V41" s="135">
        <v>0.224</v>
      </c>
      <c r="W41" s="135">
        <v>0</v>
      </c>
      <c r="X41" s="135">
        <v>0</v>
      </c>
      <c r="Y41" s="135" t="s">
        <v>1983</v>
      </c>
      <c r="Z41" s="135">
        <v>13.6</v>
      </c>
      <c r="AA41" s="135">
        <v>5850</v>
      </c>
      <c r="AB41" s="135">
        <v>428.7</v>
      </c>
      <c r="AC41" s="135">
        <v>2.33</v>
      </c>
      <c r="AD41" s="135">
        <v>14.8</v>
      </c>
      <c r="AE41" s="135">
        <v>10400</v>
      </c>
      <c r="AF41" s="135">
        <v>701.8</v>
      </c>
      <c r="AG41" s="135">
        <v>1.42</v>
      </c>
      <c r="AH41" s="135">
        <v>15.6</v>
      </c>
      <c r="AI41" s="135">
        <v>6700</v>
      </c>
      <c r="AJ41" s="135">
        <v>428.3</v>
      </c>
      <c r="AK41" s="135">
        <v>2.33</v>
      </c>
      <c r="AL41" s="135">
        <v>13.9</v>
      </c>
      <c r="AM41" s="135">
        <v>7700</v>
      </c>
      <c r="AN41" s="135">
        <v>555.1</v>
      </c>
      <c r="AO41" s="135">
        <v>1.8</v>
      </c>
      <c r="AP41" s="135"/>
      <c r="AQ41" s="135"/>
      <c r="AR41" s="135"/>
      <c r="AS41" s="135"/>
      <c r="AT41" s="135"/>
      <c r="AU41" s="135"/>
      <c r="AV41" s="135"/>
      <c r="AW41" s="135"/>
      <c r="AX41" s="135">
        <v>13.9</v>
      </c>
      <c r="AY41" s="135">
        <v>30</v>
      </c>
      <c r="AZ41" s="135">
        <v>2.2000000000000002</v>
      </c>
      <c r="BA41" s="135">
        <v>0.46</v>
      </c>
      <c r="BB41" s="135"/>
      <c r="BC41" s="135"/>
      <c r="BD41" s="135"/>
      <c r="BE41" s="135"/>
      <c r="BF41" s="135">
        <v>15.6</v>
      </c>
      <c r="BG41" s="135">
        <v>12600</v>
      </c>
      <c r="BH41" s="135">
        <v>805.4</v>
      </c>
      <c r="BI41" s="135">
        <v>1.24</v>
      </c>
      <c r="BJ41" s="135">
        <v>43</v>
      </c>
      <c r="BK41" s="135">
        <v>8</v>
      </c>
      <c r="BL41" s="135">
        <v>17.5</v>
      </c>
    </row>
    <row r="42" spans="1:64" x14ac:dyDescent="0.3">
      <c r="A42" s="135">
        <v>2016</v>
      </c>
      <c r="B42" s="135">
        <v>4</v>
      </c>
      <c r="C42" s="135" t="s">
        <v>2015</v>
      </c>
      <c r="D42" s="135" t="s">
        <v>89</v>
      </c>
      <c r="E42" s="135" t="s">
        <v>394</v>
      </c>
      <c r="F42" s="135" t="s">
        <v>404</v>
      </c>
      <c r="G42" s="135" t="s">
        <v>2308</v>
      </c>
      <c r="H42" s="135">
        <v>27.32</v>
      </c>
      <c r="I42" s="135">
        <v>12.919</v>
      </c>
      <c r="J42" s="135">
        <v>15.817</v>
      </c>
      <c r="K42" s="135">
        <v>0</v>
      </c>
      <c r="L42" s="135">
        <v>0</v>
      </c>
      <c r="M42" s="135">
        <v>0</v>
      </c>
      <c r="N42" s="135">
        <v>0</v>
      </c>
      <c r="O42" s="135">
        <v>0</v>
      </c>
      <c r="P42" s="135">
        <v>14.023999999999999</v>
      </c>
      <c r="Q42" s="135">
        <v>67.186999999999998</v>
      </c>
      <c r="R42" s="135">
        <v>0.53</v>
      </c>
      <c r="S42" s="135">
        <v>2.8980000000000001</v>
      </c>
      <c r="T42" s="135">
        <v>24.219000000000001</v>
      </c>
      <c r="U42" s="135">
        <v>0.14199999999999999</v>
      </c>
      <c r="V42" s="135">
        <v>0.127</v>
      </c>
      <c r="W42" s="135">
        <v>0</v>
      </c>
      <c r="X42" s="135">
        <v>0</v>
      </c>
      <c r="Y42" s="135" t="s">
        <v>1983</v>
      </c>
      <c r="Z42" s="135">
        <v>14.2</v>
      </c>
      <c r="AA42" s="135">
        <v>5000</v>
      </c>
      <c r="AB42" s="135">
        <v>351.1</v>
      </c>
      <c r="AC42" s="135">
        <v>2.85</v>
      </c>
      <c r="AD42" s="135">
        <v>15.8</v>
      </c>
      <c r="AE42" s="135">
        <v>12600</v>
      </c>
      <c r="AF42" s="135">
        <v>796.6</v>
      </c>
      <c r="AG42" s="135">
        <v>1.26</v>
      </c>
      <c r="AH42" s="135">
        <v>16.5</v>
      </c>
      <c r="AI42" s="135">
        <v>5900</v>
      </c>
      <c r="AJ42" s="135">
        <v>357.7</v>
      </c>
      <c r="AK42" s="135">
        <v>2.8</v>
      </c>
      <c r="AL42" s="135">
        <v>14.4</v>
      </c>
      <c r="AM42" s="135">
        <v>6800</v>
      </c>
      <c r="AN42" s="135">
        <v>473.3</v>
      </c>
      <c r="AO42" s="135">
        <v>2.11</v>
      </c>
      <c r="AP42" s="135"/>
      <c r="AQ42" s="135"/>
      <c r="AR42" s="135"/>
      <c r="AS42" s="135"/>
      <c r="AT42" s="135"/>
      <c r="AU42" s="135"/>
      <c r="AV42" s="135"/>
      <c r="AW42" s="135"/>
      <c r="AX42" s="135">
        <v>14.4</v>
      </c>
      <c r="AY42" s="135">
        <v>30</v>
      </c>
      <c r="AZ42" s="135">
        <v>2.1</v>
      </c>
      <c r="BA42" s="135">
        <v>0.48</v>
      </c>
      <c r="BB42" s="135"/>
      <c r="BC42" s="135"/>
      <c r="BD42" s="135"/>
      <c r="BE42" s="135"/>
      <c r="BF42" s="135">
        <v>16.5</v>
      </c>
      <c r="BG42" s="135">
        <v>11000</v>
      </c>
      <c r="BH42" s="135">
        <v>667</v>
      </c>
      <c r="BI42" s="135">
        <v>1.5</v>
      </c>
      <c r="BJ42" s="135">
        <v>53.5</v>
      </c>
      <c r="BK42" s="135">
        <v>4</v>
      </c>
      <c r="BL42" s="135">
        <v>24.75</v>
      </c>
    </row>
    <row r="43" spans="1:64" x14ac:dyDescent="0.3">
      <c r="A43" s="135">
        <v>2016</v>
      </c>
      <c r="B43" s="135">
        <v>4</v>
      </c>
      <c r="C43" s="135" t="s">
        <v>2013</v>
      </c>
      <c r="D43" s="135" t="s">
        <v>115</v>
      </c>
      <c r="E43" s="135" t="s">
        <v>394</v>
      </c>
      <c r="F43" s="135" t="s">
        <v>34</v>
      </c>
      <c r="G43" s="135" t="s">
        <v>7</v>
      </c>
      <c r="H43" s="135">
        <v>16.670000000000002</v>
      </c>
      <c r="I43" s="135">
        <v>12.359</v>
      </c>
      <c r="J43" s="135">
        <v>15.45</v>
      </c>
      <c r="K43" s="135">
        <v>0</v>
      </c>
      <c r="L43" s="135">
        <v>0</v>
      </c>
      <c r="M43" s="135">
        <v>0</v>
      </c>
      <c r="N43" s="135">
        <v>0</v>
      </c>
      <c r="O43" s="135">
        <v>0</v>
      </c>
      <c r="P43" s="135">
        <v>19.018999999999998</v>
      </c>
      <c r="Q43" s="135">
        <v>72.173000000000002</v>
      </c>
      <c r="R43" s="135">
        <v>0.36</v>
      </c>
      <c r="S43" s="135">
        <v>3.0910000000000002</v>
      </c>
      <c r="T43" s="135">
        <v>25.433</v>
      </c>
      <c r="U43" s="135">
        <v>0.155</v>
      </c>
      <c r="V43" s="135">
        <v>0.246</v>
      </c>
      <c r="W43" s="135">
        <v>0</v>
      </c>
      <c r="X43" s="135">
        <v>0</v>
      </c>
      <c r="Y43" s="135" t="s">
        <v>1983</v>
      </c>
      <c r="Z43" s="135">
        <v>13.7</v>
      </c>
      <c r="AA43" s="135">
        <v>5450</v>
      </c>
      <c r="AB43" s="135">
        <v>399</v>
      </c>
      <c r="AC43" s="135">
        <v>2.5099999999999998</v>
      </c>
      <c r="AD43" s="135">
        <v>15.4</v>
      </c>
      <c r="AE43" s="135">
        <v>9500</v>
      </c>
      <c r="AF43" s="135">
        <v>614.9</v>
      </c>
      <c r="AG43" s="135">
        <v>1.63</v>
      </c>
      <c r="AH43" s="135">
        <v>16.3</v>
      </c>
      <c r="AI43" s="135">
        <v>6600</v>
      </c>
      <c r="AJ43" s="135">
        <v>405.4</v>
      </c>
      <c r="AK43" s="135">
        <v>2.4700000000000002</v>
      </c>
      <c r="AL43" s="135">
        <v>13.9</v>
      </c>
      <c r="AM43" s="135">
        <v>6900</v>
      </c>
      <c r="AN43" s="135">
        <v>496.3</v>
      </c>
      <c r="AO43" s="135">
        <v>2.02</v>
      </c>
      <c r="AP43" s="135"/>
      <c r="AQ43" s="135"/>
      <c r="AR43" s="135"/>
      <c r="AS43" s="135"/>
      <c r="AT43" s="135"/>
      <c r="AU43" s="135"/>
      <c r="AV43" s="135"/>
      <c r="AW43" s="135"/>
      <c r="AX43" s="135">
        <v>13.9</v>
      </c>
      <c r="AY43" s="135">
        <v>31</v>
      </c>
      <c r="AZ43" s="135">
        <v>2.2000000000000002</v>
      </c>
      <c r="BA43" s="135">
        <v>0.45</v>
      </c>
      <c r="BB43" s="135"/>
      <c r="BC43" s="135"/>
      <c r="BD43" s="135"/>
      <c r="BE43" s="135"/>
      <c r="BF43" s="135">
        <v>16.3</v>
      </c>
      <c r="BG43" s="135">
        <v>12300</v>
      </c>
      <c r="BH43" s="135">
        <v>755.5</v>
      </c>
      <c r="BI43" s="135">
        <v>1.32</v>
      </c>
      <c r="BJ43" s="135">
        <v>40.5</v>
      </c>
      <c r="BK43" s="135">
        <v>1.5</v>
      </c>
      <c r="BL43" s="135">
        <v>19.5</v>
      </c>
    </row>
    <row r="44" spans="1:64" x14ac:dyDescent="0.3">
      <c r="A44" s="135">
        <v>2016</v>
      </c>
      <c r="B44" s="135">
        <v>4</v>
      </c>
      <c r="C44" s="135" t="s">
        <v>2031</v>
      </c>
      <c r="D44" s="135" t="s">
        <v>104</v>
      </c>
      <c r="E44" s="135" t="s">
        <v>394</v>
      </c>
      <c r="F44" s="135" t="s">
        <v>398</v>
      </c>
      <c r="G44" s="135" t="s">
        <v>52</v>
      </c>
      <c r="H44" s="135">
        <v>19.57</v>
      </c>
      <c r="I44" s="135">
        <v>12.32</v>
      </c>
      <c r="J44" s="135">
        <v>14.795999999999999</v>
      </c>
      <c r="K44" s="135">
        <v>0</v>
      </c>
      <c r="L44" s="135">
        <v>0</v>
      </c>
      <c r="M44" s="135">
        <v>0</v>
      </c>
      <c r="N44" s="135">
        <v>0</v>
      </c>
      <c r="O44" s="135">
        <v>0</v>
      </c>
      <c r="P44" s="135">
        <v>17.402000000000001</v>
      </c>
      <c r="Q44" s="135">
        <v>72.778000000000006</v>
      </c>
      <c r="R44" s="135">
        <v>0.58199999999999996</v>
      </c>
      <c r="S44" s="135">
        <v>2.476</v>
      </c>
      <c r="T44" s="135">
        <v>15.458</v>
      </c>
      <c r="U44" s="135">
        <v>6.8000000000000005E-2</v>
      </c>
      <c r="V44" s="135">
        <v>0.20200000000000001</v>
      </c>
      <c r="W44" s="135">
        <v>0</v>
      </c>
      <c r="X44" s="135">
        <v>0</v>
      </c>
      <c r="Y44" s="135" t="s">
        <v>1983</v>
      </c>
      <c r="Z44" s="135">
        <v>13.4</v>
      </c>
      <c r="AA44" s="135">
        <v>4850</v>
      </c>
      <c r="AB44" s="135">
        <v>363.1</v>
      </c>
      <c r="AC44" s="135">
        <v>2.75</v>
      </c>
      <c r="AD44" s="135">
        <v>14.8</v>
      </c>
      <c r="AE44" s="135">
        <v>12000</v>
      </c>
      <c r="AF44" s="135">
        <v>811.1</v>
      </c>
      <c r="AG44" s="135">
        <v>1.23</v>
      </c>
      <c r="AH44" s="135">
        <v>15.5</v>
      </c>
      <c r="AI44" s="135">
        <v>4200</v>
      </c>
      <c r="AJ44" s="135">
        <v>270.5</v>
      </c>
      <c r="AK44" s="135">
        <v>3.7</v>
      </c>
      <c r="AL44" s="135">
        <v>13.6</v>
      </c>
      <c r="AM44" s="135">
        <v>6800</v>
      </c>
      <c r="AN44" s="135">
        <v>501.6</v>
      </c>
      <c r="AO44" s="135">
        <v>1.99</v>
      </c>
      <c r="AP44" s="135"/>
      <c r="AQ44" s="135"/>
      <c r="AR44" s="135"/>
      <c r="AS44" s="135"/>
      <c r="AT44" s="135"/>
      <c r="AU44" s="135"/>
      <c r="AV44" s="135"/>
      <c r="AW44" s="135"/>
      <c r="AX44" s="135">
        <v>13.6</v>
      </c>
      <c r="AY44" s="135">
        <v>25</v>
      </c>
      <c r="AZ44" s="135">
        <v>1.8</v>
      </c>
      <c r="BA44" s="135">
        <v>0.54</v>
      </c>
      <c r="BB44" s="135"/>
      <c r="BC44" s="135"/>
      <c r="BD44" s="135"/>
      <c r="BE44" s="135"/>
      <c r="BF44" s="135">
        <v>15.5</v>
      </c>
      <c r="BG44" s="135">
        <v>8400</v>
      </c>
      <c r="BH44" s="135">
        <v>541</v>
      </c>
      <c r="BI44" s="135">
        <v>1.85</v>
      </c>
      <c r="BJ44" s="135">
        <v>46</v>
      </c>
      <c r="BK44" s="135">
        <v>3</v>
      </c>
      <c r="BL44" s="135">
        <v>21.5</v>
      </c>
    </row>
    <row r="45" spans="1:64" x14ac:dyDescent="0.3">
      <c r="A45" s="135">
        <v>2016</v>
      </c>
      <c r="B45" s="135">
        <v>4</v>
      </c>
      <c r="C45" s="135" t="s">
        <v>2017</v>
      </c>
      <c r="D45" s="135" t="s">
        <v>114</v>
      </c>
      <c r="E45" s="135" t="s">
        <v>394</v>
      </c>
      <c r="F45" s="135" t="s">
        <v>401</v>
      </c>
      <c r="G45" s="135" t="s">
        <v>70</v>
      </c>
      <c r="H45" s="135">
        <v>21.12</v>
      </c>
      <c r="I45" s="135">
        <v>11.996</v>
      </c>
      <c r="J45" s="135">
        <v>15.446999999999999</v>
      </c>
      <c r="K45" s="135">
        <v>0</v>
      </c>
      <c r="L45" s="135">
        <v>0</v>
      </c>
      <c r="M45" s="135">
        <v>0</v>
      </c>
      <c r="N45" s="135">
        <v>0</v>
      </c>
      <c r="O45" s="135">
        <v>0</v>
      </c>
      <c r="P45" s="135">
        <v>16.202000000000002</v>
      </c>
      <c r="Q45" s="135">
        <v>65.498999999999995</v>
      </c>
      <c r="R45" s="135">
        <v>0.34699999999999998</v>
      </c>
      <c r="S45" s="135">
        <v>3.4510000000000001</v>
      </c>
      <c r="T45" s="135">
        <v>27.962</v>
      </c>
      <c r="U45" s="135">
        <v>0.156</v>
      </c>
      <c r="V45" s="135">
        <v>0.184</v>
      </c>
      <c r="W45" s="135">
        <v>0</v>
      </c>
      <c r="X45" s="135">
        <v>0</v>
      </c>
      <c r="Y45" s="135" t="s">
        <v>1983</v>
      </c>
      <c r="Z45" s="135">
        <v>13.5</v>
      </c>
      <c r="AA45" s="135">
        <v>4700</v>
      </c>
      <c r="AB45" s="135">
        <v>347.2</v>
      </c>
      <c r="AC45" s="135">
        <v>2.88</v>
      </c>
      <c r="AD45" s="135">
        <v>15.4</v>
      </c>
      <c r="AE45" s="135">
        <v>10650</v>
      </c>
      <c r="AF45" s="135">
        <v>689.4</v>
      </c>
      <c r="AG45" s="135">
        <v>1.45</v>
      </c>
      <c r="AH45" s="135">
        <v>16.2</v>
      </c>
      <c r="AI45" s="135">
        <v>5600</v>
      </c>
      <c r="AJ45" s="135">
        <v>345.9</v>
      </c>
      <c r="AK45" s="135">
        <v>2.89</v>
      </c>
      <c r="AL45" s="135">
        <v>13.7</v>
      </c>
      <c r="AM45" s="135">
        <v>6500</v>
      </c>
      <c r="AN45" s="135">
        <v>473.7</v>
      </c>
      <c r="AO45" s="135">
        <v>2.11</v>
      </c>
      <c r="AP45" s="135"/>
      <c r="AQ45" s="135"/>
      <c r="AR45" s="135"/>
      <c r="AS45" s="135"/>
      <c r="AT45" s="135"/>
      <c r="AU45" s="135"/>
      <c r="AV45" s="135"/>
      <c r="AW45" s="135"/>
      <c r="AX45" s="135">
        <v>13.7</v>
      </c>
      <c r="AY45" s="135">
        <v>23</v>
      </c>
      <c r="AZ45" s="135">
        <v>1.7</v>
      </c>
      <c r="BA45" s="135">
        <v>0.6</v>
      </c>
      <c r="BB45" s="135"/>
      <c r="BC45" s="135"/>
      <c r="BD45" s="135"/>
      <c r="BE45" s="135"/>
      <c r="BF45" s="135">
        <v>16.2</v>
      </c>
      <c r="BG45" s="135">
        <v>10500</v>
      </c>
      <c r="BH45" s="135">
        <v>648.5</v>
      </c>
      <c r="BI45" s="135">
        <v>1.54</v>
      </c>
      <c r="BJ45" s="135">
        <v>44</v>
      </c>
      <c r="BK45" s="135">
        <v>3</v>
      </c>
      <c r="BL45" s="135">
        <v>20.5</v>
      </c>
    </row>
    <row r="46" spans="1:64" x14ac:dyDescent="0.3">
      <c r="A46" s="135">
        <v>2016</v>
      </c>
      <c r="B46" s="135">
        <v>4</v>
      </c>
      <c r="C46" s="135" t="s">
        <v>2020</v>
      </c>
      <c r="D46" s="135" t="s">
        <v>87</v>
      </c>
      <c r="E46" s="135" t="s">
        <v>394</v>
      </c>
      <c r="F46" s="135" t="s">
        <v>16</v>
      </c>
      <c r="G46" s="135" t="s">
        <v>1980</v>
      </c>
      <c r="H46" s="135">
        <v>16.350000000000001</v>
      </c>
      <c r="I46" s="135">
        <v>11.743</v>
      </c>
      <c r="J46" s="135">
        <v>14.371</v>
      </c>
      <c r="K46" s="135">
        <v>0</v>
      </c>
      <c r="L46" s="135">
        <v>0</v>
      </c>
      <c r="M46" s="135">
        <v>0</v>
      </c>
      <c r="N46" s="135">
        <v>0</v>
      </c>
      <c r="O46" s="135">
        <v>0</v>
      </c>
      <c r="P46" s="135">
        <v>18.632000000000001</v>
      </c>
      <c r="Q46" s="135">
        <v>71.902000000000001</v>
      </c>
      <c r="R46" s="135">
        <v>0.42099999999999999</v>
      </c>
      <c r="S46" s="135">
        <v>2.6280000000000001</v>
      </c>
      <c r="T46" s="135">
        <v>19.931999999999999</v>
      </c>
      <c r="U46" s="135">
        <v>5.8999999999999997E-2</v>
      </c>
      <c r="V46" s="135">
        <v>0.16</v>
      </c>
      <c r="W46" s="135">
        <v>0</v>
      </c>
      <c r="X46" s="135">
        <v>0</v>
      </c>
      <c r="Y46" s="135" t="s">
        <v>1983</v>
      </c>
      <c r="Z46" s="135">
        <v>12.9</v>
      </c>
      <c r="AA46" s="135">
        <v>4600</v>
      </c>
      <c r="AB46" s="135">
        <v>356.7</v>
      </c>
      <c r="AC46" s="135">
        <v>2.8</v>
      </c>
      <c r="AD46" s="135">
        <v>14.4</v>
      </c>
      <c r="AE46" s="135">
        <v>10250</v>
      </c>
      <c r="AF46" s="135">
        <v>713.2</v>
      </c>
      <c r="AG46" s="135">
        <v>1.4</v>
      </c>
      <c r="AH46" s="135">
        <v>15.1</v>
      </c>
      <c r="AI46" s="135">
        <v>5200</v>
      </c>
      <c r="AJ46" s="135">
        <v>344.8</v>
      </c>
      <c r="AK46" s="135">
        <v>2.9</v>
      </c>
      <c r="AL46" s="135">
        <v>13.1</v>
      </c>
      <c r="AM46" s="135">
        <v>6100</v>
      </c>
      <c r="AN46" s="135">
        <v>467.2</v>
      </c>
      <c r="AO46" s="135">
        <v>2.14</v>
      </c>
      <c r="AP46" s="135"/>
      <c r="AQ46" s="135"/>
      <c r="AR46" s="135"/>
      <c r="AS46" s="135"/>
      <c r="AT46" s="135"/>
      <c r="AU46" s="135"/>
      <c r="AV46" s="135"/>
      <c r="AW46" s="135"/>
      <c r="AX46" s="135">
        <v>13.1</v>
      </c>
      <c r="AY46" s="135">
        <v>23</v>
      </c>
      <c r="AZ46" s="135">
        <v>1.8</v>
      </c>
      <c r="BA46" s="135">
        <v>0.56999999999999995</v>
      </c>
      <c r="BB46" s="135"/>
      <c r="BC46" s="135"/>
      <c r="BD46" s="135"/>
      <c r="BE46" s="135"/>
      <c r="BF46" s="135">
        <v>15.1</v>
      </c>
      <c r="BG46" s="135">
        <v>10200</v>
      </c>
      <c r="BH46" s="135">
        <v>676.3</v>
      </c>
      <c r="BI46" s="135">
        <v>1.48</v>
      </c>
      <c r="BJ46" s="135">
        <v>49.5</v>
      </c>
      <c r="BK46" s="135">
        <v>-2.5</v>
      </c>
      <c r="BL46" s="135">
        <v>26</v>
      </c>
    </row>
    <row r="47" spans="1:64" x14ac:dyDescent="0.3">
      <c r="A47" s="135">
        <v>2016</v>
      </c>
      <c r="B47" s="135">
        <v>4</v>
      </c>
      <c r="C47" s="135" t="s">
        <v>2023</v>
      </c>
      <c r="D47" s="135" t="s">
        <v>145</v>
      </c>
      <c r="E47" s="135" t="s">
        <v>394</v>
      </c>
      <c r="F47" s="135" t="s">
        <v>7</v>
      </c>
      <c r="G47" s="135" t="s">
        <v>2305</v>
      </c>
      <c r="H47" s="135">
        <v>9.0399999999999991</v>
      </c>
      <c r="I47" s="135">
        <v>11.724</v>
      </c>
      <c r="J47" s="135">
        <v>14.196</v>
      </c>
      <c r="K47" s="135">
        <v>0</v>
      </c>
      <c r="L47" s="135">
        <v>0</v>
      </c>
      <c r="M47" s="135">
        <v>0</v>
      </c>
      <c r="N47" s="135">
        <v>0</v>
      </c>
      <c r="O47" s="135">
        <v>0</v>
      </c>
      <c r="P47" s="135">
        <v>19.934000000000001</v>
      </c>
      <c r="Q47" s="135">
        <v>76.391000000000005</v>
      </c>
      <c r="R47" s="135">
        <v>0.48499999999999999</v>
      </c>
      <c r="S47" s="135">
        <v>2.472</v>
      </c>
      <c r="T47" s="135">
        <v>12.731999999999999</v>
      </c>
      <c r="U47" s="135">
        <v>0.05</v>
      </c>
      <c r="V47" s="135">
        <v>0.19900000000000001</v>
      </c>
      <c r="W47" s="135">
        <v>0</v>
      </c>
      <c r="X47" s="135">
        <v>0</v>
      </c>
      <c r="Y47" s="135" t="s">
        <v>1983</v>
      </c>
      <c r="Z47" s="135">
        <v>12.8</v>
      </c>
      <c r="AA47" s="135">
        <v>4800</v>
      </c>
      <c r="AB47" s="135">
        <v>376.1</v>
      </c>
      <c r="AC47" s="135">
        <v>2.66</v>
      </c>
      <c r="AD47" s="135">
        <v>14.2</v>
      </c>
      <c r="AE47" s="135">
        <v>10950</v>
      </c>
      <c r="AF47" s="135">
        <v>771.3</v>
      </c>
      <c r="AG47" s="135">
        <v>1.3</v>
      </c>
      <c r="AH47" s="135">
        <v>14.9</v>
      </c>
      <c r="AI47" s="135">
        <v>6000</v>
      </c>
      <c r="AJ47" s="135">
        <v>401.9</v>
      </c>
      <c r="AK47" s="135">
        <v>2.4900000000000002</v>
      </c>
      <c r="AL47" s="135">
        <v>13</v>
      </c>
      <c r="AM47" s="135">
        <v>7500</v>
      </c>
      <c r="AN47" s="135">
        <v>578.70000000000005</v>
      </c>
      <c r="AO47" s="135">
        <v>1.73</v>
      </c>
      <c r="AP47" s="135"/>
      <c r="AQ47" s="135"/>
      <c r="AR47" s="135"/>
      <c r="AS47" s="135"/>
      <c r="AT47" s="135"/>
      <c r="AU47" s="135"/>
      <c r="AV47" s="135"/>
      <c r="AW47" s="135"/>
      <c r="AX47" s="135">
        <v>13</v>
      </c>
      <c r="AY47" s="135">
        <v>21</v>
      </c>
      <c r="AZ47" s="135">
        <v>1.6</v>
      </c>
      <c r="BA47" s="135">
        <v>0.62</v>
      </c>
      <c r="BB47" s="135"/>
      <c r="BC47" s="135"/>
      <c r="BD47" s="135"/>
      <c r="BE47" s="135"/>
      <c r="BF47" s="135">
        <v>14.9</v>
      </c>
      <c r="BG47" s="135">
        <v>11300</v>
      </c>
      <c r="BH47" s="135">
        <v>756.9</v>
      </c>
      <c r="BI47" s="135">
        <v>1.32</v>
      </c>
      <c r="BJ47" s="135">
        <v>40.5</v>
      </c>
      <c r="BK47" s="135">
        <v>-1.5</v>
      </c>
      <c r="BL47" s="135">
        <v>21</v>
      </c>
    </row>
    <row r="48" spans="1:64" x14ac:dyDescent="0.3">
      <c r="A48" s="135">
        <v>2016</v>
      </c>
      <c r="B48" s="135">
        <v>4</v>
      </c>
      <c r="C48" s="135" t="s">
        <v>2030</v>
      </c>
      <c r="D48" s="135" t="s">
        <v>102</v>
      </c>
      <c r="E48" s="135" t="s">
        <v>394</v>
      </c>
      <c r="F48" s="135" t="s">
        <v>28</v>
      </c>
      <c r="G48" s="135" t="s">
        <v>57</v>
      </c>
      <c r="H48" s="135">
        <v>15.65</v>
      </c>
      <c r="I48" s="135">
        <v>11.701000000000001</v>
      </c>
      <c r="J48" s="135">
        <v>12.663</v>
      </c>
      <c r="K48" s="135">
        <v>0</v>
      </c>
      <c r="L48" s="135">
        <v>0</v>
      </c>
      <c r="M48" s="135">
        <v>0</v>
      </c>
      <c r="N48" s="135">
        <v>0</v>
      </c>
      <c r="O48" s="135">
        <v>0</v>
      </c>
      <c r="P48" s="135">
        <v>17.62</v>
      </c>
      <c r="Q48" s="135">
        <v>73.212999999999994</v>
      </c>
      <c r="R48" s="135">
        <v>0.60599999999999998</v>
      </c>
      <c r="S48" s="135">
        <v>0.96199999999999997</v>
      </c>
      <c r="T48" s="135">
        <v>8.3740000000000006</v>
      </c>
      <c r="U48" s="135">
        <v>3.5999999999999997E-2</v>
      </c>
      <c r="V48" s="135">
        <v>0.155</v>
      </c>
      <c r="W48" s="135">
        <v>0</v>
      </c>
      <c r="X48" s="135">
        <v>0</v>
      </c>
      <c r="Y48" s="135" t="s">
        <v>1983</v>
      </c>
      <c r="Z48" s="135">
        <v>12</v>
      </c>
      <c r="AA48" s="135">
        <v>5000</v>
      </c>
      <c r="AB48" s="135">
        <v>415.7</v>
      </c>
      <c r="AC48" s="135">
        <v>2.41</v>
      </c>
      <c r="AD48" s="135">
        <v>12.7</v>
      </c>
      <c r="AE48" s="135">
        <v>9150</v>
      </c>
      <c r="AF48" s="135">
        <v>722.6</v>
      </c>
      <c r="AG48" s="135">
        <v>1.38</v>
      </c>
      <c r="AH48" s="135">
        <v>13.3</v>
      </c>
      <c r="AI48" s="135">
        <v>4100</v>
      </c>
      <c r="AJ48" s="135">
        <v>308.10000000000002</v>
      </c>
      <c r="AK48" s="135">
        <v>3.25</v>
      </c>
      <c r="AL48" s="135">
        <v>12.2</v>
      </c>
      <c r="AM48" s="135">
        <v>7000</v>
      </c>
      <c r="AN48" s="135">
        <v>574.6</v>
      </c>
      <c r="AO48" s="135">
        <v>1.74</v>
      </c>
      <c r="AP48" s="135"/>
      <c r="AQ48" s="135"/>
      <c r="AR48" s="135"/>
      <c r="AS48" s="135"/>
      <c r="AT48" s="135"/>
      <c r="AU48" s="135"/>
      <c r="AV48" s="135"/>
      <c r="AW48" s="135"/>
      <c r="AX48" s="135">
        <v>12.2</v>
      </c>
      <c r="AY48" s="135">
        <v>26</v>
      </c>
      <c r="AZ48" s="135">
        <v>2.1</v>
      </c>
      <c r="BA48" s="135">
        <v>0.47</v>
      </c>
      <c r="BB48" s="135"/>
      <c r="BC48" s="135"/>
      <c r="BD48" s="135"/>
      <c r="BE48" s="135"/>
      <c r="BF48" s="135">
        <v>13.3</v>
      </c>
      <c r="BG48" s="135">
        <v>8100</v>
      </c>
      <c r="BH48" s="135">
        <v>608.70000000000005</v>
      </c>
      <c r="BI48" s="135">
        <v>1.64</v>
      </c>
      <c r="BJ48" s="135">
        <v>44.5</v>
      </c>
      <c r="BK48" s="135">
        <v>-7</v>
      </c>
      <c r="BL48" s="135">
        <v>25.75</v>
      </c>
    </row>
    <row r="49" spans="1:64" x14ac:dyDescent="0.3">
      <c r="A49" s="135">
        <v>2016</v>
      </c>
      <c r="B49" s="135">
        <v>4</v>
      </c>
      <c r="C49" s="135" t="s">
        <v>2022</v>
      </c>
      <c r="D49" s="135" t="s">
        <v>95</v>
      </c>
      <c r="E49" s="135" t="s">
        <v>394</v>
      </c>
      <c r="F49" s="135" t="s">
        <v>14</v>
      </c>
      <c r="G49" s="135" t="s">
        <v>2310</v>
      </c>
      <c r="H49" s="135">
        <v>29.4</v>
      </c>
      <c r="I49" s="135">
        <v>11.680999999999999</v>
      </c>
      <c r="J49" s="135">
        <v>12.833</v>
      </c>
      <c r="K49" s="135">
        <v>0</v>
      </c>
      <c r="L49" s="135">
        <v>0</v>
      </c>
      <c r="M49" s="135">
        <v>0</v>
      </c>
      <c r="N49" s="135">
        <v>0</v>
      </c>
      <c r="O49" s="135">
        <v>0</v>
      </c>
      <c r="P49" s="135">
        <v>16.128</v>
      </c>
      <c r="Q49" s="135">
        <v>76.748000000000005</v>
      </c>
      <c r="R49" s="135">
        <v>0.53100000000000003</v>
      </c>
      <c r="S49" s="135">
        <v>1.1519999999999999</v>
      </c>
      <c r="T49" s="135">
        <v>9.9849999999999994</v>
      </c>
      <c r="U49" s="135">
        <v>2.3E-2</v>
      </c>
      <c r="V49" s="135">
        <v>0.158</v>
      </c>
      <c r="W49" s="135">
        <v>0</v>
      </c>
      <c r="X49" s="135">
        <v>0</v>
      </c>
      <c r="Y49" s="135" t="s">
        <v>1983</v>
      </c>
      <c r="Z49" s="135">
        <v>12.1</v>
      </c>
      <c r="AA49" s="135">
        <v>4800</v>
      </c>
      <c r="AB49" s="135">
        <v>396.7</v>
      </c>
      <c r="AC49" s="135">
        <v>2.52</v>
      </c>
      <c r="AD49" s="135">
        <v>12.8</v>
      </c>
      <c r="AE49" s="135">
        <v>8200</v>
      </c>
      <c r="AF49" s="135">
        <v>639</v>
      </c>
      <c r="AG49" s="135">
        <v>1.57</v>
      </c>
      <c r="AH49" s="135">
        <v>13.5</v>
      </c>
      <c r="AI49" s="135">
        <v>4400</v>
      </c>
      <c r="AJ49" s="135">
        <v>325.60000000000002</v>
      </c>
      <c r="AK49" s="135">
        <v>3.07</v>
      </c>
      <c r="AL49" s="135">
        <v>12.3</v>
      </c>
      <c r="AM49" s="135">
        <v>6600</v>
      </c>
      <c r="AN49" s="135">
        <v>538.5</v>
      </c>
      <c r="AO49" s="135">
        <v>1.86</v>
      </c>
      <c r="AP49" s="135"/>
      <c r="AQ49" s="135"/>
      <c r="AR49" s="135"/>
      <c r="AS49" s="135"/>
      <c r="AT49" s="135"/>
      <c r="AU49" s="135"/>
      <c r="AV49" s="135"/>
      <c r="AW49" s="135"/>
      <c r="AX49" s="135">
        <v>12.3</v>
      </c>
      <c r="AY49" s="135">
        <v>28</v>
      </c>
      <c r="AZ49" s="135">
        <v>2.2999999999999998</v>
      </c>
      <c r="BA49" s="135">
        <v>0.44</v>
      </c>
      <c r="BB49" s="135"/>
      <c r="BC49" s="135"/>
      <c r="BD49" s="135"/>
      <c r="BE49" s="135"/>
      <c r="BF49" s="135">
        <v>13.5</v>
      </c>
      <c r="BG49" s="135">
        <v>8700</v>
      </c>
      <c r="BH49" s="135">
        <v>643.9</v>
      </c>
      <c r="BI49" s="135">
        <v>1.55</v>
      </c>
      <c r="BJ49" s="135">
        <v>45.5</v>
      </c>
      <c r="BK49" s="135">
        <v>8</v>
      </c>
      <c r="BL49" s="135">
        <v>18.75</v>
      </c>
    </row>
    <row r="50" spans="1:64" x14ac:dyDescent="0.3">
      <c r="A50" s="135">
        <v>2016</v>
      </c>
      <c r="B50" s="135">
        <v>4</v>
      </c>
      <c r="C50" s="135" t="s">
        <v>2019</v>
      </c>
      <c r="D50" s="135" t="s">
        <v>84</v>
      </c>
      <c r="E50" s="135" t="s">
        <v>394</v>
      </c>
      <c r="F50" s="135" t="s">
        <v>50</v>
      </c>
      <c r="G50" s="135" t="s">
        <v>22</v>
      </c>
      <c r="H50" s="135">
        <v>18.37</v>
      </c>
      <c r="I50" s="135">
        <v>11.493</v>
      </c>
      <c r="J50" s="135">
        <v>14.374000000000001</v>
      </c>
      <c r="K50" s="135">
        <v>0</v>
      </c>
      <c r="L50" s="135">
        <v>0</v>
      </c>
      <c r="M50" s="135">
        <v>0</v>
      </c>
      <c r="N50" s="135">
        <v>0</v>
      </c>
      <c r="O50" s="135">
        <v>0</v>
      </c>
      <c r="P50" s="135">
        <v>13.477</v>
      </c>
      <c r="Q50" s="135">
        <v>61.927999999999997</v>
      </c>
      <c r="R50" s="135">
        <v>0.41199999999999998</v>
      </c>
      <c r="S50" s="135">
        <v>2.8809999999999998</v>
      </c>
      <c r="T50" s="135">
        <v>21.783999999999999</v>
      </c>
      <c r="U50" s="135">
        <v>0.161</v>
      </c>
      <c r="V50" s="135">
        <v>0.158</v>
      </c>
      <c r="W50" s="135">
        <v>0</v>
      </c>
      <c r="X50" s="135">
        <v>0</v>
      </c>
      <c r="Y50" s="135" t="s">
        <v>1983</v>
      </c>
      <c r="Z50" s="135">
        <v>12.8</v>
      </c>
      <c r="AA50" s="135">
        <v>4900</v>
      </c>
      <c r="AB50" s="135">
        <v>383.5</v>
      </c>
      <c r="AC50" s="135">
        <v>2.61</v>
      </c>
      <c r="AD50" s="135">
        <v>14.4</v>
      </c>
      <c r="AE50" s="135">
        <v>10050</v>
      </c>
      <c r="AF50" s="135">
        <v>699.2</v>
      </c>
      <c r="AG50" s="135">
        <v>1.43</v>
      </c>
      <c r="AH50" s="135">
        <v>15</v>
      </c>
      <c r="AI50" s="135">
        <v>5500</v>
      </c>
      <c r="AJ50" s="135">
        <v>365.8</v>
      </c>
      <c r="AK50" s="135">
        <v>2.73</v>
      </c>
      <c r="AL50" s="135">
        <v>12.9</v>
      </c>
      <c r="AM50" s="135">
        <v>7200</v>
      </c>
      <c r="AN50" s="135">
        <v>556.70000000000005</v>
      </c>
      <c r="AO50" s="135">
        <v>1.8</v>
      </c>
      <c r="AP50" s="135"/>
      <c r="AQ50" s="135"/>
      <c r="AR50" s="135"/>
      <c r="AS50" s="135"/>
      <c r="AT50" s="135"/>
      <c r="AU50" s="135"/>
      <c r="AV50" s="135"/>
      <c r="AW50" s="135"/>
      <c r="AX50" s="135">
        <v>12.9</v>
      </c>
      <c r="AY50" s="135">
        <v>26</v>
      </c>
      <c r="AZ50" s="135">
        <v>2</v>
      </c>
      <c r="BA50" s="135">
        <v>0.5</v>
      </c>
      <c r="BB50" s="135"/>
      <c r="BC50" s="135"/>
      <c r="BD50" s="135"/>
      <c r="BE50" s="135"/>
      <c r="BF50" s="135">
        <v>15</v>
      </c>
      <c r="BG50" s="135">
        <v>10400</v>
      </c>
      <c r="BH50" s="135">
        <v>691.7</v>
      </c>
      <c r="BI50" s="135">
        <v>1.45</v>
      </c>
      <c r="BJ50" s="135">
        <v>50</v>
      </c>
      <c r="BK50" s="135">
        <v>3</v>
      </c>
      <c r="BL50" s="135">
        <v>23.5</v>
      </c>
    </row>
    <row r="51" spans="1:64" x14ac:dyDescent="0.3">
      <c r="A51" s="135">
        <v>2016</v>
      </c>
      <c r="B51" s="135">
        <v>4</v>
      </c>
      <c r="C51" s="135" t="s">
        <v>2062</v>
      </c>
      <c r="D51" s="135" t="s">
        <v>464</v>
      </c>
      <c r="E51" s="135" t="s">
        <v>394</v>
      </c>
      <c r="F51" s="135" t="s">
        <v>46</v>
      </c>
      <c r="G51" s="135" t="s">
        <v>26</v>
      </c>
      <c r="H51" s="135">
        <v>13.77</v>
      </c>
      <c r="I51" s="135">
        <v>11.397</v>
      </c>
      <c r="J51" s="135">
        <v>14.504</v>
      </c>
      <c r="K51" s="135">
        <v>0</v>
      </c>
      <c r="L51" s="135">
        <v>0</v>
      </c>
      <c r="M51" s="135">
        <v>0</v>
      </c>
      <c r="N51" s="135">
        <v>0</v>
      </c>
      <c r="O51" s="135">
        <v>0</v>
      </c>
      <c r="P51" s="135">
        <v>15.544</v>
      </c>
      <c r="Q51" s="135">
        <v>67.912999999999997</v>
      </c>
      <c r="R51" s="135">
        <v>0.42799999999999999</v>
      </c>
      <c r="S51" s="135">
        <v>3.1070000000000002</v>
      </c>
      <c r="T51" s="135">
        <v>20.591999999999999</v>
      </c>
      <c r="U51" s="135">
        <v>6.4000000000000001E-2</v>
      </c>
      <c r="V51" s="135">
        <v>0.20300000000000001</v>
      </c>
      <c r="W51" s="135">
        <v>0</v>
      </c>
      <c r="X51" s="135">
        <v>0</v>
      </c>
      <c r="Y51" s="135" t="s">
        <v>1983</v>
      </c>
      <c r="Z51" s="135">
        <v>12.7</v>
      </c>
      <c r="AA51" s="135">
        <v>4300</v>
      </c>
      <c r="AB51" s="135">
        <v>337.3</v>
      </c>
      <c r="AC51" s="135">
        <v>2.96</v>
      </c>
      <c r="AD51" s="135">
        <v>14.5</v>
      </c>
      <c r="AE51" s="135">
        <v>7450</v>
      </c>
      <c r="AF51" s="135">
        <v>513.70000000000005</v>
      </c>
      <c r="AG51" s="135">
        <v>1.95</v>
      </c>
      <c r="AH51" s="135">
        <v>15.2</v>
      </c>
      <c r="AI51" s="135">
        <v>3700</v>
      </c>
      <c r="AJ51" s="135">
        <v>242.8</v>
      </c>
      <c r="AK51" s="135">
        <v>4.12</v>
      </c>
      <c r="AL51" s="135">
        <v>13</v>
      </c>
      <c r="AM51" s="135">
        <v>5600</v>
      </c>
      <c r="AN51" s="135">
        <v>432.4</v>
      </c>
      <c r="AO51" s="135">
        <v>2.31</v>
      </c>
      <c r="AP51" s="135"/>
      <c r="AQ51" s="135"/>
      <c r="AR51" s="135"/>
      <c r="AS51" s="135"/>
      <c r="AT51" s="135"/>
      <c r="AU51" s="135"/>
      <c r="AV51" s="135"/>
      <c r="AW51" s="135"/>
      <c r="AX51" s="135">
        <v>13</v>
      </c>
      <c r="AY51" s="135">
        <v>14</v>
      </c>
      <c r="AZ51" s="135">
        <v>1.1000000000000001</v>
      </c>
      <c r="BA51" s="135">
        <v>0.93</v>
      </c>
      <c r="BB51" s="135"/>
      <c r="BC51" s="135"/>
      <c r="BD51" s="135"/>
      <c r="BE51" s="135"/>
      <c r="BF51" s="135">
        <v>15.2</v>
      </c>
      <c r="BG51" s="135">
        <v>7300</v>
      </c>
      <c r="BH51" s="135">
        <v>479.1</v>
      </c>
      <c r="BI51" s="135">
        <v>2.09</v>
      </c>
      <c r="BJ51" s="135">
        <v>46.5</v>
      </c>
      <c r="BK51" s="135">
        <v>3</v>
      </c>
      <c r="BL51" s="135">
        <v>21.75</v>
      </c>
    </row>
    <row r="52" spans="1:64" x14ac:dyDescent="0.3">
      <c r="A52" s="135">
        <v>2016</v>
      </c>
      <c r="B52" s="135">
        <v>4</v>
      </c>
      <c r="C52" s="135" t="s">
        <v>2028</v>
      </c>
      <c r="D52" s="135" t="s">
        <v>129</v>
      </c>
      <c r="E52" s="135" t="s">
        <v>394</v>
      </c>
      <c r="F52" s="135" t="s">
        <v>26</v>
      </c>
      <c r="G52" s="135" t="s">
        <v>2298</v>
      </c>
      <c r="H52" s="135">
        <v>18.7</v>
      </c>
      <c r="I52" s="135">
        <v>11.201000000000001</v>
      </c>
      <c r="J52" s="135">
        <v>16.457999999999998</v>
      </c>
      <c r="K52" s="135">
        <v>0</v>
      </c>
      <c r="L52" s="135">
        <v>0</v>
      </c>
      <c r="M52" s="135">
        <v>0</v>
      </c>
      <c r="N52" s="135">
        <v>0</v>
      </c>
      <c r="O52" s="135">
        <v>0</v>
      </c>
      <c r="P52" s="135">
        <v>11.407999999999999</v>
      </c>
      <c r="Q52" s="135">
        <v>42.988999999999997</v>
      </c>
      <c r="R52" s="135">
        <v>0.184</v>
      </c>
      <c r="S52" s="135">
        <v>5.2569999999999997</v>
      </c>
      <c r="T52" s="135">
        <v>46.325000000000003</v>
      </c>
      <c r="U52" s="135">
        <v>0.23300000000000001</v>
      </c>
      <c r="V52" s="135">
        <v>0.11600000000000001</v>
      </c>
      <c r="W52" s="135">
        <v>0</v>
      </c>
      <c r="X52" s="135">
        <v>0</v>
      </c>
      <c r="Y52" s="135" t="s">
        <v>1983</v>
      </c>
      <c r="Z52" s="135">
        <v>13.7</v>
      </c>
      <c r="AA52" s="135">
        <v>4500</v>
      </c>
      <c r="AB52" s="135">
        <v>328.1</v>
      </c>
      <c r="AC52" s="135">
        <v>3.05</v>
      </c>
      <c r="AD52" s="135">
        <v>16.5</v>
      </c>
      <c r="AE52" s="135">
        <v>11900</v>
      </c>
      <c r="AF52" s="135">
        <v>723</v>
      </c>
      <c r="AG52" s="135">
        <v>1.38</v>
      </c>
      <c r="AH52" s="135">
        <v>17.100000000000001</v>
      </c>
      <c r="AI52" s="135">
        <v>5200</v>
      </c>
      <c r="AJ52" s="135">
        <v>303.89999999999998</v>
      </c>
      <c r="AK52" s="135">
        <v>3.29</v>
      </c>
      <c r="AL52" s="135">
        <v>13.8</v>
      </c>
      <c r="AM52" s="135">
        <v>6600</v>
      </c>
      <c r="AN52" s="135">
        <v>477.2</v>
      </c>
      <c r="AO52" s="135">
        <v>2.1</v>
      </c>
      <c r="AP52" s="135"/>
      <c r="AQ52" s="135"/>
      <c r="AR52" s="135"/>
      <c r="AS52" s="135"/>
      <c r="AT52" s="135"/>
      <c r="AU52" s="135"/>
      <c r="AV52" s="135"/>
      <c r="AW52" s="135"/>
      <c r="AX52" s="135">
        <v>13.8</v>
      </c>
      <c r="AY52" s="135">
        <v>21</v>
      </c>
      <c r="AZ52" s="135">
        <v>1.5</v>
      </c>
      <c r="BA52" s="135">
        <v>0.66</v>
      </c>
      <c r="BB52" s="135"/>
      <c r="BC52" s="135"/>
      <c r="BD52" s="135"/>
      <c r="BE52" s="135"/>
      <c r="BF52" s="135">
        <v>17.100000000000001</v>
      </c>
      <c r="BG52" s="135">
        <v>10200</v>
      </c>
      <c r="BH52" s="135">
        <v>596.1</v>
      </c>
      <c r="BI52" s="135">
        <v>1.68</v>
      </c>
      <c r="BJ52" s="135">
        <v>46.5</v>
      </c>
      <c r="BK52" s="135">
        <v>-3</v>
      </c>
      <c r="BL52" s="135">
        <v>24.75</v>
      </c>
    </row>
    <row r="53" spans="1:64" x14ac:dyDescent="0.3">
      <c r="A53" s="135">
        <v>2016</v>
      </c>
      <c r="B53" s="135">
        <v>4</v>
      </c>
      <c r="C53" s="135" t="s">
        <v>2018</v>
      </c>
      <c r="D53" s="135" t="s">
        <v>125</v>
      </c>
      <c r="E53" s="135" t="s">
        <v>394</v>
      </c>
      <c r="F53" s="135" t="s">
        <v>397</v>
      </c>
      <c r="G53" s="135" t="s">
        <v>2307</v>
      </c>
      <c r="H53" s="135">
        <v>25.59</v>
      </c>
      <c r="I53" s="135">
        <v>10.815</v>
      </c>
      <c r="J53" s="135">
        <v>14.121</v>
      </c>
      <c r="K53" s="135">
        <v>0</v>
      </c>
      <c r="L53" s="135">
        <v>0</v>
      </c>
      <c r="M53" s="135">
        <v>0</v>
      </c>
      <c r="N53" s="135">
        <v>0</v>
      </c>
      <c r="O53" s="135">
        <v>0</v>
      </c>
      <c r="P53" s="135">
        <v>11.667999999999999</v>
      </c>
      <c r="Q53" s="135">
        <v>50.652999999999999</v>
      </c>
      <c r="R53" s="135">
        <v>0.36199999999999999</v>
      </c>
      <c r="S53" s="135">
        <v>3.306</v>
      </c>
      <c r="T53" s="135">
        <v>33.061</v>
      </c>
      <c r="U53" s="135">
        <v>8.5000000000000006E-2</v>
      </c>
      <c r="V53" s="135">
        <v>0.11899999999999999</v>
      </c>
      <c r="W53" s="135">
        <v>0</v>
      </c>
      <c r="X53" s="135">
        <v>0</v>
      </c>
      <c r="Y53" s="135" t="s">
        <v>1983</v>
      </c>
      <c r="Z53" s="135">
        <v>12.3</v>
      </c>
      <c r="AA53" s="135">
        <v>4900</v>
      </c>
      <c r="AB53" s="135">
        <v>396.8</v>
      </c>
      <c r="AC53" s="135">
        <v>2.52</v>
      </c>
      <c r="AD53" s="135">
        <v>14.1</v>
      </c>
      <c r="AE53" s="135">
        <v>11050</v>
      </c>
      <c r="AF53" s="135">
        <v>782.5</v>
      </c>
      <c r="AG53" s="135">
        <v>1.28</v>
      </c>
      <c r="AH53" s="135">
        <v>14.7</v>
      </c>
      <c r="AI53" s="135">
        <v>5700</v>
      </c>
      <c r="AJ53" s="135">
        <v>386.6</v>
      </c>
      <c r="AK53" s="135">
        <v>2.59</v>
      </c>
      <c r="AL53" s="135">
        <v>12.5</v>
      </c>
      <c r="AM53" s="135">
        <v>6200</v>
      </c>
      <c r="AN53" s="135">
        <v>497.3</v>
      </c>
      <c r="AO53" s="135">
        <v>2.0099999999999998</v>
      </c>
      <c r="AP53" s="135"/>
      <c r="AQ53" s="135"/>
      <c r="AR53" s="135"/>
      <c r="AS53" s="135"/>
      <c r="AT53" s="135"/>
      <c r="AU53" s="135"/>
      <c r="AV53" s="135"/>
      <c r="AW53" s="135"/>
      <c r="AX53" s="135">
        <v>12.5</v>
      </c>
      <c r="AY53" s="135">
        <v>23</v>
      </c>
      <c r="AZ53" s="135">
        <v>1.8</v>
      </c>
      <c r="BA53" s="135">
        <v>0.54</v>
      </c>
      <c r="BB53" s="135"/>
      <c r="BC53" s="135"/>
      <c r="BD53" s="135"/>
      <c r="BE53" s="135"/>
      <c r="BF53" s="135">
        <v>14.7</v>
      </c>
      <c r="BG53" s="135">
        <v>10600</v>
      </c>
      <c r="BH53" s="135">
        <v>719</v>
      </c>
      <c r="BI53" s="135">
        <v>1.39</v>
      </c>
      <c r="BJ53" s="135">
        <v>47.5</v>
      </c>
      <c r="BK53" s="135">
        <v>5.5</v>
      </c>
      <c r="BL53" s="135">
        <v>21</v>
      </c>
    </row>
    <row r="54" spans="1:64" x14ac:dyDescent="0.3">
      <c r="A54" s="135">
        <v>2016</v>
      </c>
      <c r="B54" s="135">
        <v>4</v>
      </c>
      <c r="C54" s="135" t="s">
        <v>2032</v>
      </c>
      <c r="D54" s="135" t="s">
        <v>135</v>
      </c>
      <c r="E54" s="135" t="s">
        <v>394</v>
      </c>
      <c r="F54" s="135" t="s">
        <v>50</v>
      </c>
      <c r="G54" s="135" t="s">
        <v>22</v>
      </c>
      <c r="H54" s="135">
        <v>18.37</v>
      </c>
      <c r="I54" s="135">
        <v>10.775</v>
      </c>
      <c r="J54" s="135">
        <v>13.885999999999999</v>
      </c>
      <c r="K54" s="135">
        <v>0</v>
      </c>
      <c r="L54" s="135">
        <v>0</v>
      </c>
      <c r="M54" s="135">
        <v>0</v>
      </c>
      <c r="N54" s="135">
        <v>0</v>
      </c>
      <c r="O54" s="135">
        <v>0</v>
      </c>
      <c r="P54" s="135">
        <v>10.287000000000001</v>
      </c>
      <c r="Q54" s="135">
        <v>46.02</v>
      </c>
      <c r="R54" s="135">
        <v>0.43</v>
      </c>
      <c r="S54" s="135">
        <v>3.1110000000000002</v>
      </c>
      <c r="T54" s="135">
        <v>29.952999999999999</v>
      </c>
      <c r="U54" s="135">
        <v>0.14299999999999999</v>
      </c>
      <c r="V54" s="135">
        <v>0.13</v>
      </c>
      <c r="W54" s="135">
        <v>0</v>
      </c>
      <c r="X54" s="135">
        <v>0</v>
      </c>
      <c r="Y54" s="135" t="s">
        <v>1983</v>
      </c>
      <c r="Z54" s="135">
        <v>12.2</v>
      </c>
      <c r="AA54" s="135">
        <v>4550</v>
      </c>
      <c r="AB54" s="135">
        <v>372.9</v>
      </c>
      <c r="AC54" s="135">
        <v>2.68</v>
      </c>
      <c r="AD54" s="135">
        <v>13.9</v>
      </c>
      <c r="AE54" s="135">
        <v>7250</v>
      </c>
      <c r="AF54" s="135">
        <v>522.1</v>
      </c>
      <c r="AG54" s="135">
        <v>1.92</v>
      </c>
      <c r="AH54" s="135">
        <v>14.5</v>
      </c>
      <c r="AI54" s="135">
        <v>4500</v>
      </c>
      <c r="AJ54" s="135">
        <v>310.89999999999998</v>
      </c>
      <c r="AK54" s="135">
        <v>3.22</v>
      </c>
      <c r="AL54" s="135">
        <v>12.3</v>
      </c>
      <c r="AM54" s="135">
        <v>6100</v>
      </c>
      <c r="AN54" s="135">
        <v>494.7</v>
      </c>
      <c r="AO54" s="135">
        <v>2.02</v>
      </c>
      <c r="AP54" s="135"/>
      <c r="AQ54" s="135"/>
      <c r="AR54" s="135"/>
      <c r="AS54" s="135"/>
      <c r="AT54" s="135"/>
      <c r="AU54" s="135"/>
      <c r="AV54" s="135"/>
      <c r="AW54" s="135"/>
      <c r="AX54" s="135">
        <v>12.3</v>
      </c>
      <c r="AY54" s="135">
        <v>19</v>
      </c>
      <c r="AZ54" s="135">
        <v>1.5</v>
      </c>
      <c r="BA54" s="135">
        <v>0.65</v>
      </c>
      <c r="BB54" s="135"/>
      <c r="BC54" s="135"/>
      <c r="BD54" s="135"/>
      <c r="BE54" s="135"/>
      <c r="BF54" s="135">
        <v>14.5</v>
      </c>
      <c r="BG54" s="135">
        <v>8800</v>
      </c>
      <c r="BH54" s="135">
        <v>608.1</v>
      </c>
      <c r="BI54" s="135">
        <v>1.64</v>
      </c>
      <c r="BJ54" s="135">
        <v>50</v>
      </c>
      <c r="BK54" s="135">
        <v>3</v>
      </c>
      <c r="BL54" s="135">
        <v>23.5</v>
      </c>
    </row>
    <row r="55" spans="1:64" x14ac:dyDescent="0.3">
      <c r="A55" s="135">
        <v>2016</v>
      </c>
      <c r="B55" s="135">
        <v>4</v>
      </c>
      <c r="C55" s="135" t="s">
        <v>2024</v>
      </c>
      <c r="D55" s="135" t="s">
        <v>82</v>
      </c>
      <c r="E55" s="135" t="s">
        <v>394</v>
      </c>
      <c r="F55" s="135" t="s">
        <v>4</v>
      </c>
      <c r="G55" s="135" t="s">
        <v>2297</v>
      </c>
      <c r="H55" s="135">
        <v>15.37</v>
      </c>
      <c r="I55" s="135">
        <v>10.363</v>
      </c>
      <c r="J55" s="135">
        <v>12.865</v>
      </c>
      <c r="K55" s="135">
        <v>0</v>
      </c>
      <c r="L55" s="135">
        <v>0</v>
      </c>
      <c r="M55" s="135">
        <v>0</v>
      </c>
      <c r="N55" s="135">
        <v>0</v>
      </c>
      <c r="O55" s="135">
        <v>0</v>
      </c>
      <c r="P55" s="135">
        <v>11.51</v>
      </c>
      <c r="Q55" s="135">
        <v>52.835999999999999</v>
      </c>
      <c r="R55" s="135">
        <v>0.52700000000000002</v>
      </c>
      <c r="S55" s="135">
        <v>2.5019999999999998</v>
      </c>
      <c r="T55" s="135">
        <v>18.436</v>
      </c>
      <c r="U55" s="135">
        <v>5.8999999999999997E-2</v>
      </c>
      <c r="V55" s="135">
        <v>0.14000000000000001</v>
      </c>
      <c r="W55" s="135">
        <v>0</v>
      </c>
      <c r="X55" s="135">
        <v>0</v>
      </c>
      <c r="Y55" s="135" t="s">
        <v>1995</v>
      </c>
      <c r="Z55" s="135">
        <v>11.5</v>
      </c>
      <c r="AA55" s="135">
        <v>4700</v>
      </c>
      <c r="AB55" s="135">
        <v>409.6</v>
      </c>
      <c r="AC55" s="135">
        <v>2.44</v>
      </c>
      <c r="AD55" s="135">
        <v>12.9</v>
      </c>
      <c r="AE55" s="135">
        <v>9650</v>
      </c>
      <c r="AF55" s="135">
        <v>750.1</v>
      </c>
      <c r="AG55" s="135">
        <v>1.33</v>
      </c>
      <c r="AH55" s="135">
        <v>13.4</v>
      </c>
      <c r="AI55" s="135">
        <v>4900</v>
      </c>
      <c r="AJ55" s="135">
        <v>364.8</v>
      </c>
      <c r="AK55" s="135">
        <v>2.74</v>
      </c>
      <c r="AL55" s="135">
        <v>11.6</v>
      </c>
      <c r="AM55" s="135">
        <v>7100</v>
      </c>
      <c r="AN55" s="135">
        <v>611.29999999999995</v>
      </c>
      <c r="AO55" s="135">
        <v>1.64</v>
      </c>
      <c r="AP55" s="135"/>
      <c r="AQ55" s="135"/>
      <c r="AR55" s="135"/>
      <c r="AS55" s="135"/>
      <c r="AT55" s="135"/>
      <c r="AU55" s="135"/>
      <c r="AV55" s="135"/>
      <c r="AW55" s="135"/>
      <c r="AX55" s="135">
        <v>11.6</v>
      </c>
      <c r="AY55" s="135">
        <v>24</v>
      </c>
      <c r="AZ55" s="135">
        <v>2.1</v>
      </c>
      <c r="BA55" s="135">
        <v>0.48</v>
      </c>
      <c r="BB55" s="135"/>
      <c r="BC55" s="135"/>
      <c r="BD55" s="135"/>
      <c r="BE55" s="135"/>
      <c r="BF55" s="135">
        <v>13.4</v>
      </c>
      <c r="BG55" s="135">
        <v>9700</v>
      </c>
      <c r="BH55" s="135">
        <v>722.1</v>
      </c>
      <c r="BI55" s="135">
        <v>1.38</v>
      </c>
      <c r="BJ55" s="135">
        <v>46.5</v>
      </c>
      <c r="BK55" s="135">
        <v>3.5</v>
      </c>
      <c r="BL55" s="135">
        <v>21.5</v>
      </c>
    </row>
    <row r="56" spans="1:64" x14ac:dyDescent="0.3">
      <c r="A56" s="135">
        <v>2016</v>
      </c>
      <c r="B56" s="135">
        <v>4</v>
      </c>
      <c r="C56" s="135" t="s">
        <v>2034</v>
      </c>
      <c r="D56" s="135" t="s">
        <v>121</v>
      </c>
      <c r="E56" s="135" t="s">
        <v>394</v>
      </c>
      <c r="F56" s="135" t="s">
        <v>18</v>
      </c>
      <c r="G56" s="135" t="s">
        <v>14</v>
      </c>
      <c r="H56" s="135">
        <v>18.82</v>
      </c>
      <c r="I56" s="135">
        <v>10.045999999999999</v>
      </c>
      <c r="J56" s="135">
        <v>11.260999999999999</v>
      </c>
      <c r="K56" s="135">
        <v>0</v>
      </c>
      <c r="L56" s="135">
        <v>0</v>
      </c>
      <c r="M56" s="135">
        <v>0</v>
      </c>
      <c r="N56" s="135">
        <v>0</v>
      </c>
      <c r="O56" s="135">
        <v>0</v>
      </c>
      <c r="P56" s="135">
        <v>16.744</v>
      </c>
      <c r="Q56" s="135">
        <v>63.427999999999997</v>
      </c>
      <c r="R56" s="135">
        <v>0.501</v>
      </c>
      <c r="S56" s="135">
        <v>1.2150000000000001</v>
      </c>
      <c r="T56" s="135">
        <v>8.6739999999999995</v>
      </c>
      <c r="U56" s="135">
        <v>1.9E-2</v>
      </c>
      <c r="V56" s="135">
        <v>0.14199999999999999</v>
      </c>
      <c r="W56" s="135">
        <v>0</v>
      </c>
      <c r="X56" s="135">
        <v>0</v>
      </c>
      <c r="Y56" s="135" t="s">
        <v>1995</v>
      </c>
      <c r="Z56" s="135">
        <v>10.5</v>
      </c>
      <c r="AA56" s="135">
        <v>4450</v>
      </c>
      <c r="AB56" s="135">
        <v>423.3</v>
      </c>
      <c r="AC56" s="135">
        <v>2.36</v>
      </c>
      <c r="AD56" s="135">
        <v>11.3</v>
      </c>
      <c r="AE56" s="135">
        <v>9100</v>
      </c>
      <c r="AF56" s="135">
        <v>808.1</v>
      </c>
      <c r="AG56" s="135">
        <v>1.24</v>
      </c>
      <c r="AH56" s="135">
        <v>11.8</v>
      </c>
      <c r="AI56" s="135">
        <v>4300</v>
      </c>
      <c r="AJ56" s="135">
        <v>363.3</v>
      </c>
      <c r="AK56" s="135">
        <v>2.75</v>
      </c>
      <c r="AL56" s="135">
        <v>10.7</v>
      </c>
      <c r="AM56" s="135">
        <v>6600</v>
      </c>
      <c r="AN56" s="135">
        <v>619.5</v>
      </c>
      <c r="AO56" s="135">
        <v>1.61</v>
      </c>
      <c r="AP56" s="135"/>
      <c r="AQ56" s="135"/>
      <c r="AR56" s="135"/>
      <c r="AS56" s="135"/>
      <c r="AT56" s="135"/>
      <c r="AU56" s="135"/>
      <c r="AV56" s="135"/>
      <c r="AW56" s="135"/>
      <c r="AX56" s="135">
        <v>10.7</v>
      </c>
      <c r="AY56" s="135">
        <v>19</v>
      </c>
      <c r="AZ56" s="135">
        <v>1.8</v>
      </c>
      <c r="BA56" s="135">
        <v>0.56000000000000005</v>
      </c>
      <c r="BB56" s="135"/>
      <c r="BC56" s="135"/>
      <c r="BD56" s="135"/>
      <c r="BE56" s="135"/>
      <c r="BF56" s="135">
        <v>11.8</v>
      </c>
      <c r="BG56" s="135">
        <v>8400</v>
      </c>
      <c r="BH56" s="135">
        <v>709.7</v>
      </c>
      <c r="BI56" s="135">
        <v>1.41</v>
      </c>
      <c r="BJ56" s="135">
        <v>45.5</v>
      </c>
      <c r="BK56" s="135">
        <v>-8</v>
      </c>
      <c r="BL56" s="135">
        <v>26.75</v>
      </c>
    </row>
    <row r="57" spans="1:64" x14ac:dyDescent="0.3">
      <c r="A57" s="135">
        <v>2016</v>
      </c>
      <c r="B57" s="135">
        <v>4</v>
      </c>
      <c r="C57" s="135" t="s">
        <v>2039</v>
      </c>
      <c r="D57" s="135" t="s">
        <v>520</v>
      </c>
      <c r="E57" s="135" t="s">
        <v>394</v>
      </c>
      <c r="F57" s="135" t="s">
        <v>26</v>
      </c>
      <c r="G57" s="135" t="s">
        <v>2298</v>
      </c>
      <c r="H57" s="135">
        <v>18.7</v>
      </c>
      <c r="I57" s="135">
        <v>9.9700000000000006</v>
      </c>
      <c r="J57" s="135">
        <v>11.682</v>
      </c>
      <c r="K57" s="135">
        <v>0</v>
      </c>
      <c r="L57" s="135">
        <v>0</v>
      </c>
      <c r="M57" s="135">
        <v>0</v>
      </c>
      <c r="N57" s="135">
        <v>0</v>
      </c>
      <c r="O57" s="135">
        <v>0</v>
      </c>
      <c r="P57" s="135">
        <v>12.191000000000001</v>
      </c>
      <c r="Q57" s="135">
        <v>54.607999999999997</v>
      </c>
      <c r="R57" s="135">
        <v>0.50900000000000001</v>
      </c>
      <c r="S57" s="135">
        <v>1.712</v>
      </c>
      <c r="T57" s="135">
        <v>12.634</v>
      </c>
      <c r="U57" s="135">
        <v>6.5000000000000002E-2</v>
      </c>
      <c r="V57" s="135">
        <v>9.9000000000000005E-2</v>
      </c>
      <c r="W57" s="135">
        <v>0</v>
      </c>
      <c r="X57" s="135">
        <v>0</v>
      </c>
      <c r="Y57" s="135" t="s">
        <v>1995</v>
      </c>
      <c r="Z57" s="135">
        <v>10.7</v>
      </c>
      <c r="AA57" s="135">
        <v>3700</v>
      </c>
      <c r="AB57" s="135">
        <v>344.9</v>
      </c>
      <c r="AC57" s="135">
        <v>2.9</v>
      </c>
      <c r="AD57" s="135">
        <v>11.7</v>
      </c>
      <c r="AE57" s="135">
        <v>7100</v>
      </c>
      <c r="AF57" s="135">
        <v>607.79999999999995</v>
      </c>
      <c r="AG57" s="135">
        <v>1.65</v>
      </c>
      <c r="AH57" s="135">
        <v>12.2</v>
      </c>
      <c r="AI57" s="135">
        <v>3800</v>
      </c>
      <c r="AJ57" s="135">
        <v>311.89999999999998</v>
      </c>
      <c r="AK57" s="135">
        <v>3.21</v>
      </c>
      <c r="AL57" s="135">
        <v>10.8</v>
      </c>
      <c r="AM57" s="135">
        <v>4500</v>
      </c>
      <c r="AN57" s="135">
        <v>415.7</v>
      </c>
      <c r="AO57" s="135">
        <v>2.41</v>
      </c>
      <c r="AP57" s="135"/>
      <c r="AQ57" s="135"/>
      <c r="AR57" s="135"/>
      <c r="AS57" s="135"/>
      <c r="AT57" s="135"/>
      <c r="AU57" s="135"/>
      <c r="AV57" s="135"/>
      <c r="AW57" s="135"/>
      <c r="AX57" s="135">
        <v>10.8</v>
      </c>
      <c r="AY57" s="135">
        <v>10</v>
      </c>
      <c r="AZ57" s="135">
        <v>0.9</v>
      </c>
      <c r="BA57" s="135">
        <v>1.08</v>
      </c>
      <c r="BB57" s="135"/>
      <c r="BC57" s="135"/>
      <c r="BD57" s="135"/>
      <c r="BE57" s="135"/>
      <c r="BF57" s="135">
        <v>12.2</v>
      </c>
      <c r="BG57" s="135">
        <v>7400</v>
      </c>
      <c r="BH57" s="135">
        <v>607.29999999999995</v>
      </c>
      <c r="BI57" s="135">
        <v>1.65</v>
      </c>
      <c r="BJ57" s="135">
        <v>46.5</v>
      </c>
      <c r="BK57" s="135">
        <v>-3</v>
      </c>
      <c r="BL57" s="135">
        <v>24.75</v>
      </c>
    </row>
    <row r="58" spans="1:64" x14ac:dyDescent="0.3">
      <c r="A58" s="135">
        <v>2016</v>
      </c>
      <c r="B58" s="135">
        <v>4</v>
      </c>
      <c r="C58" s="135" t="s">
        <v>2033</v>
      </c>
      <c r="D58" s="135" t="s">
        <v>143</v>
      </c>
      <c r="E58" s="135" t="s">
        <v>394</v>
      </c>
      <c r="F58" s="135" t="s">
        <v>41</v>
      </c>
      <c r="G58" s="135" t="s">
        <v>37</v>
      </c>
      <c r="H58" s="135">
        <v>8.24</v>
      </c>
      <c r="I58" s="135">
        <v>9.0739999999999998</v>
      </c>
      <c r="J58" s="135">
        <v>12.111000000000001</v>
      </c>
      <c r="K58" s="135">
        <v>0</v>
      </c>
      <c r="L58" s="135">
        <v>0</v>
      </c>
      <c r="M58" s="135">
        <v>0</v>
      </c>
      <c r="N58" s="135">
        <v>0</v>
      </c>
      <c r="O58" s="135">
        <v>0</v>
      </c>
      <c r="P58" s="135">
        <v>14.535</v>
      </c>
      <c r="Q58" s="135">
        <v>58.511000000000003</v>
      </c>
      <c r="R58" s="135">
        <v>0.13700000000000001</v>
      </c>
      <c r="S58" s="135">
        <v>3.0369999999999999</v>
      </c>
      <c r="T58" s="135">
        <v>23.045999999999999</v>
      </c>
      <c r="U58" s="135">
        <v>6.7000000000000004E-2</v>
      </c>
      <c r="V58" s="135">
        <v>0.153</v>
      </c>
      <c r="W58" s="135">
        <v>0</v>
      </c>
      <c r="X58" s="135">
        <v>0</v>
      </c>
      <c r="Y58" s="135" t="s">
        <v>1995</v>
      </c>
      <c r="Z58" s="135">
        <v>10.4</v>
      </c>
      <c r="AA58" s="135">
        <v>4400</v>
      </c>
      <c r="AB58" s="135">
        <v>421.5</v>
      </c>
      <c r="AC58" s="135">
        <v>2.37</v>
      </c>
      <c r="AD58" s="135">
        <v>12.1</v>
      </c>
      <c r="AE58" s="135">
        <v>7800</v>
      </c>
      <c r="AF58" s="135">
        <v>644.1</v>
      </c>
      <c r="AG58" s="135">
        <v>1.55</v>
      </c>
      <c r="AH58" s="135">
        <v>12.8</v>
      </c>
      <c r="AI58" s="135">
        <v>3900</v>
      </c>
      <c r="AJ58" s="135">
        <v>305.8</v>
      </c>
      <c r="AK58" s="135">
        <v>3.27</v>
      </c>
      <c r="AL58" s="135">
        <v>10.6</v>
      </c>
      <c r="AM58" s="135">
        <v>5800</v>
      </c>
      <c r="AN58" s="135">
        <v>547.6</v>
      </c>
      <c r="AO58" s="135">
        <v>1.83</v>
      </c>
      <c r="AP58" s="135"/>
      <c r="AQ58" s="135"/>
      <c r="AR58" s="135"/>
      <c r="AS58" s="135"/>
      <c r="AT58" s="135"/>
      <c r="AU58" s="135"/>
      <c r="AV58" s="135"/>
      <c r="AW58" s="135"/>
      <c r="AX58" s="135">
        <v>10.6</v>
      </c>
      <c r="AY58" s="135">
        <v>19</v>
      </c>
      <c r="AZ58" s="135">
        <v>1.8</v>
      </c>
      <c r="BA58" s="135">
        <v>0.56000000000000005</v>
      </c>
      <c r="BB58" s="135"/>
      <c r="BC58" s="135"/>
      <c r="BD58" s="135"/>
      <c r="BE58" s="135"/>
      <c r="BF58" s="135">
        <v>12.8</v>
      </c>
      <c r="BG58" s="135">
        <v>7700</v>
      </c>
      <c r="BH58" s="135">
        <v>603.79999999999995</v>
      </c>
      <c r="BI58" s="135">
        <v>1.66</v>
      </c>
      <c r="BJ58" s="135">
        <v>43.5</v>
      </c>
      <c r="BK58" s="135">
        <v>-4</v>
      </c>
      <c r="BL58" s="135">
        <v>23.75</v>
      </c>
    </row>
    <row r="59" spans="1:64" x14ac:dyDescent="0.3">
      <c r="A59" s="135">
        <v>2016</v>
      </c>
      <c r="B59" s="135">
        <v>4</v>
      </c>
      <c r="C59" s="135" t="s">
        <v>2027</v>
      </c>
      <c r="D59" s="135" t="s">
        <v>113</v>
      </c>
      <c r="E59" s="135" t="s">
        <v>394</v>
      </c>
      <c r="F59" s="135" t="s">
        <v>28</v>
      </c>
      <c r="G59" s="135" t="s">
        <v>57</v>
      </c>
      <c r="H59" s="135">
        <v>15.65</v>
      </c>
      <c r="I59" s="135">
        <v>8.8149999999999995</v>
      </c>
      <c r="J59" s="135">
        <v>13.867000000000001</v>
      </c>
      <c r="K59" s="135">
        <v>0</v>
      </c>
      <c r="L59" s="135">
        <v>0</v>
      </c>
      <c r="M59" s="135">
        <v>0</v>
      </c>
      <c r="N59" s="135">
        <v>0</v>
      </c>
      <c r="O59" s="135">
        <v>0</v>
      </c>
      <c r="P59" s="135">
        <v>6.21</v>
      </c>
      <c r="Q59" s="135">
        <v>32.798999999999999</v>
      </c>
      <c r="R59" s="135">
        <v>0.129</v>
      </c>
      <c r="S59" s="135">
        <v>5.0519999999999996</v>
      </c>
      <c r="T59" s="135">
        <v>41.87</v>
      </c>
      <c r="U59" s="135">
        <v>0.126</v>
      </c>
      <c r="V59" s="135">
        <v>9.0999999999999998E-2</v>
      </c>
      <c r="W59" s="135">
        <v>0</v>
      </c>
      <c r="X59" s="135">
        <v>0</v>
      </c>
      <c r="Y59" s="135" t="s">
        <v>1995</v>
      </c>
      <c r="Z59" s="135">
        <v>11.2</v>
      </c>
      <c r="AA59" s="135">
        <v>4500</v>
      </c>
      <c r="AB59" s="135">
        <v>400</v>
      </c>
      <c r="AC59" s="135">
        <v>2.5</v>
      </c>
      <c r="AD59" s="135">
        <v>13.9</v>
      </c>
      <c r="AE59" s="135">
        <v>10300</v>
      </c>
      <c r="AF59" s="135">
        <v>742.8</v>
      </c>
      <c r="AG59" s="135">
        <v>1.35</v>
      </c>
      <c r="AH59" s="135">
        <v>14.4</v>
      </c>
      <c r="AI59" s="135">
        <v>4700</v>
      </c>
      <c r="AJ59" s="135">
        <v>326.3</v>
      </c>
      <c r="AK59" s="135">
        <v>3.07</v>
      </c>
      <c r="AL59" s="135">
        <v>11.3</v>
      </c>
      <c r="AM59" s="135">
        <v>5500</v>
      </c>
      <c r="AN59" s="135">
        <v>485</v>
      </c>
      <c r="AO59" s="135">
        <v>2.06</v>
      </c>
      <c r="AP59" s="135"/>
      <c r="AQ59" s="135"/>
      <c r="AR59" s="135"/>
      <c r="AS59" s="135"/>
      <c r="AT59" s="135"/>
      <c r="AU59" s="135"/>
      <c r="AV59" s="135"/>
      <c r="AW59" s="135"/>
      <c r="AX59" s="135">
        <v>11.3</v>
      </c>
      <c r="AY59" s="135">
        <v>19</v>
      </c>
      <c r="AZ59" s="135">
        <v>1.7</v>
      </c>
      <c r="BA59" s="135">
        <v>0.6</v>
      </c>
      <c r="BB59" s="135"/>
      <c r="BC59" s="135"/>
      <c r="BD59" s="135"/>
      <c r="BE59" s="135"/>
      <c r="BF59" s="135">
        <v>14.4</v>
      </c>
      <c r="BG59" s="135">
        <v>9200</v>
      </c>
      <c r="BH59" s="135">
        <v>638.6</v>
      </c>
      <c r="BI59" s="135">
        <v>1.57</v>
      </c>
      <c r="BJ59" s="135">
        <v>44.5</v>
      </c>
      <c r="BK59" s="135">
        <v>-7</v>
      </c>
      <c r="BL59" s="135">
        <v>25.75</v>
      </c>
    </row>
    <row r="60" spans="1:64" x14ac:dyDescent="0.3">
      <c r="A60" s="135">
        <v>2016</v>
      </c>
      <c r="B60" s="135">
        <v>4</v>
      </c>
      <c r="C60" s="135" t="s">
        <v>2036</v>
      </c>
      <c r="D60" s="135" t="s">
        <v>150</v>
      </c>
      <c r="E60" s="135" t="s">
        <v>394</v>
      </c>
      <c r="F60" s="135" t="s">
        <v>22</v>
      </c>
      <c r="G60" s="135" t="s">
        <v>2296</v>
      </c>
      <c r="H60" s="135">
        <v>24.7</v>
      </c>
      <c r="I60" s="135">
        <v>8.702</v>
      </c>
      <c r="J60" s="135">
        <v>10.382</v>
      </c>
      <c r="K60" s="135">
        <v>0</v>
      </c>
      <c r="L60" s="135">
        <v>0</v>
      </c>
      <c r="M60" s="135">
        <v>0</v>
      </c>
      <c r="N60" s="135">
        <v>0</v>
      </c>
      <c r="O60" s="135">
        <v>0</v>
      </c>
      <c r="P60" s="135">
        <v>13.487</v>
      </c>
      <c r="Q60" s="135">
        <v>56.174999999999997</v>
      </c>
      <c r="R60" s="135">
        <v>0.35099999999999998</v>
      </c>
      <c r="S60" s="135">
        <v>1.68</v>
      </c>
      <c r="T60" s="135">
        <v>11.065</v>
      </c>
      <c r="U60" s="135">
        <v>1.9E-2</v>
      </c>
      <c r="V60" s="135">
        <v>0.121</v>
      </c>
      <c r="W60" s="135">
        <v>0</v>
      </c>
      <c r="X60" s="135">
        <v>0</v>
      </c>
      <c r="Y60" s="135" t="s">
        <v>1995</v>
      </c>
      <c r="Z60" s="135">
        <v>9.4</v>
      </c>
      <c r="AA60" s="135">
        <v>4250</v>
      </c>
      <c r="AB60" s="135">
        <v>451.1</v>
      </c>
      <c r="AC60" s="135">
        <v>2.2200000000000002</v>
      </c>
      <c r="AD60" s="135">
        <v>10.4</v>
      </c>
      <c r="AE60" s="135">
        <v>6000</v>
      </c>
      <c r="AF60" s="135">
        <v>577.9</v>
      </c>
      <c r="AG60" s="135">
        <v>1.73</v>
      </c>
      <c r="AH60" s="135">
        <v>10.9</v>
      </c>
      <c r="AI60" s="135">
        <v>3400</v>
      </c>
      <c r="AJ60" s="135">
        <v>311.7</v>
      </c>
      <c r="AK60" s="135">
        <v>3.21</v>
      </c>
      <c r="AL60" s="135">
        <v>9.5</v>
      </c>
      <c r="AM60" s="135">
        <v>5700</v>
      </c>
      <c r="AN60" s="135">
        <v>597.4</v>
      </c>
      <c r="AO60" s="135">
        <v>1.67</v>
      </c>
      <c r="AP60" s="135"/>
      <c r="AQ60" s="135"/>
      <c r="AR60" s="135"/>
      <c r="AS60" s="135"/>
      <c r="AT60" s="135"/>
      <c r="AU60" s="135"/>
      <c r="AV60" s="135"/>
      <c r="AW60" s="135"/>
      <c r="AX60" s="135">
        <v>9.5</v>
      </c>
      <c r="AY60" s="135">
        <v>20</v>
      </c>
      <c r="AZ60" s="135">
        <v>2.1</v>
      </c>
      <c r="BA60" s="135">
        <v>0.48</v>
      </c>
      <c r="BB60" s="135"/>
      <c r="BC60" s="135"/>
      <c r="BD60" s="135"/>
      <c r="BE60" s="135"/>
      <c r="BF60" s="135">
        <v>10.9</v>
      </c>
      <c r="BG60" s="135">
        <v>6600</v>
      </c>
      <c r="BH60" s="135">
        <v>605.1</v>
      </c>
      <c r="BI60" s="135">
        <v>1.65</v>
      </c>
      <c r="BJ60" s="135">
        <v>50</v>
      </c>
      <c r="BK60" s="135">
        <v>-3</v>
      </c>
      <c r="BL60" s="135">
        <v>26.5</v>
      </c>
    </row>
    <row r="61" spans="1:64" x14ac:dyDescent="0.3">
      <c r="A61" s="135">
        <v>2016</v>
      </c>
      <c r="B61" s="135">
        <v>4</v>
      </c>
      <c r="C61" s="135" t="s">
        <v>2038</v>
      </c>
      <c r="D61" s="135" t="s">
        <v>149</v>
      </c>
      <c r="E61" s="135" t="s">
        <v>394</v>
      </c>
      <c r="F61" s="135" t="s">
        <v>32</v>
      </c>
      <c r="G61" s="135" t="s">
        <v>4</v>
      </c>
      <c r="H61" s="135">
        <v>16.09</v>
      </c>
      <c r="I61" s="135">
        <v>8.3859999999999992</v>
      </c>
      <c r="J61" s="135">
        <v>9.7560000000000002</v>
      </c>
      <c r="K61" s="135">
        <v>0</v>
      </c>
      <c r="L61" s="135">
        <v>0</v>
      </c>
      <c r="M61" s="135">
        <v>0</v>
      </c>
      <c r="N61" s="135">
        <v>0</v>
      </c>
      <c r="O61" s="135">
        <v>0</v>
      </c>
      <c r="P61" s="135">
        <v>13.404999999999999</v>
      </c>
      <c r="Q61" s="135">
        <v>45.085000000000001</v>
      </c>
      <c r="R61" s="135">
        <v>0.435</v>
      </c>
      <c r="S61" s="135">
        <v>1.37</v>
      </c>
      <c r="T61" s="135">
        <v>11.297000000000001</v>
      </c>
      <c r="U61" s="135">
        <v>5.5E-2</v>
      </c>
      <c r="V61" s="135">
        <v>9.6000000000000002E-2</v>
      </c>
      <c r="W61" s="135">
        <v>0</v>
      </c>
      <c r="X61" s="135">
        <v>0</v>
      </c>
      <c r="Y61" s="135" t="s">
        <v>1995</v>
      </c>
      <c r="Z61" s="135">
        <v>9</v>
      </c>
      <c r="AA61" s="135">
        <v>4200</v>
      </c>
      <c r="AB61" s="135">
        <v>468</v>
      </c>
      <c r="AC61" s="135">
        <v>2.14</v>
      </c>
      <c r="AD61" s="135">
        <v>9.8000000000000007</v>
      </c>
      <c r="AE61" s="135">
        <v>6000</v>
      </c>
      <c r="AF61" s="135">
        <v>615</v>
      </c>
      <c r="AG61" s="135">
        <v>1.63</v>
      </c>
      <c r="AH61" s="135">
        <v>10.199999999999999</v>
      </c>
      <c r="AI61" s="135">
        <v>3400</v>
      </c>
      <c r="AJ61" s="135">
        <v>333.6</v>
      </c>
      <c r="AK61" s="135">
        <v>3</v>
      </c>
      <c r="AL61" s="135">
        <v>9.1</v>
      </c>
      <c r="AM61" s="135">
        <v>4900</v>
      </c>
      <c r="AN61" s="135">
        <v>540.20000000000005</v>
      </c>
      <c r="AO61" s="135">
        <v>1.85</v>
      </c>
      <c r="AP61" s="135"/>
      <c r="AQ61" s="135"/>
      <c r="AR61" s="135"/>
      <c r="AS61" s="135"/>
      <c r="AT61" s="135"/>
      <c r="AU61" s="135"/>
      <c r="AV61" s="135"/>
      <c r="AW61" s="135"/>
      <c r="AX61" s="135">
        <v>9.1</v>
      </c>
      <c r="AY61" s="135">
        <v>14</v>
      </c>
      <c r="AZ61" s="135">
        <v>1.5</v>
      </c>
      <c r="BA61" s="135">
        <v>0.65</v>
      </c>
      <c r="BB61" s="135"/>
      <c r="BC61" s="135"/>
      <c r="BD61" s="135"/>
      <c r="BE61" s="135"/>
      <c r="BF61" s="135">
        <v>10.199999999999999</v>
      </c>
      <c r="BG61" s="135">
        <v>6700</v>
      </c>
      <c r="BH61" s="135">
        <v>657.5</v>
      </c>
      <c r="BI61" s="135">
        <v>1.52</v>
      </c>
      <c r="BJ61" s="135">
        <v>46.5</v>
      </c>
      <c r="BK61" s="135">
        <v>-3.5</v>
      </c>
      <c r="BL61" s="135">
        <v>25</v>
      </c>
    </row>
    <row r="62" spans="1:64" x14ac:dyDescent="0.3">
      <c r="A62" s="135">
        <v>2016</v>
      </c>
      <c r="B62" s="135">
        <v>4</v>
      </c>
      <c r="C62" s="135" t="s">
        <v>2040</v>
      </c>
      <c r="D62" s="135" t="s">
        <v>120</v>
      </c>
      <c r="E62" s="135" t="s">
        <v>394</v>
      </c>
      <c r="F62" s="135" t="s">
        <v>14</v>
      </c>
      <c r="G62" s="135" t="s">
        <v>2310</v>
      </c>
      <c r="H62" s="135">
        <v>29.4</v>
      </c>
      <c r="I62" s="135">
        <v>8</v>
      </c>
      <c r="J62" s="135">
        <v>12.398</v>
      </c>
      <c r="K62" s="135">
        <v>0</v>
      </c>
      <c r="L62" s="135">
        <v>0</v>
      </c>
      <c r="M62" s="135">
        <v>0</v>
      </c>
      <c r="N62" s="135">
        <v>0</v>
      </c>
      <c r="O62" s="135">
        <v>0</v>
      </c>
      <c r="P62" s="135">
        <v>8.5540000000000003</v>
      </c>
      <c r="Q62" s="135">
        <v>38.374000000000002</v>
      </c>
      <c r="R62" s="135">
        <v>0.17199999999999999</v>
      </c>
      <c r="S62" s="135">
        <v>4.3979999999999997</v>
      </c>
      <c r="T62" s="135">
        <v>26.626999999999999</v>
      </c>
      <c r="U62" s="135">
        <v>0.11700000000000001</v>
      </c>
      <c r="V62" s="135">
        <v>0.11700000000000001</v>
      </c>
      <c r="W62" s="135">
        <v>0</v>
      </c>
      <c r="X62" s="135">
        <v>0</v>
      </c>
      <c r="Y62" s="135" t="s">
        <v>1995</v>
      </c>
      <c r="Z62" s="135">
        <v>10.1</v>
      </c>
      <c r="AA62" s="135">
        <v>4400</v>
      </c>
      <c r="AB62" s="135">
        <v>436.4</v>
      </c>
      <c r="AC62" s="135">
        <v>2.29</v>
      </c>
      <c r="AD62" s="135">
        <v>12.4</v>
      </c>
      <c r="AE62" s="135">
        <v>8050</v>
      </c>
      <c r="AF62" s="135">
        <v>649.29999999999995</v>
      </c>
      <c r="AG62" s="135">
        <v>1.54</v>
      </c>
      <c r="AH62" s="135">
        <v>12.9</v>
      </c>
      <c r="AI62" s="135">
        <v>4000</v>
      </c>
      <c r="AJ62" s="135">
        <v>310</v>
      </c>
      <c r="AK62" s="135">
        <v>3.23</v>
      </c>
      <c r="AL62" s="135">
        <v>10.199999999999999</v>
      </c>
      <c r="AM62" s="135">
        <v>5400</v>
      </c>
      <c r="AN62" s="135">
        <v>529.5</v>
      </c>
      <c r="AO62" s="135">
        <v>1.89</v>
      </c>
      <c r="AP62" s="135"/>
      <c r="AQ62" s="135"/>
      <c r="AR62" s="135"/>
      <c r="AS62" s="135"/>
      <c r="AT62" s="135"/>
      <c r="AU62" s="135"/>
      <c r="AV62" s="135"/>
      <c r="AW62" s="135"/>
      <c r="AX62" s="135">
        <v>10.199999999999999</v>
      </c>
      <c r="AY62" s="135">
        <v>15</v>
      </c>
      <c r="AZ62" s="135">
        <v>1.5</v>
      </c>
      <c r="BA62" s="135">
        <v>0.68</v>
      </c>
      <c r="BB62" s="135"/>
      <c r="BC62" s="135"/>
      <c r="BD62" s="135"/>
      <c r="BE62" s="135"/>
      <c r="BF62" s="135">
        <v>12.9</v>
      </c>
      <c r="BG62" s="135">
        <v>7800</v>
      </c>
      <c r="BH62" s="135">
        <v>604.4</v>
      </c>
      <c r="BI62" s="135">
        <v>1.65</v>
      </c>
      <c r="BJ62" s="135">
        <v>45.5</v>
      </c>
      <c r="BK62" s="135">
        <v>8</v>
      </c>
      <c r="BL62" s="135">
        <v>18.75</v>
      </c>
    </row>
    <row r="63" spans="1:64" x14ac:dyDescent="0.3">
      <c r="A63" s="135">
        <v>2016</v>
      </c>
      <c r="B63" s="135">
        <v>4</v>
      </c>
      <c r="C63" s="135" t="s">
        <v>2035</v>
      </c>
      <c r="D63" s="135" t="s">
        <v>99</v>
      </c>
      <c r="E63" s="135" t="s">
        <v>394</v>
      </c>
      <c r="F63" s="135" t="s">
        <v>32</v>
      </c>
      <c r="G63" s="135" t="s">
        <v>4</v>
      </c>
      <c r="H63" s="135">
        <v>16.09</v>
      </c>
      <c r="I63" s="135">
        <v>7.3250000000000002</v>
      </c>
      <c r="J63" s="135">
        <v>11.186</v>
      </c>
      <c r="K63" s="135">
        <v>0</v>
      </c>
      <c r="L63" s="135">
        <v>0</v>
      </c>
      <c r="M63" s="135">
        <v>0</v>
      </c>
      <c r="N63" s="135">
        <v>0</v>
      </c>
      <c r="O63" s="135">
        <v>0</v>
      </c>
      <c r="P63" s="135">
        <v>10.266999999999999</v>
      </c>
      <c r="Q63" s="135">
        <v>37.871000000000002</v>
      </c>
      <c r="R63" s="135">
        <v>0.223</v>
      </c>
      <c r="S63" s="135">
        <v>3.8610000000000002</v>
      </c>
      <c r="T63" s="135">
        <v>18.356999999999999</v>
      </c>
      <c r="U63" s="135">
        <v>9.1999999999999998E-2</v>
      </c>
      <c r="V63" s="135">
        <v>9.4E-2</v>
      </c>
      <c r="W63" s="135">
        <v>0</v>
      </c>
      <c r="X63" s="135">
        <v>0</v>
      </c>
      <c r="Y63" s="135" t="s">
        <v>1995</v>
      </c>
      <c r="Z63" s="135">
        <v>9.1999999999999993</v>
      </c>
      <c r="AA63" s="135">
        <v>4300</v>
      </c>
      <c r="AB63" s="135">
        <v>469.4</v>
      </c>
      <c r="AC63" s="135">
        <v>2.13</v>
      </c>
      <c r="AD63" s="135">
        <v>11.2</v>
      </c>
      <c r="AE63" s="135">
        <v>7000</v>
      </c>
      <c r="AF63" s="135">
        <v>625.79999999999995</v>
      </c>
      <c r="AG63" s="135">
        <v>1.6</v>
      </c>
      <c r="AH63" s="135">
        <v>11.6</v>
      </c>
      <c r="AI63" s="135">
        <v>3800</v>
      </c>
      <c r="AJ63" s="135">
        <v>327.10000000000002</v>
      </c>
      <c r="AK63" s="135">
        <v>3.06</v>
      </c>
      <c r="AL63" s="135">
        <v>9.3000000000000007</v>
      </c>
      <c r="AM63" s="135">
        <v>5800</v>
      </c>
      <c r="AN63" s="135">
        <v>626.70000000000005</v>
      </c>
      <c r="AO63" s="135">
        <v>1.6</v>
      </c>
      <c r="AP63" s="135"/>
      <c r="AQ63" s="135"/>
      <c r="AR63" s="135"/>
      <c r="AS63" s="135"/>
      <c r="AT63" s="135"/>
      <c r="AU63" s="135"/>
      <c r="AV63" s="135"/>
      <c r="AW63" s="135"/>
      <c r="AX63" s="135">
        <v>9.3000000000000007</v>
      </c>
      <c r="AY63" s="135">
        <v>14</v>
      </c>
      <c r="AZ63" s="135">
        <v>1.5</v>
      </c>
      <c r="BA63" s="135">
        <v>0.66</v>
      </c>
      <c r="BB63" s="135"/>
      <c r="BC63" s="135"/>
      <c r="BD63" s="135"/>
      <c r="BE63" s="135"/>
      <c r="BF63" s="135">
        <v>11.6</v>
      </c>
      <c r="BG63" s="135">
        <v>7400</v>
      </c>
      <c r="BH63" s="135">
        <v>637</v>
      </c>
      <c r="BI63" s="135">
        <v>1.57</v>
      </c>
      <c r="BJ63" s="135">
        <v>46.5</v>
      </c>
      <c r="BK63" s="135">
        <v>-3.5</v>
      </c>
      <c r="BL63" s="135">
        <v>25</v>
      </c>
    </row>
    <row r="64" spans="1:64" x14ac:dyDescent="0.3">
      <c r="A64" s="135">
        <v>2016</v>
      </c>
      <c r="B64" s="135">
        <v>4</v>
      </c>
      <c r="C64" s="135" t="s">
        <v>2554</v>
      </c>
      <c r="D64" s="135" t="s">
        <v>123</v>
      </c>
      <c r="E64" s="135" t="s">
        <v>394</v>
      </c>
      <c r="F64" s="135" t="s">
        <v>12</v>
      </c>
      <c r="G64" s="135" t="s">
        <v>16</v>
      </c>
      <c r="H64" s="135">
        <v>26.09</v>
      </c>
      <c r="I64" s="135">
        <v>7.2359999999999998</v>
      </c>
      <c r="J64" s="135">
        <v>8.3249999999999993</v>
      </c>
      <c r="K64" s="135">
        <v>0</v>
      </c>
      <c r="L64" s="135">
        <v>0</v>
      </c>
      <c r="M64" s="135">
        <v>0</v>
      </c>
      <c r="N64" s="135">
        <v>0</v>
      </c>
      <c r="O64" s="135">
        <v>0</v>
      </c>
      <c r="P64" s="135">
        <v>11.419</v>
      </c>
      <c r="Q64" s="135">
        <v>44.064999999999998</v>
      </c>
      <c r="R64" s="135">
        <v>0.36299999999999999</v>
      </c>
      <c r="S64" s="135">
        <v>1.089</v>
      </c>
      <c r="T64" s="135">
        <v>7.2720000000000002</v>
      </c>
      <c r="U64" s="135">
        <v>1.9E-2</v>
      </c>
      <c r="V64" s="135">
        <v>9.5000000000000001E-2</v>
      </c>
      <c r="W64" s="135">
        <v>0</v>
      </c>
      <c r="X64" s="135">
        <v>0</v>
      </c>
      <c r="Y64" s="135" t="s">
        <v>1995</v>
      </c>
      <c r="Z64" s="135">
        <v>7.7</v>
      </c>
      <c r="AA64" s="135">
        <v>4600</v>
      </c>
      <c r="AB64" s="135">
        <v>598.6</v>
      </c>
      <c r="AC64" s="135">
        <v>1.67</v>
      </c>
      <c r="AD64" s="135">
        <v>8.3000000000000007</v>
      </c>
      <c r="AE64" s="135">
        <v>6000</v>
      </c>
      <c r="AF64" s="135">
        <v>720.7</v>
      </c>
      <c r="AG64" s="135">
        <v>1.39</v>
      </c>
      <c r="AH64" s="135">
        <v>8.6999999999999993</v>
      </c>
      <c r="AI64" s="135">
        <v>3700</v>
      </c>
      <c r="AJ64" s="135">
        <v>423.9</v>
      </c>
      <c r="AK64" s="135">
        <v>2.36</v>
      </c>
      <c r="AL64" s="135">
        <v>7.8</v>
      </c>
      <c r="AM64" s="135">
        <v>5700</v>
      </c>
      <c r="AN64" s="135">
        <v>732.6</v>
      </c>
      <c r="AO64" s="135">
        <v>1.36</v>
      </c>
      <c r="AP64" s="135"/>
      <c r="AQ64" s="135"/>
      <c r="AR64" s="135"/>
      <c r="AS64" s="135"/>
      <c r="AT64" s="135"/>
      <c r="AU64" s="135"/>
      <c r="AV64" s="135"/>
      <c r="AW64" s="135"/>
      <c r="AX64" s="135">
        <v>7.8</v>
      </c>
      <c r="AY64" s="135">
        <v>16</v>
      </c>
      <c r="AZ64" s="135">
        <v>2.1</v>
      </c>
      <c r="BA64" s="135">
        <v>0.49</v>
      </c>
      <c r="BB64" s="135"/>
      <c r="BC64" s="135"/>
      <c r="BD64" s="135"/>
      <c r="BE64" s="135"/>
      <c r="BF64" s="135">
        <v>8.6999999999999993</v>
      </c>
      <c r="BG64" s="135">
        <v>7400</v>
      </c>
      <c r="BH64" s="135">
        <v>847.9</v>
      </c>
      <c r="BI64" s="135">
        <v>1.18</v>
      </c>
      <c r="BJ64" s="135">
        <v>49.5</v>
      </c>
      <c r="BK64" s="135">
        <v>2.5</v>
      </c>
      <c r="BL64" s="135">
        <v>23.5</v>
      </c>
    </row>
    <row r="65" spans="1:64" x14ac:dyDescent="0.3">
      <c r="A65" s="135">
        <v>2016</v>
      </c>
      <c r="B65" s="135">
        <v>4</v>
      </c>
      <c r="C65" s="135" t="s">
        <v>2037</v>
      </c>
      <c r="D65" s="135" t="s">
        <v>161</v>
      </c>
      <c r="E65" s="135" t="s">
        <v>394</v>
      </c>
      <c r="F65" s="135" t="s">
        <v>41</v>
      </c>
      <c r="G65" s="135" t="s">
        <v>37</v>
      </c>
      <c r="H65" s="135">
        <v>8.24</v>
      </c>
      <c r="I65" s="135">
        <v>7.109</v>
      </c>
      <c r="J65" s="135">
        <v>9.8079999999999998</v>
      </c>
      <c r="K65" s="135">
        <v>0</v>
      </c>
      <c r="L65" s="135">
        <v>0</v>
      </c>
      <c r="M65" s="135">
        <v>0</v>
      </c>
      <c r="N65" s="135">
        <v>0</v>
      </c>
      <c r="O65" s="135">
        <v>0</v>
      </c>
      <c r="P65" s="135">
        <v>8.0060000000000002</v>
      </c>
      <c r="Q65" s="135">
        <v>24.167000000000002</v>
      </c>
      <c r="R65" s="135">
        <v>0.40500000000000003</v>
      </c>
      <c r="S65" s="135">
        <v>2.6989999999999998</v>
      </c>
      <c r="T65" s="135">
        <v>20.486000000000001</v>
      </c>
      <c r="U65" s="135">
        <v>6.7000000000000004E-2</v>
      </c>
      <c r="V65" s="135">
        <v>9.4E-2</v>
      </c>
      <c r="W65" s="135">
        <v>0</v>
      </c>
      <c r="X65" s="135">
        <v>0</v>
      </c>
      <c r="Y65" s="135" t="s">
        <v>1995</v>
      </c>
      <c r="Z65" s="135">
        <v>8.4</v>
      </c>
      <c r="AA65" s="135">
        <v>4000</v>
      </c>
      <c r="AB65" s="135">
        <v>478.2</v>
      </c>
      <c r="AC65" s="135">
        <v>2.09</v>
      </c>
      <c r="AD65" s="135">
        <v>9.8000000000000007</v>
      </c>
      <c r="AE65" s="135">
        <v>6000</v>
      </c>
      <c r="AF65" s="135">
        <v>611.70000000000005</v>
      </c>
      <c r="AG65" s="135">
        <v>1.63</v>
      </c>
      <c r="AH65" s="135">
        <v>10.199999999999999</v>
      </c>
      <c r="AI65" s="135">
        <v>3300</v>
      </c>
      <c r="AJ65" s="135">
        <v>324.5</v>
      </c>
      <c r="AK65" s="135">
        <v>3.08</v>
      </c>
      <c r="AL65" s="135">
        <v>8.5</v>
      </c>
      <c r="AM65" s="135">
        <v>5700</v>
      </c>
      <c r="AN65" s="135">
        <v>673.9</v>
      </c>
      <c r="AO65" s="135">
        <v>1.48</v>
      </c>
      <c r="AP65" s="135"/>
      <c r="AQ65" s="135"/>
      <c r="AR65" s="135"/>
      <c r="AS65" s="135"/>
      <c r="AT65" s="135"/>
      <c r="AU65" s="135"/>
      <c r="AV65" s="135"/>
      <c r="AW65" s="135"/>
      <c r="AX65" s="135">
        <v>8.5</v>
      </c>
      <c r="AY65" s="135">
        <v>10</v>
      </c>
      <c r="AZ65" s="135">
        <v>1.2</v>
      </c>
      <c r="BA65" s="135">
        <v>0.85</v>
      </c>
      <c r="BB65" s="135"/>
      <c r="BC65" s="135"/>
      <c r="BD65" s="135"/>
      <c r="BE65" s="135"/>
      <c r="BF65" s="135">
        <v>10.199999999999999</v>
      </c>
      <c r="BG65" s="135">
        <v>6400</v>
      </c>
      <c r="BH65" s="135">
        <v>629.29999999999995</v>
      </c>
      <c r="BI65" s="135">
        <v>1.59</v>
      </c>
      <c r="BJ65" s="135">
        <v>43.5</v>
      </c>
      <c r="BK65" s="135">
        <v>-4</v>
      </c>
      <c r="BL65" s="135">
        <v>23.75</v>
      </c>
    </row>
    <row r="66" spans="1:64" x14ac:dyDescent="0.3">
      <c r="A66" s="135">
        <v>2016</v>
      </c>
      <c r="B66" s="135">
        <v>4</v>
      </c>
      <c r="C66" s="135" t="s">
        <v>2048</v>
      </c>
      <c r="D66" s="135" t="s">
        <v>162</v>
      </c>
      <c r="E66" s="135" t="s">
        <v>394</v>
      </c>
      <c r="F66" s="135" t="s">
        <v>22</v>
      </c>
      <c r="G66" s="135" t="s">
        <v>2296</v>
      </c>
      <c r="H66" s="135">
        <v>24.7</v>
      </c>
      <c r="I66" s="135">
        <v>6.1970000000000001</v>
      </c>
      <c r="J66" s="135">
        <v>9.5579999999999998</v>
      </c>
      <c r="K66" s="135">
        <v>0</v>
      </c>
      <c r="L66" s="135">
        <v>0</v>
      </c>
      <c r="M66" s="135">
        <v>0</v>
      </c>
      <c r="N66" s="135">
        <v>0</v>
      </c>
      <c r="O66" s="135">
        <v>0</v>
      </c>
      <c r="P66" s="135">
        <v>5.6150000000000002</v>
      </c>
      <c r="Q66" s="135">
        <v>28.741</v>
      </c>
      <c r="R66" s="135">
        <v>7.0000000000000007E-2</v>
      </c>
      <c r="S66" s="135">
        <v>3.3610000000000002</v>
      </c>
      <c r="T66" s="135">
        <v>23.513000000000002</v>
      </c>
      <c r="U66" s="135">
        <v>0.11600000000000001</v>
      </c>
      <c r="V66" s="135">
        <v>7.1999999999999995E-2</v>
      </c>
      <c r="W66" s="135">
        <v>0</v>
      </c>
      <c r="X66" s="135">
        <v>0</v>
      </c>
      <c r="Y66" s="135" t="s">
        <v>1995</v>
      </c>
      <c r="Z66" s="135">
        <v>7.8</v>
      </c>
      <c r="AA66" s="135">
        <v>4200</v>
      </c>
      <c r="AB66" s="135">
        <v>538.1</v>
      </c>
      <c r="AC66" s="135">
        <v>1.86</v>
      </c>
      <c r="AD66" s="135">
        <v>9.6</v>
      </c>
      <c r="AE66" s="135">
        <v>6000</v>
      </c>
      <c r="AF66" s="135">
        <v>627.70000000000005</v>
      </c>
      <c r="AG66" s="135">
        <v>1.59</v>
      </c>
      <c r="AH66" s="135">
        <v>9.9</v>
      </c>
      <c r="AI66" s="135">
        <v>3900</v>
      </c>
      <c r="AJ66" s="135">
        <v>392.2</v>
      </c>
      <c r="AK66" s="135">
        <v>2.5499999999999998</v>
      </c>
      <c r="AL66" s="135">
        <v>7.9</v>
      </c>
      <c r="AM66" s="135">
        <v>5800</v>
      </c>
      <c r="AN66" s="135">
        <v>736.2</v>
      </c>
      <c r="AO66" s="135">
        <v>1.36</v>
      </c>
      <c r="AP66" s="135"/>
      <c r="AQ66" s="135"/>
      <c r="AR66" s="135"/>
      <c r="AS66" s="135"/>
      <c r="AT66" s="135"/>
      <c r="AU66" s="135"/>
      <c r="AV66" s="135"/>
      <c r="AW66" s="135"/>
      <c r="AX66" s="135">
        <v>7.9</v>
      </c>
      <c r="AY66" s="135">
        <v>18</v>
      </c>
      <c r="AZ66" s="135">
        <v>2.2999999999999998</v>
      </c>
      <c r="BA66" s="135">
        <v>0.44</v>
      </c>
      <c r="BB66" s="135"/>
      <c r="BC66" s="135"/>
      <c r="BD66" s="135"/>
      <c r="BE66" s="135"/>
      <c r="BF66" s="135">
        <v>9.9</v>
      </c>
      <c r="BG66" s="135">
        <v>7700</v>
      </c>
      <c r="BH66" s="135">
        <v>774.3</v>
      </c>
      <c r="BI66" s="135">
        <v>1.29</v>
      </c>
      <c r="BJ66" s="135">
        <v>50</v>
      </c>
      <c r="BK66" s="135">
        <v>-3</v>
      </c>
      <c r="BL66" s="135">
        <v>26.5</v>
      </c>
    </row>
    <row r="67" spans="1:64" x14ac:dyDescent="0.3">
      <c r="A67" s="135">
        <v>2016</v>
      </c>
      <c r="B67" s="135">
        <v>4</v>
      </c>
      <c r="C67" s="135" t="s">
        <v>2026</v>
      </c>
      <c r="D67" s="135" t="s">
        <v>94</v>
      </c>
      <c r="E67" s="135" t="s">
        <v>394</v>
      </c>
      <c r="F67" s="135" t="s">
        <v>37</v>
      </c>
      <c r="G67" s="135" t="s">
        <v>2304</v>
      </c>
      <c r="H67" s="135">
        <v>17.190000000000001</v>
      </c>
      <c r="I67" s="135">
        <v>6.093</v>
      </c>
      <c r="J67" s="135">
        <v>7.1289999999999996</v>
      </c>
      <c r="K67" s="135">
        <v>0</v>
      </c>
      <c r="L67" s="135">
        <v>0</v>
      </c>
      <c r="M67" s="135">
        <v>0</v>
      </c>
      <c r="N67" s="135">
        <v>0</v>
      </c>
      <c r="O67" s="135">
        <v>0</v>
      </c>
      <c r="P67" s="135">
        <v>10.471</v>
      </c>
      <c r="Q67" s="135">
        <v>42.807000000000002</v>
      </c>
      <c r="R67" s="135">
        <v>0.18099999999999999</v>
      </c>
      <c r="S67" s="135">
        <v>1.036</v>
      </c>
      <c r="T67" s="135">
        <v>7.806</v>
      </c>
      <c r="U67" s="135">
        <v>3.3000000000000002E-2</v>
      </c>
      <c r="V67" s="135">
        <v>0.126</v>
      </c>
      <c r="W67" s="135">
        <v>0</v>
      </c>
      <c r="X67" s="135">
        <v>0</v>
      </c>
      <c r="Y67" s="135" t="s">
        <v>1995</v>
      </c>
      <c r="Z67" s="135">
        <v>6.5</v>
      </c>
      <c r="AA67" s="135">
        <v>4500</v>
      </c>
      <c r="AB67" s="135">
        <v>693.9</v>
      </c>
      <c r="AC67" s="135">
        <v>1.44</v>
      </c>
      <c r="AD67" s="135">
        <v>7.1</v>
      </c>
      <c r="AE67" s="135">
        <v>7800</v>
      </c>
      <c r="AF67" s="135">
        <v>1094.0999999999999</v>
      </c>
      <c r="AG67" s="135">
        <v>0.91</v>
      </c>
      <c r="AH67" s="135">
        <v>7.6</v>
      </c>
      <c r="AI67" s="135">
        <v>4700</v>
      </c>
      <c r="AJ67" s="135">
        <v>621.79999999999995</v>
      </c>
      <c r="AK67" s="135">
        <v>1.61</v>
      </c>
      <c r="AL67" s="135">
        <v>6.6</v>
      </c>
      <c r="AM67" s="135">
        <v>5900</v>
      </c>
      <c r="AN67" s="135">
        <v>892.4</v>
      </c>
      <c r="AO67" s="135">
        <v>1.1200000000000001</v>
      </c>
      <c r="AP67" s="135"/>
      <c r="AQ67" s="135"/>
      <c r="AR67" s="135"/>
      <c r="AS67" s="135"/>
      <c r="AT67" s="135"/>
      <c r="AU67" s="135"/>
      <c r="AV67" s="135"/>
      <c r="AW67" s="135"/>
      <c r="AX67" s="135">
        <v>6.6</v>
      </c>
      <c r="AY67" s="135">
        <v>17</v>
      </c>
      <c r="AZ67" s="135">
        <v>2.6</v>
      </c>
      <c r="BA67" s="135">
        <v>0.39</v>
      </c>
      <c r="BB67" s="135"/>
      <c r="BC67" s="135"/>
      <c r="BD67" s="135"/>
      <c r="BE67" s="135"/>
      <c r="BF67" s="135">
        <v>7.6</v>
      </c>
      <c r="BG67" s="135">
        <v>9200</v>
      </c>
      <c r="BH67" s="135">
        <v>1217.0999999999999</v>
      </c>
      <c r="BI67" s="135">
        <v>0.82</v>
      </c>
      <c r="BJ67" s="135">
        <v>43.5</v>
      </c>
      <c r="BK67" s="135">
        <v>4</v>
      </c>
      <c r="BL67" s="135">
        <v>19.75</v>
      </c>
    </row>
    <row r="68" spans="1:64" x14ac:dyDescent="0.3">
      <c r="A68" s="135">
        <v>2016</v>
      </c>
      <c r="B68" s="135">
        <v>4</v>
      </c>
      <c r="C68" s="135" t="s">
        <v>2045</v>
      </c>
      <c r="D68" s="135" t="s">
        <v>137</v>
      </c>
      <c r="E68" s="135" t="s">
        <v>394</v>
      </c>
      <c r="F68" s="135" t="s">
        <v>402</v>
      </c>
      <c r="G68" s="135" t="s">
        <v>10</v>
      </c>
      <c r="H68" s="135">
        <v>23.35</v>
      </c>
      <c r="I68" s="135">
        <v>5.548</v>
      </c>
      <c r="J68" s="135">
        <v>8.7210000000000001</v>
      </c>
      <c r="K68" s="135">
        <v>0</v>
      </c>
      <c r="L68" s="135">
        <v>0</v>
      </c>
      <c r="M68" s="135">
        <v>0</v>
      </c>
      <c r="N68" s="135">
        <v>0</v>
      </c>
      <c r="O68" s="135">
        <v>0</v>
      </c>
      <c r="P68" s="135">
        <v>4.4240000000000004</v>
      </c>
      <c r="Q68" s="135">
        <v>12.372</v>
      </c>
      <c r="R68" s="135">
        <v>0.06</v>
      </c>
      <c r="S68" s="135">
        <v>3.173</v>
      </c>
      <c r="T68" s="135">
        <v>29.667999999999999</v>
      </c>
      <c r="U68" s="135">
        <v>0.187</v>
      </c>
      <c r="V68" s="135">
        <v>6.9000000000000006E-2</v>
      </c>
      <c r="W68" s="135">
        <v>0</v>
      </c>
      <c r="X68" s="135">
        <v>0</v>
      </c>
      <c r="Y68" s="135" t="s">
        <v>1995</v>
      </c>
      <c r="Z68" s="135">
        <v>7.1</v>
      </c>
      <c r="AA68" s="135">
        <v>3900</v>
      </c>
      <c r="AB68" s="135">
        <v>552</v>
      </c>
      <c r="AC68" s="135">
        <v>1.81</v>
      </c>
      <c r="AD68" s="135">
        <v>8.6999999999999993</v>
      </c>
      <c r="AE68" s="135">
        <v>6800</v>
      </c>
      <c r="AF68" s="135">
        <v>779.7</v>
      </c>
      <c r="AG68" s="135">
        <v>1.28</v>
      </c>
      <c r="AH68" s="135">
        <v>9</v>
      </c>
      <c r="AI68" s="135">
        <v>3600</v>
      </c>
      <c r="AJ68" s="135">
        <v>398.1</v>
      </c>
      <c r="AK68" s="135">
        <v>2.5099999999999998</v>
      </c>
      <c r="AL68" s="135">
        <v>7.1</v>
      </c>
      <c r="AM68" s="135">
        <v>5300</v>
      </c>
      <c r="AN68" s="135">
        <v>742.9</v>
      </c>
      <c r="AO68" s="135">
        <v>1.35</v>
      </c>
      <c r="AP68" s="135"/>
      <c r="AQ68" s="135"/>
      <c r="AR68" s="135"/>
      <c r="AS68" s="135"/>
      <c r="AT68" s="135"/>
      <c r="AU68" s="135"/>
      <c r="AV68" s="135"/>
      <c r="AW68" s="135"/>
      <c r="AX68" s="135">
        <v>7.1</v>
      </c>
      <c r="AY68" s="135">
        <v>15</v>
      </c>
      <c r="AZ68" s="135">
        <v>2.1</v>
      </c>
      <c r="BA68" s="135">
        <v>0.48</v>
      </c>
      <c r="BB68" s="135"/>
      <c r="BC68" s="135"/>
      <c r="BD68" s="135"/>
      <c r="BE68" s="135"/>
      <c r="BF68" s="135">
        <v>9</v>
      </c>
      <c r="BG68" s="135">
        <v>7000</v>
      </c>
      <c r="BH68" s="135">
        <v>774.1</v>
      </c>
      <c r="BI68" s="135">
        <v>1.29</v>
      </c>
      <c r="BJ68" s="135">
        <v>44</v>
      </c>
      <c r="BK68" s="135">
        <v>-4.5</v>
      </c>
      <c r="BL68" s="135">
        <v>24.25</v>
      </c>
    </row>
    <row r="69" spans="1:64" x14ac:dyDescent="0.3">
      <c r="A69" s="135">
        <v>2016</v>
      </c>
      <c r="B69" s="135">
        <v>4</v>
      </c>
      <c r="C69" s="135" t="s">
        <v>2041</v>
      </c>
      <c r="D69" s="135" t="s">
        <v>516</v>
      </c>
      <c r="E69" s="135" t="s">
        <v>394</v>
      </c>
      <c r="F69" s="135" t="s">
        <v>57</v>
      </c>
      <c r="G69" s="135" t="s">
        <v>1999</v>
      </c>
      <c r="H69" s="135">
        <v>12.92</v>
      </c>
      <c r="I69" s="135">
        <v>5.4530000000000003</v>
      </c>
      <c r="J69" s="135">
        <v>7.1740000000000004</v>
      </c>
      <c r="K69" s="135">
        <v>0</v>
      </c>
      <c r="L69" s="135">
        <v>0</v>
      </c>
      <c r="M69" s="135">
        <v>0</v>
      </c>
      <c r="N69" s="135">
        <v>0</v>
      </c>
      <c r="O69" s="135">
        <v>0</v>
      </c>
      <c r="P69" s="135">
        <v>8.3580000000000005</v>
      </c>
      <c r="Q69" s="135">
        <v>31.125</v>
      </c>
      <c r="R69" s="135">
        <v>0.157</v>
      </c>
      <c r="S69" s="135">
        <v>1.7210000000000001</v>
      </c>
      <c r="T69" s="135">
        <v>13.407</v>
      </c>
      <c r="U69" s="135">
        <v>4.3999999999999997E-2</v>
      </c>
      <c r="V69" s="135">
        <v>0.10299999999999999</v>
      </c>
      <c r="W69" s="135">
        <v>0</v>
      </c>
      <c r="X69" s="135">
        <v>0</v>
      </c>
      <c r="Y69" s="135" t="s">
        <v>1995</v>
      </c>
      <c r="Z69" s="135">
        <v>6.2</v>
      </c>
      <c r="AA69" s="135">
        <v>4350</v>
      </c>
      <c r="AB69" s="135">
        <v>700.4</v>
      </c>
      <c r="AC69" s="135">
        <v>1.43</v>
      </c>
      <c r="AD69" s="135">
        <v>7.2</v>
      </c>
      <c r="AE69" s="135">
        <v>6000</v>
      </c>
      <c r="AF69" s="135">
        <v>836.3</v>
      </c>
      <c r="AG69" s="135">
        <v>1.2</v>
      </c>
      <c r="AH69" s="135">
        <v>7.5</v>
      </c>
      <c r="AI69" s="135">
        <v>3600</v>
      </c>
      <c r="AJ69" s="135">
        <v>477.2</v>
      </c>
      <c r="AK69" s="135">
        <v>2.1</v>
      </c>
      <c r="AL69" s="135">
        <v>6.3</v>
      </c>
      <c r="AM69" s="135">
        <v>5400</v>
      </c>
      <c r="AN69" s="135">
        <v>855.3</v>
      </c>
      <c r="AO69" s="135">
        <v>1.17</v>
      </c>
      <c r="AP69" s="135"/>
      <c r="AQ69" s="135"/>
      <c r="AR69" s="135"/>
      <c r="AS69" s="135"/>
      <c r="AT69" s="135"/>
      <c r="AU69" s="135"/>
      <c r="AV69" s="135"/>
      <c r="AW69" s="135"/>
      <c r="AX69" s="135">
        <v>6.3</v>
      </c>
      <c r="AY69" s="135">
        <v>12</v>
      </c>
      <c r="AZ69" s="135">
        <v>1.9</v>
      </c>
      <c r="BA69" s="135">
        <v>0.53</v>
      </c>
      <c r="BB69" s="135"/>
      <c r="BC69" s="135"/>
      <c r="BD69" s="135"/>
      <c r="BE69" s="135"/>
      <c r="BF69" s="135">
        <v>7.5</v>
      </c>
      <c r="BG69" s="135">
        <v>7100</v>
      </c>
      <c r="BH69" s="135">
        <v>941.1</v>
      </c>
      <c r="BI69" s="135">
        <v>1.06</v>
      </c>
      <c r="BJ69" s="135">
        <v>44.5</v>
      </c>
      <c r="BK69" s="135">
        <v>7</v>
      </c>
      <c r="BL69" s="135">
        <v>18.75</v>
      </c>
    </row>
    <row r="70" spans="1:64" x14ac:dyDescent="0.3">
      <c r="A70" s="135">
        <v>2016</v>
      </c>
      <c r="B70" s="135">
        <v>4</v>
      </c>
      <c r="C70" s="135" t="s">
        <v>2042</v>
      </c>
      <c r="D70" s="135" t="s">
        <v>141</v>
      </c>
      <c r="E70" s="135" t="s">
        <v>394</v>
      </c>
      <c r="F70" s="135" t="s">
        <v>18</v>
      </c>
      <c r="G70" s="135" t="s">
        <v>14</v>
      </c>
      <c r="H70" s="135">
        <v>18.82</v>
      </c>
      <c r="I70" s="135">
        <v>5.2850000000000001</v>
      </c>
      <c r="J70" s="135">
        <v>7.5940000000000003</v>
      </c>
      <c r="K70" s="135">
        <v>0</v>
      </c>
      <c r="L70" s="135">
        <v>0</v>
      </c>
      <c r="M70" s="135">
        <v>0</v>
      </c>
      <c r="N70" s="135">
        <v>0</v>
      </c>
      <c r="O70" s="135">
        <v>0</v>
      </c>
      <c r="P70" s="135">
        <v>2.976</v>
      </c>
      <c r="Q70" s="135">
        <v>17.838999999999999</v>
      </c>
      <c r="R70" s="135">
        <v>0.187</v>
      </c>
      <c r="S70" s="135">
        <v>2.3090000000000002</v>
      </c>
      <c r="T70" s="135">
        <v>18.792999999999999</v>
      </c>
      <c r="U70" s="135">
        <v>9.7000000000000003E-2</v>
      </c>
      <c r="V70" s="135">
        <v>4.1000000000000002E-2</v>
      </c>
      <c r="W70" s="135">
        <v>0</v>
      </c>
      <c r="X70" s="135">
        <v>0</v>
      </c>
      <c r="Y70" s="135" t="s">
        <v>1995</v>
      </c>
      <c r="Z70" s="135">
        <v>6.4</v>
      </c>
      <c r="AA70" s="135">
        <v>3900</v>
      </c>
      <c r="AB70" s="135">
        <v>609.5</v>
      </c>
      <c r="AC70" s="135">
        <v>1.64</v>
      </c>
      <c r="AD70" s="135">
        <v>7.6</v>
      </c>
      <c r="AE70" s="135">
        <v>6000</v>
      </c>
      <c r="AF70" s="135">
        <v>790.1</v>
      </c>
      <c r="AG70" s="135">
        <v>1.27</v>
      </c>
      <c r="AH70" s="135">
        <v>7.9</v>
      </c>
      <c r="AI70" s="135">
        <v>3400</v>
      </c>
      <c r="AJ70" s="135">
        <v>432.8</v>
      </c>
      <c r="AK70" s="135">
        <v>2.31</v>
      </c>
      <c r="AL70" s="135">
        <v>6.4</v>
      </c>
      <c r="AM70" s="135">
        <v>5200</v>
      </c>
      <c r="AN70" s="135">
        <v>807.5</v>
      </c>
      <c r="AO70" s="135">
        <v>1.24</v>
      </c>
      <c r="AP70" s="135"/>
      <c r="AQ70" s="135"/>
      <c r="AR70" s="135"/>
      <c r="AS70" s="135"/>
      <c r="AT70" s="135"/>
      <c r="AU70" s="135"/>
      <c r="AV70" s="135"/>
      <c r="AW70" s="135"/>
      <c r="AX70" s="135">
        <v>6.4</v>
      </c>
      <c r="AY70" s="135">
        <v>11</v>
      </c>
      <c r="AZ70" s="135">
        <v>1.7</v>
      </c>
      <c r="BA70" s="135">
        <v>0.59</v>
      </c>
      <c r="BB70" s="135"/>
      <c r="BC70" s="135"/>
      <c r="BD70" s="135"/>
      <c r="BE70" s="135"/>
      <c r="BF70" s="135">
        <v>7.9</v>
      </c>
      <c r="BG70" s="135">
        <v>6600</v>
      </c>
      <c r="BH70" s="135">
        <v>840.2</v>
      </c>
      <c r="BI70" s="135">
        <v>1.19</v>
      </c>
      <c r="BJ70" s="135">
        <v>45.5</v>
      </c>
      <c r="BK70" s="135">
        <v>-8</v>
      </c>
      <c r="BL70" s="135">
        <v>26.75</v>
      </c>
    </row>
    <row r="71" spans="1:64" x14ac:dyDescent="0.3">
      <c r="A71" s="135">
        <v>2016</v>
      </c>
      <c r="B71" s="135">
        <v>4</v>
      </c>
      <c r="C71" s="135" t="s">
        <v>2006</v>
      </c>
      <c r="D71" s="135" t="s">
        <v>88</v>
      </c>
      <c r="E71" s="135" t="s">
        <v>394</v>
      </c>
      <c r="F71" s="135" t="s">
        <v>20</v>
      </c>
      <c r="G71" s="135" t="s">
        <v>397</v>
      </c>
      <c r="H71" s="135">
        <v>19.64</v>
      </c>
      <c r="I71" s="135">
        <v>4.9160000000000004</v>
      </c>
      <c r="J71" s="135">
        <v>5.7850000000000001</v>
      </c>
      <c r="K71" s="135">
        <v>0</v>
      </c>
      <c r="L71" s="135">
        <v>0</v>
      </c>
      <c r="M71" s="135">
        <v>0</v>
      </c>
      <c r="N71" s="135">
        <v>0</v>
      </c>
      <c r="O71" s="135">
        <v>0</v>
      </c>
      <c r="P71" s="135">
        <v>7.2350000000000003</v>
      </c>
      <c r="Q71" s="135">
        <v>29.445</v>
      </c>
      <c r="R71" s="135">
        <v>0.16200000000000001</v>
      </c>
      <c r="S71" s="135">
        <v>0.86899999999999999</v>
      </c>
      <c r="T71" s="135">
        <v>9.0969999999999995</v>
      </c>
      <c r="U71" s="135">
        <v>3.6999999999999998E-2</v>
      </c>
      <c r="V71" s="135">
        <v>6.6000000000000003E-2</v>
      </c>
      <c r="W71" s="135">
        <v>0</v>
      </c>
      <c r="X71" s="135">
        <v>0</v>
      </c>
      <c r="Y71" s="135" t="s">
        <v>1995</v>
      </c>
      <c r="Z71" s="135">
        <v>5.3</v>
      </c>
      <c r="AA71" s="135">
        <v>4350</v>
      </c>
      <c r="AB71" s="135">
        <v>823.1</v>
      </c>
      <c r="AC71" s="135">
        <v>1.21</v>
      </c>
      <c r="AD71" s="135">
        <v>5.8</v>
      </c>
      <c r="AE71" s="135">
        <v>9400</v>
      </c>
      <c r="AF71" s="135">
        <v>1624.8</v>
      </c>
      <c r="AG71" s="135">
        <v>0.62</v>
      </c>
      <c r="AH71" s="135">
        <v>6.1</v>
      </c>
      <c r="AI71" s="135">
        <v>6200</v>
      </c>
      <c r="AJ71" s="135">
        <v>1019.3</v>
      </c>
      <c r="AK71" s="135">
        <v>0.98</v>
      </c>
      <c r="AL71" s="135">
        <v>5.4</v>
      </c>
      <c r="AM71" s="135">
        <v>5900</v>
      </c>
      <c r="AN71" s="135">
        <v>1102.7</v>
      </c>
      <c r="AO71" s="135">
        <v>0.91</v>
      </c>
      <c r="AP71" s="135"/>
      <c r="AQ71" s="135"/>
      <c r="AR71" s="135"/>
      <c r="AS71" s="135"/>
      <c r="AT71" s="135"/>
      <c r="AU71" s="135"/>
      <c r="AV71" s="135"/>
      <c r="AW71" s="135"/>
      <c r="AX71" s="135">
        <v>5.4</v>
      </c>
      <c r="AY71" s="135">
        <v>22</v>
      </c>
      <c r="AZ71" s="135">
        <v>4.0999999999999996</v>
      </c>
      <c r="BA71" s="135">
        <v>0.24</v>
      </c>
      <c r="BB71" s="135"/>
      <c r="BC71" s="135"/>
      <c r="BD71" s="135"/>
      <c r="BE71" s="135"/>
      <c r="BF71" s="135">
        <v>6.1</v>
      </c>
      <c r="BG71" s="135">
        <v>11700</v>
      </c>
      <c r="BH71" s="135">
        <v>1923.6</v>
      </c>
      <c r="BI71" s="135">
        <v>0.52</v>
      </c>
      <c r="BJ71" s="135">
        <v>47.5</v>
      </c>
      <c r="BK71" s="135">
        <v>-5.5</v>
      </c>
      <c r="BL71" s="135">
        <v>26.5</v>
      </c>
    </row>
    <row r="72" spans="1:64" x14ac:dyDescent="0.3">
      <c r="A72" s="135">
        <v>2016</v>
      </c>
      <c r="B72" s="135">
        <v>4</v>
      </c>
      <c r="C72" s="135" t="s">
        <v>2029</v>
      </c>
      <c r="D72" s="135" t="s">
        <v>139</v>
      </c>
      <c r="E72" s="135" t="s">
        <v>394</v>
      </c>
      <c r="F72" s="135" t="s">
        <v>57</v>
      </c>
      <c r="G72" s="135" t="s">
        <v>1999</v>
      </c>
      <c r="H72" s="135">
        <v>12.92</v>
      </c>
      <c r="I72" s="135">
        <v>4.7889999999999997</v>
      </c>
      <c r="J72" s="135">
        <v>6.2949999999999999</v>
      </c>
      <c r="K72" s="135">
        <v>0</v>
      </c>
      <c r="L72" s="135">
        <v>0</v>
      </c>
      <c r="M72" s="135">
        <v>0</v>
      </c>
      <c r="N72" s="135">
        <v>0</v>
      </c>
      <c r="O72" s="135">
        <v>0</v>
      </c>
      <c r="P72" s="135">
        <v>6.3250000000000002</v>
      </c>
      <c r="Q72" s="135">
        <v>23.58</v>
      </c>
      <c r="R72" s="135">
        <v>0.20899999999999999</v>
      </c>
      <c r="S72" s="135">
        <v>1.506</v>
      </c>
      <c r="T72" s="135">
        <v>10.725</v>
      </c>
      <c r="U72" s="135">
        <v>4.3999999999999997E-2</v>
      </c>
      <c r="V72" s="135">
        <v>0.08</v>
      </c>
      <c r="W72" s="135">
        <v>0</v>
      </c>
      <c r="X72" s="135">
        <v>0</v>
      </c>
      <c r="Y72" s="135" t="s">
        <v>1995</v>
      </c>
      <c r="Z72" s="135">
        <v>5.5</v>
      </c>
      <c r="AA72" s="135">
        <v>4250</v>
      </c>
      <c r="AB72" s="135">
        <v>778.2</v>
      </c>
      <c r="AC72" s="135">
        <v>1.29</v>
      </c>
      <c r="AD72" s="135">
        <v>6.3</v>
      </c>
      <c r="AE72" s="135">
        <v>6950</v>
      </c>
      <c r="AF72" s="135">
        <v>1104.0999999999999</v>
      </c>
      <c r="AG72" s="135">
        <v>0.91</v>
      </c>
      <c r="AH72" s="135">
        <v>6.6</v>
      </c>
      <c r="AI72" s="135">
        <v>4000</v>
      </c>
      <c r="AJ72" s="135">
        <v>607.9</v>
      </c>
      <c r="AK72" s="135">
        <v>1.65</v>
      </c>
      <c r="AL72" s="135">
        <v>5.5</v>
      </c>
      <c r="AM72" s="135">
        <v>5500</v>
      </c>
      <c r="AN72" s="135">
        <v>992.5</v>
      </c>
      <c r="AO72" s="135">
        <v>1.01</v>
      </c>
      <c r="AP72" s="135"/>
      <c r="AQ72" s="135"/>
      <c r="AR72" s="135"/>
      <c r="AS72" s="135"/>
      <c r="AT72" s="135"/>
      <c r="AU72" s="135"/>
      <c r="AV72" s="135"/>
      <c r="AW72" s="135"/>
      <c r="AX72" s="135">
        <v>5.5</v>
      </c>
      <c r="AY72" s="135">
        <v>14</v>
      </c>
      <c r="AZ72" s="135">
        <v>2.5</v>
      </c>
      <c r="BA72" s="135">
        <v>0.4</v>
      </c>
      <c r="BB72" s="135"/>
      <c r="BC72" s="135"/>
      <c r="BD72" s="135"/>
      <c r="BE72" s="135"/>
      <c r="BF72" s="135">
        <v>6.6</v>
      </c>
      <c r="BG72" s="135">
        <v>7800</v>
      </c>
      <c r="BH72" s="135">
        <v>1185.4000000000001</v>
      </c>
      <c r="BI72" s="135">
        <v>0.84</v>
      </c>
      <c r="BJ72" s="135">
        <v>44.5</v>
      </c>
      <c r="BK72" s="135">
        <v>7</v>
      </c>
      <c r="BL72" s="135">
        <v>18.75</v>
      </c>
    </row>
    <row r="73" spans="1:64" x14ac:dyDescent="0.3">
      <c r="A73" s="135">
        <v>2016</v>
      </c>
      <c r="B73" s="135">
        <v>4</v>
      </c>
      <c r="C73" s="135" t="s">
        <v>2071</v>
      </c>
      <c r="D73" s="135" t="s">
        <v>153</v>
      </c>
      <c r="E73" s="135" t="s">
        <v>394</v>
      </c>
      <c r="F73" s="135" t="s">
        <v>37</v>
      </c>
      <c r="G73" s="135" t="s">
        <v>2304</v>
      </c>
      <c r="H73" s="135">
        <v>17.190000000000001</v>
      </c>
      <c r="I73" s="135">
        <v>4.6159999999999997</v>
      </c>
      <c r="J73" s="135">
        <v>5.1920000000000002</v>
      </c>
      <c r="K73" s="135">
        <v>0</v>
      </c>
      <c r="L73" s="135">
        <v>0</v>
      </c>
      <c r="M73" s="135">
        <v>0</v>
      </c>
      <c r="N73" s="135">
        <v>0</v>
      </c>
      <c r="O73" s="135">
        <v>0</v>
      </c>
      <c r="P73" s="135">
        <v>8.1419999999999995</v>
      </c>
      <c r="Q73" s="135">
        <v>33.293999999999997</v>
      </c>
      <c r="R73" s="135">
        <v>0.16500000000000001</v>
      </c>
      <c r="S73" s="135">
        <v>0.57599999999999996</v>
      </c>
      <c r="T73" s="135">
        <v>3.903</v>
      </c>
      <c r="U73" s="135">
        <v>1.6E-2</v>
      </c>
      <c r="V73" s="135">
        <v>9.5000000000000001E-2</v>
      </c>
      <c r="W73" s="135">
        <v>0</v>
      </c>
      <c r="X73" s="135">
        <v>0</v>
      </c>
      <c r="Y73" s="135" t="s">
        <v>1995</v>
      </c>
      <c r="Z73" s="135">
        <v>4.8</v>
      </c>
      <c r="AA73" s="135">
        <v>3950</v>
      </c>
      <c r="AB73" s="135">
        <v>821.4</v>
      </c>
      <c r="AC73" s="135">
        <v>1.22</v>
      </c>
      <c r="AD73" s="135">
        <v>5.2</v>
      </c>
      <c r="AE73" s="135">
        <v>8150</v>
      </c>
      <c r="AF73" s="135">
        <v>1569.8</v>
      </c>
      <c r="AG73" s="135">
        <v>0.64</v>
      </c>
      <c r="AH73" s="135">
        <v>5.5</v>
      </c>
      <c r="AI73" s="135">
        <v>3000</v>
      </c>
      <c r="AJ73" s="135">
        <v>544.5</v>
      </c>
      <c r="AK73" s="135">
        <v>1.84</v>
      </c>
      <c r="AL73" s="135">
        <v>4.9000000000000004</v>
      </c>
      <c r="AM73" s="135">
        <v>4500</v>
      </c>
      <c r="AN73" s="135">
        <v>917.7</v>
      </c>
      <c r="AO73" s="135">
        <v>1.0900000000000001</v>
      </c>
      <c r="AP73" s="135"/>
      <c r="AQ73" s="135"/>
      <c r="AR73" s="135"/>
      <c r="AS73" s="135"/>
      <c r="AT73" s="135"/>
      <c r="AU73" s="135"/>
      <c r="AV73" s="135"/>
      <c r="AW73" s="135"/>
      <c r="AX73" s="135">
        <v>4.9000000000000004</v>
      </c>
      <c r="AY73" s="135">
        <v>10</v>
      </c>
      <c r="AZ73" s="135">
        <v>2</v>
      </c>
      <c r="BA73" s="135">
        <v>0.49</v>
      </c>
      <c r="BB73" s="135"/>
      <c r="BC73" s="135"/>
      <c r="BD73" s="135"/>
      <c r="BE73" s="135"/>
      <c r="BF73" s="135">
        <v>5.5</v>
      </c>
      <c r="BG73" s="135">
        <v>6000</v>
      </c>
      <c r="BH73" s="135">
        <v>1089</v>
      </c>
      <c r="BI73" s="135">
        <v>0.92</v>
      </c>
      <c r="BJ73" s="135">
        <v>43.5</v>
      </c>
      <c r="BK73" s="135">
        <v>4</v>
      </c>
      <c r="BL73" s="135">
        <v>19.75</v>
      </c>
    </row>
    <row r="74" spans="1:64" x14ac:dyDescent="0.3">
      <c r="A74" s="135">
        <v>2016</v>
      </c>
      <c r="B74" s="135">
        <v>4</v>
      </c>
      <c r="C74" s="135" t="s">
        <v>2044</v>
      </c>
      <c r="D74" s="135" t="s">
        <v>97</v>
      </c>
      <c r="E74" s="135" t="s">
        <v>394</v>
      </c>
      <c r="F74" s="135" t="s">
        <v>397</v>
      </c>
      <c r="G74" s="135" t="s">
        <v>2307</v>
      </c>
      <c r="H74" s="135">
        <v>25.59</v>
      </c>
      <c r="I74" s="135">
        <v>4.5720000000000001</v>
      </c>
      <c r="J74" s="135">
        <v>7.37</v>
      </c>
      <c r="K74" s="135">
        <v>0</v>
      </c>
      <c r="L74" s="135">
        <v>0</v>
      </c>
      <c r="M74" s="135">
        <v>0</v>
      </c>
      <c r="N74" s="135">
        <v>0</v>
      </c>
      <c r="O74" s="135">
        <v>0</v>
      </c>
      <c r="P74" s="135">
        <v>6.1130000000000004</v>
      </c>
      <c r="Q74" s="135">
        <v>20.085999999999999</v>
      </c>
      <c r="R74" s="135">
        <v>0.11</v>
      </c>
      <c r="S74" s="135">
        <v>2.798</v>
      </c>
      <c r="T74" s="135">
        <v>15.869</v>
      </c>
      <c r="U74" s="135">
        <v>7.6999999999999999E-2</v>
      </c>
      <c r="V74" s="135">
        <v>7.2999999999999995E-2</v>
      </c>
      <c r="W74" s="135">
        <v>0</v>
      </c>
      <c r="X74" s="135">
        <v>0</v>
      </c>
      <c r="Y74" s="135" t="s">
        <v>1995</v>
      </c>
      <c r="Z74" s="135">
        <v>5.9</v>
      </c>
      <c r="AA74" s="135">
        <v>3900</v>
      </c>
      <c r="AB74" s="135">
        <v>661.3</v>
      </c>
      <c r="AC74" s="135">
        <v>1.51</v>
      </c>
      <c r="AD74" s="135">
        <v>7.4</v>
      </c>
      <c r="AE74" s="135">
        <v>6000</v>
      </c>
      <c r="AF74" s="135">
        <v>814.2</v>
      </c>
      <c r="AG74" s="135">
        <v>1.23</v>
      </c>
      <c r="AH74" s="135">
        <v>7.7</v>
      </c>
      <c r="AI74" s="135">
        <v>3400</v>
      </c>
      <c r="AJ74" s="135">
        <v>444</v>
      </c>
      <c r="AK74" s="135">
        <v>2.25</v>
      </c>
      <c r="AL74" s="135">
        <v>6</v>
      </c>
      <c r="AM74" s="135">
        <v>5000</v>
      </c>
      <c r="AN74" s="135">
        <v>837.5</v>
      </c>
      <c r="AO74" s="135">
        <v>1.19</v>
      </c>
      <c r="AP74" s="135"/>
      <c r="AQ74" s="135"/>
      <c r="AR74" s="135"/>
      <c r="AS74" s="135"/>
      <c r="AT74" s="135"/>
      <c r="AU74" s="135"/>
      <c r="AV74" s="135"/>
      <c r="AW74" s="135"/>
      <c r="AX74" s="135">
        <v>6</v>
      </c>
      <c r="AY74" s="135">
        <v>12</v>
      </c>
      <c r="AZ74" s="135">
        <v>2</v>
      </c>
      <c r="BA74" s="135">
        <v>0.5</v>
      </c>
      <c r="BB74" s="135"/>
      <c r="BC74" s="135"/>
      <c r="BD74" s="135"/>
      <c r="BE74" s="135"/>
      <c r="BF74" s="135">
        <v>7.7</v>
      </c>
      <c r="BG74" s="135">
        <v>6600</v>
      </c>
      <c r="BH74" s="135">
        <v>861.8</v>
      </c>
      <c r="BI74" s="135">
        <v>1.1599999999999999</v>
      </c>
      <c r="BJ74" s="135">
        <v>47.5</v>
      </c>
      <c r="BK74" s="135">
        <v>5.5</v>
      </c>
      <c r="BL74" s="135">
        <v>21</v>
      </c>
    </row>
    <row r="75" spans="1:64" x14ac:dyDescent="0.3">
      <c r="A75" s="135">
        <v>2016</v>
      </c>
      <c r="B75" s="135">
        <v>4</v>
      </c>
      <c r="C75" s="135" t="s">
        <v>2046</v>
      </c>
      <c r="D75" s="135" t="s">
        <v>458</v>
      </c>
      <c r="E75" s="135" t="s">
        <v>394</v>
      </c>
      <c r="F75" s="135" t="s">
        <v>30</v>
      </c>
      <c r="G75" s="135" t="s">
        <v>2302</v>
      </c>
      <c r="H75" s="135">
        <v>18.940000000000001</v>
      </c>
      <c r="I75" s="135">
        <v>4.3159999999999998</v>
      </c>
      <c r="J75" s="135">
        <v>5.3810000000000002</v>
      </c>
      <c r="K75" s="135">
        <v>0</v>
      </c>
      <c r="L75" s="135">
        <v>0</v>
      </c>
      <c r="M75" s="135">
        <v>0</v>
      </c>
      <c r="N75" s="135">
        <v>0</v>
      </c>
      <c r="O75" s="135">
        <v>0</v>
      </c>
      <c r="P75" s="135">
        <v>6.1369999999999996</v>
      </c>
      <c r="Q75" s="135">
        <v>23.265000000000001</v>
      </c>
      <c r="R75" s="135">
        <v>0.13400000000000001</v>
      </c>
      <c r="S75" s="135">
        <v>1.0649999999999999</v>
      </c>
      <c r="T75" s="135">
        <v>10.372999999999999</v>
      </c>
      <c r="U75" s="135">
        <v>4.9000000000000002E-2</v>
      </c>
      <c r="V75" s="135">
        <v>7.2999999999999995E-2</v>
      </c>
      <c r="W75" s="135">
        <v>0</v>
      </c>
      <c r="X75" s="135">
        <v>0</v>
      </c>
      <c r="Y75" s="135" t="s">
        <v>1995</v>
      </c>
      <c r="Z75" s="135">
        <v>4.8</v>
      </c>
      <c r="AA75" s="135">
        <v>4000</v>
      </c>
      <c r="AB75" s="135">
        <v>837.6</v>
      </c>
      <c r="AC75" s="135">
        <v>1.19</v>
      </c>
      <c r="AD75" s="135">
        <v>5.4</v>
      </c>
      <c r="AE75" s="135">
        <v>6000</v>
      </c>
      <c r="AF75" s="135">
        <v>1115.0999999999999</v>
      </c>
      <c r="AG75" s="135">
        <v>0.9</v>
      </c>
      <c r="AH75" s="135">
        <v>5.7</v>
      </c>
      <c r="AI75" s="135">
        <v>3500</v>
      </c>
      <c r="AJ75" s="135">
        <v>618.9</v>
      </c>
      <c r="AK75" s="135">
        <v>1.62</v>
      </c>
      <c r="AL75" s="135">
        <v>4.8</v>
      </c>
      <c r="AM75" s="135">
        <v>5000</v>
      </c>
      <c r="AN75" s="135">
        <v>1031.3</v>
      </c>
      <c r="AO75" s="135">
        <v>0.97</v>
      </c>
      <c r="AP75" s="135"/>
      <c r="AQ75" s="135"/>
      <c r="AR75" s="135"/>
      <c r="AS75" s="135"/>
      <c r="AT75" s="135"/>
      <c r="AU75" s="135"/>
      <c r="AV75" s="135"/>
      <c r="AW75" s="135"/>
      <c r="AX75" s="135">
        <v>4.8</v>
      </c>
      <c r="AY75" s="135">
        <v>14</v>
      </c>
      <c r="AZ75" s="135">
        <v>2.9</v>
      </c>
      <c r="BA75" s="135">
        <v>0.35</v>
      </c>
      <c r="BB75" s="135"/>
      <c r="BC75" s="135"/>
      <c r="BD75" s="135"/>
      <c r="BE75" s="135"/>
      <c r="BF75" s="135">
        <v>5.7</v>
      </c>
      <c r="BG75" s="135">
        <v>7000</v>
      </c>
      <c r="BH75" s="135">
        <v>1237.7</v>
      </c>
      <c r="BI75" s="135">
        <v>0.81</v>
      </c>
      <c r="BJ75" s="135">
        <v>40.5</v>
      </c>
      <c r="BK75" s="135">
        <v>6.5</v>
      </c>
      <c r="BL75" s="135">
        <v>17</v>
      </c>
    </row>
    <row r="76" spans="1:64" x14ac:dyDescent="0.3">
      <c r="A76" s="135">
        <v>2016</v>
      </c>
      <c r="B76" s="135">
        <v>4</v>
      </c>
      <c r="C76" s="135" t="s">
        <v>2025</v>
      </c>
      <c r="D76" s="135" t="s">
        <v>92</v>
      </c>
      <c r="E76" s="135" t="s">
        <v>394</v>
      </c>
      <c r="F76" s="135" t="s">
        <v>12</v>
      </c>
      <c r="G76" s="135" t="s">
        <v>16</v>
      </c>
      <c r="H76" s="135">
        <v>26.09</v>
      </c>
      <c r="I76" s="135">
        <v>4.218</v>
      </c>
      <c r="J76" s="135">
        <v>7.7569999999999997</v>
      </c>
      <c r="K76" s="135">
        <v>0</v>
      </c>
      <c r="L76" s="135">
        <v>0</v>
      </c>
      <c r="M76" s="135">
        <v>0</v>
      </c>
      <c r="N76" s="135">
        <v>0</v>
      </c>
      <c r="O76" s="135">
        <v>0</v>
      </c>
      <c r="P76" s="135">
        <v>4.51</v>
      </c>
      <c r="Q76" s="135">
        <v>15.863</v>
      </c>
      <c r="R76" s="135">
        <v>9.5000000000000001E-2</v>
      </c>
      <c r="S76" s="135">
        <v>3.5390000000000001</v>
      </c>
      <c r="T76" s="135">
        <v>17.452000000000002</v>
      </c>
      <c r="U76" s="135">
        <v>7.3999999999999996E-2</v>
      </c>
      <c r="V76" s="135">
        <v>6.4000000000000001E-2</v>
      </c>
      <c r="W76" s="135">
        <v>0</v>
      </c>
      <c r="X76" s="135">
        <v>0</v>
      </c>
      <c r="Y76" s="135" t="s">
        <v>1995</v>
      </c>
      <c r="Z76" s="135">
        <v>5.9</v>
      </c>
      <c r="AA76" s="135">
        <v>4150</v>
      </c>
      <c r="AB76" s="135">
        <v>700.7</v>
      </c>
      <c r="AC76" s="135">
        <v>1.43</v>
      </c>
      <c r="AD76" s="135">
        <v>7.8</v>
      </c>
      <c r="AE76" s="135">
        <v>9200</v>
      </c>
      <c r="AF76" s="135">
        <v>1186.0999999999999</v>
      </c>
      <c r="AG76" s="135">
        <v>0.84</v>
      </c>
      <c r="AH76" s="135">
        <v>8</v>
      </c>
      <c r="AI76" s="135">
        <v>4600</v>
      </c>
      <c r="AJ76" s="135">
        <v>573.5</v>
      </c>
      <c r="AK76" s="135">
        <v>1.74</v>
      </c>
      <c r="AL76" s="135">
        <v>6</v>
      </c>
      <c r="AM76" s="135">
        <v>6700</v>
      </c>
      <c r="AN76" s="135">
        <v>1119.0999999999999</v>
      </c>
      <c r="AO76" s="135">
        <v>0.89</v>
      </c>
      <c r="AP76" s="135"/>
      <c r="AQ76" s="135"/>
      <c r="AR76" s="135"/>
      <c r="AS76" s="135"/>
      <c r="AT76" s="135"/>
      <c r="AU76" s="135"/>
      <c r="AV76" s="135"/>
      <c r="AW76" s="135"/>
      <c r="AX76" s="135">
        <v>6</v>
      </c>
      <c r="AY76" s="135">
        <v>18</v>
      </c>
      <c r="AZ76" s="135">
        <v>3</v>
      </c>
      <c r="BA76" s="135">
        <v>0.33</v>
      </c>
      <c r="BB76" s="135"/>
      <c r="BC76" s="135"/>
      <c r="BD76" s="135"/>
      <c r="BE76" s="135"/>
      <c r="BF76" s="135">
        <v>8</v>
      </c>
      <c r="BG76" s="135">
        <v>9100</v>
      </c>
      <c r="BH76" s="135">
        <v>1134.5999999999999</v>
      </c>
      <c r="BI76" s="135">
        <v>0.88</v>
      </c>
      <c r="BJ76" s="135">
        <v>49.5</v>
      </c>
      <c r="BK76" s="135">
        <v>2.5</v>
      </c>
      <c r="BL76" s="135">
        <v>23.5</v>
      </c>
    </row>
    <row r="77" spans="1:64" x14ac:dyDescent="0.3">
      <c r="A77" s="135">
        <v>2016</v>
      </c>
      <c r="B77" s="135">
        <v>4</v>
      </c>
      <c r="C77" s="135" t="s">
        <v>2043</v>
      </c>
      <c r="D77" s="135" t="s">
        <v>171</v>
      </c>
      <c r="E77" s="135" t="s">
        <v>394</v>
      </c>
      <c r="F77" s="135" t="s">
        <v>401</v>
      </c>
      <c r="G77" s="135" t="s">
        <v>70</v>
      </c>
      <c r="H77" s="135">
        <v>21.12</v>
      </c>
      <c r="I77" s="135">
        <v>4.0259999999999998</v>
      </c>
      <c r="J77" s="135">
        <v>5.9820000000000002</v>
      </c>
      <c r="K77" s="135">
        <v>0</v>
      </c>
      <c r="L77" s="135">
        <v>0</v>
      </c>
      <c r="M77" s="135">
        <v>0</v>
      </c>
      <c r="N77" s="135">
        <v>0</v>
      </c>
      <c r="O77" s="135">
        <v>0</v>
      </c>
      <c r="P77" s="135">
        <v>5.5430000000000001</v>
      </c>
      <c r="Q77" s="135">
        <v>19.552</v>
      </c>
      <c r="R77" s="135">
        <v>7.9000000000000001E-2</v>
      </c>
      <c r="S77" s="135">
        <v>1.956</v>
      </c>
      <c r="T77" s="135">
        <v>12.71</v>
      </c>
      <c r="U77" s="135">
        <v>7.8E-2</v>
      </c>
      <c r="V77" s="135">
        <v>7.0999999999999994E-2</v>
      </c>
      <c r="W77" s="135">
        <v>0</v>
      </c>
      <c r="X77" s="135">
        <v>0</v>
      </c>
      <c r="Y77" s="135" t="s">
        <v>1995</v>
      </c>
      <c r="Z77" s="135">
        <v>4.9000000000000004</v>
      </c>
      <c r="AA77" s="135">
        <v>3500</v>
      </c>
      <c r="AB77" s="135">
        <v>709.5</v>
      </c>
      <c r="AC77" s="135">
        <v>1.41</v>
      </c>
      <c r="AD77" s="135">
        <v>6</v>
      </c>
      <c r="AE77" s="135">
        <v>6000</v>
      </c>
      <c r="AF77" s="135">
        <v>1003</v>
      </c>
      <c r="AG77" s="135">
        <v>1</v>
      </c>
      <c r="AH77" s="135">
        <v>6.2</v>
      </c>
      <c r="AI77" s="135">
        <v>3000</v>
      </c>
      <c r="AJ77" s="135">
        <v>480.2</v>
      </c>
      <c r="AK77" s="135">
        <v>2.08</v>
      </c>
      <c r="AL77" s="135">
        <v>5</v>
      </c>
      <c r="AM77" s="135">
        <v>5500</v>
      </c>
      <c r="AN77" s="135">
        <v>1099.0999999999999</v>
      </c>
      <c r="AO77" s="135">
        <v>0.91</v>
      </c>
      <c r="AP77" s="135"/>
      <c r="AQ77" s="135"/>
      <c r="AR77" s="135"/>
      <c r="AS77" s="135"/>
      <c r="AT77" s="135"/>
      <c r="AU77" s="135"/>
      <c r="AV77" s="135"/>
      <c r="AW77" s="135"/>
      <c r="AX77" s="135">
        <v>5</v>
      </c>
      <c r="AY77" s="135">
        <v>10</v>
      </c>
      <c r="AZ77" s="135">
        <v>2</v>
      </c>
      <c r="BA77" s="135">
        <v>0.5</v>
      </c>
      <c r="BB77" s="135"/>
      <c r="BC77" s="135"/>
      <c r="BD77" s="135"/>
      <c r="BE77" s="135"/>
      <c r="BF77" s="135">
        <v>6.2</v>
      </c>
      <c r="BG77" s="135">
        <v>6000</v>
      </c>
      <c r="BH77" s="135">
        <v>960.5</v>
      </c>
      <c r="BI77" s="135">
        <v>1.04</v>
      </c>
      <c r="BJ77" s="135">
        <v>44</v>
      </c>
      <c r="BK77" s="135">
        <v>3</v>
      </c>
      <c r="BL77" s="135">
        <v>20.5</v>
      </c>
    </row>
    <row r="78" spans="1:64" x14ac:dyDescent="0.3">
      <c r="A78" s="135">
        <v>2016</v>
      </c>
      <c r="B78" s="135">
        <v>4</v>
      </c>
      <c r="C78" s="135" t="s">
        <v>2055</v>
      </c>
      <c r="D78" s="135" t="s">
        <v>461</v>
      </c>
      <c r="E78" s="135" t="s">
        <v>394</v>
      </c>
      <c r="F78" s="135" t="s">
        <v>4</v>
      </c>
      <c r="G78" s="135" t="s">
        <v>2297</v>
      </c>
      <c r="H78" s="135">
        <v>15.37</v>
      </c>
      <c r="I78" s="135">
        <v>3.911</v>
      </c>
      <c r="J78" s="135">
        <v>4.8209999999999997</v>
      </c>
      <c r="K78" s="135">
        <v>0</v>
      </c>
      <c r="L78" s="135">
        <v>0</v>
      </c>
      <c r="M78" s="135">
        <v>0</v>
      </c>
      <c r="N78" s="135">
        <v>0</v>
      </c>
      <c r="O78" s="135">
        <v>0</v>
      </c>
      <c r="P78" s="135">
        <v>6.4630000000000001</v>
      </c>
      <c r="Q78" s="135">
        <v>27.289000000000001</v>
      </c>
      <c r="R78" s="135">
        <v>9.7000000000000003E-2</v>
      </c>
      <c r="S78" s="135">
        <v>0.91</v>
      </c>
      <c r="T78" s="135">
        <v>6.5839999999999996</v>
      </c>
      <c r="U78" s="135">
        <v>1.4999999999999999E-2</v>
      </c>
      <c r="V78" s="135">
        <v>7.3999999999999996E-2</v>
      </c>
      <c r="W78" s="135">
        <v>0</v>
      </c>
      <c r="X78" s="135">
        <v>0</v>
      </c>
      <c r="Y78" s="135" t="s">
        <v>1995</v>
      </c>
      <c r="Z78" s="135">
        <v>4.3</v>
      </c>
      <c r="AA78" s="135">
        <v>3900</v>
      </c>
      <c r="AB78" s="135">
        <v>908.6</v>
      </c>
      <c r="AC78" s="135">
        <v>1.1000000000000001</v>
      </c>
      <c r="AD78" s="135">
        <v>4.8</v>
      </c>
      <c r="AE78" s="135">
        <v>6000</v>
      </c>
      <c r="AF78" s="135">
        <v>1244.5</v>
      </c>
      <c r="AG78" s="135">
        <v>0.8</v>
      </c>
      <c r="AH78" s="135">
        <v>5.0999999999999996</v>
      </c>
      <c r="AI78" s="135">
        <v>3300</v>
      </c>
      <c r="AJ78" s="135">
        <v>647.20000000000005</v>
      </c>
      <c r="AK78" s="135">
        <v>1.55</v>
      </c>
      <c r="AL78" s="135">
        <v>4.4000000000000004</v>
      </c>
      <c r="AM78" s="135">
        <v>4800</v>
      </c>
      <c r="AN78" s="135">
        <v>1099.3</v>
      </c>
      <c r="AO78" s="135">
        <v>0.91</v>
      </c>
      <c r="AP78" s="135"/>
      <c r="AQ78" s="135"/>
      <c r="AR78" s="135"/>
      <c r="AS78" s="135"/>
      <c r="AT78" s="135"/>
      <c r="AU78" s="135"/>
      <c r="AV78" s="135"/>
      <c r="AW78" s="135"/>
      <c r="AX78" s="135">
        <v>4.4000000000000004</v>
      </c>
      <c r="AY78" s="135">
        <v>10</v>
      </c>
      <c r="AZ78" s="135">
        <v>2.2999999999999998</v>
      </c>
      <c r="BA78" s="135">
        <v>0.44</v>
      </c>
      <c r="BB78" s="135"/>
      <c r="BC78" s="135"/>
      <c r="BD78" s="135"/>
      <c r="BE78" s="135"/>
      <c r="BF78" s="135">
        <v>5.0999999999999996</v>
      </c>
      <c r="BG78" s="135">
        <v>6400</v>
      </c>
      <c r="BH78" s="135">
        <v>1255.3</v>
      </c>
      <c r="BI78" s="135">
        <v>0.8</v>
      </c>
      <c r="BJ78" s="135">
        <v>46.5</v>
      </c>
      <c r="BK78" s="135">
        <v>3.5</v>
      </c>
      <c r="BL78" s="135">
        <v>21.5</v>
      </c>
    </row>
    <row r="79" spans="1:64" x14ac:dyDescent="0.3">
      <c r="A79" s="135">
        <v>2016</v>
      </c>
      <c r="B79" s="135">
        <v>4</v>
      </c>
      <c r="C79" s="135" t="s">
        <v>2555</v>
      </c>
      <c r="D79" s="135" t="s">
        <v>181</v>
      </c>
      <c r="E79" s="135" t="s">
        <v>394</v>
      </c>
      <c r="F79" s="135" t="s">
        <v>37</v>
      </c>
      <c r="G79" s="135" t="s">
        <v>2304</v>
      </c>
      <c r="H79" s="135">
        <v>17.190000000000001</v>
      </c>
      <c r="I79" s="135">
        <v>3.9079999999999999</v>
      </c>
      <c r="J79" s="135">
        <v>6.2110000000000003</v>
      </c>
      <c r="K79" s="135">
        <v>0</v>
      </c>
      <c r="L79" s="135">
        <v>0</v>
      </c>
      <c r="M79" s="135">
        <v>0</v>
      </c>
      <c r="N79" s="135">
        <v>0</v>
      </c>
      <c r="O79" s="135">
        <v>0</v>
      </c>
      <c r="P79" s="135">
        <v>4.83</v>
      </c>
      <c r="Q79" s="135">
        <v>16.646999999999998</v>
      </c>
      <c r="R79" s="135">
        <v>4.8000000000000001E-2</v>
      </c>
      <c r="S79" s="135">
        <v>2.3029999999999999</v>
      </c>
      <c r="T79" s="135">
        <v>18.215</v>
      </c>
      <c r="U79" s="135">
        <v>4.9000000000000002E-2</v>
      </c>
      <c r="V79" s="135">
        <v>0.08</v>
      </c>
      <c r="W79" s="135">
        <v>0</v>
      </c>
      <c r="X79" s="135">
        <v>0</v>
      </c>
      <c r="Y79" s="135" t="s">
        <v>1995</v>
      </c>
      <c r="Z79" s="135">
        <v>5</v>
      </c>
      <c r="AA79" s="135">
        <v>3000</v>
      </c>
      <c r="AB79" s="135">
        <v>602.4</v>
      </c>
      <c r="AC79" s="135">
        <v>1.66</v>
      </c>
      <c r="AD79" s="135">
        <v>6.2</v>
      </c>
      <c r="AE79" s="135">
        <v>6000</v>
      </c>
      <c r="AF79" s="135">
        <v>966</v>
      </c>
      <c r="AG79" s="135">
        <v>1.04</v>
      </c>
      <c r="AH79" s="135">
        <v>6.5</v>
      </c>
      <c r="AI79" s="135">
        <v>3000</v>
      </c>
      <c r="AJ79" s="135">
        <v>461.5</v>
      </c>
      <c r="AK79" s="135">
        <v>2.17</v>
      </c>
      <c r="AL79" s="135">
        <v>5.0999999999999996</v>
      </c>
      <c r="AM79" s="135">
        <v>4800</v>
      </c>
      <c r="AN79" s="135">
        <v>948.7</v>
      </c>
      <c r="AO79" s="135">
        <v>1.05</v>
      </c>
      <c r="AP79" s="135"/>
      <c r="AQ79" s="135"/>
      <c r="AR79" s="135"/>
      <c r="AS79" s="135"/>
      <c r="AT79" s="135"/>
      <c r="AU79" s="135"/>
      <c r="AV79" s="135"/>
      <c r="AW79" s="135"/>
      <c r="AX79" s="135">
        <v>5.0999999999999996</v>
      </c>
      <c r="AY79" s="135">
        <v>10</v>
      </c>
      <c r="AZ79" s="135">
        <v>2</v>
      </c>
      <c r="BA79" s="135">
        <v>0.51</v>
      </c>
      <c r="BB79" s="135"/>
      <c r="BC79" s="135"/>
      <c r="BD79" s="135"/>
      <c r="BE79" s="135"/>
      <c r="BF79" s="135">
        <v>6.5</v>
      </c>
      <c r="BG79" s="135">
        <v>6000</v>
      </c>
      <c r="BH79" s="135">
        <v>923</v>
      </c>
      <c r="BI79" s="135">
        <v>1.08</v>
      </c>
      <c r="BJ79" s="135">
        <v>43.5</v>
      </c>
      <c r="BK79" s="135">
        <v>4</v>
      </c>
      <c r="BL79" s="135">
        <v>19.75</v>
      </c>
    </row>
    <row r="80" spans="1:64" x14ac:dyDescent="0.3">
      <c r="A80" s="135">
        <v>2016</v>
      </c>
      <c r="B80" s="135">
        <v>4</v>
      </c>
      <c r="C80" s="135" t="s">
        <v>2061</v>
      </c>
      <c r="D80" s="135" t="s">
        <v>1519</v>
      </c>
      <c r="E80" s="135" t="s">
        <v>394</v>
      </c>
      <c r="F80" s="135" t="s">
        <v>46</v>
      </c>
      <c r="G80" s="135" t="s">
        <v>26</v>
      </c>
      <c r="H80" s="135">
        <v>13.77</v>
      </c>
      <c r="I80" s="135">
        <v>3.9009999999999998</v>
      </c>
      <c r="J80" s="135">
        <v>4.6180000000000003</v>
      </c>
      <c r="K80" s="135">
        <v>0</v>
      </c>
      <c r="L80" s="135">
        <v>0</v>
      </c>
      <c r="M80" s="135">
        <v>0</v>
      </c>
      <c r="N80" s="135">
        <v>0</v>
      </c>
      <c r="O80" s="135">
        <v>0</v>
      </c>
      <c r="P80" s="135">
        <v>6.4610000000000003</v>
      </c>
      <c r="Q80" s="135">
        <v>27.164999999999999</v>
      </c>
      <c r="R80" s="135">
        <v>0.122</v>
      </c>
      <c r="S80" s="135">
        <v>0.71699999999999997</v>
      </c>
      <c r="T80" s="135">
        <v>5.1479999999999997</v>
      </c>
      <c r="U80" s="135">
        <v>1.6E-2</v>
      </c>
      <c r="V80" s="135">
        <v>7.9000000000000001E-2</v>
      </c>
      <c r="W80" s="135">
        <v>0</v>
      </c>
      <c r="X80" s="135">
        <v>0</v>
      </c>
      <c r="Y80" s="135" t="s">
        <v>1995</v>
      </c>
      <c r="Z80" s="135">
        <v>4.2</v>
      </c>
      <c r="AA80" s="135">
        <v>3400</v>
      </c>
      <c r="AB80" s="135">
        <v>813.2</v>
      </c>
      <c r="AC80" s="135">
        <v>1.23</v>
      </c>
      <c r="AD80" s="135">
        <v>4.5999999999999996</v>
      </c>
      <c r="AE80" s="135">
        <v>6000</v>
      </c>
      <c r="AF80" s="135">
        <v>1299.2</v>
      </c>
      <c r="AG80" s="135">
        <v>0.77</v>
      </c>
      <c r="AH80" s="135">
        <v>4.9000000000000004</v>
      </c>
      <c r="AI80" s="135">
        <v>3100</v>
      </c>
      <c r="AJ80" s="135">
        <v>633.79999999999995</v>
      </c>
      <c r="AK80" s="135">
        <v>1.58</v>
      </c>
      <c r="AL80" s="135">
        <v>4.3</v>
      </c>
      <c r="AM80" s="135">
        <v>4700</v>
      </c>
      <c r="AN80" s="135">
        <v>1103.3</v>
      </c>
      <c r="AO80" s="135">
        <v>0.91</v>
      </c>
      <c r="AP80" s="135"/>
      <c r="AQ80" s="135"/>
      <c r="AR80" s="135"/>
      <c r="AS80" s="135"/>
      <c r="AT80" s="135"/>
      <c r="AU80" s="135"/>
      <c r="AV80" s="135"/>
      <c r="AW80" s="135"/>
      <c r="AX80" s="135">
        <v>4.3</v>
      </c>
      <c r="AY80" s="135">
        <v>10</v>
      </c>
      <c r="AZ80" s="135">
        <v>2.2999999999999998</v>
      </c>
      <c r="BA80" s="135">
        <v>0.43</v>
      </c>
      <c r="BB80" s="135"/>
      <c r="BC80" s="135"/>
      <c r="BD80" s="135"/>
      <c r="BE80" s="135"/>
      <c r="BF80" s="135">
        <v>4.9000000000000004</v>
      </c>
      <c r="BG80" s="135">
        <v>6000</v>
      </c>
      <c r="BH80" s="135">
        <v>1226.7</v>
      </c>
      <c r="BI80" s="135">
        <v>0.82</v>
      </c>
      <c r="BJ80" s="135">
        <v>46.5</v>
      </c>
      <c r="BK80" s="135">
        <v>3</v>
      </c>
      <c r="BL80" s="135">
        <v>21.75</v>
      </c>
    </row>
    <row r="81" spans="1:64" x14ac:dyDescent="0.3">
      <c r="A81" s="135">
        <v>2016</v>
      </c>
      <c r="B81" s="135">
        <v>4</v>
      </c>
      <c r="C81" s="135" t="s">
        <v>2054</v>
      </c>
      <c r="D81" s="135" t="s">
        <v>512</v>
      </c>
      <c r="E81" s="135" t="s">
        <v>394</v>
      </c>
      <c r="F81" s="135" t="s">
        <v>4</v>
      </c>
      <c r="G81" s="135" t="s">
        <v>2297</v>
      </c>
      <c r="H81" s="135">
        <v>15.37</v>
      </c>
      <c r="I81" s="135">
        <v>3.8079999999999998</v>
      </c>
      <c r="J81" s="135">
        <v>4.9450000000000003</v>
      </c>
      <c r="K81" s="135">
        <v>0</v>
      </c>
      <c r="L81" s="135">
        <v>0</v>
      </c>
      <c r="M81" s="135">
        <v>0</v>
      </c>
      <c r="N81" s="135">
        <v>0</v>
      </c>
      <c r="O81" s="135">
        <v>0</v>
      </c>
      <c r="P81" s="135">
        <v>5.5</v>
      </c>
      <c r="Q81" s="135">
        <v>23.225000000000001</v>
      </c>
      <c r="R81" s="135">
        <v>7.9000000000000001E-2</v>
      </c>
      <c r="S81" s="135">
        <v>1.137</v>
      </c>
      <c r="T81" s="135">
        <v>10.535</v>
      </c>
      <c r="U81" s="135">
        <v>1.4999999999999999E-2</v>
      </c>
      <c r="V81" s="135">
        <v>6.6000000000000003E-2</v>
      </c>
      <c r="W81" s="135">
        <v>0</v>
      </c>
      <c r="X81" s="135">
        <v>0</v>
      </c>
      <c r="Y81" s="135" t="s">
        <v>1995</v>
      </c>
      <c r="Z81" s="135">
        <v>4.3</v>
      </c>
      <c r="AA81" s="135">
        <v>3300</v>
      </c>
      <c r="AB81" s="135">
        <v>765.6</v>
      </c>
      <c r="AC81" s="135">
        <v>1.31</v>
      </c>
      <c r="AD81" s="135">
        <v>4.9000000000000004</v>
      </c>
      <c r="AE81" s="135">
        <v>6000</v>
      </c>
      <c r="AF81" s="135">
        <v>1213.3</v>
      </c>
      <c r="AG81" s="135">
        <v>0.82</v>
      </c>
      <c r="AH81" s="135">
        <v>5.2</v>
      </c>
      <c r="AI81" s="135">
        <v>3400</v>
      </c>
      <c r="AJ81" s="135">
        <v>652.1</v>
      </c>
      <c r="AK81" s="135">
        <v>1.53</v>
      </c>
      <c r="AL81" s="135">
        <v>4.4000000000000004</v>
      </c>
      <c r="AM81" s="135">
        <v>4900</v>
      </c>
      <c r="AN81" s="135">
        <v>1119.5999999999999</v>
      </c>
      <c r="AO81" s="135">
        <v>0.89</v>
      </c>
      <c r="AP81" s="135"/>
      <c r="AQ81" s="135"/>
      <c r="AR81" s="135"/>
      <c r="AS81" s="135"/>
      <c r="AT81" s="135"/>
      <c r="AU81" s="135"/>
      <c r="AV81" s="135"/>
      <c r="AW81" s="135"/>
      <c r="AX81" s="135">
        <v>4.4000000000000004</v>
      </c>
      <c r="AY81" s="135">
        <v>13</v>
      </c>
      <c r="AZ81" s="135">
        <v>3</v>
      </c>
      <c r="BA81" s="135">
        <v>0.34</v>
      </c>
      <c r="BB81" s="135"/>
      <c r="BC81" s="135"/>
      <c r="BD81" s="135"/>
      <c r="BE81" s="135"/>
      <c r="BF81" s="135">
        <v>5.2</v>
      </c>
      <c r="BG81" s="135">
        <v>6700</v>
      </c>
      <c r="BH81" s="135">
        <v>1285.0999999999999</v>
      </c>
      <c r="BI81" s="135">
        <v>0.78</v>
      </c>
      <c r="BJ81" s="135">
        <v>46.5</v>
      </c>
      <c r="BK81" s="135">
        <v>3.5</v>
      </c>
      <c r="BL81" s="135">
        <v>21.5</v>
      </c>
    </row>
    <row r="82" spans="1:64" x14ac:dyDescent="0.3">
      <c r="A82" s="135">
        <v>2016</v>
      </c>
      <c r="B82" s="135">
        <v>4</v>
      </c>
      <c r="C82" s="135" t="s">
        <v>2058</v>
      </c>
      <c r="D82" s="135" t="s">
        <v>103</v>
      </c>
      <c r="E82" s="135" t="s">
        <v>394</v>
      </c>
      <c r="F82" s="135" t="s">
        <v>24</v>
      </c>
      <c r="G82" s="135" t="s">
        <v>409</v>
      </c>
      <c r="H82" s="135">
        <v>20.8</v>
      </c>
      <c r="I82" s="135">
        <v>3.5950000000000002</v>
      </c>
      <c r="J82" s="135">
        <v>3.5950000000000002</v>
      </c>
      <c r="K82" s="135">
        <v>0</v>
      </c>
      <c r="L82" s="135">
        <v>0</v>
      </c>
      <c r="M82" s="135">
        <v>0</v>
      </c>
      <c r="N82" s="135">
        <v>0</v>
      </c>
      <c r="O82" s="135">
        <v>0</v>
      </c>
      <c r="P82" s="135">
        <v>6.2229999999999999</v>
      </c>
      <c r="Q82" s="135">
        <v>23.664999999999999</v>
      </c>
      <c r="R82" s="135">
        <v>0.222</v>
      </c>
      <c r="S82" s="135">
        <v>0</v>
      </c>
      <c r="T82" s="135">
        <v>0</v>
      </c>
      <c r="U82" s="135">
        <v>0</v>
      </c>
      <c r="V82" s="135">
        <v>5.1999999999999998E-2</v>
      </c>
      <c r="W82" s="135">
        <v>0</v>
      </c>
      <c r="X82" s="135">
        <v>0</v>
      </c>
      <c r="Y82" s="135" t="s">
        <v>1995</v>
      </c>
      <c r="Z82" s="135">
        <v>3.5</v>
      </c>
      <c r="AA82" s="135">
        <v>3800</v>
      </c>
      <c r="AB82" s="135">
        <v>1072.7</v>
      </c>
      <c r="AC82" s="135">
        <v>0.93</v>
      </c>
      <c r="AD82" s="135">
        <v>3.6</v>
      </c>
      <c r="AE82" s="135">
        <v>6000</v>
      </c>
      <c r="AF82" s="135">
        <v>1669.2</v>
      </c>
      <c r="AG82" s="135">
        <v>0.6</v>
      </c>
      <c r="AH82" s="135">
        <v>3.8</v>
      </c>
      <c r="AI82" s="135">
        <v>3400</v>
      </c>
      <c r="AJ82" s="135">
        <v>897.5</v>
      </c>
      <c r="AK82" s="135">
        <v>1.1100000000000001</v>
      </c>
      <c r="AL82" s="135">
        <v>3.6</v>
      </c>
      <c r="AM82" s="135">
        <v>4900</v>
      </c>
      <c r="AN82" s="135">
        <v>1363.2</v>
      </c>
      <c r="AO82" s="135">
        <v>0.73</v>
      </c>
      <c r="AP82" s="135"/>
      <c r="AQ82" s="135"/>
      <c r="AR82" s="135"/>
      <c r="AS82" s="135"/>
      <c r="AT82" s="135"/>
      <c r="AU82" s="135"/>
      <c r="AV82" s="135"/>
      <c r="AW82" s="135"/>
      <c r="AX82" s="135">
        <v>3.6</v>
      </c>
      <c r="AY82" s="135">
        <v>10</v>
      </c>
      <c r="AZ82" s="135">
        <v>2.8</v>
      </c>
      <c r="BA82" s="135">
        <v>0.36</v>
      </c>
      <c r="BB82" s="135"/>
      <c r="BC82" s="135"/>
      <c r="BD82" s="135"/>
      <c r="BE82" s="135"/>
      <c r="BF82" s="135">
        <v>3.8</v>
      </c>
      <c r="BG82" s="135">
        <v>6600</v>
      </c>
      <c r="BH82" s="135">
        <v>1742.1</v>
      </c>
      <c r="BI82" s="135">
        <v>0.56999999999999995</v>
      </c>
      <c r="BJ82" s="135">
        <v>43</v>
      </c>
      <c r="BK82" s="135">
        <v>-8</v>
      </c>
      <c r="BL82" s="135">
        <v>25.5</v>
      </c>
    </row>
    <row r="83" spans="1:64" x14ac:dyDescent="0.3">
      <c r="A83" s="135">
        <v>2016</v>
      </c>
      <c r="B83" s="135">
        <v>4</v>
      </c>
      <c r="C83" s="135" t="s">
        <v>2067</v>
      </c>
      <c r="D83" s="135" t="s">
        <v>466</v>
      </c>
      <c r="E83" s="135" t="s">
        <v>394</v>
      </c>
      <c r="F83" s="135" t="s">
        <v>16</v>
      </c>
      <c r="G83" s="135" t="s">
        <v>1980</v>
      </c>
      <c r="H83" s="135">
        <v>16.350000000000001</v>
      </c>
      <c r="I83" s="135">
        <v>3.5059999999999998</v>
      </c>
      <c r="J83" s="135">
        <v>6.7590000000000003</v>
      </c>
      <c r="K83" s="135">
        <v>0</v>
      </c>
      <c r="L83" s="135">
        <v>0</v>
      </c>
      <c r="M83" s="135">
        <v>0</v>
      </c>
      <c r="N83" s="135">
        <v>0</v>
      </c>
      <c r="O83" s="135">
        <v>0</v>
      </c>
      <c r="P83" s="135">
        <v>0.78500000000000003</v>
      </c>
      <c r="Q83" s="135">
        <v>3.0379999999999998</v>
      </c>
      <c r="R83" s="135">
        <v>0</v>
      </c>
      <c r="S83" s="135">
        <v>3.2530000000000001</v>
      </c>
      <c r="T83" s="135">
        <v>25.626000000000001</v>
      </c>
      <c r="U83" s="135">
        <v>0.11700000000000001</v>
      </c>
      <c r="V83" s="135">
        <v>3.1E-2</v>
      </c>
      <c r="W83" s="135">
        <v>0</v>
      </c>
      <c r="X83" s="135">
        <v>0</v>
      </c>
      <c r="Y83" s="135" t="s">
        <v>1995</v>
      </c>
      <c r="Z83" s="135">
        <v>5.0999999999999996</v>
      </c>
      <c r="AA83" s="135">
        <v>3000</v>
      </c>
      <c r="AB83" s="135">
        <v>588</v>
      </c>
      <c r="AC83" s="135">
        <v>1.7</v>
      </c>
      <c r="AD83" s="135">
        <v>6.8</v>
      </c>
      <c r="AE83" s="135">
        <v>6000</v>
      </c>
      <c r="AF83" s="135">
        <v>887.7</v>
      </c>
      <c r="AG83" s="135">
        <v>1.1299999999999999</v>
      </c>
      <c r="AH83" s="135">
        <v>7</v>
      </c>
      <c r="AI83" s="135">
        <v>3000</v>
      </c>
      <c r="AJ83" s="135">
        <v>430.9</v>
      </c>
      <c r="AK83" s="135">
        <v>2.3199999999999998</v>
      </c>
      <c r="AL83" s="135">
        <v>5.0999999999999996</v>
      </c>
      <c r="AM83" s="135">
        <v>4500</v>
      </c>
      <c r="AN83" s="135">
        <v>876.7</v>
      </c>
      <c r="AO83" s="135">
        <v>1.1399999999999999</v>
      </c>
      <c r="AP83" s="135"/>
      <c r="AQ83" s="135"/>
      <c r="AR83" s="135"/>
      <c r="AS83" s="135"/>
      <c r="AT83" s="135"/>
      <c r="AU83" s="135"/>
      <c r="AV83" s="135"/>
      <c r="AW83" s="135"/>
      <c r="AX83" s="135">
        <v>5.0999999999999996</v>
      </c>
      <c r="AY83" s="135">
        <v>10</v>
      </c>
      <c r="AZ83" s="135">
        <v>1.9</v>
      </c>
      <c r="BA83" s="135">
        <v>0.51</v>
      </c>
      <c r="BB83" s="135"/>
      <c r="BC83" s="135"/>
      <c r="BD83" s="135"/>
      <c r="BE83" s="135"/>
      <c r="BF83" s="135">
        <v>7</v>
      </c>
      <c r="BG83" s="135">
        <v>6000</v>
      </c>
      <c r="BH83" s="135">
        <v>861.8</v>
      </c>
      <c r="BI83" s="135">
        <v>1.1599999999999999</v>
      </c>
      <c r="BJ83" s="135">
        <v>49.5</v>
      </c>
      <c r="BK83" s="135">
        <v>-2.5</v>
      </c>
      <c r="BL83" s="135">
        <v>26</v>
      </c>
    </row>
    <row r="84" spans="1:64" x14ac:dyDescent="0.3">
      <c r="A84" s="135">
        <v>2016</v>
      </c>
      <c r="B84" s="135">
        <v>4</v>
      </c>
      <c r="C84" s="135" t="s">
        <v>2051</v>
      </c>
      <c r="D84" s="135" t="s">
        <v>132</v>
      </c>
      <c r="E84" s="135" t="s">
        <v>394</v>
      </c>
      <c r="F84" s="135" t="s">
        <v>407</v>
      </c>
      <c r="G84" s="135" t="s">
        <v>404</v>
      </c>
      <c r="H84" s="135">
        <v>30.34</v>
      </c>
      <c r="I84" s="135">
        <v>3.492</v>
      </c>
      <c r="J84" s="135">
        <v>6.25</v>
      </c>
      <c r="K84" s="135">
        <v>0</v>
      </c>
      <c r="L84" s="135">
        <v>0</v>
      </c>
      <c r="M84" s="135">
        <v>0</v>
      </c>
      <c r="N84" s="135">
        <v>0</v>
      </c>
      <c r="O84" s="135">
        <v>0</v>
      </c>
      <c r="P84" s="135">
        <v>1.958</v>
      </c>
      <c r="Q84" s="135">
        <v>9.7919999999999998</v>
      </c>
      <c r="R84" s="135">
        <v>0</v>
      </c>
      <c r="S84" s="135">
        <v>2.758</v>
      </c>
      <c r="T84" s="135">
        <v>18.187000000000001</v>
      </c>
      <c r="U84" s="135">
        <v>0.127</v>
      </c>
      <c r="V84" s="135">
        <v>3.4000000000000002E-2</v>
      </c>
      <c r="W84" s="135">
        <v>0</v>
      </c>
      <c r="X84" s="135">
        <v>0</v>
      </c>
      <c r="Y84" s="135" t="s">
        <v>1995</v>
      </c>
      <c r="Z84" s="135">
        <v>4.8</v>
      </c>
      <c r="AA84" s="135">
        <v>3500</v>
      </c>
      <c r="AB84" s="135">
        <v>723.6</v>
      </c>
      <c r="AC84" s="135">
        <v>1.38</v>
      </c>
      <c r="AD84" s="135">
        <v>6.2</v>
      </c>
      <c r="AE84" s="135">
        <v>6000</v>
      </c>
      <c r="AF84" s="135">
        <v>960</v>
      </c>
      <c r="AG84" s="135">
        <v>1.04</v>
      </c>
      <c r="AH84" s="135">
        <v>6.5</v>
      </c>
      <c r="AI84" s="135">
        <v>3500</v>
      </c>
      <c r="AJ84" s="135">
        <v>542.5</v>
      </c>
      <c r="AK84" s="135">
        <v>1.84</v>
      </c>
      <c r="AL84" s="135">
        <v>4.9000000000000004</v>
      </c>
      <c r="AM84" s="135">
        <v>4500</v>
      </c>
      <c r="AN84" s="135">
        <v>923.9</v>
      </c>
      <c r="AO84" s="135">
        <v>1.08</v>
      </c>
      <c r="AP84" s="135"/>
      <c r="AQ84" s="135"/>
      <c r="AR84" s="135"/>
      <c r="AS84" s="135"/>
      <c r="AT84" s="135"/>
      <c r="AU84" s="135"/>
      <c r="AV84" s="135"/>
      <c r="AW84" s="135"/>
      <c r="AX84" s="135"/>
      <c r="AY84" s="135"/>
      <c r="AZ84" s="135"/>
      <c r="BA84" s="135"/>
      <c r="BB84" s="135"/>
      <c r="BC84" s="135"/>
      <c r="BD84" s="135"/>
      <c r="BE84" s="135"/>
      <c r="BF84" s="135">
        <v>6.5</v>
      </c>
      <c r="BG84" s="135">
        <v>7000</v>
      </c>
      <c r="BH84" s="135">
        <v>1085</v>
      </c>
      <c r="BI84" s="135">
        <v>0.92</v>
      </c>
      <c r="BJ84" s="135">
        <v>53.5</v>
      </c>
      <c r="BK84" s="135">
        <v>-4</v>
      </c>
      <c r="BL84" s="135">
        <v>28.75</v>
      </c>
    </row>
    <row r="85" spans="1:64" x14ac:dyDescent="0.3">
      <c r="A85" s="135">
        <v>2016</v>
      </c>
      <c r="B85" s="135">
        <v>4</v>
      </c>
      <c r="C85" s="135" t="s">
        <v>2052</v>
      </c>
      <c r="D85" s="135" t="s">
        <v>764</v>
      </c>
      <c r="E85" s="135" t="s">
        <v>394</v>
      </c>
      <c r="F85" s="135" t="s">
        <v>70</v>
      </c>
      <c r="G85" s="135" t="s">
        <v>2005</v>
      </c>
      <c r="H85" s="135">
        <v>18.350000000000001</v>
      </c>
      <c r="I85" s="135">
        <v>3.448</v>
      </c>
      <c r="J85" s="135">
        <v>4.1909999999999998</v>
      </c>
      <c r="K85" s="135">
        <v>0</v>
      </c>
      <c r="L85" s="135">
        <v>0</v>
      </c>
      <c r="M85" s="135">
        <v>0</v>
      </c>
      <c r="N85" s="135">
        <v>0</v>
      </c>
      <c r="O85" s="135">
        <v>0</v>
      </c>
      <c r="P85" s="135">
        <v>5.5949999999999998</v>
      </c>
      <c r="Q85" s="135">
        <v>20.57</v>
      </c>
      <c r="R85" s="135">
        <v>0.129</v>
      </c>
      <c r="S85" s="135">
        <v>0.74299999999999999</v>
      </c>
      <c r="T85" s="135">
        <v>6.3520000000000003</v>
      </c>
      <c r="U85" s="135">
        <v>1.6E-2</v>
      </c>
      <c r="V85" s="135">
        <v>5.7000000000000002E-2</v>
      </c>
      <c r="W85" s="135">
        <v>0</v>
      </c>
      <c r="X85" s="135">
        <v>0</v>
      </c>
      <c r="Y85" s="135" t="s">
        <v>1995</v>
      </c>
      <c r="Z85" s="135">
        <v>3.8</v>
      </c>
      <c r="AA85" s="135">
        <v>4100</v>
      </c>
      <c r="AB85" s="135">
        <v>1089.5999999999999</v>
      </c>
      <c r="AC85" s="135">
        <v>0.92</v>
      </c>
      <c r="AD85" s="135">
        <v>4.2</v>
      </c>
      <c r="AE85" s="135">
        <v>6000</v>
      </c>
      <c r="AF85" s="135">
        <v>1431.6</v>
      </c>
      <c r="AG85" s="135">
        <v>0.7</v>
      </c>
      <c r="AH85" s="135">
        <v>4.4000000000000004</v>
      </c>
      <c r="AI85" s="135">
        <v>3000</v>
      </c>
      <c r="AJ85" s="135">
        <v>680.3</v>
      </c>
      <c r="AK85" s="135">
        <v>1.47</v>
      </c>
      <c r="AL85" s="135">
        <v>3.8</v>
      </c>
      <c r="AM85" s="135">
        <v>5200</v>
      </c>
      <c r="AN85" s="135">
        <v>1361.4</v>
      </c>
      <c r="AO85" s="135">
        <v>0.73</v>
      </c>
      <c r="AP85" s="135"/>
      <c r="AQ85" s="135"/>
      <c r="AR85" s="135"/>
      <c r="AS85" s="135"/>
      <c r="AT85" s="135"/>
      <c r="AU85" s="135"/>
      <c r="AV85" s="135"/>
      <c r="AW85" s="135"/>
      <c r="AX85" s="135">
        <v>3.8</v>
      </c>
      <c r="AY85" s="135">
        <v>10</v>
      </c>
      <c r="AZ85" s="135">
        <v>2.6</v>
      </c>
      <c r="BA85" s="135">
        <v>0.38</v>
      </c>
      <c r="BB85" s="135"/>
      <c r="BC85" s="135"/>
      <c r="BD85" s="135"/>
      <c r="BE85" s="135"/>
      <c r="BF85" s="135">
        <v>4.4000000000000004</v>
      </c>
      <c r="BG85" s="135">
        <v>6000</v>
      </c>
      <c r="BH85" s="135">
        <v>1360.6</v>
      </c>
      <c r="BI85" s="135">
        <v>0.73</v>
      </c>
      <c r="BJ85" s="135">
        <v>44</v>
      </c>
      <c r="BK85" s="135">
        <v>-3</v>
      </c>
      <c r="BL85" s="135">
        <v>23.5</v>
      </c>
    </row>
    <row r="86" spans="1:64" x14ac:dyDescent="0.3">
      <c r="A86" s="135">
        <v>2016</v>
      </c>
      <c r="B86" s="135">
        <v>4</v>
      </c>
      <c r="C86" s="135" t="s">
        <v>2053</v>
      </c>
      <c r="D86" s="135" t="s">
        <v>131</v>
      </c>
      <c r="E86" s="135" t="s">
        <v>394</v>
      </c>
      <c r="F86" s="135" t="s">
        <v>398</v>
      </c>
      <c r="G86" s="135" t="s">
        <v>52</v>
      </c>
      <c r="H86" s="135">
        <v>19.57</v>
      </c>
      <c r="I86" s="135">
        <v>3.3879999999999999</v>
      </c>
      <c r="J86" s="135">
        <v>4.7750000000000004</v>
      </c>
      <c r="K86" s="135">
        <v>0</v>
      </c>
      <c r="L86" s="135">
        <v>0</v>
      </c>
      <c r="M86" s="135">
        <v>0</v>
      </c>
      <c r="N86" s="135">
        <v>0</v>
      </c>
      <c r="O86" s="135">
        <v>0</v>
      </c>
      <c r="P86" s="135">
        <v>4.3319999999999999</v>
      </c>
      <c r="Q86" s="135">
        <v>14.667999999999999</v>
      </c>
      <c r="R86" s="135">
        <v>0.13</v>
      </c>
      <c r="S86" s="135">
        <v>1.387</v>
      </c>
      <c r="T86" s="135">
        <v>9.2750000000000004</v>
      </c>
      <c r="U86" s="135">
        <v>5.5E-2</v>
      </c>
      <c r="V86" s="135">
        <v>5.8000000000000003E-2</v>
      </c>
      <c r="W86" s="135">
        <v>0</v>
      </c>
      <c r="X86" s="135">
        <v>0</v>
      </c>
      <c r="Y86" s="135" t="s">
        <v>1995</v>
      </c>
      <c r="Z86" s="135">
        <v>4</v>
      </c>
      <c r="AA86" s="135">
        <v>3800</v>
      </c>
      <c r="AB86" s="135">
        <v>944.4</v>
      </c>
      <c r="AC86" s="135">
        <v>1.06</v>
      </c>
      <c r="AD86" s="135">
        <v>4.8</v>
      </c>
      <c r="AE86" s="135">
        <v>6000</v>
      </c>
      <c r="AF86" s="135">
        <v>1256.5</v>
      </c>
      <c r="AG86" s="135">
        <v>0.8</v>
      </c>
      <c r="AH86" s="135">
        <v>5</v>
      </c>
      <c r="AI86" s="135">
        <v>3300</v>
      </c>
      <c r="AJ86" s="135">
        <v>663.1</v>
      </c>
      <c r="AK86" s="135">
        <v>1.51</v>
      </c>
      <c r="AL86" s="135">
        <v>4.0999999999999996</v>
      </c>
      <c r="AM86" s="135">
        <v>4800</v>
      </c>
      <c r="AN86" s="135">
        <v>1176</v>
      </c>
      <c r="AO86" s="135">
        <v>0.85</v>
      </c>
      <c r="AP86" s="135"/>
      <c r="AQ86" s="135"/>
      <c r="AR86" s="135"/>
      <c r="AS86" s="135"/>
      <c r="AT86" s="135"/>
      <c r="AU86" s="135"/>
      <c r="AV86" s="135"/>
      <c r="AW86" s="135"/>
      <c r="AX86" s="135">
        <v>4.0999999999999996</v>
      </c>
      <c r="AY86" s="135">
        <v>11</v>
      </c>
      <c r="AZ86" s="135">
        <v>2.7</v>
      </c>
      <c r="BA86" s="135">
        <v>0.37</v>
      </c>
      <c r="BB86" s="135"/>
      <c r="BC86" s="135"/>
      <c r="BD86" s="135"/>
      <c r="BE86" s="135"/>
      <c r="BF86" s="135">
        <v>5</v>
      </c>
      <c r="BG86" s="135">
        <v>6400</v>
      </c>
      <c r="BH86" s="135">
        <v>1285.9000000000001</v>
      </c>
      <c r="BI86" s="135">
        <v>0.78</v>
      </c>
      <c r="BJ86" s="135">
        <v>46</v>
      </c>
      <c r="BK86" s="135">
        <v>3</v>
      </c>
      <c r="BL86" s="135">
        <v>21.5</v>
      </c>
    </row>
    <row r="87" spans="1:64" x14ac:dyDescent="0.3">
      <c r="A87" s="135">
        <v>2016</v>
      </c>
      <c r="B87" s="135">
        <v>4</v>
      </c>
      <c r="C87" s="135" t="s">
        <v>2049</v>
      </c>
      <c r="D87" s="135" t="s">
        <v>148</v>
      </c>
      <c r="E87" s="135" t="s">
        <v>394</v>
      </c>
      <c r="F87" s="135" t="s">
        <v>52</v>
      </c>
      <c r="G87" s="135" t="s">
        <v>2309</v>
      </c>
      <c r="H87" s="135">
        <v>22.04</v>
      </c>
      <c r="I87" s="135">
        <v>3.2719999999999998</v>
      </c>
      <c r="J87" s="135">
        <v>3.4830000000000001</v>
      </c>
      <c r="K87" s="135">
        <v>0</v>
      </c>
      <c r="L87" s="135">
        <v>0</v>
      </c>
      <c r="M87" s="135">
        <v>0</v>
      </c>
      <c r="N87" s="135">
        <v>0</v>
      </c>
      <c r="O87" s="135">
        <v>0</v>
      </c>
      <c r="P87" s="135">
        <v>4.3559999999999999</v>
      </c>
      <c r="Q87" s="135">
        <v>18.288</v>
      </c>
      <c r="R87" s="135">
        <v>0.23300000000000001</v>
      </c>
      <c r="S87" s="135">
        <v>0.21099999999999999</v>
      </c>
      <c r="T87" s="135">
        <v>1.2150000000000001</v>
      </c>
      <c r="U87" s="135">
        <v>0</v>
      </c>
      <c r="V87" s="135">
        <v>3.7999999999999999E-2</v>
      </c>
      <c r="W87" s="135">
        <v>0</v>
      </c>
      <c r="X87" s="135">
        <v>0</v>
      </c>
      <c r="Y87" s="135" t="s">
        <v>1995</v>
      </c>
      <c r="Z87" s="135">
        <v>3.3</v>
      </c>
      <c r="AA87" s="135">
        <v>3900</v>
      </c>
      <c r="AB87" s="135">
        <v>1167.7</v>
      </c>
      <c r="AC87" s="135">
        <v>0.86</v>
      </c>
      <c r="AD87" s="135">
        <v>3.5</v>
      </c>
      <c r="AE87" s="135">
        <v>6000</v>
      </c>
      <c r="AF87" s="135">
        <v>1722.5</v>
      </c>
      <c r="AG87" s="135">
        <v>0.57999999999999996</v>
      </c>
      <c r="AH87" s="135">
        <v>3.6</v>
      </c>
      <c r="AI87" s="135">
        <v>3900</v>
      </c>
      <c r="AJ87" s="135">
        <v>1071.9000000000001</v>
      </c>
      <c r="AK87" s="135">
        <v>0.93</v>
      </c>
      <c r="AL87" s="135">
        <v>3.4</v>
      </c>
      <c r="AM87" s="135">
        <v>5200</v>
      </c>
      <c r="AN87" s="135">
        <v>1539.5</v>
      </c>
      <c r="AO87" s="135">
        <v>0.65</v>
      </c>
      <c r="AP87" s="135"/>
      <c r="AQ87" s="135"/>
      <c r="AR87" s="135"/>
      <c r="AS87" s="135"/>
      <c r="AT87" s="135"/>
      <c r="AU87" s="135"/>
      <c r="AV87" s="135"/>
      <c r="AW87" s="135"/>
      <c r="AX87" s="135">
        <v>3.4</v>
      </c>
      <c r="AY87" s="135">
        <v>14</v>
      </c>
      <c r="AZ87" s="135">
        <v>4.0999999999999996</v>
      </c>
      <c r="BA87" s="135">
        <v>0.24</v>
      </c>
      <c r="BB87" s="135"/>
      <c r="BC87" s="135"/>
      <c r="BD87" s="135"/>
      <c r="BE87" s="135"/>
      <c r="BF87" s="135">
        <v>3.6</v>
      </c>
      <c r="BG87" s="135">
        <v>7700</v>
      </c>
      <c r="BH87" s="135">
        <v>2116.4</v>
      </c>
      <c r="BI87" s="135">
        <v>0.47</v>
      </c>
      <c r="BJ87" s="135">
        <v>46</v>
      </c>
      <c r="BK87" s="135">
        <v>-3</v>
      </c>
      <c r="BL87" s="135">
        <v>24.5</v>
      </c>
    </row>
    <row r="88" spans="1:64" x14ac:dyDescent="0.3">
      <c r="A88" s="135">
        <v>2016</v>
      </c>
      <c r="B88" s="135">
        <v>4</v>
      </c>
      <c r="C88" s="135" t="s">
        <v>2050</v>
      </c>
      <c r="D88" s="135" t="s">
        <v>152</v>
      </c>
      <c r="E88" s="135" t="s">
        <v>394</v>
      </c>
      <c r="F88" s="135" t="s">
        <v>404</v>
      </c>
      <c r="G88" s="135" t="s">
        <v>2308</v>
      </c>
      <c r="H88" s="135">
        <v>27.32</v>
      </c>
      <c r="I88" s="135">
        <v>3.125</v>
      </c>
      <c r="J88" s="135">
        <v>6.3120000000000003</v>
      </c>
      <c r="K88" s="135">
        <v>0</v>
      </c>
      <c r="L88" s="135">
        <v>0</v>
      </c>
      <c r="M88" s="135">
        <v>0</v>
      </c>
      <c r="N88" s="135">
        <v>0</v>
      </c>
      <c r="O88" s="135">
        <v>0</v>
      </c>
      <c r="P88" s="135">
        <v>0.61299999999999999</v>
      </c>
      <c r="Q88" s="135">
        <v>1.9059999999999999</v>
      </c>
      <c r="R88" s="135">
        <v>0</v>
      </c>
      <c r="S88" s="135">
        <v>3.1869999999999998</v>
      </c>
      <c r="T88" s="135">
        <v>22.603999999999999</v>
      </c>
      <c r="U88" s="135">
        <v>0.122</v>
      </c>
      <c r="V88" s="135">
        <v>2.9000000000000001E-2</v>
      </c>
      <c r="W88" s="135">
        <v>0</v>
      </c>
      <c r="X88" s="135">
        <v>0</v>
      </c>
      <c r="Y88" s="135" t="s">
        <v>1995</v>
      </c>
      <c r="Z88" s="135">
        <v>4.7</v>
      </c>
      <c r="AA88" s="135">
        <v>3500</v>
      </c>
      <c r="AB88" s="135">
        <v>746.3</v>
      </c>
      <c r="AC88" s="135">
        <v>1.34</v>
      </c>
      <c r="AD88" s="135">
        <v>6.3</v>
      </c>
      <c r="AE88" s="135">
        <v>6000</v>
      </c>
      <c r="AF88" s="135">
        <v>950.6</v>
      </c>
      <c r="AG88" s="135">
        <v>1.05</v>
      </c>
      <c r="AH88" s="135">
        <v>6.5</v>
      </c>
      <c r="AI88" s="135">
        <v>3100</v>
      </c>
      <c r="AJ88" s="135">
        <v>477.8</v>
      </c>
      <c r="AK88" s="135">
        <v>2.09</v>
      </c>
      <c r="AL88" s="135">
        <v>4.7</v>
      </c>
      <c r="AM88" s="135">
        <v>5000</v>
      </c>
      <c r="AN88" s="135">
        <v>1059.7</v>
      </c>
      <c r="AO88" s="135">
        <v>0.94</v>
      </c>
      <c r="AP88" s="135"/>
      <c r="AQ88" s="135"/>
      <c r="AR88" s="135"/>
      <c r="AS88" s="135"/>
      <c r="AT88" s="135"/>
      <c r="AU88" s="135"/>
      <c r="AV88" s="135"/>
      <c r="AW88" s="135"/>
      <c r="AX88" s="135">
        <v>4.7</v>
      </c>
      <c r="AY88" s="135">
        <v>10</v>
      </c>
      <c r="AZ88" s="135">
        <v>2.1</v>
      </c>
      <c r="BA88" s="135">
        <v>0.47</v>
      </c>
      <c r="BB88" s="135"/>
      <c r="BC88" s="135"/>
      <c r="BD88" s="135"/>
      <c r="BE88" s="135"/>
      <c r="BF88" s="135">
        <v>6.5</v>
      </c>
      <c r="BG88" s="135">
        <v>6000</v>
      </c>
      <c r="BH88" s="135">
        <v>924.8</v>
      </c>
      <c r="BI88" s="135">
        <v>1.08</v>
      </c>
      <c r="BJ88" s="135">
        <v>53.5</v>
      </c>
      <c r="BK88" s="135">
        <v>4</v>
      </c>
      <c r="BL88" s="135">
        <v>24.75</v>
      </c>
    </row>
    <row r="89" spans="1:64" x14ac:dyDescent="0.3">
      <c r="A89" s="135">
        <v>2016</v>
      </c>
      <c r="B89" s="135">
        <v>4</v>
      </c>
      <c r="C89" s="135" t="s">
        <v>2059</v>
      </c>
      <c r="D89" s="135" t="s">
        <v>124</v>
      </c>
      <c r="E89" s="135" t="s">
        <v>394</v>
      </c>
      <c r="F89" s="135" t="s">
        <v>34</v>
      </c>
      <c r="G89" s="135" t="s">
        <v>7</v>
      </c>
      <c r="H89" s="135">
        <v>16.670000000000002</v>
      </c>
      <c r="I89" s="135">
        <v>3.0259999999999998</v>
      </c>
      <c r="J89" s="135">
        <v>4.2990000000000004</v>
      </c>
      <c r="K89" s="135">
        <v>0</v>
      </c>
      <c r="L89" s="135">
        <v>0</v>
      </c>
      <c r="M89" s="135">
        <v>0</v>
      </c>
      <c r="N89" s="135">
        <v>0</v>
      </c>
      <c r="O89" s="135">
        <v>0</v>
      </c>
      <c r="P89" s="135">
        <v>5.194</v>
      </c>
      <c r="Q89" s="135">
        <v>23.681999999999999</v>
      </c>
      <c r="R89" s="135">
        <v>2.8000000000000001E-2</v>
      </c>
      <c r="S89" s="135">
        <v>1.2729999999999999</v>
      </c>
      <c r="T89" s="135">
        <v>6.3579999999999997</v>
      </c>
      <c r="U89" s="135">
        <v>0</v>
      </c>
      <c r="V89" s="135">
        <v>7.2999999999999995E-2</v>
      </c>
      <c r="W89" s="135">
        <v>0</v>
      </c>
      <c r="X89" s="135">
        <v>0</v>
      </c>
      <c r="Y89" s="135" t="s">
        <v>1995</v>
      </c>
      <c r="Z89" s="135">
        <v>3.6</v>
      </c>
      <c r="AA89" s="135">
        <v>4000</v>
      </c>
      <c r="AB89" s="135">
        <v>1114.4000000000001</v>
      </c>
      <c r="AC89" s="135">
        <v>0.9</v>
      </c>
      <c r="AD89" s="135">
        <v>4.3</v>
      </c>
      <c r="AE89" s="135">
        <v>6000</v>
      </c>
      <c r="AF89" s="135">
        <v>1395.7</v>
      </c>
      <c r="AG89" s="135">
        <v>0.72</v>
      </c>
      <c r="AH89" s="135">
        <v>4.5999999999999996</v>
      </c>
      <c r="AI89" s="135">
        <v>3300</v>
      </c>
      <c r="AJ89" s="135">
        <v>724.9</v>
      </c>
      <c r="AK89" s="135">
        <v>1.38</v>
      </c>
      <c r="AL89" s="135">
        <v>3.7</v>
      </c>
      <c r="AM89" s="135">
        <v>5000</v>
      </c>
      <c r="AN89" s="135">
        <v>1365.2</v>
      </c>
      <c r="AO89" s="135">
        <v>0.73</v>
      </c>
      <c r="AP89" s="135"/>
      <c r="AQ89" s="135"/>
      <c r="AR89" s="135"/>
      <c r="AS89" s="135"/>
      <c r="AT89" s="135"/>
      <c r="AU89" s="135"/>
      <c r="AV89" s="135"/>
      <c r="AW89" s="135"/>
      <c r="AX89" s="135">
        <v>3.7</v>
      </c>
      <c r="AY89" s="135">
        <v>11</v>
      </c>
      <c r="AZ89" s="135">
        <v>3</v>
      </c>
      <c r="BA89" s="135">
        <v>0.33</v>
      </c>
      <c r="BB89" s="135"/>
      <c r="BC89" s="135"/>
      <c r="BD89" s="135"/>
      <c r="BE89" s="135"/>
      <c r="BF89" s="135">
        <v>4.5999999999999996</v>
      </c>
      <c r="BG89" s="135">
        <v>6400</v>
      </c>
      <c r="BH89" s="135">
        <v>1405.9</v>
      </c>
      <c r="BI89" s="135">
        <v>0.71</v>
      </c>
      <c r="BJ89" s="135">
        <v>40.5</v>
      </c>
      <c r="BK89" s="135">
        <v>1.5</v>
      </c>
      <c r="BL89" s="135">
        <v>19.5</v>
      </c>
    </row>
    <row r="90" spans="1:64" x14ac:dyDescent="0.3">
      <c r="A90" s="135">
        <v>2016</v>
      </c>
      <c r="B90" s="135">
        <v>4</v>
      </c>
      <c r="C90" s="135" t="s">
        <v>2078</v>
      </c>
      <c r="D90" s="135" t="s">
        <v>167</v>
      </c>
      <c r="E90" s="135" t="s">
        <v>394</v>
      </c>
      <c r="F90" s="135" t="s">
        <v>57</v>
      </c>
      <c r="G90" s="135" t="s">
        <v>1999</v>
      </c>
      <c r="H90" s="135">
        <v>12.92</v>
      </c>
      <c r="I90" s="135">
        <v>2.9980000000000002</v>
      </c>
      <c r="J90" s="135">
        <v>4.2889999999999997</v>
      </c>
      <c r="K90" s="135">
        <v>0</v>
      </c>
      <c r="L90" s="135">
        <v>0</v>
      </c>
      <c r="M90" s="135">
        <v>0</v>
      </c>
      <c r="N90" s="135">
        <v>0</v>
      </c>
      <c r="O90" s="135">
        <v>0</v>
      </c>
      <c r="P90" s="135">
        <v>3.9140000000000001</v>
      </c>
      <c r="Q90" s="135">
        <v>16.977</v>
      </c>
      <c r="R90" s="135">
        <v>4.2000000000000003E-2</v>
      </c>
      <c r="S90" s="135">
        <v>1.2909999999999999</v>
      </c>
      <c r="T90" s="135">
        <v>9.3849999999999998</v>
      </c>
      <c r="U90" s="135">
        <v>3.5999999999999997E-2</v>
      </c>
      <c r="V90" s="135">
        <v>5.2999999999999999E-2</v>
      </c>
      <c r="W90" s="135">
        <v>0</v>
      </c>
      <c r="X90" s="135">
        <v>0</v>
      </c>
      <c r="Y90" s="135" t="s">
        <v>1995</v>
      </c>
      <c r="Z90" s="135">
        <v>3.6</v>
      </c>
      <c r="AA90" s="135">
        <v>3500</v>
      </c>
      <c r="AB90" s="135">
        <v>974.7</v>
      </c>
      <c r="AC90" s="135">
        <v>1.03</v>
      </c>
      <c r="AD90" s="135">
        <v>4.3</v>
      </c>
      <c r="AE90" s="135">
        <v>6000</v>
      </c>
      <c r="AF90" s="135">
        <v>1398.9</v>
      </c>
      <c r="AG90" s="135">
        <v>0.71</v>
      </c>
      <c r="AH90" s="135">
        <v>4.5</v>
      </c>
      <c r="AI90" s="135">
        <v>3000</v>
      </c>
      <c r="AJ90" s="135">
        <v>666.6</v>
      </c>
      <c r="AK90" s="135">
        <v>1.5</v>
      </c>
      <c r="AL90" s="135">
        <v>3.6</v>
      </c>
      <c r="AM90" s="135">
        <v>4900</v>
      </c>
      <c r="AN90" s="135">
        <v>1344.8</v>
      </c>
      <c r="AO90" s="135">
        <v>0.74</v>
      </c>
      <c r="AP90" s="135"/>
      <c r="AQ90" s="135"/>
      <c r="AR90" s="135"/>
      <c r="AS90" s="135"/>
      <c r="AT90" s="135"/>
      <c r="AU90" s="135"/>
      <c r="AV90" s="135"/>
      <c r="AW90" s="135"/>
      <c r="AX90" s="135">
        <v>3.6</v>
      </c>
      <c r="AY90" s="135">
        <v>10</v>
      </c>
      <c r="AZ90" s="135">
        <v>2.7</v>
      </c>
      <c r="BA90" s="135">
        <v>0.36</v>
      </c>
      <c r="BB90" s="135"/>
      <c r="BC90" s="135"/>
      <c r="BD90" s="135"/>
      <c r="BE90" s="135"/>
      <c r="BF90" s="135">
        <v>4.5</v>
      </c>
      <c r="BG90" s="135">
        <v>6000</v>
      </c>
      <c r="BH90" s="135">
        <v>1333.2</v>
      </c>
      <c r="BI90" s="135">
        <v>0.75</v>
      </c>
      <c r="BJ90" s="135">
        <v>44.5</v>
      </c>
      <c r="BK90" s="135">
        <v>7</v>
      </c>
      <c r="BL90" s="135">
        <v>18.75</v>
      </c>
    </row>
    <row r="91" spans="1:64" x14ac:dyDescent="0.3">
      <c r="A91" s="135">
        <v>2016</v>
      </c>
      <c r="B91" s="135">
        <v>4</v>
      </c>
      <c r="C91" s="135" t="s">
        <v>2047</v>
      </c>
      <c r="D91" s="135" t="s">
        <v>117</v>
      </c>
      <c r="E91" s="135" t="s">
        <v>394</v>
      </c>
      <c r="F91" s="135" t="s">
        <v>404</v>
      </c>
      <c r="G91" s="135" t="s">
        <v>2308</v>
      </c>
      <c r="H91" s="135">
        <v>27.32</v>
      </c>
      <c r="I91" s="135">
        <v>2.4249999999999998</v>
      </c>
      <c r="J91" s="135">
        <v>2.7149999999999999</v>
      </c>
      <c r="K91" s="135">
        <v>0</v>
      </c>
      <c r="L91" s="135">
        <v>0</v>
      </c>
      <c r="M91" s="135">
        <v>0</v>
      </c>
      <c r="N91" s="135">
        <v>0</v>
      </c>
      <c r="O91" s="135">
        <v>0</v>
      </c>
      <c r="P91" s="135">
        <v>4.3780000000000001</v>
      </c>
      <c r="Q91" s="135">
        <v>17.631</v>
      </c>
      <c r="R91" s="135">
        <v>8.5000000000000006E-2</v>
      </c>
      <c r="S91" s="135">
        <v>0.28999999999999998</v>
      </c>
      <c r="T91" s="135">
        <v>1.615</v>
      </c>
      <c r="U91" s="135">
        <v>0.01</v>
      </c>
      <c r="V91" s="135">
        <v>3.5000000000000003E-2</v>
      </c>
      <c r="W91" s="135">
        <v>0</v>
      </c>
      <c r="X91" s="135">
        <v>0</v>
      </c>
      <c r="Y91" s="135" t="s">
        <v>1995</v>
      </c>
      <c r="Z91" s="135">
        <v>2.5</v>
      </c>
      <c r="AA91" s="135">
        <v>3900</v>
      </c>
      <c r="AB91" s="135">
        <v>1538.7</v>
      </c>
      <c r="AC91" s="135">
        <v>0.65</v>
      </c>
      <c r="AD91" s="135">
        <v>2.7</v>
      </c>
      <c r="AE91" s="135">
        <v>6000</v>
      </c>
      <c r="AF91" s="135">
        <v>2210.3000000000002</v>
      </c>
      <c r="AG91" s="135">
        <v>0.45</v>
      </c>
      <c r="AH91" s="135">
        <v>2.9</v>
      </c>
      <c r="AI91" s="135">
        <v>3300</v>
      </c>
      <c r="AJ91" s="135">
        <v>1151.8</v>
      </c>
      <c r="AK91" s="135">
        <v>0.87</v>
      </c>
      <c r="AL91" s="135">
        <v>2.6</v>
      </c>
      <c r="AM91" s="135">
        <v>4700</v>
      </c>
      <c r="AN91" s="135">
        <v>1829.1</v>
      </c>
      <c r="AO91" s="135">
        <v>0.55000000000000004</v>
      </c>
      <c r="AP91" s="135"/>
      <c r="AQ91" s="135"/>
      <c r="AR91" s="135"/>
      <c r="AS91" s="135"/>
      <c r="AT91" s="135"/>
      <c r="AU91" s="135"/>
      <c r="AV91" s="135"/>
      <c r="AW91" s="135"/>
      <c r="AX91" s="135">
        <v>2.6</v>
      </c>
      <c r="AY91" s="135">
        <v>10</v>
      </c>
      <c r="AZ91" s="135">
        <v>3.9</v>
      </c>
      <c r="BA91" s="135">
        <v>0.26</v>
      </c>
      <c r="BB91" s="135"/>
      <c r="BC91" s="135"/>
      <c r="BD91" s="135"/>
      <c r="BE91" s="135"/>
      <c r="BF91" s="135">
        <v>2.9</v>
      </c>
      <c r="BG91" s="135">
        <v>6400</v>
      </c>
      <c r="BH91" s="135">
        <v>2233.8000000000002</v>
      </c>
      <c r="BI91" s="135">
        <v>0.45</v>
      </c>
      <c r="BJ91" s="135">
        <v>53.5</v>
      </c>
      <c r="BK91" s="135">
        <v>4</v>
      </c>
      <c r="BL91" s="135">
        <v>24.75</v>
      </c>
    </row>
    <row r="92" spans="1:64" x14ac:dyDescent="0.3">
      <c r="A92" s="135">
        <v>2016</v>
      </c>
      <c r="B92" s="135">
        <v>4</v>
      </c>
      <c r="C92" s="135" t="s">
        <v>2064</v>
      </c>
      <c r="D92" s="135" t="s">
        <v>156</v>
      </c>
      <c r="E92" s="135" t="s">
        <v>394</v>
      </c>
      <c r="F92" s="135" t="s">
        <v>16</v>
      </c>
      <c r="G92" s="135" t="s">
        <v>1980</v>
      </c>
      <c r="H92" s="135">
        <v>16.350000000000001</v>
      </c>
      <c r="I92" s="135">
        <v>2.327</v>
      </c>
      <c r="J92" s="135">
        <v>2.9529999999999998</v>
      </c>
      <c r="K92" s="135">
        <v>0</v>
      </c>
      <c r="L92" s="135">
        <v>0</v>
      </c>
      <c r="M92" s="135">
        <v>0</v>
      </c>
      <c r="N92" s="135">
        <v>0</v>
      </c>
      <c r="O92" s="135">
        <v>0</v>
      </c>
      <c r="P92" s="135">
        <v>2.3079999999999998</v>
      </c>
      <c r="Q92" s="135">
        <v>9.1140000000000008</v>
      </c>
      <c r="R92" s="135">
        <v>0.152</v>
      </c>
      <c r="S92" s="135">
        <v>0.626</v>
      </c>
      <c r="T92" s="135">
        <v>4.2709999999999999</v>
      </c>
      <c r="U92" s="135">
        <v>0.02</v>
      </c>
      <c r="V92" s="135">
        <v>2.1999999999999999E-2</v>
      </c>
      <c r="W92" s="135">
        <v>0</v>
      </c>
      <c r="X92" s="135">
        <v>0</v>
      </c>
      <c r="Y92" s="135" t="s">
        <v>1995</v>
      </c>
      <c r="Z92" s="135">
        <v>2.6</v>
      </c>
      <c r="AA92" s="135">
        <v>3900</v>
      </c>
      <c r="AB92" s="135">
        <v>1490</v>
      </c>
      <c r="AC92" s="135">
        <v>0.67</v>
      </c>
      <c r="AD92" s="135">
        <v>3</v>
      </c>
      <c r="AE92" s="135">
        <v>6000</v>
      </c>
      <c r="AF92" s="135">
        <v>2032.2</v>
      </c>
      <c r="AG92" s="135">
        <v>0.49</v>
      </c>
      <c r="AH92" s="135">
        <v>3.1</v>
      </c>
      <c r="AI92" s="135">
        <v>3000</v>
      </c>
      <c r="AJ92" s="135">
        <v>982.1</v>
      </c>
      <c r="AK92" s="135">
        <v>1.02</v>
      </c>
      <c r="AL92" s="135">
        <v>2.6</v>
      </c>
      <c r="AM92" s="135">
        <v>5000</v>
      </c>
      <c r="AN92" s="135">
        <v>1894.3</v>
      </c>
      <c r="AO92" s="135">
        <v>0.53</v>
      </c>
      <c r="AP92" s="135"/>
      <c r="AQ92" s="135"/>
      <c r="AR92" s="135"/>
      <c r="AS92" s="135"/>
      <c r="AT92" s="135"/>
      <c r="AU92" s="135"/>
      <c r="AV92" s="135"/>
      <c r="AW92" s="135"/>
      <c r="AX92" s="135">
        <v>2.6</v>
      </c>
      <c r="AY92" s="135">
        <v>10</v>
      </c>
      <c r="AZ92" s="135">
        <v>3.8</v>
      </c>
      <c r="BA92" s="135">
        <v>0.26</v>
      </c>
      <c r="BB92" s="135"/>
      <c r="BC92" s="135"/>
      <c r="BD92" s="135"/>
      <c r="BE92" s="135"/>
      <c r="BF92" s="135">
        <v>3.1</v>
      </c>
      <c r="BG92" s="135">
        <v>6000</v>
      </c>
      <c r="BH92" s="135">
        <v>1964.1</v>
      </c>
      <c r="BI92" s="135">
        <v>0.51</v>
      </c>
      <c r="BJ92" s="135">
        <v>49.5</v>
      </c>
      <c r="BK92" s="135">
        <v>-2.5</v>
      </c>
      <c r="BL92" s="135">
        <v>26</v>
      </c>
    </row>
    <row r="93" spans="1:64" x14ac:dyDescent="0.3">
      <c r="A93" s="135">
        <v>2016</v>
      </c>
      <c r="B93" s="135">
        <v>4</v>
      </c>
      <c r="C93" s="135" t="s">
        <v>2056</v>
      </c>
      <c r="D93" s="135" t="s">
        <v>138</v>
      </c>
      <c r="E93" s="135" t="s">
        <v>394</v>
      </c>
      <c r="F93" s="135" t="s">
        <v>22</v>
      </c>
      <c r="G93" s="135" t="s">
        <v>2296</v>
      </c>
      <c r="H93" s="135">
        <v>24.7</v>
      </c>
      <c r="I93" s="135">
        <v>2.1850000000000001</v>
      </c>
      <c r="J93" s="135">
        <v>3.2650000000000001</v>
      </c>
      <c r="K93" s="135">
        <v>0</v>
      </c>
      <c r="L93" s="135">
        <v>0</v>
      </c>
      <c r="M93" s="135">
        <v>0</v>
      </c>
      <c r="N93" s="135">
        <v>0</v>
      </c>
      <c r="O93" s="135">
        <v>0</v>
      </c>
      <c r="P93" s="135">
        <v>2.113</v>
      </c>
      <c r="Q93" s="135">
        <v>8.4920000000000009</v>
      </c>
      <c r="R93" s="135">
        <v>0.12</v>
      </c>
      <c r="S93" s="135">
        <v>1.08</v>
      </c>
      <c r="T93" s="135">
        <v>5.5330000000000004</v>
      </c>
      <c r="U93" s="135">
        <v>1.9E-2</v>
      </c>
      <c r="V93" s="135">
        <v>2.5999999999999999E-2</v>
      </c>
      <c r="W93" s="135">
        <v>0</v>
      </c>
      <c r="X93" s="135">
        <v>0</v>
      </c>
      <c r="Y93" s="135" t="s">
        <v>1995</v>
      </c>
      <c r="Z93" s="135"/>
      <c r="AA93" s="135"/>
      <c r="AB93" s="135"/>
      <c r="AC93" s="135"/>
      <c r="AD93" s="135">
        <v>3.3</v>
      </c>
      <c r="AE93" s="135">
        <v>6000</v>
      </c>
      <c r="AF93" s="135">
        <v>1838</v>
      </c>
      <c r="AG93" s="135">
        <v>0.54</v>
      </c>
      <c r="AH93" s="135">
        <v>3.4</v>
      </c>
      <c r="AI93" s="135">
        <v>3000</v>
      </c>
      <c r="AJ93" s="135">
        <v>889</v>
      </c>
      <c r="AK93" s="135">
        <v>1.1200000000000001</v>
      </c>
      <c r="AL93" s="135">
        <v>2.7</v>
      </c>
      <c r="AM93" s="135">
        <v>4900</v>
      </c>
      <c r="AN93" s="135">
        <v>1798.5</v>
      </c>
      <c r="AO93" s="135">
        <v>0.56000000000000005</v>
      </c>
      <c r="AP93" s="135"/>
      <c r="AQ93" s="135"/>
      <c r="AR93" s="135"/>
      <c r="AS93" s="135"/>
      <c r="AT93" s="135"/>
      <c r="AU93" s="135"/>
      <c r="AV93" s="135"/>
      <c r="AW93" s="135"/>
      <c r="AX93" s="135">
        <v>2.7</v>
      </c>
      <c r="AY93" s="135">
        <v>10</v>
      </c>
      <c r="AZ93" s="135">
        <v>3.7</v>
      </c>
      <c r="BA93" s="135">
        <v>0.27</v>
      </c>
      <c r="BB93" s="135"/>
      <c r="BC93" s="135"/>
      <c r="BD93" s="135"/>
      <c r="BE93" s="135"/>
      <c r="BF93" s="135">
        <v>3.4</v>
      </c>
      <c r="BG93" s="135">
        <v>6000</v>
      </c>
      <c r="BH93" s="135">
        <v>1778</v>
      </c>
      <c r="BI93" s="135">
        <v>0.56000000000000005</v>
      </c>
      <c r="BJ93" s="135">
        <v>50</v>
      </c>
      <c r="BK93" s="135">
        <v>-3</v>
      </c>
      <c r="BL93" s="135">
        <v>26.5</v>
      </c>
    </row>
    <row r="94" spans="1:64" x14ac:dyDescent="0.3">
      <c r="A94" s="135">
        <v>2016</v>
      </c>
      <c r="B94" s="135">
        <v>4</v>
      </c>
      <c r="C94" s="135" t="s">
        <v>2065</v>
      </c>
      <c r="D94" s="135" t="s">
        <v>155</v>
      </c>
      <c r="E94" s="135" t="s">
        <v>394</v>
      </c>
      <c r="F94" s="135" t="s">
        <v>32</v>
      </c>
      <c r="G94" s="135" t="s">
        <v>4</v>
      </c>
      <c r="H94" s="135">
        <v>16.09</v>
      </c>
      <c r="I94" s="135">
        <v>1.9770000000000001</v>
      </c>
      <c r="J94" s="135">
        <v>3.5960000000000001</v>
      </c>
      <c r="K94" s="135">
        <v>0</v>
      </c>
      <c r="L94" s="135">
        <v>0</v>
      </c>
      <c r="M94" s="135">
        <v>0</v>
      </c>
      <c r="N94" s="135">
        <v>0</v>
      </c>
      <c r="O94" s="135">
        <v>0</v>
      </c>
      <c r="P94" s="135">
        <v>0.99299999999999999</v>
      </c>
      <c r="Q94" s="135">
        <v>2.7050000000000001</v>
      </c>
      <c r="R94" s="135">
        <v>0</v>
      </c>
      <c r="S94" s="135">
        <v>1.619</v>
      </c>
      <c r="T94" s="135">
        <v>14.121</v>
      </c>
      <c r="U94" s="135">
        <v>5.5E-2</v>
      </c>
      <c r="V94" s="135">
        <v>1.7999999999999999E-2</v>
      </c>
      <c r="W94" s="135">
        <v>0</v>
      </c>
      <c r="X94" s="135">
        <v>0</v>
      </c>
      <c r="Y94" s="135" t="s">
        <v>1995</v>
      </c>
      <c r="Z94" s="135"/>
      <c r="AA94" s="135"/>
      <c r="AB94" s="135"/>
      <c r="AC94" s="135"/>
      <c r="AD94" s="135">
        <v>3.6</v>
      </c>
      <c r="AE94" s="135">
        <v>6000</v>
      </c>
      <c r="AF94" s="135">
        <v>1668.7</v>
      </c>
      <c r="AG94" s="135">
        <v>0.6</v>
      </c>
      <c r="AH94" s="135">
        <v>3.7</v>
      </c>
      <c r="AI94" s="135">
        <v>3000</v>
      </c>
      <c r="AJ94" s="135">
        <v>807.6</v>
      </c>
      <c r="AK94" s="135">
        <v>1.24</v>
      </c>
      <c r="AL94" s="135">
        <v>2.8</v>
      </c>
      <c r="AM94" s="135">
        <v>4500</v>
      </c>
      <c r="AN94" s="135">
        <v>1615.2</v>
      </c>
      <c r="AO94" s="135">
        <v>0.62</v>
      </c>
      <c r="AP94" s="135"/>
      <c r="AQ94" s="135"/>
      <c r="AR94" s="135"/>
      <c r="AS94" s="135"/>
      <c r="AT94" s="135"/>
      <c r="AU94" s="135"/>
      <c r="AV94" s="135"/>
      <c r="AW94" s="135"/>
      <c r="AX94" s="135">
        <v>2.8</v>
      </c>
      <c r="AY94" s="135">
        <v>10</v>
      </c>
      <c r="AZ94" s="135">
        <v>3.6</v>
      </c>
      <c r="BA94" s="135">
        <v>0.28000000000000003</v>
      </c>
      <c r="BB94" s="135"/>
      <c r="BC94" s="135"/>
      <c r="BD94" s="135"/>
      <c r="BE94" s="135"/>
      <c r="BF94" s="135">
        <v>3.7</v>
      </c>
      <c r="BG94" s="135">
        <v>6000</v>
      </c>
      <c r="BH94" s="135">
        <v>1615.3</v>
      </c>
      <c r="BI94" s="135">
        <v>0.62</v>
      </c>
      <c r="BJ94" s="135">
        <v>46.5</v>
      </c>
      <c r="BK94" s="135">
        <v>-3.5</v>
      </c>
      <c r="BL94" s="135">
        <v>25</v>
      </c>
    </row>
    <row r="95" spans="1:64" x14ac:dyDescent="0.3">
      <c r="A95" s="135">
        <v>2016</v>
      </c>
      <c r="B95" s="135">
        <v>4</v>
      </c>
      <c r="C95" s="135" t="s">
        <v>2057</v>
      </c>
      <c r="D95" s="135" t="s">
        <v>151</v>
      </c>
      <c r="E95" s="135" t="s">
        <v>394</v>
      </c>
      <c r="F95" s="135" t="s">
        <v>409</v>
      </c>
      <c r="G95" s="135" t="s">
        <v>2295</v>
      </c>
      <c r="H95" s="135">
        <v>15.59</v>
      </c>
      <c r="I95" s="135">
        <v>1.8759999999999999</v>
      </c>
      <c r="J95" s="135">
        <v>3.0139999999999998</v>
      </c>
      <c r="K95" s="135">
        <v>0</v>
      </c>
      <c r="L95" s="135">
        <v>0</v>
      </c>
      <c r="M95" s="135">
        <v>0</v>
      </c>
      <c r="N95" s="135">
        <v>0</v>
      </c>
      <c r="O95" s="135">
        <v>0</v>
      </c>
      <c r="P95" s="135">
        <v>1.85</v>
      </c>
      <c r="Q95" s="135">
        <v>7.8120000000000003</v>
      </c>
      <c r="R95" s="135">
        <v>2.1999999999999999E-2</v>
      </c>
      <c r="S95" s="135">
        <v>1.1379999999999999</v>
      </c>
      <c r="T95" s="135">
        <v>8.4120000000000008</v>
      </c>
      <c r="U95" s="135">
        <v>3.1E-2</v>
      </c>
      <c r="V95" s="135">
        <v>3.2000000000000001E-2</v>
      </c>
      <c r="W95" s="135">
        <v>0</v>
      </c>
      <c r="X95" s="135">
        <v>0</v>
      </c>
      <c r="Y95" s="135" t="s">
        <v>1995</v>
      </c>
      <c r="Z95" s="135">
        <v>2.4</v>
      </c>
      <c r="AA95" s="135">
        <v>3900</v>
      </c>
      <c r="AB95" s="135">
        <v>1616</v>
      </c>
      <c r="AC95" s="135">
        <v>0.62</v>
      </c>
      <c r="AD95" s="135">
        <v>3</v>
      </c>
      <c r="AE95" s="135">
        <v>6000</v>
      </c>
      <c r="AF95" s="135">
        <v>1990.4</v>
      </c>
      <c r="AG95" s="135">
        <v>0.5</v>
      </c>
      <c r="AH95" s="135">
        <v>3.1</v>
      </c>
      <c r="AI95" s="135">
        <v>3200</v>
      </c>
      <c r="AJ95" s="135">
        <v>1017.9</v>
      </c>
      <c r="AK95" s="135">
        <v>0.98</v>
      </c>
      <c r="AL95" s="135">
        <v>2.4</v>
      </c>
      <c r="AM95" s="135">
        <v>4700</v>
      </c>
      <c r="AN95" s="135">
        <v>1922</v>
      </c>
      <c r="AO95" s="135">
        <v>0.52</v>
      </c>
      <c r="AP95" s="135"/>
      <c r="AQ95" s="135"/>
      <c r="AR95" s="135"/>
      <c r="AS95" s="135"/>
      <c r="AT95" s="135"/>
      <c r="AU95" s="135"/>
      <c r="AV95" s="135"/>
      <c r="AW95" s="135"/>
      <c r="AX95" s="135">
        <v>2.4</v>
      </c>
      <c r="AY95" s="135">
        <v>10</v>
      </c>
      <c r="AZ95" s="135">
        <v>4.0999999999999996</v>
      </c>
      <c r="BA95" s="135">
        <v>0.24</v>
      </c>
      <c r="BB95" s="135"/>
      <c r="BC95" s="135"/>
      <c r="BD95" s="135"/>
      <c r="BE95" s="135"/>
      <c r="BF95" s="135">
        <v>3.1</v>
      </c>
      <c r="BG95" s="135">
        <v>6300</v>
      </c>
      <c r="BH95" s="135">
        <v>2004</v>
      </c>
      <c r="BI95" s="135">
        <v>0.5</v>
      </c>
      <c r="BJ95" s="135">
        <v>43</v>
      </c>
      <c r="BK95" s="135">
        <v>8</v>
      </c>
      <c r="BL95" s="135">
        <v>17.5</v>
      </c>
    </row>
    <row r="96" spans="1:64" x14ac:dyDescent="0.3">
      <c r="A96" s="135">
        <v>2016</v>
      </c>
      <c r="B96" s="135">
        <v>4</v>
      </c>
      <c r="C96" s="135" t="s">
        <v>2066</v>
      </c>
      <c r="D96" s="135" t="s">
        <v>502</v>
      </c>
      <c r="E96" s="135" t="s">
        <v>394</v>
      </c>
      <c r="F96" s="135" t="s">
        <v>407</v>
      </c>
      <c r="G96" s="135" t="s">
        <v>404</v>
      </c>
      <c r="H96" s="135">
        <v>30.34</v>
      </c>
      <c r="I96" s="135">
        <v>1.837</v>
      </c>
      <c r="J96" s="135">
        <v>1.837</v>
      </c>
      <c r="K96" s="135">
        <v>0</v>
      </c>
      <c r="L96" s="135">
        <v>0</v>
      </c>
      <c r="M96" s="135">
        <v>0</v>
      </c>
      <c r="N96" s="135">
        <v>0</v>
      </c>
      <c r="O96" s="135">
        <v>0</v>
      </c>
      <c r="P96" s="135">
        <v>2.8660000000000001</v>
      </c>
      <c r="Q96" s="135">
        <v>11.968</v>
      </c>
      <c r="R96" s="135">
        <v>0.114</v>
      </c>
      <c r="S96" s="135">
        <v>0</v>
      </c>
      <c r="T96" s="135">
        <v>0</v>
      </c>
      <c r="U96" s="135">
        <v>0</v>
      </c>
      <c r="V96" s="135">
        <v>2.1999999999999999E-2</v>
      </c>
      <c r="W96" s="135">
        <v>0</v>
      </c>
      <c r="X96" s="135">
        <v>0</v>
      </c>
      <c r="Y96" s="135" t="s">
        <v>1995</v>
      </c>
      <c r="Z96" s="135">
        <v>1.8</v>
      </c>
      <c r="AA96" s="135">
        <v>3000</v>
      </c>
      <c r="AB96" s="135">
        <v>1653.1</v>
      </c>
      <c r="AC96" s="135">
        <v>0.6</v>
      </c>
      <c r="AD96" s="135">
        <v>1.8</v>
      </c>
      <c r="AE96" s="135">
        <v>6000</v>
      </c>
      <c r="AF96" s="135">
        <v>3266.6</v>
      </c>
      <c r="AG96" s="135">
        <v>0.31</v>
      </c>
      <c r="AH96" s="135">
        <v>1.9</v>
      </c>
      <c r="AI96" s="135">
        <v>3000</v>
      </c>
      <c r="AJ96" s="135">
        <v>1553.9</v>
      </c>
      <c r="AK96" s="135">
        <v>0.64</v>
      </c>
      <c r="AL96" s="135">
        <v>1.8</v>
      </c>
      <c r="AM96" s="135">
        <v>4500</v>
      </c>
      <c r="AN96" s="135">
        <v>2449.9</v>
      </c>
      <c r="AO96" s="135">
        <v>0.41</v>
      </c>
      <c r="AP96" s="135"/>
      <c r="AQ96" s="135"/>
      <c r="AR96" s="135"/>
      <c r="AS96" s="135"/>
      <c r="AT96" s="135"/>
      <c r="AU96" s="135"/>
      <c r="AV96" s="135"/>
      <c r="AW96" s="135"/>
      <c r="AX96" s="135">
        <v>1.8</v>
      </c>
      <c r="AY96" s="135">
        <v>10</v>
      </c>
      <c r="AZ96" s="135">
        <v>5.4</v>
      </c>
      <c r="BA96" s="135">
        <v>0.18</v>
      </c>
      <c r="BB96" s="135"/>
      <c r="BC96" s="135"/>
      <c r="BD96" s="135"/>
      <c r="BE96" s="135"/>
      <c r="BF96" s="135">
        <v>1.9</v>
      </c>
      <c r="BG96" s="135">
        <v>6000</v>
      </c>
      <c r="BH96" s="135">
        <v>3107.8</v>
      </c>
      <c r="BI96" s="135">
        <v>0.32</v>
      </c>
      <c r="BJ96" s="135">
        <v>53.5</v>
      </c>
      <c r="BK96" s="135">
        <v>-4</v>
      </c>
      <c r="BL96" s="135">
        <v>28.75</v>
      </c>
    </row>
    <row r="97" spans="1:64" x14ac:dyDescent="0.3">
      <c r="A97" s="135">
        <v>2016</v>
      </c>
      <c r="B97" s="135">
        <v>4</v>
      </c>
      <c r="C97" s="135" t="s">
        <v>2063</v>
      </c>
      <c r="D97" s="135" t="s">
        <v>118</v>
      </c>
      <c r="E97" s="135" t="s">
        <v>394</v>
      </c>
      <c r="F97" s="135" t="s">
        <v>10</v>
      </c>
      <c r="G97" s="135" t="s">
        <v>1992</v>
      </c>
      <c r="H97" s="135">
        <v>13.69</v>
      </c>
      <c r="I97" s="135">
        <v>1.4690000000000001</v>
      </c>
      <c r="J97" s="135">
        <v>2.2679999999999998</v>
      </c>
      <c r="K97" s="135">
        <v>0</v>
      </c>
      <c r="L97" s="135">
        <v>0</v>
      </c>
      <c r="M97" s="135">
        <v>0</v>
      </c>
      <c r="N97" s="135">
        <v>0</v>
      </c>
      <c r="O97" s="135">
        <v>0</v>
      </c>
      <c r="P97" s="135">
        <v>1.1930000000000001</v>
      </c>
      <c r="Q97" s="135">
        <v>5.9690000000000003</v>
      </c>
      <c r="R97" s="135">
        <v>4.1000000000000002E-2</v>
      </c>
      <c r="S97" s="135">
        <v>0.79900000000000004</v>
      </c>
      <c r="T97" s="135">
        <v>5.3179999999999996</v>
      </c>
      <c r="U97" s="135">
        <v>2.3E-2</v>
      </c>
      <c r="V97" s="135">
        <v>2.1999999999999999E-2</v>
      </c>
      <c r="W97" s="135">
        <v>0</v>
      </c>
      <c r="X97" s="135">
        <v>0</v>
      </c>
      <c r="Y97" s="135" t="s">
        <v>1995</v>
      </c>
      <c r="Z97" s="135">
        <v>1.8</v>
      </c>
      <c r="AA97" s="135">
        <v>3500</v>
      </c>
      <c r="AB97" s="135">
        <v>1895.8</v>
      </c>
      <c r="AC97" s="135">
        <v>0.53</v>
      </c>
      <c r="AD97" s="135">
        <v>2.2999999999999998</v>
      </c>
      <c r="AE97" s="135">
        <v>6000</v>
      </c>
      <c r="AF97" s="135">
        <v>2645.9</v>
      </c>
      <c r="AG97" s="135">
        <v>0.38</v>
      </c>
      <c r="AH97" s="135">
        <v>2.4</v>
      </c>
      <c r="AI97" s="135">
        <v>3000</v>
      </c>
      <c r="AJ97" s="135">
        <v>1272.5999999999999</v>
      </c>
      <c r="AK97" s="135">
        <v>0.79</v>
      </c>
      <c r="AL97" s="135">
        <v>1.9</v>
      </c>
      <c r="AM97" s="135">
        <v>4900</v>
      </c>
      <c r="AN97" s="135">
        <v>2622.8</v>
      </c>
      <c r="AO97" s="135">
        <v>0.38</v>
      </c>
      <c r="AP97" s="135"/>
      <c r="AQ97" s="135"/>
      <c r="AR97" s="135"/>
      <c r="AS97" s="135"/>
      <c r="AT97" s="135"/>
      <c r="AU97" s="135"/>
      <c r="AV97" s="135"/>
      <c r="AW97" s="135"/>
      <c r="AX97" s="135">
        <v>1.9</v>
      </c>
      <c r="AY97" s="135">
        <v>11</v>
      </c>
      <c r="AZ97" s="135">
        <v>5.9</v>
      </c>
      <c r="BA97" s="135">
        <v>0.17</v>
      </c>
      <c r="BB97" s="135"/>
      <c r="BC97" s="135"/>
      <c r="BD97" s="135"/>
      <c r="BE97" s="135"/>
      <c r="BF97" s="135">
        <v>2.4</v>
      </c>
      <c r="BG97" s="135">
        <v>6000</v>
      </c>
      <c r="BH97" s="135">
        <v>2545.1999999999998</v>
      </c>
      <c r="BI97" s="135">
        <v>0.39</v>
      </c>
      <c r="BJ97" s="135">
        <v>44</v>
      </c>
      <c r="BK97" s="135">
        <v>4.5</v>
      </c>
      <c r="BL97" s="135">
        <v>19.75</v>
      </c>
    </row>
    <row r="98" spans="1:64" x14ac:dyDescent="0.3">
      <c r="A98" s="135">
        <v>2016</v>
      </c>
      <c r="B98" s="135">
        <v>4</v>
      </c>
      <c r="C98" s="135" t="s">
        <v>2079</v>
      </c>
      <c r="D98" s="135" t="s">
        <v>142</v>
      </c>
      <c r="E98" s="135" t="s">
        <v>394</v>
      </c>
      <c r="F98" s="135" t="s">
        <v>43</v>
      </c>
      <c r="G98" s="135" t="s">
        <v>30</v>
      </c>
      <c r="H98" s="135">
        <v>9.0399999999999991</v>
      </c>
      <c r="I98" s="135">
        <v>1.3049999999999999</v>
      </c>
      <c r="J98" s="135">
        <v>2.746</v>
      </c>
      <c r="K98" s="135">
        <v>0</v>
      </c>
      <c r="L98" s="135">
        <v>0</v>
      </c>
      <c r="M98" s="135">
        <v>0</v>
      </c>
      <c r="N98" s="135">
        <v>0</v>
      </c>
      <c r="O98" s="135">
        <v>0</v>
      </c>
      <c r="P98" s="135">
        <v>0.73499999999999999</v>
      </c>
      <c r="Q98" s="135">
        <v>3.5459999999999998</v>
      </c>
      <c r="R98" s="135">
        <v>0</v>
      </c>
      <c r="S98" s="135">
        <v>1.4410000000000001</v>
      </c>
      <c r="T98" s="135">
        <v>9.8840000000000003</v>
      </c>
      <c r="U98" s="135">
        <v>0</v>
      </c>
      <c r="V98" s="135">
        <v>1.9E-2</v>
      </c>
      <c r="W98" s="135">
        <v>0</v>
      </c>
      <c r="X98" s="135">
        <v>0</v>
      </c>
      <c r="Y98" s="135" t="s">
        <v>1995</v>
      </c>
      <c r="Z98" s="135">
        <v>2</v>
      </c>
      <c r="AA98" s="135">
        <v>3000</v>
      </c>
      <c r="AB98" s="135">
        <v>1495.1</v>
      </c>
      <c r="AC98" s="135">
        <v>0.67</v>
      </c>
      <c r="AD98" s="135">
        <v>2.7</v>
      </c>
      <c r="AE98" s="135">
        <v>6000</v>
      </c>
      <c r="AF98" s="135">
        <v>2185</v>
      </c>
      <c r="AG98" s="135">
        <v>0.46</v>
      </c>
      <c r="AH98" s="135">
        <v>2.8</v>
      </c>
      <c r="AI98" s="135">
        <v>3000</v>
      </c>
      <c r="AJ98" s="135">
        <v>1054.3</v>
      </c>
      <c r="AK98" s="135">
        <v>0.95</v>
      </c>
      <c r="AL98" s="135">
        <v>2</v>
      </c>
      <c r="AM98" s="135">
        <v>4500</v>
      </c>
      <c r="AN98" s="135">
        <v>2221.6999999999998</v>
      </c>
      <c r="AO98" s="135">
        <v>0.45</v>
      </c>
      <c r="AP98" s="135"/>
      <c r="AQ98" s="135"/>
      <c r="AR98" s="135"/>
      <c r="AS98" s="135"/>
      <c r="AT98" s="135"/>
      <c r="AU98" s="135"/>
      <c r="AV98" s="135"/>
      <c r="AW98" s="135"/>
      <c r="AX98" s="135">
        <v>2</v>
      </c>
      <c r="AY98" s="135">
        <v>10</v>
      </c>
      <c r="AZ98" s="135">
        <v>4.9000000000000004</v>
      </c>
      <c r="BA98" s="135">
        <v>0.2</v>
      </c>
      <c r="BB98" s="135"/>
      <c r="BC98" s="135"/>
      <c r="BD98" s="135"/>
      <c r="BE98" s="135"/>
      <c r="BF98" s="135">
        <v>2.8</v>
      </c>
      <c r="BG98" s="135">
        <v>6000</v>
      </c>
      <c r="BH98" s="135">
        <v>2108.5</v>
      </c>
      <c r="BI98" s="135">
        <v>0.47</v>
      </c>
      <c r="BJ98" s="135">
        <v>40.5</v>
      </c>
      <c r="BK98" s="135">
        <v>-6.5</v>
      </c>
      <c r="BL98" s="135">
        <v>23.5</v>
      </c>
    </row>
    <row r="99" spans="1:64" x14ac:dyDescent="0.3">
      <c r="A99" s="135">
        <v>2016</v>
      </c>
      <c r="B99" s="135">
        <v>4</v>
      </c>
      <c r="C99" s="135" t="s">
        <v>2556</v>
      </c>
      <c r="D99" s="135" t="s">
        <v>472</v>
      </c>
      <c r="E99" s="135" t="s">
        <v>394</v>
      </c>
      <c r="F99" s="135" t="s">
        <v>7</v>
      </c>
      <c r="G99" s="135" t="s">
        <v>2305</v>
      </c>
      <c r="H99" s="135">
        <v>9.0399999999999991</v>
      </c>
      <c r="I99" s="135">
        <v>1.21</v>
      </c>
      <c r="J99" s="135">
        <v>1.21</v>
      </c>
      <c r="K99" s="135">
        <v>0</v>
      </c>
      <c r="L99" s="135">
        <v>0</v>
      </c>
      <c r="M99" s="135">
        <v>0</v>
      </c>
      <c r="N99" s="135">
        <v>0</v>
      </c>
      <c r="O99" s="135">
        <v>0</v>
      </c>
      <c r="P99" s="135">
        <v>2.9060000000000001</v>
      </c>
      <c r="Q99" s="135">
        <v>8.7029999999999994</v>
      </c>
      <c r="R99" s="135">
        <v>6.5000000000000002E-2</v>
      </c>
      <c r="S99" s="135">
        <v>0</v>
      </c>
      <c r="T99" s="135">
        <v>0</v>
      </c>
      <c r="U99" s="135">
        <v>0</v>
      </c>
      <c r="V99" s="135">
        <v>2.5000000000000001E-2</v>
      </c>
      <c r="W99" s="135">
        <v>0</v>
      </c>
      <c r="X99" s="135">
        <v>0</v>
      </c>
      <c r="Y99" s="135" t="s">
        <v>1995</v>
      </c>
      <c r="Z99" s="135">
        <v>1.2</v>
      </c>
      <c r="AA99" s="135">
        <v>3800</v>
      </c>
      <c r="AB99" s="135">
        <v>3205.9</v>
      </c>
      <c r="AC99" s="135">
        <v>0.31</v>
      </c>
      <c r="AD99" s="135">
        <v>1.2</v>
      </c>
      <c r="AE99" s="135">
        <v>6000</v>
      </c>
      <c r="AF99" s="135">
        <v>4957.3999999999996</v>
      </c>
      <c r="AG99" s="135">
        <v>0.2</v>
      </c>
      <c r="AH99" s="135">
        <v>1.3</v>
      </c>
      <c r="AI99" s="135">
        <v>3000</v>
      </c>
      <c r="AJ99" s="135">
        <v>2330.1</v>
      </c>
      <c r="AK99" s="135">
        <v>0.43</v>
      </c>
      <c r="AL99" s="135">
        <v>1.2</v>
      </c>
      <c r="AM99" s="135">
        <v>4500</v>
      </c>
      <c r="AN99" s="135">
        <v>3718.1</v>
      </c>
      <c r="AO99" s="135">
        <v>0.27</v>
      </c>
      <c r="AP99" s="135"/>
      <c r="AQ99" s="135"/>
      <c r="AR99" s="135"/>
      <c r="AS99" s="135"/>
      <c r="AT99" s="135"/>
      <c r="AU99" s="135"/>
      <c r="AV99" s="135"/>
      <c r="AW99" s="135"/>
      <c r="AX99" s="135">
        <v>1.2</v>
      </c>
      <c r="AY99" s="135">
        <v>10</v>
      </c>
      <c r="AZ99" s="135">
        <v>8.3000000000000007</v>
      </c>
      <c r="BA99" s="135">
        <v>0.12</v>
      </c>
      <c r="BB99" s="135"/>
      <c r="BC99" s="135"/>
      <c r="BD99" s="135"/>
      <c r="BE99" s="135"/>
      <c r="BF99" s="135">
        <v>1.3</v>
      </c>
      <c r="BG99" s="135">
        <v>6000</v>
      </c>
      <c r="BH99" s="135">
        <v>4660.1000000000004</v>
      </c>
      <c r="BI99" s="135">
        <v>0.21</v>
      </c>
      <c r="BJ99" s="135">
        <v>40.5</v>
      </c>
      <c r="BK99" s="135">
        <v>-1.5</v>
      </c>
      <c r="BL99" s="135">
        <v>21</v>
      </c>
    </row>
    <row r="100" spans="1:64" x14ac:dyDescent="0.3">
      <c r="A100" s="135">
        <v>2016</v>
      </c>
      <c r="B100" s="135">
        <v>4</v>
      </c>
      <c r="C100" s="135" t="s">
        <v>2068</v>
      </c>
      <c r="D100" s="135" t="s">
        <v>134</v>
      </c>
      <c r="E100" s="135" t="s">
        <v>394</v>
      </c>
      <c r="F100" s="135" t="s">
        <v>52</v>
      </c>
      <c r="G100" s="135" t="s">
        <v>2309</v>
      </c>
      <c r="H100" s="135">
        <v>22.04</v>
      </c>
      <c r="I100" s="135">
        <v>1.159</v>
      </c>
      <c r="J100" s="135">
        <v>2.0019999999999998</v>
      </c>
      <c r="K100" s="135">
        <v>0</v>
      </c>
      <c r="L100" s="135">
        <v>0</v>
      </c>
      <c r="M100" s="135">
        <v>0</v>
      </c>
      <c r="N100" s="135">
        <v>0</v>
      </c>
      <c r="O100" s="135">
        <v>0</v>
      </c>
      <c r="P100" s="135">
        <v>0.28799999999999998</v>
      </c>
      <c r="Q100" s="135">
        <v>2.613</v>
      </c>
      <c r="R100" s="135">
        <v>0</v>
      </c>
      <c r="S100" s="135">
        <v>0.84299999999999997</v>
      </c>
      <c r="T100" s="135">
        <v>7.2919999999999998</v>
      </c>
      <c r="U100" s="135">
        <v>3.1E-2</v>
      </c>
      <c r="V100" s="135">
        <v>8.9999999999999993E-3</v>
      </c>
      <c r="W100" s="135">
        <v>0</v>
      </c>
      <c r="X100" s="135">
        <v>0</v>
      </c>
      <c r="Y100" s="135" t="s">
        <v>1995</v>
      </c>
      <c r="Z100" s="135">
        <v>1.6</v>
      </c>
      <c r="AA100" s="135">
        <v>3400</v>
      </c>
      <c r="AB100" s="135">
        <v>2164.1999999999998</v>
      </c>
      <c r="AC100" s="135">
        <v>0.46</v>
      </c>
      <c r="AD100" s="135">
        <v>2</v>
      </c>
      <c r="AE100" s="135">
        <v>6000</v>
      </c>
      <c r="AF100" s="135">
        <v>2997.8</v>
      </c>
      <c r="AG100" s="135">
        <v>0.33</v>
      </c>
      <c r="AH100" s="135">
        <v>2.1</v>
      </c>
      <c r="AI100" s="135">
        <v>3000</v>
      </c>
      <c r="AJ100" s="135">
        <v>1449.3</v>
      </c>
      <c r="AK100" s="135">
        <v>0.69</v>
      </c>
      <c r="AL100" s="135">
        <v>1.6</v>
      </c>
      <c r="AM100" s="135">
        <v>4900</v>
      </c>
      <c r="AN100" s="135">
        <v>3101.3</v>
      </c>
      <c r="AO100" s="135">
        <v>0.32</v>
      </c>
      <c r="AP100" s="135"/>
      <c r="AQ100" s="135"/>
      <c r="AR100" s="135"/>
      <c r="AS100" s="135"/>
      <c r="AT100" s="135"/>
      <c r="AU100" s="135"/>
      <c r="AV100" s="135"/>
      <c r="AW100" s="135"/>
      <c r="AX100" s="135">
        <v>1.6</v>
      </c>
      <c r="AY100" s="135">
        <v>10</v>
      </c>
      <c r="AZ100" s="135">
        <v>6.3</v>
      </c>
      <c r="BA100" s="135">
        <v>0.16</v>
      </c>
      <c r="BB100" s="135"/>
      <c r="BC100" s="135"/>
      <c r="BD100" s="135"/>
      <c r="BE100" s="135"/>
      <c r="BF100" s="135">
        <v>2.1</v>
      </c>
      <c r="BG100" s="135">
        <v>6000</v>
      </c>
      <c r="BH100" s="135">
        <v>2898.6</v>
      </c>
      <c r="BI100" s="135">
        <v>0.34</v>
      </c>
      <c r="BJ100" s="135">
        <v>46</v>
      </c>
      <c r="BK100" s="135">
        <v>-3</v>
      </c>
      <c r="BL100" s="135">
        <v>24.5</v>
      </c>
    </row>
    <row r="101" spans="1:64" x14ac:dyDescent="0.3">
      <c r="A101" s="135">
        <v>2016</v>
      </c>
      <c r="B101" s="135">
        <v>4</v>
      </c>
      <c r="C101" s="135" t="s">
        <v>2073</v>
      </c>
      <c r="D101" s="135" t="s">
        <v>108</v>
      </c>
      <c r="E101" s="135" t="s">
        <v>394</v>
      </c>
      <c r="F101" s="135" t="s">
        <v>43</v>
      </c>
      <c r="G101" s="135" t="s">
        <v>30</v>
      </c>
      <c r="H101" s="135">
        <v>9.0399999999999991</v>
      </c>
      <c r="I101" s="135">
        <v>1.042</v>
      </c>
      <c r="J101" s="135">
        <v>1.042</v>
      </c>
      <c r="K101" s="135">
        <v>0</v>
      </c>
      <c r="L101" s="135">
        <v>0</v>
      </c>
      <c r="M101" s="135">
        <v>0</v>
      </c>
      <c r="N101" s="135">
        <v>0</v>
      </c>
      <c r="O101" s="135">
        <v>0</v>
      </c>
      <c r="P101" s="135">
        <v>2.5289999999999999</v>
      </c>
      <c r="Q101" s="135">
        <v>9.4559999999999995</v>
      </c>
      <c r="R101" s="135">
        <v>2.3E-2</v>
      </c>
      <c r="S101" s="135">
        <v>0</v>
      </c>
      <c r="T101" s="135">
        <v>0</v>
      </c>
      <c r="U101" s="135">
        <v>0</v>
      </c>
      <c r="V101" s="135">
        <v>2.1000000000000001E-2</v>
      </c>
      <c r="W101" s="135">
        <v>0</v>
      </c>
      <c r="X101" s="135">
        <v>0</v>
      </c>
      <c r="Y101" s="135" t="s">
        <v>1995</v>
      </c>
      <c r="Z101" s="135">
        <v>1</v>
      </c>
      <c r="AA101" s="135">
        <v>3300</v>
      </c>
      <c r="AB101" s="135">
        <v>3233.4</v>
      </c>
      <c r="AC101" s="135">
        <v>0.31</v>
      </c>
      <c r="AD101" s="135">
        <v>1</v>
      </c>
      <c r="AE101" s="135">
        <v>6000</v>
      </c>
      <c r="AF101" s="135">
        <v>5760.4</v>
      </c>
      <c r="AG101" s="135">
        <v>0.17</v>
      </c>
      <c r="AH101" s="135">
        <v>1.1000000000000001</v>
      </c>
      <c r="AI101" s="135">
        <v>3100</v>
      </c>
      <c r="AJ101" s="135">
        <v>2769.5</v>
      </c>
      <c r="AK101" s="135">
        <v>0.36</v>
      </c>
      <c r="AL101" s="135">
        <v>1</v>
      </c>
      <c r="AM101" s="135">
        <v>4700</v>
      </c>
      <c r="AN101" s="135">
        <v>4512.3</v>
      </c>
      <c r="AO101" s="135">
        <v>0.22</v>
      </c>
      <c r="AP101" s="135"/>
      <c r="AQ101" s="135"/>
      <c r="AR101" s="135"/>
      <c r="AS101" s="135"/>
      <c r="AT101" s="135"/>
      <c r="AU101" s="135"/>
      <c r="AV101" s="135"/>
      <c r="AW101" s="135"/>
      <c r="AX101" s="135">
        <v>1</v>
      </c>
      <c r="AY101" s="135">
        <v>10</v>
      </c>
      <c r="AZ101" s="135">
        <v>9.6</v>
      </c>
      <c r="BA101" s="135">
        <v>0.1</v>
      </c>
      <c r="BB101" s="135"/>
      <c r="BC101" s="135"/>
      <c r="BD101" s="135"/>
      <c r="BE101" s="135"/>
      <c r="BF101" s="135">
        <v>1.1000000000000001</v>
      </c>
      <c r="BG101" s="135">
        <v>6000</v>
      </c>
      <c r="BH101" s="135">
        <v>5360.3</v>
      </c>
      <c r="BI101" s="135">
        <v>0.19</v>
      </c>
      <c r="BJ101" s="135">
        <v>40.5</v>
      </c>
      <c r="BK101" s="135">
        <v>-6.5</v>
      </c>
      <c r="BL101" s="135">
        <v>23.5</v>
      </c>
    </row>
    <row r="102" spans="1:64" x14ac:dyDescent="0.3">
      <c r="A102" s="135">
        <v>2016</v>
      </c>
      <c r="B102" s="135">
        <v>4</v>
      </c>
      <c r="C102" s="135" t="s">
        <v>2072</v>
      </c>
      <c r="D102" s="135" t="s">
        <v>1246</v>
      </c>
      <c r="E102" s="135" t="s">
        <v>394</v>
      </c>
      <c r="F102" s="135" t="s">
        <v>409</v>
      </c>
      <c r="G102" s="135" t="s">
        <v>2295</v>
      </c>
      <c r="H102" s="135">
        <v>15.59</v>
      </c>
      <c r="I102" s="135">
        <v>0.96799999999999997</v>
      </c>
      <c r="J102" s="135">
        <v>1.347</v>
      </c>
      <c r="K102" s="135">
        <v>0</v>
      </c>
      <c r="L102" s="135">
        <v>0</v>
      </c>
      <c r="M102" s="135">
        <v>0</v>
      </c>
      <c r="N102" s="135">
        <v>0</v>
      </c>
      <c r="O102" s="135">
        <v>0</v>
      </c>
      <c r="P102" s="135">
        <v>1.085</v>
      </c>
      <c r="Q102" s="135">
        <v>4.8070000000000004</v>
      </c>
      <c r="R102" s="135">
        <v>2.9000000000000001E-2</v>
      </c>
      <c r="S102" s="135">
        <v>0.379</v>
      </c>
      <c r="T102" s="135">
        <v>3.1539999999999999</v>
      </c>
      <c r="U102" s="135">
        <v>5.0000000000000001E-3</v>
      </c>
      <c r="V102" s="135">
        <v>1.6E-2</v>
      </c>
      <c r="W102" s="135">
        <v>0</v>
      </c>
      <c r="X102" s="135">
        <v>0</v>
      </c>
      <c r="Y102" s="135" t="s">
        <v>1995</v>
      </c>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v>43</v>
      </c>
      <c r="BK102" s="135">
        <v>8</v>
      </c>
      <c r="BL102" s="135">
        <v>17.5</v>
      </c>
    </row>
    <row r="103" spans="1:64" x14ac:dyDescent="0.3">
      <c r="A103" s="135">
        <v>2016</v>
      </c>
      <c r="B103" s="135">
        <v>4</v>
      </c>
      <c r="C103" s="135" t="s">
        <v>2084</v>
      </c>
      <c r="D103" s="135" t="s">
        <v>1556</v>
      </c>
      <c r="E103" s="135" t="s">
        <v>394</v>
      </c>
      <c r="F103" s="135" t="s">
        <v>70</v>
      </c>
      <c r="G103" s="135" t="s">
        <v>2005</v>
      </c>
      <c r="H103" s="135">
        <v>18.350000000000001</v>
      </c>
      <c r="I103" s="135">
        <v>0.90300000000000002</v>
      </c>
      <c r="J103" s="135">
        <v>1.6459999999999999</v>
      </c>
      <c r="K103" s="135">
        <v>0</v>
      </c>
      <c r="L103" s="135">
        <v>0</v>
      </c>
      <c r="M103" s="135">
        <v>0</v>
      </c>
      <c r="N103" s="135">
        <v>0</v>
      </c>
      <c r="O103" s="135">
        <v>0</v>
      </c>
      <c r="P103" s="135">
        <v>0.60499999999999998</v>
      </c>
      <c r="Q103" s="135">
        <v>2.2240000000000002</v>
      </c>
      <c r="R103" s="135">
        <v>1.7000000000000001E-2</v>
      </c>
      <c r="S103" s="135">
        <v>0.74299999999999999</v>
      </c>
      <c r="T103" s="135">
        <v>5.0819999999999999</v>
      </c>
      <c r="U103" s="135">
        <v>1.6E-2</v>
      </c>
      <c r="V103" s="135">
        <v>1.2999999999999999E-2</v>
      </c>
      <c r="W103" s="135">
        <v>0</v>
      </c>
      <c r="X103" s="135">
        <v>0</v>
      </c>
      <c r="Y103" s="135" t="s">
        <v>1995</v>
      </c>
      <c r="Z103" s="135"/>
      <c r="AA103" s="135"/>
      <c r="AB103" s="135"/>
      <c r="AC103" s="135"/>
      <c r="AD103" s="135">
        <v>1.6</v>
      </c>
      <c r="AE103" s="135">
        <v>6000</v>
      </c>
      <c r="AF103" s="135">
        <v>3646.1</v>
      </c>
      <c r="AG103" s="135">
        <v>0.27</v>
      </c>
      <c r="AH103" s="135">
        <v>1.7</v>
      </c>
      <c r="AI103" s="135">
        <v>3000</v>
      </c>
      <c r="AJ103" s="135">
        <v>1762.2</v>
      </c>
      <c r="AK103" s="135">
        <v>0.56999999999999995</v>
      </c>
      <c r="AL103" s="135">
        <v>1.3</v>
      </c>
      <c r="AM103" s="135">
        <v>4500</v>
      </c>
      <c r="AN103" s="135">
        <v>3531.9</v>
      </c>
      <c r="AO103" s="135">
        <v>0.28000000000000003</v>
      </c>
      <c r="AP103" s="135"/>
      <c r="AQ103" s="135"/>
      <c r="AR103" s="135"/>
      <c r="AS103" s="135"/>
      <c r="AT103" s="135"/>
      <c r="AU103" s="135"/>
      <c r="AV103" s="135"/>
      <c r="AW103" s="135"/>
      <c r="AX103" s="135">
        <v>1.3</v>
      </c>
      <c r="AY103" s="135">
        <v>10</v>
      </c>
      <c r="AZ103" s="135">
        <v>7.8</v>
      </c>
      <c r="BA103" s="135">
        <v>0.13</v>
      </c>
      <c r="BB103" s="135"/>
      <c r="BC103" s="135"/>
      <c r="BD103" s="135"/>
      <c r="BE103" s="135"/>
      <c r="BF103" s="135">
        <v>1.7</v>
      </c>
      <c r="BG103" s="135">
        <v>6000</v>
      </c>
      <c r="BH103" s="135">
        <v>3524.4</v>
      </c>
      <c r="BI103" s="135">
        <v>0.28000000000000003</v>
      </c>
      <c r="BJ103" s="135">
        <v>44</v>
      </c>
      <c r="BK103" s="135">
        <v>-3</v>
      </c>
      <c r="BL103" s="135">
        <v>23.5</v>
      </c>
    </row>
    <row r="104" spans="1:64" x14ac:dyDescent="0.3">
      <c r="A104" s="135">
        <v>2016</v>
      </c>
      <c r="B104" s="135">
        <v>4</v>
      </c>
      <c r="C104" s="135" t="s">
        <v>2080</v>
      </c>
      <c r="D104" s="135" t="s">
        <v>1245</v>
      </c>
      <c r="E104" s="135" t="s">
        <v>394</v>
      </c>
      <c r="F104" s="135" t="s">
        <v>18</v>
      </c>
      <c r="G104" s="135" t="s">
        <v>14</v>
      </c>
      <c r="H104" s="135">
        <v>18.82</v>
      </c>
      <c r="I104" s="135">
        <v>0.86299999999999999</v>
      </c>
      <c r="J104" s="135">
        <v>0.86299999999999999</v>
      </c>
      <c r="K104" s="135">
        <v>0</v>
      </c>
      <c r="L104" s="135">
        <v>0</v>
      </c>
      <c r="M104" s="135">
        <v>0</v>
      </c>
      <c r="N104" s="135">
        <v>0</v>
      </c>
      <c r="O104" s="135">
        <v>0</v>
      </c>
      <c r="P104" s="135">
        <v>1.974</v>
      </c>
      <c r="Q104" s="135">
        <v>7.9290000000000003</v>
      </c>
      <c r="R104" s="135">
        <v>1.7000000000000001E-2</v>
      </c>
      <c r="S104" s="135">
        <v>0</v>
      </c>
      <c r="T104" s="135">
        <v>0</v>
      </c>
      <c r="U104" s="135">
        <v>0</v>
      </c>
      <c r="V104" s="135">
        <v>1.6E-2</v>
      </c>
      <c r="W104" s="135">
        <v>0</v>
      </c>
      <c r="X104" s="135">
        <v>0</v>
      </c>
      <c r="Y104" s="135" t="s">
        <v>1995</v>
      </c>
      <c r="Z104" s="135"/>
      <c r="AA104" s="135"/>
      <c r="AB104" s="135"/>
      <c r="AC104" s="135"/>
      <c r="AD104" s="135">
        <v>0.9</v>
      </c>
      <c r="AE104" s="135">
        <v>6000</v>
      </c>
      <c r="AF104" s="135">
        <v>6953.3</v>
      </c>
      <c r="AG104" s="135">
        <v>0.14000000000000001</v>
      </c>
      <c r="AH104" s="135">
        <v>0.9</v>
      </c>
      <c r="AI104" s="135">
        <v>3400</v>
      </c>
      <c r="AJ104" s="135">
        <v>3669.8</v>
      </c>
      <c r="AK104" s="135">
        <v>0.27</v>
      </c>
      <c r="AL104" s="135">
        <v>0.9</v>
      </c>
      <c r="AM104" s="135">
        <v>4800</v>
      </c>
      <c r="AN104" s="135">
        <v>5562.6</v>
      </c>
      <c r="AO104" s="135">
        <v>0.18</v>
      </c>
      <c r="AP104" s="135"/>
      <c r="AQ104" s="135"/>
      <c r="AR104" s="135"/>
      <c r="AS104" s="135"/>
      <c r="AT104" s="135"/>
      <c r="AU104" s="135"/>
      <c r="AV104" s="135"/>
      <c r="AW104" s="135"/>
      <c r="AX104" s="135">
        <v>0.9</v>
      </c>
      <c r="AY104" s="135">
        <v>10</v>
      </c>
      <c r="AZ104" s="135">
        <v>11.6</v>
      </c>
      <c r="BA104" s="135">
        <v>0.09</v>
      </c>
      <c r="BB104" s="135"/>
      <c r="BC104" s="135"/>
      <c r="BD104" s="135"/>
      <c r="BE104" s="135"/>
      <c r="BF104" s="135">
        <v>0.9</v>
      </c>
      <c r="BG104" s="135">
        <v>6700</v>
      </c>
      <c r="BH104" s="135">
        <v>7231.7</v>
      </c>
      <c r="BI104" s="135">
        <v>0.14000000000000001</v>
      </c>
      <c r="BJ104" s="135">
        <v>45.5</v>
      </c>
      <c r="BK104" s="135">
        <v>-8</v>
      </c>
      <c r="BL104" s="135">
        <v>26.75</v>
      </c>
    </row>
    <row r="105" spans="1:64" x14ac:dyDescent="0.3">
      <c r="A105" s="135">
        <v>2016</v>
      </c>
      <c r="B105" s="135">
        <v>4</v>
      </c>
      <c r="C105" s="135" t="s">
        <v>2074</v>
      </c>
      <c r="D105" s="135" t="s">
        <v>1523</v>
      </c>
      <c r="E105" s="135" t="s">
        <v>394</v>
      </c>
      <c r="F105" s="135" t="s">
        <v>70</v>
      </c>
      <c r="G105" s="135" t="s">
        <v>2005</v>
      </c>
      <c r="H105" s="135">
        <v>18.350000000000001</v>
      </c>
      <c r="I105" s="135">
        <v>0.77600000000000002</v>
      </c>
      <c r="J105" s="135">
        <v>1.2</v>
      </c>
      <c r="K105" s="135">
        <v>0</v>
      </c>
      <c r="L105" s="135">
        <v>0</v>
      </c>
      <c r="M105" s="135">
        <v>0</v>
      </c>
      <c r="N105" s="135">
        <v>0</v>
      </c>
      <c r="O105" s="135">
        <v>0</v>
      </c>
      <c r="P105" s="135">
        <v>0.48599999999999999</v>
      </c>
      <c r="Q105" s="135">
        <v>3.3359999999999999</v>
      </c>
      <c r="R105" s="135">
        <v>2.5999999999999999E-2</v>
      </c>
      <c r="S105" s="135">
        <v>0.42399999999999999</v>
      </c>
      <c r="T105" s="135">
        <v>2.5409999999999999</v>
      </c>
      <c r="U105" s="135">
        <v>8.0000000000000002E-3</v>
      </c>
      <c r="V105" s="135">
        <v>8.0000000000000002E-3</v>
      </c>
      <c r="W105" s="135">
        <v>0</v>
      </c>
      <c r="X105" s="135">
        <v>0</v>
      </c>
      <c r="Y105" s="135" t="s">
        <v>1995</v>
      </c>
      <c r="Z105" s="135">
        <v>1</v>
      </c>
      <c r="AA105" s="135">
        <v>3000</v>
      </c>
      <c r="AB105" s="135">
        <v>3062.2</v>
      </c>
      <c r="AC105" s="135">
        <v>0.33</v>
      </c>
      <c r="AD105" s="135">
        <v>1.2</v>
      </c>
      <c r="AE105" s="135">
        <v>6000</v>
      </c>
      <c r="AF105" s="135">
        <v>5001.3</v>
      </c>
      <c r="AG105" s="135">
        <v>0.2</v>
      </c>
      <c r="AH105" s="135">
        <v>1.2</v>
      </c>
      <c r="AI105" s="135">
        <v>3000</v>
      </c>
      <c r="AJ105" s="135">
        <v>2413.6</v>
      </c>
      <c r="AK105" s="135">
        <v>0.41</v>
      </c>
      <c r="AL105" s="135">
        <v>1</v>
      </c>
      <c r="AM105" s="135">
        <v>4500</v>
      </c>
      <c r="AN105" s="135">
        <v>4556</v>
      </c>
      <c r="AO105" s="135">
        <v>0.22</v>
      </c>
      <c r="AP105" s="135"/>
      <c r="AQ105" s="135"/>
      <c r="AR105" s="135"/>
      <c r="AS105" s="135"/>
      <c r="AT105" s="135"/>
      <c r="AU105" s="135"/>
      <c r="AV105" s="135"/>
      <c r="AW105" s="135"/>
      <c r="AX105" s="135">
        <v>1</v>
      </c>
      <c r="AY105" s="135">
        <v>10</v>
      </c>
      <c r="AZ105" s="135">
        <v>10.1</v>
      </c>
      <c r="BA105" s="135">
        <v>0.1</v>
      </c>
      <c r="BB105" s="135"/>
      <c r="BC105" s="135"/>
      <c r="BD105" s="135"/>
      <c r="BE105" s="135"/>
      <c r="BF105" s="135">
        <v>1.2</v>
      </c>
      <c r="BG105" s="135">
        <v>6000</v>
      </c>
      <c r="BH105" s="135">
        <v>4827.2</v>
      </c>
      <c r="BI105" s="135">
        <v>0.21</v>
      </c>
      <c r="BJ105" s="135">
        <v>44</v>
      </c>
      <c r="BK105" s="135">
        <v>-3</v>
      </c>
      <c r="BL105" s="135">
        <v>23.5</v>
      </c>
    </row>
    <row r="106" spans="1:64" x14ac:dyDescent="0.3">
      <c r="A106" s="135">
        <v>2016</v>
      </c>
      <c r="B106" s="135">
        <v>4</v>
      </c>
      <c r="C106" s="135" t="s">
        <v>2060</v>
      </c>
      <c r="D106" s="135" t="s">
        <v>130</v>
      </c>
      <c r="E106" s="135" t="s">
        <v>394</v>
      </c>
      <c r="F106" s="135" t="s">
        <v>24</v>
      </c>
      <c r="G106" s="135" t="s">
        <v>409</v>
      </c>
      <c r="H106" s="135">
        <v>20.8</v>
      </c>
      <c r="I106" s="135">
        <v>0.73199999999999998</v>
      </c>
      <c r="J106" s="135">
        <v>1.6160000000000001</v>
      </c>
      <c r="K106" s="135">
        <v>0</v>
      </c>
      <c r="L106" s="135">
        <v>0</v>
      </c>
      <c r="M106" s="135">
        <v>0</v>
      </c>
      <c r="N106" s="135">
        <v>0</v>
      </c>
      <c r="O106" s="135">
        <v>0</v>
      </c>
      <c r="P106" s="135">
        <v>0.191</v>
      </c>
      <c r="Q106" s="135">
        <v>1.127</v>
      </c>
      <c r="R106" s="135">
        <v>0.01</v>
      </c>
      <c r="S106" s="135">
        <v>0.88400000000000001</v>
      </c>
      <c r="T106" s="135">
        <v>5.7919999999999998</v>
      </c>
      <c r="U106" s="135">
        <v>0</v>
      </c>
      <c r="V106" s="135">
        <v>0.01</v>
      </c>
      <c r="W106" s="135">
        <v>0</v>
      </c>
      <c r="X106" s="135">
        <v>0</v>
      </c>
      <c r="Y106" s="135" t="s">
        <v>1995</v>
      </c>
      <c r="Z106" s="135">
        <v>1.2</v>
      </c>
      <c r="AA106" s="135">
        <v>3500</v>
      </c>
      <c r="AB106" s="135">
        <v>3007.1</v>
      </c>
      <c r="AC106" s="135">
        <v>0.33</v>
      </c>
      <c r="AD106" s="135">
        <v>1.6</v>
      </c>
      <c r="AE106" s="135">
        <v>6000</v>
      </c>
      <c r="AF106" s="135">
        <v>3713.1</v>
      </c>
      <c r="AG106" s="135">
        <v>0.27</v>
      </c>
      <c r="AH106" s="135">
        <v>1.7</v>
      </c>
      <c r="AI106" s="135">
        <v>3200</v>
      </c>
      <c r="AJ106" s="135">
        <v>1919.1</v>
      </c>
      <c r="AK106" s="135">
        <v>0.52</v>
      </c>
      <c r="AL106" s="135">
        <v>1.2</v>
      </c>
      <c r="AM106" s="135">
        <v>4600</v>
      </c>
      <c r="AN106" s="135">
        <v>3918.6</v>
      </c>
      <c r="AO106" s="135">
        <v>0.26</v>
      </c>
      <c r="AP106" s="135"/>
      <c r="AQ106" s="135"/>
      <c r="AR106" s="135"/>
      <c r="AS106" s="135"/>
      <c r="AT106" s="135"/>
      <c r="AU106" s="135"/>
      <c r="AV106" s="135"/>
      <c r="AW106" s="135"/>
      <c r="AX106" s="135">
        <v>1.2</v>
      </c>
      <c r="AY106" s="135">
        <v>10</v>
      </c>
      <c r="AZ106" s="135">
        <v>8.5</v>
      </c>
      <c r="BA106" s="135">
        <v>0.12</v>
      </c>
      <c r="BB106" s="135"/>
      <c r="BC106" s="135"/>
      <c r="BD106" s="135"/>
      <c r="BE106" s="135"/>
      <c r="BF106" s="135">
        <v>1.7</v>
      </c>
      <c r="BG106" s="135">
        <v>6300</v>
      </c>
      <c r="BH106" s="135">
        <v>3778.3</v>
      </c>
      <c r="BI106" s="135">
        <v>0.26</v>
      </c>
      <c r="BJ106" s="135">
        <v>43</v>
      </c>
      <c r="BK106" s="135">
        <v>-8</v>
      </c>
      <c r="BL106" s="135">
        <v>25.5</v>
      </c>
    </row>
    <row r="107" spans="1:64" x14ac:dyDescent="0.3">
      <c r="A107" s="135">
        <v>2016</v>
      </c>
      <c r="B107" s="135">
        <v>4</v>
      </c>
      <c r="C107" s="135" t="s">
        <v>2075</v>
      </c>
      <c r="D107" s="135" t="s">
        <v>154</v>
      </c>
      <c r="E107" s="135" t="s">
        <v>394</v>
      </c>
      <c r="F107" s="135" t="s">
        <v>4</v>
      </c>
      <c r="G107" s="135" t="s">
        <v>2297</v>
      </c>
      <c r="H107" s="135">
        <v>15.37</v>
      </c>
      <c r="I107" s="135">
        <v>0.69599999999999995</v>
      </c>
      <c r="J107" s="135">
        <v>0.69599999999999995</v>
      </c>
      <c r="K107" s="135">
        <v>0</v>
      </c>
      <c r="L107" s="135">
        <v>0</v>
      </c>
      <c r="M107" s="135">
        <v>0</v>
      </c>
      <c r="N107" s="135">
        <v>0</v>
      </c>
      <c r="O107" s="135">
        <v>0</v>
      </c>
      <c r="P107" s="135">
        <v>0.34</v>
      </c>
      <c r="Q107" s="135">
        <v>1.742</v>
      </c>
      <c r="R107" s="135">
        <v>8.7999999999999995E-2</v>
      </c>
      <c r="S107" s="135">
        <v>0</v>
      </c>
      <c r="T107" s="135">
        <v>0</v>
      </c>
      <c r="U107" s="135">
        <v>0</v>
      </c>
      <c r="V107" s="135">
        <v>3.0000000000000001E-3</v>
      </c>
      <c r="W107" s="135">
        <v>0</v>
      </c>
      <c r="X107" s="135">
        <v>0</v>
      </c>
      <c r="Y107" s="135" t="s">
        <v>1995</v>
      </c>
      <c r="Z107" s="135"/>
      <c r="AA107" s="135"/>
      <c r="AB107" s="135"/>
      <c r="AC107" s="135"/>
      <c r="AD107" s="135">
        <v>0.7</v>
      </c>
      <c r="AE107" s="135">
        <v>6000</v>
      </c>
      <c r="AF107" s="135">
        <v>8618.2000000000007</v>
      </c>
      <c r="AG107" s="135">
        <v>0.12</v>
      </c>
      <c r="AH107" s="135">
        <v>0.7</v>
      </c>
      <c r="AI107" s="135">
        <v>3000</v>
      </c>
      <c r="AJ107" s="135">
        <v>4227.3999999999996</v>
      </c>
      <c r="AK107" s="135">
        <v>0.24</v>
      </c>
      <c r="AL107" s="135">
        <v>0.7</v>
      </c>
      <c r="AM107" s="135">
        <v>4500</v>
      </c>
      <c r="AN107" s="135">
        <v>6463.7</v>
      </c>
      <c r="AO107" s="135">
        <v>0.15</v>
      </c>
      <c r="AP107" s="135"/>
      <c r="AQ107" s="135"/>
      <c r="AR107" s="135"/>
      <c r="AS107" s="135"/>
      <c r="AT107" s="135"/>
      <c r="AU107" s="135"/>
      <c r="AV107" s="135"/>
      <c r="AW107" s="135"/>
      <c r="AX107" s="135">
        <v>0.7</v>
      </c>
      <c r="AY107" s="135">
        <v>10</v>
      </c>
      <c r="AZ107" s="135">
        <v>14.4</v>
      </c>
      <c r="BA107" s="135">
        <v>7.0000000000000007E-2</v>
      </c>
      <c r="BB107" s="135"/>
      <c r="BC107" s="135"/>
      <c r="BD107" s="135"/>
      <c r="BE107" s="135"/>
      <c r="BF107" s="135">
        <v>0.7</v>
      </c>
      <c r="BG107" s="135">
        <v>6000</v>
      </c>
      <c r="BH107" s="135">
        <v>8454.7999999999993</v>
      </c>
      <c r="BI107" s="135">
        <v>0.12</v>
      </c>
      <c r="BJ107" s="135">
        <v>46.5</v>
      </c>
      <c r="BK107" s="135">
        <v>3.5</v>
      </c>
      <c r="BL107" s="135">
        <v>21.5</v>
      </c>
    </row>
    <row r="108" spans="1:64" x14ac:dyDescent="0.3">
      <c r="A108" s="135">
        <v>2016</v>
      </c>
      <c r="B108" s="135">
        <v>4</v>
      </c>
      <c r="C108" s="135" t="s">
        <v>2077</v>
      </c>
      <c r="D108" s="135" t="s">
        <v>163</v>
      </c>
      <c r="E108" s="135" t="s">
        <v>394</v>
      </c>
      <c r="F108" s="135" t="s">
        <v>41</v>
      </c>
      <c r="G108" s="135" t="s">
        <v>37</v>
      </c>
      <c r="H108" s="135">
        <v>8.24</v>
      </c>
      <c r="I108" s="135">
        <v>0.64900000000000002</v>
      </c>
      <c r="J108" s="135">
        <v>1.099</v>
      </c>
      <c r="K108" s="135">
        <v>0</v>
      </c>
      <c r="L108" s="135">
        <v>0</v>
      </c>
      <c r="M108" s="135">
        <v>0</v>
      </c>
      <c r="N108" s="135">
        <v>0</v>
      </c>
      <c r="O108" s="135">
        <v>0</v>
      </c>
      <c r="P108" s="135">
        <v>0.16</v>
      </c>
      <c r="Q108" s="135">
        <v>0.42399999999999999</v>
      </c>
      <c r="R108" s="135">
        <v>5.0000000000000001E-3</v>
      </c>
      <c r="S108" s="135">
        <v>0.45</v>
      </c>
      <c r="T108" s="135">
        <v>3.8410000000000002</v>
      </c>
      <c r="U108" s="135">
        <v>3.4000000000000002E-2</v>
      </c>
      <c r="V108" s="135">
        <v>6.0000000000000001E-3</v>
      </c>
      <c r="W108" s="135">
        <v>0</v>
      </c>
      <c r="X108" s="135">
        <v>0</v>
      </c>
      <c r="Y108" s="135" t="s">
        <v>1995</v>
      </c>
      <c r="Z108" s="135"/>
      <c r="AA108" s="135"/>
      <c r="AB108" s="135"/>
      <c r="AC108" s="135"/>
      <c r="AD108" s="135">
        <v>1.1000000000000001</v>
      </c>
      <c r="AE108" s="135">
        <v>6000</v>
      </c>
      <c r="AF108" s="135">
        <v>5462</v>
      </c>
      <c r="AG108" s="135">
        <v>0.18</v>
      </c>
      <c r="AH108" s="135">
        <v>1.1000000000000001</v>
      </c>
      <c r="AI108" s="135">
        <v>3000</v>
      </c>
      <c r="AJ108" s="135">
        <v>2654.7</v>
      </c>
      <c r="AK108" s="135">
        <v>0.38</v>
      </c>
      <c r="AL108" s="135">
        <v>0.9</v>
      </c>
      <c r="AM108" s="135">
        <v>4500</v>
      </c>
      <c r="AN108" s="135">
        <v>5151.7</v>
      </c>
      <c r="AO108" s="135">
        <v>0.19</v>
      </c>
      <c r="AP108" s="135"/>
      <c r="AQ108" s="135"/>
      <c r="AR108" s="135"/>
      <c r="AS108" s="135"/>
      <c r="AT108" s="135"/>
      <c r="AU108" s="135"/>
      <c r="AV108" s="135"/>
      <c r="AW108" s="135"/>
      <c r="AX108" s="135">
        <v>0.9</v>
      </c>
      <c r="AY108" s="135">
        <v>10</v>
      </c>
      <c r="AZ108" s="135">
        <v>11.4</v>
      </c>
      <c r="BA108" s="135">
        <v>0.09</v>
      </c>
      <c r="BB108" s="135"/>
      <c r="BC108" s="135"/>
      <c r="BD108" s="135"/>
      <c r="BE108" s="135"/>
      <c r="BF108" s="135">
        <v>1.1000000000000001</v>
      </c>
      <c r="BG108" s="135">
        <v>6000</v>
      </c>
      <c r="BH108" s="135">
        <v>5309.3</v>
      </c>
      <c r="BI108" s="135">
        <v>0.19</v>
      </c>
      <c r="BJ108" s="135">
        <v>43.5</v>
      </c>
      <c r="BK108" s="135">
        <v>-4</v>
      </c>
      <c r="BL108" s="135">
        <v>23.75</v>
      </c>
    </row>
    <row r="109" spans="1:64" x14ac:dyDescent="0.3">
      <c r="A109" s="135">
        <v>2016</v>
      </c>
      <c r="B109" s="135">
        <v>4</v>
      </c>
      <c r="C109" s="135" t="s">
        <v>2081</v>
      </c>
      <c r="D109" s="135" t="s">
        <v>168</v>
      </c>
      <c r="E109" s="135" t="s">
        <v>394</v>
      </c>
      <c r="F109" s="135" t="s">
        <v>404</v>
      </c>
      <c r="G109" s="135" t="s">
        <v>2308</v>
      </c>
      <c r="H109" s="135">
        <v>27.32</v>
      </c>
      <c r="I109" s="135">
        <v>0.61199999999999999</v>
      </c>
      <c r="J109" s="135">
        <v>0.61199999999999999</v>
      </c>
      <c r="K109" s="135">
        <v>0</v>
      </c>
      <c r="L109" s="135">
        <v>0</v>
      </c>
      <c r="M109" s="135">
        <v>0</v>
      </c>
      <c r="N109" s="135">
        <v>0</v>
      </c>
      <c r="O109" s="135">
        <v>0</v>
      </c>
      <c r="P109" s="135">
        <v>1.073</v>
      </c>
      <c r="Q109" s="135">
        <v>3.3359999999999999</v>
      </c>
      <c r="R109" s="135">
        <v>4.9000000000000002E-2</v>
      </c>
      <c r="S109" s="135">
        <v>0</v>
      </c>
      <c r="T109" s="135">
        <v>0</v>
      </c>
      <c r="U109" s="135">
        <v>0</v>
      </c>
      <c r="V109" s="135">
        <v>8.0000000000000002E-3</v>
      </c>
      <c r="W109" s="135">
        <v>0</v>
      </c>
      <c r="X109" s="135">
        <v>0</v>
      </c>
      <c r="Y109" s="135" t="s">
        <v>1995</v>
      </c>
      <c r="Z109" s="135"/>
      <c r="AA109" s="135"/>
      <c r="AB109" s="135"/>
      <c r="AC109" s="135"/>
      <c r="AD109" s="135">
        <v>0.6</v>
      </c>
      <c r="AE109" s="135">
        <v>6000</v>
      </c>
      <c r="AF109" s="135">
        <v>9810.2999999999993</v>
      </c>
      <c r="AG109" s="135">
        <v>0.1</v>
      </c>
      <c r="AH109" s="135">
        <v>0.6</v>
      </c>
      <c r="AI109" s="135">
        <v>3000</v>
      </c>
      <c r="AJ109" s="135">
        <v>4690.3</v>
      </c>
      <c r="AK109" s="135">
        <v>0.21</v>
      </c>
      <c r="AL109" s="135">
        <v>0.6</v>
      </c>
      <c r="AM109" s="135">
        <v>4500</v>
      </c>
      <c r="AN109" s="135">
        <v>7357.8</v>
      </c>
      <c r="AO109" s="135">
        <v>0.14000000000000001</v>
      </c>
      <c r="AP109" s="135"/>
      <c r="AQ109" s="135"/>
      <c r="AR109" s="135"/>
      <c r="AS109" s="135"/>
      <c r="AT109" s="135"/>
      <c r="AU109" s="135"/>
      <c r="AV109" s="135"/>
      <c r="AW109" s="135"/>
      <c r="AX109" s="135">
        <v>0.6</v>
      </c>
      <c r="AY109" s="135">
        <v>10</v>
      </c>
      <c r="AZ109" s="135">
        <v>16.399999999999999</v>
      </c>
      <c r="BA109" s="135">
        <v>0.06</v>
      </c>
      <c r="BB109" s="135"/>
      <c r="BC109" s="135"/>
      <c r="BD109" s="135"/>
      <c r="BE109" s="135"/>
      <c r="BF109" s="135">
        <v>0.6</v>
      </c>
      <c r="BG109" s="135">
        <v>6000</v>
      </c>
      <c r="BH109" s="135">
        <v>9380.6</v>
      </c>
      <c r="BI109" s="135">
        <v>0.11</v>
      </c>
      <c r="BJ109" s="135">
        <v>53.5</v>
      </c>
      <c r="BK109" s="135">
        <v>4</v>
      </c>
      <c r="BL109" s="135">
        <v>24.75</v>
      </c>
    </row>
    <row r="110" spans="1:64" x14ac:dyDescent="0.3">
      <c r="A110" s="135">
        <v>2016</v>
      </c>
      <c r="B110" s="135">
        <v>4</v>
      </c>
      <c r="C110" s="135" t="s">
        <v>2076</v>
      </c>
      <c r="D110" s="135" t="s">
        <v>165</v>
      </c>
      <c r="E110" s="135" t="s">
        <v>394</v>
      </c>
      <c r="F110" s="135" t="s">
        <v>26</v>
      </c>
      <c r="G110" s="135" t="s">
        <v>2298</v>
      </c>
      <c r="H110" s="135">
        <v>18.7</v>
      </c>
      <c r="I110" s="135">
        <v>0.54700000000000004</v>
      </c>
      <c r="J110" s="135">
        <v>0.54700000000000004</v>
      </c>
      <c r="K110" s="135">
        <v>0</v>
      </c>
      <c r="L110" s="135">
        <v>0</v>
      </c>
      <c r="M110" s="135">
        <v>0</v>
      </c>
      <c r="N110" s="135">
        <v>0</v>
      </c>
      <c r="O110" s="135">
        <v>0</v>
      </c>
      <c r="P110" s="135">
        <v>0.82699999999999996</v>
      </c>
      <c r="Q110" s="135">
        <v>3.4860000000000002</v>
      </c>
      <c r="R110" s="135">
        <v>2.5999999999999999E-2</v>
      </c>
      <c r="S110" s="135">
        <v>0</v>
      </c>
      <c r="T110" s="135">
        <v>0</v>
      </c>
      <c r="U110" s="135">
        <v>8.9999999999999993E-3</v>
      </c>
      <c r="V110" s="135">
        <v>6.0000000000000001E-3</v>
      </c>
      <c r="W110" s="135">
        <v>0</v>
      </c>
      <c r="X110" s="135">
        <v>0</v>
      </c>
      <c r="Y110" s="135" t="s">
        <v>1995</v>
      </c>
      <c r="Z110" s="135">
        <v>0.5</v>
      </c>
      <c r="AA110" s="135">
        <v>3000</v>
      </c>
      <c r="AB110" s="135">
        <v>5549.4</v>
      </c>
      <c r="AC110" s="135">
        <v>0.18</v>
      </c>
      <c r="AD110" s="135">
        <v>0.5</v>
      </c>
      <c r="AE110" s="135">
        <v>6000</v>
      </c>
      <c r="AF110" s="135">
        <v>10976.9</v>
      </c>
      <c r="AG110" s="135">
        <v>0.09</v>
      </c>
      <c r="AH110" s="135">
        <v>0.6</v>
      </c>
      <c r="AI110" s="135">
        <v>3000</v>
      </c>
      <c r="AJ110" s="135">
        <v>5230.8999999999996</v>
      </c>
      <c r="AK110" s="135">
        <v>0.19</v>
      </c>
      <c r="AL110" s="135">
        <v>0.5</v>
      </c>
      <c r="AM110" s="135">
        <v>5000</v>
      </c>
      <c r="AN110" s="135">
        <v>9147.5</v>
      </c>
      <c r="AO110" s="135">
        <v>0.11</v>
      </c>
      <c r="AP110" s="135"/>
      <c r="AQ110" s="135"/>
      <c r="AR110" s="135"/>
      <c r="AS110" s="135"/>
      <c r="AT110" s="135"/>
      <c r="AU110" s="135"/>
      <c r="AV110" s="135"/>
      <c r="AW110" s="135"/>
      <c r="AX110" s="135">
        <v>0.5</v>
      </c>
      <c r="AY110" s="135">
        <v>10</v>
      </c>
      <c r="AZ110" s="135">
        <v>18.3</v>
      </c>
      <c r="BA110" s="135">
        <v>0.05</v>
      </c>
      <c r="BB110" s="135"/>
      <c r="BC110" s="135"/>
      <c r="BD110" s="135"/>
      <c r="BE110" s="135"/>
      <c r="BF110" s="135">
        <v>0.6</v>
      </c>
      <c r="BG110" s="135">
        <v>6000</v>
      </c>
      <c r="BH110" s="135">
        <v>10461.799999999999</v>
      </c>
      <c r="BI110" s="135">
        <v>0.1</v>
      </c>
      <c r="BJ110" s="135">
        <v>46.5</v>
      </c>
      <c r="BK110" s="135">
        <v>-3</v>
      </c>
      <c r="BL110" s="135">
        <v>24.75</v>
      </c>
    </row>
    <row r="111" spans="1:64" x14ac:dyDescent="0.3">
      <c r="A111" s="135">
        <v>2016</v>
      </c>
      <c r="B111" s="135">
        <v>4</v>
      </c>
      <c r="C111" s="135" t="s">
        <v>2557</v>
      </c>
      <c r="D111" s="135" t="s">
        <v>186</v>
      </c>
      <c r="E111" s="135" t="s">
        <v>394</v>
      </c>
      <c r="F111" s="135" t="s">
        <v>57</v>
      </c>
      <c r="G111" s="135" t="s">
        <v>1999</v>
      </c>
      <c r="H111" s="135">
        <v>12.92</v>
      </c>
      <c r="I111" s="135">
        <v>0.50700000000000001</v>
      </c>
      <c r="J111" s="135">
        <v>0.50700000000000001</v>
      </c>
      <c r="K111" s="135">
        <v>0</v>
      </c>
      <c r="L111" s="135">
        <v>0</v>
      </c>
      <c r="M111" s="135">
        <v>0</v>
      </c>
      <c r="N111" s="135">
        <v>0</v>
      </c>
      <c r="O111" s="135">
        <v>0</v>
      </c>
      <c r="P111" s="135">
        <v>1.266</v>
      </c>
      <c r="Q111" s="135">
        <v>3.7730000000000001</v>
      </c>
      <c r="R111" s="135">
        <v>2.5999999999999999E-2</v>
      </c>
      <c r="S111" s="135">
        <v>0</v>
      </c>
      <c r="T111" s="135">
        <v>0</v>
      </c>
      <c r="U111" s="135">
        <v>0</v>
      </c>
      <c r="V111" s="135">
        <v>1.2999999999999999E-2</v>
      </c>
      <c r="W111" s="135">
        <v>0</v>
      </c>
      <c r="X111" s="135">
        <v>0</v>
      </c>
      <c r="Y111" s="135" t="s">
        <v>1995</v>
      </c>
      <c r="Z111" s="135">
        <v>0.5</v>
      </c>
      <c r="AA111" s="135">
        <v>3000</v>
      </c>
      <c r="AB111" s="135">
        <v>6069.2</v>
      </c>
      <c r="AC111" s="135">
        <v>0.16</v>
      </c>
      <c r="AD111" s="135">
        <v>0.5</v>
      </c>
      <c r="AE111" s="135">
        <v>6000</v>
      </c>
      <c r="AF111" s="135">
        <v>11827.3</v>
      </c>
      <c r="AG111" s="135">
        <v>0.08</v>
      </c>
      <c r="AH111" s="135">
        <v>0.5</v>
      </c>
      <c r="AI111" s="135">
        <v>3000</v>
      </c>
      <c r="AJ111" s="135">
        <v>5525.5</v>
      </c>
      <c r="AK111" s="135">
        <v>0.18</v>
      </c>
      <c r="AL111" s="135">
        <v>0.5</v>
      </c>
      <c r="AM111" s="135">
        <v>4500</v>
      </c>
      <c r="AN111" s="135">
        <v>8870.5</v>
      </c>
      <c r="AO111" s="135">
        <v>0.11</v>
      </c>
      <c r="AP111" s="135"/>
      <c r="AQ111" s="135"/>
      <c r="AR111" s="135"/>
      <c r="AS111" s="135"/>
      <c r="AT111" s="135"/>
      <c r="AU111" s="135"/>
      <c r="AV111" s="135"/>
      <c r="AW111" s="135"/>
      <c r="AX111" s="135">
        <v>0.5</v>
      </c>
      <c r="AY111" s="135">
        <v>10</v>
      </c>
      <c r="AZ111" s="135">
        <v>19.7</v>
      </c>
      <c r="BA111" s="135">
        <v>0.05</v>
      </c>
      <c r="BB111" s="135"/>
      <c r="BC111" s="135"/>
      <c r="BD111" s="135"/>
      <c r="BE111" s="135"/>
      <c r="BF111" s="135">
        <v>0.5</v>
      </c>
      <c r="BG111" s="135">
        <v>6000</v>
      </c>
      <c r="BH111" s="135">
        <v>11051</v>
      </c>
      <c r="BI111" s="135">
        <v>0.09</v>
      </c>
      <c r="BJ111" s="135">
        <v>44.5</v>
      </c>
      <c r="BK111" s="135">
        <v>7</v>
      </c>
      <c r="BL111" s="135">
        <v>18.75</v>
      </c>
    </row>
    <row r="112" spans="1:64" x14ac:dyDescent="0.3">
      <c r="A112" s="135">
        <v>2016</v>
      </c>
      <c r="B112" s="135">
        <v>4</v>
      </c>
      <c r="C112" s="135" t="s">
        <v>2070</v>
      </c>
      <c r="D112" s="135" t="s">
        <v>492</v>
      </c>
      <c r="E112" s="135" t="s">
        <v>394</v>
      </c>
      <c r="F112" s="135" t="s">
        <v>43</v>
      </c>
      <c r="G112" s="135" t="s">
        <v>30</v>
      </c>
      <c r="H112" s="135">
        <v>9.0399999999999991</v>
      </c>
      <c r="I112" s="135">
        <v>0.498</v>
      </c>
      <c r="J112" s="135">
        <v>0.88200000000000001</v>
      </c>
      <c r="K112" s="135">
        <v>0</v>
      </c>
      <c r="L112" s="135">
        <v>0</v>
      </c>
      <c r="M112" s="135">
        <v>0</v>
      </c>
      <c r="N112" s="135">
        <v>0</v>
      </c>
      <c r="O112" s="135">
        <v>0</v>
      </c>
      <c r="P112" s="135">
        <v>0.48</v>
      </c>
      <c r="Q112" s="135">
        <v>1.7729999999999999</v>
      </c>
      <c r="R112" s="135">
        <v>0</v>
      </c>
      <c r="S112" s="135">
        <v>0.38400000000000001</v>
      </c>
      <c r="T112" s="135">
        <v>2.4710000000000001</v>
      </c>
      <c r="U112" s="135">
        <v>1.4999999999999999E-2</v>
      </c>
      <c r="V112" s="135">
        <v>8.0000000000000002E-3</v>
      </c>
      <c r="W112" s="135">
        <v>0</v>
      </c>
      <c r="X112" s="135">
        <v>0</v>
      </c>
      <c r="Y112" s="135" t="s">
        <v>1995</v>
      </c>
      <c r="Z112" s="135">
        <v>0.7</v>
      </c>
      <c r="AA112" s="135">
        <v>3000</v>
      </c>
      <c r="AB112" s="135">
        <v>4396.2</v>
      </c>
      <c r="AC112" s="135">
        <v>0.23</v>
      </c>
      <c r="AD112" s="135">
        <v>0.9</v>
      </c>
      <c r="AE112" s="135">
        <v>6000</v>
      </c>
      <c r="AF112" s="135">
        <v>6799.6</v>
      </c>
      <c r="AG112" s="135">
        <v>0.15</v>
      </c>
      <c r="AH112" s="135">
        <v>0.9</v>
      </c>
      <c r="AI112" s="135">
        <v>3000</v>
      </c>
      <c r="AJ112" s="135">
        <v>3275.6</v>
      </c>
      <c r="AK112" s="135">
        <v>0.31</v>
      </c>
      <c r="AL112" s="135">
        <v>0.7</v>
      </c>
      <c r="AM112" s="135">
        <v>4500</v>
      </c>
      <c r="AN112" s="135">
        <v>6518</v>
      </c>
      <c r="AO112" s="135">
        <v>0.15</v>
      </c>
      <c r="AP112" s="135"/>
      <c r="AQ112" s="135"/>
      <c r="AR112" s="135"/>
      <c r="AS112" s="135"/>
      <c r="AT112" s="135"/>
      <c r="AU112" s="135"/>
      <c r="AV112" s="135"/>
      <c r="AW112" s="135"/>
      <c r="AX112" s="135">
        <v>0.7</v>
      </c>
      <c r="AY112" s="135">
        <v>10</v>
      </c>
      <c r="AZ112" s="135">
        <v>14.5</v>
      </c>
      <c r="BA112" s="135">
        <v>7.0000000000000007E-2</v>
      </c>
      <c r="BB112" s="135"/>
      <c r="BC112" s="135"/>
      <c r="BD112" s="135"/>
      <c r="BE112" s="135"/>
      <c r="BF112" s="135">
        <v>0.9</v>
      </c>
      <c r="BG112" s="135">
        <v>6000</v>
      </c>
      <c r="BH112" s="135">
        <v>6551.2</v>
      </c>
      <c r="BI112" s="135">
        <v>0.15</v>
      </c>
      <c r="BJ112" s="135">
        <v>40.5</v>
      </c>
      <c r="BK112" s="135">
        <v>-6.5</v>
      </c>
      <c r="BL112" s="135">
        <v>23.5</v>
      </c>
    </row>
    <row r="113" spans="1:64" x14ac:dyDescent="0.3">
      <c r="A113" s="135">
        <v>2016</v>
      </c>
      <c r="B113" s="135">
        <v>4</v>
      </c>
      <c r="C113" s="135" t="s">
        <v>2069</v>
      </c>
      <c r="D113" s="135" t="s">
        <v>169</v>
      </c>
      <c r="E113" s="135" t="s">
        <v>394</v>
      </c>
      <c r="F113" s="135" t="s">
        <v>50</v>
      </c>
      <c r="G113" s="135" t="s">
        <v>22</v>
      </c>
      <c r="H113" s="135">
        <v>18.37</v>
      </c>
      <c r="I113" s="135">
        <v>0.374</v>
      </c>
      <c r="J113" s="135">
        <v>0.72</v>
      </c>
      <c r="K113" s="135">
        <v>0</v>
      </c>
      <c r="L113" s="135">
        <v>0</v>
      </c>
      <c r="M113" s="135">
        <v>0</v>
      </c>
      <c r="N113" s="135">
        <v>0</v>
      </c>
      <c r="O113" s="135">
        <v>0</v>
      </c>
      <c r="P113" s="135">
        <v>0</v>
      </c>
      <c r="Q113" s="135">
        <v>0</v>
      </c>
      <c r="R113" s="135">
        <v>0</v>
      </c>
      <c r="S113" s="135">
        <v>0.34599999999999997</v>
      </c>
      <c r="T113" s="135">
        <v>2.7229999999999999</v>
      </c>
      <c r="U113" s="135">
        <v>1.7999999999999999E-2</v>
      </c>
      <c r="V113" s="135">
        <v>3.0000000000000001E-3</v>
      </c>
      <c r="W113" s="135">
        <v>0</v>
      </c>
      <c r="X113" s="135">
        <v>0</v>
      </c>
      <c r="Y113" s="135" t="s">
        <v>1995</v>
      </c>
      <c r="Z113" s="135"/>
      <c r="AA113" s="135"/>
      <c r="AB113" s="135"/>
      <c r="AC113" s="135"/>
      <c r="AD113" s="135">
        <v>0.7</v>
      </c>
      <c r="AE113" s="135">
        <v>6000</v>
      </c>
      <c r="AF113" s="135">
        <v>8329.9</v>
      </c>
      <c r="AG113" s="135">
        <v>0.12</v>
      </c>
      <c r="AH113" s="135">
        <v>0.7</v>
      </c>
      <c r="AI113" s="135">
        <v>3000</v>
      </c>
      <c r="AJ113" s="135">
        <v>4056</v>
      </c>
      <c r="AK113" s="135">
        <v>0.25</v>
      </c>
      <c r="AL113" s="135">
        <v>0.5</v>
      </c>
      <c r="AM113" s="135">
        <v>4500</v>
      </c>
      <c r="AN113" s="135">
        <v>8222.2000000000007</v>
      </c>
      <c r="AO113" s="135">
        <v>0.12</v>
      </c>
      <c r="AP113" s="135"/>
      <c r="AQ113" s="135"/>
      <c r="AR113" s="135"/>
      <c r="AS113" s="135"/>
      <c r="AT113" s="135"/>
      <c r="AU113" s="135"/>
      <c r="AV113" s="135"/>
      <c r="AW113" s="135"/>
      <c r="AX113" s="135">
        <v>0.5</v>
      </c>
      <c r="AY113" s="135">
        <v>10</v>
      </c>
      <c r="AZ113" s="135">
        <v>18.3</v>
      </c>
      <c r="BA113" s="135">
        <v>0.05</v>
      </c>
      <c r="BB113" s="135"/>
      <c r="BC113" s="135"/>
      <c r="BD113" s="135"/>
      <c r="BE113" s="135"/>
      <c r="BF113" s="135">
        <v>0.7</v>
      </c>
      <c r="BG113" s="135">
        <v>6000</v>
      </c>
      <c r="BH113" s="135">
        <v>8112.1</v>
      </c>
      <c r="BI113" s="135">
        <v>0.12</v>
      </c>
      <c r="BJ113" s="135">
        <v>50</v>
      </c>
      <c r="BK113" s="135">
        <v>3</v>
      </c>
      <c r="BL113" s="135">
        <v>23.5</v>
      </c>
    </row>
    <row r="114" spans="1:64" x14ac:dyDescent="0.3">
      <c r="A114" s="135">
        <v>2016</v>
      </c>
      <c r="B114" s="135">
        <v>4</v>
      </c>
      <c r="C114" s="135" t="s">
        <v>2083</v>
      </c>
      <c r="D114" s="135" t="s">
        <v>157</v>
      </c>
      <c r="E114" s="135" t="s">
        <v>394</v>
      </c>
      <c r="F114" s="135" t="s">
        <v>397</v>
      </c>
      <c r="G114" s="135" t="s">
        <v>2307</v>
      </c>
      <c r="H114" s="135">
        <v>25.59</v>
      </c>
      <c r="I114" s="135">
        <v>0.26100000000000001</v>
      </c>
      <c r="J114" s="135">
        <v>0.26100000000000001</v>
      </c>
      <c r="K114" s="135">
        <v>0</v>
      </c>
      <c r="L114" s="135">
        <v>0</v>
      </c>
      <c r="M114" s="135">
        <v>0</v>
      </c>
      <c r="N114" s="135">
        <v>0</v>
      </c>
      <c r="O114" s="135">
        <v>0</v>
      </c>
      <c r="P114" s="135">
        <v>0.71799999999999997</v>
      </c>
      <c r="Q114" s="135">
        <v>1.7470000000000001</v>
      </c>
      <c r="R114" s="135">
        <v>1.6E-2</v>
      </c>
      <c r="S114" s="135">
        <v>0</v>
      </c>
      <c r="T114" s="135">
        <v>0</v>
      </c>
      <c r="U114" s="135">
        <v>0</v>
      </c>
      <c r="V114" s="135">
        <v>5.0000000000000001E-3</v>
      </c>
      <c r="W114" s="135">
        <v>0</v>
      </c>
      <c r="X114" s="135">
        <v>0</v>
      </c>
      <c r="Y114" s="135" t="s">
        <v>1995</v>
      </c>
      <c r="Z114" s="135">
        <v>0.3</v>
      </c>
      <c r="AA114" s="135">
        <v>3500</v>
      </c>
      <c r="AB114" s="135">
        <v>13687.9</v>
      </c>
      <c r="AC114" s="135">
        <v>7.0000000000000007E-2</v>
      </c>
      <c r="AD114" s="135">
        <v>0.3</v>
      </c>
      <c r="AE114" s="135">
        <v>6000</v>
      </c>
      <c r="AF114" s="135">
        <v>23015</v>
      </c>
      <c r="AG114" s="135">
        <v>0.04</v>
      </c>
      <c r="AH114" s="135">
        <v>0.3</v>
      </c>
      <c r="AI114" s="135">
        <v>3000</v>
      </c>
      <c r="AJ114" s="135">
        <v>10862.4</v>
      </c>
      <c r="AK114" s="135">
        <v>0.09</v>
      </c>
      <c r="AL114" s="135">
        <v>0.3</v>
      </c>
      <c r="AM114" s="135">
        <v>4500</v>
      </c>
      <c r="AN114" s="135">
        <v>17261.2</v>
      </c>
      <c r="AO114" s="135">
        <v>0.06</v>
      </c>
      <c r="AP114" s="135"/>
      <c r="AQ114" s="135"/>
      <c r="AR114" s="135"/>
      <c r="AS114" s="135"/>
      <c r="AT114" s="135"/>
      <c r="AU114" s="135"/>
      <c r="AV114" s="135"/>
      <c r="AW114" s="135"/>
      <c r="AX114" s="135">
        <v>0.3</v>
      </c>
      <c r="AY114" s="135">
        <v>10</v>
      </c>
      <c r="AZ114" s="135">
        <v>38.4</v>
      </c>
      <c r="BA114" s="135">
        <v>0.03</v>
      </c>
      <c r="BB114" s="135"/>
      <c r="BC114" s="135"/>
      <c r="BD114" s="135"/>
      <c r="BE114" s="135"/>
      <c r="BF114" s="135">
        <v>0.3</v>
      </c>
      <c r="BG114" s="135">
        <v>6000</v>
      </c>
      <c r="BH114" s="135">
        <v>21724.799999999999</v>
      </c>
      <c r="BI114" s="135">
        <v>0.05</v>
      </c>
      <c r="BJ114" s="135">
        <v>47.5</v>
      </c>
      <c r="BK114" s="135">
        <v>5.5</v>
      </c>
      <c r="BL114" s="135">
        <v>21</v>
      </c>
    </row>
    <row r="115" spans="1:64" x14ac:dyDescent="0.3">
      <c r="A115" s="135">
        <v>2016</v>
      </c>
      <c r="B115" s="135">
        <v>4</v>
      </c>
      <c r="C115" s="135" t="s">
        <v>2087</v>
      </c>
      <c r="D115" s="135" t="s">
        <v>182</v>
      </c>
      <c r="E115" s="135" t="s">
        <v>394</v>
      </c>
      <c r="F115" s="135" t="s">
        <v>397</v>
      </c>
      <c r="G115" s="135" t="s">
        <v>2307</v>
      </c>
      <c r="H115" s="135">
        <v>25.59</v>
      </c>
      <c r="I115" s="135">
        <v>0.25700000000000001</v>
      </c>
      <c r="J115" s="135">
        <v>0.63800000000000001</v>
      </c>
      <c r="K115" s="135">
        <v>0</v>
      </c>
      <c r="L115" s="135">
        <v>0</v>
      </c>
      <c r="M115" s="135">
        <v>0</v>
      </c>
      <c r="N115" s="135">
        <v>0</v>
      </c>
      <c r="O115" s="135">
        <v>0</v>
      </c>
      <c r="P115" s="135">
        <v>0</v>
      </c>
      <c r="Q115" s="135">
        <v>0</v>
      </c>
      <c r="R115" s="135">
        <v>0</v>
      </c>
      <c r="S115" s="135">
        <v>0.38100000000000001</v>
      </c>
      <c r="T115" s="135">
        <v>2.645</v>
      </c>
      <c r="U115" s="135">
        <v>0</v>
      </c>
      <c r="V115" s="135">
        <v>4.0000000000000001E-3</v>
      </c>
      <c r="W115" s="135">
        <v>0</v>
      </c>
      <c r="X115" s="135">
        <v>0</v>
      </c>
      <c r="Y115" s="135" t="s">
        <v>1995</v>
      </c>
      <c r="Z115" s="135">
        <v>0.4</v>
      </c>
      <c r="AA115" s="135">
        <v>3000</v>
      </c>
      <c r="AB115" s="135">
        <v>6772</v>
      </c>
      <c r="AC115" s="135">
        <v>0.15</v>
      </c>
      <c r="AD115" s="135">
        <v>0.6</v>
      </c>
      <c r="AE115" s="135">
        <v>6000</v>
      </c>
      <c r="AF115" s="135">
        <v>9411.7999999999993</v>
      </c>
      <c r="AG115" s="135">
        <v>0.11</v>
      </c>
      <c r="AH115" s="135">
        <v>0.7</v>
      </c>
      <c r="AI115" s="135">
        <v>3000</v>
      </c>
      <c r="AJ115" s="135">
        <v>4563.6000000000004</v>
      </c>
      <c r="AK115" s="135">
        <v>0.22</v>
      </c>
      <c r="AL115" s="135">
        <v>0.4</v>
      </c>
      <c r="AM115" s="135">
        <v>4500</v>
      </c>
      <c r="AN115" s="135">
        <v>10067.1</v>
      </c>
      <c r="AO115" s="135">
        <v>0.1</v>
      </c>
      <c r="AP115" s="135"/>
      <c r="AQ115" s="135"/>
      <c r="AR115" s="135"/>
      <c r="AS115" s="135"/>
      <c r="AT115" s="135"/>
      <c r="AU115" s="135"/>
      <c r="AV115" s="135"/>
      <c r="AW115" s="135"/>
      <c r="AX115" s="135">
        <v>0.4</v>
      </c>
      <c r="AY115" s="135">
        <v>10</v>
      </c>
      <c r="AZ115" s="135">
        <v>22.4</v>
      </c>
      <c r="BA115" s="135">
        <v>0.04</v>
      </c>
      <c r="BB115" s="135"/>
      <c r="BC115" s="135"/>
      <c r="BD115" s="135"/>
      <c r="BE115" s="135"/>
      <c r="BF115" s="135">
        <v>0.7</v>
      </c>
      <c r="BG115" s="135">
        <v>6000</v>
      </c>
      <c r="BH115" s="135">
        <v>9127.2999999999993</v>
      </c>
      <c r="BI115" s="135">
        <v>0.11</v>
      </c>
      <c r="BJ115" s="135">
        <v>47.5</v>
      </c>
      <c r="BK115" s="135">
        <v>5.5</v>
      </c>
      <c r="BL115" s="135">
        <v>21</v>
      </c>
    </row>
    <row r="116" spans="1:64" x14ac:dyDescent="0.3">
      <c r="A116" s="135">
        <v>2016</v>
      </c>
      <c r="B116" s="135">
        <v>4</v>
      </c>
      <c r="C116" s="135" t="s">
        <v>2089</v>
      </c>
      <c r="D116" s="135" t="s">
        <v>140</v>
      </c>
      <c r="E116" s="135" t="s">
        <v>394</v>
      </c>
      <c r="F116" s="135" t="s">
        <v>402</v>
      </c>
      <c r="G116" s="135" t="s">
        <v>10</v>
      </c>
      <c r="H116" s="135">
        <v>23.35</v>
      </c>
      <c r="I116" s="135">
        <v>0.22600000000000001</v>
      </c>
      <c r="J116" s="135">
        <v>0.43099999999999999</v>
      </c>
      <c r="K116" s="135">
        <v>0</v>
      </c>
      <c r="L116" s="135">
        <v>0</v>
      </c>
      <c r="M116" s="135">
        <v>0</v>
      </c>
      <c r="N116" s="135">
        <v>0</v>
      </c>
      <c r="O116" s="135">
        <v>0</v>
      </c>
      <c r="P116" s="135">
        <v>0.37</v>
      </c>
      <c r="Q116" s="135">
        <v>1.125</v>
      </c>
      <c r="R116" s="135">
        <v>0</v>
      </c>
      <c r="S116" s="135">
        <v>0.20499999999999999</v>
      </c>
      <c r="T116" s="135">
        <v>1.236</v>
      </c>
      <c r="U116" s="135">
        <v>0</v>
      </c>
      <c r="V116" s="135">
        <v>5.0000000000000001E-3</v>
      </c>
      <c r="W116" s="135">
        <v>0</v>
      </c>
      <c r="X116" s="135">
        <v>0</v>
      </c>
      <c r="Y116" s="135" t="s">
        <v>1995</v>
      </c>
      <c r="Z116" s="135">
        <v>0.3</v>
      </c>
      <c r="AA116" s="135">
        <v>3500</v>
      </c>
      <c r="AB116" s="135">
        <v>10815.8</v>
      </c>
      <c r="AC116" s="135">
        <v>0.09</v>
      </c>
      <c r="AD116" s="135">
        <v>0.4</v>
      </c>
      <c r="AE116" s="135">
        <v>6000</v>
      </c>
      <c r="AF116" s="135">
        <v>13917.9</v>
      </c>
      <c r="AG116" s="135">
        <v>7.0000000000000007E-2</v>
      </c>
      <c r="AH116" s="135">
        <v>0.5</v>
      </c>
      <c r="AI116" s="135">
        <v>3000</v>
      </c>
      <c r="AJ116" s="135">
        <v>6662.7</v>
      </c>
      <c r="AK116" s="135">
        <v>0.15</v>
      </c>
      <c r="AL116" s="135">
        <v>0.3</v>
      </c>
      <c r="AM116" s="135">
        <v>4700</v>
      </c>
      <c r="AN116" s="135">
        <v>14303.1</v>
      </c>
      <c r="AO116" s="135">
        <v>7.0000000000000007E-2</v>
      </c>
      <c r="AP116" s="135"/>
      <c r="AQ116" s="135"/>
      <c r="AR116" s="135"/>
      <c r="AS116" s="135"/>
      <c r="AT116" s="135"/>
      <c r="AU116" s="135"/>
      <c r="AV116" s="135"/>
      <c r="AW116" s="135"/>
      <c r="AX116" s="135">
        <v>0.3</v>
      </c>
      <c r="AY116" s="135">
        <v>10</v>
      </c>
      <c r="AZ116" s="135">
        <v>30.4</v>
      </c>
      <c r="BA116" s="135">
        <v>0.03</v>
      </c>
      <c r="BB116" s="135"/>
      <c r="BC116" s="135"/>
      <c r="BD116" s="135"/>
      <c r="BE116" s="135"/>
      <c r="BF116" s="135">
        <v>0.5</v>
      </c>
      <c r="BG116" s="135">
        <v>6000</v>
      </c>
      <c r="BH116" s="135">
        <v>13325.5</v>
      </c>
      <c r="BI116" s="135">
        <v>0.08</v>
      </c>
      <c r="BJ116" s="135">
        <v>44</v>
      </c>
      <c r="BK116" s="135">
        <v>-4.5</v>
      </c>
      <c r="BL116" s="135">
        <v>24.25</v>
      </c>
    </row>
    <row r="117" spans="1:64" x14ac:dyDescent="0.3">
      <c r="A117" s="135">
        <v>2016</v>
      </c>
      <c r="B117" s="135">
        <v>4</v>
      </c>
      <c r="C117" s="135" t="s">
        <v>2091</v>
      </c>
      <c r="D117" s="135" t="s">
        <v>160</v>
      </c>
      <c r="E117" s="135" t="s">
        <v>394</v>
      </c>
      <c r="F117" s="135" t="s">
        <v>398</v>
      </c>
      <c r="G117" s="135" t="s">
        <v>52</v>
      </c>
      <c r="H117" s="135">
        <v>19.57</v>
      </c>
      <c r="I117" s="135">
        <v>0.159</v>
      </c>
      <c r="J117" s="135">
        <v>0.159</v>
      </c>
      <c r="K117" s="135">
        <v>0</v>
      </c>
      <c r="L117" s="135">
        <v>0</v>
      </c>
      <c r="M117" s="135">
        <v>0</v>
      </c>
      <c r="N117" s="135">
        <v>0</v>
      </c>
      <c r="O117" s="135">
        <v>0</v>
      </c>
      <c r="P117" s="135">
        <v>0.36099999999999999</v>
      </c>
      <c r="Q117" s="135">
        <v>1.1279999999999999</v>
      </c>
      <c r="R117" s="135">
        <v>8.9999999999999993E-3</v>
      </c>
      <c r="S117" s="135">
        <v>0</v>
      </c>
      <c r="T117" s="135">
        <v>0</v>
      </c>
      <c r="U117" s="135">
        <v>0</v>
      </c>
      <c r="V117" s="135">
        <v>4.0000000000000001E-3</v>
      </c>
      <c r="W117" s="135">
        <v>0</v>
      </c>
      <c r="X117" s="135">
        <v>0</v>
      </c>
      <c r="Y117" s="135" t="s">
        <v>1995</v>
      </c>
      <c r="Z117" s="135">
        <v>0.2</v>
      </c>
      <c r="AA117" s="135">
        <v>3000</v>
      </c>
      <c r="AB117" s="135">
        <v>19379.8</v>
      </c>
      <c r="AC117" s="135">
        <v>0.05</v>
      </c>
      <c r="AD117" s="135">
        <v>0.2</v>
      </c>
      <c r="AE117" s="135">
        <v>6000</v>
      </c>
      <c r="AF117" s="135">
        <v>37783.4</v>
      </c>
      <c r="AG117" s="135">
        <v>0.03</v>
      </c>
      <c r="AH117" s="135">
        <v>0.2</v>
      </c>
      <c r="AI117" s="135">
        <v>3000</v>
      </c>
      <c r="AJ117" s="135">
        <v>17692</v>
      </c>
      <c r="AK117" s="135">
        <v>0.06</v>
      </c>
      <c r="AL117" s="135">
        <v>0.2</v>
      </c>
      <c r="AM117" s="135">
        <v>4500</v>
      </c>
      <c r="AN117" s="135">
        <v>28337.5</v>
      </c>
      <c r="AO117" s="135">
        <v>0.04</v>
      </c>
      <c r="AP117" s="135"/>
      <c r="AQ117" s="135"/>
      <c r="AR117" s="135"/>
      <c r="AS117" s="135"/>
      <c r="AT117" s="135"/>
      <c r="AU117" s="135"/>
      <c r="AV117" s="135"/>
      <c r="AW117" s="135"/>
      <c r="AX117" s="135">
        <v>0.2</v>
      </c>
      <c r="AY117" s="135">
        <v>10</v>
      </c>
      <c r="AZ117" s="135">
        <v>63</v>
      </c>
      <c r="BA117" s="135">
        <v>0.02</v>
      </c>
      <c r="BB117" s="135"/>
      <c r="BC117" s="135"/>
      <c r="BD117" s="135"/>
      <c r="BE117" s="135"/>
      <c r="BF117" s="135">
        <v>0.2</v>
      </c>
      <c r="BG117" s="135">
        <v>6000</v>
      </c>
      <c r="BH117" s="135">
        <v>35384</v>
      </c>
      <c r="BI117" s="135">
        <v>0.03</v>
      </c>
      <c r="BJ117" s="135">
        <v>46</v>
      </c>
      <c r="BK117" s="135">
        <v>3</v>
      </c>
      <c r="BL117" s="135">
        <v>21.5</v>
      </c>
    </row>
    <row r="118" spans="1:64" x14ac:dyDescent="0.3">
      <c r="A118" s="135">
        <v>2016</v>
      </c>
      <c r="B118" s="135">
        <v>4</v>
      </c>
      <c r="C118" s="135" t="s">
        <v>2558</v>
      </c>
      <c r="D118" s="135" t="s">
        <v>513</v>
      </c>
      <c r="E118" s="135" t="s">
        <v>394</v>
      </c>
      <c r="F118" s="135" t="s">
        <v>10</v>
      </c>
      <c r="G118" s="135" t="s">
        <v>1992</v>
      </c>
      <c r="H118" s="135">
        <v>13.69</v>
      </c>
      <c r="I118" s="135">
        <v>0.153</v>
      </c>
      <c r="J118" s="135">
        <v>0.153</v>
      </c>
      <c r="K118" s="135">
        <v>0</v>
      </c>
      <c r="L118" s="135">
        <v>0</v>
      </c>
      <c r="M118" s="135">
        <v>0</v>
      </c>
      <c r="N118" s="135">
        <v>0</v>
      </c>
      <c r="O118" s="135">
        <v>0</v>
      </c>
      <c r="P118" s="135">
        <v>0.498</v>
      </c>
      <c r="Q118" s="135">
        <v>1.6279999999999999</v>
      </c>
      <c r="R118" s="135">
        <v>0</v>
      </c>
      <c r="S118" s="135">
        <v>0</v>
      </c>
      <c r="T118" s="135">
        <v>0</v>
      </c>
      <c r="U118" s="135">
        <v>0</v>
      </c>
      <c r="V118" s="135">
        <v>5.0000000000000001E-3</v>
      </c>
      <c r="W118" s="135">
        <v>0</v>
      </c>
      <c r="X118" s="135">
        <v>0</v>
      </c>
      <c r="Y118" s="135" t="s">
        <v>1995</v>
      </c>
      <c r="Z118" s="135">
        <v>0.1</v>
      </c>
      <c r="AA118" s="135">
        <v>3000</v>
      </c>
      <c r="AB118" s="135">
        <v>20297.7</v>
      </c>
      <c r="AC118" s="135">
        <v>0.05</v>
      </c>
      <c r="AD118" s="135">
        <v>0.2</v>
      </c>
      <c r="AE118" s="135">
        <v>6000</v>
      </c>
      <c r="AF118" s="135">
        <v>39267</v>
      </c>
      <c r="AG118" s="135">
        <v>0.03</v>
      </c>
      <c r="AH118" s="135">
        <v>0.2</v>
      </c>
      <c r="AI118" s="135">
        <v>3000</v>
      </c>
      <c r="AJ118" s="135">
        <v>17903.2</v>
      </c>
      <c r="AK118" s="135">
        <v>0.06</v>
      </c>
      <c r="AL118" s="135">
        <v>0.2</v>
      </c>
      <c r="AM118" s="135">
        <v>4500</v>
      </c>
      <c r="AN118" s="135">
        <v>29450.3</v>
      </c>
      <c r="AO118" s="135">
        <v>0.03</v>
      </c>
      <c r="AP118" s="135"/>
      <c r="AQ118" s="135"/>
      <c r="AR118" s="135"/>
      <c r="AS118" s="135"/>
      <c r="AT118" s="135"/>
      <c r="AU118" s="135"/>
      <c r="AV118" s="135"/>
      <c r="AW118" s="135"/>
      <c r="AX118" s="135">
        <v>0.2</v>
      </c>
      <c r="AY118" s="135">
        <v>10</v>
      </c>
      <c r="AZ118" s="135">
        <v>65.400000000000006</v>
      </c>
      <c r="BA118" s="135">
        <v>0.02</v>
      </c>
      <c r="BB118" s="135"/>
      <c r="BC118" s="135"/>
      <c r="BD118" s="135"/>
      <c r="BE118" s="135"/>
      <c r="BF118" s="135">
        <v>0.2</v>
      </c>
      <c r="BG118" s="135">
        <v>6000</v>
      </c>
      <c r="BH118" s="135">
        <v>35806.400000000001</v>
      </c>
      <c r="BI118" s="135">
        <v>0.03</v>
      </c>
      <c r="BJ118" s="135">
        <v>44</v>
      </c>
      <c r="BK118" s="135">
        <v>4.5</v>
      </c>
      <c r="BL118" s="135">
        <v>19.75</v>
      </c>
    </row>
    <row r="119" spans="1:64" x14ac:dyDescent="0.3">
      <c r="A119" s="135">
        <v>2016</v>
      </c>
      <c r="B119" s="135">
        <v>4</v>
      </c>
      <c r="C119" s="135" t="s">
        <v>2092</v>
      </c>
      <c r="D119" s="135" t="s">
        <v>178</v>
      </c>
      <c r="E119" s="135" t="s">
        <v>394</v>
      </c>
      <c r="F119" s="135" t="s">
        <v>43</v>
      </c>
      <c r="G119" s="135" t="s">
        <v>30</v>
      </c>
      <c r="H119" s="135">
        <v>9.0399999999999991</v>
      </c>
      <c r="I119" s="135">
        <v>5.7000000000000002E-2</v>
      </c>
      <c r="J119" s="135">
        <v>5.7000000000000002E-2</v>
      </c>
      <c r="K119" s="135">
        <v>0</v>
      </c>
      <c r="L119" s="135">
        <v>0</v>
      </c>
      <c r="M119" s="135">
        <v>0</v>
      </c>
      <c r="N119" s="135">
        <v>0</v>
      </c>
      <c r="O119" s="135">
        <v>0</v>
      </c>
      <c r="P119" s="135">
        <v>0.12</v>
      </c>
      <c r="Q119" s="135">
        <v>0.59099999999999997</v>
      </c>
      <c r="R119" s="135">
        <v>0</v>
      </c>
      <c r="S119" s="135">
        <v>0</v>
      </c>
      <c r="T119" s="135">
        <v>0</v>
      </c>
      <c r="U119" s="135">
        <v>0</v>
      </c>
      <c r="V119" s="135">
        <v>1E-3</v>
      </c>
      <c r="W119" s="135">
        <v>0</v>
      </c>
      <c r="X119" s="135">
        <v>0</v>
      </c>
      <c r="Y119" s="135" t="s">
        <v>1995</v>
      </c>
      <c r="Z119" s="135"/>
      <c r="AA119" s="135"/>
      <c r="AB119" s="135"/>
      <c r="AC119" s="135"/>
      <c r="AD119" s="135">
        <v>0.1</v>
      </c>
      <c r="AE119" s="135">
        <v>6000</v>
      </c>
      <c r="AF119" s="135">
        <v>105078.8</v>
      </c>
      <c r="AG119" s="135">
        <v>0.01</v>
      </c>
      <c r="AH119" s="135">
        <v>0.1</v>
      </c>
      <c r="AI119" s="135">
        <v>3000</v>
      </c>
      <c r="AJ119" s="135">
        <v>48665</v>
      </c>
      <c r="AK119" s="135">
        <v>0.02</v>
      </c>
      <c r="AL119" s="135">
        <v>0.1</v>
      </c>
      <c r="AM119" s="135">
        <v>4500</v>
      </c>
      <c r="AN119" s="135">
        <v>78809.100000000006</v>
      </c>
      <c r="AO119" s="135">
        <v>0.01</v>
      </c>
      <c r="AP119" s="135"/>
      <c r="AQ119" s="135"/>
      <c r="AR119" s="135"/>
      <c r="AS119" s="135"/>
      <c r="AT119" s="135"/>
      <c r="AU119" s="135"/>
      <c r="AV119" s="135"/>
      <c r="AW119" s="135"/>
      <c r="AX119" s="135">
        <v>0.1</v>
      </c>
      <c r="AY119" s="135">
        <v>10</v>
      </c>
      <c r="AZ119" s="135">
        <v>175.1</v>
      </c>
      <c r="BA119" s="135">
        <v>0.01</v>
      </c>
      <c r="BB119" s="135"/>
      <c r="BC119" s="135"/>
      <c r="BD119" s="135"/>
      <c r="BE119" s="135"/>
      <c r="BF119" s="135">
        <v>0.1</v>
      </c>
      <c r="BG119" s="135">
        <v>6000</v>
      </c>
      <c r="BH119" s="135">
        <v>97329.9</v>
      </c>
      <c r="BI119" s="135">
        <v>0.01</v>
      </c>
      <c r="BJ119" s="135">
        <v>40.5</v>
      </c>
      <c r="BK119" s="135">
        <v>-6.5</v>
      </c>
      <c r="BL119" s="135">
        <v>23.5</v>
      </c>
    </row>
    <row r="120" spans="1:64" x14ac:dyDescent="0.3">
      <c r="A120" s="135">
        <v>2016</v>
      </c>
      <c r="B120" s="135">
        <v>4</v>
      </c>
      <c r="C120" s="135" t="s">
        <v>2093</v>
      </c>
      <c r="D120" s="135" t="s">
        <v>187</v>
      </c>
      <c r="E120" s="135" t="s">
        <v>396</v>
      </c>
      <c r="F120" s="135" t="s">
        <v>20</v>
      </c>
      <c r="G120" s="135" t="s">
        <v>397</v>
      </c>
      <c r="H120" s="135">
        <v>16.2</v>
      </c>
      <c r="I120" s="135">
        <v>15.7</v>
      </c>
      <c r="J120" s="135">
        <v>23.195</v>
      </c>
      <c r="K120" s="135">
        <v>0</v>
      </c>
      <c r="L120" s="135">
        <v>0</v>
      </c>
      <c r="M120" s="135">
        <v>0</v>
      </c>
      <c r="N120" s="135">
        <v>0</v>
      </c>
      <c r="O120" s="135">
        <v>0</v>
      </c>
      <c r="P120" s="135">
        <v>0.21099999999999999</v>
      </c>
      <c r="Q120" s="135">
        <v>1.7669999999999999</v>
      </c>
      <c r="R120" s="135">
        <v>0</v>
      </c>
      <c r="S120" s="135">
        <v>7.4950000000000001</v>
      </c>
      <c r="T120" s="135">
        <v>113.708</v>
      </c>
      <c r="U120" s="135">
        <v>0.71499999999999997</v>
      </c>
      <c r="V120" s="135">
        <v>6.9000000000000006E-2</v>
      </c>
      <c r="W120" s="135">
        <v>0</v>
      </c>
      <c r="X120" s="135">
        <v>0</v>
      </c>
      <c r="Y120" s="135" t="s">
        <v>1959</v>
      </c>
      <c r="Z120" s="135">
        <v>19.399999999999999</v>
      </c>
      <c r="AA120" s="135">
        <v>6450</v>
      </c>
      <c r="AB120" s="135">
        <v>332.9</v>
      </c>
      <c r="AC120" s="135">
        <v>3</v>
      </c>
      <c r="AD120" s="135">
        <v>23.2</v>
      </c>
      <c r="AE120" s="135">
        <v>18450</v>
      </c>
      <c r="AF120" s="135">
        <v>795.4</v>
      </c>
      <c r="AG120" s="135">
        <v>1.26</v>
      </c>
      <c r="AH120" s="135">
        <v>24</v>
      </c>
      <c r="AI120" s="135">
        <v>9700</v>
      </c>
      <c r="AJ120" s="135">
        <v>404.9</v>
      </c>
      <c r="AK120" s="135">
        <v>2.4700000000000002</v>
      </c>
      <c r="AL120" s="135">
        <v>19.399999999999999</v>
      </c>
      <c r="AM120" s="135">
        <v>9400</v>
      </c>
      <c r="AN120" s="135">
        <v>483.4</v>
      </c>
      <c r="AO120" s="135">
        <v>2.0699999999999998</v>
      </c>
      <c r="AP120" s="135"/>
      <c r="AQ120" s="135"/>
      <c r="AR120" s="135"/>
      <c r="AS120" s="135"/>
      <c r="AT120" s="135"/>
      <c r="AU120" s="135"/>
      <c r="AV120" s="135"/>
      <c r="AW120" s="135"/>
      <c r="AX120" s="135">
        <v>19.399999999999999</v>
      </c>
      <c r="AY120" s="135">
        <v>40</v>
      </c>
      <c r="AZ120" s="135">
        <v>2.1</v>
      </c>
      <c r="BA120" s="135">
        <v>0.49</v>
      </c>
      <c r="BB120" s="135"/>
      <c r="BC120" s="135"/>
      <c r="BD120" s="135"/>
      <c r="BE120" s="135"/>
      <c r="BF120" s="135">
        <v>24</v>
      </c>
      <c r="BG120" s="135">
        <v>18300</v>
      </c>
      <c r="BH120" s="135">
        <v>763.9</v>
      </c>
      <c r="BI120" s="135">
        <v>1.31</v>
      </c>
      <c r="BJ120" s="135">
        <v>47.5</v>
      </c>
      <c r="BK120" s="135">
        <v>-5.5</v>
      </c>
      <c r="BL120" s="135">
        <v>26.5</v>
      </c>
    </row>
    <row r="121" spans="1:64" x14ac:dyDescent="0.3">
      <c r="A121" s="135">
        <v>2016</v>
      </c>
      <c r="B121" s="135">
        <v>4</v>
      </c>
      <c r="C121" s="135" t="s">
        <v>2103</v>
      </c>
      <c r="D121" s="135" t="s">
        <v>195</v>
      </c>
      <c r="E121" s="135" t="s">
        <v>396</v>
      </c>
      <c r="F121" s="135" t="s">
        <v>28</v>
      </c>
      <c r="G121" s="135" t="s">
        <v>57</v>
      </c>
      <c r="H121" s="135">
        <v>30.59</v>
      </c>
      <c r="I121" s="135">
        <v>13.541</v>
      </c>
      <c r="J121" s="135">
        <v>20.518000000000001</v>
      </c>
      <c r="K121" s="135">
        <v>0</v>
      </c>
      <c r="L121" s="135">
        <v>0</v>
      </c>
      <c r="M121" s="135">
        <v>0</v>
      </c>
      <c r="N121" s="135">
        <v>0</v>
      </c>
      <c r="O121" s="135">
        <v>0</v>
      </c>
      <c r="P121" s="135">
        <v>0</v>
      </c>
      <c r="Q121" s="135">
        <v>0</v>
      </c>
      <c r="R121" s="135">
        <v>0</v>
      </c>
      <c r="S121" s="135">
        <v>6.9770000000000003</v>
      </c>
      <c r="T121" s="135">
        <v>87.927000000000007</v>
      </c>
      <c r="U121" s="135">
        <v>0.80900000000000005</v>
      </c>
      <c r="V121" s="135">
        <v>5.2999999999999999E-2</v>
      </c>
      <c r="W121" s="135">
        <v>0</v>
      </c>
      <c r="X121" s="135">
        <v>0</v>
      </c>
      <c r="Y121" s="135" t="s">
        <v>1959</v>
      </c>
      <c r="Z121" s="135">
        <v>17</v>
      </c>
      <c r="AA121" s="135">
        <v>6150</v>
      </c>
      <c r="AB121" s="135">
        <v>362.3</v>
      </c>
      <c r="AC121" s="135">
        <v>2.76</v>
      </c>
      <c r="AD121" s="135">
        <v>20.5</v>
      </c>
      <c r="AE121" s="135">
        <v>17150</v>
      </c>
      <c r="AF121" s="135">
        <v>835.9</v>
      </c>
      <c r="AG121" s="135">
        <v>1.2</v>
      </c>
      <c r="AH121" s="135">
        <v>21.1</v>
      </c>
      <c r="AI121" s="135">
        <v>8500</v>
      </c>
      <c r="AJ121" s="135">
        <v>402.9</v>
      </c>
      <c r="AK121" s="135">
        <v>2.48</v>
      </c>
      <c r="AL121" s="135">
        <v>17</v>
      </c>
      <c r="AM121" s="135">
        <v>8100</v>
      </c>
      <c r="AN121" s="135">
        <v>475.7</v>
      </c>
      <c r="AO121" s="135">
        <v>2.1</v>
      </c>
      <c r="AP121" s="135"/>
      <c r="AQ121" s="135"/>
      <c r="AR121" s="135"/>
      <c r="AS121" s="135"/>
      <c r="AT121" s="135"/>
      <c r="AU121" s="135"/>
      <c r="AV121" s="135"/>
      <c r="AW121" s="135"/>
      <c r="AX121" s="135">
        <v>17</v>
      </c>
      <c r="AY121" s="135">
        <v>37</v>
      </c>
      <c r="AZ121" s="135">
        <v>2.2000000000000002</v>
      </c>
      <c r="BA121" s="135">
        <v>0.46</v>
      </c>
      <c r="BB121" s="135"/>
      <c r="BC121" s="135"/>
      <c r="BD121" s="135"/>
      <c r="BE121" s="135"/>
      <c r="BF121" s="135">
        <v>21.1</v>
      </c>
      <c r="BG121" s="135">
        <v>16000</v>
      </c>
      <c r="BH121" s="135">
        <v>758.4</v>
      </c>
      <c r="BI121" s="135">
        <v>1.32</v>
      </c>
      <c r="BJ121" s="135">
        <v>44.5</v>
      </c>
      <c r="BK121" s="135">
        <v>-7</v>
      </c>
      <c r="BL121" s="135">
        <v>25.75</v>
      </c>
    </row>
    <row r="122" spans="1:64" x14ac:dyDescent="0.3">
      <c r="A122" s="135">
        <v>2016</v>
      </c>
      <c r="B122" s="135">
        <v>4</v>
      </c>
      <c r="C122" s="135" t="s">
        <v>2094</v>
      </c>
      <c r="D122" s="135" t="s">
        <v>188</v>
      </c>
      <c r="E122" s="135" t="s">
        <v>396</v>
      </c>
      <c r="F122" s="135" t="s">
        <v>50</v>
      </c>
      <c r="G122" s="135" t="s">
        <v>22</v>
      </c>
      <c r="H122" s="135">
        <v>13.55</v>
      </c>
      <c r="I122" s="135">
        <v>13.489000000000001</v>
      </c>
      <c r="J122" s="135">
        <v>19.596</v>
      </c>
      <c r="K122" s="135">
        <v>0</v>
      </c>
      <c r="L122" s="135">
        <v>0</v>
      </c>
      <c r="M122" s="135">
        <v>0</v>
      </c>
      <c r="N122" s="135">
        <v>0</v>
      </c>
      <c r="O122" s="135">
        <v>0</v>
      </c>
      <c r="P122" s="135">
        <v>0</v>
      </c>
      <c r="Q122" s="135">
        <v>0</v>
      </c>
      <c r="R122" s="135">
        <v>0</v>
      </c>
      <c r="S122" s="135">
        <v>6.1070000000000002</v>
      </c>
      <c r="T122" s="135">
        <v>98.027000000000001</v>
      </c>
      <c r="U122" s="135">
        <v>0.63400000000000001</v>
      </c>
      <c r="V122" s="135">
        <v>5.8999999999999997E-2</v>
      </c>
      <c r="W122" s="135">
        <v>0</v>
      </c>
      <c r="X122" s="135">
        <v>0</v>
      </c>
      <c r="Y122" s="135" t="s">
        <v>1959</v>
      </c>
      <c r="Z122" s="135">
        <v>16.5</v>
      </c>
      <c r="AA122" s="135">
        <v>6250</v>
      </c>
      <c r="AB122" s="135">
        <v>379.2</v>
      </c>
      <c r="AC122" s="135">
        <v>2.64</v>
      </c>
      <c r="AD122" s="135">
        <v>19.600000000000001</v>
      </c>
      <c r="AE122" s="135">
        <v>15900</v>
      </c>
      <c r="AF122" s="135">
        <v>811.4</v>
      </c>
      <c r="AG122" s="135">
        <v>1.23</v>
      </c>
      <c r="AH122" s="135">
        <v>20.2</v>
      </c>
      <c r="AI122" s="135">
        <v>9200</v>
      </c>
      <c r="AJ122" s="135">
        <v>454.5</v>
      </c>
      <c r="AK122" s="135">
        <v>2.2000000000000002</v>
      </c>
      <c r="AL122" s="135">
        <v>16.5</v>
      </c>
      <c r="AM122" s="135">
        <v>8500</v>
      </c>
      <c r="AN122" s="135">
        <v>513.79999999999995</v>
      </c>
      <c r="AO122" s="135">
        <v>1.95</v>
      </c>
      <c r="AP122" s="135"/>
      <c r="AQ122" s="135"/>
      <c r="AR122" s="135"/>
      <c r="AS122" s="135"/>
      <c r="AT122" s="135"/>
      <c r="AU122" s="135"/>
      <c r="AV122" s="135"/>
      <c r="AW122" s="135"/>
      <c r="AX122" s="135">
        <v>16.5</v>
      </c>
      <c r="AY122" s="135">
        <v>38</v>
      </c>
      <c r="AZ122" s="135">
        <v>2.2999999999999998</v>
      </c>
      <c r="BA122" s="135">
        <v>0.44</v>
      </c>
      <c r="BB122" s="135"/>
      <c r="BC122" s="135"/>
      <c r="BD122" s="135"/>
      <c r="BE122" s="135"/>
      <c r="BF122" s="135">
        <v>20.2</v>
      </c>
      <c r="BG122" s="135">
        <v>17300</v>
      </c>
      <c r="BH122" s="135">
        <v>854.6</v>
      </c>
      <c r="BI122" s="135">
        <v>1.17</v>
      </c>
      <c r="BJ122" s="135">
        <v>50</v>
      </c>
      <c r="BK122" s="135">
        <v>3</v>
      </c>
      <c r="BL122" s="135">
        <v>23.5</v>
      </c>
    </row>
    <row r="123" spans="1:64" x14ac:dyDescent="0.3">
      <c r="A123" s="135">
        <v>2016</v>
      </c>
      <c r="B123" s="135">
        <v>4</v>
      </c>
      <c r="C123" s="135" t="s">
        <v>2097</v>
      </c>
      <c r="D123" s="135" t="s">
        <v>194</v>
      </c>
      <c r="E123" s="135" t="s">
        <v>396</v>
      </c>
      <c r="F123" s="135" t="s">
        <v>12</v>
      </c>
      <c r="G123" s="135" t="s">
        <v>16</v>
      </c>
      <c r="H123" s="135">
        <v>11.77</v>
      </c>
      <c r="I123" s="135">
        <v>13.224</v>
      </c>
      <c r="J123" s="135">
        <v>20.302</v>
      </c>
      <c r="K123" s="135">
        <v>0</v>
      </c>
      <c r="L123" s="135">
        <v>0</v>
      </c>
      <c r="M123" s="135">
        <v>0</v>
      </c>
      <c r="N123" s="135">
        <v>0</v>
      </c>
      <c r="O123" s="135">
        <v>0</v>
      </c>
      <c r="P123" s="135">
        <v>0</v>
      </c>
      <c r="Q123" s="135">
        <v>0</v>
      </c>
      <c r="R123" s="135">
        <v>0</v>
      </c>
      <c r="S123" s="135">
        <v>7.0780000000000003</v>
      </c>
      <c r="T123" s="135">
        <v>91.623999999999995</v>
      </c>
      <c r="U123" s="135">
        <v>0.69699999999999995</v>
      </c>
      <c r="V123" s="135">
        <v>0.06</v>
      </c>
      <c r="W123" s="135">
        <v>0</v>
      </c>
      <c r="X123" s="135">
        <v>0</v>
      </c>
      <c r="Y123" s="135" t="s">
        <v>1959</v>
      </c>
      <c r="Z123" s="135">
        <v>16.7</v>
      </c>
      <c r="AA123" s="135">
        <v>5650</v>
      </c>
      <c r="AB123" s="135">
        <v>338.3</v>
      </c>
      <c r="AC123" s="135">
        <v>2.96</v>
      </c>
      <c r="AD123" s="135">
        <v>20.3</v>
      </c>
      <c r="AE123" s="135">
        <v>13900</v>
      </c>
      <c r="AF123" s="135">
        <v>684.6</v>
      </c>
      <c r="AG123" s="135">
        <v>1.46</v>
      </c>
      <c r="AH123" s="135">
        <v>20.9</v>
      </c>
      <c r="AI123" s="135">
        <v>8000</v>
      </c>
      <c r="AJ123" s="135">
        <v>382.6</v>
      </c>
      <c r="AK123" s="135">
        <v>2.61</v>
      </c>
      <c r="AL123" s="135">
        <v>16.8</v>
      </c>
      <c r="AM123" s="135">
        <v>8300</v>
      </c>
      <c r="AN123" s="135">
        <v>495.1</v>
      </c>
      <c r="AO123" s="135">
        <v>2.02</v>
      </c>
      <c r="AP123" s="135"/>
      <c r="AQ123" s="135"/>
      <c r="AR123" s="135"/>
      <c r="AS123" s="135"/>
      <c r="AT123" s="135"/>
      <c r="AU123" s="135"/>
      <c r="AV123" s="135"/>
      <c r="AW123" s="135"/>
      <c r="AX123" s="135">
        <v>16.8</v>
      </c>
      <c r="AY123" s="135">
        <v>33</v>
      </c>
      <c r="AZ123" s="135">
        <v>2</v>
      </c>
      <c r="BA123" s="135">
        <v>0.51</v>
      </c>
      <c r="BB123" s="135"/>
      <c r="BC123" s="135"/>
      <c r="BD123" s="135"/>
      <c r="BE123" s="135"/>
      <c r="BF123" s="135">
        <v>20.9</v>
      </c>
      <c r="BG123" s="135">
        <v>15000</v>
      </c>
      <c r="BH123" s="135">
        <v>717.3</v>
      </c>
      <c r="BI123" s="135">
        <v>1.39</v>
      </c>
      <c r="BJ123" s="135">
        <v>49.5</v>
      </c>
      <c r="BK123" s="135">
        <v>2.5</v>
      </c>
      <c r="BL123" s="135">
        <v>23.5</v>
      </c>
    </row>
    <row r="124" spans="1:64" x14ac:dyDescent="0.3">
      <c r="A124" s="135">
        <v>2016</v>
      </c>
      <c r="B124" s="135">
        <v>4</v>
      </c>
      <c r="C124" s="135" t="s">
        <v>2095</v>
      </c>
      <c r="D124" s="135" t="s">
        <v>191</v>
      </c>
      <c r="E124" s="135" t="s">
        <v>396</v>
      </c>
      <c r="F124" s="135" t="s">
        <v>37</v>
      </c>
      <c r="G124" s="135" t="s">
        <v>2304</v>
      </c>
      <c r="H124" s="135">
        <v>14.75</v>
      </c>
      <c r="I124" s="135">
        <v>12.637</v>
      </c>
      <c r="J124" s="135">
        <v>18.971</v>
      </c>
      <c r="K124" s="135">
        <v>0</v>
      </c>
      <c r="L124" s="135">
        <v>0</v>
      </c>
      <c r="M124" s="135">
        <v>0</v>
      </c>
      <c r="N124" s="135">
        <v>0</v>
      </c>
      <c r="O124" s="135">
        <v>0</v>
      </c>
      <c r="P124" s="135">
        <v>0</v>
      </c>
      <c r="Q124" s="135">
        <v>0</v>
      </c>
      <c r="R124" s="135">
        <v>0</v>
      </c>
      <c r="S124" s="135">
        <v>6.3339999999999996</v>
      </c>
      <c r="T124" s="135">
        <v>88.471000000000004</v>
      </c>
      <c r="U124" s="135">
        <v>0.65700000000000003</v>
      </c>
      <c r="V124" s="135">
        <v>7.5999999999999998E-2</v>
      </c>
      <c r="W124" s="135">
        <v>0</v>
      </c>
      <c r="X124" s="135">
        <v>0</v>
      </c>
      <c r="Y124" s="135" t="s">
        <v>1959</v>
      </c>
      <c r="Z124" s="135">
        <v>15.7</v>
      </c>
      <c r="AA124" s="135">
        <v>6150</v>
      </c>
      <c r="AB124" s="135">
        <v>391</v>
      </c>
      <c r="AC124" s="135">
        <v>2.56</v>
      </c>
      <c r="AD124" s="135">
        <v>19</v>
      </c>
      <c r="AE124" s="135">
        <v>16950</v>
      </c>
      <c r="AF124" s="135">
        <v>893.5</v>
      </c>
      <c r="AG124" s="135">
        <v>1.1200000000000001</v>
      </c>
      <c r="AH124" s="135">
        <v>19.600000000000001</v>
      </c>
      <c r="AI124" s="135">
        <v>8700</v>
      </c>
      <c r="AJ124" s="135">
        <v>444.4</v>
      </c>
      <c r="AK124" s="135">
        <v>2.25</v>
      </c>
      <c r="AL124" s="135">
        <v>15.8</v>
      </c>
      <c r="AM124" s="135">
        <v>8700</v>
      </c>
      <c r="AN124" s="135">
        <v>550.5</v>
      </c>
      <c r="AO124" s="135">
        <v>1.82</v>
      </c>
      <c r="AP124" s="135"/>
      <c r="AQ124" s="135"/>
      <c r="AR124" s="135"/>
      <c r="AS124" s="135"/>
      <c r="AT124" s="135"/>
      <c r="AU124" s="135"/>
      <c r="AV124" s="135"/>
      <c r="AW124" s="135"/>
      <c r="AX124" s="135">
        <v>15.8</v>
      </c>
      <c r="AY124" s="135">
        <v>35</v>
      </c>
      <c r="AZ124" s="135">
        <v>2.2000000000000002</v>
      </c>
      <c r="BA124" s="135">
        <v>0.45</v>
      </c>
      <c r="BB124" s="135"/>
      <c r="BC124" s="135"/>
      <c r="BD124" s="135"/>
      <c r="BE124" s="135"/>
      <c r="BF124" s="135">
        <v>19.600000000000001</v>
      </c>
      <c r="BG124" s="135">
        <v>16300</v>
      </c>
      <c r="BH124" s="135">
        <v>832.6</v>
      </c>
      <c r="BI124" s="135">
        <v>1.2</v>
      </c>
      <c r="BJ124" s="135">
        <v>43.5</v>
      </c>
      <c r="BK124" s="135">
        <v>4</v>
      </c>
      <c r="BL124" s="135">
        <v>19.75</v>
      </c>
    </row>
    <row r="125" spans="1:64" x14ac:dyDescent="0.3">
      <c r="A125" s="135">
        <v>2016</v>
      </c>
      <c r="B125" s="135">
        <v>4</v>
      </c>
      <c r="C125" s="135" t="s">
        <v>2096</v>
      </c>
      <c r="D125" s="135" t="s">
        <v>189</v>
      </c>
      <c r="E125" s="135" t="s">
        <v>396</v>
      </c>
      <c r="F125" s="135" t="s">
        <v>43</v>
      </c>
      <c r="G125" s="135" t="s">
        <v>30</v>
      </c>
      <c r="H125" s="135">
        <v>19.5</v>
      </c>
      <c r="I125" s="135">
        <v>12.141</v>
      </c>
      <c r="J125" s="135">
        <v>17.041</v>
      </c>
      <c r="K125" s="135">
        <v>0</v>
      </c>
      <c r="L125" s="135">
        <v>0</v>
      </c>
      <c r="M125" s="135">
        <v>0</v>
      </c>
      <c r="N125" s="135">
        <v>0</v>
      </c>
      <c r="O125" s="135">
        <v>0</v>
      </c>
      <c r="P125" s="135">
        <v>0</v>
      </c>
      <c r="Q125" s="135">
        <v>0</v>
      </c>
      <c r="R125" s="135">
        <v>0</v>
      </c>
      <c r="S125" s="135">
        <v>4.9000000000000004</v>
      </c>
      <c r="T125" s="135">
        <v>84.013999999999996</v>
      </c>
      <c r="U125" s="135">
        <v>0.63800000000000001</v>
      </c>
      <c r="V125" s="135">
        <v>4.3999999999999997E-2</v>
      </c>
      <c r="W125" s="135">
        <v>0</v>
      </c>
      <c r="X125" s="135">
        <v>0</v>
      </c>
      <c r="Y125" s="135" t="s">
        <v>1959</v>
      </c>
      <c r="Z125" s="135">
        <v>14.5</v>
      </c>
      <c r="AA125" s="135">
        <v>6000</v>
      </c>
      <c r="AB125" s="135">
        <v>412.4</v>
      </c>
      <c r="AC125" s="135">
        <v>2.42</v>
      </c>
      <c r="AD125" s="135">
        <v>17</v>
      </c>
      <c r="AE125" s="135">
        <v>17450</v>
      </c>
      <c r="AF125" s="135">
        <v>1024</v>
      </c>
      <c r="AG125" s="135">
        <v>0.98</v>
      </c>
      <c r="AH125" s="135">
        <v>17.600000000000001</v>
      </c>
      <c r="AI125" s="135">
        <v>8400</v>
      </c>
      <c r="AJ125" s="135">
        <v>477.6</v>
      </c>
      <c r="AK125" s="135">
        <v>2.09</v>
      </c>
      <c r="AL125" s="135">
        <v>14.6</v>
      </c>
      <c r="AM125" s="135">
        <v>8600</v>
      </c>
      <c r="AN125" s="135">
        <v>589.4</v>
      </c>
      <c r="AO125" s="135">
        <v>1.7</v>
      </c>
      <c r="AP125" s="135"/>
      <c r="AQ125" s="135"/>
      <c r="AR125" s="135"/>
      <c r="AS125" s="135"/>
      <c r="AT125" s="135"/>
      <c r="AU125" s="135"/>
      <c r="AV125" s="135"/>
      <c r="AW125" s="135"/>
      <c r="AX125" s="135">
        <v>14.6</v>
      </c>
      <c r="AY125" s="135">
        <v>35</v>
      </c>
      <c r="AZ125" s="135">
        <v>2.4</v>
      </c>
      <c r="BA125" s="135">
        <v>0.42</v>
      </c>
      <c r="BB125" s="135"/>
      <c r="BC125" s="135"/>
      <c r="BD125" s="135"/>
      <c r="BE125" s="135"/>
      <c r="BF125" s="135">
        <v>17.600000000000001</v>
      </c>
      <c r="BG125" s="135">
        <v>16000</v>
      </c>
      <c r="BH125" s="135">
        <v>909.6</v>
      </c>
      <c r="BI125" s="135">
        <v>1.1000000000000001</v>
      </c>
      <c r="BJ125" s="135">
        <v>40.5</v>
      </c>
      <c r="BK125" s="135">
        <v>-6.5</v>
      </c>
      <c r="BL125" s="135">
        <v>23.5</v>
      </c>
    </row>
    <row r="126" spans="1:64" x14ac:dyDescent="0.3">
      <c r="A126" s="135">
        <v>2016</v>
      </c>
      <c r="B126" s="135">
        <v>4</v>
      </c>
      <c r="C126" s="135" t="s">
        <v>2112</v>
      </c>
      <c r="D126" s="135" t="s">
        <v>173</v>
      </c>
      <c r="E126" s="135" t="s">
        <v>396</v>
      </c>
      <c r="F126" s="135" t="s">
        <v>26</v>
      </c>
      <c r="G126" s="135" t="s">
        <v>2298</v>
      </c>
      <c r="H126" s="135">
        <v>26.02</v>
      </c>
      <c r="I126" s="135">
        <v>12.093999999999999</v>
      </c>
      <c r="J126" s="135">
        <v>17.596</v>
      </c>
      <c r="K126" s="135">
        <v>0</v>
      </c>
      <c r="L126" s="135">
        <v>0</v>
      </c>
      <c r="M126" s="135">
        <v>0</v>
      </c>
      <c r="N126" s="135">
        <v>0</v>
      </c>
      <c r="O126" s="135">
        <v>0</v>
      </c>
      <c r="P126" s="135">
        <v>0</v>
      </c>
      <c r="Q126" s="135">
        <v>0</v>
      </c>
      <c r="R126" s="135">
        <v>0</v>
      </c>
      <c r="S126" s="135">
        <v>5.5019999999999998</v>
      </c>
      <c r="T126" s="135">
        <v>89.843000000000004</v>
      </c>
      <c r="U126" s="135">
        <v>0.53</v>
      </c>
      <c r="V126" s="135">
        <v>3.5000000000000003E-2</v>
      </c>
      <c r="W126" s="135">
        <v>0</v>
      </c>
      <c r="X126" s="135">
        <v>0</v>
      </c>
      <c r="Y126" s="135" t="s">
        <v>1959</v>
      </c>
      <c r="Z126" s="135">
        <v>14.8</v>
      </c>
      <c r="AA126" s="135">
        <v>5200</v>
      </c>
      <c r="AB126" s="135">
        <v>351.1</v>
      </c>
      <c r="AC126" s="135">
        <v>2.85</v>
      </c>
      <c r="AD126" s="135">
        <v>17.600000000000001</v>
      </c>
      <c r="AE126" s="135">
        <v>15350</v>
      </c>
      <c r="AF126" s="135">
        <v>872.3</v>
      </c>
      <c r="AG126" s="135">
        <v>1.1499999999999999</v>
      </c>
      <c r="AH126" s="135">
        <v>18.2</v>
      </c>
      <c r="AI126" s="135">
        <v>7300</v>
      </c>
      <c r="AJ126" s="135">
        <v>401.8</v>
      </c>
      <c r="AK126" s="135">
        <v>2.4900000000000002</v>
      </c>
      <c r="AL126" s="135">
        <v>14.8</v>
      </c>
      <c r="AM126" s="135">
        <v>7600</v>
      </c>
      <c r="AN126" s="135">
        <v>511.9</v>
      </c>
      <c r="AO126" s="135">
        <v>1.95</v>
      </c>
      <c r="AP126" s="135"/>
      <c r="AQ126" s="135"/>
      <c r="AR126" s="135"/>
      <c r="AS126" s="135"/>
      <c r="AT126" s="135"/>
      <c r="AU126" s="135"/>
      <c r="AV126" s="135"/>
      <c r="AW126" s="135"/>
      <c r="AX126" s="135">
        <v>14.8</v>
      </c>
      <c r="AY126" s="135">
        <v>27</v>
      </c>
      <c r="AZ126" s="135">
        <v>1.8</v>
      </c>
      <c r="BA126" s="135">
        <v>0.55000000000000004</v>
      </c>
      <c r="BB126" s="135"/>
      <c r="BC126" s="135"/>
      <c r="BD126" s="135"/>
      <c r="BE126" s="135"/>
      <c r="BF126" s="135">
        <v>18.2</v>
      </c>
      <c r="BG126" s="135">
        <v>13700</v>
      </c>
      <c r="BH126" s="135">
        <v>754</v>
      </c>
      <c r="BI126" s="135">
        <v>1.33</v>
      </c>
      <c r="BJ126" s="135">
        <v>46.5</v>
      </c>
      <c r="BK126" s="135">
        <v>-3</v>
      </c>
      <c r="BL126" s="135">
        <v>24.75</v>
      </c>
    </row>
    <row r="127" spans="1:64" x14ac:dyDescent="0.3">
      <c r="A127" s="135">
        <v>2016</v>
      </c>
      <c r="B127" s="135">
        <v>4</v>
      </c>
      <c r="C127" s="135" t="s">
        <v>2098</v>
      </c>
      <c r="D127" s="135" t="s">
        <v>206</v>
      </c>
      <c r="E127" s="135" t="s">
        <v>396</v>
      </c>
      <c r="F127" s="135" t="s">
        <v>404</v>
      </c>
      <c r="G127" s="135" t="s">
        <v>2308</v>
      </c>
      <c r="H127" s="135">
        <v>29.35</v>
      </c>
      <c r="I127" s="135">
        <v>11.868</v>
      </c>
      <c r="J127" s="135">
        <v>18.388000000000002</v>
      </c>
      <c r="K127" s="135">
        <v>0</v>
      </c>
      <c r="L127" s="135">
        <v>0</v>
      </c>
      <c r="M127" s="135">
        <v>0</v>
      </c>
      <c r="N127" s="135">
        <v>0</v>
      </c>
      <c r="O127" s="135">
        <v>0</v>
      </c>
      <c r="P127" s="135">
        <v>0.34499999999999997</v>
      </c>
      <c r="Q127" s="135">
        <v>1.43</v>
      </c>
      <c r="R127" s="135">
        <v>0</v>
      </c>
      <c r="S127" s="135">
        <v>6.52</v>
      </c>
      <c r="T127" s="135">
        <v>82.344999999999999</v>
      </c>
      <c r="U127" s="135">
        <v>0.59899999999999998</v>
      </c>
      <c r="V127" s="135">
        <v>5.1999999999999998E-2</v>
      </c>
      <c r="W127" s="135">
        <v>0</v>
      </c>
      <c r="X127" s="135">
        <v>0</v>
      </c>
      <c r="Y127" s="135" t="s">
        <v>1959</v>
      </c>
      <c r="Z127" s="135">
        <v>15.1</v>
      </c>
      <c r="AA127" s="135">
        <v>5550</v>
      </c>
      <c r="AB127" s="135">
        <v>368.1</v>
      </c>
      <c r="AC127" s="135">
        <v>2.72</v>
      </c>
      <c r="AD127" s="135">
        <v>18.399999999999999</v>
      </c>
      <c r="AE127" s="135">
        <v>15500</v>
      </c>
      <c r="AF127" s="135">
        <v>843</v>
      </c>
      <c r="AG127" s="135">
        <v>1.19</v>
      </c>
      <c r="AH127" s="135">
        <v>18.899999999999999</v>
      </c>
      <c r="AI127" s="135">
        <v>7400</v>
      </c>
      <c r="AJ127" s="135">
        <v>390.7</v>
      </c>
      <c r="AK127" s="135">
        <v>2.56</v>
      </c>
      <c r="AL127" s="135">
        <v>15.1</v>
      </c>
      <c r="AM127" s="135">
        <v>8200</v>
      </c>
      <c r="AN127" s="135">
        <v>542.1</v>
      </c>
      <c r="AO127" s="135">
        <v>1.84</v>
      </c>
      <c r="AP127" s="135"/>
      <c r="AQ127" s="135"/>
      <c r="AR127" s="135"/>
      <c r="AS127" s="135"/>
      <c r="AT127" s="135"/>
      <c r="AU127" s="135"/>
      <c r="AV127" s="135"/>
      <c r="AW127" s="135"/>
      <c r="AX127" s="135">
        <v>15.1</v>
      </c>
      <c r="AY127" s="135">
        <v>39</v>
      </c>
      <c r="AZ127" s="135">
        <v>2.6</v>
      </c>
      <c r="BA127" s="135">
        <v>0.39</v>
      </c>
      <c r="BB127" s="135"/>
      <c r="BC127" s="135"/>
      <c r="BD127" s="135"/>
      <c r="BE127" s="135"/>
      <c r="BF127" s="135">
        <v>18.899999999999999</v>
      </c>
      <c r="BG127" s="135">
        <v>14000</v>
      </c>
      <c r="BH127" s="135">
        <v>739.1</v>
      </c>
      <c r="BI127" s="135">
        <v>1.35</v>
      </c>
      <c r="BJ127" s="135">
        <v>53.5</v>
      </c>
      <c r="BK127" s="135">
        <v>4</v>
      </c>
      <c r="BL127" s="135">
        <v>24.75</v>
      </c>
    </row>
    <row r="128" spans="1:64" x14ac:dyDescent="0.3">
      <c r="A128" s="135">
        <v>2016</v>
      </c>
      <c r="B128" s="135">
        <v>4</v>
      </c>
      <c r="C128" s="135" t="s">
        <v>2113</v>
      </c>
      <c r="D128" s="135" t="s">
        <v>213</v>
      </c>
      <c r="E128" s="135" t="s">
        <v>396</v>
      </c>
      <c r="F128" s="135" t="s">
        <v>16</v>
      </c>
      <c r="G128" s="135" t="s">
        <v>1980</v>
      </c>
      <c r="H128" s="135">
        <v>26.15</v>
      </c>
      <c r="I128" s="135">
        <v>11.785</v>
      </c>
      <c r="J128" s="135">
        <v>17.666</v>
      </c>
      <c r="K128" s="135">
        <v>0</v>
      </c>
      <c r="L128" s="135">
        <v>0</v>
      </c>
      <c r="M128" s="135">
        <v>0</v>
      </c>
      <c r="N128" s="135">
        <v>0</v>
      </c>
      <c r="O128" s="135">
        <v>0</v>
      </c>
      <c r="P128" s="135">
        <v>0</v>
      </c>
      <c r="Q128" s="135">
        <v>0</v>
      </c>
      <c r="R128" s="135">
        <v>0</v>
      </c>
      <c r="S128" s="135">
        <v>5.8810000000000002</v>
      </c>
      <c r="T128" s="135">
        <v>88.268000000000001</v>
      </c>
      <c r="U128" s="135">
        <v>0.50800000000000001</v>
      </c>
      <c r="V128" s="135">
        <v>4.4999999999999998E-2</v>
      </c>
      <c r="W128" s="135">
        <v>0</v>
      </c>
      <c r="X128" s="135">
        <v>0</v>
      </c>
      <c r="Y128" s="135" t="s">
        <v>1959</v>
      </c>
      <c r="Z128" s="135">
        <v>14.7</v>
      </c>
      <c r="AA128" s="135">
        <v>5200</v>
      </c>
      <c r="AB128" s="135">
        <v>354.2</v>
      </c>
      <c r="AC128" s="135">
        <v>2.82</v>
      </c>
      <c r="AD128" s="135">
        <v>17.7</v>
      </c>
      <c r="AE128" s="135">
        <v>15700</v>
      </c>
      <c r="AF128" s="135">
        <v>888.7</v>
      </c>
      <c r="AG128" s="135">
        <v>1.1299999999999999</v>
      </c>
      <c r="AH128" s="135">
        <v>18.2</v>
      </c>
      <c r="AI128" s="135">
        <v>7000</v>
      </c>
      <c r="AJ128" s="135">
        <v>383.8</v>
      </c>
      <c r="AK128" s="135">
        <v>2.61</v>
      </c>
      <c r="AL128" s="135">
        <v>14.7</v>
      </c>
      <c r="AM128" s="135">
        <v>7600</v>
      </c>
      <c r="AN128" s="135">
        <v>516.1</v>
      </c>
      <c r="AO128" s="135">
        <v>1.94</v>
      </c>
      <c r="AP128" s="135"/>
      <c r="AQ128" s="135"/>
      <c r="AR128" s="135"/>
      <c r="AS128" s="135"/>
      <c r="AT128" s="135"/>
      <c r="AU128" s="135"/>
      <c r="AV128" s="135"/>
      <c r="AW128" s="135"/>
      <c r="AX128" s="135">
        <v>14.7</v>
      </c>
      <c r="AY128" s="135">
        <v>26</v>
      </c>
      <c r="AZ128" s="135">
        <v>1.8</v>
      </c>
      <c r="BA128" s="135">
        <v>0.56999999999999995</v>
      </c>
      <c r="BB128" s="135"/>
      <c r="BC128" s="135"/>
      <c r="BD128" s="135"/>
      <c r="BE128" s="135"/>
      <c r="BF128" s="135">
        <v>18.2</v>
      </c>
      <c r="BG128" s="135">
        <v>13300</v>
      </c>
      <c r="BH128" s="135">
        <v>729.2</v>
      </c>
      <c r="BI128" s="135">
        <v>1.37</v>
      </c>
      <c r="BJ128" s="135">
        <v>49.5</v>
      </c>
      <c r="BK128" s="135">
        <v>-2.5</v>
      </c>
      <c r="BL128" s="135">
        <v>26</v>
      </c>
    </row>
    <row r="129" spans="1:64" x14ac:dyDescent="0.3">
      <c r="A129" s="135">
        <v>2016</v>
      </c>
      <c r="B129" s="135">
        <v>4</v>
      </c>
      <c r="C129" s="135" t="s">
        <v>2109</v>
      </c>
      <c r="D129" s="135" t="s">
        <v>205</v>
      </c>
      <c r="E129" s="135" t="s">
        <v>396</v>
      </c>
      <c r="F129" s="135" t="s">
        <v>57</v>
      </c>
      <c r="G129" s="135" t="s">
        <v>1999</v>
      </c>
      <c r="H129" s="135">
        <v>25.34</v>
      </c>
      <c r="I129" s="135">
        <v>11.698</v>
      </c>
      <c r="J129" s="135">
        <v>18.797999999999998</v>
      </c>
      <c r="K129" s="135">
        <v>0</v>
      </c>
      <c r="L129" s="135">
        <v>0</v>
      </c>
      <c r="M129" s="135">
        <v>0</v>
      </c>
      <c r="N129" s="135">
        <v>0</v>
      </c>
      <c r="O129" s="135">
        <v>0</v>
      </c>
      <c r="P129" s="135">
        <v>0.71</v>
      </c>
      <c r="Q129" s="135">
        <v>4.7160000000000002</v>
      </c>
      <c r="R129" s="135">
        <v>0</v>
      </c>
      <c r="S129" s="135">
        <v>7.1</v>
      </c>
      <c r="T129" s="135">
        <v>93.846000000000004</v>
      </c>
      <c r="U129" s="135">
        <v>0.33500000000000002</v>
      </c>
      <c r="V129" s="135">
        <v>8.4000000000000005E-2</v>
      </c>
      <c r="W129" s="135">
        <v>0</v>
      </c>
      <c r="X129" s="135">
        <v>0</v>
      </c>
      <c r="Y129" s="135" t="s">
        <v>1959</v>
      </c>
      <c r="Z129" s="135">
        <v>15.2</v>
      </c>
      <c r="AA129" s="135">
        <v>5500</v>
      </c>
      <c r="AB129" s="135">
        <v>362.7</v>
      </c>
      <c r="AC129" s="135">
        <v>2.76</v>
      </c>
      <c r="AD129" s="135">
        <v>18.8</v>
      </c>
      <c r="AE129" s="135">
        <v>13450</v>
      </c>
      <c r="AF129" s="135">
        <v>715.5</v>
      </c>
      <c r="AG129" s="135">
        <v>1.4</v>
      </c>
      <c r="AH129" s="135">
        <v>19.5</v>
      </c>
      <c r="AI129" s="135">
        <v>6900</v>
      </c>
      <c r="AJ129" s="135">
        <v>354.3</v>
      </c>
      <c r="AK129" s="135">
        <v>2.82</v>
      </c>
      <c r="AL129" s="135">
        <v>15.2</v>
      </c>
      <c r="AM129" s="135">
        <v>7200</v>
      </c>
      <c r="AN129" s="135">
        <v>472.2</v>
      </c>
      <c r="AO129" s="135">
        <v>2.12</v>
      </c>
      <c r="AP129" s="135"/>
      <c r="AQ129" s="135"/>
      <c r="AR129" s="135"/>
      <c r="AS129" s="135"/>
      <c r="AT129" s="135"/>
      <c r="AU129" s="135"/>
      <c r="AV129" s="135"/>
      <c r="AW129" s="135"/>
      <c r="AX129" s="135">
        <v>15.2</v>
      </c>
      <c r="AY129" s="135">
        <v>24</v>
      </c>
      <c r="AZ129" s="135">
        <v>1.6</v>
      </c>
      <c r="BA129" s="135">
        <v>0.64</v>
      </c>
      <c r="BB129" s="135"/>
      <c r="BC129" s="135"/>
      <c r="BD129" s="135"/>
      <c r="BE129" s="135"/>
      <c r="BF129" s="135">
        <v>19.5</v>
      </c>
      <c r="BG129" s="135">
        <v>13000</v>
      </c>
      <c r="BH129" s="135">
        <v>667.6</v>
      </c>
      <c r="BI129" s="135">
        <v>1.5</v>
      </c>
      <c r="BJ129" s="135">
        <v>44.5</v>
      </c>
      <c r="BK129" s="135">
        <v>7</v>
      </c>
      <c r="BL129" s="135">
        <v>18.75</v>
      </c>
    </row>
    <row r="130" spans="1:64" x14ac:dyDescent="0.3">
      <c r="A130" s="135">
        <v>2016</v>
      </c>
      <c r="B130" s="135">
        <v>4</v>
      </c>
      <c r="C130" s="135" t="s">
        <v>2108</v>
      </c>
      <c r="D130" s="135" t="s">
        <v>241</v>
      </c>
      <c r="E130" s="135" t="s">
        <v>396</v>
      </c>
      <c r="F130" s="135" t="s">
        <v>407</v>
      </c>
      <c r="G130" s="135" t="s">
        <v>404</v>
      </c>
      <c r="H130" s="135">
        <v>19.47</v>
      </c>
      <c r="I130" s="135">
        <v>11.538</v>
      </c>
      <c r="J130" s="135">
        <v>17.579000000000001</v>
      </c>
      <c r="K130" s="135">
        <v>0</v>
      </c>
      <c r="L130" s="135">
        <v>0</v>
      </c>
      <c r="M130" s="135">
        <v>0</v>
      </c>
      <c r="N130" s="135">
        <v>0</v>
      </c>
      <c r="O130" s="135">
        <v>0</v>
      </c>
      <c r="P130" s="135">
        <v>0</v>
      </c>
      <c r="Q130" s="135">
        <v>0</v>
      </c>
      <c r="R130" s="135">
        <v>0</v>
      </c>
      <c r="S130" s="135">
        <v>6.0410000000000004</v>
      </c>
      <c r="T130" s="135">
        <v>81.840999999999994</v>
      </c>
      <c r="U130" s="135">
        <v>0.57299999999999995</v>
      </c>
      <c r="V130" s="135">
        <v>4.2000000000000003E-2</v>
      </c>
      <c r="W130" s="135">
        <v>0</v>
      </c>
      <c r="X130" s="135">
        <v>0</v>
      </c>
      <c r="Y130" s="135" t="s">
        <v>1959</v>
      </c>
      <c r="Z130" s="135">
        <v>14.5</v>
      </c>
      <c r="AA130" s="135">
        <v>4950</v>
      </c>
      <c r="AB130" s="135">
        <v>341</v>
      </c>
      <c r="AC130" s="135">
        <v>2.93</v>
      </c>
      <c r="AD130" s="135">
        <v>17.600000000000001</v>
      </c>
      <c r="AE130" s="135">
        <v>14650</v>
      </c>
      <c r="AF130" s="135">
        <v>833.4</v>
      </c>
      <c r="AG130" s="135">
        <v>1.2</v>
      </c>
      <c r="AH130" s="135">
        <v>18.100000000000001</v>
      </c>
      <c r="AI130" s="135">
        <v>5900</v>
      </c>
      <c r="AJ130" s="135">
        <v>325.7</v>
      </c>
      <c r="AK130" s="135">
        <v>3.07</v>
      </c>
      <c r="AL130" s="135">
        <v>14.6</v>
      </c>
      <c r="AM130" s="135">
        <v>6600</v>
      </c>
      <c r="AN130" s="135">
        <v>453.3</v>
      </c>
      <c r="AO130" s="135">
        <v>2.21</v>
      </c>
      <c r="AP130" s="135"/>
      <c r="AQ130" s="135"/>
      <c r="AR130" s="135"/>
      <c r="AS130" s="135"/>
      <c r="AT130" s="135"/>
      <c r="AU130" s="135"/>
      <c r="AV130" s="135"/>
      <c r="AW130" s="135"/>
      <c r="AX130" s="135">
        <v>14.6</v>
      </c>
      <c r="AY130" s="135">
        <v>28</v>
      </c>
      <c r="AZ130" s="135">
        <v>1.9</v>
      </c>
      <c r="BA130" s="135">
        <v>0.52</v>
      </c>
      <c r="BB130" s="135"/>
      <c r="BC130" s="135"/>
      <c r="BD130" s="135"/>
      <c r="BE130" s="135"/>
      <c r="BF130" s="135">
        <v>18.100000000000001</v>
      </c>
      <c r="BG130" s="135">
        <v>11000</v>
      </c>
      <c r="BH130" s="135">
        <v>607.29999999999995</v>
      </c>
      <c r="BI130" s="135">
        <v>1.65</v>
      </c>
      <c r="BJ130" s="135">
        <v>53.5</v>
      </c>
      <c r="BK130" s="135">
        <v>-4</v>
      </c>
      <c r="BL130" s="135">
        <v>28.75</v>
      </c>
    </row>
    <row r="131" spans="1:64" x14ac:dyDescent="0.3">
      <c r="A131" s="135">
        <v>2016</v>
      </c>
      <c r="B131" s="135">
        <v>4</v>
      </c>
      <c r="C131" s="135" t="s">
        <v>2116</v>
      </c>
      <c r="D131" s="135" t="s">
        <v>192</v>
      </c>
      <c r="E131" s="135" t="s">
        <v>396</v>
      </c>
      <c r="F131" s="135" t="s">
        <v>7</v>
      </c>
      <c r="G131" s="135" t="s">
        <v>2305</v>
      </c>
      <c r="H131" s="135">
        <v>36.82</v>
      </c>
      <c r="I131" s="135">
        <v>11.521000000000001</v>
      </c>
      <c r="J131" s="135">
        <v>17.949000000000002</v>
      </c>
      <c r="K131" s="135">
        <v>0</v>
      </c>
      <c r="L131" s="135">
        <v>0</v>
      </c>
      <c r="M131" s="135">
        <v>0</v>
      </c>
      <c r="N131" s="135">
        <v>0</v>
      </c>
      <c r="O131" s="135">
        <v>0</v>
      </c>
      <c r="P131" s="135">
        <v>0</v>
      </c>
      <c r="Q131" s="135">
        <v>0</v>
      </c>
      <c r="R131" s="135">
        <v>0</v>
      </c>
      <c r="S131" s="135">
        <v>6.4279999999999999</v>
      </c>
      <c r="T131" s="135">
        <v>82.052999999999997</v>
      </c>
      <c r="U131" s="135">
        <v>0.57599999999999996</v>
      </c>
      <c r="V131" s="135">
        <v>7.0000000000000007E-2</v>
      </c>
      <c r="W131" s="135">
        <v>0</v>
      </c>
      <c r="X131" s="135">
        <v>0</v>
      </c>
      <c r="Y131" s="135" t="s">
        <v>1959</v>
      </c>
      <c r="Z131" s="135">
        <v>14.7</v>
      </c>
      <c r="AA131" s="135">
        <v>4950</v>
      </c>
      <c r="AB131" s="135">
        <v>337.5</v>
      </c>
      <c r="AC131" s="135">
        <v>2.96</v>
      </c>
      <c r="AD131" s="135">
        <v>17.899999999999999</v>
      </c>
      <c r="AE131" s="135">
        <v>12450</v>
      </c>
      <c r="AF131" s="135">
        <v>693.6</v>
      </c>
      <c r="AG131" s="135">
        <v>1.44</v>
      </c>
      <c r="AH131" s="135">
        <v>18.5</v>
      </c>
      <c r="AI131" s="135">
        <v>6100</v>
      </c>
      <c r="AJ131" s="135">
        <v>329.5</v>
      </c>
      <c r="AK131" s="135">
        <v>3.03</v>
      </c>
      <c r="AL131" s="135">
        <v>14.7</v>
      </c>
      <c r="AM131" s="135">
        <v>7400</v>
      </c>
      <c r="AN131" s="135">
        <v>502.2</v>
      </c>
      <c r="AO131" s="135">
        <v>1.99</v>
      </c>
      <c r="AP131" s="135"/>
      <c r="AQ131" s="135"/>
      <c r="AR131" s="135"/>
      <c r="AS131" s="135"/>
      <c r="AT131" s="135"/>
      <c r="AU131" s="135"/>
      <c r="AV131" s="135"/>
      <c r="AW131" s="135"/>
      <c r="AX131" s="135">
        <v>14.7</v>
      </c>
      <c r="AY131" s="135">
        <v>28</v>
      </c>
      <c r="AZ131" s="135">
        <v>1.9</v>
      </c>
      <c r="BA131" s="135">
        <v>0.53</v>
      </c>
      <c r="BB131" s="135"/>
      <c r="BC131" s="135"/>
      <c r="BD131" s="135"/>
      <c r="BE131" s="135"/>
      <c r="BF131" s="135">
        <v>18.5</v>
      </c>
      <c r="BG131" s="135">
        <v>11400</v>
      </c>
      <c r="BH131" s="135">
        <v>615.79999999999995</v>
      </c>
      <c r="BI131" s="135">
        <v>1.62</v>
      </c>
      <c r="BJ131" s="135">
        <v>40.5</v>
      </c>
      <c r="BK131" s="135">
        <v>-1.5</v>
      </c>
      <c r="BL131" s="135">
        <v>21</v>
      </c>
    </row>
    <row r="132" spans="1:64" x14ac:dyDescent="0.3">
      <c r="A132" s="135">
        <v>2016</v>
      </c>
      <c r="B132" s="135">
        <v>4</v>
      </c>
      <c r="C132" s="135" t="s">
        <v>2102</v>
      </c>
      <c r="D132" s="135" t="s">
        <v>768</v>
      </c>
      <c r="E132" s="135" t="s">
        <v>396</v>
      </c>
      <c r="F132" s="135" t="s">
        <v>22</v>
      </c>
      <c r="G132" s="135" t="s">
        <v>2296</v>
      </c>
      <c r="H132" s="135">
        <v>15.55</v>
      </c>
      <c r="I132" s="135">
        <v>11.368</v>
      </c>
      <c r="J132" s="135">
        <v>16.649000000000001</v>
      </c>
      <c r="K132" s="135">
        <v>0</v>
      </c>
      <c r="L132" s="135">
        <v>0</v>
      </c>
      <c r="M132" s="135">
        <v>0</v>
      </c>
      <c r="N132" s="135">
        <v>0</v>
      </c>
      <c r="O132" s="135">
        <v>0</v>
      </c>
      <c r="P132" s="135">
        <v>0</v>
      </c>
      <c r="Q132" s="135">
        <v>0</v>
      </c>
      <c r="R132" s="135">
        <v>0</v>
      </c>
      <c r="S132" s="135">
        <v>5.2809999999999997</v>
      </c>
      <c r="T132" s="135">
        <v>70.540000000000006</v>
      </c>
      <c r="U132" s="135">
        <v>0.73299999999999998</v>
      </c>
      <c r="V132" s="135">
        <v>4.2000000000000003E-2</v>
      </c>
      <c r="W132" s="135">
        <v>0</v>
      </c>
      <c r="X132" s="135">
        <v>0</v>
      </c>
      <c r="Y132" s="135" t="s">
        <v>1959</v>
      </c>
      <c r="Z132" s="135">
        <v>14</v>
      </c>
      <c r="AA132" s="135">
        <v>5200</v>
      </c>
      <c r="AB132" s="135">
        <v>372.3</v>
      </c>
      <c r="AC132" s="135">
        <v>2.69</v>
      </c>
      <c r="AD132" s="135">
        <v>16.600000000000001</v>
      </c>
      <c r="AE132" s="135">
        <v>14100</v>
      </c>
      <c r="AF132" s="135">
        <v>846.9</v>
      </c>
      <c r="AG132" s="135">
        <v>1.18</v>
      </c>
      <c r="AH132" s="135">
        <v>17.100000000000001</v>
      </c>
      <c r="AI132" s="135">
        <v>7100</v>
      </c>
      <c r="AJ132" s="135">
        <v>414.9</v>
      </c>
      <c r="AK132" s="135">
        <v>2.41</v>
      </c>
      <c r="AL132" s="135">
        <v>14</v>
      </c>
      <c r="AM132" s="135">
        <v>7700</v>
      </c>
      <c r="AN132" s="135">
        <v>549.70000000000005</v>
      </c>
      <c r="AO132" s="135">
        <v>1.82</v>
      </c>
      <c r="AP132" s="135"/>
      <c r="AQ132" s="135"/>
      <c r="AR132" s="135"/>
      <c r="AS132" s="135"/>
      <c r="AT132" s="135"/>
      <c r="AU132" s="135"/>
      <c r="AV132" s="135"/>
      <c r="AW132" s="135"/>
      <c r="AX132" s="135">
        <v>14</v>
      </c>
      <c r="AY132" s="135">
        <v>32</v>
      </c>
      <c r="AZ132" s="135">
        <v>2.2999999999999998</v>
      </c>
      <c r="BA132" s="135">
        <v>0.44</v>
      </c>
      <c r="BB132" s="135"/>
      <c r="BC132" s="135"/>
      <c r="BD132" s="135"/>
      <c r="BE132" s="135"/>
      <c r="BF132" s="135">
        <v>17.100000000000001</v>
      </c>
      <c r="BG132" s="135">
        <v>13400</v>
      </c>
      <c r="BH132" s="135">
        <v>783</v>
      </c>
      <c r="BI132" s="135">
        <v>1.28</v>
      </c>
      <c r="BJ132" s="135">
        <v>50</v>
      </c>
      <c r="BK132" s="135">
        <v>-3</v>
      </c>
      <c r="BL132" s="135">
        <v>26.5</v>
      </c>
    </row>
    <row r="133" spans="1:64" x14ac:dyDescent="0.3">
      <c r="A133" s="135">
        <v>2016</v>
      </c>
      <c r="B133" s="135">
        <v>4</v>
      </c>
      <c r="C133" s="135" t="s">
        <v>2104</v>
      </c>
      <c r="D133" s="135" t="s">
        <v>217</v>
      </c>
      <c r="E133" s="135" t="s">
        <v>396</v>
      </c>
      <c r="F133" s="135" t="s">
        <v>401</v>
      </c>
      <c r="G133" s="135" t="s">
        <v>70</v>
      </c>
      <c r="H133" s="135">
        <v>10.94</v>
      </c>
      <c r="I133" s="135">
        <v>11.284000000000001</v>
      </c>
      <c r="J133" s="135">
        <v>16.690999999999999</v>
      </c>
      <c r="K133" s="135">
        <v>0</v>
      </c>
      <c r="L133" s="135">
        <v>0</v>
      </c>
      <c r="M133" s="135">
        <v>0</v>
      </c>
      <c r="N133" s="135">
        <v>0</v>
      </c>
      <c r="O133" s="135">
        <v>0</v>
      </c>
      <c r="P133" s="135">
        <v>0</v>
      </c>
      <c r="Q133" s="135">
        <v>0</v>
      </c>
      <c r="R133" s="135">
        <v>0</v>
      </c>
      <c r="S133" s="135">
        <v>5.407</v>
      </c>
      <c r="T133" s="135">
        <v>78.802999999999997</v>
      </c>
      <c r="U133" s="135">
        <v>0.58699999999999997</v>
      </c>
      <c r="V133" s="135">
        <v>5.8999999999999997E-2</v>
      </c>
      <c r="W133" s="135">
        <v>0</v>
      </c>
      <c r="X133" s="135">
        <v>0</v>
      </c>
      <c r="Y133" s="135" t="s">
        <v>1959</v>
      </c>
      <c r="Z133" s="135">
        <v>13.9</v>
      </c>
      <c r="AA133" s="135">
        <v>5350</v>
      </c>
      <c r="AB133" s="135">
        <v>384.1</v>
      </c>
      <c r="AC133" s="135">
        <v>2.6</v>
      </c>
      <c r="AD133" s="135">
        <v>16.7</v>
      </c>
      <c r="AE133" s="135">
        <v>11900</v>
      </c>
      <c r="AF133" s="135">
        <v>712.9</v>
      </c>
      <c r="AG133" s="135">
        <v>1.4</v>
      </c>
      <c r="AH133" s="135">
        <v>17.2</v>
      </c>
      <c r="AI133" s="135">
        <v>6500</v>
      </c>
      <c r="AJ133" s="135">
        <v>377.4</v>
      </c>
      <c r="AK133" s="135">
        <v>2.65</v>
      </c>
      <c r="AL133" s="135">
        <v>14</v>
      </c>
      <c r="AM133" s="135">
        <v>8000</v>
      </c>
      <c r="AN133" s="135">
        <v>571.9</v>
      </c>
      <c r="AO133" s="135">
        <v>1.75</v>
      </c>
      <c r="AP133" s="135"/>
      <c r="AQ133" s="135"/>
      <c r="AR133" s="135"/>
      <c r="AS133" s="135"/>
      <c r="AT133" s="135"/>
      <c r="AU133" s="135"/>
      <c r="AV133" s="135"/>
      <c r="AW133" s="135"/>
      <c r="AX133" s="135">
        <v>14</v>
      </c>
      <c r="AY133" s="135">
        <v>26</v>
      </c>
      <c r="AZ133" s="135">
        <v>1.9</v>
      </c>
      <c r="BA133" s="135">
        <v>0.54</v>
      </c>
      <c r="BB133" s="135"/>
      <c r="BC133" s="135"/>
      <c r="BD133" s="135"/>
      <c r="BE133" s="135"/>
      <c r="BF133" s="135">
        <v>17.2</v>
      </c>
      <c r="BG133" s="135">
        <v>12400</v>
      </c>
      <c r="BH133" s="135">
        <v>720</v>
      </c>
      <c r="BI133" s="135">
        <v>1.39</v>
      </c>
      <c r="BJ133" s="135">
        <v>44</v>
      </c>
      <c r="BK133" s="135">
        <v>3</v>
      </c>
      <c r="BL133" s="135">
        <v>20.5</v>
      </c>
    </row>
    <row r="134" spans="1:64" x14ac:dyDescent="0.3">
      <c r="A134" s="135">
        <v>2016</v>
      </c>
      <c r="B134" s="135">
        <v>4</v>
      </c>
      <c r="C134" s="135" t="s">
        <v>2101</v>
      </c>
      <c r="D134" s="135" t="s">
        <v>193</v>
      </c>
      <c r="E134" s="135" t="s">
        <v>396</v>
      </c>
      <c r="F134" s="135" t="s">
        <v>24</v>
      </c>
      <c r="G134" s="135" t="s">
        <v>409</v>
      </c>
      <c r="H134" s="135">
        <v>23.55</v>
      </c>
      <c r="I134" s="135">
        <v>11.228999999999999</v>
      </c>
      <c r="J134" s="135">
        <v>17.635000000000002</v>
      </c>
      <c r="K134" s="135">
        <v>0</v>
      </c>
      <c r="L134" s="135">
        <v>0</v>
      </c>
      <c r="M134" s="135">
        <v>0</v>
      </c>
      <c r="N134" s="135">
        <v>0</v>
      </c>
      <c r="O134" s="135">
        <v>0</v>
      </c>
      <c r="P134" s="135">
        <v>0</v>
      </c>
      <c r="Q134" s="135">
        <v>0</v>
      </c>
      <c r="R134" s="135">
        <v>0</v>
      </c>
      <c r="S134" s="135">
        <v>6.4059999999999997</v>
      </c>
      <c r="T134" s="135">
        <v>73.852999999999994</v>
      </c>
      <c r="U134" s="135">
        <v>0.66100000000000003</v>
      </c>
      <c r="V134" s="135">
        <v>6.0999999999999999E-2</v>
      </c>
      <c r="W134" s="135">
        <v>0</v>
      </c>
      <c r="X134" s="135">
        <v>0</v>
      </c>
      <c r="Y134" s="135" t="s">
        <v>1959</v>
      </c>
      <c r="Z134" s="135">
        <v>14.4</v>
      </c>
      <c r="AA134" s="135">
        <v>4900</v>
      </c>
      <c r="AB134" s="135">
        <v>341</v>
      </c>
      <c r="AC134" s="135">
        <v>2.93</v>
      </c>
      <c r="AD134" s="135">
        <v>17.600000000000001</v>
      </c>
      <c r="AE134" s="135">
        <v>12300</v>
      </c>
      <c r="AF134" s="135">
        <v>697.5</v>
      </c>
      <c r="AG134" s="135">
        <v>1.43</v>
      </c>
      <c r="AH134" s="135">
        <v>18.100000000000001</v>
      </c>
      <c r="AI134" s="135">
        <v>7200</v>
      </c>
      <c r="AJ134" s="135">
        <v>396.9</v>
      </c>
      <c r="AK134" s="135">
        <v>2.52</v>
      </c>
      <c r="AL134" s="135">
        <v>14.4</v>
      </c>
      <c r="AM134" s="135">
        <v>7500</v>
      </c>
      <c r="AN134" s="135">
        <v>519.70000000000005</v>
      </c>
      <c r="AO134" s="135">
        <v>1.92</v>
      </c>
      <c r="AP134" s="135"/>
      <c r="AQ134" s="135"/>
      <c r="AR134" s="135"/>
      <c r="AS134" s="135"/>
      <c r="AT134" s="135"/>
      <c r="AU134" s="135"/>
      <c r="AV134" s="135"/>
      <c r="AW134" s="135"/>
      <c r="AX134" s="135">
        <v>14.4</v>
      </c>
      <c r="AY134" s="135">
        <v>30</v>
      </c>
      <c r="AZ134" s="135">
        <v>2.1</v>
      </c>
      <c r="BA134" s="135">
        <v>0.48</v>
      </c>
      <c r="BB134" s="135"/>
      <c r="BC134" s="135"/>
      <c r="BD134" s="135"/>
      <c r="BE134" s="135"/>
      <c r="BF134" s="135">
        <v>18.100000000000001</v>
      </c>
      <c r="BG134" s="135">
        <v>13600</v>
      </c>
      <c r="BH134" s="135">
        <v>749.7</v>
      </c>
      <c r="BI134" s="135">
        <v>1.33</v>
      </c>
      <c r="BJ134" s="135">
        <v>43</v>
      </c>
      <c r="BK134" s="135">
        <v>-8</v>
      </c>
      <c r="BL134" s="135">
        <v>25.5</v>
      </c>
    </row>
    <row r="135" spans="1:64" x14ac:dyDescent="0.3">
      <c r="A135" s="135">
        <v>2016</v>
      </c>
      <c r="B135" s="135">
        <v>4</v>
      </c>
      <c r="C135" s="135" t="s">
        <v>2099</v>
      </c>
      <c r="D135" s="135" t="s">
        <v>208</v>
      </c>
      <c r="E135" s="135" t="s">
        <v>396</v>
      </c>
      <c r="F135" s="135" t="s">
        <v>46</v>
      </c>
      <c r="G135" s="135" t="s">
        <v>26</v>
      </c>
      <c r="H135" s="135">
        <v>31.1</v>
      </c>
      <c r="I135" s="135">
        <v>11.089</v>
      </c>
      <c r="J135" s="135">
        <v>16.346</v>
      </c>
      <c r="K135" s="135">
        <v>0</v>
      </c>
      <c r="L135" s="135">
        <v>0</v>
      </c>
      <c r="M135" s="135">
        <v>0</v>
      </c>
      <c r="N135" s="135">
        <v>0</v>
      </c>
      <c r="O135" s="135">
        <v>0</v>
      </c>
      <c r="P135" s="135">
        <v>0</v>
      </c>
      <c r="Q135" s="135">
        <v>0</v>
      </c>
      <c r="R135" s="135">
        <v>0</v>
      </c>
      <c r="S135" s="135">
        <v>5.2569999999999997</v>
      </c>
      <c r="T135" s="135">
        <v>82.369</v>
      </c>
      <c r="U135" s="135">
        <v>0.49299999999999999</v>
      </c>
      <c r="V135" s="135">
        <v>5.2999999999999999E-2</v>
      </c>
      <c r="W135" s="135">
        <v>0</v>
      </c>
      <c r="X135" s="135">
        <v>0</v>
      </c>
      <c r="Y135" s="135" t="s">
        <v>1959</v>
      </c>
      <c r="Z135" s="135">
        <v>13.7</v>
      </c>
      <c r="AA135" s="135">
        <v>5000</v>
      </c>
      <c r="AB135" s="135">
        <v>365.9</v>
      </c>
      <c r="AC135" s="135">
        <v>2.73</v>
      </c>
      <c r="AD135" s="135">
        <v>16.3</v>
      </c>
      <c r="AE135" s="135">
        <v>15650</v>
      </c>
      <c r="AF135" s="135">
        <v>957.4</v>
      </c>
      <c r="AG135" s="135">
        <v>1.04</v>
      </c>
      <c r="AH135" s="135">
        <v>16.899999999999999</v>
      </c>
      <c r="AI135" s="135">
        <v>7500</v>
      </c>
      <c r="AJ135" s="135">
        <v>444</v>
      </c>
      <c r="AK135" s="135">
        <v>2.25</v>
      </c>
      <c r="AL135" s="135">
        <v>13.7</v>
      </c>
      <c r="AM135" s="135">
        <v>8200</v>
      </c>
      <c r="AN135" s="135">
        <v>597.79999999999995</v>
      </c>
      <c r="AO135" s="135">
        <v>1.67</v>
      </c>
      <c r="AP135" s="135"/>
      <c r="AQ135" s="135"/>
      <c r="AR135" s="135"/>
      <c r="AS135" s="135"/>
      <c r="AT135" s="135"/>
      <c r="AU135" s="135"/>
      <c r="AV135" s="135"/>
      <c r="AW135" s="135"/>
      <c r="AX135" s="135">
        <v>13.7</v>
      </c>
      <c r="AY135" s="135">
        <v>32</v>
      </c>
      <c r="AZ135" s="135">
        <v>2.2999999999999998</v>
      </c>
      <c r="BA135" s="135">
        <v>0.43</v>
      </c>
      <c r="BB135" s="135"/>
      <c r="BC135" s="135"/>
      <c r="BD135" s="135"/>
      <c r="BE135" s="135"/>
      <c r="BF135" s="135">
        <v>16.899999999999999</v>
      </c>
      <c r="BG135" s="135">
        <v>14100</v>
      </c>
      <c r="BH135" s="135">
        <v>834.7</v>
      </c>
      <c r="BI135" s="135">
        <v>1.2</v>
      </c>
      <c r="BJ135" s="135">
        <v>46.5</v>
      </c>
      <c r="BK135" s="135">
        <v>3</v>
      </c>
      <c r="BL135" s="135">
        <v>21.75</v>
      </c>
    </row>
    <row r="136" spans="1:64" x14ac:dyDescent="0.3">
      <c r="A136" s="135">
        <v>2016</v>
      </c>
      <c r="B136" s="135">
        <v>4</v>
      </c>
      <c r="C136" s="135" t="s">
        <v>2110</v>
      </c>
      <c r="D136" s="135" t="s">
        <v>218</v>
      </c>
      <c r="E136" s="135" t="s">
        <v>396</v>
      </c>
      <c r="F136" s="135" t="s">
        <v>41</v>
      </c>
      <c r="G136" s="135" t="s">
        <v>37</v>
      </c>
      <c r="H136" s="135">
        <v>18.84</v>
      </c>
      <c r="I136" s="135">
        <v>11.038</v>
      </c>
      <c r="J136" s="135">
        <v>16.212</v>
      </c>
      <c r="K136" s="135">
        <v>0</v>
      </c>
      <c r="L136" s="135">
        <v>0</v>
      </c>
      <c r="M136" s="135">
        <v>0</v>
      </c>
      <c r="N136" s="135">
        <v>0</v>
      </c>
      <c r="O136" s="135">
        <v>0</v>
      </c>
      <c r="P136" s="135">
        <v>0</v>
      </c>
      <c r="Q136" s="135">
        <v>0</v>
      </c>
      <c r="R136" s="135">
        <v>0</v>
      </c>
      <c r="S136" s="135">
        <v>5.1740000000000004</v>
      </c>
      <c r="T136" s="135">
        <v>78.100999999999999</v>
      </c>
      <c r="U136" s="135">
        <v>0.55500000000000005</v>
      </c>
      <c r="V136" s="135">
        <v>5.0999999999999997E-2</v>
      </c>
      <c r="W136" s="135">
        <v>0</v>
      </c>
      <c r="X136" s="135">
        <v>0</v>
      </c>
      <c r="Y136" s="135" t="s">
        <v>1959</v>
      </c>
      <c r="Z136" s="135">
        <v>13.6</v>
      </c>
      <c r="AA136" s="135">
        <v>5100</v>
      </c>
      <c r="AB136" s="135">
        <v>375.7</v>
      </c>
      <c r="AC136" s="135">
        <v>2.66</v>
      </c>
      <c r="AD136" s="135">
        <v>16.2</v>
      </c>
      <c r="AE136" s="135">
        <v>15750</v>
      </c>
      <c r="AF136" s="135">
        <v>971.5</v>
      </c>
      <c r="AG136" s="135">
        <v>1.03</v>
      </c>
      <c r="AH136" s="135">
        <v>16.7</v>
      </c>
      <c r="AI136" s="135">
        <v>6100</v>
      </c>
      <c r="AJ136" s="135">
        <v>364.6</v>
      </c>
      <c r="AK136" s="135">
        <v>2.74</v>
      </c>
      <c r="AL136" s="135">
        <v>13.6</v>
      </c>
      <c r="AM136" s="135">
        <v>7100</v>
      </c>
      <c r="AN136" s="135">
        <v>521.1</v>
      </c>
      <c r="AO136" s="135">
        <v>1.92</v>
      </c>
      <c r="AP136" s="135"/>
      <c r="AQ136" s="135"/>
      <c r="AR136" s="135"/>
      <c r="AS136" s="135"/>
      <c r="AT136" s="135"/>
      <c r="AU136" s="135"/>
      <c r="AV136" s="135"/>
      <c r="AW136" s="135"/>
      <c r="AX136" s="135">
        <v>13.6</v>
      </c>
      <c r="AY136" s="135">
        <v>26</v>
      </c>
      <c r="AZ136" s="135">
        <v>1.9</v>
      </c>
      <c r="BA136" s="135">
        <v>0.52</v>
      </c>
      <c r="BB136" s="135"/>
      <c r="BC136" s="135"/>
      <c r="BD136" s="135"/>
      <c r="BE136" s="135"/>
      <c r="BF136" s="135">
        <v>16.7</v>
      </c>
      <c r="BG136" s="135">
        <v>11400</v>
      </c>
      <c r="BH136" s="135">
        <v>681.3</v>
      </c>
      <c r="BI136" s="135">
        <v>1.47</v>
      </c>
      <c r="BJ136" s="135">
        <v>43.5</v>
      </c>
      <c r="BK136" s="135">
        <v>-4</v>
      </c>
      <c r="BL136" s="135">
        <v>23.75</v>
      </c>
    </row>
    <row r="137" spans="1:64" x14ac:dyDescent="0.3">
      <c r="A137" s="135">
        <v>2016</v>
      </c>
      <c r="B137" s="135">
        <v>4</v>
      </c>
      <c r="C137" s="135" t="s">
        <v>2117</v>
      </c>
      <c r="D137" s="135" t="s">
        <v>199</v>
      </c>
      <c r="E137" s="135" t="s">
        <v>396</v>
      </c>
      <c r="F137" s="135" t="s">
        <v>70</v>
      </c>
      <c r="G137" s="135" t="s">
        <v>2005</v>
      </c>
      <c r="H137" s="135">
        <v>32.64</v>
      </c>
      <c r="I137" s="135">
        <v>10.964</v>
      </c>
      <c r="J137" s="135">
        <v>16.161999999999999</v>
      </c>
      <c r="K137" s="135">
        <v>0</v>
      </c>
      <c r="L137" s="135">
        <v>0</v>
      </c>
      <c r="M137" s="135">
        <v>0</v>
      </c>
      <c r="N137" s="135">
        <v>0</v>
      </c>
      <c r="O137" s="135">
        <v>0</v>
      </c>
      <c r="P137" s="135">
        <v>0</v>
      </c>
      <c r="Q137" s="135">
        <v>0</v>
      </c>
      <c r="R137" s="135">
        <v>0</v>
      </c>
      <c r="S137" s="135">
        <v>5.1980000000000004</v>
      </c>
      <c r="T137" s="135">
        <v>80.040999999999997</v>
      </c>
      <c r="U137" s="135">
        <v>0.51</v>
      </c>
      <c r="V137" s="135">
        <v>0.05</v>
      </c>
      <c r="W137" s="135">
        <v>0</v>
      </c>
      <c r="X137" s="135">
        <v>0</v>
      </c>
      <c r="Y137" s="135" t="s">
        <v>1983</v>
      </c>
      <c r="Z137" s="135">
        <v>13.5</v>
      </c>
      <c r="AA137" s="135">
        <v>5250</v>
      </c>
      <c r="AB137" s="135">
        <v>388.5</v>
      </c>
      <c r="AC137" s="135">
        <v>2.57</v>
      </c>
      <c r="AD137" s="135">
        <v>16.2</v>
      </c>
      <c r="AE137" s="135">
        <v>14050</v>
      </c>
      <c r="AF137" s="135">
        <v>869.3</v>
      </c>
      <c r="AG137" s="135">
        <v>1.1499999999999999</v>
      </c>
      <c r="AH137" s="135">
        <v>16.7</v>
      </c>
      <c r="AI137" s="135">
        <v>6700</v>
      </c>
      <c r="AJ137" s="135">
        <v>401.4</v>
      </c>
      <c r="AK137" s="135">
        <v>2.4900000000000002</v>
      </c>
      <c r="AL137" s="135">
        <v>13.6</v>
      </c>
      <c r="AM137" s="135">
        <v>7900</v>
      </c>
      <c r="AN137" s="135">
        <v>582.5</v>
      </c>
      <c r="AO137" s="135">
        <v>1.72</v>
      </c>
      <c r="AP137" s="135"/>
      <c r="AQ137" s="135"/>
      <c r="AR137" s="135"/>
      <c r="AS137" s="135"/>
      <c r="AT137" s="135"/>
      <c r="AU137" s="135"/>
      <c r="AV137" s="135"/>
      <c r="AW137" s="135"/>
      <c r="AX137" s="135">
        <v>13.6</v>
      </c>
      <c r="AY137" s="135">
        <v>23</v>
      </c>
      <c r="AZ137" s="135">
        <v>1.7</v>
      </c>
      <c r="BA137" s="135">
        <v>0.59</v>
      </c>
      <c r="BB137" s="135"/>
      <c r="BC137" s="135"/>
      <c r="BD137" s="135"/>
      <c r="BE137" s="135"/>
      <c r="BF137" s="135">
        <v>16.7</v>
      </c>
      <c r="BG137" s="135">
        <v>12600</v>
      </c>
      <c r="BH137" s="135">
        <v>754.8</v>
      </c>
      <c r="BI137" s="135">
        <v>1.32</v>
      </c>
      <c r="BJ137" s="135">
        <v>44</v>
      </c>
      <c r="BK137" s="135">
        <v>-3</v>
      </c>
      <c r="BL137" s="135">
        <v>23.5</v>
      </c>
    </row>
    <row r="138" spans="1:64" x14ac:dyDescent="0.3">
      <c r="A138" s="135">
        <v>2016</v>
      </c>
      <c r="B138" s="135">
        <v>4</v>
      </c>
      <c r="C138" s="135" t="s">
        <v>2100</v>
      </c>
      <c r="D138" s="135" t="s">
        <v>210</v>
      </c>
      <c r="E138" s="135" t="s">
        <v>396</v>
      </c>
      <c r="F138" s="135" t="s">
        <v>4</v>
      </c>
      <c r="G138" s="135" t="s">
        <v>2297</v>
      </c>
      <c r="H138" s="135">
        <v>22.34</v>
      </c>
      <c r="I138" s="135">
        <v>10.755000000000001</v>
      </c>
      <c r="J138" s="135">
        <v>15.757999999999999</v>
      </c>
      <c r="K138" s="135">
        <v>0</v>
      </c>
      <c r="L138" s="135">
        <v>0</v>
      </c>
      <c r="M138" s="135">
        <v>0</v>
      </c>
      <c r="N138" s="135">
        <v>0</v>
      </c>
      <c r="O138" s="135">
        <v>0</v>
      </c>
      <c r="P138" s="135">
        <v>0</v>
      </c>
      <c r="Q138" s="135">
        <v>0</v>
      </c>
      <c r="R138" s="135">
        <v>0</v>
      </c>
      <c r="S138" s="135">
        <v>5.0030000000000001</v>
      </c>
      <c r="T138" s="135">
        <v>86.912000000000006</v>
      </c>
      <c r="U138" s="135">
        <v>0.36</v>
      </c>
      <c r="V138" s="135">
        <v>4.8000000000000001E-2</v>
      </c>
      <c r="W138" s="135">
        <v>0</v>
      </c>
      <c r="X138" s="135">
        <v>0</v>
      </c>
      <c r="Y138" s="135" t="s">
        <v>1983</v>
      </c>
      <c r="Z138" s="135">
        <v>13.2</v>
      </c>
      <c r="AA138" s="135">
        <v>4950</v>
      </c>
      <c r="AB138" s="135">
        <v>374.8</v>
      </c>
      <c r="AC138" s="135">
        <v>2.67</v>
      </c>
      <c r="AD138" s="135">
        <v>15.8</v>
      </c>
      <c r="AE138" s="135">
        <v>14000</v>
      </c>
      <c r="AF138" s="135">
        <v>888.4</v>
      </c>
      <c r="AG138" s="135">
        <v>1.1299999999999999</v>
      </c>
      <c r="AH138" s="135">
        <v>16.3</v>
      </c>
      <c r="AI138" s="135">
        <v>7600</v>
      </c>
      <c r="AJ138" s="135">
        <v>465.5</v>
      </c>
      <c r="AK138" s="135">
        <v>2.15</v>
      </c>
      <c r="AL138" s="135">
        <v>13.3</v>
      </c>
      <c r="AM138" s="135">
        <v>7600</v>
      </c>
      <c r="AN138" s="135">
        <v>573.29999999999995</v>
      </c>
      <c r="AO138" s="135">
        <v>1.74</v>
      </c>
      <c r="AP138" s="135"/>
      <c r="AQ138" s="135"/>
      <c r="AR138" s="135"/>
      <c r="AS138" s="135"/>
      <c r="AT138" s="135"/>
      <c r="AU138" s="135"/>
      <c r="AV138" s="135"/>
      <c r="AW138" s="135"/>
      <c r="AX138" s="135">
        <v>13.3</v>
      </c>
      <c r="AY138" s="135">
        <v>24</v>
      </c>
      <c r="AZ138" s="135">
        <v>1.8</v>
      </c>
      <c r="BA138" s="135">
        <v>0.55000000000000004</v>
      </c>
      <c r="BB138" s="135"/>
      <c r="BC138" s="135"/>
      <c r="BD138" s="135"/>
      <c r="BE138" s="135"/>
      <c r="BF138" s="135">
        <v>16.3</v>
      </c>
      <c r="BG138" s="135">
        <v>14300</v>
      </c>
      <c r="BH138" s="135">
        <v>875.8</v>
      </c>
      <c r="BI138" s="135">
        <v>1.1399999999999999</v>
      </c>
      <c r="BJ138" s="135">
        <v>46.5</v>
      </c>
      <c r="BK138" s="135">
        <v>3.5</v>
      </c>
      <c r="BL138" s="135">
        <v>21.5</v>
      </c>
    </row>
    <row r="139" spans="1:64" x14ac:dyDescent="0.3">
      <c r="A139" s="135">
        <v>2016</v>
      </c>
      <c r="B139" s="135">
        <v>4</v>
      </c>
      <c r="C139" s="135" t="s">
        <v>2123</v>
      </c>
      <c r="D139" s="135" t="s">
        <v>226</v>
      </c>
      <c r="E139" s="135" t="s">
        <v>396</v>
      </c>
      <c r="F139" s="135" t="s">
        <v>18</v>
      </c>
      <c r="G139" s="135" t="s">
        <v>14</v>
      </c>
      <c r="H139" s="135">
        <v>36.85</v>
      </c>
      <c r="I139" s="135">
        <v>10.731</v>
      </c>
      <c r="J139" s="135">
        <v>14.984</v>
      </c>
      <c r="K139" s="135">
        <v>0</v>
      </c>
      <c r="L139" s="135">
        <v>0</v>
      </c>
      <c r="M139" s="135">
        <v>0</v>
      </c>
      <c r="N139" s="135">
        <v>0</v>
      </c>
      <c r="O139" s="135">
        <v>0</v>
      </c>
      <c r="P139" s="135">
        <v>0</v>
      </c>
      <c r="Q139" s="135">
        <v>0</v>
      </c>
      <c r="R139" s="135">
        <v>0</v>
      </c>
      <c r="S139" s="135">
        <v>4.2530000000000001</v>
      </c>
      <c r="T139" s="135">
        <v>69.388999999999996</v>
      </c>
      <c r="U139" s="135">
        <v>0.64300000000000002</v>
      </c>
      <c r="V139" s="135">
        <v>3.3000000000000002E-2</v>
      </c>
      <c r="W139" s="135">
        <v>0</v>
      </c>
      <c r="X139" s="135">
        <v>0</v>
      </c>
      <c r="Y139" s="135" t="s">
        <v>1983</v>
      </c>
      <c r="Z139" s="135">
        <v>12.8</v>
      </c>
      <c r="AA139" s="135">
        <v>4850</v>
      </c>
      <c r="AB139" s="135">
        <v>378.2</v>
      </c>
      <c r="AC139" s="135">
        <v>2.64</v>
      </c>
      <c r="AD139" s="135">
        <v>15</v>
      </c>
      <c r="AE139" s="135">
        <v>11200</v>
      </c>
      <c r="AF139" s="135">
        <v>747.5</v>
      </c>
      <c r="AG139" s="135">
        <v>1.34</v>
      </c>
      <c r="AH139" s="135">
        <v>15.4</v>
      </c>
      <c r="AI139" s="135">
        <v>6200</v>
      </c>
      <c r="AJ139" s="135">
        <v>401.7</v>
      </c>
      <c r="AK139" s="135">
        <v>2.4900000000000002</v>
      </c>
      <c r="AL139" s="135">
        <v>12.9</v>
      </c>
      <c r="AM139" s="135">
        <v>6900</v>
      </c>
      <c r="AN139" s="135">
        <v>536.70000000000005</v>
      </c>
      <c r="AO139" s="135">
        <v>1.86</v>
      </c>
      <c r="AP139" s="135"/>
      <c r="AQ139" s="135"/>
      <c r="AR139" s="135"/>
      <c r="AS139" s="135"/>
      <c r="AT139" s="135"/>
      <c r="AU139" s="135"/>
      <c r="AV139" s="135"/>
      <c r="AW139" s="135"/>
      <c r="AX139" s="135">
        <v>12.9</v>
      </c>
      <c r="AY139" s="135">
        <v>22</v>
      </c>
      <c r="AZ139" s="135">
        <v>1.7</v>
      </c>
      <c r="BA139" s="135">
        <v>0.57999999999999996</v>
      </c>
      <c r="BB139" s="135"/>
      <c r="BC139" s="135"/>
      <c r="BD139" s="135"/>
      <c r="BE139" s="135"/>
      <c r="BF139" s="135">
        <v>15.4</v>
      </c>
      <c r="BG139" s="135">
        <v>11700</v>
      </c>
      <c r="BH139" s="135">
        <v>758.1</v>
      </c>
      <c r="BI139" s="135">
        <v>1.32</v>
      </c>
      <c r="BJ139" s="135">
        <v>45.5</v>
      </c>
      <c r="BK139" s="135">
        <v>-8</v>
      </c>
      <c r="BL139" s="135">
        <v>26.75</v>
      </c>
    </row>
    <row r="140" spans="1:64" x14ac:dyDescent="0.3">
      <c r="A140" s="135">
        <v>2016</v>
      </c>
      <c r="B140" s="135">
        <v>4</v>
      </c>
      <c r="C140" s="135" t="s">
        <v>2105</v>
      </c>
      <c r="D140" s="135" t="s">
        <v>234</v>
      </c>
      <c r="E140" s="135" t="s">
        <v>396</v>
      </c>
      <c r="F140" s="135" t="s">
        <v>52</v>
      </c>
      <c r="G140" s="135" t="s">
        <v>2309</v>
      </c>
      <c r="H140" s="135">
        <v>26.3</v>
      </c>
      <c r="I140" s="135">
        <v>10.66</v>
      </c>
      <c r="J140" s="135">
        <v>16.140999999999998</v>
      </c>
      <c r="K140" s="135">
        <v>0</v>
      </c>
      <c r="L140" s="135">
        <v>0</v>
      </c>
      <c r="M140" s="135">
        <v>0</v>
      </c>
      <c r="N140" s="135">
        <v>0</v>
      </c>
      <c r="O140" s="135">
        <v>0</v>
      </c>
      <c r="P140" s="135">
        <v>0</v>
      </c>
      <c r="Q140" s="135">
        <v>0</v>
      </c>
      <c r="R140" s="135">
        <v>0</v>
      </c>
      <c r="S140" s="135">
        <v>5.4809999999999999</v>
      </c>
      <c r="T140" s="135">
        <v>71.703000000000003</v>
      </c>
      <c r="U140" s="135">
        <v>0.59599999999999997</v>
      </c>
      <c r="V140" s="135">
        <v>4.2999999999999997E-2</v>
      </c>
      <c r="W140" s="135">
        <v>0</v>
      </c>
      <c r="X140" s="135">
        <v>0</v>
      </c>
      <c r="Y140" s="135" t="s">
        <v>1983</v>
      </c>
      <c r="Z140" s="135">
        <v>13.4</v>
      </c>
      <c r="AA140" s="135">
        <v>5450</v>
      </c>
      <c r="AB140" s="135">
        <v>408</v>
      </c>
      <c r="AC140" s="135">
        <v>2.4500000000000002</v>
      </c>
      <c r="AD140" s="135">
        <v>16.100000000000001</v>
      </c>
      <c r="AE140" s="135">
        <v>14900</v>
      </c>
      <c r="AF140" s="135">
        <v>923.1</v>
      </c>
      <c r="AG140" s="135">
        <v>1.08</v>
      </c>
      <c r="AH140" s="135">
        <v>16.600000000000001</v>
      </c>
      <c r="AI140" s="135">
        <v>7900</v>
      </c>
      <c r="AJ140" s="135">
        <v>475.5</v>
      </c>
      <c r="AK140" s="135">
        <v>2.1</v>
      </c>
      <c r="AL140" s="135">
        <v>13.4</v>
      </c>
      <c r="AM140" s="135">
        <v>7800</v>
      </c>
      <c r="AN140" s="135">
        <v>582.1</v>
      </c>
      <c r="AO140" s="135">
        <v>1.72</v>
      </c>
      <c r="AP140" s="135"/>
      <c r="AQ140" s="135"/>
      <c r="AR140" s="135"/>
      <c r="AS140" s="135"/>
      <c r="AT140" s="135"/>
      <c r="AU140" s="135"/>
      <c r="AV140" s="135"/>
      <c r="AW140" s="135"/>
      <c r="AX140" s="135">
        <v>13.4</v>
      </c>
      <c r="AY140" s="135">
        <v>27</v>
      </c>
      <c r="AZ140" s="135">
        <v>2</v>
      </c>
      <c r="BA140" s="135">
        <v>0.5</v>
      </c>
      <c r="BB140" s="135"/>
      <c r="BC140" s="135"/>
      <c r="BD140" s="135"/>
      <c r="BE140" s="135"/>
      <c r="BF140" s="135">
        <v>16.600000000000001</v>
      </c>
      <c r="BG140" s="135">
        <v>15000</v>
      </c>
      <c r="BH140" s="135">
        <v>902.8</v>
      </c>
      <c r="BI140" s="135">
        <v>1.1100000000000001</v>
      </c>
      <c r="BJ140" s="135">
        <v>46</v>
      </c>
      <c r="BK140" s="135">
        <v>-3</v>
      </c>
      <c r="BL140" s="135">
        <v>24.5</v>
      </c>
    </row>
    <row r="141" spans="1:64" x14ac:dyDescent="0.3">
      <c r="A141" s="135">
        <v>2016</v>
      </c>
      <c r="B141" s="135">
        <v>4</v>
      </c>
      <c r="C141" s="135" t="s">
        <v>2114</v>
      </c>
      <c r="D141" s="135" t="s">
        <v>201</v>
      </c>
      <c r="E141" s="135" t="s">
        <v>396</v>
      </c>
      <c r="F141" s="135" t="s">
        <v>397</v>
      </c>
      <c r="G141" s="135" t="s">
        <v>2307</v>
      </c>
      <c r="H141" s="135">
        <v>15.77</v>
      </c>
      <c r="I141" s="135">
        <v>10.512</v>
      </c>
      <c r="J141" s="135">
        <v>17.123999999999999</v>
      </c>
      <c r="K141" s="135">
        <v>0</v>
      </c>
      <c r="L141" s="135">
        <v>0</v>
      </c>
      <c r="M141" s="135">
        <v>0</v>
      </c>
      <c r="N141" s="135">
        <v>0</v>
      </c>
      <c r="O141" s="135">
        <v>0</v>
      </c>
      <c r="P141" s="135">
        <v>0</v>
      </c>
      <c r="Q141" s="135">
        <v>0</v>
      </c>
      <c r="R141" s="135">
        <v>0</v>
      </c>
      <c r="S141" s="135">
        <v>6.6120000000000001</v>
      </c>
      <c r="T141" s="135">
        <v>76.7</v>
      </c>
      <c r="U141" s="135">
        <v>0.495</v>
      </c>
      <c r="V141" s="135">
        <v>6.4000000000000001E-2</v>
      </c>
      <c r="W141" s="135">
        <v>0</v>
      </c>
      <c r="X141" s="135">
        <v>0</v>
      </c>
      <c r="Y141" s="135" t="s">
        <v>1983</v>
      </c>
      <c r="Z141" s="135">
        <v>13.8</v>
      </c>
      <c r="AA141" s="135">
        <v>4800</v>
      </c>
      <c r="AB141" s="135">
        <v>349</v>
      </c>
      <c r="AC141" s="135">
        <v>2.87</v>
      </c>
      <c r="AD141" s="135">
        <v>17.100000000000001</v>
      </c>
      <c r="AE141" s="135">
        <v>12950</v>
      </c>
      <c r="AF141" s="135">
        <v>756.2</v>
      </c>
      <c r="AG141" s="135">
        <v>1.32</v>
      </c>
      <c r="AH141" s="135">
        <v>17.600000000000001</v>
      </c>
      <c r="AI141" s="135">
        <v>6000</v>
      </c>
      <c r="AJ141" s="135">
        <v>340</v>
      </c>
      <c r="AK141" s="135">
        <v>2.94</v>
      </c>
      <c r="AL141" s="135">
        <v>13.8</v>
      </c>
      <c r="AM141" s="135">
        <v>6900</v>
      </c>
      <c r="AN141" s="135">
        <v>499.3</v>
      </c>
      <c r="AO141" s="135">
        <v>2</v>
      </c>
      <c r="AP141" s="135"/>
      <c r="AQ141" s="135"/>
      <c r="AR141" s="135"/>
      <c r="AS141" s="135"/>
      <c r="AT141" s="135"/>
      <c r="AU141" s="135"/>
      <c r="AV141" s="135"/>
      <c r="AW141" s="135"/>
      <c r="AX141" s="135">
        <v>13.8</v>
      </c>
      <c r="AY141" s="135">
        <v>25</v>
      </c>
      <c r="AZ141" s="135">
        <v>1.8</v>
      </c>
      <c r="BA141" s="135">
        <v>0.55000000000000004</v>
      </c>
      <c r="BB141" s="135"/>
      <c r="BC141" s="135"/>
      <c r="BD141" s="135"/>
      <c r="BE141" s="135"/>
      <c r="BF141" s="135">
        <v>17.600000000000001</v>
      </c>
      <c r="BG141" s="135">
        <v>11300</v>
      </c>
      <c r="BH141" s="135">
        <v>640.29999999999995</v>
      </c>
      <c r="BI141" s="135">
        <v>1.56</v>
      </c>
      <c r="BJ141" s="135">
        <v>47.5</v>
      </c>
      <c r="BK141" s="135">
        <v>5.5</v>
      </c>
      <c r="BL141" s="135">
        <v>21</v>
      </c>
    </row>
    <row r="142" spans="1:64" x14ac:dyDescent="0.3">
      <c r="A142" s="135">
        <v>2016</v>
      </c>
      <c r="B142" s="135">
        <v>4</v>
      </c>
      <c r="C142" s="135" t="s">
        <v>2137</v>
      </c>
      <c r="D142" s="135" t="s">
        <v>479</v>
      </c>
      <c r="E142" s="135" t="s">
        <v>396</v>
      </c>
      <c r="F142" s="135" t="s">
        <v>14</v>
      </c>
      <c r="G142" s="135" t="s">
        <v>2310</v>
      </c>
      <c r="H142" s="135">
        <v>32.14</v>
      </c>
      <c r="I142" s="135">
        <v>10.393000000000001</v>
      </c>
      <c r="J142" s="135">
        <v>15.629</v>
      </c>
      <c r="K142" s="135">
        <v>0</v>
      </c>
      <c r="L142" s="135">
        <v>0</v>
      </c>
      <c r="M142" s="135">
        <v>0</v>
      </c>
      <c r="N142" s="135">
        <v>0</v>
      </c>
      <c r="O142" s="135">
        <v>0</v>
      </c>
      <c r="P142" s="135">
        <v>1.4319999999999999</v>
      </c>
      <c r="Q142" s="135">
        <v>6.3959999999999999</v>
      </c>
      <c r="R142" s="135">
        <v>3.3000000000000002E-2</v>
      </c>
      <c r="S142" s="135">
        <v>5.2359999999999998</v>
      </c>
      <c r="T142" s="135">
        <v>74.332999999999998</v>
      </c>
      <c r="U142" s="135">
        <v>0.373</v>
      </c>
      <c r="V142" s="135">
        <v>5.8000000000000003E-2</v>
      </c>
      <c r="W142" s="135">
        <v>0</v>
      </c>
      <c r="X142" s="135">
        <v>0</v>
      </c>
      <c r="Y142" s="135" t="s">
        <v>1983</v>
      </c>
      <c r="Z142" s="135">
        <v>13</v>
      </c>
      <c r="AA142" s="135">
        <v>4600</v>
      </c>
      <c r="AB142" s="135">
        <v>355.1</v>
      </c>
      <c r="AC142" s="135">
        <v>2.82</v>
      </c>
      <c r="AD142" s="135">
        <v>15.6</v>
      </c>
      <c r="AE142" s="135">
        <v>12100</v>
      </c>
      <c r="AF142" s="135">
        <v>774.2</v>
      </c>
      <c r="AG142" s="135">
        <v>1.29</v>
      </c>
      <c r="AH142" s="135">
        <v>16.2</v>
      </c>
      <c r="AI142" s="135">
        <v>4300</v>
      </c>
      <c r="AJ142" s="135">
        <v>265.89999999999998</v>
      </c>
      <c r="AK142" s="135">
        <v>3.76</v>
      </c>
      <c r="AL142" s="135">
        <v>13</v>
      </c>
      <c r="AM142" s="135">
        <v>7000</v>
      </c>
      <c r="AN142" s="135">
        <v>538</v>
      </c>
      <c r="AO142" s="135">
        <v>1.86</v>
      </c>
      <c r="AP142" s="135"/>
      <c r="AQ142" s="135"/>
      <c r="AR142" s="135"/>
      <c r="AS142" s="135"/>
      <c r="AT142" s="135"/>
      <c r="AU142" s="135"/>
      <c r="AV142" s="135"/>
      <c r="AW142" s="135"/>
      <c r="AX142" s="135">
        <v>13</v>
      </c>
      <c r="AY142" s="135">
        <v>17</v>
      </c>
      <c r="AZ142" s="135">
        <v>1.3</v>
      </c>
      <c r="BA142" s="135">
        <v>0.77</v>
      </c>
      <c r="BB142" s="135"/>
      <c r="BC142" s="135"/>
      <c r="BD142" s="135"/>
      <c r="BE142" s="135"/>
      <c r="BF142" s="135">
        <v>16.2</v>
      </c>
      <c r="BG142" s="135">
        <v>8400</v>
      </c>
      <c r="BH142" s="135">
        <v>519.4</v>
      </c>
      <c r="BI142" s="135">
        <v>1.93</v>
      </c>
      <c r="BJ142" s="135">
        <v>45.5</v>
      </c>
      <c r="BK142" s="135">
        <v>8</v>
      </c>
      <c r="BL142" s="135">
        <v>18.75</v>
      </c>
    </row>
    <row r="143" spans="1:64" x14ac:dyDescent="0.3">
      <c r="A143" s="135">
        <v>2016</v>
      </c>
      <c r="B143" s="135">
        <v>4</v>
      </c>
      <c r="C143" s="135" t="s">
        <v>2126</v>
      </c>
      <c r="D143" s="135" t="s">
        <v>505</v>
      </c>
      <c r="E143" s="135" t="s">
        <v>396</v>
      </c>
      <c r="F143" s="135" t="s">
        <v>407</v>
      </c>
      <c r="G143" s="135" t="s">
        <v>404</v>
      </c>
      <c r="H143" s="135">
        <v>19.47</v>
      </c>
      <c r="I143" s="135">
        <v>10.19</v>
      </c>
      <c r="J143" s="135">
        <v>14.391999999999999</v>
      </c>
      <c r="K143" s="135">
        <v>0</v>
      </c>
      <c r="L143" s="135">
        <v>0</v>
      </c>
      <c r="M143" s="135">
        <v>0</v>
      </c>
      <c r="N143" s="135">
        <v>0</v>
      </c>
      <c r="O143" s="135">
        <v>0</v>
      </c>
      <c r="P143" s="135">
        <v>0</v>
      </c>
      <c r="Q143" s="135">
        <v>0</v>
      </c>
      <c r="R143" s="135">
        <v>0</v>
      </c>
      <c r="S143" s="135">
        <v>4.202</v>
      </c>
      <c r="T143" s="135">
        <v>75.778999999999996</v>
      </c>
      <c r="U143" s="135">
        <v>0.44500000000000001</v>
      </c>
      <c r="V143" s="135">
        <v>2.9000000000000001E-2</v>
      </c>
      <c r="W143" s="135">
        <v>0</v>
      </c>
      <c r="X143" s="135">
        <v>0</v>
      </c>
      <c r="Y143" s="135" t="s">
        <v>1983</v>
      </c>
      <c r="Z143" s="135">
        <v>12.3</v>
      </c>
      <c r="AA143" s="135">
        <v>4350</v>
      </c>
      <c r="AB143" s="135">
        <v>354.8</v>
      </c>
      <c r="AC143" s="135">
        <v>2.82</v>
      </c>
      <c r="AD143" s="135">
        <v>14.4</v>
      </c>
      <c r="AE143" s="135">
        <v>10650</v>
      </c>
      <c r="AF143" s="135">
        <v>740</v>
      </c>
      <c r="AG143" s="135">
        <v>1.35</v>
      </c>
      <c r="AH143" s="135">
        <v>14.9</v>
      </c>
      <c r="AI143" s="135">
        <v>4400</v>
      </c>
      <c r="AJ143" s="135">
        <v>295.8</v>
      </c>
      <c r="AK143" s="135">
        <v>3.38</v>
      </c>
      <c r="AL143" s="135">
        <v>12.3</v>
      </c>
      <c r="AM143" s="135">
        <v>6400</v>
      </c>
      <c r="AN143" s="135">
        <v>520.70000000000005</v>
      </c>
      <c r="AO143" s="135">
        <v>1.92</v>
      </c>
      <c r="AP143" s="135"/>
      <c r="AQ143" s="135"/>
      <c r="AR143" s="135"/>
      <c r="AS143" s="135"/>
      <c r="AT143" s="135"/>
      <c r="AU143" s="135"/>
      <c r="AV143" s="135"/>
      <c r="AW143" s="135"/>
      <c r="AX143" s="135">
        <v>12.3</v>
      </c>
      <c r="AY143" s="135">
        <v>19</v>
      </c>
      <c r="AZ143" s="135">
        <v>1.5</v>
      </c>
      <c r="BA143" s="135">
        <v>0.65</v>
      </c>
      <c r="BB143" s="135"/>
      <c r="BC143" s="135"/>
      <c r="BD143" s="135"/>
      <c r="BE143" s="135"/>
      <c r="BF143" s="135">
        <v>14.9</v>
      </c>
      <c r="BG143" s="135">
        <v>8700</v>
      </c>
      <c r="BH143" s="135">
        <v>584.9</v>
      </c>
      <c r="BI143" s="135">
        <v>1.71</v>
      </c>
      <c r="BJ143" s="135">
        <v>53.5</v>
      </c>
      <c r="BK143" s="135">
        <v>-4</v>
      </c>
      <c r="BL143" s="135">
        <v>28.75</v>
      </c>
    </row>
    <row r="144" spans="1:64" x14ac:dyDescent="0.3">
      <c r="A144" s="135">
        <v>2016</v>
      </c>
      <c r="B144" s="135">
        <v>4</v>
      </c>
      <c r="C144" s="135" t="s">
        <v>2132</v>
      </c>
      <c r="D144" s="135" t="s">
        <v>203</v>
      </c>
      <c r="E144" s="135" t="s">
        <v>396</v>
      </c>
      <c r="F144" s="135" t="s">
        <v>70</v>
      </c>
      <c r="G144" s="135" t="s">
        <v>2005</v>
      </c>
      <c r="H144" s="135">
        <v>32.64</v>
      </c>
      <c r="I144" s="135">
        <v>9.8089999999999993</v>
      </c>
      <c r="J144" s="135">
        <v>15.643000000000001</v>
      </c>
      <c r="K144" s="135">
        <v>0</v>
      </c>
      <c r="L144" s="135">
        <v>0</v>
      </c>
      <c r="M144" s="135">
        <v>0</v>
      </c>
      <c r="N144" s="135">
        <v>0</v>
      </c>
      <c r="O144" s="135">
        <v>0</v>
      </c>
      <c r="P144" s="135">
        <v>0</v>
      </c>
      <c r="Q144" s="135">
        <v>0</v>
      </c>
      <c r="R144" s="135">
        <v>0</v>
      </c>
      <c r="S144" s="135">
        <v>5.8339999999999996</v>
      </c>
      <c r="T144" s="135">
        <v>68.606999999999999</v>
      </c>
      <c r="U144" s="135">
        <v>0.51</v>
      </c>
      <c r="V144" s="135">
        <v>5.6000000000000001E-2</v>
      </c>
      <c r="W144" s="135">
        <v>0</v>
      </c>
      <c r="X144" s="135">
        <v>0</v>
      </c>
      <c r="Y144" s="135" t="s">
        <v>1983</v>
      </c>
      <c r="Z144" s="135">
        <v>12.7</v>
      </c>
      <c r="AA144" s="135">
        <v>4950</v>
      </c>
      <c r="AB144" s="135">
        <v>390.7</v>
      </c>
      <c r="AC144" s="135">
        <v>2.56</v>
      </c>
      <c r="AD144" s="135">
        <v>15.6</v>
      </c>
      <c r="AE144" s="135">
        <v>12550</v>
      </c>
      <c r="AF144" s="135">
        <v>802.3</v>
      </c>
      <c r="AG144" s="135">
        <v>1.25</v>
      </c>
      <c r="AH144" s="135">
        <v>16.100000000000001</v>
      </c>
      <c r="AI144" s="135">
        <v>6400</v>
      </c>
      <c r="AJ144" s="135">
        <v>397.3</v>
      </c>
      <c r="AK144" s="135">
        <v>2.52</v>
      </c>
      <c r="AL144" s="135">
        <v>12.7</v>
      </c>
      <c r="AM144" s="135">
        <v>6900</v>
      </c>
      <c r="AN144" s="135">
        <v>542.20000000000005</v>
      </c>
      <c r="AO144" s="135">
        <v>1.84</v>
      </c>
      <c r="AP144" s="135"/>
      <c r="AQ144" s="135"/>
      <c r="AR144" s="135"/>
      <c r="AS144" s="135"/>
      <c r="AT144" s="135"/>
      <c r="AU144" s="135"/>
      <c r="AV144" s="135"/>
      <c r="AW144" s="135"/>
      <c r="AX144" s="135">
        <v>12.7</v>
      </c>
      <c r="AY144" s="135">
        <v>23</v>
      </c>
      <c r="AZ144" s="135">
        <v>1.8</v>
      </c>
      <c r="BA144" s="135">
        <v>0.55000000000000004</v>
      </c>
      <c r="BB144" s="135"/>
      <c r="BC144" s="135"/>
      <c r="BD144" s="135"/>
      <c r="BE144" s="135"/>
      <c r="BF144" s="135">
        <v>16.100000000000001</v>
      </c>
      <c r="BG144" s="135">
        <v>12000</v>
      </c>
      <c r="BH144" s="135">
        <v>744.9</v>
      </c>
      <c r="BI144" s="135">
        <v>1.34</v>
      </c>
      <c r="BJ144" s="135">
        <v>44</v>
      </c>
      <c r="BK144" s="135">
        <v>-3</v>
      </c>
      <c r="BL144" s="135">
        <v>23.5</v>
      </c>
    </row>
    <row r="145" spans="1:64" x14ac:dyDescent="0.3">
      <c r="A145" s="135">
        <v>2016</v>
      </c>
      <c r="B145" s="135">
        <v>4</v>
      </c>
      <c r="C145" s="135" t="s">
        <v>2128</v>
      </c>
      <c r="D145" s="135" t="s">
        <v>262</v>
      </c>
      <c r="E145" s="135" t="s">
        <v>396</v>
      </c>
      <c r="F145" s="135" t="s">
        <v>57</v>
      </c>
      <c r="G145" s="135" t="s">
        <v>1999</v>
      </c>
      <c r="H145" s="135">
        <v>25.34</v>
      </c>
      <c r="I145" s="135">
        <v>9.3149999999999995</v>
      </c>
      <c r="J145" s="135">
        <v>14.156000000000001</v>
      </c>
      <c r="K145" s="135">
        <v>0</v>
      </c>
      <c r="L145" s="135">
        <v>0</v>
      </c>
      <c r="M145" s="135">
        <v>0</v>
      </c>
      <c r="N145" s="135">
        <v>0</v>
      </c>
      <c r="O145" s="135">
        <v>0</v>
      </c>
      <c r="P145" s="135">
        <v>0</v>
      </c>
      <c r="Q145" s="135">
        <v>0</v>
      </c>
      <c r="R145" s="135">
        <v>0</v>
      </c>
      <c r="S145" s="135">
        <v>4.8410000000000002</v>
      </c>
      <c r="T145" s="135">
        <v>71.054000000000002</v>
      </c>
      <c r="U145" s="135">
        <v>0.38600000000000001</v>
      </c>
      <c r="V145" s="135">
        <v>5.2999999999999999E-2</v>
      </c>
      <c r="W145" s="135">
        <v>0</v>
      </c>
      <c r="X145" s="135">
        <v>0</v>
      </c>
      <c r="Y145" s="135" t="s">
        <v>1983</v>
      </c>
      <c r="Z145" s="135">
        <v>11.7</v>
      </c>
      <c r="AA145" s="135">
        <v>4700</v>
      </c>
      <c r="AB145" s="135">
        <v>402.3</v>
      </c>
      <c r="AC145" s="135">
        <v>2.4900000000000002</v>
      </c>
      <c r="AD145" s="135">
        <v>14.2</v>
      </c>
      <c r="AE145" s="135">
        <v>10800</v>
      </c>
      <c r="AF145" s="135">
        <v>762.9</v>
      </c>
      <c r="AG145" s="135">
        <v>1.31</v>
      </c>
      <c r="AH145" s="135">
        <v>14.6</v>
      </c>
      <c r="AI145" s="135">
        <v>5200</v>
      </c>
      <c r="AJ145" s="135">
        <v>355.3</v>
      </c>
      <c r="AK145" s="135">
        <v>2.81</v>
      </c>
      <c r="AL145" s="135">
        <v>11.7</v>
      </c>
      <c r="AM145" s="135">
        <v>6300</v>
      </c>
      <c r="AN145" s="135">
        <v>536.79999999999995</v>
      </c>
      <c r="AO145" s="135">
        <v>1.86</v>
      </c>
      <c r="AP145" s="135"/>
      <c r="AQ145" s="135"/>
      <c r="AR145" s="135"/>
      <c r="AS145" s="135"/>
      <c r="AT145" s="135"/>
      <c r="AU145" s="135"/>
      <c r="AV145" s="135"/>
      <c r="AW145" s="135"/>
      <c r="AX145" s="135">
        <v>11.7</v>
      </c>
      <c r="AY145" s="135">
        <v>17</v>
      </c>
      <c r="AZ145" s="135">
        <v>1.4</v>
      </c>
      <c r="BA145" s="135">
        <v>0.69</v>
      </c>
      <c r="BB145" s="135"/>
      <c r="BC145" s="135"/>
      <c r="BD145" s="135"/>
      <c r="BE145" s="135"/>
      <c r="BF145" s="135">
        <v>14.6</v>
      </c>
      <c r="BG145" s="135">
        <v>10200</v>
      </c>
      <c r="BH145" s="135">
        <v>696.9</v>
      </c>
      <c r="BI145" s="135">
        <v>1.43</v>
      </c>
      <c r="BJ145" s="135">
        <v>44.5</v>
      </c>
      <c r="BK145" s="135">
        <v>7</v>
      </c>
      <c r="BL145" s="135">
        <v>18.75</v>
      </c>
    </row>
    <row r="146" spans="1:64" x14ac:dyDescent="0.3">
      <c r="A146" s="135">
        <v>2016</v>
      </c>
      <c r="B146" s="135">
        <v>4</v>
      </c>
      <c r="C146" s="135" t="s">
        <v>2107</v>
      </c>
      <c r="D146" s="135" t="s">
        <v>197</v>
      </c>
      <c r="E146" s="135" t="s">
        <v>396</v>
      </c>
      <c r="F146" s="135" t="s">
        <v>34</v>
      </c>
      <c r="G146" s="135" t="s">
        <v>7</v>
      </c>
      <c r="H146" s="135">
        <v>10.17</v>
      </c>
      <c r="I146" s="135">
        <v>9.25</v>
      </c>
      <c r="J146" s="135">
        <v>12.887</v>
      </c>
      <c r="K146" s="135">
        <v>0</v>
      </c>
      <c r="L146" s="135">
        <v>0</v>
      </c>
      <c r="M146" s="135">
        <v>0</v>
      </c>
      <c r="N146" s="135">
        <v>0</v>
      </c>
      <c r="O146" s="135">
        <v>0</v>
      </c>
      <c r="P146" s="135">
        <v>0</v>
      </c>
      <c r="Q146" s="135">
        <v>0</v>
      </c>
      <c r="R146" s="135">
        <v>0</v>
      </c>
      <c r="S146" s="135">
        <v>3.637</v>
      </c>
      <c r="T146" s="135">
        <v>60.404000000000003</v>
      </c>
      <c r="U146" s="135">
        <v>0.55000000000000004</v>
      </c>
      <c r="V146" s="135">
        <v>4.4999999999999998E-2</v>
      </c>
      <c r="W146" s="135">
        <v>0</v>
      </c>
      <c r="X146" s="135">
        <v>0</v>
      </c>
      <c r="Y146" s="135" t="s">
        <v>1983</v>
      </c>
      <c r="Z146" s="135">
        <v>11</v>
      </c>
      <c r="AA146" s="135">
        <v>4850</v>
      </c>
      <c r="AB146" s="135">
        <v>440</v>
      </c>
      <c r="AC146" s="135">
        <v>2.27</v>
      </c>
      <c r="AD146" s="135">
        <v>12.9</v>
      </c>
      <c r="AE146" s="135">
        <v>10800</v>
      </c>
      <c r="AF146" s="135">
        <v>838</v>
      </c>
      <c r="AG146" s="135">
        <v>1.19</v>
      </c>
      <c r="AH146" s="135">
        <v>13.3</v>
      </c>
      <c r="AI146" s="135">
        <v>6300</v>
      </c>
      <c r="AJ146" s="135">
        <v>473.9</v>
      </c>
      <c r="AK146" s="135">
        <v>2.11</v>
      </c>
      <c r="AL146" s="135">
        <v>11.1</v>
      </c>
      <c r="AM146" s="135">
        <v>6800</v>
      </c>
      <c r="AN146" s="135">
        <v>614.29999999999995</v>
      </c>
      <c r="AO146" s="135">
        <v>1.63</v>
      </c>
      <c r="AP146" s="135"/>
      <c r="AQ146" s="135"/>
      <c r="AR146" s="135"/>
      <c r="AS146" s="135"/>
      <c r="AT146" s="135"/>
      <c r="AU146" s="135"/>
      <c r="AV146" s="135"/>
      <c r="AW146" s="135"/>
      <c r="AX146" s="135">
        <v>11.1</v>
      </c>
      <c r="AY146" s="135">
        <v>24</v>
      </c>
      <c r="AZ146" s="135">
        <v>2.2000000000000002</v>
      </c>
      <c r="BA146" s="135">
        <v>0.46</v>
      </c>
      <c r="BB146" s="135"/>
      <c r="BC146" s="135"/>
      <c r="BD146" s="135"/>
      <c r="BE146" s="135"/>
      <c r="BF146" s="135">
        <v>13.3</v>
      </c>
      <c r="BG146" s="135">
        <v>12000</v>
      </c>
      <c r="BH146" s="135">
        <v>902.6</v>
      </c>
      <c r="BI146" s="135">
        <v>1.1100000000000001</v>
      </c>
      <c r="BJ146" s="135">
        <v>40.5</v>
      </c>
      <c r="BK146" s="135">
        <v>1.5</v>
      </c>
      <c r="BL146" s="135">
        <v>19.5</v>
      </c>
    </row>
    <row r="147" spans="1:64" x14ac:dyDescent="0.3">
      <c r="A147" s="135">
        <v>2016</v>
      </c>
      <c r="B147" s="135">
        <v>4</v>
      </c>
      <c r="C147" s="135" t="s">
        <v>2118</v>
      </c>
      <c r="D147" s="135" t="s">
        <v>463</v>
      </c>
      <c r="E147" s="135" t="s">
        <v>396</v>
      </c>
      <c r="F147" s="135" t="s">
        <v>43</v>
      </c>
      <c r="G147" s="135" t="s">
        <v>30</v>
      </c>
      <c r="H147" s="135">
        <v>19.5</v>
      </c>
      <c r="I147" s="135">
        <v>9.1150000000000002</v>
      </c>
      <c r="J147" s="135">
        <v>12.766</v>
      </c>
      <c r="K147" s="135">
        <v>0</v>
      </c>
      <c r="L147" s="135">
        <v>0</v>
      </c>
      <c r="M147" s="135">
        <v>0</v>
      </c>
      <c r="N147" s="135">
        <v>0</v>
      </c>
      <c r="O147" s="135">
        <v>0</v>
      </c>
      <c r="P147" s="135">
        <v>0</v>
      </c>
      <c r="Q147" s="135">
        <v>0</v>
      </c>
      <c r="R147" s="135">
        <v>0</v>
      </c>
      <c r="S147" s="135">
        <v>3.6509999999999998</v>
      </c>
      <c r="T147" s="135">
        <v>69.188000000000002</v>
      </c>
      <c r="U147" s="135">
        <v>0.377</v>
      </c>
      <c r="V147" s="135">
        <v>3.3000000000000002E-2</v>
      </c>
      <c r="W147" s="135">
        <v>0</v>
      </c>
      <c r="X147" s="135">
        <v>0</v>
      </c>
      <c r="Y147" s="135" t="s">
        <v>1983</v>
      </c>
      <c r="Z147" s="135">
        <v>10.9</v>
      </c>
      <c r="AA147" s="135">
        <v>4550</v>
      </c>
      <c r="AB147" s="135">
        <v>417.2</v>
      </c>
      <c r="AC147" s="135">
        <v>2.4</v>
      </c>
      <c r="AD147" s="135">
        <v>12.8</v>
      </c>
      <c r="AE147" s="135">
        <v>11600</v>
      </c>
      <c r="AF147" s="135">
        <v>908.7</v>
      </c>
      <c r="AG147" s="135">
        <v>1.1000000000000001</v>
      </c>
      <c r="AH147" s="135">
        <v>13.2</v>
      </c>
      <c r="AI147" s="135">
        <v>5300</v>
      </c>
      <c r="AJ147" s="135">
        <v>401.1</v>
      </c>
      <c r="AK147" s="135">
        <v>2.4900000000000002</v>
      </c>
      <c r="AL147" s="135">
        <v>10.9</v>
      </c>
      <c r="AM147" s="135">
        <v>6700</v>
      </c>
      <c r="AN147" s="135">
        <v>612.4</v>
      </c>
      <c r="AO147" s="135">
        <v>1.63</v>
      </c>
      <c r="AP147" s="135"/>
      <c r="AQ147" s="135"/>
      <c r="AR147" s="135"/>
      <c r="AS147" s="135"/>
      <c r="AT147" s="135"/>
      <c r="AU147" s="135"/>
      <c r="AV147" s="135"/>
      <c r="AW147" s="135"/>
      <c r="AX147" s="135">
        <v>10.9</v>
      </c>
      <c r="AY147" s="135">
        <v>25</v>
      </c>
      <c r="AZ147" s="135">
        <v>2.2999999999999998</v>
      </c>
      <c r="BA147" s="135">
        <v>0.44</v>
      </c>
      <c r="BB147" s="135"/>
      <c r="BC147" s="135"/>
      <c r="BD147" s="135"/>
      <c r="BE147" s="135"/>
      <c r="BF147" s="135">
        <v>13.2</v>
      </c>
      <c r="BG147" s="135">
        <v>10500</v>
      </c>
      <c r="BH147" s="135">
        <v>794.6</v>
      </c>
      <c r="BI147" s="135">
        <v>1.26</v>
      </c>
      <c r="BJ147" s="135">
        <v>40.5</v>
      </c>
      <c r="BK147" s="135">
        <v>-6.5</v>
      </c>
      <c r="BL147" s="135">
        <v>23.5</v>
      </c>
    </row>
    <row r="148" spans="1:64" x14ac:dyDescent="0.3">
      <c r="A148" s="135">
        <v>2016</v>
      </c>
      <c r="B148" s="135">
        <v>4</v>
      </c>
      <c r="C148" s="135" t="s">
        <v>2129</v>
      </c>
      <c r="D148" s="135" t="s">
        <v>198</v>
      </c>
      <c r="E148" s="135" t="s">
        <v>396</v>
      </c>
      <c r="F148" s="135" t="s">
        <v>402</v>
      </c>
      <c r="G148" s="135" t="s">
        <v>10</v>
      </c>
      <c r="H148" s="135">
        <v>28.75</v>
      </c>
      <c r="I148" s="135">
        <v>8.84</v>
      </c>
      <c r="J148" s="135">
        <v>14.265000000000001</v>
      </c>
      <c r="K148" s="135">
        <v>0</v>
      </c>
      <c r="L148" s="135">
        <v>0</v>
      </c>
      <c r="M148" s="135">
        <v>0</v>
      </c>
      <c r="N148" s="135">
        <v>0</v>
      </c>
      <c r="O148" s="135">
        <v>0</v>
      </c>
      <c r="P148" s="135">
        <v>1.45</v>
      </c>
      <c r="Q148" s="135">
        <v>7.8730000000000002</v>
      </c>
      <c r="R148" s="135">
        <v>0</v>
      </c>
      <c r="S148" s="135">
        <v>5.4249999999999998</v>
      </c>
      <c r="T148" s="135">
        <v>61.808999999999997</v>
      </c>
      <c r="U148" s="135">
        <v>0.33400000000000002</v>
      </c>
      <c r="V148" s="135">
        <v>6.6000000000000003E-2</v>
      </c>
      <c r="W148" s="135">
        <v>0</v>
      </c>
      <c r="X148" s="135">
        <v>0</v>
      </c>
      <c r="Y148" s="135" t="s">
        <v>1983</v>
      </c>
      <c r="Z148" s="135">
        <v>11.5</v>
      </c>
      <c r="AA148" s="135">
        <v>5000</v>
      </c>
      <c r="AB148" s="135">
        <v>435.3</v>
      </c>
      <c r="AC148" s="135">
        <v>2.2999999999999998</v>
      </c>
      <c r="AD148" s="135">
        <v>14.3</v>
      </c>
      <c r="AE148" s="135">
        <v>13200</v>
      </c>
      <c r="AF148" s="135">
        <v>925.3</v>
      </c>
      <c r="AG148" s="135">
        <v>1.08</v>
      </c>
      <c r="AH148" s="135">
        <v>14.7</v>
      </c>
      <c r="AI148" s="135">
        <v>5800</v>
      </c>
      <c r="AJ148" s="135">
        <v>393.2</v>
      </c>
      <c r="AK148" s="135">
        <v>2.54</v>
      </c>
      <c r="AL148" s="135">
        <v>11.6</v>
      </c>
      <c r="AM148" s="135">
        <v>7200</v>
      </c>
      <c r="AN148" s="135">
        <v>623.20000000000005</v>
      </c>
      <c r="AO148" s="135">
        <v>1.6</v>
      </c>
      <c r="AP148" s="135"/>
      <c r="AQ148" s="135"/>
      <c r="AR148" s="135"/>
      <c r="AS148" s="135"/>
      <c r="AT148" s="135"/>
      <c r="AU148" s="135"/>
      <c r="AV148" s="135"/>
      <c r="AW148" s="135"/>
      <c r="AX148" s="135">
        <v>11.6</v>
      </c>
      <c r="AY148" s="135">
        <v>24</v>
      </c>
      <c r="AZ148" s="135">
        <v>2.1</v>
      </c>
      <c r="BA148" s="135">
        <v>0.48</v>
      </c>
      <c r="BB148" s="135"/>
      <c r="BC148" s="135"/>
      <c r="BD148" s="135"/>
      <c r="BE148" s="135"/>
      <c r="BF148" s="135">
        <v>14.7</v>
      </c>
      <c r="BG148" s="135">
        <v>10900</v>
      </c>
      <c r="BH148" s="135">
        <v>739</v>
      </c>
      <c r="BI148" s="135">
        <v>1.35</v>
      </c>
      <c r="BJ148" s="135">
        <v>44</v>
      </c>
      <c r="BK148" s="135">
        <v>-4.5</v>
      </c>
      <c r="BL148" s="135">
        <v>24.25</v>
      </c>
    </row>
    <row r="149" spans="1:64" x14ac:dyDescent="0.3">
      <c r="A149" s="135">
        <v>2016</v>
      </c>
      <c r="B149" s="135">
        <v>4</v>
      </c>
      <c r="C149" s="135" t="s">
        <v>2120</v>
      </c>
      <c r="D149" s="135" t="s">
        <v>275</v>
      </c>
      <c r="E149" s="135" t="s">
        <v>396</v>
      </c>
      <c r="F149" s="135" t="s">
        <v>32</v>
      </c>
      <c r="G149" s="135" t="s">
        <v>4</v>
      </c>
      <c r="H149" s="135">
        <v>34.54</v>
      </c>
      <c r="I149" s="135">
        <v>8.8290000000000006</v>
      </c>
      <c r="J149" s="135">
        <v>11.818</v>
      </c>
      <c r="K149" s="135">
        <v>0</v>
      </c>
      <c r="L149" s="135">
        <v>0</v>
      </c>
      <c r="M149" s="135">
        <v>0</v>
      </c>
      <c r="N149" s="135">
        <v>0</v>
      </c>
      <c r="O149" s="135">
        <v>0</v>
      </c>
      <c r="P149" s="135">
        <v>0.27100000000000002</v>
      </c>
      <c r="Q149" s="135">
        <v>1.8029999999999999</v>
      </c>
      <c r="R149" s="135">
        <v>0</v>
      </c>
      <c r="S149" s="135">
        <v>2.9889999999999999</v>
      </c>
      <c r="T149" s="135">
        <v>59.308999999999997</v>
      </c>
      <c r="U149" s="135">
        <v>0.46100000000000002</v>
      </c>
      <c r="V149" s="135">
        <v>2.4E-2</v>
      </c>
      <c r="W149" s="135">
        <v>0</v>
      </c>
      <c r="X149" s="135">
        <v>0</v>
      </c>
      <c r="Y149" s="135" t="s">
        <v>1983</v>
      </c>
      <c r="Z149" s="135">
        <v>10.3</v>
      </c>
      <c r="AA149" s="135">
        <v>4450</v>
      </c>
      <c r="AB149" s="135">
        <v>432.1</v>
      </c>
      <c r="AC149" s="135">
        <v>2.31</v>
      </c>
      <c r="AD149" s="135">
        <v>11.8</v>
      </c>
      <c r="AE149" s="135">
        <v>12350</v>
      </c>
      <c r="AF149" s="135">
        <v>1045</v>
      </c>
      <c r="AG149" s="135">
        <v>0.96</v>
      </c>
      <c r="AH149" s="135">
        <v>12.2</v>
      </c>
      <c r="AI149" s="135">
        <v>5200</v>
      </c>
      <c r="AJ149" s="135">
        <v>425.9</v>
      </c>
      <c r="AK149" s="135">
        <v>2.35</v>
      </c>
      <c r="AL149" s="135">
        <v>10.3</v>
      </c>
      <c r="AM149" s="135">
        <v>6700</v>
      </c>
      <c r="AN149" s="135">
        <v>649</v>
      </c>
      <c r="AO149" s="135">
        <v>1.54</v>
      </c>
      <c r="AP149" s="135"/>
      <c r="AQ149" s="135"/>
      <c r="AR149" s="135"/>
      <c r="AS149" s="135"/>
      <c r="AT149" s="135"/>
      <c r="AU149" s="135"/>
      <c r="AV149" s="135"/>
      <c r="AW149" s="135"/>
      <c r="AX149" s="135">
        <v>10.3</v>
      </c>
      <c r="AY149" s="135">
        <v>22</v>
      </c>
      <c r="AZ149" s="135">
        <v>2.1</v>
      </c>
      <c r="BA149" s="135">
        <v>0.47</v>
      </c>
      <c r="BB149" s="135"/>
      <c r="BC149" s="135"/>
      <c r="BD149" s="135"/>
      <c r="BE149" s="135"/>
      <c r="BF149" s="135">
        <v>12.2</v>
      </c>
      <c r="BG149" s="135">
        <v>10200</v>
      </c>
      <c r="BH149" s="135">
        <v>835.5</v>
      </c>
      <c r="BI149" s="135">
        <v>1.2</v>
      </c>
      <c r="BJ149" s="135">
        <v>46.5</v>
      </c>
      <c r="BK149" s="135">
        <v>-3.5</v>
      </c>
      <c r="BL149" s="135">
        <v>25</v>
      </c>
    </row>
    <row r="150" spans="1:64" x14ac:dyDescent="0.3">
      <c r="A150" s="135">
        <v>2016</v>
      </c>
      <c r="B150" s="135">
        <v>4</v>
      </c>
      <c r="C150" s="135" t="s">
        <v>2121</v>
      </c>
      <c r="D150" s="135" t="s">
        <v>204</v>
      </c>
      <c r="E150" s="135" t="s">
        <v>396</v>
      </c>
      <c r="F150" s="135" t="s">
        <v>4</v>
      </c>
      <c r="G150" s="135" t="s">
        <v>2297</v>
      </c>
      <c r="H150" s="135">
        <v>22.34</v>
      </c>
      <c r="I150" s="135">
        <v>8.8079999999999998</v>
      </c>
      <c r="J150" s="135">
        <v>14.606999999999999</v>
      </c>
      <c r="K150" s="135">
        <v>0</v>
      </c>
      <c r="L150" s="135">
        <v>0</v>
      </c>
      <c r="M150" s="135">
        <v>0</v>
      </c>
      <c r="N150" s="135">
        <v>0</v>
      </c>
      <c r="O150" s="135">
        <v>0</v>
      </c>
      <c r="P150" s="135">
        <v>0</v>
      </c>
      <c r="Q150" s="135">
        <v>0</v>
      </c>
      <c r="R150" s="135">
        <v>0</v>
      </c>
      <c r="S150" s="135">
        <v>5.7990000000000004</v>
      </c>
      <c r="T150" s="135">
        <v>67.159000000000006</v>
      </c>
      <c r="U150" s="135">
        <v>0.36699999999999999</v>
      </c>
      <c r="V150" s="135">
        <v>5.5E-2</v>
      </c>
      <c r="W150" s="135">
        <v>0</v>
      </c>
      <c r="X150" s="135">
        <v>0</v>
      </c>
      <c r="Y150" s="135" t="s">
        <v>1983</v>
      </c>
      <c r="Z150" s="135">
        <v>11.7</v>
      </c>
      <c r="AA150" s="135">
        <v>4850</v>
      </c>
      <c r="AB150" s="135">
        <v>416.2</v>
      </c>
      <c r="AC150" s="135">
        <v>2.4</v>
      </c>
      <c r="AD150" s="135">
        <v>14.6</v>
      </c>
      <c r="AE150" s="135">
        <v>12600</v>
      </c>
      <c r="AF150" s="135">
        <v>862.6</v>
      </c>
      <c r="AG150" s="135">
        <v>1.1599999999999999</v>
      </c>
      <c r="AH150" s="135">
        <v>15.1</v>
      </c>
      <c r="AI150" s="135">
        <v>6400</v>
      </c>
      <c r="AJ150" s="135">
        <v>424.8</v>
      </c>
      <c r="AK150" s="135">
        <v>2.35</v>
      </c>
      <c r="AL150" s="135">
        <v>11.7</v>
      </c>
      <c r="AM150" s="135">
        <v>6500</v>
      </c>
      <c r="AN150" s="135">
        <v>555.20000000000005</v>
      </c>
      <c r="AO150" s="135">
        <v>1.8</v>
      </c>
      <c r="AP150" s="135"/>
      <c r="AQ150" s="135"/>
      <c r="AR150" s="135"/>
      <c r="AS150" s="135"/>
      <c r="AT150" s="135"/>
      <c r="AU150" s="135"/>
      <c r="AV150" s="135"/>
      <c r="AW150" s="135"/>
      <c r="AX150" s="135">
        <v>11.7</v>
      </c>
      <c r="AY150" s="135">
        <v>21</v>
      </c>
      <c r="AZ150" s="135">
        <v>1.8</v>
      </c>
      <c r="BA150" s="135">
        <v>0.56000000000000005</v>
      </c>
      <c r="BB150" s="135"/>
      <c r="BC150" s="135"/>
      <c r="BD150" s="135"/>
      <c r="BE150" s="135"/>
      <c r="BF150" s="135">
        <v>15.1</v>
      </c>
      <c r="BG150" s="135">
        <v>12000</v>
      </c>
      <c r="BH150" s="135">
        <v>796.6</v>
      </c>
      <c r="BI150" s="135">
        <v>1.26</v>
      </c>
      <c r="BJ150" s="135">
        <v>46.5</v>
      </c>
      <c r="BK150" s="135">
        <v>3.5</v>
      </c>
      <c r="BL150" s="135">
        <v>21.5</v>
      </c>
    </row>
    <row r="151" spans="1:64" x14ac:dyDescent="0.3">
      <c r="A151" s="135">
        <v>2016</v>
      </c>
      <c r="B151" s="135">
        <v>4</v>
      </c>
      <c r="C151" s="135" t="s">
        <v>2124</v>
      </c>
      <c r="D151" s="135" t="s">
        <v>454</v>
      </c>
      <c r="E151" s="135" t="s">
        <v>396</v>
      </c>
      <c r="F151" s="135" t="s">
        <v>37</v>
      </c>
      <c r="G151" s="135" t="s">
        <v>2304</v>
      </c>
      <c r="H151" s="135">
        <v>14.75</v>
      </c>
      <c r="I151" s="135">
        <v>8.7530000000000001</v>
      </c>
      <c r="J151" s="135">
        <v>13.59</v>
      </c>
      <c r="K151" s="135">
        <v>0</v>
      </c>
      <c r="L151" s="135">
        <v>0</v>
      </c>
      <c r="M151" s="135">
        <v>0</v>
      </c>
      <c r="N151" s="135">
        <v>0</v>
      </c>
      <c r="O151" s="135">
        <v>0</v>
      </c>
      <c r="P151" s="135">
        <v>0</v>
      </c>
      <c r="Q151" s="135">
        <v>0</v>
      </c>
      <c r="R151" s="135">
        <v>0</v>
      </c>
      <c r="S151" s="135">
        <v>4.8369999999999997</v>
      </c>
      <c r="T151" s="135">
        <v>65.052999999999997</v>
      </c>
      <c r="U151" s="135">
        <v>0.39400000000000002</v>
      </c>
      <c r="V151" s="135">
        <v>5.8000000000000003E-2</v>
      </c>
      <c r="W151" s="135">
        <v>0</v>
      </c>
      <c r="X151" s="135">
        <v>0</v>
      </c>
      <c r="Y151" s="135" t="s">
        <v>1983</v>
      </c>
      <c r="Z151" s="135">
        <v>11.1</v>
      </c>
      <c r="AA151" s="135">
        <v>4750</v>
      </c>
      <c r="AB151" s="135">
        <v>427.4</v>
      </c>
      <c r="AC151" s="135">
        <v>2.34</v>
      </c>
      <c r="AD151" s="135">
        <v>13.6</v>
      </c>
      <c r="AE151" s="135">
        <v>12300</v>
      </c>
      <c r="AF151" s="135">
        <v>905.1</v>
      </c>
      <c r="AG151" s="135">
        <v>1.1000000000000001</v>
      </c>
      <c r="AH151" s="135">
        <v>14</v>
      </c>
      <c r="AI151" s="135">
        <v>5800</v>
      </c>
      <c r="AJ151" s="135">
        <v>413.1</v>
      </c>
      <c r="AK151" s="135">
        <v>2.42</v>
      </c>
      <c r="AL151" s="135">
        <v>11.2</v>
      </c>
      <c r="AM151" s="135">
        <v>6900</v>
      </c>
      <c r="AN151" s="135">
        <v>617.6</v>
      </c>
      <c r="AO151" s="135">
        <v>1.62</v>
      </c>
      <c r="AP151" s="135"/>
      <c r="AQ151" s="135"/>
      <c r="AR151" s="135"/>
      <c r="AS151" s="135"/>
      <c r="AT151" s="135"/>
      <c r="AU151" s="135"/>
      <c r="AV151" s="135"/>
      <c r="AW151" s="135"/>
      <c r="AX151" s="135">
        <v>11.2</v>
      </c>
      <c r="AY151" s="135">
        <v>21</v>
      </c>
      <c r="AZ151" s="135">
        <v>1.9</v>
      </c>
      <c r="BA151" s="135">
        <v>0.53</v>
      </c>
      <c r="BB151" s="135"/>
      <c r="BC151" s="135"/>
      <c r="BD151" s="135"/>
      <c r="BE151" s="135"/>
      <c r="BF151" s="135">
        <v>14</v>
      </c>
      <c r="BG151" s="135">
        <v>10900</v>
      </c>
      <c r="BH151" s="135">
        <v>776.4</v>
      </c>
      <c r="BI151" s="135">
        <v>1.29</v>
      </c>
      <c r="BJ151" s="135">
        <v>43.5</v>
      </c>
      <c r="BK151" s="135">
        <v>4</v>
      </c>
      <c r="BL151" s="135">
        <v>19.75</v>
      </c>
    </row>
    <row r="152" spans="1:64" x14ac:dyDescent="0.3">
      <c r="A152" s="135">
        <v>2016</v>
      </c>
      <c r="B152" s="135">
        <v>4</v>
      </c>
      <c r="C152" s="135" t="s">
        <v>2111</v>
      </c>
      <c r="D152" s="135" t="s">
        <v>227</v>
      </c>
      <c r="E152" s="135" t="s">
        <v>396</v>
      </c>
      <c r="F152" s="135" t="s">
        <v>404</v>
      </c>
      <c r="G152" s="135" t="s">
        <v>2308</v>
      </c>
      <c r="H152" s="135">
        <v>29.35</v>
      </c>
      <c r="I152" s="135">
        <v>8.6180000000000003</v>
      </c>
      <c r="J152" s="135">
        <v>13.544</v>
      </c>
      <c r="K152" s="135">
        <v>0</v>
      </c>
      <c r="L152" s="135">
        <v>0</v>
      </c>
      <c r="M152" s="135">
        <v>0</v>
      </c>
      <c r="N152" s="135">
        <v>0</v>
      </c>
      <c r="O152" s="135">
        <v>0</v>
      </c>
      <c r="P152" s="135">
        <v>0</v>
      </c>
      <c r="Q152" s="135">
        <v>0</v>
      </c>
      <c r="R152" s="135">
        <v>0</v>
      </c>
      <c r="S152" s="135">
        <v>4.9260000000000002</v>
      </c>
      <c r="T152" s="135">
        <v>61.354999999999997</v>
      </c>
      <c r="U152" s="135">
        <v>0.42599999999999999</v>
      </c>
      <c r="V152" s="135">
        <v>3.6999999999999998E-2</v>
      </c>
      <c r="W152" s="135">
        <v>0</v>
      </c>
      <c r="X152" s="135">
        <v>0</v>
      </c>
      <c r="Y152" s="135" t="s">
        <v>1983</v>
      </c>
      <c r="Z152" s="135">
        <v>11</v>
      </c>
      <c r="AA152" s="135">
        <v>4700</v>
      </c>
      <c r="AB152" s="135">
        <v>425.6</v>
      </c>
      <c r="AC152" s="135">
        <v>2.35</v>
      </c>
      <c r="AD152" s="135">
        <v>13.5</v>
      </c>
      <c r="AE152" s="135">
        <v>12950</v>
      </c>
      <c r="AF152" s="135">
        <v>956.2</v>
      </c>
      <c r="AG152" s="135">
        <v>1.05</v>
      </c>
      <c r="AH152" s="135">
        <v>13.9</v>
      </c>
      <c r="AI152" s="135">
        <v>6600</v>
      </c>
      <c r="AJ152" s="135">
        <v>473.2</v>
      </c>
      <c r="AK152" s="135">
        <v>2.11</v>
      </c>
      <c r="AL152" s="135">
        <v>11.1</v>
      </c>
      <c r="AM152" s="135">
        <v>7500</v>
      </c>
      <c r="AN152" s="135">
        <v>676.9</v>
      </c>
      <c r="AO152" s="135">
        <v>1.48</v>
      </c>
      <c r="AP152" s="135"/>
      <c r="AQ152" s="135"/>
      <c r="AR152" s="135"/>
      <c r="AS152" s="135"/>
      <c r="AT152" s="135"/>
      <c r="AU152" s="135"/>
      <c r="AV152" s="135"/>
      <c r="AW152" s="135"/>
      <c r="AX152" s="135">
        <v>11.1</v>
      </c>
      <c r="AY152" s="135">
        <v>25</v>
      </c>
      <c r="AZ152" s="135">
        <v>2.2999999999999998</v>
      </c>
      <c r="BA152" s="135">
        <v>0.44</v>
      </c>
      <c r="BB152" s="135"/>
      <c r="BC152" s="135"/>
      <c r="BD152" s="135"/>
      <c r="BE152" s="135"/>
      <c r="BF152" s="135">
        <v>13.9</v>
      </c>
      <c r="BG152" s="135">
        <v>12300</v>
      </c>
      <c r="BH152" s="135">
        <v>881.8</v>
      </c>
      <c r="BI152" s="135">
        <v>1.1299999999999999</v>
      </c>
      <c r="BJ152" s="135">
        <v>53.5</v>
      </c>
      <c r="BK152" s="135">
        <v>4</v>
      </c>
      <c r="BL152" s="135">
        <v>24.75</v>
      </c>
    </row>
    <row r="153" spans="1:64" x14ac:dyDescent="0.3">
      <c r="A153" s="135">
        <v>2016</v>
      </c>
      <c r="B153" s="135">
        <v>4</v>
      </c>
      <c r="C153" s="135" t="s">
        <v>2119</v>
      </c>
      <c r="D153" s="135" t="s">
        <v>283</v>
      </c>
      <c r="E153" s="135" t="s">
        <v>396</v>
      </c>
      <c r="F153" s="135" t="s">
        <v>16</v>
      </c>
      <c r="G153" s="135" t="s">
        <v>1980</v>
      </c>
      <c r="H153" s="135">
        <v>26.15</v>
      </c>
      <c r="I153" s="135">
        <v>8.484</v>
      </c>
      <c r="J153" s="135">
        <v>12.989000000000001</v>
      </c>
      <c r="K153" s="135">
        <v>0</v>
      </c>
      <c r="L153" s="135">
        <v>0</v>
      </c>
      <c r="M153" s="135">
        <v>0</v>
      </c>
      <c r="N153" s="135">
        <v>0</v>
      </c>
      <c r="O153" s="135">
        <v>0</v>
      </c>
      <c r="P153" s="135">
        <v>0</v>
      </c>
      <c r="Q153" s="135">
        <v>0</v>
      </c>
      <c r="R153" s="135">
        <v>0</v>
      </c>
      <c r="S153" s="135">
        <v>4.5049999999999999</v>
      </c>
      <c r="T153" s="135">
        <v>59.795000000000002</v>
      </c>
      <c r="U153" s="135">
        <v>0.42899999999999999</v>
      </c>
      <c r="V153" s="135">
        <v>3.5000000000000003E-2</v>
      </c>
      <c r="W153" s="135">
        <v>0</v>
      </c>
      <c r="X153" s="135">
        <v>0</v>
      </c>
      <c r="Y153" s="135" t="s">
        <v>1983</v>
      </c>
      <c r="Z153" s="135">
        <v>10.7</v>
      </c>
      <c r="AA153" s="135">
        <v>4150</v>
      </c>
      <c r="AB153" s="135">
        <v>387.8</v>
      </c>
      <c r="AC153" s="135">
        <v>2.58</v>
      </c>
      <c r="AD153" s="135">
        <v>13</v>
      </c>
      <c r="AE153" s="135">
        <v>10250</v>
      </c>
      <c r="AF153" s="135">
        <v>789.2</v>
      </c>
      <c r="AG153" s="135">
        <v>1.27</v>
      </c>
      <c r="AH153" s="135">
        <v>13.4</v>
      </c>
      <c r="AI153" s="135">
        <v>4700</v>
      </c>
      <c r="AJ153" s="135">
        <v>351.2</v>
      </c>
      <c r="AK153" s="135">
        <v>2.85</v>
      </c>
      <c r="AL153" s="135">
        <v>10.7</v>
      </c>
      <c r="AM153" s="135">
        <v>6400</v>
      </c>
      <c r="AN153" s="135">
        <v>596.1</v>
      </c>
      <c r="AO153" s="135">
        <v>1.68</v>
      </c>
      <c r="AP153" s="135"/>
      <c r="AQ153" s="135"/>
      <c r="AR153" s="135"/>
      <c r="AS153" s="135"/>
      <c r="AT153" s="135"/>
      <c r="AU153" s="135"/>
      <c r="AV153" s="135"/>
      <c r="AW153" s="135"/>
      <c r="AX153" s="135">
        <v>10.7</v>
      </c>
      <c r="AY153" s="135">
        <v>20</v>
      </c>
      <c r="AZ153" s="135">
        <v>1.9</v>
      </c>
      <c r="BA153" s="135">
        <v>0.54</v>
      </c>
      <c r="BB153" s="135"/>
      <c r="BC153" s="135"/>
      <c r="BD153" s="135"/>
      <c r="BE153" s="135"/>
      <c r="BF153" s="135">
        <v>13.4</v>
      </c>
      <c r="BG153" s="135">
        <v>9200</v>
      </c>
      <c r="BH153" s="135">
        <v>687.5</v>
      </c>
      <c r="BI153" s="135">
        <v>1.45</v>
      </c>
      <c r="BJ153" s="135">
        <v>49.5</v>
      </c>
      <c r="BK153" s="135">
        <v>-2.5</v>
      </c>
      <c r="BL153" s="135">
        <v>26</v>
      </c>
    </row>
    <row r="154" spans="1:64" x14ac:dyDescent="0.3">
      <c r="A154" s="135">
        <v>2016</v>
      </c>
      <c r="B154" s="135">
        <v>4</v>
      </c>
      <c r="C154" s="135" t="s">
        <v>2122</v>
      </c>
      <c r="D154" s="135" t="s">
        <v>202</v>
      </c>
      <c r="E154" s="135" t="s">
        <v>396</v>
      </c>
      <c r="F154" s="135" t="s">
        <v>12</v>
      </c>
      <c r="G154" s="135" t="s">
        <v>16</v>
      </c>
      <c r="H154" s="135">
        <v>11.77</v>
      </c>
      <c r="I154" s="135">
        <v>8.3350000000000009</v>
      </c>
      <c r="J154" s="135">
        <v>13.099</v>
      </c>
      <c r="K154" s="135">
        <v>0</v>
      </c>
      <c r="L154" s="135">
        <v>0</v>
      </c>
      <c r="M154" s="135">
        <v>0</v>
      </c>
      <c r="N154" s="135">
        <v>0</v>
      </c>
      <c r="O154" s="135">
        <v>0</v>
      </c>
      <c r="P154" s="135">
        <v>0</v>
      </c>
      <c r="Q154" s="135">
        <v>0</v>
      </c>
      <c r="R154" s="135">
        <v>0</v>
      </c>
      <c r="S154" s="135">
        <v>4.7640000000000002</v>
      </c>
      <c r="T154" s="135">
        <v>59.628</v>
      </c>
      <c r="U154" s="135">
        <v>0.40899999999999997</v>
      </c>
      <c r="V154" s="135">
        <v>4.1000000000000002E-2</v>
      </c>
      <c r="W154" s="135">
        <v>0</v>
      </c>
      <c r="X154" s="135">
        <v>0</v>
      </c>
      <c r="Y154" s="135" t="s">
        <v>1983</v>
      </c>
      <c r="Z154" s="135">
        <v>10.7</v>
      </c>
      <c r="AA154" s="135">
        <v>4600</v>
      </c>
      <c r="AB154" s="135">
        <v>430.9</v>
      </c>
      <c r="AC154" s="135">
        <v>2.3199999999999998</v>
      </c>
      <c r="AD154" s="135">
        <v>13.1</v>
      </c>
      <c r="AE154" s="135">
        <v>10950</v>
      </c>
      <c r="AF154" s="135">
        <v>836</v>
      </c>
      <c r="AG154" s="135">
        <v>1.2</v>
      </c>
      <c r="AH154" s="135">
        <v>13.5</v>
      </c>
      <c r="AI154" s="135">
        <v>4800</v>
      </c>
      <c r="AJ154" s="135">
        <v>355.6</v>
      </c>
      <c r="AK154" s="135">
        <v>2.81</v>
      </c>
      <c r="AL154" s="135">
        <v>10.7</v>
      </c>
      <c r="AM154" s="135">
        <v>6100</v>
      </c>
      <c r="AN154" s="135">
        <v>569.20000000000005</v>
      </c>
      <c r="AO154" s="135">
        <v>1.76</v>
      </c>
      <c r="AP154" s="135"/>
      <c r="AQ154" s="135"/>
      <c r="AR154" s="135"/>
      <c r="AS154" s="135"/>
      <c r="AT154" s="135"/>
      <c r="AU154" s="135"/>
      <c r="AV154" s="135"/>
      <c r="AW154" s="135"/>
      <c r="AX154" s="135">
        <v>10.7</v>
      </c>
      <c r="AY154" s="135">
        <v>21</v>
      </c>
      <c r="AZ154" s="135">
        <v>2</v>
      </c>
      <c r="BA154" s="135">
        <v>0.51</v>
      </c>
      <c r="BB154" s="135"/>
      <c r="BC154" s="135"/>
      <c r="BD154" s="135"/>
      <c r="BE154" s="135"/>
      <c r="BF154" s="135">
        <v>13.5</v>
      </c>
      <c r="BG154" s="135">
        <v>9500</v>
      </c>
      <c r="BH154" s="135">
        <v>703.8</v>
      </c>
      <c r="BI154" s="135">
        <v>1.42</v>
      </c>
      <c r="BJ154" s="135">
        <v>49.5</v>
      </c>
      <c r="BK154" s="135">
        <v>2.5</v>
      </c>
      <c r="BL154" s="135">
        <v>23.5</v>
      </c>
    </row>
    <row r="155" spans="1:64" x14ac:dyDescent="0.3">
      <c r="A155" s="135">
        <v>2016</v>
      </c>
      <c r="B155" s="135">
        <v>4</v>
      </c>
      <c r="C155" s="135" t="s">
        <v>2143</v>
      </c>
      <c r="D155" s="135" t="s">
        <v>2452</v>
      </c>
      <c r="E155" s="135" t="s">
        <v>396</v>
      </c>
      <c r="F155" s="135" t="s">
        <v>32</v>
      </c>
      <c r="G155" s="135" t="s">
        <v>4</v>
      </c>
      <c r="H155" s="135">
        <v>34.54</v>
      </c>
      <c r="I155" s="135">
        <v>8.2970000000000006</v>
      </c>
      <c r="J155" s="135">
        <v>13.529</v>
      </c>
      <c r="K155" s="135">
        <v>0</v>
      </c>
      <c r="L155" s="135">
        <v>0</v>
      </c>
      <c r="M155" s="135">
        <v>0</v>
      </c>
      <c r="N155" s="135">
        <v>0</v>
      </c>
      <c r="O155" s="135">
        <v>0</v>
      </c>
      <c r="P155" s="135">
        <v>0</v>
      </c>
      <c r="Q155" s="135">
        <v>0</v>
      </c>
      <c r="R155" s="135">
        <v>0</v>
      </c>
      <c r="S155" s="135">
        <v>5.2320000000000002</v>
      </c>
      <c r="T155" s="135">
        <v>62.133000000000003</v>
      </c>
      <c r="U155" s="135">
        <v>0.36</v>
      </c>
      <c r="V155" s="135">
        <v>3.7999999999999999E-2</v>
      </c>
      <c r="W155" s="135">
        <v>0</v>
      </c>
      <c r="X155" s="135">
        <v>0</v>
      </c>
      <c r="Y155" s="135" t="s">
        <v>1983</v>
      </c>
      <c r="Z155" s="135">
        <v>10.9</v>
      </c>
      <c r="AA155" s="135">
        <v>4300</v>
      </c>
      <c r="AB155" s="135">
        <v>395.4</v>
      </c>
      <c r="AC155" s="135">
        <v>2.5299999999999998</v>
      </c>
      <c r="AD155" s="135">
        <v>13.5</v>
      </c>
      <c r="AE155" s="135">
        <v>8050</v>
      </c>
      <c r="AF155" s="135">
        <v>595</v>
      </c>
      <c r="AG155" s="135">
        <v>1.68</v>
      </c>
      <c r="AH155" s="135">
        <v>13.9</v>
      </c>
      <c r="AI155" s="135">
        <v>4500</v>
      </c>
      <c r="AJ155" s="135">
        <v>322.8</v>
      </c>
      <c r="AK155" s="135">
        <v>3.1</v>
      </c>
      <c r="AL155" s="135">
        <v>10.9</v>
      </c>
      <c r="AM155" s="135">
        <v>6100</v>
      </c>
      <c r="AN155" s="135">
        <v>559</v>
      </c>
      <c r="AO155" s="135">
        <v>1.79</v>
      </c>
      <c r="AP155" s="135"/>
      <c r="AQ155" s="135"/>
      <c r="AR155" s="135"/>
      <c r="AS155" s="135"/>
      <c r="AT155" s="135"/>
      <c r="AU155" s="135"/>
      <c r="AV155" s="135"/>
      <c r="AW155" s="135"/>
      <c r="AX155" s="135">
        <v>10.9</v>
      </c>
      <c r="AY155" s="135">
        <v>16</v>
      </c>
      <c r="AZ155" s="135">
        <v>1.5</v>
      </c>
      <c r="BA155" s="135">
        <v>0.68</v>
      </c>
      <c r="BB155" s="135"/>
      <c r="BC155" s="135"/>
      <c r="BD155" s="135"/>
      <c r="BE155" s="135"/>
      <c r="BF155" s="135">
        <v>13.9</v>
      </c>
      <c r="BG155" s="135">
        <v>8800</v>
      </c>
      <c r="BH155" s="135">
        <v>631.29999999999995</v>
      </c>
      <c r="BI155" s="135">
        <v>1.58</v>
      </c>
      <c r="BJ155" s="135">
        <v>46.5</v>
      </c>
      <c r="BK155" s="135">
        <v>-3.5</v>
      </c>
      <c r="BL155" s="135">
        <v>25</v>
      </c>
    </row>
    <row r="156" spans="1:64" x14ac:dyDescent="0.3">
      <c r="A156" s="135">
        <v>2016</v>
      </c>
      <c r="B156" s="135">
        <v>4</v>
      </c>
      <c r="C156" s="135" t="s">
        <v>2141</v>
      </c>
      <c r="D156" s="135" t="s">
        <v>214</v>
      </c>
      <c r="E156" s="135" t="s">
        <v>396</v>
      </c>
      <c r="F156" s="135" t="s">
        <v>409</v>
      </c>
      <c r="G156" s="135" t="s">
        <v>2295</v>
      </c>
      <c r="H156" s="135">
        <v>21.17</v>
      </c>
      <c r="I156" s="135">
        <v>8.2949999999999999</v>
      </c>
      <c r="J156" s="135">
        <v>13.512</v>
      </c>
      <c r="K156" s="135">
        <v>0</v>
      </c>
      <c r="L156" s="135">
        <v>0</v>
      </c>
      <c r="M156" s="135">
        <v>0</v>
      </c>
      <c r="N156" s="135">
        <v>0</v>
      </c>
      <c r="O156" s="135">
        <v>0</v>
      </c>
      <c r="P156" s="135">
        <v>1.613</v>
      </c>
      <c r="Q156" s="135">
        <v>13.22</v>
      </c>
      <c r="R156" s="135">
        <v>3.7999999999999999E-2</v>
      </c>
      <c r="S156" s="135">
        <v>5.2169999999999996</v>
      </c>
      <c r="T156" s="135">
        <v>52.572000000000003</v>
      </c>
      <c r="U156" s="135">
        <v>0.27200000000000002</v>
      </c>
      <c r="V156" s="135">
        <v>7.1999999999999995E-2</v>
      </c>
      <c r="W156" s="135">
        <v>0</v>
      </c>
      <c r="X156" s="135">
        <v>0</v>
      </c>
      <c r="Y156" s="135" t="s">
        <v>1983</v>
      </c>
      <c r="Z156" s="135">
        <v>10.8</v>
      </c>
      <c r="AA156" s="135">
        <v>4300</v>
      </c>
      <c r="AB156" s="135">
        <v>397</v>
      </c>
      <c r="AC156" s="135">
        <v>2.52</v>
      </c>
      <c r="AD156" s="135">
        <v>13.5</v>
      </c>
      <c r="AE156" s="135">
        <v>8150</v>
      </c>
      <c r="AF156" s="135">
        <v>603.20000000000005</v>
      </c>
      <c r="AG156" s="135">
        <v>1.66</v>
      </c>
      <c r="AH156" s="135">
        <v>14</v>
      </c>
      <c r="AI156" s="135">
        <v>4000</v>
      </c>
      <c r="AJ156" s="135">
        <v>286.10000000000002</v>
      </c>
      <c r="AK156" s="135">
        <v>3.49</v>
      </c>
      <c r="AL156" s="135">
        <v>10.9</v>
      </c>
      <c r="AM156" s="135">
        <v>5800</v>
      </c>
      <c r="AN156" s="135">
        <v>531.9</v>
      </c>
      <c r="AO156" s="135">
        <v>1.88</v>
      </c>
      <c r="AP156" s="135"/>
      <c r="AQ156" s="135"/>
      <c r="AR156" s="135"/>
      <c r="AS156" s="135"/>
      <c r="AT156" s="135"/>
      <c r="AU156" s="135"/>
      <c r="AV156" s="135"/>
      <c r="AW156" s="135"/>
      <c r="AX156" s="135">
        <v>10.9</v>
      </c>
      <c r="AY156" s="135">
        <v>15</v>
      </c>
      <c r="AZ156" s="135">
        <v>1.4</v>
      </c>
      <c r="BA156" s="135">
        <v>0.73</v>
      </c>
      <c r="BB156" s="135"/>
      <c r="BC156" s="135"/>
      <c r="BD156" s="135"/>
      <c r="BE156" s="135"/>
      <c r="BF156" s="135">
        <v>14</v>
      </c>
      <c r="BG156" s="135">
        <v>7800</v>
      </c>
      <c r="BH156" s="135">
        <v>558</v>
      </c>
      <c r="BI156" s="135">
        <v>1.79</v>
      </c>
      <c r="BJ156" s="135">
        <v>43</v>
      </c>
      <c r="BK156" s="135">
        <v>8</v>
      </c>
      <c r="BL156" s="135">
        <v>17.5</v>
      </c>
    </row>
    <row r="157" spans="1:64" x14ac:dyDescent="0.3">
      <c r="A157" s="135">
        <v>2016</v>
      </c>
      <c r="B157" s="135">
        <v>4</v>
      </c>
      <c r="C157" s="135" t="s">
        <v>2115</v>
      </c>
      <c r="D157" s="135" t="s">
        <v>219</v>
      </c>
      <c r="E157" s="135" t="s">
        <v>396</v>
      </c>
      <c r="F157" s="135" t="s">
        <v>24</v>
      </c>
      <c r="G157" s="135" t="s">
        <v>409</v>
      </c>
      <c r="H157" s="135">
        <v>23.55</v>
      </c>
      <c r="I157" s="135">
        <v>7.7549999999999999</v>
      </c>
      <c r="J157" s="135">
        <v>10.847</v>
      </c>
      <c r="K157" s="135">
        <v>0</v>
      </c>
      <c r="L157" s="135">
        <v>0</v>
      </c>
      <c r="M157" s="135">
        <v>0</v>
      </c>
      <c r="N157" s="135">
        <v>0</v>
      </c>
      <c r="O157" s="135">
        <v>0</v>
      </c>
      <c r="P157" s="135">
        <v>0</v>
      </c>
      <c r="Q157" s="135">
        <v>0</v>
      </c>
      <c r="R157" s="135">
        <v>0</v>
      </c>
      <c r="S157" s="135">
        <v>3.0920000000000001</v>
      </c>
      <c r="T157" s="135">
        <v>59.372</v>
      </c>
      <c r="U157" s="135">
        <v>0.313</v>
      </c>
      <c r="V157" s="135">
        <v>0.03</v>
      </c>
      <c r="W157" s="135">
        <v>0</v>
      </c>
      <c r="X157" s="135">
        <v>0</v>
      </c>
      <c r="Y157" s="135" t="s">
        <v>1995</v>
      </c>
      <c r="Z157" s="135">
        <v>9.3000000000000007</v>
      </c>
      <c r="AA157" s="135">
        <v>4400</v>
      </c>
      <c r="AB157" s="135">
        <v>474.6</v>
      </c>
      <c r="AC157" s="135">
        <v>2.11</v>
      </c>
      <c r="AD157" s="135">
        <v>10.8</v>
      </c>
      <c r="AE157" s="135">
        <v>9700</v>
      </c>
      <c r="AF157" s="135">
        <v>894.2</v>
      </c>
      <c r="AG157" s="135">
        <v>1.1200000000000001</v>
      </c>
      <c r="AH157" s="135">
        <v>11.2</v>
      </c>
      <c r="AI157" s="135">
        <v>5100</v>
      </c>
      <c r="AJ157" s="135">
        <v>454</v>
      </c>
      <c r="AK157" s="135">
        <v>2.2000000000000002</v>
      </c>
      <c r="AL157" s="135">
        <v>9.3000000000000007</v>
      </c>
      <c r="AM157" s="135">
        <v>6500</v>
      </c>
      <c r="AN157" s="135">
        <v>698.8</v>
      </c>
      <c r="AO157" s="135">
        <v>1.43</v>
      </c>
      <c r="AP157" s="135"/>
      <c r="AQ157" s="135"/>
      <c r="AR157" s="135"/>
      <c r="AS157" s="135"/>
      <c r="AT157" s="135"/>
      <c r="AU157" s="135"/>
      <c r="AV157" s="135"/>
      <c r="AW157" s="135"/>
      <c r="AX157" s="135">
        <v>9.3000000000000007</v>
      </c>
      <c r="AY157" s="135">
        <v>18</v>
      </c>
      <c r="AZ157" s="135">
        <v>1.9</v>
      </c>
      <c r="BA157" s="135">
        <v>0.52</v>
      </c>
      <c r="BB157" s="135"/>
      <c r="BC157" s="135"/>
      <c r="BD157" s="135"/>
      <c r="BE157" s="135"/>
      <c r="BF157" s="135">
        <v>11.2</v>
      </c>
      <c r="BG157" s="135">
        <v>10200</v>
      </c>
      <c r="BH157" s="135">
        <v>908</v>
      </c>
      <c r="BI157" s="135">
        <v>1.1000000000000001</v>
      </c>
      <c r="BJ157" s="135">
        <v>43</v>
      </c>
      <c r="BK157" s="135">
        <v>-8</v>
      </c>
      <c r="BL157" s="135">
        <v>25.5</v>
      </c>
    </row>
    <row r="158" spans="1:64" x14ac:dyDescent="0.3">
      <c r="A158" s="135">
        <v>2016</v>
      </c>
      <c r="B158" s="135">
        <v>4</v>
      </c>
      <c r="C158" s="135" t="s">
        <v>2130</v>
      </c>
      <c r="D158" s="135" t="s">
        <v>224</v>
      </c>
      <c r="E158" s="135" t="s">
        <v>396</v>
      </c>
      <c r="F158" s="135" t="s">
        <v>7</v>
      </c>
      <c r="G158" s="135" t="s">
        <v>2305</v>
      </c>
      <c r="H158" s="135">
        <v>36.82</v>
      </c>
      <c r="I158" s="135">
        <v>7.4850000000000003</v>
      </c>
      <c r="J158" s="135">
        <v>12.553000000000001</v>
      </c>
      <c r="K158" s="135">
        <v>0</v>
      </c>
      <c r="L158" s="135">
        <v>0</v>
      </c>
      <c r="M158" s="135">
        <v>0</v>
      </c>
      <c r="N158" s="135">
        <v>0</v>
      </c>
      <c r="O158" s="135">
        <v>0</v>
      </c>
      <c r="P158" s="135">
        <v>0</v>
      </c>
      <c r="Q158" s="135">
        <v>0</v>
      </c>
      <c r="R158" s="135">
        <v>0</v>
      </c>
      <c r="S158" s="135">
        <v>5.0679999999999996</v>
      </c>
      <c r="T158" s="135">
        <v>60.832000000000001</v>
      </c>
      <c r="U158" s="135">
        <v>0.252</v>
      </c>
      <c r="V158" s="135">
        <v>5.5E-2</v>
      </c>
      <c r="W158" s="135">
        <v>0</v>
      </c>
      <c r="X158" s="135">
        <v>0</v>
      </c>
      <c r="Y158" s="135" t="s">
        <v>1995</v>
      </c>
      <c r="Z158" s="135">
        <v>10</v>
      </c>
      <c r="AA158" s="135">
        <v>4200</v>
      </c>
      <c r="AB158" s="135">
        <v>421.5</v>
      </c>
      <c r="AC158" s="135">
        <v>2.37</v>
      </c>
      <c r="AD158" s="135">
        <v>12.6</v>
      </c>
      <c r="AE158" s="135">
        <v>9100</v>
      </c>
      <c r="AF158" s="135">
        <v>724.9</v>
      </c>
      <c r="AG158" s="135">
        <v>1.38</v>
      </c>
      <c r="AH158" s="135">
        <v>13</v>
      </c>
      <c r="AI158" s="135">
        <v>3900</v>
      </c>
      <c r="AJ158" s="135">
        <v>300.60000000000002</v>
      </c>
      <c r="AK158" s="135">
        <v>3.33</v>
      </c>
      <c r="AL158" s="135">
        <v>10</v>
      </c>
      <c r="AM158" s="135">
        <v>6200</v>
      </c>
      <c r="AN158" s="135">
        <v>618.79999999999995</v>
      </c>
      <c r="AO158" s="135">
        <v>1.62</v>
      </c>
      <c r="AP158" s="135"/>
      <c r="AQ158" s="135"/>
      <c r="AR158" s="135"/>
      <c r="AS158" s="135"/>
      <c r="AT158" s="135"/>
      <c r="AU158" s="135"/>
      <c r="AV158" s="135"/>
      <c r="AW158" s="135"/>
      <c r="AX158" s="135">
        <v>10</v>
      </c>
      <c r="AY158" s="135">
        <v>17</v>
      </c>
      <c r="AZ158" s="135">
        <v>1.7</v>
      </c>
      <c r="BA158" s="135">
        <v>0.59</v>
      </c>
      <c r="BB158" s="135"/>
      <c r="BC158" s="135"/>
      <c r="BD158" s="135"/>
      <c r="BE158" s="135"/>
      <c r="BF158" s="135">
        <v>13</v>
      </c>
      <c r="BG158" s="135">
        <v>7700</v>
      </c>
      <c r="BH158" s="135">
        <v>593.5</v>
      </c>
      <c r="BI158" s="135">
        <v>1.68</v>
      </c>
      <c r="BJ158" s="135">
        <v>40.5</v>
      </c>
      <c r="BK158" s="135">
        <v>-1.5</v>
      </c>
      <c r="BL158" s="135">
        <v>21</v>
      </c>
    </row>
    <row r="159" spans="1:64" x14ac:dyDescent="0.3">
      <c r="A159" s="135">
        <v>2016</v>
      </c>
      <c r="B159" s="135">
        <v>4</v>
      </c>
      <c r="C159" s="135" t="s">
        <v>2106</v>
      </c>
      <c r="D159" s="135" t="s">
        <v>190</v>
      </c>
      <c r="E159" s="135" t="s">
        <v>396</v>
      </c>
      <c r="F159" s="135" t="s">
        <v>34</v>
      </c>
      <c r="G159" s="135" t="s">
        <v>7</v>
      </c>
      <c r="H159" s="135">
        <v>10.17</v>
      </c>
      <c r="I159" s="135">
        <v>7.4249999999999998</v>
      </c>
      <c r="J159" s="135">
        <v>11.244</v>
      </c>
      <c r="K159" s="135">
        <v>0</v>
      </c>
      <c r="L159" s="135">
        <v>0</v>
      </c>
      <c r="M159" s="135">
        <v>0</v>
      </c>
      <c r="N159" s="135">
        <v>0</v>
      </c>
      <c r="O159" s="135">
        <v>0</v>
      </c>
      <c r="P159" s="135">
        <v>0</v>
      </c>
      <c r="Q159" s="135">
        <v>0</v>
      </c>
      <c r="R159" s="135">
        <v>0</v>
      </c>
      <c r="S159" s="135">
        <v>3.819</v>
      </c>
      <c r="T159" s="135">
        <v>49.807000000000002</v>
      </c>
      <c r="U159" s="135">
        <v>0.42299999999999999</v>
      </c>
      <c r="V159" s="135">
        <v>4.7E-2</v>
      </c>
      <c r="W159" s="135">
        <v>0</v>
      </c>
      <c r="X159" s="135">
        <v>0</v>
      </c>
      <c r="Y159" s="135" t="s">
        <v>1995</v>
      </c>
      <c r="Z159" s="135">
        <v>9.3000000000000007</v>
      </c>
      <c r="AA159" s="135">
        <v>5000</v>
      </c>
      <c r="AB159" s="135">
        <v>538.4</v>
      </c>
      <c r="AC159" s="135">
        <v>1.86</v>
      </c>
      <c r="AD159" s="135">
        <v>11.2</v>
      </c>
      <c r="AE159" s="135">
        <v>11800</v>
      </c>
      <c r="AF159" s="135">
        <v>1049.5</v>
      </c>
      <c r="AG159" s="135">
        <v>0.95</v>
      </c>
      <c r="AH159" s="135">
        <v>11.6</v>
      </c>
      <c r="AI159" s="135">
        <v>7000</v>
      </c>
      <c r="AJ159" s="135">
        <v>604</v>
      </c>
      <c r="AK159" s="135">
        <v>1.66</v>
      </c>
      <c r="AL159" s="135">
        <v>9.3000000000000007</v>
      </c>
      <c r="AM159" s="135">
        <v>7500</v>
      </c>
      <c r="AN159" s="135">
        <v>803.5</v>
      </c>
      <c r="AO159" s="135">
        <v>1.24</v>
      </c>
      <c r="AP159" s="135"/>
      <c r="AQ159" s="135"/>
      <c r="AR159" s="135"/>
      <c r="AS159" s="135"/>
      <c r="AT159" s="135"/>
      <c r="AU159" s="135"/>
      <c r="AV159" s="135"/>
      <c r="AW159" s="135"/>
      <c r="AX159" s="135">
        <v>9.3000000000000007</v>
      </c>
      <c r="AY159" s="135">
        <v>28</v>
      </c>
      <c r="AZ159" s="135">
        <v>3</v>
      </c>
      <c r="BA159" s="135">
        <v>0.33</v>
      </c>
      <c r="BB159" s="135"/>
      <c r="BC159" s="135"/>
      <c r="BD159" s="135"/>
      <c r="BE159" s="135"/>
      <c r="BF159" s="135">
        <v>11.6</v>
      </c>
      <c r="BG159" s="135">
        <v>13300</v>
      </c>
      <c r="BH159" s="135">
        <v>1147.5999999999999</v>
      </c>
      <c r="BI159" s="135">
        <v>0.87</v>
      </c>
      <c r="BJ159" s="135">
        <v>40.5</v>
      </c>
      <c r="BK159" s="135">
        <v>1.5</v>
      </c>
      <c r="BL159" s="135">
        <v>19.5</v>
      </c>
    </row>
    <row r="160" spans="1:64" x14ac:dyDescent="0.3">
      <c r="A160" s="135">
        <v>2016</v>
      </c>
      <c r="B160" s="135">
        <v>4</v>
      </c>
      <c r="C160" s="135" t="s">
        <v>2145</v>
      </c>
      <c r="D160" s="135" t="s">
        <v>238</v>
      </c>
      <c r="E160" s="135" t="s">
        <v>396</v>
      </c>
      <c r="F160" s="135" t="s">
        <v>18</v>
      </c>
      <c r="G160" s="135" t="s">
        <v>14</v>
      </c>
      <c r="H160" s="135">
        <v>36.85</v>
      </c>
      <c r="I160" s="135">
        <v>7.4009999999999998</v>
      </c>
      <c r="J160" s="135">
        <v>12.382999999999999</v>
      </c>
      <c r="K160" s="135">
        <v>0</v>
      </c>
      <c r="L160" s="135">
        <v>0</v>
      </c>
      <c r="M160" s="135">
        <v>0</v>
      </c>
      <c r="N160" s="135">
        <v>0</v>
      </c>
      <c r="O160" s="135">
        <v>0</v>
      </c>
      <c r="P160" s="135">
        <v>0</v>
      </c>
      <c r="Q160" s="135">
        <v>0</v>
      </c>
      <c r="R160" s="135">
        <v>0</v>
      </c>
      <c r="S160" s="135">
        <v>4.9820000000000002</v>
      </c>
      <c r="T160" s="135">
        <v>54.933</v>
      </c>
      <c r="U160" s="135">
        <v>0.33100000000000002</v>
      </c>
      <c r="V160" s="135">
        <v>3.9E-2</v>
      </c>
      <c r="W160" s="135">
        <v>0</v>
      </c>
      <c r="X160" s="135">
        <v>0</v>
      </c>
      <c r="Y160" s="135" t="s">
        <v>1995</v>
      </c>
      <c r="Z160" s="135">
        <v>9.9</v>
      </c>
      <c r="AA160" s="135">
        <v>4450</v>
      </c>
      <c r="AB160" s="135">
        <v>451.6</v>
      </c>
      <c r="AC160" s="135">
        <v>2.21</v>
      </c>
      <c r="AD160" s="135">
        <v>12.4</v>
      </c>
      <c r="AE160" s="135">
        <v>6050</v>
      </c>
      <c r="AF160" s="135">
        <v>488.6</v>
      </c>
      <c r="AG160" s="135">
        <v>2.0499999999999998</v>
      </c>
      <c r="AH160" s="135">
        <v>12.8</v>
      </c>
      <c r="AI160" s="135">
        <v>4200</v>
      </c>
      <c r="AJ160" s="135">
        <v>329.4</v>
      </c>
      <c r="AK160" s="135">
        <v>3.04</v>
      </c>
      <c r="AL160" s="135">
        <v>9.9</v>
      </c>
      <c r="AM160" s="135">
        <v>6000</v>
      </c>
      <c r="AN160" s="135">
        <v>606.5</v>
      </c>
      <c r="AO160" s="135">
        <v>1.65</v>
      </c>
      <c r="AP160" s="135"/>
      <c r="AQ160" s="135"/>
      <c r="AR160" s="135"/>
      <c r="AS160" s="135"/>
      <c r="AT160" s="135"/>
      <c r="AU160" s="135"/>
      <c r="AV160" s="135"/>
      <c r="AW160" s="135"/>
      <c r="AX160" s="135">
        <v>9.9</v>
      </c>
      <c r="AY160" s="135">
        <v>19</v>
      </c>
      <c r="AZ160" s="135">
        <v>1.9</v>
      </c>
      <c r="BA160" s="135">
        <v>0.52</v>
      </c>
      <c r="BB160" s="135"/>
      <c r="BC160" s="135"/>
      <c r="BD160" s="135"/>
      <c r="BE160" s="135"/>
      <c r="BF160" s="135">
        <v>12.8</v>
      </c>
      <c r="BG160" s="135">
        <v>8300</v>
      </c>
      <c r="BH160" s="135">
        <v>650.9</v>
      </c>
      <c r="BI160" s="135">
        <v>1.54</v>
      </c>
      <c r="BJ160" s="135">
        <v>45.5</v>
      </c>
      <c r="BK160" s="135">
        <v>-8</v>
      </c>
      <c r="BL160" s="135">
        <v>26.75</v>
      </c>
    </row>
    <row r="161" spans="1:64" x14ac:dyDescent="0.3">
      <c r="A161" s="135">
        <v>2016</v>
      </c>
      <c r="B161" s="135">
        <v>4</v>
      </c>
      <c r="C161" s="135" t="s">
        <v>2151</v>
      </c>
      <c r="D161" s="135" t="s">
        <v>207</v>
      </c>
      <c r="E161" s="135" t="s">
        <v>396</v>
      </c>
      <c r="F161" s="135" t="s">
        <v>24</v>
      </c>
      <c r="G161" s="135" t="s">
        <v>409</v>
      </c>
      <c r="H161" s="135">
        <v>23.55</v>
      </c>
      <c r="I161" s="135">
        <v>7.367</v>
      </c>
      <c r="J161" s="135">
        <v>10.901</v>
      </c>
      <c r="K161" s="135">
        <v>0</v>
      </c>
      <c r="L161" s="135">
        <v>0</v>
      </c>
      <c r="M161" s="135">
        <v>0</v>
      </c>
      <c r="N161" s="135">
        <v>0</v>
      </c>
      <c r="O161" s="135">
        <v>0</v>
      </c>
      <c r="P161" s="135">
        <v>0</v>
      </c>
      <c r="Q161" s="135">
        <v>0</v>
      </c>
      <c r="R161" s="135">
        <v>0</v>
      </c>
      <c r="S161" s="135">
        <v>3.5339999999999998</v>
      </c>
      <c r="T161" s="135">
        <v>55.027999999999999</v>
      </c>
      <c r="U161" s="135">
        <v>0.32200000000000001</v>
      </c>
      <c r="V161" s="135">
        <v>3.4000000000000002E-2</v>
      </c>
      <c r="W161" s="135">
        <v>0</v>
      </c>
      <c r="X161" s="135">
        <v>0</v>
      </c>
      <c r="Y161" s="135" t="s">
        <v>1995</v>
      </c>
      <c r="Z161" s="135">
        <v>9.1</v>
      </c>
      <c r="AA161" s="135">
        <v>4200</v>
      </c>
      <c r="AB161" s="135">
        <v>461.5</v>
      </c>
      <c r="AC161" s="135">
        <v>2.17</v>
      </c>
      <c r="AD161" s="135">
        <v>10.9</v>
      </c>
      <c r="AE161" s="135">
        <v>6850</v>
      </c>
      <c r="AF161" s="135">
        <v>628.4</v>
      </c>
      <c r="AG161" s="135">
        <v>1.59</v>
      </c>
      <c r="AH161" s="135">
        <v>11.3</v>
      </c>
      <c r="AI161" s="135">
        <v>4300</v>
      </c>
      <c r="AJ161" s="135">
        <v>381.7</v>
      </c>
      <c r="AK161" s="135">
        <v>2.62</v>
      </c>
      <c r="AL161" s="135">
        <v>9.1</v>
      </c>
      <c r="AM161" s="135">
        <v>6200</v>
      </c>
      <c r="AN161" s="135">
        <v>678.8</v>
      </c>
      <c r="AO161" s="135">
        <v>1.47</v>
      </c>
      <c r="AP161" s="135"/>
      <c r="AQ161" s="135"/>
      <c r="AR161" s="135"/>
      <c r="AS161" s="135"/>
      <c r="AT161" s="135"/>
      <c r="AU161" s="135"/>
      <c r="AV161" s="135"/>
      <c r="AW161" s="135"/>
      <c r="AX161" s="135">
        <v>9.1</v>
      </c>
      <c r="AY161" s="135">
        <v>14</v>
      </c>
      <c r="AZ161" s="135">
        <v>1.5</v>
      </c>
      <c r="BA161" s="135">
        <v>0.65</v>
      </c>
      <c r="BB161" s="135"/>
      <c r="BC161" s="135"/>
      <c r="BD161" s="135"/>
      <c r="BE161" s="135"/>
      <c r="BF161" s="135">
        <v>11.3</v>
      </c>
      <c r="BG161" s="135">
        <v>8400</v>
      </c>
      <c r="BH161" s="135">
        <v>745.7</v>
      </c>
      <c r="BI161" s="135">
        <v>1.34</v>
      </c>
      <c r="BJ161" s="135">
        <v>43</v>
      </c>
      <c r="BK161" s="135">
        <v>-8</v>
      </c>
      <c r="BL161" s="135">
        <v>25.5</v>
      </c>
    </row>
    <row r="162" spans="1:64" x14ac:dyDescent="0.3">
      <c r="A162" s="135">
        <v>2016</v>
      </c>
      <c r="B162" s="135">
        <v>4</v>
      </c>
      <c r="C162" s="135" t="s">
        <v>2125</v>
      </c>
      <c r="D162" s="135" t="s">
        <v>519</v>
      </c>
      <c r="E162" s="135" t="s">
        <v>396</v>
      </c>
      <c r="F162" s="135" t="s">
        <v>30</v>
      </c>
      <c r="G162" s="135" t="s">
        <v>2302</v>
      </c>
      <c r="H162" s="135">
        <v>17.190000000000001</v>
      </c>
      <c r="I162" s="135">
        <v>7.1289999999999996</v>
      </c>
      <c r="J162" s="135">
        <v>11.388999999999999</v>
      </c>
      <c r="K162" s="135">
        <v>0</v>
      </c>
      <c r="L162" s="135">
        <v>0</v>
      </c>
      <c r="M162" s="135">
        <v>0</v>
      </c>
      <c r="N162" s="135">
        <v>0</v>
      </c>
      <c r="O162" s="135">
        <v>0</v>
      </c>
      <c r="P162" s="135">
        <v>0</v>
      </c>
      <c r="Q162" s="135">
        <v>0</v>
      </c>
      <c r="R162" s="135">
        <v>0</v>
      </c>
      <c r="S162" s="135">
        <v>4.26</v>
      </c>
      <c r="T162" s="135">
        <v>58.085999999999999</v>
      </c>
      <c r="U162" s="135">
        <v>0.23499999999999999</v>
      </c>
      <c r="V162" s="135">
        <v>4.4999999999999998E-2</v>
      </c>
      <c r="W162" s="135">
        <v>0</v>
      </c>
      <c r="X162" s="135">
        <v>0</v>
      </c>
      <c r="Y162" s="135" t="s">
        <v>1995</v>
      </c>
      <c r="Z162" s="135">
        <v>9.1999999999999993</v>
      </c>
      <c r="AA162" s="135">
        <v>4000</v>
      </c>
      <c r="AB162" s="135">
        <v>434.1</v>
      </c>
      <c r="AC162" s="135">
        <v>2.2999999999999998</v>
      </c>
      <c r="AD162" s="135">
        <v>11.4</v>
      </c>
      <c r="AE162" s="135">
        <v>7450</v>
      </c>
      <c r="AF162" s="135">
        <v>654.20000000000005</v>
      </c>
      <c r="AG162" s="135">
        <v>1.53</v>
      </c>
      <c r="AH162" s="135">
        <v>11.8</v>
      </c>
      <c r="AI162" s="135">
        <v>5000</v>
      </c>
      <c r="AJ162" s="135">
        <v>424.4</v>
      </c>
      <c r="AK162" s="135">
        <v>2.36</v>
      </c>
      <c r="AL162" s="135">
        <v>9.3000000000000007</v>
      </c>
      <c r="AM162" s="135">
        <v>5600</v>
      </c>
      <c r="AN162" s="135">
        <v>604.79999999999995</v>
      </c>
      <c r="AO162" s="135">
        <v>1.65</v>
      </c>
      <c r="AP162" s="135"/>
      <c r="AQ162" s="135"/>
      <c r="AR162" s="135"/>
      <c r="AS162" s="135"/>
      <c r="AT162" s="135"/>
      <c r="AU162" s="135"/>
      <c r="AV162" s="135"/>
      <c r="AW162" s="135"/>
      <c r="AX162" s="135">
        <v>9.3000000000000007</v>
      </c>
      <c r="AY162" s="135">
        <v>15</v>
      </c>
      <c r="AZ162" s="135">
        <v>1.6</v>
      </c>
      <c r="BA162" s="135">
        <v>0.62</v>
      </c>
      <c r="BB162" s="135"/>
      <c r="BC162" s="135"/>
      <c r="BD162" s="135"/>
      <c r="BE162" s="135"/>
      <c r="BF162" s="135">
        <v>11.8</v>
      </c>
      <c r="BG162" s="135">
        <v>9800</v>
      </c>
      <c r="BH162" s="135">
        <v>831.8</v>
      </c>
      <c r="BI162" s="135">
        <v>1.2</v>
      </c>
      <c r="BJ162" s="135">
        <v>40.5</v>
      </c>
      <c r="BK162" s="135">
        <v>6.5</v>
      </c>
      <c r="BL162" s="135">
        <v>17</v>
      </c>
    </row>
    <row r="163" spans="1:64" x14ac:dyDescent="0.3">
      <c r="A163" s="135">
        <v>2016</v>
      </c>
      <c r="B163" s="135">
        <v>4</v>
      </c>
      <c r="C163" s="135" t="s">
        <v>2131</v>
      </c>
      <c r="D163" s="135" t="s">
        <v>457</v>
      </c>
      <c r="E163" s="135" t="s">
        <v>396</v>
      </c>
      <c r="F163" s="135" t="s">
        <v>404</v>
      </c>
      <c r="G163" s="135" t="s">
        <v>2308</v>
      </c>
      <c r="H163" s="135">
        <v>29.35</v>
      </c>
      <c r="I163" s="135">
        <v>7.0949999999999998</v>
      </c>
      <c r="J163" s="135">
        <v>12.311</v>
      </c>
      <c r="K163" s="135">
        <v>0</v>
      </c>
      <c r="L163" s="135">
        <v>0</v>
      </c>
      <c r="M163" s="135">
        <v>0</v>
      </c>
      <c r="N163" s="135">
        <v>0</v>
      </c>
      <c r="O163" s="135">
        <v>0</v>
      </c>
      <c r="P163" s="135">
        <v>0</v>
      </c>
      <c r="Q163" s="135">
        <v>0</v>
      </c>
      <c r="R163" s="135">
        <v>0</v>
      </c>
      <c r="S163" s="135">
        <v>5.2160000000000002</v>
      </c>
      <c r="T163" s="135">
        <v>56.511000000000003</v>
      </c>
      <c r="U163" s="135">
        <v>0.254</v>
      </c>
      <c r="V163" s="135">
        <v>0.04</v>
      </c>
      <c r="W163" s="135">
        <v>0</v>
      </c>
      <c r="X163" s="135">
        <v>0</v>
      </c>
      <c r="Y163" s="135" t="s">
        <v>1995</v>
      </c>
      <c r="Z163" s="135">
        <v>9.6999999999999993</v>
      </c>
      <c r="AA163" s="135">
        <v>4300</v>
      </c>
      <c r="AB163" s="135">
        <v>445</v>
      </c>
      <c r="AC163" s="135">
        <v>2.25</v>
      </c>
      <c r="AD163" s="135">
        <v>12.3</v>
      </c>
      <c r="AE163" s="135">
        <v>8100</v>
      </c>
      <c r="AF163" s="135">
        <v>657.9</v>
      </c>
      <c r="AG163" s="135">
        <v>1.52</v>
      </c>
      <c r="AH163" s="135">
        <v>12.7</v>
      </c>
      <c r="AI163" s="135">
        <v>3800</v>
      </c>
      <c r="AJ163" s="135">
        <v>299.39999999999998</v>
      </c>
      <c r="AK163" s="135">
        <v>3.34</v>
      </c>
      <c r="AL163" s="135">
        <v>9.6999999999999993</v>
      </c>
      <c r="AM163" s="135">
        <v>5300</v>
      </c>
      <c r="AN163" s="135">
        <v>546.20000000000005</v>
      </c>
      <c r="AO163" s="135">
        <v>1.83</v>
      </c>
      <c r="AP163" s="135"/>
      <c r="AQ163" s="135"/>
      <c r="AR163" s="135"/>
      <c r="AS163" s="135"/>
      <c r="AT163" s="135"/>
      <c r="AU163" s="135"/>
      <c r="AV163" s="135"/>
      <c r="AW163" s="135"/>
      <c r="AX163" s="135">
        <v>9.6999999999999993</v>
      </c>
      <c r="AY163" s="135">
        <v>19</v>
      </c>
      <c r="AZ163" s="135">
        <v>2</v>
      </c>
      <c r="BA163" s="135">
        <v>0.51</v>
      </c>
      <c r="BB163" s="135"/>
      <c r="BC163" s="135"/>
      <c r="BD163" s="135"/>
      <c r="BE163" s="135"/>
      <c r="BF163" s="135">
        <v>12.7</v>
      </c>
      <c r="BG163" s="135">
        <v>7400</v>
      </c>
      <c r="BH163" s="135">
        <v>583.1</v>
      </c>
      <c r="BI163" s="135">
        <v>1.71</v>
      </c>
      <c r="BJ163" s="135">
        <v>53.5</v>
      </c>
      <c r="BK163" s="135">
        <v>4</v>
      </c>
      <c r="BL163" s="135">
        <v>24.75</v>
      </c>
    </row>
    <row r="164" spans="1:64" x14ac:dyDescent="0.3">
      <c r="A164" s="135">
        <v>2016</v>
      </c>
      <c r="B164" s="135">
        <v>4</v>
      </c>
      <c r="C164" s="135" t="s">
        <v>2136</v>
      </c>
      <c r="D164" s="135" t="s">
        <v>315</v>
      </c>
      <c r="E164" s="135" t="s">
        <v>396</v>
      </c>
      <c r="F164" s="135" t="s">
        <v>20</v>
      </c>
      <c r="G164" s="135" t="s">
        <v>397</v>
      </c>
      <c r="H164" s="135">
        <v>16.2</v>
      </c>
      <c r="I164" s="135">
        <v>7.0629999999999997</v>
      </c>
      <c r="J164" s="135">
        <v>9.4529999999999994</v>
      </c>
      <c r="K164" s="135">
        <v>0</v>
      </c>
      <c r="L164" s="135">
        <v>0</v>
      </c>
      <c r="M164" s="135">
        <v>0</v>
      </c>
      <c r="N164" s="135">
        <v>0</v>
      </c>
      <c r="O164" s="135">
        <v>0</v>
      </c>
      <c r="P164" s="135">
        <v>0.21099999999999999</v>
      </c>
      <c r="Q164" s="135">
        <v>1.1779999999999999</v>
      </c>
      <c r="R164" s="135">
        <v>8.9999999999999993E-3</v>
      </c>
      <c r="S164" s="135">
        <v>2.39</v>
      </c>
      <c r="T164" s="135">
        <v>51.546999999999997</v>
      </c>
      <c r="U164" s="135">
        <v>0.29699999999999999</v>
      </c>
      <c r="V164" s="135">
        <v>2.3E-2</v>
      </c>
      <c r="W164" s="135">
        <v>0</v>
      </c>
      <c r="X164" s="135">
        <v>0</v>
      </c>
      <c r="Y164" s="135" t="s">
        <v>1995</v>
      </c>
      <c r="Z164" s="135">
        <v>8.1999999999999993</v>
      </c>
      <c r="AA164" s="135">
        <v>3900</v>
      </c>
      <c r="AB164" s="135">
        <v>473.6</v>
      </c>
      <c r="AC164" s="135">
        <v>2.11</v>
      </c>
      <c r="AD164" s="135">
        <v>9.5</v>
      </c>
      <c r="AE164" s="135">
        <v>6600</v>
      </c>
      <c r="AF164" s="135">
        <v>698.2</v>
      </c>
      <c r="AG164" s="135">
        <v>1.43</v>
      </c>
      <c r="AH164" s="135">
        <v>9.8000000000000007</v>
      </c>
      <c r="AI164" s="135">
        <v>3600</v>
      </c>
      <c r="AJ164" s="135">
        <v>367.7</v>
      </c>
      <c r="AK164" s="135">
        <v>2.72</v>
      </c>
      <c r="AL164" s="135">
        <v>8.3000000000000007</v>
      </c>
      <c r="AM164" s="135">
        <v>5400</v>
      </c>
      <c r="AN164" s="135">
        <v>654</v>
      </c>
      <c r="AO164" s="135">
        <v>1.53</v>
      </c>
      <c r="AP164" s="135"/>
      <c r="AQ164" s="135"/>
      <c r="AR164" s="135"/>
      <c r="AS164" s="135"/>
      <c r="AT164" s="135"/>
      <c r="AU164" s="135"/>
      <c r="AV164" s="135"/>
      <c r="AW164" s="135"/>
      <c r="AX164" s="135">
        <v>8.3000000000000007</v>
      </c>
      <c r="AY164" s="135">
        <v>12</v>
      </c>
      <c r="AZ164" s="135">
        <v>1.5</v>
      </c>
      <c r="BA164" s="135">
        <v>0.69</v>
      </c>
      <c r="BB164" s="135"/>
      <c r="BC164" s="135"/>
      <c r="BD164" s="135"/>
      <c r="BE164" s="135"/>
      <c r="BF164" s="135">
        <v>9.8000000000000007</v>
      </c>
      <c r="BG164" s="135">
        <v>7000</v>
      </c>
      <c r="BH164" s="135">
        <v>714.9</v>
      </c>
      <c r="BI164" s="135">
        <v>1.4</v>
      </c>
      <c r="BJ164" s="135">
        <v>47.5</v>
      </c>
      <c r="BK164" s="135">
        <v>-5.5</v>
      </c>
      <c r="BL164" s="135">
        <v>26.5</v>
      </c>
    </row>
    <row r="165" spans="1:64" x14ac:dyDescent="0.3">
      <c r="A165" s="135">
        <v>2016</v>
      </c>
      <c r="B165" s="135">
        <v>4</v>
      </c>
      <c r="C165" s="135" t="s">
        <v>2140</v>
      </c>
      <c r="D165" s="135" t="s">
        <v>240</v>
      </c>
      <c r="E165" s="135" t="s">
        <v>396</v>
      </c>
      <c r="F165" s="135" t="s">
        <v>52</v>
      </c>
      <c r="G165" s="135" t="s">
        <v>2309</v>
      </c>
      <c r="H165" s="135">
        <v>26.3</v>
      </c>
      <c r="I165" s="135">
        <v>6.8860000000000001</v>
      </c>
      <c r="J165" s="135">
        <v>11.84</v>
      </c>
      <c r="K165" s="135">
        <v>0</v>
      </c>
      <c r="L165" s="135">
        <v>0</v>
      </c>
      <c r="M165" s="135">
        <v>0</v>
      </c>
      <c r="N165" s="135">
        <v>0</v>
      </c>
      <c r="O165" s="135">
        <v>0</v>
      </c>
      <c r="P165" s="135">
        <v>0</v>
      </c>
      <c r="Q165" s="135">
        <v>0</v>
      </c>
      <c r="R165" s="135">
        <v>0</v>
      </c>
      <c r="S165" s="135">
        <v>4.9539999999999997</v>
      </c>
      <c r="T165" s="135">
        <v>55.904000000000003</v>
      </c>
      <c r="U165" s="135">
        <v>0.22900000000000001</v>
      </c>
      <c r="V165" s="135">
        <v>3.9E-2</v>
      </c>
      <c r="W165" s="135">
        <v>0</v>
      </c>
      <c r="X165" s="135">
        <v>0</v>
      </c>
      <c r="Y165" s="135" t="s">
        <v>1995</v>
      </c>
      <c r="Z165" s="135">
        <v>9.3000000000000007</v>
      </c>
      <c r="AA165" s="135">
        <v>4550</v>
      </c>
      <c r="AB165" s="135">
        <v>488</v>
      </c>
      <c r="AC165" s="135">
        <v>2.0499999999999998</v>
      </c>
      <c r="AD165" s="135">
        <v>11.8</v>
      </c>
      <c r="AE165" s="135">
        <v>6950</v>
      </c>
      <c r="AF165" s="135">
        <v>587</v>
      </c>
      <c r="AG165" s="135">
        <v>1.7</v>
      </c>
      <c r="AH165" s="135">
        <v>12.2</v>
      </c>
      <c r="AI165" s="135">
        <v>3900</v>
      </c>
      <c r="AJ165" s="135">
        <v>319.3</v>
      </c>
      <c r="AK165" s="135">
        <v>3.13</v>
      </c>
      <c r="AL165" s="135">
        <v>9.4</v>
      </c>
      <c r="AM165" s="135">
        <v>5200</v>
      </c>
      <c r="AN165" s="135">
        <v>555.4</v>
      </c>
      <c r="AO165" s="135">
        <v>1.8</v>
      </c>
      <c r="AP165" s="135"/>
      <c r="AQ165" s="135"/>
      <c r="AR165" s="135"/>
      <c r="AS165" s="135"/>
      <c r="AT165" s="135"/>
      <c r="AU165" s="135"/>
      <c r="AV165" s="135"/>
      <c r="AW165" s="135"/>
      <c r="AX165" s="135">
        <v>9.4</v>
      </c>
      <c r="AY165" s="135">
        <v>18</v>
      </c>
      <c r="AZ165" s="135">
        <v>1.9</v>
      </c>
      <c r="BA165" s="135">
        <v>0.52</v>
      </c>
      <c r="BB165" s="135"/>
      <c r="BC165" s="135"/>
      <c r="BD165" s="135"/>
      <c r="BE165" s="135"/>
      <c r="BF165" s="135">
        <v>12.2</v>
      </c>
      <c r="BG165" s="135">
        <v>7700</v>
      </c>
      <c r="BH165" s="135">
        <v>630.4</v>
      </c>
      <c r="BI165" s="135">
        <v>1.59</v>
      </c>
      <c r="BJ165" s="135">
        <v>46</v>
      </c>
      <c r="BK165" s="135">
        <v>-3</v>
      </c>
      <c r="BL165" s="135">
        <v>24.5</v>
      </c>
    </row>
    <row r="166" spans="1:64" x14ac:dyDescent="0.3">
      <c r="A166" s="135">
        <v>2016</v>
      </c>
      <c r="B166" s="135">
        <v>4</v>
      </c>
      <c r="C166" s="135" t="s">
        <v>2153</v>
      </c>
      <c r="D166" s="135" t="s">
        <v>243</v>
      </c>
      <c r="E166" s="135" t="s">
        <v>396</v>
      </c>
      <c r="F166" s="135" t="s">
        <v>398</v>
      </c>
      <c r="G166" s="135" t="s">
        <v>52</v>
      </c>
      <c r="H166" s="135">
        <v>17.72</v>
      </c>
      <c r="I166" s="135">
        <v>6.774</v>
      </c>
      <c r="J166" s="135">
        <v>9.7449999999999992</v>
      </c>
      <c r="K166" s="135">
        <v>0</v>
      </c>
      <c r="L166" s="135">
        <v>0</v>
      </c>
      <c r="M166" s="135">
        <v>0</v>
      </c>
      <c r="N166" s="135">
        <v>0</v>
      </c>
      <c r="O166" s="135">
        <v>0</v>
      </c>
      <c r="P166" s="135">
        <v>0</v>
      </c>
      <c r="Q166" s="135">
        <v>0</v>
      </c>
      <c r="R166" s="135">
        <v>0</v>
      </c>
      <c r="S166" s="135">
        <v>2.9710000000000001</v>
      </c>
      <c r="T166" s="135">
        <v>41.22</v>
      </c>
      <c r="U166" s="135">
        <v>0.45200000000000001</v>
      </c>
      <c r="V166" s="135">
        <v>0.03</v>
      </c>
      <c r="W166" s="135">
        <v>0</v>
      </c>
      <c r="X166" s="135">
        <v>0</v>
      </c>
      <c r="Y166" s="135" t="s">
        <v>1995</v>
      </c>
      <c r="Z166" s="135">
        <v>8.1999999999999993</v>
      </c>
      <c r="AA166" s="135">
        <v>4150</v>
      </c>
      <c r="AB166" s="135">
        <v>504.3</v>
      </c>
      <c r="AC166" s="135">
        <v>1.98</v>
      </c>
      <c r="AD166" s="135">
        <v>9.6999999999999993</v>
      </c>
      <c r="AE166" s="135">
        <v>9750</v>
      </c>
      <c r="AF166" s="135">
        <v>1000.5</v>
      </c>
      <c r="AG166" s="135">
        <v>1</v>
      </c>
      <c r="AH166" s="135">
        <v>10</v>
      </c>
      <c r="AI166" s="135">
        <v>3900</v>
      </c>
      <c r="AJ166" s="135">
        <v>389.1</v>
      </c>
      <c r="AK166" s="135">
        <v>2.57</v>
      </c>
      <c r="AL166" s="135">
        <v>8.3000000000000007</v>
      </c>
      <c r="AM166" s="135">
        <v>5600</v>
      </c>
      <c r="AN166" s="135">
        <v>678</v>
      </c>
      <c r="AO166" s="135">
        <v>1.47</v>
      </c>
      <c r="AP166" s="135"/>
      <c r="AQ166" s="135"/>
      <c r="AR166" s="135"/>
      <c r="AS166" s="135"/>
      <c r="AT166" s="135"/>
      <c r="AU166" s="135"/>
      <c r="AV166" s="135"/>
      <c r="AW166" s="135"/>
      <c r="AX166" s="135">
        <v>8.3000000000000007</v>
      </c>
      <c r="AY166" s="135">
        <v>15</v>
      </c>
      <c r="AZ166" s="135">
        <v>1.8</v>
      </c>
      <c r="BA166" s="135">
        <v>0.55000000000000004</v>
      </c>
      <c r="BB166" s="135"/>
      <c r="BC166" s="135"/>
      <c r="BD166" s="135"/>
      <c r="BE166" s="135"/>
      <c r="BF166" s="135">
        <v>10</v>
      </c>
      <c r="BG166" s="135">
        <v>7700</v>
      </c>
      <c r="BH166" s="135">
        <v>768.3</v>
      </c>
      <c r="BI166" s="135">
        <v>1.3</v>
      </c>
      <c r="BJ166" s="135">
        <v>46</v>
      </c>
      <c r="BK166" s="135">
        <v>3</v>
      </c>
      <c r="BL166" s="135">
        <v>21.5</v>
      </c>
    </row>
    <row r="167" spans="1:64" x14ac:dyDescent="0.3">
      <c r="A167" s="135">
        <v>2016</v>
      </c>
      <c r="B167" s="135">
        <v>4</v>
      </c>
      <c r="C167" s="135" t="s">
        <v>2134</v>
      </c>
      <c r="D167" s="135" t="s">
        <v>269</v>
      </c>
      <c r="E167" s="135" t="s">
        <v>396</v>
      </c>
      <c r="F167" s="135" t="s">
        <v>34</v>
      </c>
      <c r="G167" s="135" t="s">
        <v>7</v>
      </c>
      <c r="H167" s="135">
        <v>10.17</v>
      </c>
      <c r="I167" s="135">
        <v>6.657</v>
      </c>
      <c r="J167" s="135">
        <v>11.567</v>
      </c>
      <c r="K167" s="135">
        <v>0</v>
      </c>
      <c r="L167" s="135">
        <v>0</v>
      </c>
      <c r="M167" s="135">
        <v>0</v>
      </c>
      <c r="N167" s="135">
        <v>0</v>
      </c>
      <c r="O167" s="135">
        <v>0</v>
      </c>
      <c r="P167" s="135">
        <v>0</v>
      </c>
      <c r="Q167" s="135">
        <v>0</v>
      </c>
      <c r="R167" s="135">
        <v>0</v>
      </c>
      <c r="S167" s="135">
        <v>4.91</v>
      </c>
      <c r="T167" s="135">
        <v>50.866999999999997</v>
      </c>
      <c r="U167" s="135">
        <v>0.28199999999999997</v>
      </c>
      <c r="V167" s="135">
        <v>6.0999999999999999E-2</v>
      </c>
      <c r="W167" s="135">
        <v>0</v>
      </c>
      <c r="X167" s="135">
        <v>0</v>
      </c>
      <c r="Y167" s="135" t="s">
        <v>1995</v>
      </c>
      <c r="Z167" s="135">
        <v>9.1</v>
      </c>
      <c r="AA167" s="135">
        <v>4150</v>
      </c>
      <c r="AB167" s="135">
        <v>458.5</v>
      </c>
      <c r="AC167" s="135">
        <v>2.1800000000000002</v>
      </c>
      <c r="AD167" s="135">
        <v>11.6</v>
      </c>
      <c r="AE167" s="135">
        <v>5000</v>
      </c>
      <c r="AF167" s="135">
        <v>432.3</v>
      </c>
      <c r="AG167" s="135">
        <v>2.31</v>
      </c>
      <c r="AH167" s="135">
        <v>11.9</v>
      </c>
      <c r="AI167" s="135">
        <v>4400</v>
      </c>
      <c r="AJ167" s="135">
        <v>368.7</v>
      </c>
      <c r="AK167" s="135">
        <v>2.71</v>
      </c>
      <c r="AL167" s="135">
        <v>9.1</v>
      </c>
      <c r="AM167" s="135">
        <v>5600</v>
      </c>
      <c r="AN167" s="135">
        <v>614.6</v>
      </c>
      <c r="AO167" s="135">
        <v>1.63</v>
      </c>
      <c r="AP167" s="135"/>
      <c r="AQ167" s="135"/>
      <c r="AR167" s="135"/>
      <c r="AS167" s="135"/>
      <c r="AT167" s="135"/>
      <c r="AU167" s="135"/>
      <c r="AV167" s="135"/>
      <c r="AW167" s="135"/>
      <c r="AX167" s="135">
        <v>9.1</v>
      </c>
      <c r="AY167" s="135">
        <v>15</v>
      </c>
      <c r="AZ167" s="135">
        <v>1.6</v>
      </c>
      <c r="BA167" s="135">
        <v>0.61</v>
      </c>
      <c r="BB167" s="135"/>
      <c r="BC167" s="135"/>
      <c r="BD167" s="135"/>
      <c r="BE167" s="135"/>
      <c r="BF167" s="135">
        <v>11.9</v>
      </c>
      <c r="BG167" s="135">
        <v>8700</v>
      </c>
      <c r="BH167" s="135">
        <v>729.1</v>
      </c>
      <c r="BI167" s="135">
        <v>1.37</v>
      </c>
      <c r="BJ167" s="135">
        <v>40.5</v>
      </c>
      <c r="BK167" s="135">
        <v>1.5</v>
      </c>
      <c r="BL167" s="135">
        <v>19.5</v>
      </c>
    </row>
    <row r="168" spans="1:64" x14ac:dyDescent="0.3">
      <c r="A168" s="135">
        <v>2016</v>
      </c>
      <c r="B168" s="135">
        <v>4</v>
      </c>
      <c r="C168" s="135" t="s">
        <v>2148</v>
      </c>
      <c r="D168" s="135" t="s">
        <v>260</v>
      </c>
      <c r="E168" s="135" t="s">
        <v>396</v>
      </c>
      <c r="F168" s="135" t="s">
        <v>28</v>
      </c>
      <c r="G168" s="135" t="s">
        <v>57</v>
      </c>
      <c r="H168" s="135">
        <v>30.59</v>
      </c>
      <c r="I168" s="135">
        <v>6.5039999999999996</v>
      </c>
      <c r="J168" s="135">
        <v>9.1509999999999998</v>
      </c>
      <c r="K168" s="135">
        <v>0</v>
      </c>
      <c r="L168" s="135">
        <v>0</v>
      </c>
      <c r="M168" s="135">
        <v>0</v>
      </c>
      <c r="N168" s="135">
        <v>0</v>
      </c>
      <c r="O168" s="135">
        <v>0</v>
      </c>
      <c r="P168" s="135">
        <v>0</v>
      </c>
      <c r="Q168" s="135">
        <v>0</v>
      </c>
      <c r="R168" s="135">
        <v>0</v>
      </c>
      <c r="S168" s="135">
        <v>2.6469999999999998</v>
      </c>
      <c r="T168" s="135">
        <v>46.057000000000002</v>
      </c>
      <c r="U168" s="135">
        <v>0.32300000000000001</v>
      </c>
      <c r="V168" s="135">
        <v>0.02</v>
      </c>
      <c r="W168" s="135">
        <v>0</v>
      </c>
      <c r="X168" s="135">
        <v>0</v>
      </c>
      <c r="Y168" s="135" t="s">
        <v>1995</v>
      </c>
      <c r="Z168" s="135">
        <v>7.8</v>
      </c>
      <c r="AA168" s="135">
        <v>4150</v>
      </c>
      <c r="AB168" s="135">
        <v>531.6</v>
      </c>
      <c r="AC168" s="135">
        <v>1.88</v>
      </c>
      <c r="AD168" s="135">
        <v>9.1999999999999993</v>
      </c>
      <c r="AE168" s="135">
        <v>7350</v>
      </c>
      <c r="AF168" s="135">
        <v>803.2</v>
      </c>
      <c r="AG168" s="135">
        <v>1.24</v>
      </c>
      <c r="AH168" s="135">
        <v>9.4</v>
      </c>
      <c r="AI168" s="135">
        <v>3200</v>
      </c>
      <c r="AJ168" s="135">
        <v>338.7</v>
      </c>
      <c r="AK168" s="135">
        <v>2.95</v>
      </c>
      <c r="AL168" s="135">
        <v>7.8</v>
      </c>
      <c r="AM168" s="135">
        <v>5500</v>
      </c>
      <c r="AN168" s="135">
        <v>702.7</v>
      </c>
      <c r="AO168" s="135">
        <v>1.42</v>
      </c>
      <c r="AP168" s="135"/>
      <c r="AQ168" s="135"/>
      <c r="AR168" s="135"/>
      <c r="AS168" s="135"/>
      <c r="AT168" s="135"/>
      <c r="AU168" s="135"/>
      <c r="AV168" s="135"/>
      <c r="AW168" s="135"/>
      <c r="AX168" s="135">
        <v>7.8</v>
      </c>
      <c r="AY168" s="135">
        <v>12</v>
      </c>
      <c r="AZ168" s="135">
        <v>1.5</v>
      </c>
      <c r="BA168" s="135">
        <v>0.65</v>
      </c>
      <c r="BB168" s="135"/>
      <c r="BC168" s="135"/>
      <c r="BD168" s="135"/>
      <c r="BE168" s="135"/>
      <c r="BF168" s="135">
        <v>9.4</v>
      </c>
      <c r="BG168" s="135">
        <v>6300</v>
      </c>
      <c r="BH168" s="135">
        <v>666.9</v>
      </c>
      <c r="BI168" s="135">
        <v>1.5</v>
      </c>
      <c r="BJ168" s="135">
        <v>44.5</v>
      </c>
      <c r="BK168" s="135">
        <v>-7</v>
      </c>
      <c r="BL168" s="135">
        <v>25.75</v>
      </c>
    </row>
    <row r="169" spans="1:64" x14ac:dyDescent="0.3">
      <c r="A169" s="135">
        <v>2016</v>
      </c>
      <c r="B169" s="135">
        <v>4</v>
      </c>
      <c r="C169" s="135" t="s">
        <v>2133</v>
      </c>
      <c r="D169" s="135" t="s">
        <v>212</v>
      </c>
      <c r="E169" s="135" t="s">
        <v>396</v>
      </c>
      <c r="F169" s="135" t="s">
        <v>26</v>
      </c>
      <c r="G169" s="135" t="s">
        <v>2298</v>
      </c>
      <c r="H169" s="135">
        <v>26.02</v>
      </c>
      <c r="I169" s="135">
        <v>6.34</v>
      </c>
      <c r="J169" s="135">
        <v>10.497</v>
      </c>
      <c r="K169" s="135">
        <v>0</v>
      </c>
      <c r="L169" s="135">
        <v>0</v>
      </c>
      <c r="M169" s="135">
        <v>0</v>
      </c>
      <c r="N169" s="135">
        <v>0</v>
      </c>
      <c r="O169" s="135">
        <v>0</v>
      </c>
      <c r="P169" s="135">
        <v>0.222</v>
      </c>
      <c r="Q169" s="135">
        <v>1.1619999999999999</v>
      </c>
      <c r="R169" s="135">
        <v>0</v>
      </c>
      <c r="S169" s="135">
        <v>4.157</v>
      </c>
      <c r="T169" s="135">
        <v>44.921999999999997</v>
      </c>
      <c r="U169" s="135">
        <v>0.29799999999999999</v>
      </c>
      <c r="V169" s="135">
        <v>2.8000000000000001E-2</v>
      </c>
      <c r="W169" s="135">
        <v>0</v>
      </c>
      <c r="X169" s="135">
        <v>0</v>
      </c>
      <c r="Y169" s="135" t="s">
        <v>1995</v>
      </c>
      <c r="Z169" s="135">
        <v>8.4</v>
      </c>
      <c r="AA169" s="135">
        <v>4450</v>
      </c>
      <c r="AB169" s="135">
        <v>530.29999999999995</v>
      </c>
      <c r="AC169" s="135">
        <v>1.89</v>
      </c>
      <c r="AD169" s="135">
        <v>10.5</v>
      </c>
      <c r="AE169" s="135">
        <v>12100</v>
      </c>
      <c r="AF169" s="135">
        <v>1152.7</v>
      </c>
      <c r="AG169" s="135">
        <v>0.87</v>
      </c>
      <c r="AH169" s="135">
        <v>10.8</v>
      </c>
      <c r="AI169" s="135">
        <v>5800</v>
      </c>
      <c r="AJ169" s="135">
        <v>536.9</v>
      </c>
      <c r="AK169" s="135">
        <v>1.86</v>
      </c>
      <c r="AL169" s="135">
        <v>8.4</v>
      </c>
      <c r="AM169" s="135">
        <v>6200</v>
      </c>
      <c r="AN169" s="135">
        <v>736.4</v>
      </c>
      <c r="AO169" s="135">
        <v>1.36</v>
      </c>
      <c r="AP169" s="135"/>
      <c r="AQ169" s="135"/>
      <c r="AR169" s="135"/>
      <c r="AS169" s="135"/>
      <c r="AT169" s="135"/>
      <c r="AU169" s="135"/>
      <c r="AV169" s="135"/>
      <c r="AW169" s="135"/>
      <c r="AX169" s="135">
        <v>8.4</v>
      </c>
      <c r="AY169" s="135">
        <v>18</v>
      </c>
      <c r="AZ169" s="135">
        <v>2.1</v>
      </c>
      <c r="BA169" s="135">
        <v>0.47</v>
      </c>
      <c r="BB169" s="135"/>
      <c r="BC169" s="135"/>
      <c r="BD169" s="135"/>
      <c r="BE169" s="135"/>
      <c r="BF169" s="135">
        <v>10.8</v>
      </c>
      <c r="BG169" s="135">
        <v>10900</v>
      </c>
      <c r="BH169" s="135">
        <v>1009.1</v>
      </c>
      <c r="BI169" s="135">
        <v>0.99</v>
      </c>
      <c r="BJ169" s="135">
        <v>46.5</v>
      </c>
      <c r="BK169" s="135">
        <v>-3</v>
      </c>
      <c r="BL169" s="135">
        <v>24.75</v>
      </c>
    </row>
    <row r="170" spans="1:64" x14ac:dyDescent="0.3">
      <c r="A170" s="135">
        <v>2016</v>
      </c>
      <c r="B170" s="135">
        <v>4</v>
      </c>
      <c r="C170" s="135" t="s">
        <v>2144</v>
      </c>
      <c r="D170" s="135" t="s">
        <v>432</v>
      </c>
      <c r="E170" s="135" t="s">
        <v>396</v>
      </c>
      <c r="F170" s="135" t="s">
        <v>46</v>
      </c>
      <c r="G170" s="135" t="s">
        <v>26</v>
      </c>
      <c r="H170" s="135">
        <v>31.1</v>
      </c>
      <c r="I170" s="135">
        <v>6.3289999999999997</v>
      </c>
      <c r="J170" s="135">
        <v>10.510999999999999</v>
      </c>
      <c r="K170" s="135">
        <v>0</v>
      </c>
      <c r="L170" s="135">
        <v>0</v>
      </c>
      <c r="M170" s="135">
        <v>0</v>
      </c>
      <c r="N170" s="135">
        <v>0</v>
      </c>
      <c r="O170" s="135">
        <v>0</v>
      </c>
      <c r="P170" s="135">
        <v>0</v>
      </c>
      <c r="Q170" s="135">
        <v>0</v>
      </c>
      <c r="R170" s="135">
        <v>0</v>
      </c>
      <c r="S170" s="135">
        <v>4.1820000000000004</v>
      </c>
      <c r="T170" s="135">
        <v>45.045000000000002</v>
      </c>
      <c r="U170" s="135">
        <v>0.318</v>
      </c>
      <c r="V170" s="135">
        <v>4.2000000000000003E-2</v>
      </c>
      <c r="W170" s="135">
        <v>0</v>
      </c>
      <c r="X170" s="135">
        <v>0</v>
      </c>
      <c r="Y170" s="135" t="s">
        <v>1995</v>
      </c>
      <c r="Z170" s="135">
        <v>8.4</v>
      </c>
      <c r="AA170" s="135">
        <v>4300</v>
      </c>
      <c r="AB170" s="135">
        <v>513.29999999999995</v>
      </c>
      <c r="AC170" s="135">
        <v>1.95</v>
      </c>
      <c r="AD170" s="135">
        <v>10.5</v>
      </c>
      <c r="AE170" s="135">
        <v>10250</v>
      </c>
      <c r="AF170" s="135">
        <v>975.2</v>
      </c>
      <c r="AG170" s="135">
        <v>1.03</v>
      </c>
      <c r="AH170" s="135">
        <v>10.8</v>
      </c>
      <c r="AI170" s="135">
        <v>3400</v>
      </c>
      <c r="AJ170" s="135">
        <v>314.2</v>
      </c>
      <c r="AK170" s="135">
        <v>3.18</v>
      </c>
      <c r="AL170" s="135">
        <v>8.4</v>
      </c>
      <c r="AM170" s="135">
        <v>5500</v>
      </c>
      <c r="AN170" s="135">
        <v>653.20000000000005</v>
      </c>
      <c r="AO170" s="135">
        <v>1.53</v>
      </c>
      <c r="AP170" s="135"/>
      <c r="AQ170" s="135"/>
      <c r="AR170" s="135"/>
      <c r="AS170" s="135"/>
      <c r="AT170" s="135"/>
      <c r="AU170" s="135"/>
      <c r="AV170" s="135"/>
      <c r="AW170" s="135"/>
      <c r="AX170" s="135">
        <v>8.4</v>
      </c>
      <c r="AY170" s="135">
        <v>13</v>
      </c>
      <c r="AZ170" s="135">
        <v>1.5</v>
      </c>
      <c r="BA170" s="135">
        <v>0.65</v>
      </c>
      <c r="BB170" s="135"/>
      <c r="BC170" s="135"/>
      <c r="BD170" s="135"/>
      <c r="BE170" s="135"/>
      <c r="BF170" s="135">
        <v>10.8</v>
      </c>
      <c r="BG170" s="135">
        <v>6600</v>
      </c>
      <c r="BH170" s="135">
        <v>609.79999999999995</v>
      </c>
      <c r="BI170" s="135">
        <v>1.64</v>
      </c>
      <c r="BJ170" s="135">
        <v>46.5</v>
      </c>
      <c r="BK170" s="135">
        <v>3</v>
      </c>
      <c r="BL170" s="135">
        <v>21.75</v>
      </c>
    </row>
    <row r="171" spans="1:64" x14ac:dyDescent="0.3">
      <c r="A171" s="135">
        <v>2016</v>
      </c>
      <c r="B171" s="135">
        <v>4</v>
      </c>
      <c r="C171" s="135" t="s">
        <v>2138</v>
      </c>
      <c r="D171" s="135" t="s">
        <v>456</v>
      </c>
      <c r="E171" s="135" t="s">
        <v>396</v>
      </c>
      <c r="F171" s="135" t="s">
        <v>37</v>
      </c>
      <c r="G171" s="135" t="s">
        <v>2304</v>
      </c>
      <c r="H171" s="135">
        <v>14.75</v>
      </c>
      <c r="I171" s="135">
        <v>6.2619999999999996</v>
      </c>
      <c r="J171" s="135">
        <v>10.292999999999999</v>
      </c>
      <c r="K171" s="135">
        <v>0</v>
      </c>
      <c r="L171" s="135">
        <v>0</v>
      </c>
      <c r="M171" s="135">
        <v>0</v>
      </c>
      <c r="N171" s="135">
        <v>0</v>
      </c>
      <c r="O171" s="135">
        <v>0</v>
      </c>
      <c r="P171" s="135">
        <v>0</v>
      </c>
      <c r="Q171" s="135">
        <v>0</v>
      </c>
      <c r="R171" s="135">
        <v>0</v>
      </c>
      <c r="S171" s="135">
        <v>4.0309999999999997</v>
      </c>
      <c r="T171" s="135">
        <v>46.838000000000001</v>
      </c>
      <c r="U171" s="135">
        <v>0.27900000000000003</v>
      </c>
      <c r="V171" s="135">
        <v>4.8000000000000001E-2</v>
      </c>
      <c r="W171" s="135">
        <v>0</v>
      </c>
      <c r="X171" s="135">
        <v>0</v>
      </c>
      <c r="Y171" s="135" t="s">
        <v>1995</v>
      </c>
      <c r="Z171" s="135">
        <v>8.1999999999999993</v>
      </c>
      <c r="AA171" s="135">
        <v>4400</v>
      </c>
      <c r="AB171" s="135">
        <v>534.70000000000005</v>
      </c>
      <c r="AC171" s="135">
        <v>1.87</v>
      </c>
      <c r="AD171" s="135">
        <v>10.3</v>
      </c>
      <c r="AE171" s="135">
        <v>6050</v>
      </c>
      <c r="AF171" s="135">
        <v>587.79999999999995</v>
      </c>
      <c r="AG171" s="135">
        <v>1.7</v>
      </c>
      <c r="AH171" s="135">
        <v>10.6</v>
      </c>
      <c r="AI171" s="135">
        <v>4600</v>
      </c>
      <c r="AJ171" s="135">
        <v>433.1</v>
      </c>
      <c r="AK171" s="135">
        <v>2.31</v>
      </c>
      <c r="AL171" s="135">
        <v>8.3000000000000007</v>
      </c>
      <c r="AM171" s="135">
        <v>5700</v>
      </c>
      <c r="AN171" s="135">
        <v>688.6</v>
      </c>
      <c r="AO171" s="135">
        <v>1.45</v>
      </c>
      <c r="AP171" s="135"/>
      <c r="AQ171" s="135"/>
      <c r="AR171" s="135"/>
      <c r="AS171" s="135"/>
      <c r="AT171" s="135"/>
      <c r="AU171" s="135"/>
      <c r="AV171" s="135"/>
      <c r="AW171" s="135"/>
      <c r="AX171" s="135">
        <v>8.3000000000000007</v>
      </c>
      <c r="AY171" s="135">
        <v>18</v>
      </c>
      <c r="AZ171" s="135">
        <v>2.2000000000000002</v>
      </c>
      <c r="BA171" s="135">
        <v>0.46</v>
      </c>
      <c r="BB171" s="135"/>
      <c r="BC171" s="135"/>
      <c r="BD171" s="135"/>
      <c r="BE171" s="135"/>
      <c r="BF171" s="135">
        <v>10.6</v>
      </c>
      <c r="BG171" s="135">
        <v>9100</v>
      </c>
      <c r="BH171" s="135">
        <v>856.7</v>
      </c>
      <c r="BI171" s="135">
        <v>1.17</v>
      </c>
      <c r="BJ171" s="135">
        <v>43.5</v>
      </c>
      <c r="BK171" s="135">
        <v>4</v>
      </c>
      <c r="BL171" s="135">
        <v>19.75</v>
      </c>
    </row>
    <row r="172" spans="1:64" x14ac:dyDescent="0.3">
      <c r="A172" s="135">
        <v>2016</v>
      </c>
      <c r="B172" s="135">
        <v>4</v>
      </c>
      <c r="C172" s="135" t="s">
        <v>2135</v>
      </c>
      <c r="D172" s="135" t="s">
        <v>237</v>
      </c>
      <c r="E172" s="135" t="s">
        <v>396</v>
      </c>
      <c r="F172" s="135" t="s">
        <v>409</v>
      </c>
      <c r="G172" s="135" t="s">
        <v>2295</v>
      </c>
      <c r="H172" s="135">
        <v>21.17</v>
      </c>
      <c r="I172" s="135">
        <v>6.1859999999999999</v>
      </c>
      <c r="J172" s="135">
        <v>10.17</v>
      </c>
      <c r="K172" s="135">
        <v>0</v>
      </c>
      <c r="L172" s="135">
        <v>0</v>
      </c>
      <c r="M172" s="135">
        <v>0</v>
      </c>
      <c r="N172" s="135">
        <v>0</v>
      </c>
      <c r="O172" s="135">
        <v>0</v>
      </c>
      <c r="P172" s="135">
        <v>0</v>
      </c>
      <c r="Q172" s="135">
        <v>0</v>
      </c>
      <c r="R172" s="135">
        <v>0</v>
      </c>
      <c r="S172" s="135">
        <v>3.984</v>
      </c>
      <c r="T172" s="135">
        <v>49.417999999999999</v>
      </c>
      <c r="U172" s="135">
        <v>0.221</v>
      </c>
      <c r="V172" s="135">
        <v>4.1000000000000002E-2</v>
      </c>
      <c r="W172" s="135">
        <v>0</v>
      </c>
      <c r="X172" s="135">
        <v>0</v>
      </c>
      <c r="Y172" s="135" t="s">
        <v>1995</v>
      </c>
      <c r="Z172" s="135">
        <v>8.1</v>
      </c>
      <c r="AA172" s="135">
        <v>4000</v>
      </c>
      <c r="AB172" s="135">
        <v>491.6</v>
      </c>
      <c r="AC172" s="135">
        <v>2.0299999999999998</v>
      </c>
      <c r="AD172" s="135">
        <v>10.199999999999999</v>
      </c>
      <c r="AE172" s="135">
        <v>6050</v>
      </c>
      <c r="AF172" s="135">
        <v>594.9</v>
      </c>
      <c r="AG172" s="135">
        <v>1.68</v>
      </c>
      <c r="AH172" s="135">
        <v>10.5</v>
      </c>
      <c r="AI172" s="135">
        <v>3900</v>
      </c>
      <c r="AJ172" s="135">
        <v>371.2</v>
      </c>
      <c r="AK172" s="135">
        <v>2.69</v>
      </c>
      <c r="AL172" s="135">
        <v>8.1999999999999993</v>
      </c>
      <c r="AM172" s="135">
        <v>5500</v>
      </c>
      <c r="AN172" s="135">
        <v>672.6</v>
      </c>
      <c r="AO172" s="135">
        <v>1.49</v>
      </c>
      <c r="AP172" s="135"/>
      <c r="AQ172" s="135"/>
      <c r="AR172" s="135"/>
      <c r="AS172" s="135"/>
      <c r="AT172" s="135"/>
      <c r="AU172" s="135"/>
      <c r="AV172" s="135"/>
      <c r="AW172" s="135"/>
      <c r="AX172" s="135">
        <v>8.1999999999999993</v>
      </c>
      <c r="AY172" s="135">
        <v>14</v>
      </c>
      <c r="AZ172" s="135">
        <v>1.7</v>
      </c>
      <c r="BA172" s="135">
        <v>0.57999999999999996</v>
      </c>
      <c r="BB172" s="135"/>
      <c r="BC172" s="135"/>
      <c r="BD172" s="135"/>
      <c r="BE172" s="135"/>
      <c r="BF172" s="135">
        <v>10.5</v>
      </c>
      <c r="BG172" s="135">
        <v>7700</v>
      </c>
      <c r="BH172" s="135">
        <v>732.8</v>
      </c>
      <c r="BI172" s="135">
        <v>1.36</v>
      </c>
      <c r="BJ172" s="135">
        <v>43</v>
      </c>
      <c r="BK172" s="135">
        <v>8</v>
      </c>
      <c r="BL172" s="135">
        <v>17.5</v>
      </c>
    </row>
    <row r="173" spans="1:64" x14ac:dyDescent="0.3">
      <c r="A173" s="135">
        <v>2016</v>
      </c>
      <c r="B173" s="135">
        <v>4</v>
      </c>
      <c r="C173" s="135" t="s">
        <v>2127</v>
      </c>
      <c r="D173" s="135" t="s">
        <v>277</v>
      </c>
      <c r="E173" s="135" t="s">
        <v>396</v>
      </c>
      <c r="F173" s="135" t="s">
        <v>50</v>
      </c>
      <c r="G173" s="135" t="s">
        <v>22</v>
      </c>
      <c r="H173" s="135">
        <v>13.55</v>
      </c>
      <c r="I173" s="135">
        <v>6.1840000000000002</v>
      </c>
      <c r="J173" s="135">
        <v>9.641</v>
      </c>
      <c r="K173" s="135">
        <v>0</v>
      </c>
      <c r="L173" s="135">
        <v>0</v>
      </c>
      <c r="M173" s="135">
        <v>0</v>
      </c>
      <c r="N173" s="135">
        <v>0</v>
      </c>
      <c r="O173" s="135">
        <v>0</v>
      </c>
      <c r="P173" s="135">
        <v>0</v>
      </c>
      <c r="Q173" s="135">
        <v>0</v>
      </c>
      <c r="R173" s="135">
        <v>0</v>
      </c>
      <c r="S173" s="135">
        <v>3.4569999999999999</v>
      </c>
      <c r="T173" s="135">
        <v>36.76</v>
      </c>
      <c r="U173" s="135">
        <v>0.42899999999999999</v>
      </c>
      <c r="V173" s="135">
        <v>3.3000000000000002E-2</v>
      </c>
      <c r="W173" s="135">
        <v>0</v>
      </c>
      <c r="X173" s="135">
        <v>0</v>
      </c>
      <c r="Y173" s="135" t="s">
        <v>1995</v>
      </c>
      <c r="Z173" s="135">
        <v>7.9</v>
      </c>
      <c r="AA173" s="135">
        <v>4400</v>
      </c>
      <c r="AB173" s="135">
        <v>558.4</v>
      </c>
      <c r="AC173" s="135">
        <v>1.79</v>
      </c>
      <c r="AD173" s="135">
        <v>9.6</v>
      </c>
      <c r="AE173" s="135">
        <v>8150</v>
      </c>
      <c r="AF173" s="135">
        <v>845.3</v>
      </c>
      <c r="AG173" s="135">
        <v>1.18</v>
      </c>
      <c r="AH173" s="135">
        <v>9.9</v>
      </c>
      <c r="AI173" s="135">
        <v>5700</v>
      </c>
      <c r="AJ173" s="135">
        <v>576.1</v>
      </c>
      <c r="AK173" s="135">
        <v>1.74</v>
      </c>
      <c r="AL173" s="135">
        <v>7.9</v>
      </c>
      <c r="AM173" s="135">
        <v>6200</v>
      </c>
      <c r="AN173" s="135">
        <v>783.6</v>
      </c>
      <c r="AO173" s="135">
        <v>1.28</v>
      </c>
      <c r="AP173" s="135"/>
      <c r="AQ173" s="135"/>
      <c r="AR173" s="135"/>
      <c r="AS173" s="135"/>
      <c r="AT173" s="135"/>
      <c r="AU173" s="135"/>
      <c r="AV173" s="135"/>
      <c r="AW173" s="135"/>
      <c r="AX173" s="135">
        <v>7.9</v>
      </c>
      <c r="AY173" s="135">
        <v>17</v>
      </c>
      <c r="AZ173" s="135">
        <v>2.1</v>
      </c>
      <c r="BA173" s="135">
        <v>0.47</v>
      </c>
      <c r="BB173" s="135"/>
      <c r="BC173" s="135"/>
      <c r="BD173" s="135"/>
      <c r="BE173" s="135"/>
      <c r="BF173" s="135">
        <v>9.9</v>
      </c>
      <c r="BG173" s="135">
        <v>10700</v>
      </c>
      <c r="BH173" s="135">
        <v>1081.4000000000001</v>
      </c>
      <c r="BI173" s="135">
        <v>0.92</v>
      </c>
      <c r="BJ173" s="135">
        <v>50</v>
      </c>
      <c r="BK173" s="135">
        <v>3</v>
      </c>
      <c r="BL173" s="135">
        <v>23.5</v>
      </c>
    </row>
    <row r="174" spans="1:64" x14ac:dyDescent="0.3">
      <c r="A174" s="135">
        <v>2016</v>
      </c>
      <c r="B174" s="135">
        <v>4</v>
      </c>
      <c r="C174" s="135" t="s">
        <v>2162</v>
      </c>
      <c r="D174" s="135" t="s">
        <v>270</v>
      </c>
      <c r="E174" s="135" t="s">
        <v>396</v>
      </c>
      <c r="F174" s="135" t="s">
        <v>401</v>
      </c>
      <c r="G174" s="135" t="s">
        <v>70</v>
      </c>
      <c r="H174" s="135">
        <v>10.94</v>
      </c>
      <c r="I174" s="135">
        <v>6.1130000000000004</v>
      </c>
      <c r="J174" s="135">
        <v>10.945</v>
      </c>
      <c r="K174" s="135">
        <v>0</v>
      </c>
      <c r="L174" s="135">
        <v>0</v>
      </c>
      <c r="M174" s="135">
        <v>0</v>
      </c>
      <c r="N174" s="135">
        <v>0</v>
      </c>
      <c r="O174" s="135">
        <v>0</v>
      </c>
      <c r="P174" s="135">
        <v>0.48099999999999998</v>
      </c>
      <c r="Q174" s="135">
        <v>2.9329999999999998</v>
      </c>
      <c r="R174" s="135">
        <v>0</v>
      </c>
      <c r="S174" s="135">
        <v>4.8319999999999999</v>
      </c>
      <c r="T174" s="135">
        <v>54.654000000000003</v>
      </c>
      <c r="U174" s="135">
        <v>7.8E-2</v>
      </c>
      <c r="V174" s="135">
        <v>5.7000000000000002E-2</v>
      </c>
      <c r="W174" s="135">
        <v>0</v>
      </c>
      <c r="X174" s="135">
        <v>0</v>
      </c>
      <c r="Y174" s="135" t="s">
        <v>1995</v>
      </c>
      <c r="Z174" s="135">
        <v>8.5</v>
      </c>
      <c r="AA174" s="135">
        <v>4000</v>
      </c>
      <c r="AB174" s="135">
        <v>472.2</v>
      </c>
      <c r="AC174" s="135">
        <v>2.12</v>
      </c>
      <c r="AD174" s="135">
        <v>10.9</v>
      </c>
      <c r="AE174" s="135">
        <v>5000</v>
      </c>
      <c r="AF174" s="135">
        <v>456.8</v>
      </c>
      <c r="AG174" s="135">
        <v>2.19</v>
      </c>
      <c r="AH174" s="135">
        <v>11.3</v>
      </c>
      <c r="AI174" s="135">
        <v>3000</v>
      </c>
      <c r="AJ174" s="135">
        <v>264.39999999999998</v>
      </c>
      <c r="AK174" s="135">
        <v>3.78</v>
      </c>
      <c r="AL174" s="135">
        <v>8.5</v>
      </c>
      <c r="AM174" s="135">
        <v>5000</v>
      </c>
      <c r="AN174" s="135">
        <v>586.29999999999995</v>
      </c>
      <c r="AO174" s="135">
        <v>1.71</v>
      </c>
      <c r="AP174" s="135"/>
      <c r="AQ174" s="135"/>
      <c r="AR174" s="135"/>
      <c r="AS174" s="135"/>
      <c r="AT174" s="135"/>
      <c r="AU174" s="135"/>
      <c r="AV174" s="135"/>
      <c r="AW174" s="135"/>
      <c r="AX174" s="135">
        <v>8.5</v>
      </c>
      <c r="AY174" s="135">
        <v>10</v>
      </c>
      <c r="AZ174" s="135">
        <v>1.2</v>
      </c>
      <c r="BA174" s="135">
        <v>0.85</v>
      </c>
      <c r="BB174" s="135"/>
      <c r="BC174" s="135"/>
      <c r="BD174" s="135"/>
      <c r="BE174" s="135"/>
      <c r="BF174" s="135">
        <v>11.3</v>
      </c>
      <c r="BG174" s="135">
        <v>6000</v>
      </c>
      <c r="BH174" s="135">
        <v>528.79999999999995</v>
      </c>
      <c r="BI174" s="135">
        <v>1.89</v>
      </c>
      <c r="BJ174" s="135">
        <v>44</v>
      </c>
      <c r="BK174" s="135">
        <v>3</v>
      </c>
      <c r="BL174" s="135">
        <v>20.5</v>
      </c>
    </row>
    <row r="175" spans="1:64" x14ac:dyDescent="0.3">
      <c r="A175" s="135">
        <v>2016</v>
      </c>
      <c r="B175" s="135">
        <v>4</v>
      </c>
      <c r="C175" s="135" t="s">
        <v>2152</v>
      </c>
      <c r="D175" s="135" t="s">
        <v>292</v>
      </c>
      <c r="E175" s="135" t="s">
        <v>396</v>
      </c>
      <c r="F175" s="135" t="s">
        <v>41</v>
      </c>
      <c r="G175" s="135" t="s">
        <v>37</v>
      </c>
      <c r="H175" s="135">
        <v>18.84</v>
      </c>
      <c r="I175" s="135">
        <v>6.0949999999999998</v>
      </c>
      <c r="J175" s="135">
        <v>10.144</v>
      </c>
      <c r="K175" s="135">
        <v>0</v>
      </c>
      <c r="L175" s="135">
        <v>0</v>
      </c>
      <c r="M175" s="135">
        <v>0</v>
      </c>
      <c r="N175" s="135">
        <v>0</v>
      </c>
      <c r="O175" s="135">
        <v>0</v>
      </c>
      <c r="P175" s="135">
        <v>0</v>
      </c>
      <c r="Q175" s="135">
        <v>0</v>
      </c>
      <c r="R175" s="135">
        <v>0</v>
      </c>
      <c r="S175" s="135">
        <v>4.0490000000000004</v>
      </c>
      <c r="T175" s="135">
        <v>46.093000000000004</v>
      </c>
      <c r="U175" s="135">
        <v>0.26100000000000001</v>
      </c>
      <c r="V175" s="135">
        <v>0.04</v>
      </c>
      <c r="W175" s="135">
        <v>0</v>
      </c>
      <c r="X175" s="135">
        <v>0</v>
      </c>
      <c r="Y175" s="135" t="s">
        <v>1995</v>
      </c>
      <c r="Z175" s="135">
        <v>8.1</v>
      </c>
      <c r="AA175" s="135">
        <v>3800</v>
      </c>
      <c r="AB175" s="135">
        <v>470.3</v>
      </c>
      <c r="AC175" s="135">
        <v>2.13</v>
      </c>
      <c r="AD175" s="135">
        <v>10.1</v>
      </c>
      <c r="AE175" s="135">
        <v>5000</v>
      </c>
      <c r="AF175" s="135">
        <v>492.9</v>
      </c>
      <c r="AG175" s="135">
        <v>2.0299999999999998</v>
      </c>
      <c r="AH175" s="135">
        <v>10.5</v>
      </c>
      <c r="AI175" s="135">
        <v>3100</v>
      </c>
      <c r="AJ175" s="135">
        <v>296.3</v>
      </c>
      <c r="AK175" s="135">
        <v>3.37</v>
      </c>
      <c r="AL175" s="135">
        <v>8.1</v>
      </c>
      <c r="AM175" s="135">
        <v>4900</v>
      </c>
      <c r="AN175" s="135">
        <v>603.5</v>
      </c>
      <c r="AO175" s="135">
        <v>1.66</v>
      </c>
      <c r="AP175" s="135"/>
      <c r="AQ175" s="135"/>
      <c r="AR175" s="135"/>
      <c r="AS175" s="135"/>
      <c r="AT175" s="135"/>
      <c r="AU175" s="135"/>
      <c r="AV175" s="135"/>
      <c r="AW175" s="135"/>
      <c r="AX175" s="135">
        <v>8.1</v>
      </c>
      <c r="AY175" s="135">
        <v>10</v>
      </c>
      <c r="AZ175" s="135">
        <v>1.2</v>
      </c>
      <c r="BA175" s="135">
        <v>0.81</v>
      </c>
      <c r="BB175" s="135"/>
      <c r="BC175" s="135"/>
      <c r="BD175" s="135"/>
      <c r="BE175" s="135"/>
      <c r="BF175" s="135">
        <v>10.5</v>
      </c>
      <c r="BG175" s="135">
        <v>6000</v>
      </c>
      <c r="BH175" s="135">
        <v>573.6</v>
      </c>
      <c r="BI175" s="135">
        <v>1.74</v>
      </c>
      <c r="BJ175" s="135">
        <v>43.5</v>
      </c>
      <c r="BK175" s="135">
        <v>-4</v>
      </c>
      <c r="BL175" s="135">
        <v>23.75</v>
      </c>
    </row>
    <row r="176" spans="1:64" x14ac:dyDescent="0.3">
      <c r="A176" s="135">
        <v>2016</v>
      </c>
      <c r="B176" s="135">
        <v>4</v>
      </c>
      <c r="C176" s="135" t="s">
        <v>2171</v>
      </c>
      <c r="D176" s="135" t="s">
        <v>306</v>
      </c>
      <c r="E176" s="135" t="s">
        <v>396</v>
      </c>
      <c r="F176" s="135" t="s">
        <v>10</v>
      </c>
      <c r="G176" s="135" t="s">
        <v>1992</v>
      </c>
      <c r="H176" s="135">
        <v>19.690000000000001</v>
      </c>
      <c r="I176" s="135">
        <v>5.9889999999999999</v>
      </c>
      <c r="J176" s="135">
        <v>7.9870000000000001</v>
      </c>
      <c r="K176" s="135">
        <v>0</v>
      </c>
      <c r="L176" s="135">
        <v>0</v>
      </c>
      <c r="M176" s="135">
        <v>0</v>
      </c>
      <c r="N176" s="135">
        <v>0</v>
      </c>
      <c r="O176" s="135">
        <v>0</v>
      </c>
      <c r="P176" s="135">
        <v>0</v>
      </c>
      <c r="Q176" s="135">
        <v>0</v>
      </c>
      <c r="R176" s="135">
        <v>0</v>
      </c>
      <c r="S176" s="135">
        <v>1.998</v>
      </c>
      <c r="T176" s="135">
        <v>45.732999999999997</v>
      </c>
      <c r="U176" s="135">
        <v>0.24399999999999999</v>
      </c>
      <c r="V176" s="135">
        <v>2.4E-2</v>
      </c>
      <c r="W176" s="135">
        <v>0</v>
      </c>
      <c r="X176" s="135">
        <v>0</v>
      </c>
      <c r="Y176" s="135" t="s">
        <v>1995</v>
      </c>
      <c r="Z176" s="135">
        <v>7</v>
      </c>
      <c r="AA176" s="135">
        <v>3800</v>
      </c>
      <c r="AB176" s="135">
        <v>545.6</v>
      </c>
      <c r="AC176" s="135">
        <v>1.83</v>
      </c>
      <c r="AD176" s="135">
        <v>8</v>
      </c>
      <c r="AE176" s="135">
        <v>5000</v>
      </c>
      <c r="AF176" s="135">
        <v>626</v>
      </c>
      <c r="AG176" s="135">
        <v>1.6</v>
      </c>
      <c r="AH176" s="135">
        <v>8.3000000000000007</v>
      </c>
      <c r="AI176" s="135">
        <v>3000</v>
      </c>
      <c r="AJ176" s="135">
        <v>362.1</v>
      </c>
      <c r="AK176" s="135">
        <v>2.76</v>
      </c>
      <c r="AL176" s="135">
        <v>7</v>
      </c>
      <c r="AM176" s="135">
        <v>5300</v>
      </c>
      <c r="AN176" s="135">
        <v>758.4</v>
      </c>
      <c r="AO176" s="135">
        <v>1.32</v>
      </c>
      <c r="AP176" s="135"/>
      <c r="AQ176" s="135"/>
      <c r="AR176" s="135"/>
      <c r="AS176" s="135"/>
      <c r="AT176" s="135"/>
      <c r="AU176" s="135"/>
      <c r="AV176" s="135"/>
      <c r="AW176" s="135"/>
      <c r="AX176" s="135">
        <v>7</v>
      </c>
      <c r="AY176" s="135">
        <v>11</v>
      </c>
      <c r="AZ176" s="135">
        <v>1.6</v>
      </c>
      <c r="BA176" s="135">
        <v>0.64</v>
      </c>
      <c r="BB176" s="135"/>
      <c r="BC176" s="135"/>
      <c r="BD176" s="135"/>
      <c r="BE176" s="135"/>
      <c r="BF176" s="135">
        <v>8.3000000000000007</v>
      </c>
      <c r="BG176" s="135">
        <v>6000</v>
      </c>
      <c r="BH176" s="135">
        <v>724.1</v>
      </c>
      <c r="BI176" s="135">
        <v>1.38</v>
      </c>
      <c r="BJ176" s="135">
        <v>44</v>
      </c>
      <c r="BK176" s="135">
        <v>4.5</v>
      </c>
      <c r="BL176" s="135">
        <v>19.75</v>
      </c>
    </row>
    <row r="177" spans="1:64" x14ac:dyDescent="0.3">
      <c r="A177" s="135">
        <v>2016</v>
      </c>
      <c r="B177" s="135">
        <v>4</v>
      </c>
      <c r="C177" s="135" t="s">
        <v>2154</v>
      </c>
      <c r="D177" s="135" t="s">
        <v>256</v>
      </c>
      <c r="E177" s="135" t="s">
        <v>396</v>
      </c>
      <c r="F177" s="135" t="s">
        <v>46</v>
      </c>
      <c r="G177" s="135" t="s">
        <v>26</v>
      </c>
      <c r="H177" s="135">
        <v>31.1</v>
      </c>
      <c r="I177" s="135">
        <v>5.9260000000000002</v>
      </c>
      <c r="J177" s="135">
        <v>9.391</v>
      </c>
      <c r="K177" s="135">
        <v>0</v>
      </c>
      <c r="L177" s="135">
        <v>0</v>
      </c>
      <c r="M177" s="135">
        <v>0</v>
      </c>
      <c r="N177" s="135">
        <v>0</v>
      </c>
      <c r="O177" s="135">
        <v>0</v>
      </c>
      <c r="P177" s="135">
        <v>0</v>
      </c>
      <c r="Q177" s="135">
        <v>0</v>
      </c>
      <c r="R177" s="135">
        <v>0</v>
      </c>
      <c r="S177" s="135">
        <v>3.4649999999999999</v>
      </c>
      <c r="T177" s="135">
        <v>43.758000000000003</v>
      </c>
      <c r="U177" s="135">
        <v>0.27</v>
      </c>
      <c r="V177" s="135">
        <v>3.5000000000000003E-2</v>
      </c>
      <c r="W177" s="135">
        <v>0</v>
      </c>
      <c r="X177" s="135">
        <v>0</v>
      </c>
      <c r="Y177" s="135" t="s">
        <v>1995</v>
      </c>
      <c r="Z177" s="135">
        <v>7.6</v>
      </c>
      <c r="AA177" s="135">
        <v>4100</v>
      </c>
      <c r="AB177" s="135">
        <v>537.79999999999995</v>
      </c>
      <c r="AC177" s="135">
        <v>1.86</v>
      </c>
      <c r="AD177" s="135">
        <v>9.4</v>
      </c>
      <c r="AE177" s="135">
        <v>6000</v>
      </c>
      <c r="AF177" s="135">
        <v>638.9</v>
      </c>
      <c r="AG177" s="135">
        <v>1.57</v>
      </c>
      <c r="AH177" s="135">
        <v>9.6999999999999993</v>
      </c>
      <c r="AI177" s="135">
        <v>3500</v>
      </c>
      <c r="AJ177" s="135">
        <v>361.3</v>
      </c>
      <c r="AK177" s="135">
        <v>2.77</v>
      </c>
      <c r="AL177" s="135">
        <v>7.7</v>
      </c>
      <c r="AM177" s="135">
        <v>5500</v>
      </c>
      <c r="AN177" s="135">
        <v>718.2</v>
      </c>
      <c r="AO177" s="135">
        <v>1.39</v>
      </c>
      <c r="AP177" s="135"/>
      <c r="AQ177" s="135"/>
      <c r="AR177" s="135"/>
      <c r="AS177" s="135"/>
      <c r="AT177" s="135"/>
      <c r="AU177" s="135"/>
      <c r="AV177" s="135"/>
      <c r="AW177" s="135"/>
      <c r="AX177" s="135">
        <v>7.7</v>
      </c>
      <c r="AY177" s="135">
        <v>17</v>
      </c>
      <c r="AZ177" s="135">
        <v>2.2000000000000002</v>
      </c>
      <c r="BA177" s="135">
        <v>0.45</v>
      </c>
      <c r="BB177" s="135"/>
      <c r="BC177" s="135"/>
      <c r="BD177" s="135"/>
      <c r="BE177" s="135"/>
      <c r="BF177" s="135">
        <v>9.6999999999999993</v>
      </c>
      <c r="BG177" s="135">
        <v>7000</v>
      </c>
      <c r="BH177" s="135">
        <v>722.5</v>
      </c>
      <c r="BI177" s="135">
        <v>1.38</v>
      </c>
      <c r="BJ177" s="135">
        <v>46.5</v>
      </c>
      <c r="BK177" s="135">
        <v>3</v>
      </c>
      <c r="BL177" s="135">
        <v>21.75</v>
      </c>
    </row>
    <row r="178" spans="1:64" x14ac:dyDescent="0.3">
      <c r="A178" s="135">
        <v>2016</v>
      </c>
      <c r="B178" s="135">
        <v>4</v>
      </c>
      <c r="C178" s="135" t="s">
        <v>2139</v>
      </c>
      <c r="D178" s="135" t="s">
        <v>258</v>
      </c>
      <c r="E178" s="135" t="s">
        <v>396</v>
      </c>
      <c r="F178" s="135" t="s">
        <v>57</v>
      </c>
      <c r="G178" s="135" t="s">
        <v>1999</v>
      </c>
      <c r="H178" s="135">
        <v>25.34</v>
      </c>
      <c r="I178" s="135">
        <v>5.89</v>
      </c>
      <c r="J178" s="135">
        <v>8.2569999999999997</v>
      </c>
      <c r="K178" s="135">
        <v>0</v>
      </c>
      <c r="L178" s="135">
        <v>0</v>
      </c>
      <c r="M178" s="135">
        <v>0</v>
      </c>
      <c r="N178" s="135">
        <v>0</v>
      </c>
      <c r="O178" s="135">
        <v>0</v>
      </c>
      <c r="P178" s="135">
        <v>0</v>
      </c>
      <c r="Q178" s="135">
        <v>0</v>
      </c>
      <c r="R178" s="135">
        <v>0</v>
      </c>
      <c r="S178" s="135">
        <v>2.367</v>
      </c>
      <c r="T178" s="135">
        <v>40.22</v>
      </c>
      <c r="U178" s="135">
        <v>0.32</v>
      </c>
      <c r="V178" s="135">
        <v>2.5999999999999999E-2</v>
      </c>
      <c r="W178" s="135">
        <v>0</v>
      </c>
      <c r="X178" s="135">
        <v>0</v>
      </c>
      <c r="Y178" s="135" t="s">
        <v>1995</v>
      </c>
      <c r="Z178" s="135">
        <v>7</v>
      </c>
      <c r="AA178" s="135">
        <v>3800</v>
      </c>
      <c r="AB178" s="135">
        <v>539.20000000000005</v>
      </c>
      <c r="AC178" s="135">
        <v>1.85</v>
      </c>
      <c r="AD178" s="135">
        <v>8.3000000000000007</v>
      </c>
      <c r="AE178" s="135">
        <v>5100</v>
      </c>
      <c r="AF178" s="135">
        <v>617.70000000000005</v>
      </c>
      <c r="AG178" s="135">
        <v>1.62</v>
      </c>
      <c r="AH178" s="135">
        <v>8.5</v>
      </c>
      <c r="AI178" s="135">
        <v>3500</v>
      </c>
      <c r="AJ178" s="135">
        <v>410.6</v>
      </c>
      <c r="AK178" s="135">
        <v>2.44</v>
      </c>
      <c r="AL178" s="135">
        <v>7.1</v>
      </c>
      <c r="AM178" s="135">
        <v>5100</v>
      </c>
      <c r="AN178" s="135">
        <v>721</v>
      </c>
      <c r="AO178" s="135">
        <v>1.39</v>
      </c>
      <c r="AP178" s="135"/>
      <c r="AQ178" s="135"/>
      <c r="AR178" s="135"/>
      <c r="AS178" s="135"/>
      <c r="AT178" s="135"/>
      <c r="AU178" s="135"/>
      <c r="AV178" s="135"/>
      <c r="AW178" s="135"/>
      <c r="AX178" s="135">
        <v>7.1</v>
      </c>
      <c r="AY178" s="135">
        <v>11</v>
      </c>
      <c r="AZ178" s="135">
        <v>1.6</v>
      </c>
      <c r="BA178" s="135">
        <v>0.64</v>
      </c>
      <c r="BB178" s="135"/>
      <c r="BC178" s="135"/>
      <c r="BD178" s="135"/>
      <c r="BE178" s="135"/>
      <c r="BF178" s="135">
        <v>8.5</v>
      </c>
      <c r="BG178" s="135">
        <v>7000</v>
      </c>
      <c r="BH178" s="135">
        <v>821.2</v>
      </c>
      <c r="BI178" s="135">
        <v>1.22</v>
      </c>
      <c r="BJ178" s="135">
        <v>44.5</v>
      </c>
      <c r="BK178" s="135">
        <v>7</v>
      </c>
      <c r="BL178" s="135">
        <v>18.75</v>
      </c>
    </row>
    <row r="179" spans="1:64" x14ac:dyDescent="0.3">
      <c r="A179" s="135">
        <v>2016</v>
      </c>
      <c r="B179" s="135">
        <v>4</v>
      </c>
      <c r="C179" s="135" t="s">
        <v>2150</v>
      </c>
      <c r="D179" s="135" t="s">
        <v>294</v>
      </c>
      <c r="E179" s="135" t="s">
        <v>396</v>
      </c>
      <c r="F179" s="135" t="s">
        <v>398</v>
      </c>
      <c r="G179" s="135" t="s">
        <v>52</v>
      </c>
      <c r="H179" s="135">
        <v>17.72</v>
      </c>
      <c r="I179" s="135">
        <v>5.6719999999999997</v>
      </c>
      <c r="J179" s="135">
        <v>10.129</v>
      </c>
      <c r="K179" s="135">
        <v>0</v>
      </c>
      <c r="L179" s="135">
        <v>0</v>
      </c>
      <c r="M179" s="135">
        <v>0</v>
      </c>
      <c r="N179" s="135">
        <v>0</v>
      </c>
      <c r="O179" s="135">
        <v>0</v>
      </c>
      <c r="P179" s="135">
        <v>0</v>
      </c>
      <c r="Q179" s="135">
        <v>0</v>
      </c>
      <c r="R179" s="135">
        <v>0</v>
      </c>
      <c r="S179" s="135">
        <v>4.4569999999999999</v>
      </c>
      <c r="T179" s="135">
        <v>45.341999999999999</v>
      </c>
      <c r="U179" s="135">
        <v>0.20499999999999999</v>
      </c>
      <c r="V179" s="135">
        <v>4.5999999999999999E-2</v>
      </c>
      <c r="W179" s="135">
        <v>0</v>
      </c>
      <c r="X179" s="135">
        <v>0</v>
      </c>
      <c r="Y179" s="135" t="s">
        <v>1995</v>
      </c>
      <c r="Z179" s="135">
        <v>7.9</v>
      </c>
      <c r="AA179" s="135">
        <v>3700</v>
      </c>
      <c r="AB179" s="135">
        <v>471.1</v>
      </c>
      <c r="AC179" s="135">
        <v>2.12</v>
      </c>
      <c r="AD179" s="135">
        <v>10.1</v>
      </c>
      <c r="AE179" s="135">
        <v>5000</v>
      </c>
      <c r="AF179" s="135">
        <v>493.6</v>
      </c>
      <c r="AG179" s="135">
        <v>2.0299999999999998</v>
      </c>
      <c r="AH179" s="135">
        <v>10.4</v>
      </c>
      <c r="AI179" s="135">
        <v>3400</v>
      </c>
      <c r="AJ179" s="135">
        <v>325.39999999999998</v>
      </c>
      <c r="AK179" s="135">
        <v>3.07</v>
      </c>
      <c r="AL179" s="135">
        <v>7.9</v>
      </c>
      <c r="AM179" s="135">
        <v>5200</v>
      </c>
      <c r="AN179" s="135">
        <v>658.2</v>
      </c>
      <c r="AO179" s="135">
        <v>1.52</v>
      </c>
      <c r="AP179" s="135"/>
      <c r="AQ179" s="135"/>
      <c r="AR179" s="135"/>
      <c r="AS179" s="135"/>
      <c r="AT179" s="135"/>
      <c r="AU179" s="135"/>
      <c r="AV179" s="135"/>
      <c r="AW179" s="135"/>
      <c r="AX179" s="135">
        <v>7.9</v>
      </c>
      <c r="AY179" s="135">
        <v>11</v>
      </c>
      <c r="AZ179" s="135">
        <v>1.4</v>
      </c>
      <c r="BA179" s="135">
        <v>0.72</v>
      </c>
      <c r="BB179" s="135"/>
      <c r="BC179" s="135"/>
      <c r="BD179" s="135"/>
      <c r="BE179" s="135"/>
      <c r="BF179" s="135">
        <v>10.4</v>
      </c>
      <c r="BG179" s="135">
        <v>6700</v>
      </c>
      <c r="BH179" s="135">
        <v>641.29999999999995</v>
      </c>
      <c r="BI179" s="135">
        <v>1.56</v>
      </c>
      <c r="BJ179" s="135">
        <v>46</v>
      </c>
      <c r="BK179" s="135">
        <v>3</v>
      </c>
      <c r="BL179" s="135">
        <v>21.5</v>
      </c>
    </row>
    <row r="180" spans="1:64" x14ac:dyDescent="0.3">
      <c r="A180" s="135">
        <v>2016</v>
      </c>
      <c r="B180" s="135">
        <v>4</v>
      </c>
      <c r="C180" s="135" t="s">
        <v>2155</v>
      </c>
      <c r="D180" s="135" t="s">
        <v>410</v>
      </c>
      <c r="E180" s="135" t="s">
        <v>396</v>
      </c>
      <c r="F180" s="135" t="s">
        <v>26</v>
      </c>
      <c r="G180" s="135" t="s">
        <v>2298</v>
      </c>
      <c r="H180" s="135">
        <v>26.02</v>
      </c>
      <c r="I180" s="135">
        <v>5.3360000000000003</v>
      </c>
      <c r="J180" s="135">
        <v>8.6370000000000005</v>
      </c>
      <c r="K180" s="135">
        <v>0</v>
      </c>
      <c r="L180" s="135">
        <v>0</v>
      </c>
      <c r="M180" s="135">
        <v>0</v>
      </c>
      <c r="N180" s="135">
        <v>0</v>
      </c>
      <c r="O180" s="135">
        <v>0</v>
      </c>
      <c r="P180" s="135">
        <v>0</v>
      </c>
      <c r="Q180" s="135">
        <v>0</v>
      </c>
      <c r="R180" s="135">
        <v>0</v>
      </c>
      <c r="S180" s="135">
        <v>3.3010000000000002</v>
      </c>
      <c r="T180" s="135">
        <v>36.499000000000002</v>
      </c>
      <c r="U180" s="135">
        <v>0.28799999999999998</v>
      </c>
      <c r="V180" s="135">
        <v>2.1000000000000001E-2</v>
      </c>
      <c r="W180" s="135">
        <v>0</v>
      </c>
      <c r="X180" s="135">
        <v>0</v>
      </c>
      <c r="Y180" s="135" t="s">
        <v>1995</v>
      </c>
      <c r="Z180" s="135">
        <v>7</v>
      </c>
      <c r="AA180" s="135">
        <v>4100</v>
      </c>
      <c r="AB180" s="135">
        <v>588.6</v>
      </c>
      <c r="AC180" s="135">
        <v>1.7</v>
      </c>
      <c r="AD180" s="135">
        <v>8.6</v>
      </c>
      <c r="AE180" s="135">
        <v>6500</v>
      </c>
      <c r="AF180" s="135">
        <v>752.6</v>
      </c>
      <c r="AG180" s="135">
        <v>1.33</v>
      </c>
      <c r="AH180" s="135">
        <v>8.9</v>
      </c>
      <c r="AI180" s="135">
        <v>4200</v>
      </c>
      <c r="AJ180" s="135">
        <v>473.1</v>
      </c>
      <c r="AK180" s="135">
        <v>2.11</v>
      </c>
      <c r="AL180" s="135">
        <v>7</v>
      </c>
      <c r="AM180" s="135">
        <v>6500</v>
      </c>
      <c r="AN180" s="135">
        <v>930.4</v>
      </c>
      <c r="AO180" s="135">
        <v>1.07</v>
      </c>
      <c r="AP180" s="135"/>
      <c r="AQ180" s="135"/>
      <c r="AR180" s="135"/>
      <c r="AS180" s="135"/>
      <c r="AT180" s="135"/>
      <c r="AU180" s="135"/>
      <c r="AV180" s="135"/>
      <c r="AW180" s="135"/>
      <c r="AX180" s="135">
        <v>7</v>
      </c>
      <c r="AY180" s="135">
        <v>16</v>
      </c>
      <c r="AZ180" s="135">
        <v>2.2999999999999998</v>
      </c>
      <c r="BA180" s="135">
        <v>0.44</v>
      </c>
      <c r="BB180" s="135"/>
      <c r="BC180" s="135"/>
      <c r="BD180" s="135"/>
      <c r="BE180" s="135"/>
      <c r="BF180" s="135">
        <v>8.9</v>
      </c>
      <c r="BG180" s="135">
        <v>8300</v>
      </c>
      <c r="BH180" s="135">
        <v>935</v>
      </c>
      <c r="BI180" s="135">
        <v>1.07</v>
      </c>
      <c r="BJ180" s="135">
        <v>46.5</v>
      </c>
      <c r="BK180" s="135">
        <v>-3</v>
      </c>
      <c r="BL180" s="135">
        <v>24.75</v>
      </c>
    </row>
    <row r="181" spans="1:64" x14ac:dyDescent="0.3">
      <c r="A181" s="135">
        <v>2016</v>
      </c>
      <c r="B181" s="135">
        <v>4</v>
      </c>
      <c r="C181" s="135" t="s">
        <v>2149</v>
      </c>
      <c r="D181" s="135" t="s">
        <v>265</v>
      </c>
      <c r="E181" s="135" t="s">
        <v>396</v>
      </c>
      <c r="F181" s="135" t="s">
        <v>398</v>
      </c>
      <c r="G181" s="135" t="s">
        <v>52</v>
      </c>
      <c r="H181" s="135">
        <v>17.72</v>
      </c>
      <c r="I181" s="135">
        <v>5.2839999999999998</v>
      </c>
      <c r="J181" s="135">
        <v>8.6519999999999992</v>
      </c>
      <c r="K181" s="135">
        <v>0</v>
      </c>
      <c r="L181" s="135">
        <v>0</v>
      </c>
      <c r="M181" s="135">
        <v>0</v>
      </c>
      <c r="N181" s="135">
        <v>0</v>
      </c>
      <c r="O181" s="135">
        <v>0</v>
      </c>
      <c r="P181" s="135">
        <v>0</v>
      </c>
      <c r="Q181" s="135">
        <v>0</v>
      </c>
      <c r="R181" s="135">
        <v>0</v>
      </c>
      <c r="S181" s="135">
        <v>3.3679999999999999</v>
      </c>
      <c r="T181" s="135">
        <v>37.097999999999999</v>
      </c>
      <c r="U181" s="135">
        <v>0.27400000000000002</v>
      </c>
      <c r="V181" s="135">
        <v>3.5000000000000003E-2</v>
      </c>
      <c r="W181" s="135">
        <v>0</v>
      </c>
      <c r="X181" s="135">
        <v>0</v>
      </c>
      <c r="Y181" s="135" t="s">
        <v>1995</v>
      </c>
      <c r="Z181" s="135">
        <v>6.9</v>
      </c>
      <c r="AA181" s="135">
        <v>3000</v>
      </c>
      <c r="AB181" s="135">
        <v>432.7</v>
      </c>
      <c r="AC181" s="135">
        <v>2.31</v>
      </c>
      <c r="AD181" s="135">
        <v>8.6999999999999993</v>
      </c>
      <c r="AE181" s="135">
        <v>5250</v>
      </c>
      <c r="AF181" s="135">
        <v>606.79999999999995</v>
      </c>
      <c r="AG181" s="135">
        <v>1.65</v>
      </c>
      <c r="AH181" s="135">
        <v>8.9</v>
      </c>
      <c r="AI181" s="135">
        <v>3000</v>
      </c>
      <c r="AJ181" s="135">
        <v>336.7</v>
      </c>
      <c r="AK181" s="135">
        <v>2.97</v>
      </c>
      <c r="AL181" s="135">
        <v>7</v>
      </c>
      <c r="AM181" s="135">
        <v>4800</v>
      </c>
      <c r="AN181" s="135">
        <v>688.9</v>
      </c>
      <c r="AO181" s="135">
        <v>1.45</v>
      </c>
      <c r="AP181" s="135"/>
      <c r="AQ181" s="135"/>
      <c r="AR181" s="135"/>
      <c r="AS181" s="135"/>
      <c r="AT181" s="135"/>
      <c r="AU181" s="135"/>
      <c r="AV181" s="135"/>
      <c r="AW181" s="135"/>
      <c r="AX181" s="135">
        <v>7</v>
      </c>
      <c r="AY181" s="135">
        <v>11</v>
      </c>
      <c r="AZ181" s="135">
        <v>1.6</v>
      </c>
      <c r="BA181" s="135">
        <v>0.63</v>
      </c>
      <c r="BB181" s="135"/>
      <c r="BC181" s="135"/>
      <c r="BD181" s="135"/>
      <c r="BE181" s="135"/>
      <c r="BF181" s="135">
        <v>8.9</v>
      </c>
      <c r="BG181" s="135">
        <v>6000</v>
      </c>
      <c r="BH181" s="135">
        <v>673.4</v>
      </c>
      <c r="BI181" s="135">
        <v>1.48</v>
      </c>
      <c r="BJ181" s="135">
        <v>46</v>
      </c>
      <c r="BK181" s="135">
        <v>3</v>
      </c>
      <c r="BL181" s="135">
        <v>21.5</v>
      </c>
    </row>
    <row r="182" spans="1:64" x14ac:dyDescent="0.3">
      <c r="A182" s="135">
        <v>2016</v>
      </c>
      <c r="B182" s="135">
        <v>4</v>
      </c>
      <c r="C182" s="135" t="s">
        <v>2164</v>
      </c>
      <c r="D182" s="135" t="s">
        <v>220</v>
      </c>
      <c r="E182" s="135" t="s">
        <v>396</v>
      </c>
      <c r="F182" s="135" t="s">
        <v>18</v>
      </c>
      <c r="G182" s="135" t="s">
        <v>14</v>
      </c>
      <c r="H182" s="135">
        <v>36.85</v>
      </c>
      <c r="I182" s="135">
        <v>5.2110000000000003</v>
      </c>
      <c r="J182" s="135">
        <v>9.2210000000000001</v>
      </c>
      <c r="K182" s="135">
        <v>0</v>
      </c>
      <c r="L182" s="135">
        <v>0</v>
      </c>
      <c r="M182" s="135">
        <v>0</v>
      </c>
      <c r="N182" s="135">
        <v>0</v>
      </c>
      <c r="O182" s="135">
        <v>0</v>
      </c>
      <c r="P182" s="135">
        <v>0</v>
      </c>
      <c r="Q182" s="135">
        <v>0</v>
      </c>
      <c r="R182" s="135">
        <v>0</v>
      </c>
      <c r="S182" s="135">
        <v>4.01</v>
      </c>
      <c r="T182" s="135">
        <v>43.368000000000002</v>
      </c>
      <c r="U182" s="135">
        <v>0.156</v>
      </c>
      <c r="V182" s="135">
        <v>3.1E-2</v>
      </c>
      <c r="W182" s="135">
        <v>0</v>
      </c>
      <c r="X182" s="135">
        <v>0</v>
      </c>
      <c r="Y182" s="135" t="s">
        <v>1995</v>
      </c>
      <c r="Z182" s="135">
        <v>7.2</v>
      </c>
      <c r="AA182" s="135">
        <v>4250</v>
      </c>
      <c r="AB182" s="135">
        <v>591.5</v>
      </c>
      <c r="AC182" s="135">
        <v>1.69</v>
      </c>
      <c r="AD182" s="135">
        <v>9.1999999999999993</v>
      </c>
      <c r="AE182" s="135">
        <v>8850</v>
      </c>
      <c r="AF182" s="135">
        <v>959.8</v>
      </c>
      <c r="AG182" s="135">
        <v>1.04</v>
      </c>
      <c r="AH182" s="135">
        <v>9.5</v>
      </c>
      <c r="AI182" s="135">
        <v>4000</v>
      </c>
      <c r="AJ182" s="135">
        <v>420.5</v>
      </c>
      <c r="AK182" s="135">
        <v>2.38</v>
      </c>
      <c r="AL182" s="135">
        <v>7.2</v>
      </c>
      <c r="AM182" s="135">
        <v>6000</v>
      </c>
      <c r="AN182" s="135">
        <v>831.5</v>
      </c>
      <c r="AO182" s="135">
        <v>1.2</v>
      </c>
      <c r="AP182" s="135"/>
      <c r="AQ182" s="135"/>
      <c r="AR182" s="135"/>
      <c r="AS182" s="135"/>
      <c r="AT182" s="135"/>
      <c r="AU182" s="135"/>
      <c r="AV182" s="135"/>
      <c r="AW182" s="135"/>
      <c r="AX182" s="135">
        <v>7.2</v>
      </c>
      <c r="AY182" s="135">
        <v>14</v>
      </c>
      <c r="AZ182" s="135">
        <v>1.9</v>
      </c>
      <c r="BA182" s="135">
        <v>0.52</v>
      </c>
      <c r="BB182" s="135"/>
      <c r="BC182" s="135"/>
      <c r="BD182" s="135"/>
      <c r="BE182" s="135"/>
      <c r="BF182" s="135">
        <v>9.5</v>
      </c>
      <c r="BG182" s="135">
        <v>7800</v>
      </c>
      <c r="BH182" s="135">
        <v>820</v>
      </c>
      <c r="BI182" s="135">
        <v>1.22</v>
      </c>
      <c r="BJ182" s="135">
        <v>45.5</v>
      </c>
      <c r="BK182" s="135">
        <v>-8</v>
      </c>
      <c r="BL182" s="135">
        <v>26.75</v>
      </c>
    </row>
    <row r="183" spans="1:64" x14ac:dyDescent="0.3">
      <c r="A183" s="135">
        <v>2016</v>
      </c>
      <c r="B183" s="135">
        <v>4</v>
      </c>
      <c r="C183" s="135" t="s">
        <v>2160</v>
      </c>
      <c r="D183" s="135" t="s">
        <v>474</v>
      </c>
      <c r="E183" s="135" t="s">
        <v>396</v>
      </c>
      <c r="F183" s="135" t="s">
        <v>10</v>
      </c>
      <c r="G183" s="135" t="s">
        <v>1992</v>
      </c>
      <c r="H183" s="135">
        <v>19.690000000000001</v>
      </c>
      <c r="I183" s="135">
        <v>5.1289999999999996</v>
      </c>
      <c r="J183" s="135">
        <v>7.6260000000000003</v>
      </c>
      <c r="K183" s="135">
        <v>0</v>
      </c>
      <c r="L183" s="135">
        <v>0</v>
      </c>
      <c r="M183" s="135">
        <v>0</v>
      </c>
      <c r="N183" s="135">
        <v>0</v>
      </c>
      <c r="O183" s="135">
        <v>0</v>
      </c>
      <c r="P183" s="135">
        <v>0</v>
      </c>
      <c r="Q183" s="135">
        <v>0</v>
      </c>
      <c r="R183" s="135">
        <v>0</v>
      </c>
      <c r="S183" s="135">
        <v>2.4969999999999999</v>
      </c>
      <c r="T183" s="135">
        <v>39.350999999999999</v>
      </c>
      <c r="U183" s="135">
        <v>0.20899999999999999</v>
      </c>
      <c r="V183" s="135">
        <v>0.03</v>
      </c>
      <c r="W183" s="135">
        <v>0</v>
      </c>
      <c r="X183" s="135">
        <v>0</v>
      </c>
      <c r="Y183" s="135" t="s">
        <v>1995</v>
      </c>
      <c r="Z183" s="135">
        <v>6.3</v>
      </c>
      <c r="AA183" s="135">
        <v>3500</v>
      </c>
      <c r="AB183" s="135">
        <v>551.4</v>
      </c>
      <c r="AC183" s="135">
        <v>1.81</v>
      </c>
      <c r="AD183" s="135">
        <v>7.6</v>
      </c>
      <c r="AE183" s="135">
        <v>5000</v>
      </c>
      <c r="AF183" s="135">
        <v>655.6</v>
      </c>
      <c r="AG183" s="135">
        <v>1.53</v>
      </c>
      <c r="AH183" s="135">
        <v>7.9</v>
      </c>
      <c r="AI183" s="135">
        <v>3000</v>
      </c>
      <c r="AJ183" s="135">
        <v>380.1</v>
      </c>
      <c r="AK183" s="135">
        <v>2.63</v>
      </c>
      <c r="AL183" s="135">
        <v>6.4</v>
      </c>
      <c r="AM183" s="135">
        <v>4500</v>
      </c>
      <c r="AN183" s="135">
        <v>705.6</v>
      </c>
      <c r="AO183" s="135">
        <v>1.42</v>
      </c>
      <c r="AP183" s="135"/>
      <c r="AQ183" s="135"/>
      <c r="AR183" s="135"/>
      <c r="AS183" s="135"/>
      <c r="AT183" s="135"/>
      <c r="AU183" s="135"/>
      <c r="AV183" s="135"/>
      <c r="AW183" s="135"/>
      <c r="AX183" s="135">
        <v>6.4</v>
      </c>
      <c r="AY183" s="135">
        <v>10</v>
      </c>
      <c r="AZ183" s="135">
        <v>1.6</v>
      </c>
      <c r="BA183" s="135">
        <v>0.64</v>
      </c>
      <c r="BB183" s="135"/>
      <c r="BC183" s="135"/>
      <c r="BD183" s="135"/>
      <c r="BE183" s="135"/>
      <c r="BF183" s="135">
        <v>7.9</v>
      </c>
      <c r="BG183" s="135">
        <v>6000</v>
      </c>
      <c r="BH183" s="135">
        <v>760.2</v>
      </c>
      <c r="BI183" s="135">
        <v>1.32</v>
      </c>
      <c r="BJ183" s="135">
        <v>44</v>
      </c>
      <c r="BK183" s="135">
        <v>4.5</v>
      </c>
      <c r="BL183" s="135">
        <v>19.75</v>
      </c>
    </row>
    <row r="184" spans="1:64" x14ac:dyDescent="0.3">
      <c r="A184" s="135">
        <v>2016</v>
      </c>
      <c r="B184" s="135">
        <v>4</v>
      </c>
      <c r="C184" s="135" t="s">
        <v>2142</v>
      </c>
      <c r="D184" s="135" t="s">
        <v>233</v>
      </c>
      <c r="E184" s="135" t="s">
        <v>396</v>
      </c>
      <c r="F184" s="135" t="s">
        <v>401</v>
      </c>
      <c r="G184" s="135" t="s">
        <v>70</v>
      </c>
      <c r="H184" s="135">
        <v>10.94</v>
      </c>
      <c r="I184" s="135">
        <v>5.0439999999999996</v>
      </c>
      <c r="J184" s="135">
        <v>7.46</v>
      </c>
      <c r="K184" s="135">
        <v>0</v>
      </c>
      <c r="L184" s="135">
        <v>0</v>
      </c>
      <c r="M184" s="135">
        <v>0</v>
      </c>
      <c r="N184" s="135">
        <v>0</v>
      </c>
      <c r="O184" s="135">
        <v>0</v>
      </c>
      <c r="P184" s="135">
        <v>0</v>
      </c>
      <c r="Q184" s="135">
        <v>0</v>
      </c>
      <c r="R184" s="135">
        <v>0</v>
      </c>
      <c r="S184" s="135">
        <v>2.4159999999999999</v>
      </c>
      <c r="T184" s="135">
        <v>36.86</v>
      </c>
      <c r="U184" s="135">
        <v>0.23499999999999999</v>
      </c>
      <c r="V184" s="135">
        <v>2.5999999999999999E-2</v>
      </c>
      <c r="W184" s="135">
        <v>0</v>
      </c>
      <c r="X184" s="135">
        <v>0</v>
      </c>
      <c r="Y184" s="135" t="s">
        <v>1995</v>
      </c>
      <c r="Z184" s="135">
        <v>6.2</v>
      </c>
      <c r="AA184" s="135">
        <v>4000</v>
      </c>
      <c r="AB184" s="135">
        <v>642.5</v>
      </c>
      <c r="AC184" s="135">
        <v>1.56</v>
      </c>
      <c r="AD184" s="135">
        <v>7.5</v>
      </c>
      <c r="AE184" s="135">
        <v>7000</v>
      </c>
      <c r="AF184" s="135">
        <v>938.3</v>
      </c>
      <c r="AG184" s="135">
        <v>1.07</v>
      </c>
      <c r="AH184" s="135">
        <v>7.7</v>
      </c>
      <c r="AI184" s="135">
        <v>3400</v>
      </c>
      <c r="AJ184" s="135">
        <v>441.1</v>
      </c>
      <c r="AK184" s="135">
        <v>2.27</v>
      </c>
      <c r="AL184" s="135">
        <v>6.3</v>
      </c>
      <c r="AM184" s="135">
        <v>5100</v>
      </c>
      <c r="AN184" s="135">
        <v>815.7</v>
      </c>
      <c r="AO184" s="135">
        <v>1.23</v>
      </c>
      <c r="AP184" s="135"/>
      <c r="AQ184" s="135"/>
      <c r="AR184" s="135"/>
      <c r="AS184" s="135"/>
      <c r="AT184" s="135"/>
      <c r="AU184" s="135"/>
      <c r="AV184" s="135"/>
      <c r="AW184" s="135"/>
      <c r="AX184" s="135">
        <v>6.3</v>
      </c>
      <c r="AY184" s="135">
        <v>11</v>
      </c>
      <c r="AZ184" s="135">
        <v>1.8</v>
      </c>
      <c r="BA184" s="135">
        <v>0.56999999999999995</v>
      </c>
      <c r="BB184" s="135"/>
      <c r="BC184" s="135"/>
      <c r="BD184" s="135"/>
      <c r="BE184" s="135"/>
      <c r="BF184" s="135">
        <v>7.7</v>
      </c>
      <c r="BG184" s="135">
        <v>6700</v>
      </c>
      <c r="BH184" s="135">
        <v>869.3</v>
      </c>
      <c r="BI184" s="135">
        <v>1.1499999999999999</v>
      </c>
      <c r="BJ184" s="135">
        <v>44</v>
      </c>
      <c r="BK184" s="135">
        <v>3</v>
      </c>
      <c r="BL184" s="135">
        <v>20.5</v>
      </c>
    </row>
    <row r="185" spans="1:64" x14ac:dyDescent="0.3">
      <c r="A185" s="135">
        <v>2016</v>
      </c>
      <c r="B185" s="135">
        <v>4</v>
      </c>
      <c r="C185" s="135" t="s">
        <v>2147</v>
      </c>
      <c r="D185" s="135" t="s">
        <v>225</v>
      </c>
      <c r="E185" s="135" t="s">
        <v>396</v>
      </c>
      <c r="F185" s="135" t="s">
        <v>7</v>
      </c>
      <c r="G185" s="135" t="s">
        <v>2305</v>
      </c>
      <c r="H185" s="135">
        <v>36.82</v>
      </c>
      <c r="I185" s="135">
        <v>4.9960000000000004</v>
      </c>
      <c r="J185" s="135">
        <v>8.7040000000000006</v>
      </c>
      <c r="K185" s="135">
        <v>0</v>
      </c>
      <c r="L185" s="135">
        <v>0</v>
      </c>
      <c r="M185" s="135">
        <v>0</v>
      </c>
      <c r="N185" s="135">
        <v>0</v>
      </c>
      <c r="O185" s="135">
        <v>0</v>
      </c>
      <c r="P185" s="135">
        <v>0</v>
      </c>
      <c r="Q185" s="135">
        <v>0</v>
      </c>
      <c r="R185" s="135">
        <v>0</v>
      </c>
      <c r="S185" s="135">
        <v>3.7080000000000002</v>
      </c>
      <c r="T185" s="135">
        <v>43.856000000000002</v>
      </c>
      <c r="U185" s="135">
        <v>0.115</v>
      </c>
      <c r="V185" s="135">
        <v>0.04</v>
      </c>
      <c r="W185" s="135">
        <v>0</v>
      </c>
      <c r="X185" s="135">
        <v>0</v>
      </c>
      <c r="Y185" s="135" t="s">
        <v>1995</v>
      </c>
      <c r="Z185" s="135">
        <v>6.8</v>
      </c>
      <c r="AA185" s="135">
        <v>3900</v>
      </c>
      <c r="AB185" s="135">
        <v>572.70000000000005</v>
      </c>
      <c r="AC185" s="135">
        <v>1.75</v>
      </c>
      <c r="AD185" s="135">
        <v>8.6999999999999993</v>
      </c>
      <c r="AE185" s="135">
        <v>6200</v>
      </c>
      <c r="AF185" s="135">
        <v>712.3</v>
      </c>
      <c r="AG185" s="135">
        <v>1.4</v>
      </c>
      <c r="AH185" s="135">
        <v>9</v>
      </c>
      <c r="AI185" s="135">
        <v>3200</v>
      </c>
      <c r="AJ185" s="135">
        <v>355.3</v>
      </c>
      <c r="AK185" s="135">
        <v>2.81</v>
      </c>
      <c r="AL185" s="135">
        <v>6.8</v>
      </c>
      <c r="AM185" s="135">
        <v>4900</v>
      </c>
      <c r="AN185" s="135">
        <v>715.4</v>
      </c>
      <c r="AO185" s="135">
        <v>1.4</v>
      </c>
      <c r="AP185" s="135"/>
      <c r="AQ185" s="135"/>
      <c r="AR185" s="135"/>
      <c r="AS185" s="135"/>
      <c r="AT185" s="135"/>
      <c r="AU185" s="135"/>
      <c r="AV185" s="135"/>
      <c r="AW185" s="135"/>
      <c r="AX185" s="135">
        <v>6.8</v>
      </c>
      <c r="AY185" s="135">
        <v>11</v>
      </c>
      <c r="AZ185" s="135">
        <v>1.6</v>
      </c>
      <c r="BA185" s="135">
        <v>0.62</v>
      </c>
      <c r="BB185" s="135"/>
      <c r="BC185" s="135"/>
      <c r="BD185" s="135"/>
      <c r="BE185" s="135"/>
      <c r="BF185" s="135">
        <v>9</v>
      </c>
      <c r="BG185" s="135">
        <v>6300</v>
      </c>
      <c r="BH185" s="135">
        <v>699.5</v>
      </c>
      <c r="BI185" s="135">
        <v>1.43</v>
      </c>
      <c r="BJ185" s="135">
        <v>40.5</v>
      </c>
      <c r="BK185" s="135">
        <v>-1.5</v>
      </c>
      <c r="BL185" s="135">
        <v>21</v>
      </c>
    </row>
    <row r="186" spans="1:64" x14ac:dyDescent="0.3">
      <c r="A186" s="135">
        <v>2016</v>
      </c>
      <c r="B186" s="135">
        <v>4</v>
      </c>
      <c r="C186" s="135" t="s">
        <v>2159</v>
      </c>
      <c r="D186" s="135" t="s">
        <v>231</v>
      </c>
      <c r="E186" s="135" t="s">
        <v>396</v>
      </c>
      <c r="F186" s="135" t="s">
        <v>10</v>
      </c>
      <c r="G186" s="135" t="s">
        <v>1992</v>
      </c>
      <c r="H186" s="135">
        <v>19.690000000000001</v>
      </c>
      <c r="I186" s="135">
        <v>4.9340000000000002</v>
      </c>
      <c r="J186" s="135">
        <v>9.5289999999999999</v>
      </c>
      <c r="K186" s="135">
        <v>0</v>
      </c>
      <c r="L186" s="135">
        <v>0</v>
      </c>
      <c r="M186" s="135">
        <v>0</v>
      </c>
      <c r="N186" s="135">
        <v>0</v>
      </c>
      <c r="O186" s="135">
        <v>0</v>
      </c>
      <c r="P186" s="135">
        <v>0</v>
      </c>
      <c r="Q186" s="135">
        <v>0</v>
      </c>
      <c r="R186" s="135">
        <v>0</v>
      </c>
      <c r="S186" s="135">
        <v>4.5949999999999998</v>
      </c>
      <c r="T186" s="135">
        <v>35.097000000000001</v>
      </c>
      <c r="U186" s="135">
        <v>0.25600000000000001</v>
      </c>
      <c r="V186" s="135">
        <v>5.6000000000000001E-2</v>
      </c>
      <c r="W186" s="135">
        <v>0</v>
      </c>
      <c r="X186" s="135">
        <v>0</v>
      </c>
      <c r="Y186" s="135" t="s">
        <v>1995</v>
      </c>
      <c r="Z186" s="135">
        <v>7.2</v>
      </c>
      <c r="AA186" s="135">
        <v>4100</v>
      </c>
      <c r="AB186" s="135">
        <v>571.4</v>
      </c>
      <c r="AC186" s="135">
        <v>1.75</v>
      </c>
      <c r="AD186" s="135">
        <v>9.5</v>
      </c>
      <c r="AE186" s="135">
        <v>6800</v>
      </c>
      <c r="AF186" s="135">
        <v>713.6</v>
      </c>
      <c r="AG186" s="135">
        <v>1.4</v>
      </c>
      <c r="AH186" s="135">
        <v>9.8000000000000007</v>
      </c>
      <c r="AI186" s="135">
        <v>3400</v>
      </c>
      <c r="AJ186" s="135">
        <v>347.1</v>
      </c>
      <c r="AK186" s="135">
        <v>2.88</v>
      </c>
      <c r="AL186" s="135">
        <v>7.2</v>
      </c>
      <c r="AM186" s="135">
        <v>5400</v>
      </c>
      <c r="AN186" s="135">
        <v>746.8</v>
      </c>
      <c r="AO186" s="135">
        <v>1.34</v>
      </c>
      <c r="AP186" s="135"/>
      <c r="AQ186" s="135"/>
      <c r="AR186" s="135"/>
      <c r="AS186" s="135"/>
      <c r="AT186" s="135"/>
      <c r="AU186" s="135"/>
      <c r="AV186" s="135"/>
      <c r="AW186" s="135"/>
      <c r="AX186" s="135">
        <v>7.2</v>
      </c>
      <c r="AY186" s="135">
        <v>10</v>
      </c>
      <c r="AZ186" s="135">
        <v>1.4</v>
      </c>
      <c r="BA186" s="135">
        <v>0.72</v>
      </c>
      <c r="BB186" s="135"/>
      <c r="BC186" s="135"/>
      <c r="BD186" s="135"/>
      <c r="BE186" s="135"/>
      <c r="BF186" s="135">
        <v>9.8000000000000007</v>
      </c>
      <c r="BG186" s="135">
        <v>6600</v>
      </c>
      <c r="BH186" s="135">
        <v>673.8</v>
      </c>
      <c r="BI186" s="135">
        <v>1.48</v>
      </c>
      <c r="BJ186" s="135">
        <v>44</v>
      </c>
      <c r="BK186" s="135">
        <v>4.5</v>
      </c>
      <c r="BL186" s="135">
        <v>19.75</v>
      </c>
    </row>
    <row r="187" spans="1:64" x14ac:dyDescent="0.3">
      <c r="A187" s="135">
        <v>2016</v>
      </c>
      <c r="B187" s="135">
        <v>4</v>
      </c>
      <c r="C187" s="135" t="s">
        <v>2175</v>
      </c>
      <c r="D187" s="135" t="s">
        <v>249</v>
      </c>
      <c r="E187" s="135" t="s">
        <v>396</v>
      </c>
      <c r="F187" s="135" t="s">
        <v>407</v>
      </c>
      <c r="G187" s="135" t="s">
        <v>404</v>
      </c>
      <c r="H187" s="135">
        <v>19.47</v>
      </c>
      <c r="I187" s="135">
        <v>4.8419999999999996</v>
      </c>
      <c r="J187" s="135">
        <v>7.8620000000000001</v>
      </c>
      <c r="K187" s="135">
        <v>0</v>
      </c>
      <c r="L187" s="135">
        <v>0</v>
      </c>
      <c r="M187" s="135">
        <v>0</v>
      </c>
      <c r="N187" s="135">
        <v>0</v>
      </c>
      <c r="O187" s="135">
        <v>0</v>
      </c>
      <c r="P187" s="135">
        <v>0</v>
      </c>
      <c r="Q187" s="135">
        <v>0</v>
      </c>
      <c r="R187" s="135">
        <v>0</v>
      </c>
      <c r="S187" s="135">
        <v>3.02</v>
      </c>
      <c r="T187" s="135">
        <v>34.857999999999997</v>
      </c>
      <c r="U187" s="135">
        <v>0.23300000000000001</v>
      </c>
      <c r="V187" s="135">
        <v>2.1000000000000001E-2</v>
      </c>
      <c r="W187" s="135">
        <v>0</v>
      </c>
      <c r="X187" s="135">
        <v>0</v>
      </c>
      <c r="Y187" s="135" t="s">
        <v>1995</v>
      </c>
      <c r="Z187" s="135">
        <v>6.3</v>
      </c>
      <c r="AA187" s="135">
        <v>3900</v>
      </c>
      <c r="AB187" s="135">
        <v>616</v>
      </c>
      <c r="AC187" s="135">
        <v>1.62</v>
      </c>
      <c r="AD187" s="135">
        <v>7.9</v>
      </c>
      <c r="AE187" s="135">
        <v>5000</v>
      </c>
      <c r="AF187" s="135">
        <v>636</v>
      </c>
      <c r="AG187" s="135">
        <v>1.57</v>
      </c>
      <c r="AH187" s="135">
        <v>8.1</v>
      </c>
      <c r="AI187" s="135">
        <v>3300</v>
      </c>
      <c r="AJ187" s="135">
        <v>407.8</v>
      </c>
      <c r="AK187" s="135">
        <v>2.4500000000000002</v>
      </c>
      <c r="AL187" s="135">
        <v>6.4</v>
      </c>
      <c r="AM187" s="135">
        <v>5700</v>
      </c>
      <c r="AN187" s="135">
        <v>897.4</v>
      </c>
      <c r="AO187" s="135">
        <v>1.1100000000000001</v>
      </c>
      <c r="AP187" s="135"/>
      <c r="AQ187" s="135"/>
      <c r="AR187" s="135"/>
      <c r="AS187" s="135"/>
      <c r="AT187" s="135"/>
      <c r="AU187" s="135"/>
      <c r="AV187" s="135"/>
      <c r="AW187" s="135"/>
      <c r="AX187" s="135">
        <v>6.4</v>
      </c>
      <c r="AY187" s="135">
        <v>10</v>
      </c>
      <c r="AZ187" s="135">
        <v>1.6</v>
      </c>
      <c r="BA187" s="135">
        <v>0.64</v>
      </c>
      <c r="BB187" s="135"/>
      <c r="BC187" s="135"/>
      <c r="BD187" s="135"/>
      <c r="BE187" s="135"/>
      <c r="BF187" s="135">
        <v>8.1</v>
      </c>
      <c r="BG187" s="135">
        <v>6400</v>
      </c>
      <c r="BH187" s="135">
        <v>790.9</v>
      </c>
      <c r="BI187" s="135">
        <v>1.26</v>
      </c>
      <c r="BJ187" s="135">
        <v>53.5</v>
      </c>
      <c r="BK187" s="135">
        <v>-4</v>
      </c>
      <c r="BL187" s="135">
        <v>28.75</v>
      </c>
    </row>
    <row r="188" spans="1:64" x14ac:dyDescent="0.3">
      <c r="A188" s="135">
        <v>2016</v>
      </c>
      <c r="B188" s="135">
        <v>4</v>
      </c>
      <c r="C188" s="135" t="s">
        <v>2565</v>
      </c>
      <c r="D188" s="135" t="s">
        <v>229</v>
      </c>
      <c r="E188" s="135" t="s">
        <v>396</v>
      </c>
      <c r="F188" s="135" t="s">
        <v>20</v>
      </c>
      <c r="G188" s="135" t="s">
        <v>397</v>
      </c>
      <c r="H188" s="135">
        <v>16.2</v>
      </c>
      <c r="I188" s="135">
        <v>4.806</v>
      </c>
      <c r="J188" s="135">
        <v>7.63</v>
      </c>
      <c r="K188" s="135">
        <v>0</v>
      </c>
      <c r="L188" s="135">
        <v>0</v>
      </c>
      <c r="M188" s="135">
        <v>0</v>
      </c>
      <c r="N188" s="135">
        <v>0</v>
      </c>
      <c r="O188" s="135">
        <v>0</v>
      </c>
      <c r="P188" s="135">
        <v>0</v>
      </c>
      <c r="Q188" s="135">
        <v>0</v>
      </c>
      <c r="R188" s="135">
        <v>0</v>
      </c>
      <c r="S188" s="135">
        <v>2.8239999999999998</v>
      </c>
      <c r="T188" s="135">
        <v>31.838000000000001</v>
      </c>
      <c r="U188" s="135">
        <v>0.27900000000000003</v>
      </c>
      <c r="V188" s="135">
        <v>2.5999999999999999E-2</v>
      </c>
      <c r="W188" s="135">
        <v>0</v>
      </c>
      <c r="X188" s="135">
        <v>0</v>
      </c>
      <c r="Y188" s="135" t="s">
        <v>1995</v>
      </c>
      <c r="Z188" s="135">
        <v>6.2</v>
      </c>
      <c r="AA188" s="135">
        <v>4100</v>
      </c>
      <c r="AB188" s="135">
        <v>662.2</v>
      </c>
      <c r="AC188" s="135">
        <v>1.51</v>
      </c>
      <c r="AD188" s="135">
        <v>7.6</v>
      </c>
      <c r="AE188" s="135">
        <v>6950</v>
      </c>
      <c r="AF188" s="135">
        <v>910.9</v>
      </c>
      <c r="AG188" s="135">
        <v>1.1000000000000001</v>
      </c>
      <c r="AH188" s="135">
        <v>7.8</v>
      </c>
      <c r="AI188" s="135">
        <v>4100</v>
      </c>
      <c r="AJ188" s="135">
        <v>522.5</v>
      </c>
      <c r="AK188" s="135">
        <v>1.91</v>
      </c>
      <c r="AL188" s="135">
        <v>6.2</v>
      </c>
      <c r="AM188" s="135">
        <v>5800</v>
      </c>
      <c r="AN188" s="135">
        <v>932.8</v>
      </c>
      <c r="AO188" s="135">
        <v>1.07</v>
      </c>
      <c r="AP188" s="135"/>
      <c r="AQ188" s="135"/>
      <c r="AR188" s="135"/>
      <c r="AS188" s="135"/>
      <c r="AT188" s="135"/>
      <c r="AU188" s="135"/>
      <c r="AV188" s="135"/>
      <c r="AW188" s="135"/>
      <c r="AX188" s="135">
        <v>6.2</v>
      </c>
      <c r="AY188" s="135">
        <v>13</v>
      </c>
      <c r="AZ188" s="135">
        <v>2.1</v>
      </c>
      <c r="BA188" s="135">
        <v>0.48</v>
      </c>
      <c r="BB188" s="135"/>
      <c r="BC188" s="135"/>
      <c r="BD188" s="135"/>
      <c r="BE188" s="135"/>
      <c r="BF188" s="135">
        <v>7.8</v>
      </c>
      <c r="BG188" s="135">
        <v>8000</v>
      </c>
      <c r="BH188" s="135">
        <v>1019.5</v>
      </c>
      <c r="BI188" s="135">
        <v>0.98</v>
      </c>
      <c r="BJ188" s="135">
        <v>47.5</v>
      </c>
      <c r="BK188" s="135">
        <v>-5.5</v>
      </c>
      <c r="BL188" s="135">
        <v>26.5</v>
      </c>
    </row>
    <row r="189" spans="1:64" x14ac:dyDescent="0.3">
      <c r="A189" s="135">
        <v>2016</v>
      </c>
      <c r="B189" s="135">
        <v>4</v>
      </c>
      <c r="C189" s="135" t="s">
        <v>2173</v>
      </c>
      <c r="D189" s="135" t="s">
        <v>278</v>
      </c>
      <c r="E189" s="135" t="s">
        <v>396</v>
      </c>
      <c r="F189" s="135" t="s">
        <v>12</v>
      </c>
      <c r="G189" s="135" t="s">
        <v>16</v>
      </c>
      <c r="H189" s="135">
        <v>11.77</v>
      </c>
      <c r="I189" s="135">
        <v>4.7759999999999998</v>
      </c>
      <c r="J189" s="135">
        <v>9.2680000000000007</v>
      </c>
      <c r="K189" s="135">
        <v>0</v>
      </c>
      <c r="L189" s="135">
        <v>0</v>
      </c>
      <c r="M189" s="135">
        <v>0</v>
      </c>
      <c r="N189" s="135">
        <v>0</v>
      </c>
      <c r="O189" s="135">
        <v>0</v>
      </c>
      <c r="P189" s="135">
        <v>0</v>
      </c>
      <c r="Q189" s="135">
        <v>0</v>
      </c>
      <c r="R189" s="135">
        <v>0</v>
      </c>
      <c r="S189" s="135">
        <v>4.492</v>
      </c>
      <c r="T189" s="135">
        <v>40.722000000000001</v>
      </c>
      <c r="U189" s="135">
        <v>0.13</v>
      </c>
      <c r="V189" s="135">
        <v>3.7999999999999999E-2</v>
      </c>
      <c r="W189" s="135">
        <v>0</v>
      </c>
      <c r="X189" s="135">
        <v>0</v>
      </c>
      <c r="Y189" s="135" t="s">
        <v>1995</v>
      </c>
      <c r="Z189" s="135">
        <v>7</v>
      </c>
      <c r="AA189" s="135">
        <v>4100</v>
      </c>
      <c r="AB189" s="135">
        <v>587</v>
      </c>
      <c r="AC189" s="135">
        <v>1.7</v>
      </c>
      <c r="AD189" s="135">
        <v>9.3000000000000007</v>
      </c>
      <c r="AE189" s="135">
        <v>5000</v>
      </c>
      <c r="AF189" s="135">
        <v>539.5</v>
      </c>
      <c r="AG189" s="135">
        <v>1.85</v>
      </c>
      <c r="AH189" s="135">
        <v>9.6</v>
      </c>
      <c r="AI189" s="135">
        <v>3100</v>
      </c>
      <c r="AJ189" s="135">
        <v>324.60000000000002</v>
      </c>
      <c r="AK189" s="135">
        <v>3.08</v>
      </c>
      <c r="AL189" s="135">
        <v>7</v>
      </c>
      <c r="AM189" s="135">
        <v>4500</v>
      </c>
      <c r="AN189" s="135">
        <v>640.79999999999995</v>
      </c>
      <c r="AO189" s="135">
        <v>1.56</v>
      </c>
      <c r="AP189" s="135"/>
      <c r="AQ189" s="135"/>
      <c r="AR189" s="135"/>
      <c r="AS189" s="135"/>
      <c r="AT189" s="135"/>
      <c r="AU189" s="135"/>
      <c r="AV189" s="135"/>
      <c r="AW189" s="135"/>
      <c r="AX189" s="135">
        <v>7</v>
      </c>
      <c r="AY189" s="135">
        <v>11</v>
      </c>
      <c r="AZ189" s="135">
        <v>1.6</v>
      </c>
      <c r="BA189" s="135">
        <v>0.64</v>
      </c>
      <c r="BB189" s="135"/>
      <c r="BC189" s="135"/>
      <c r="BD189" s="135"/>
      <c r="BE189" s="135"/>
      <c r="BF189" s="135">
        <v>9.6</v>
      </c>
      <c r="BG189" s="135">
        <v>6000</v>
      </c>
      <c r="BH189" s="135">
        <v>628.20000000000005</v>
      </c>
      <c r="BI189" s="135">
        <v>1.59</v>
      </c>
      <c r="BJ189" s="135">
        <v>49.5</v>
      </c>
      <c r="BK189" s="135">
        <v>2.5</v>
      </c>
      <c r="BL189" s="135">
        <v>23.5</v>
      </c>
    </row>
    <row r="190" spans="1:64" x14ac:dyDescent="0.3">
      <c r="A190" s="135">
        <v>2016</v>
      </c>
      <c r="B190" s="135">
        <v>4</v>
      </c>
      <c r="C190" s="135" t="s">
        <v>2167</v>
      </c>
      <c r="D190" s="135" t="s">
        <v>285</v>
      </c>
      <c r="E190" s="135" t="s">
        <v>396</v>
      </c>
      <c r="F190" s="135" t="s">
        <v>397</v>
      </c>
      <c r="G190" s="135" t="s">
        <v>2307</v>
      </c>
      <c r="H190" s="135">
        <v>15.77</v>
      </c>
      <c r="I190" s="135">
        <v>4.726</v>
      </c>
      <c r="J190" s="135">
        <v>7.6509999999999998</v>
      </c>
      <c r="K190" s="135">
        <v>0</v>
      </c>
      <c r="L190" s="135">
        <v>0</v>
      </c>
      <c r="M190" s="135">
        <v>0</v>
      </c>
      <c r="N190" s="135">
        <v>0</v>
      </c>
      <c r="O190" s="135">
        <v>0</v>
      </c>
      <c r="P190" s="135">
        <v>0</v>
      </c>
      <c r="Q190" s="135">
        <v>0</v>
      </c>
      <c r="R190" s="135">
        <v>0</v>
      </c>
      <c r="S190" s="135">
        <v>2.9249999999999998</v>
      </c>
      <c r="T190" s="135">
        <v>34.383000000000003</v>
      </c>
      <c r="U190" s="135">
        <v>0.224</v>
      </c>
      <c r="V190" s="135">
        <v>2.8000000000000001E-2</v>
      </c>
      <c r="W190" s="135">
        <v>0</v>
      </c>
      <c r="X190" s="135">
        <v>0</v>
      </c>
      <c r="Y190" s="135" t="s">
        <v>1995</v>
      </c>
      <c r="Z190" s="135">
        <v>6.2</v>
      </c>
      <c r="AA190" s="135">
        <v>3900</v>
      </c>
      <c r="AB190" s="135">
        <v>633</v>
      </c>
      <c r="AC190" s="135">
        <v>1.58</v>
      </c>
      <c r="AD190" s="135">
        <v>7.7</v>
      </c>
      <c r="AE190" s="135">
        <v>5500</v>
      </c>
      <c r="AF190" s="135">
        <v>718.8</v>
      </c>
      <c r="AG190" s="135">
        <v>1.39</v>
      </c>
      <c r="AH190" s="135">
        <v>7.9</v>
      </c>
      <c r="AI190" s="135">
        <v>3000</v>
      </c>
      <c r="AJ190" s="135">
        <v>380.4</v>
      </c>
      <c r="AK190" s="135">
        <v>2.63</v>
      </c>
      <c r="AL190" s="135">
        <v>6.2</v>
      </c>
      <c r="AM190" s="135">
        <v>4800</v>
      </c>
      <c r="AN190" s="135">
        <v>775.6</v>
      </c>
      <c r="AO190" s="135">
        <v>1.29</v>
      </c>
      <c r="AP190" s="135"/>
      <c r="AQ190" s="135"/>
      <c r="AR190" s="135"/>
      <c r="AS190" s="135"/>
      <c r="AT190" s="135"/>
      <c r="AU190" s="135"/>
      <c r="AV190" s="135"/>
      <c r="AW190" s="135"/>
      <c r="AX190" s="135">
        <v>6.2</v>
      </c>
      <c r="AY190" s="135">
        <v>11</v>
      </c>
      <c r="AZ190" s="135">
        <v>1.8</v>
      </c>
      <c r="BA190" s="135">
        <v>0.56000000000000005</v>
      </c>
      <c r="BB190" s="135"/>
      <c r="BC190" s="135"/>
      <c r="BD190" s="135"/>
      <c r="BE190" s="135"/>
      <c r="BF190" s="135">
        <v>7.9</v>
      </c>
      <c r="BG190" s="135">
        <v>6000</v>
      </c>
      <c r="BH190" s="135">
        <v>760.9</v>
      </c>
      <c r="BI190" s="135">
        <v>1.31</v>
      </c>
      <c r="BJ190" s="135">
        <v>47.5</v>
      </c>
      <c r="BK190" s="135">
        <v>5.5</v>
      </c>
      <c r="BL190" s="135">
        <v>21</v>
      </c>
    </row>
    <row r="191" spans="1:64" x14ac:dyDescent="0.3">
      <c r="A191" s="135">
        <v>2016</v>
      </c>
      <c r="B191" s="135">
        <v>4</v>
      </c>
      <c r="C191" s="135" t="s">
        <v>2161</v>
      </c>
      <c r="D191" s="135" t="s">
        <v>276</v>
      </c>
      <c r="E191" s="135" t="s">
        <v>396</v>
      </c>
      <c r="F191" s="135" t="s">
        <v>402</v>
      </c>
      <c r="G191" s="135" t="s">
        <v>10</v>
      </c>
      <c r="H191" s="135">
        <v>28.75</v>
      </c>
      <c r="I191" s="135">
        <v>4.5949999999999998</v>
      </c>
      <c r="J191" s="135">
        <v>7.1539999999999999</v>
      </c>
      <c r="K191" s="135">
        <v>0</v>
      </c>
      <c r="L191" s="135">
        <v>0</v>
      </c>
      <c r="M191" s="135">
        <v>0</v>
      </c>
      <c r="N191" s="135">
        <v>0</v>
      </c>
      <c r="O191" s="135">
        <v>0</v>
      </c>
      <c r="P191" s="135">
        <v>0</v>
      </c>
      <c r="Q191" s="135">
        <v>0</v>
      </c>
      <c r="R191" s="135">
        <v>0</v>
      </c>
      <c r="S191" s="135">
        <v>2.5590000000000002</v>
      </c>
      <c r="T191" s="135">
        <v>37.085000000000001</v>
      </c>
      <c r="U191" s="135">
        <v>0.156</v>
      </c>
      <c r="V191" s="135">
        <v>2.5000000000000001E-2</v>
      </c>
      <c r="W191" s="135">
        <v>0</v>
      </c>
      <c r="X191" s="135">
        <v>0</v>
      </c>
      <c r="Y191" s="135" t="s">
        <v>1995</v>
      </c>
      <c r="Z191" s="135">
        <v>5.8</v>
      </c>
      <c r="AA191" s="135">
        <v>4000</v>
      </c>
      <c r="AB191" s="135">
        <v>683.9</v>
      </c>
      <c r="AC191" s="135">
        <v>1.46</v>
      </c>
      <c r="AD191" s="135">
        <v>7.2</v>
      </c>
      <c r="AE191" s="135">
        <v>7450</v>
      </c>
      <c r="AF191" s="135">
        <v>1041.4000000000001</v>
      </c>
      <c r="AG191" s="135">
        <v>0.96</v>
      </c>
      <c r="AH191" s="135">
        <v>7.4</v>
      </c>
      <c r="AI191" s="135">
        <v>3700</v>
      </c>
      <c r="AJ191" s="135">
        <v>499.9</v>
      </c>
      <c r="AK191" s="135">
        <v>2</v>
      </c>
      <c r="AL191" s="135">
        <v>5.9</v>
      </c>
      <c r="AM191" s="135">
        <v>5200</v>
      </c>
      <c r="AN191" s="135">
        <v>885.3</v>
      </c>
      <c r="AO191" s="135">
        <v>1.1299999999999999</v>
      </c>
      <c r="AP191" s="135"/>
      <c r="AQ191" s="135"/>
      <c r="AR191" s="135"/>
      <c r="AS191" s="135"/>
      <c r="AT191" s="135"/>
      <c r="AU191" s="135"/>
      <c r="AV191" s="135"/>
      <c r="AW191" s="135"/>
      <c r="AX191" s="135">
        <v>5.9</v>
      </c>
      <c r="AY191" s="135">
        <v>15</v>
      </c>
      <c r="AZ191" s="135">
        <v>2.6</v>
      </c>
      <c r="BA191" s="135">
        <v>0.39</v>
      </c>
      <c r="BB191" s="135"/>
      <c r="BC191" s="135"/>
      <c r="BD191" s="135"/>
      <c r="BE191" s="135"/>
      <c r="BF191" s="135">
        <v>7.4</v>
      </c>
      <c r="BG191" s="135">
        <v>7400</v>
      </c>
      <c r="BH191" s="135">
        <v>999.9</v>
      </c>
      <c r="BI191" s="135">
        <v>1</v>
      </c>
      <c r="BJ191" s="135">
        <v>44</v>
      </c>
      <c r="BK191" s="135">
        <v>-4.5</v>
      </c>
      <c r="BL191" s="135">
        <v>24.25</v>
      </c>
    </row>
    <row r="192" spans="1:64" x14ac:dyDescent="0.3">
      <c r="A192" s="135">
        <v>2016</v>
      </c>
      <c r="B192" s="135">
        <v>4</v>
      </c>
      <c r="C192" s="135" t="s">
        <v>2165</v>
      </c>
      <c r="D192" s="135" t="s">
        <v>465</v>
      </c>
      <c r="E192" s="135" t="s">
        <v>396</v>
      </c>
      <c r="F192" s="135" t="s">
        <v>28</v>
      </c>
      <c r="G192" s="135" t="s">
        <v>57</v>
      </c>
      <c r="H192" s="135">
        <v>30.59</v>
      </c>
      <c r="I192" s="135">
        <v>4.5469999999999997</v>
      </c>
      <c r="J192" s="135">
        <v>8.0359999999999996</v>
      </c>
      <c r="K192" s="135">
        <v>0</v>
      </c>
      <c r="L192" s="135">
        <v>0</v>
      </c>
      <c r="M192" s="135">
        <v>0</v>
      </c>
      <c r="N192" s="135">
        <v>0</v>
      </c>
      <c r="O192" s="135">
        <v>0</v>
      </c>
      <c r="P192" s="135">
        <v>0</v>
      </c>
      <c r="Q192" s="135">
        <v>0</v>
      </c>
      <c r="R192" s="135">
        <v>0</v>
      </c>
      <c r="S192" s="135">
        <v>3.4889999999999999</v>
      </c>
      <c r="T192" s="135">
        <v>36.286999999999999</v>
      </c>
      <c r="U192" s="135">
        <v>0.16200000000000001</v>
      </c>
      <c r="V192" s="135">
        <v>2.7E-2</v>
      </c>
      <c r="W192" s="135">
        <v>0</v>
      </c>
      <c r="X192" s="135">
        <v>0</v>
      </c>
      <c r="Y192" s="135" t="s">
        <v>1995</v>
      </c>
      <c r="Z192" s="135">
        <v>6.3</v>
      </c>
      <c r="AA192" s="135">
        <v>3800</v>
      </c>
      <c r="AB192" s="135">
        <v>606.6</v>
      </c>
      <c r="AC192" s="135">
        <v>1.65</v>
      </c>
      <c r="AD192" s="135">
        <v>8</v>
      </c>
      <c r="AE192" s="135">
        <v>7300</v>
      </c>
      <c r="AF192" s="135">
        <v>908.4</v>
      </c>
      <c r="AG192" s="135">
        <v>1.1000000000000001</v>
      </c>
      <c r="AH192" s="135">
        <v>8.3000000000000007</v>
      </c>
      <c r="AI192" s="135">
        <v>3400</v>
      </c>
      <c r="AJ192" s="135">
        <v>410.6</v>
      </c>
      <c r="AK192" s="135">
        <v>2.44</v>
      </c>
      <c r="AL192" s="135">
        <v>6.3</v>
      </c>
      <c r="AM192" s="135">
        <v>5400</v>
      </c>
      <c r="AN192" s="135">
        <v>858.3</v>
      </c>
      <c r="AO192" s="135">
        <v>1.17</v>
      </c>
      <c r="AP192" s="135"/>
      <c r="AQ192" s="135"/>
      <c r="AR192" s="135"/>
      <c r="AS192" s="135"/>
      <c r="AT192" s="135"/>
      <c r="AU192" s="135"/>
      <c r="AV192" s="135"/>
      <c r="AW192" s="135"/>
      <c r="AX192" s="135">
        <v>6.3</v>
      </c>
      <c r="AY192" s="135">
        <v>11</v>
      </c>
      <c r="AZ192" s="135">
        <v>1.7</v>
      </c>
      <c r="BA192" s="135">
        <v>0.56999999999999995</v>
      </c>
      <c r="BB192" s="135"/>
      <c r="BC192" s="135"/>
      <c r="BD192" s="135"/>
      <c r="BE192" s="135"/>
      <c r="BF192" s="135">
        <v>8.3000000000000007</v>
      </c>
      <c r="BG192" s="135">
        <v>6700</v>
      </c>
      <c r="BH192" s="135">
        <v>809.1</v>
      </c>
      <c r="BI192" s="135">
        <v>1.24</v>
      </c>
      <c r="BJ192" s="135">
        <v>44.5</v>
      </c>
      <c r="BK192" s="135">
        <v>-7</v>
      </c>
      <c r="BL192" s="135">
        <v>25.75</v>
      </c>
    </row>
    <row r="193" spans="1:64" x14ac:dyDescent="0.3">
      <c r="A193" s="135">
        <v>2016</v>
      </c>
      <c r="B193" s="135">
        <v>4</v>
      </c>
      <c r="C193" s="135" t="s">
        <v>2179</v>
      </c>
      <c r="D193" s="135" t="s">
        <v>230</v>
      </c>
      <c r="E193" s="135" t="s">
        <v>396</v>
      </c>
      <c r="F193" s="135" t="s">
        <v>52</v>
      </c>
      <c r="G193" s="135" t="s">
        <v>2309</v>
      </c>
      <c r="H193" s="135">
        <v>26.3</v>
      </c>
      <c r="I193" s="135">
        <v>4.53</v>
      </c>
      <c r="J193" s="135">
        <v>6.7439999999999998</v>
      </c>
      <c r="K193" s="135">
        <v>0</v>
      </c>
      <c r="L193" s="135">
        <v>0</v>
      </c>
      <c r="M193" s="135">
        <v>0</v>
      </c>
      <c r="N193" s="135">
        <v>0</v>
      </c>
      <c r="O193" s="135">
        <v>0</v>
      </c>
      <c r="P193" s="135">
        <v>0</v>
      </c>
      <c r="Q193" s="135">
        <v>0</v>
      </c>
      <c r="R193" s="135">
        <v>0</v>
      </c>
      <c r="S193" s="135">
        <v>2.214</v>
      </c>
      <c r="T193" s="135">
        <v>36.459000000000003</v>
      </c>
      <c r="U193" s="135">
        <v>0.153</v>
      </c>
      <c r="V193" s="135">
        <v>1.7000000000000001E-2</v>
      </c>
      <c r="W193" s="135">
        <v>0</v>
      </c>
      <c r="X193" s="135">
        <v>0</v>
      </c>
      <c r="Y193" s="135" t="s">
        <v>1995</v>
      </c>
      <c r="Z193" s="135">
        <v>5.6</v>
      </c>
      <c r="AA193" s="135">
        <v>4000</v>
      </c>
      <c r="AB193" s="135">
        <v>711.8</v>
      </c>
      <c r="AC193" s="135">
        <v>1.4</v>
      </c>
      <c r="AD193" s="135">
        <v>6.7</v>
      </c>
      <c r="AE193" s="135">
        <v>7750</v>
      </c>
      <c r="AF193" s="135">
        <v>1149.2</v>
      </c>
      <c r="AG193" s="135">
        <v>0.87</v>
      </c>
      <c r="AH193" s="135">
        <v>7</v>
      </c>
      <c r="AI193" s="135">
        <v>3100</v>
      </c>
      <c r="AJ193" s="135">
        <v>444.1</v>
      </c>
      <c r="AK193" s="135">
        <v>2.25</v>
      </c>
      <c r="AL193" s="135">
        <v>5.6</v>
      </c>
      <c r="AM193" s="135">
        <v>4600</v>
      </c>
      <c r="AN193" s="135">
        <v>816.1</v>
      </c>
      <c r="AO193" s="135">
        <v>1.23</v>
      </c>
      <c r="AP193" s="135"/>
      <c r="AQ193" s="135"/>
      <c r="AR193" s="135"/>
      <c r="AS193" s="135"/>
      <c r="AT193" s="135"/>
      <c r="AU193" s="135"/>
      <c r="AV193" s="135"/>
      <c r="AW193" s="135"/>
      <c r="AX193" s="135">
        <v>5.6</v>
      </c>
      <c r="AY193" s="135">
        <v>13</v>
      </c>
      <c r="AZ193" s="135">
        <v>2.2999999999999998</v>
      </c>
      <c r="BA193" s="135">
        <v>0.43</v>
      </c>
      <c r="BB193" s="135"/>
      <c r="BC193" s="135"/>
      <c r="BD193" s="135"/>
      <c r="BE193" s="135"/>
      <c r="BF193" s="135">
        <v>7</v>
      </c>
      <c r="BG193" s="135">
        <v>6000</v>
      </c>
      <c r="BH193" s="135">
        <v>859.6</v>
      </c>
      <c r="BI193" s="135">
        <v>1.1599999999999999</v>
      </c>
      <c r="BJ193" s="135">
        <v>46</v>
      </c>
      <c r="BK193" s="135">
        <v>-3</v>
      </c>
      <c r="BL193" s="135">
        <v>24.5</v>
      </c>
    </row>
    <row r="194" spans="1:64" x14ac:dyDescent="0.3">
      <c r="A194" s="135">
        <v>2016</v>
      </c>
      <c r="B194" s="135">
        <v>4</v>
      </c>
      <c r="C194" s="135" t="s">
        <v>2157</v>
      </c>
      <c r="D194" s="135" t="s">
        <v>462</v>
      </c>
      <c r="E194" s="135" t="s">
        <v>396</v>
      </c>
      <c r="F194" s="135" t="s">
        <v>32</v>
      </c>
      <c r="G194" s="135" t="s">
        <v>4</v>
      </c>
      <c r="H194" s="135">
        <v>34.54</v>
      </c>
      <c r="I194" s="135">
        <v>4.4960000000000004</v>
      </c>
      <c r="J194" s="135">
        <v>6.1150000000000002</v>
      </c>
      <c r="K194" s="135">
        <v>0</v>
      </c>
      <c r="L194" s="135">
        <v>0</v>
      </c>
      <c r="M194" s="135">
        <v>0</v>
      </c>
      <c r="N194" s="135">
        <v>0</v>
      </c>
      <c r="O194" s="135">
        <v>0</v>
      </c>
      <c r="P194" s="135">
        <v>0</v>
      </c>
      <c r="Q194" s="135">
        <v>0</v>
      </c>
      <c r="R194" s="135">
        <v>0</v>
      </c>
      <c r="S194" s="135">
        <v>1.619</v>
      </c>
      <c r="T194" s="135">
        <v>32.478999999999999</v>
      </c>
      <c r="U194" s="135">
        <v>0.21199999999999999</v>
      </c>
      <c r="V194" s="135">
        <v>1.2E-2</v>
      </c>
      <c r="W194" s="135">
        <v>0</v>
      </c>
      <c r="X194" s="135">
        <v>0</v>
      </c>
      <c r="Y194" s="135" t="s">
        <v>1995</v>
      </c>
      <c r="Z194" s="135">
        <v>5.3</v>
      </c>
      <c r="AA194" s="135">
        <v>3800</v>
      </c>
      <c r="AB194" s="135">
        <v>717.9</v>
      </c>
      <c r="AC194" s="135">
        <v>1.39</v>
      </c>
      <c r="AD194" s="135">
        <v>6.1</v>
      </c>
      <c r="AE194" s="135">
        <v>5000</v>
      </c>
      <c r="AF194" s="135">
        <v>817.7</v>
      </c>
      <c r="AG194" s="135">
        <v>1.22</v>
      </c>
      <c r="AH194" s="135">
        <v>6.3</v>
      </c>
      <c r="AI194" s="135">
        <v>3000</v>
      </c>
      <c r="AJ194" s="135">
        <v>474.6</v>
      </c>
      <c r="AK194" s="135">
        <v>2.11</v>
      </c>
      <c r="AL194" s="135">
        <v>5.3</v>
      </c>
      <c r="AM194" s="135">
        <v>5000</v>
      </c>
      <c r="AN194" s="135">
        <v>942.4</v>
      </c>
      <c r="AO194" s="135">
        <v>1.06</v>
      </c>
      <c r="AP194" s="135"/>
      <c r="AQ194" s="135"/>
      <c r="AR194" s="135"/>
      <c r="AS194" s="135"/>
      <c r="AT194" s="135"/>
      <c r="AU194" s="135"/>
      <c r="AV194" s="135"/>
      <c r="AW194" s="135"/>
      <c r="AX194" s="135">
        <v>5.3</v>
      </c>
      <c r="AY194" s="135">
        <v>11</v>
      </c>
      <c r="AZ194" s="135">
        <v>2.1</v>
      </c>
      <c r="BA194" s="135">
        <v>0.48</v>
      </c>
      <c r="BB194" s="135"/>
      <c r="BC194" s="135"/>
      <c r="BD194" s="135"/>
      <c r="BE194" s="135"/>
      <c r="BF194" s="135">
        <v>6.3</v>
      </c>
      <c r="BG194" s="135">
        <v>6000</v>
      </c>
      <c r="BH194" s="135">
        <v>949.1</v>
      </c>
      <c r="BI194" s="135">
        <v>1.05</v>
      </c>
      <c r="BJ194" s="135">
        <v>46.5</v>
      </c>
      <c r="BK194" s="135">
        <v>-3.5</v>
      </c>
      <c r="BL194" s="135">
        <v>25</v>
      </c>
    </row>
    <row r="195" spans="1:64" x14ac:dyDescent="0.3">
      <c r="A195" s="135">
        <v>2016</v>
      </c>
      <c r="B195" s="135">
        <v>4</v>
      </c>
      <c r="C195" s="135" t="s">
        <v>2170</v>
      </c>
      <c r="D195" s="135" t="s">
        <v>291</v>
      </c>
      <c r="E195" s="135" t="s">
        <v>396</v>
      </c>
      <c r="F195" s="135" t="s">
        <v>24</v>
      </c>
      <c r="G195" s="135" t="s">
        <v>409</v>
      </c>
      <c r="H195" s="135">
        <v>23.55</v>
      </c>
      <c r="I195" s="135">
        <v>4.383</v>
      </c>
      <c r="J195" s="135">
        <v>6.15</v>
      </c>
      <c r="K195" s="135">
        <v>0</v>
      </c>
      <c r="L195" s="135">
        <v>0</v>
      </c>
      <c r="M195" s="135">
        <v>0</v>
      </c>
      <c r="N195" s="135">
        <v>0</v>
      </c>
      <c r="O195" s="135">
        <v>0</v>
      </c>
      <c r="P195" s="135">
        <v>0</v>
      </c>
      <c r="Q195" s="135">
        <v>0</v>
      </c>
      <c r="R195" s="135">
        <v>0</v>
      </c>
      <c r="S195" s="135">
        <v>1.7669999999999999</v>
      </c>
      <c r="T195" s="135">
        <v>34.753999999999998</v>
      </c>
      <c r="U195" s="135">
        <v>0.157</v>
      </c>
      <c r="V195" s="135">
        <v>1.7000000000000001E-2</v>
      </c>
      <c r="W195" s="135">
        <v>0</v>
      </c>
      <c r="X195" s="135">
        <v>0</v>
      </c>
      <c r="Y195" s="135" t="s">
        <v>1995</v>
      </c>
      <c r="Z195" s="135">
        <v>5.2</v>
      </c>
      <c r="AA195" s="135">
        <v>3800</v>
      </c>
      <c r="AB195" s="135">
        <v>723.8</v>
      </c>
      <c r="AC195" s="135">
        <v>1.38</v>
      </c>
      <c r="AD195" s="135">
        <v>6.2</v>
      </c>
      <c r="AE195" s="135">
        <v>5000</v>
      </c>
      <c r="AF195" s="135">
        <v>813</v>
      </c>
      <c r="AG195" s="135">
        <v>1.23</v>
      </c>
      <c r="AH195" s="135">
        <v>6.4</v>
      </c>
      <c r="AI195" s="135">
        <v>3300</v>
      </c>
      <c r="AJ195" s="135">
        <v>517.6</v>
      </c>
      <c r="AK195" s="135">
        <v>1.93</v>
      </c>
      <c r="AL195" s="135">
        <v>5.3</v>
      </c>
      <c r="AM195" s="135">
        <v>4700</v>
      </c>
      <c r="AN195" s="135">
        <v>892.4</v>
      </c>
      <c r="AO195" s="135">
        <v>1.1200000000000001</v>
      </c>
      <c r="AP195" s="135"/>
      <c r="AQ195" s="135"/>
      <c r="AR195" s="135"/>
      <c r="AS195" s="135"/>
      <c r="AT195" s="135"/>
      <c r="AU195" s="135"/>
      <c r="AV195" s="135"/>
      <c r="AW195" s="135"/>
      <c r="AX195" s="135">
        <v>5.3</v>
      </c>
      <c r="AY195" s="135">
        <v>11</v>
      </c>
      <c r="AZ195" s="135">
        <v>2.1</v>
      </c>
      <c r="BA195" s="135">
        <v>0.48</v>
      </c>
      <c r="BB195" s="135"/>
      <c r="BC195" s="135"/>
      <c r="BD195" s="135"/>
      <c r="BE195" s="135"/>
      <c r="BF195" s="135">
        <v>6.4</v>
      </c>
      <c r="BG195" s="135">
        <v>6400</v>
      </c>
      <c r="BH195" s="135">
        <v>1003.8</v>
      </c>
      <c r="BI195" s="135">
        <v>1</v>
      </c>
      <c r="BJ195" s="135">
        <v>43</v>
      </c>
      <c r="BK195" s="135">
        <v>-8</v>
      </c>
      <c r="BL195" s="135">
        <v>25.5</v>
      </c>
    </row>
    <row r="196" spans="1:64" x14ac:dyDescent="0.3">
      <c r="A196" s="135">
        <v>2016</v>
      </c>
      <c r="B196" s="135">
        <v>4</v>
      </c>
      <c r="C196" s="135" t="s">
        <v>2169</v>
      </c>
      <c r="D196" s="135" t="s">
        <v>222</v>
      </c>
      <c r="E196" s="135" t="s">
        <v>396</v>
      </c>
      <c r="F196" s="135" t="s">
        <v>22</v>
      </c>
      <c r="G196" s="135" t="s">
        <v>2296</v>
      </c>
      <c r="H196" s="135">
        <v>15.55</v>
      </c>
      <c r="I196" s="135">
        <v>4.2919999999999998</v>
      </c>
      <c r="J196" s="135">
        <v>5.9720000000000004</v>
      </c>
      <c r="K196" s="135">
        <v>0</v>
      </c>
      <c r="L196" s="135">
        <v>0</v>
      </c>
      <c r="M196" s="135">
        <v>0</v>
      </c>
      <c r="N196" s="135">
        <v>0</v>
      </c>
      <c r="O196" s="135">
        <v>0</v>
      </c>
      <c r="P196" s="135">
        <v>0.28100000000000003</v>
      </c>
      <c r="Q196" s="135">
        <v>2.613</v>
      </c>
      <c r="R196" s="135">
        <v>0</v>
      </c>
      <c r="S196" s="135">
        <v>1.68</v>
      </c>
      <c r="T196" s="135">
        <v>29.045999999999999</v>
      </c>
      <c r="U196" s="135">
        <v>0.193</v>
      </c>
      <c r="V196" s="135">
        <v>1.6E-2</v>
      </c>
      <c r="W196" s="135">
        <v>0</v>
      </c>
      <c r="X196" s="135">
        <v>0</v>
      </c>
      <c r="Y196" s="135" t="s">
        <v>1995</v>
      </c>
      <c r="Z196" s="135">
        <v>5.0999999999999996</v>
      </c>
      <c r="AA196" s="135">
        <v>4000</v>
      </c>
      <c r="AB196" s="135">
        <v>781.9</v>
      </c>
      <c r="AC196" s="135">
        <v>1.28</v>
      </c>
      <c r="AD196" s="135">
        <v>6</v>
      </c>
      <c r="AE196" s="135">
        <v>6100</v>
      </c>
      <c r="AF196" s="135">
        <v>1021.5</v>
      </c>
      <c r="AG196" s="135">
        <v>0.98</v>
      </c>
      <c r="AH196" s="135">
        <v>6.2</v>
      </c>
      <c r="AI196" s="135">
        <v>3700</v>
      </c>
      <c r="AJ196" s="135">
        <v>598.9</v>
      </c>
      <c r="AK196" s="135">
        <v>1.67</v>
      </c>
      <c r="AL196" s="135">
        <v>5.0999999999999996</v>
      </c>
      <c r="AM196" s="135">
        <v>5900</v>
      </c>
      <c r="AN196" s="135">
        <v>1149.7</v>
      </c>
      <c r="AO196" s="135">
        <v>0.87</v>
      </c>
      <c r="AP196" s="135"/>
      <c r="AQ196" s="135"/>
      <c r="AR196" s="135"/>
      <c r="AS196" s="135"/>
      <c r="AT196" s="135"/>
      <c r="AU196" s="135"/>
      <c r="AV196" s="135"/>
      <c r="AW196" s="135"/>
      <c r="AX196" s="135">
        <v>5.0999999999999996</v>
      </c>
      <c r="AY196" s="135">
        <v>12</v>
      </c>
      <c r="AZ196" s="135">
        <v>2.2999999999999998</v>
      </c>
      <c r="BA196" s="135">
        <v>0.43</v>
      </c>
      <c r="BB196" s="135"/>
      <c r="BC196" s="135"/>
      <c r="BD196" s="135"/>
      <c r="BE196" s="135"/>
      <c r="BF196" s="135">
        <v>6.2</v>
      </c>
      <c r="BG196" s="135">
        <v>7300</v>
      </c>
      <c r="BH196" s="135">
        <v>1181.5999999999999</v>
      </c>
      <c r="BI196" s="135">
        <v>0.85</v>
      </c>
      <c r="BJ196" s="135">
        <v>50</v>
      </c>
      <c r="BK196" s="135">
        <v>-3</v>
      </c>
      <c r="BL196" s="135">
        <v>26.5</v>
      </c>
    </row>
    <row r="197" spans="1:64" x14ac:dyDescent="0.3">
      <c r="A197" s="135">
        <v>2016</v>
      </c>
      <c r="B197" s="135">
        <v>4</v>
      </c>
      <c r="C197" s="135" t="s">
        <v>2166</v>
      </c>
      <c r="D197" s="135" t="s">
        <v>301</v>
      </c>
      <c r="E197" s="135" t="s">
        <v>396</v>
      </c>
      <c r="F197" s="135" t="s">
        <v>409</v>
      </c>
      <c r="G197" s="135" t="s">
        <v>2295</v>
      </c>
      <c r="H197" s="135">
        <v>21.17</v>
      </c>
      <c r="I197" s="135">
        <v>4.03</v>
      </c>
      <c r="J197" s="135">
        <v>6.306</v>
      </c>
      <c r="K197" s="135">
        <v>0</v>
      </c>
      <c r="L197" s="135">
        <v>0</v>
      </c>
      <c r="M197" s="135">
        <v>0</v>
      </c>
      <c r="N197" s="135">
        <v>0</v>
      </c>
      <c r="O197" s="135">
        <v>0</v>
      </c>
      <c r="P197" s="135">
        <v>0</v>
      </c>
      <c r="Q197" s="135">
        <v>0</v>
      </c>
      <c r="R197" s="135">
        <v>0</v>
      </c>
      <c r="S197" s="135">
        <v>2.2759999999999998</v>
      </c>
      <c r="T197" s="135">
        <v>31.542999999999999</v>
      </c>
      <c r="U197" s="135">
        <v>0.154</v>
      </c>
      <c r="V197" s="135">
        <v>2.4E-2</v>
      </c>
      <c r="W197" s="135">
        <v>0</v>
      </c>
      <c r="X197" s="135">
        <v>0</v>
      </c>
      <c r="Y197" s="135" t="s">
        <v>1995</v>
      </c>
      <c r="Z197" s="135">
        <v>5.0999999999999996</v>
      </c>
      <c r="AA197" s="135">
        <v>3800</v>
      </c>
      <c r="AB197" s="135">
        <v>738.7</v>
      </c>
      <c r="AC197" s="135">
        <v>1.35</v>
      </c>
      <c r="AD197" s="135">
        <v>6.3</v>
      </c>
      <c r="AE197" s="135">
        <v>5000</v>
      </c>
      <c r="AF197" s="135">
        <v>792.9</v>
      </c>
      <c r="AG197" s="135">
        <v>1.26</v>
      </c>
      <c r="AH197" s="135">
        <v>6.5</v>
      </c>
      <c r="AI197" s="135">
        <v>3000</v>
      </c>
      <c r="AJ197" s="135">
        <v>460.2</v>
      </c>
      <c r="AK197" s="135">
        <v>2.17</v>
      </c>
      <c r="AL197" s="135">
        <v>5.2</v>
      </c>
      <c r="AM197" s="135">
        <v>4500</v>
      </c>
      <c r="AN197" s="135">
        <v>870.7</v>
      </c>
      <c r="AO197" s="135">
        <v>1.1499999999999999</v>
      </c>
      <c r="AP197" s="135"/>
      <c r="AQ197" s="135"/>
      <c r="AR197" s="135"/>
      <c r="AS197" s="135"/>
      <c r="AT197" s="135"/>
      <c r="AU197" s="135"/>
      <c r="AV197" s="135"/>
      <c r="AW197" s="135"/>
      <c r="AX197" s="135">
        <v>5.2</v>
      </c>
      <c r="AY197" s="135">
        <v>10</v>
      </c>
      <c r="AZ197" s="135">
        <v>1.9</v>
      </c>
      <c r="BA197" s="135">
        <v>0.52</v>
      </c>
      <c r="BB197" s="135"/>
      <c r="BC197" s="135"/>
      <c r="BD197" s="135"/>
      <c r="BE197" s="135"/>
      <c r="BF197" s="135">
        <v>6.5</v>
      </c>
      <c r="BG197" s="135">
        <v>6000</v>
      </c>
      <c r="BH197" s="135">
        <v>920.3</v>
      </c>
      <c r="BI197" s="135">
        <v>1.0900000000000001</v>
      </c>
      <c r="BJ197" s="135">
        <v>43</v>
      </c>
      <c r="BK197" s="135">
        <v>8</v>
      </c>
      <c r="BL197" s="135">
        <v>17.5</v>
      </c>
    </row>
    <row r="198" spans="1:64" x14ac:dyDescent="0.3">
      <c r="A198" s="135">
        <v>2016</v>
      </c>
      <c r="B198" s="135">
        <v>4</v>
      </c>
      <c r="C198" s="135" t="s">
        <v>2163</v>
      </c>
      <c r="D198" s="135" t="s">
        <v>245</v>
      </c>
      <c r="E198" s="135" t="s">
        <v>396</v>
      </c>
      <c r="F198" s="135" t="s">
        <v>4</v>
      </c>
      <c r="G198" s="135" t="s">
        <v>2297</v>
      </c>
      <c r="H198" s="135">
        <v>22.34</v>
      </c>
      <c r="I198" s="135">
        <v>3.9049999999999998</v>
      </c>
      <c r="J198" s="135">
        <v>6.407</v>
      </c>
      <c r="K198" s="135">
        <v>0</v>
      </c>
      <c r="L198" s="135">
        <v>0</v>
      </c>
      <c r="M198" s="135">
        <v>0</v>
      </c>
      <c r="N198" s="135">
        <v>0</v>
      </c>
      <c r="O198" s="135">
        <v>0</v>
      </c>
      <c r="P198" s="135">
        <v>0</v>
      </c>
      <c r="Q198" s="135">
        <v>0</v>
      </c>
      <c r="R198" s="135">
        <v>0</v>
      </c>
      <c r="S198" s="135">
        <v>2.5019999999999998</v>
      </c>
      <c r="T198" s="135">
        <v>28.971</v>
      </c>
      <c r="U198" s="135">
        <v>0.17599999999999999</v>
      </c>
      <c r="V198" s="135">
        <v>2.4E-2</v>
      </c>
      <c r="W198" s="135">
        <v>0</v>
      </c>
      <c r="X198" s="135">
        <v>0</v>
      </c>
      <c r="Y198" s="135" t="s">
        <v>1995</v>
      </c>
      <c r="Z198" s="135">
        <v>5.0999999999999996</v>
      </c>
      <c r="AA198" s="135">
        <v>3500</v>
      </c>
      <c r="AB198" s="135">
        <v>682</v>
      </c>
      <c r="AC198" s="135">
        <v>1.47</v>
      </c>
      <c r="AD198" s="135">
        <v>6.4</v>
      </c>
      <c r="AE198" s="135">
        <v>6650</v>
      </c>
      <c r="AF198" s="135">
        <v>1037.9000000000001</v>
      </c>
      <c r="AG198" s="135">
        <v>0.96</v>
      </c>
      <c r="AH198" s="135">
        <v>6.6</v>
      </c>
      <c r="AI198" s="135">
        <v>3500</v>
      </c>
      <c r="AJ198" s="135">
        <v>529.9</v>
      </c>
      <c r="AK198" s="135">
        <v>1.89</v>
      </c>
      <c r="AL198" s="135">
        <v>5.2</v>
      </c>
      <c r="AM198" s="135">
        <v>5400</v>
      </c>
      <c r="AN198" s="135">
        <v>1047.3</v>
      </c>
      <c r="AO198" s="135">
        <v>0.95</v>
      </c>
      <c r="AP198" s="135"/>
      <c r="AQ198" s="135"/>
      <c r="AR198" s="135"/>
      <c r="AS198" s="135"/>
      <c r="AT198" s="135"/>
      <c r="AU198" s="135"/>
      <c r="AV198" s="135"/>
      <c r="AW198" s="135"/>
      <c r="AX198" s="135">
        <v>5.2</v>
      </c>
      <c r="AY198" s="135">
        <v>11</v>
      </c>
      <c r="AZ198" s="135">
        <v>2.1</v>
      </c>
      <c r="BA198" s="135">
        <v>0.47</v>
      </c>
      <c r="BB198" s="135"/>
      <c r="BC198" s="135"/>
      <c r="BD198" s="135"/>
      <c r="BE198" s="135"/>
      <c r="BF198" s="135">
        <v>6.6</v>
      </c>
      <c r="BG198" s="135">
        <v>6900</v>
      </c>
      <c r="BH198" s="135">
        <v>1044.7</v>
      </c>
      <c r="BI198" s="135">
        <v>0.96</v>
      </c>
      <c r="BJ198" s="135">
        <v>46.5</v>
      </c>
      <c r="BK198" s="135">
        <v>3.5</v>
      </c>
      <c r="BL198" s="135">
        <v>21.5</v>
      </c>
    </row>
    <row r="199" spans="1:64" x14ac:dyDescent="0.3">
      <c r="A199" s="135">
        <v>2016</v>
      </c>
      <c r="B199" s="135">
        <v>4</v>
      </c>
      <c r="C199" s="135" t="s">
        <v>2156</v>
      </c>
      <c r="D199" s="135" t="s">
        <v>239</v>
      </c>
      <c r="E199" s="135" t="s">
        <v>396</v>
      </c>
      <c r="F199" s="135" t="s">
        <v>30</v>
      </c>
      <c r="G199" s="135" t="s">
        <v>2302</v>
      </c>
      <c r="H199" s="135">
        <v>17.190000000000001</v>
      </c>
      <c r="I199" s="135">
        <v>3.6269999999999998</v>
      </c>
      <c r="J199" s="135">
        <v>6.29</v>
      </c>
      <c r="K199" s="135">
        <v>0</v>
      </c>
      <c r="L199" s="135">
        <v>0</v>
      </c>
      <c r="M199" s="135">
        <v>0</v>
      </c>
      <c r="N199" s="135">
        <v>0</v>
      </c>
      <c r="O199" s="135">
        <v>0</v>
      </c>
      <c r="P199" s="135">
        <v>0</v>
      </c>
      <c r="Q199" s="135">
        <v>0</v>
      </c>
      <c r="R199" s="135">
        <v>0</v>
      </c>
      <c r="S199" s="135">
        <v>2.6629999999999998</v>
      </c>
      <c r="T199" s="135">
        <v>28.006</v>
      </c>
      <c r="U199" s="135">
        <v>0.14699999999999999</v>
      </c>
      <c r="V199" s="135">
        <v>2.8000000000000001E-2</v>
      </c>
      <c r="W199" s="135">
        <v>0</v>
      </c>
      <c r="X199" s="135">
        <v>0</v>
      </c>
      <c r="Y199" s="135" t="s">
        <v>1995</v>
      </c>
      <c r="Z199" s="135">
        <v>4.9000000000000004</v>
      </c>
      <c r="AA199" s="135">
        <v>3800</v>
      </c>
      <c r="AB199" s="135">
        <v>770.8</v>
      </c>
      <c r="AC199" s="135">
        <v>1.3</v>
      </c>
      <c r="AD199" s="135">
        <v>6.3</v>
      </c>
      <c r="AE199" s="135">
        <v>7450</v>
      </c>
      <c r="AF199" s="135">
        <v>1184.5</v>
      </c>
      <c r="AG199" s="135">
        <v>0.84</v>
      </c>
      <c r="AH199" s="135">
        <v>6.5</v>
      </c>
      <c r="AI199" s="135">
        <v>3100</v>
      </c>
      <c r="AJ199" s="135">
        <v>478</v>
      </c>
      <c r="AK199" s="135">
        <v>2.09</v>
      </c>
      <c r="AL199" s="135">
        <v>5</v>
      </c>
      <c r="AM199" s="135">
        <v>5000</v>
      </c>
      <c r="AN199" s="135">
        <v>1008.5</v>
      </c>
      <c r="AO199" s="135">
        <v>0.99</v>
      </c>
      <c r="AP199" s="135"/>
      <c r="AQ199" s="135"/>
      <c r="AR199" s="135"/>
      <c r="AS199" s="135"/>
      <c r="AT199" s="135"/>
      <c r="AU199" s="135"/>
      <c r="AV199" s="135"/>
      <c r="AW199" s="135"/>
      <c r="AX199" s="135">
        <v>5</v>
      </c>
      <c r="AY199" s="135">
        <v>11</v>
      </c>
      <c r="AZ199" s="135">
        <v>2.2000000000000002</v>
      </c>
      <c r="BA199" s="135">
        <v>0.45</v>
      </c>
      <c r="BB199" s="135"/>
      <c r="BC199" s="135"/>
      <c r="BD199" s="135"/>
      <c r="BE199" s="135"/>
      <c r="BF199" s="135">
        <v>6.5</v>
      </c>
      <c r="BG199" s="135">
        <v>6000</v>
      </c>
      <c r="BH199" s="135">
        <v>925.1</v>
      </c>
      <c r="BI199" s="135">
        <v>1.08</v>
      </c>
      <c r="BJ199" s="135">
        <v>40.5</v>
      </c>
      <c r="BK199" s="135">
        <v>6.5</v>
      </c>
      <c r="BL199" s="135">
        <v>17</v>
      </c>
    </row>
    <row r="200" spans="1:64" x14ac:dyDescent="0.3">
      <c r="A200" s="135">
        <v>2016</v>
      </c>
      <c r="B200" s="135">
        <v>4</v>
      </c>
      <c r="C200" s="135" t="s">
        <v>2566</v>
      </c>
      <c r="D200" s="135" t="s">
        <v>514</v>
      </c>
      <c r="E200" s="135" t="s">
        <v>396</v>
      </c>
      <c r="F200" s="135" t="s">
        <v>14</v>
      </c>
      <c r="G200" s="135" t="s">
        <v>2310</v>
      </c>
      <c r="H200" s="135">
        <v>32.14</v>
      </c>
      <c r="I200" s="135">
        <v>3.4630000000000001</v>
      </c>
      <c r="J200" s="135">
        <v>5.7670000000000003</v>
      </c>
      <c r="K200" s="135">
        <v>0</v>
      </c>
      <c r="L200" s="135">
        <v>0</v>
      </c>
      <c r="M200" s="135">
        <v>0</v>
      </c>
      <c r="N200" s="135">
        <v>0</v>
      </c>
      <c r="O200" s="135">
        <v>0</v>
      </c>
      <c r="P200" s="135">
        <v>0</v>
      </c>
      <c r="Q200" s="135">
        <v>0</v>
      </c>
      <c r="R200" s="135">
        <v>0</v>
      </c>
      <c r="S200" s="135">
        <v>2.3039999999999998</v>
      </c>
      <c r="T200" s="135">
        <v>26.626999999999999</v>
      </c>
      <c r="U200" s="135">
        <v>0.14000000000000001</v>
      </c>
      <c r="V200" s="135">
        <v>0.02</v>
      </c>
      <c r="W200" s="135">
        <v>0</v>
      </c>
      <c r="X200" s="135">
        <v>0</v>
      </c>
      <c r="Y200" s="135" t="s">
        <v>1995</v>
      </c>
      <c r="Z200" s="135">
        <v>4.5999999999999996</v>
      </c>
      <c r="AA200" s="135">
        <v>3000</v>
      </c>
      <c r="AB200" s="135">
        <v>652.9</v>
      </c>
      <c r="AC200" s="135">
        <v>1.53</v>
      </c>
      <c r="AD200" s="135">
        <v>5.8</v>
      </c>
      <c r="AE200" s="135">
        <v>5000</v>
      </c>
      <c r="AF200" s="135">
        <v>867</v>
      </c>
      <c r="AG200" s="135">
        <v>1.1499999999999999</v>
      </c>
      <c r="AH200" s="135">
        <v>5.9</v>
      </c>
      <c r="AI200" s="135">
        <v>3000</v>
      </c>
      <c r="AJ200" s="135">
        <v>504.5</v>
      </c>
      <c r="AK200" s="135">
        <v>1.98</v>
      </c>
      <c r="AL200" s="135">
        <v>4.5999999999999996</v>
      </c>
      <c r="AM200" s="135">
        <v>4500</v>
      </c>
      <c r="AN200" s="135">
        <v>975.1</v>
      </c>
      <c r="AO200" s="135">
        <v>1.03</v>
      </c>
      <c r="AP200" s="135"/>
      <c r="AQ200" s="135"/>
      <c r="AR200" s="135"/>
      <c r="AS200" s="135"/>
      <c r="AT200" s="135"/>
      <c r="AU200" s="135"/>
      <c r="AV200" s="135"/>
      <c r="AW200" s="135"/>
      <c r="AX200" s="135">
        <v>4.5999999999999996</v>
      </c>
      <c r="AY200" s="135">
        <v>10</v>
      </c>
      <c r="AZ200" s="135">
        <v>2.2000000000000002</v>
      </c>
      <c r="BA200" s="135">
        <v>0.46</v>
      </c>
      <c r="BB200" s="135"/>
      <c r="BC200" s="135"/>
      <c r="BD200" s="135"/>
      <c r="BE200" s="135"/>
      <c r="BF200" s="135">
        <v>5.9</v>
      </c>
      <c r="BG200" s="135">
        <v>6000</v>
      </c>
      <c r="BH200" s="135">
        <v>1009</v>
      </c>
      <c r="BI200" s="135">
        <v>0.99</v>
      </c>
      <c r="BJ200" s="135">
        <v>45.5</v>
      </c>
      <c r="BK200" s="135">
        <v>8</v>
      </c>
      <c r="BL200" s="135">
        <v>18.75</v>
      </c>
    </row>
    <row r="201" spans="1:64" x14ac:dyDescent="0.3">
      <c r="A201" s="135">
        <v>2016</v>
      </c>
      <c r="B201" s="135">
        <v>4</v>
      </c>
      <c r="C201" s="135" t="s">
        <v>2158</v>
      </c>
      <c r="D201" s="135" t="s">
        <v>254</v>
      </c>
      <c r="E201" s="135" t="s">
        <v>396</v>
      </c>
      <c r="F201" s="135" t="s">
        <v>22</v>
      </c>
      <c r="G201" s="135" t="s">
        <v>2296</v>
      </c>
      <c r="H201" s="135">
        <v>15.55</v>
      </c>
      <c r="I201" s="135">
        <v>3.4470000000000001</v>
      </c>
      <c r="J201" s="135">
        <v>4.5270000000000001</v>
      </c>
      <c r="K201" s="135">
        <v>0</v>
      </c>
      <c r="L201" s="135">
        <v>0</v>
      </c>
      <c r="M201" s="135">
        <v>0</v>
      </c>
      <c r="N201" s="135">
        <v>0</v>
      </c>
      <c r="O201" s="135">
        <v>0</v>
      </c>
      <c r="P201" s="135">
        <v>0</v>
      </c>
      <c r="Q201" s="135">
        <v>0</v>
      </c>
      <c r="R201" s="135">
        <v>0</v>
      </c>
      <c r="S201" s="135">
        <v>1.08</v>
      </c>
      <c r="T201" s="135">
        <v>13.831</v>
      </c>
      <c r="U201" s="135">
        <v>0.34699999999999998</v>
      </c>
      <c r="V201" s="135">
        <v>8.9999999999999993E-3</v>
      </c>
      <c r="W201" s="135">
        <v>0</v>
      </c>
      <c r="X201" s="135">
        <v>0</v>
      </c>
      <c r="Y201" s="135" t="s">
        <v>1995</v>
      </c>
      <c r="Z201" s="135">
        <v>4</v>
      </c>
      <c r="AA201" s="135">
        <v>4000</v>
      </c>
      <c r="AB201" s="135">
        <v>1005.5</v>
      </c>
      <c r="AC201" s="135">
        <v>0.99</v>
      </c>
      <c r="AD201" s="135">
        <v>4.5</v>
      </c>
      <c r="AE201" s="135">
        <v>6950</v>
      </c>
      <c r="AF201" s="135">
        <v>1535.2</v>
      </c>
      <c r="AG201" s="135">
        <v>0.65</v>
      </c>
      <c r="AH201" s="135">
        <v>4.5999999999999996</v>
      </c>
      <c r="AI201" s="135">
        <v>3600</v>
      </c>
      <c r="AJ201" s="135">
        <v>779.4</v>
      </c>
      <c r="AK201" s="135">
        <v>1.28</v>
      </c>
      <c r="AL201" s="135">
        <v>4</v>
      </c>
      <c r="AM201" s="135">
        <v>5300</v>
      </c>
      <c r="AN201" s="135">
        <v>1329.3</v>
      </c>
      <c r="AO201" s="135">
        <v>0.75</v>
      </c>
      <c r="AP201" s="135"/>
      <c r="AQ201" s="135"/>
      <c r="AR201" s="135"/>
      <c r="AS201" s="135"/>
      <c r="AT201" s="135"/>
      <c r="AU201" s="135"/>
      <c r="AV201" s="135"/>
      <c r="AW201" s="135"/>
      <c r="AX201" s="135">
        <v>4</v>
      </c>
      <c r="AY201" s="135">
        <v>11</v>
      </c>
      <c r="AZ201" s="135">
        <v>2.8</v>
      </c>
      <c r="BA201" s="135">
        <v>0.36</v>
      </c>
      <c r="BB201" s="135"/>
      <c r="BC201" s="135"/>
      <c r="BD201" s="135"/>
      <c r="BE201" s="135"/>
      <c r="BF201" s="135">
        <v>4.5999999999999996</v>
      </c>
      <c r="BG201" s="135">
        <v>7000</v>
      </c>
      <c r="BH201" s="135">
        <v>1515.5</v>
      </c>
      <c r="BI201" s="135">
        <v>0.66</v>
      </c>
      <c r="BJ201" s="135">
        <v>50</v>
      </c>
      <c r="BK201" s="135">
        <v>-3</v>
      </c>
      <c r="BL201" s="135">
        <v>26.5</v>
      </c>
    </row>
    <row r="202" spans="1:64" x14ac:dyDescent="0.3">
      <c r="A202" s="135">
        <v>2016</v>
      </c>
      <c r="B202" s="135">
        <v>4</v>
      </c>
      <c r="C202" s="135" t="s">
        <v>2197</v>
      </c>
      <c r="D202" s="135" t="s">
        <v>264</v>
      </c>
      <c r="E202" s="135" t="s">
        <v>396</v>
      </c>
      <c r="F202" s="135" t="s">
        <v>404</v>
      </c>
      <c r="G202" s="135" t="s">
        <v>2308</v>
      </c>
      <c r="H202" s="135">
        <v>29.35</v>
      </c>
      <c r="I202" s="135">
        <v>3.3639999999999999</v>
      </c>
      <c r="J202" s="135">
        <v>5.3920000000000003</v>
      </c>
      <c r="K202" s="135">
        <v>0</v>
      </c>
      <c r="L202" s="135">
        <v>0</v>
      </c>
      <c r="M202" s="135">
        <v>0</v>
      </c>
      <c r="N202" s="135">
        <v>0</v>
      </c>
      <c r="O202" s="135">
        <v>0</v>
      </c>
      <c r="P202" s="135">
        <v>0</v>
      </c>
      <c r="Q202" s="135">
        <v>0</v>
      </c>
      <c r="R202" s="135">
        <v>0</v>
      </c>
      <c r="S202" s="135">
        <v>2.028</v>
      </c>
      <c r="T202" s="135">
        <v>24.219000000000001</v>
      </c>
      <c r="U202" s="135">
        <v>0.16200000000000001</v>
      </c>
      <c r="V202" s="135">
        <v>1.4999999999999999E-2</v>
      </c>
      <c r="W202" s="135">
        <v>0</v>
      </c>
      <c r="X202" s="135">
        <v>0</v>
      </c>
      <c r="Y202" s="135" t="s">
        <v>1995</v>
      </c>
      <c r="Z202" s="135">
        <v>4.4000000000000004</v>
      </c>
      <c r="AA202" s="135">
        <v>3500</v>
      </c>
      <c r="AB202" s="135">
        <v>802.2</v>
      </c>
      <c r="AC202" s="135">
        <v>1.25</v>
      </c>
      <c r="AD202" s="135">
        <v>5.4</v>
      </c>
      <c r="AE202" s="135">
        <v>5900</v>
      </c>
      <c r="AF202" s="135">
        <v>1094.2</v>
      </c>
      <c r="AG202" s="135">
        <v>0.91</v>
      </c>
      <c r="AH202" s="135">
        <v>5.6</v>
      </c>
      <c r="AI202" s="135">
        <v>3000</v>
      </c>
      <c r="AJ202" s="135">
        <v>540.29999999999995</v>
      </c>
      <c r="AK202" s="135">
        <v>1.85</v>
      </c>
      <c r="AL202" s="135">
        <v>4.4000000000000004</v>
      </c>
      <c r="AM202" s="135">
        <v>4600</v>
      </c>
      <c r="AN202" s="135">
        <v>1050.7</v>
      </c>
      <c r="AO202" s="135">
        <v>0.95</v>
      </c>
      <c r="AP202" s="135"/>
      <c r="AQ202" s="135"/>
      <c r="AR202" s="135"/>
      <c r="AS202" s="135"/>
      <c r="AT202" s="135"/>
      <c r="AU202" s="135"/>
      <c r="AV202" s="135"/>
      <c r="AW202" s="135"/>
      <c r="AX202" s="135">
        <v>4.4000000000000004</v>
      </c>
      <c r="AY202" s="135">
        <v>10</v>
      </c>
      <c r="AZ202" s="135">
        <v>2.2999999999999998</v>
      </c>
      <c r="BA202" s="135">
        <v>0.44</v>
      </c>
      <c r="BB202" s="135"/>
      <c r="BC202" s="135"/>
      <c r="BD202" s="135"/>
      <c r="BE202" s="135"/>
      <c r="BF202" s="135">
        <v>5.6</v>
      </c>
      <c r="BG202" s="135">
        <v>6000</v>
      </c>
      <c r="BH202" s="135">
        <v>1080.5999999999999</v>
      </c>
      <c r="BI202" s="135">
        <v>0.93</v>
      </c>
      <c r="BJ202" s="135">
        <v>53.5</v>
      </c>
      <c r="BK202" s="135">
        <v>4</v>
      </c>
      <c r="BL202" s="135">
        <v>24.75</v>
      </c>
    </row>
    <row r="203" spans="1:64" x14ac:dyDescent="0.3">
      <c r="A203" s="135">
        <v>2016</v>
      </c>
      <c r="B203" s="135">
        <v>4</v>
      </c>
      <c r="C203" s="135" t="s">
        <v>2183</v>
      </c>
      <c r="D203" s="135" t="s">
        <v>246</v>
      </c>
      <c r="E203" s="135" t="s">
        <v>396</v>
      </c>
      <c r="F203" s="135" t="s">
        <v>22</v>
      </c>
      <c r="G203" s="135" t="s">
        <v>2296</v>
      </c>
      <c r="H203" s="135">
        <v>15.55</v>
      </c>
      <c r="I203" s="135">
        <v>3.1659999999999999</v>
      </c>
      <c r="J203" s="135">
        <v>5.5670000000000002</v>
      </c>
      <c r="K203" s="135">
        <v>0</v>
      </c>
      <c r="L203" s="135">
        <v>0</v>
      </c>
      <c r="M203" s="135">
        <v>0</v>
      </c>
      <c r="N203" s="135">
        <v>0</v>
      </c>
      <c r="O203" s="135">
        <v>0</v>
      </c>
      <c r="P203" s="135">
        <v>0</v>
      </c>
      <c r="Q203" s="135">
        <v>0</v>
      </c>
      <c r="R203" s="135">
        <v>0</v>
      </c>
      <c r="S203" s="135">
        <v>2.4009999999999998</v>
      </c>
      <c r="T203" s="135">
        <v>26.279</v>
      </c>
      <c r="U203" s="135">
        <v>9.6000000000000002E-2</v>
      </c>
      <c r="V203" s="135">
        <v>1.9E-2</v>
      </c>
      <c r="W203" s="135">
        <v>0</v>
      </c>
      <c r="X203" s="135">
        <v>0</v>
      </c>
      <c r="Y203" s="135" t="s">
        <v>1995</v>
      </c>
      <c r="Z203" s="135">
        <v>4.3</v>
      </c>
      <c r="AA203" s="135">
        <v>3500</v>
      </c>
      <c r="AB203" s="135">
        <v>805.1</v>
      </c>
      <c r="AC203" s="135">
        <v>1.24</v>
      </c>
      <c r="AD203" s="135">
        <v>5.6</v>
      </c>
      <c r="AE203" s="135">
        <v>5000</v>
      </c>
      <c r="AF203" s="135">
        <v>898.2</v>
      </c>
      <c r="AG203" s="135">
        <v>1.1100000000000001</v>
      </c>
      <c r="AH203" s="135">
        <v>5.7</v>
      </c>
      <c r="AI203" s="135">
        <v>3000</v>
      </c>
      <c r="AJ203" s="135">
        <v>522.29999999999995</v>
      </c>
      <c r="AK203" s="135">
        <v>1.91</v>
      </c>
      <c r="AL203" s="135">
        <v>4.4000000000000004</v>
      </c>
      <c r="AM203" s="135">
        <v>4800</v>
      </c>
      <c r="AN203" s="135">
        <v>1099.3</v>
      </c>
      <c r="AO203" s="135">
        <v>0.91</v>
      </c>
      <c r="AP203" s="135"/>
      <c r="AQ203" s="135"/>
      <c r="AR203" s="135"/>
      <c r="AS203" s="135"/>
      <c r="AT203" s="135"/>
      <c r="AU203" s="135"/>
      <c r="AV203" s="135"/>
      <c r="AW203" s="135"/>
      <c r="AX203" s="135">
        <v>4.4000000000000004</v>
      </c>
      <c r="AY203" s="135">
        <v>10</v>
      </c>
      <c r="AZ203" s="135">
        <v>2.2999999999999998</v>
      </c>
      <c r="BA203" s="135">
        <v>0.44</v>
      </c>
      <c r="BB203" s="135"/>
      <c r="BC203" s="135"/>
      <c r="BD203" s="135"/>
      <c r="BE203" s="135"/>
      <c r="BF203" s="135">
        <v>5.7</v>
      </c>
      <c r="BG203" s="135">
        <v>6000</v>
      </c>
      <c r="BH203" s="135">
        <v>1044.5999999999999</v>
      </c>
      <c r="BI203" s="135">
        <v>0.96</v>
      </c>
      <c r="BJ203" s="135">
        <v>50</v>
      </c>
      <c r="BK203" s="135">
        <v>-3</v>
      </c>
      <c r="BL203" s="135">
        <v>26.5</v>
      </c>
    </row>
    <row r="204" spans="1:64" x14ac:dyDescent="0.3">
      <c r="A204" s="135">
        <v>2016</v>
      </c>
      <c r="B204" s="135">
        <v>4</v>
      </c>
      <c r="C204" s="135" t="s">
        <v>2567</v>
      </c>
      <c r="D204" s="135" t="s">
        <v>290</v>
      </c>
      <c r="E204" s="135" t="s">
        <v>396</v>
      </c>
      <c r="F204" s="135" t="s">
        <v>70</v>
      </c>
      <c r="G204" s="135" t="s">
        <v>2005</v>
      </c>
      <c r="H204" s="135">
        <v>32.64</v>
      </c>
      <c r="I204" s="135">
        <v>3.145</v>
      </c>
      <c r="J204" s="135">
        <v>4.7359999999999998</v>
      </c>
      <c r="K204" s="135">
        <v>0</v>
      </c>
      <c r="L204" s="135">
        <v>0</v>
      </c>
      <c r="M204" s="135">
        <v>0</v>
      </c>
      <c r="N204" s="135">
        <v>0</v>
      </c>
      <c r="O204" s="135">
        <v>0</v>
      </c>
      <c r="P204" s="135">
        <v>0</v>
      </c>
      <c r="Q204" s="135">
        <v>0</v>
      </c>
      <c r="R204" s="135">
        <v>0</v>
      </c>
      <c r="S204" s="135">
        <v>1.591</v>
      </c>
      <c r="T204" s="135">
        <v>22.869</v>
      </c>
      <c r="U204" s="135">
        <v>0.14799999999999999</v>
      </c>
      <c r="V204" s="135">
        <v>1.4999999999999999E-2</v>
      </c>
      <c r="W204" s="135">
        <v>0</v>
      </c>
      <c r="X204" s="135">
        <v>0</v>
      </c>
      <c r="Y204" s="135" t="s">
        <v>1995</v>
      </c>
      <c r="Z204" s="135">
        <v>3.9</v>
      </c>
      <c r="AA204" s="135">
        <v>3500</v>
      </c>
      <c r="AB204" s="135">
        <v>891.6</v>
      </c>
      <c r="AC204" s="135">
        <v>1.1200000000000001</v>
      </c>
      <c r="AD204" s="135">
        <v>4.7</v>
      </c>
      <c r="AE204" s="135">
        <v>5000</v>
      </c>
      <c r="AF204" s="135">
        <v>1055.8</v>
      </c>
      <c r="AG204" s="135">
        <v>0.95</v>
      </c>
      <c r="AH204" s="135">
        <v>4.9000000000000004</v>
      </c>
      <c r="AI204" s="135">
        <v>3000</v>
      </c>
      <c r="AJ204" s="135">
        <v>613.70000000000005</v>
      </c>
      <c r="AK204" s="135">
        <v>1.63</v>
      </c>
      <c r="AL204" s="135">
        <v>3.9</v>
      </c>
      <c r="AM204" s="135">
        <v>4500</v>
      </c>
      <c r="AN204" s="135">
        <v>1142</v>
      </c>
      <c r="AO204" s="135">
        <v>0.88</v>
      </c>
      <c r="AP204" s="135"/>
      <c r="AQ204" s="135"/>
      <c r="AR204" s="135"/>
      <c r="AS204" s="135"/>
      <c r="AT204" s="135"/>
      <c r="AU204" s="135"/>
      <c r="AV204" s="135"/>
      <c r="AW204" s="135"/>
      <c r="AX204" s="135">
        <v>3.9</v>
      </c>
      <c r="AY204" s="135">
        <v>10</v>
      </c>
      <c r="AZ204" s="135">
        <v>2.5</v>
      </c>
      <c r="BA204" s="135">
        <v>0.39</v>
      </c>
      <c r="BB204" s="135"/>
      <c r="BC204" s="135"/>
      <c r="BD204" s="135"/>
      <c r="BE204" s="135"/>
      <c r="BF204" s="135">
        <v>4.9000000000000004</v>
      </c>
      <c r="BG204" s="135">
        <v>6000</v>
      </c>
      <c r="BH204" s="135">
        <v>1227.5</v>
      </c>
      <c r="BI204" s="135">
        <v>0.81</v>
      </c>
      <c r="BJ204" s="135">
        <v>44</v>
      </c>
      <c r="BK204" s="135">
        <v>-3</v>
      </c>
      <c r="BL204" s="135">
        <v>23.5</v>
      </c>
    </row>
    <row r="205" spans="1:64" x14ac:dyDescent="0.3">
      <c r="A205" s="135">
        <v>2016</v>
      </c>
      <c r="B205" s="135">
        <v>4</v>
      </c>
      <c r="C205" s="135" t="s">
        <v>2174</v>
      </c>
      <c r="D205" s="135" t="s">
        <v>293</v>
      </c>
      <c r="E205" s="135" t="s">
        <v>396</v>
      </c>
      <c r="F205" s="135" t="s">
        <v>41</v>
      </c>
      <c r="G205" s="135" t="s">
        <v>37</v>
      </c>
      <c r="H205" s="135">
        <v>18.84</v>
      </c>
      <c r="I205" s="135">
        <v>2.931</v>
      </c>
      <c r="J205" s="135">
        <v>4.1680000000000001</v>
      </c>
      <c r="K205" s="135">
        <v>0</v>
      </c>
      <c r="L205" s="135">
        <v>0</v>
      </c>
      <c r="M205" s="135">
        <v>0</v>
      </c>
      <c r="N205" s="135">
        <v>0</v>
      </c>
      <c r="O205" s="135">
        <v>0</v>
      </c>
      <c r="P205" s="135">
        <v>0</v>
      </c>
      <c r="Q205" s="135">
        <v>0</v>
      </c>
      <c r="R205" s="135">
        <v>0</v>
      </c>
      <c r="S205" s="135">
        <v>1.2370000000000001</v>
      </c>
      <c r="T205" s="135">
        <v>20.486000000000001</v>
      </c>
      <c r="U205" s="135">
        <v>0.151</v>
      </c>
      <c r="V205" s="135">
        <v>1.2E-2</v>
      </c>
      <c r="W205" s="135">
        <v>0</v>
      </c>
      <c r="X205" s="135">
        <v>0</v>
      </c>
      <c r="Y205" s="135" t="s">
        <v>1995</v>
      </c>
      <c r="Z205" s="135">
        <v>3.5</v>
      </c>
      <c r="AA205" s="135">
        <v>3500</v>
      </c>
      <c r="AB205" s="135">
        <v>989.5</v>
      </c>
      <c r="AC205" s="135">
        <v>1.01</v>
      </c>
      <c r="AD205" s="135">
        <v>4.2</v>
      </c>
      <c r="AE205" s="135">
        <v>5000</v>
      </c>
      <c r="AF205" s="135">
        <v>1199.7</v>
      </c>
      <c r="AG205" s="135">
        <v>0.83</v>
      </c>
      <c r="AH205" s="135">
        <v>4.3</v>
      </c>
      <c r="AI205" s="135">
        <v>3000</v>
      </c>
      <c r="AJ205" s="135">
        <v>697.3</v>
      </c>
      <c r="AK205" s="135">
        <v>1.43</v>
      </c>
      <c r="AL205" s="135">
        <v>3.5</v>
      </c>
      <c r="AM205" s="135">
        <v>4700</v>
      </c>
      <c r="AN205" s="135">
        <v>1324.3</v>
      </c>
      <c r="AO205" s="135">
        <v>0.76</v>
      </c>
      <c r="AP205" s="135"/>
      <c r="AQ205" s="135"/>
      <c r="AR205" s="135"/>
      <c r="AS205" s="135"/>
      <c r="AT205" s="135"/>
      <c r="AU205" s="135"/>
      <c r="AV205" s="135"/>
      <c r="AW205" s="135"/>
      <c r="AX205" s="135">
        <v>3.5</v>
      </c>
      <c r="AY205" s="135">
        <v>10</v>
      </c>
      <c r="AZ205" s="135">
        <v>2.8</v>
      </c>
      <c r="BA205" s="135">
        <v>0.35</v>
      </c>
      <c r="BB205" s="135"/>
      <c r="BC205" s="135"/>
      <c r="BD205" s="135"/>
      <c r="BE205" s="135"/>
      <c r="BF205" s="135">
        <v>4.3</v>
      </c>
      <c r="BG205" s="135">
        <v>6000</v>
      </c>
      <c r="BH205" s="135">
        <v>1394.5</v>
      </c>
      <c r="BI205" s="135">
        <v>0.72</v>
      </c>
      <c r="BJ205" s="135">
        <v>43.5</v>
      </c>
      <c r="BK205" s="135">
        <v>-4</v>
      </c>
      <c r="BL205" s="135">
        <v>23.75</v>
      </c>
    </row>
    <row r="206" spans="1:64" x14ac:dyDescent="0.3">
      <c r="A206" s="135">
        <v>2016</v>
      </c>
      <c r="B206" s="135">
        <v>4</v>
      </c>
      <c r="C206" s="135" t="s">
        <v>2146</v>
      </c>
      <c r="D206" s="135" t="s">
        <v>1248</v>
      </c>
      <c r="E206" s="135" t="s">
        <v>396</v>
      </c>
      <c r="F206" s="135" t="s">
        <v>20</v>
      </c>
      <c r="G206" s="135" t="s">
        <v>397</v>
      </c>
      <c r="H206" s="135">
        <v>16.2</v>
      </c>
      <c r="I206" s="135">
        <v>2.7690000000000001</v>
      </c>
      <c r="J206" s="135">
        <v>3.855</v>
      </c>
      <c r="K206" s="135">
        <v>0</v>
      </c>
      <c r="L206" s="135">
        <v>0</v>
      </c>
      <c r="M206" s="135">
        <v>0</v>
      </c>
      <c r="N206" s="135">
        <v>0</v>
      </c>
      <c r="O206" s="135">
        <v>0</v>
      </c>
      <c r="P206" s="135">
        <v>0</v>
      </c>
      <c r="Q206" s="135">
        <v>0</v>
      </c>
      <c r="R206" s="135">
        <v>0</v>
      </c>
      <c r="S206" s="135">
        <v>1.0860000000000001</v>
      </c>
      <c r="T206" s="135">
        <v>21.225000000000001</v>
      </c>
      <c r="U206" s="135">
        <v>0.111</v>
      </c>
      <c r="V206" s="135">
        <v>0.01</v>
      </c>
      <c r="W206" s="135">
        <v>0</v>
      </c>
      <c r="X206" s="135">
        <v>0</v>
      </c>
      <c r="Y206" s="135" t="s">
        <v>1995</v>
      </c>
      <c r="Z206" s="135">
        <v>3.3</v>
      </c>
      <c r="AA206" s="135">
        <v>3600</v>
      </c>
      <c r="AB206" s="135">
        <v>1090.4000000000001</v>
      </c>
      <c r="AC206" s="135">
        <v>0.92</v>
      </c>
      <c r="AD206" s="135">
        <v>3.9</v>
      </c>
      <c r="AE206" s="135">
        <v>5000</v>
      </c>
      <c r="AF206" s="135">
        <v>1297.2</v>
      </c>
      <c r="AG206" s="135">
        <v>0.77</v>
      </c>
      <c r="AH206" s="135">
        <v>4</v>
      </c>
      <c r="AI206" s="135">
        <v>3500</v>
      </c>
      <c r="AJ206" s="135">
        <v>876.8</v>
      </c>
      <c r="AK206" s="135">
        <v>1.1399999999999999</v>
      </c>
      <c r="AL206" s="135">
        <v>3.3</v>
      </c>
      <c r="AM206" s="135">
        <v>5400</v>
      </c>
      <c r="AN206" s="135">
        <v>1630.7</v>
      </c>
      <c r="AO206" s="135">
        <v>0.61</v>
      </c>
      <c r="AP206" s="135"/>
      <c r="AQ206" s="135"/>
      <c r="AR206" s="135"/>
      <c r="AS206" s="135"/>
      <c r="AT206" s="135"/>
      <c r="AU206" s="135"/>
      <c r="AV206" s="135"/>
      <c r="AW206" s="135"/>
      <c r="AX206" s="135">
        <v>3.3</v>
      </c>
      <c r="AY206" s="135">
        <v>14</v>
      </c>
      <c r="AZ206" s="135">
        <v>4.2</v>
      </c>
      <c r="BA206" s="135">
        <v>0.24</v>
      </c>
      <c r="BB206" s="135"/>
      <c r="BC206" s="135"/>
      <c r="BD206" s="135"/>
      <c r="BE206" s="135"/>
      <c r="BF206" s="135">
        <v>4</v>
      </c>
      <c r="BG206" s="135">
        <v>7000</v>
      </c>
      <c r="BH206" s="135">
        <v>1753.6</v>
      </c>
      <c r="BI206" s="135">
        <v>0.56999999999999995</v>
      </c>
      <c r="BJ206" s="135">
        <v>47.5</v>
      </c>
      <c r="BK206" s="135">
        <v>-5.5</v>
      </c>
      <c r="BL206" s="135">
        <v>26.5</v>
      </c>
    </row>
    <row r="207" spans="1:64" x14ac:dyDescent="0.3">
      <c r="A207" s="135">
        <v>2016</v>
      </c>
      <c r="B207" s="135">
        <v>4</v>
      </c>
      <c r="C207" s="135" t="s">
        <v>2168</v>
      </c>
      <c r="D207" s="135" t="s">
        <v>257</v>
      </c>
      <c r="E207" s="135" t="s">
        <v>396</v>
      </c>
      <c r="F207" s="135" t="s">
        <v>14</v>
      </c>
      <c r="G207" s="135" t="s">
        <v>2310</v>
      </c>
      <c r="H207" s="135">
        <v>32.14</v>
      </c>
      <c r="I207" s="135">
        <v>2.5950000000000002</v>
      </c>
      <c r="J207" s="135">
        <v>4.4800000000000004</v>
      </c>
      <c r="K207" s="135">
        <v>0</v>
      </c>
      <c r="L207" s="135">
        <v>0</v>
      </c>
      <c r="M207" s="135">
        <v>0</v>
      </c>
      <c r="N207" s="135">
        <v>0</v>
      </c>
      <c r="O207" s="135">
        <v>0</v>
      </c>
      <c r="P207" s="135">
        <v>0</v>
      </c>
      <c r="Q207" s="135">
        <v>0</v>
      </c>
      <c r="R207" s="135">
        <v>0</v>
      </c>
      <c r="S207" s="135">
        <v>1.885</v>
      </c>
      <c r="T207" s="135">
        <v>19.97</v>
      </c>
      <c r="U207" s="135">
        <v>0.105</v>
      </c>
      <c r="V207" s="135">
        <v>1.6E-2</v>
      </c>
      <c r="W207" s="135">
        <v>0</v>
      </c>
      <c r="X207" s="135">
        <v>0</v>
      </c>
      <c r="Y207" s="135" t="s">
        <v>1995</v>
      </c>
      <c r="Z207" s="135">
        <v>3.5</v>
      </c>
      <c r="AA207" s="135">
        <v>3000</v>
      </c>
      <c r="AB207" s="135">
        <v>851.9</v>
      </c>
      <c r="AC207" s="135">
        <v>1.17</v>
      </c>
      <c r="AD207" s="135">
        <v>4.5</v>
      </c>
      <c r="AE207" s="135">
        <v>5000</v>
      </c>
      <c r="AF207" s="135">
        <v>1116.0999999999999</v>
      </c>
      <c r="AG207" s="135">
        <v>0.9</v>
      </c>
      <c r="AH207" s="135">
        <v>4.5999999999999996</v>
      </c>
      <c r="AI207" s="135">
        <v>3000</v>
      </c>
      <c r="AJ207" s="135">
        <v>649.9</v>
      </c>
      <c r="AK207" s="135">
        <v>1.54</v>
      </c>
      <c r="AL207" s="135">
        <v>3.5</v>
      </c>
      <c r="AM207" s="135">
        <v>4500</v>
      </c>
      <c r="AN207" s="135">
        <v>1272.0999999999999</v>
      </c>
      <c r="AO207" s="135">
        <v>0.79</v>
      </c>
      <c r="AP207" s="135"/>
      <c r="AQ207" s="135"/>
      <c r="AR207" s="135"/>
      <c r="AS207" s="135"/>
      <c r="AT207" s="135"/>
      <c r="AU207" s="135"/>
      <c r="AV207" s="135"/>
      <c r="AW207" s="135"/>
      <c r="AX207" s="135">
        <v>3.5</v>
      </c>
      <c r="AY207" s="135">
        <v>10</v>
      </c>
      <c r="AZ207" s="135">
        <v>2.8</v>
      </c>
      <c r="BA207" s="135">
        <v>0.35</v>
      </c>
      <c r="BB207" s="135"/>
      <c r="BC207" s="135"/>
      <c r="BD207" s="135"/>
      <c r="BE207" s="135"/>
      <c r="BF207" s="135">
        <v>4.5999999999999996</v>
      </c>
      <c r="BG207" s="135">
        <v>6000</v>
      </c>
      <c r="BH207" s="135">
        <v>1299.9000000000001</v>
      </c>
      <c r="BI207" s="135">
        <v>0.77</v>
      </c>
      <c r="BJ207" s="135">
        <v>45.5</v>
      </c>
      <c r="BK207" s="135">
        <v>8</v>
      </c>
      <c r="BL207" s="135">
        <v>18.75</v>
      </c>
    </row>
    <row r="208" spans="1:64" x14ac:dyDescent="0.3">
      <c r="A208" s="135">
        <v>2016</v>
      </c>
      <c r="B208" s="135">
        <v>4</v>
      </c>
      <c r="C208" s="135" t="s">
        <v>2177</v>
      </c>
      <c r="D208" s="135" t="s">
        <v>268</v>
      </c>
      <c r="E208" s="135" t="s">
        <v>396</v>
      </c>
      <c r="F208" s="135" t="s">
        <v>43</v>
      </c>
      <c r="G208" s="135" t="s">
        <v>30</v>
      </c>
      <c r="H208" s="135">
        <v>19.5</v>
      </c>
      <c r="I208" s="135">
        <v>2.081</v>
      </c>
      <c r="J208" s="135">
        <v>2.85</v>
      </c>
      <c r="K208" s="135">
        <v>0</v>
      </c>
      <c r="L208" s="135">
        <v>0</v>
      </c>
      <c r="M208" s="135">
        <v>0</v>
      </c>
      <c r="N208" s="135">
        <v>0</v>
      </c>
      <c r="O208" s="135">
        <v>0</v>
      </c>
      <c r="P208" s="135">
        <v>0</v>
      </c>
      <c r="Q208" s="135">
        <v>0</v>
      </c>
      <c r="R208" s="135">
        <v>0</v>
      </c>
      <c r="S208" s="135">
        <v>0.76900000000000002</v>
      </c>
      <c r="T208" s="135">
        <v>14.826000000000001</v>
      </c>
      <c r="U208" s="135">
        <v>0.10199999999999999</v>
      </c>
      <c r="V208" s="135">
        <v>7.0000000000000001E-3</v>
      </c>
      <c r="W208" s="135">
        <v>0</v>
      </c>
      <c r="X208" s="135">
        <v>0</v>
      </c>
      <c r="Y208" s="135" t="s">
        <v>1995</v>
      </c>
      <c r="Z208" s="135">
        <v>2.5</v>
      </c>
      <c r="AA208" s="135">
        <v>3000</v>
      </c>
      <c r="AB208" s="135">
        <v>1220.5</v>
      </c>
      <c r="AC208" s="135">
        <v>0.82</v>
      </c>
      <c r="AD208" s="135">
        <v>2.8</v>
      </c>
      <c r="AE208" s="135">
        <v>5000</v>
      </c>
      <c r="AF208" s="135">
        <v>1754.6</v>
      </c>
      <c r="AG208" s="135">
        <v>0.56999999999999995</v>
      </c>
      <c r="AH208" s="135">
        <v>2.9</v>
      </c>
      <c r="AI208" s="135">
        <v>3100</v>
      </c>
      <c r="AJ208" s="135">
        <v>1052.4000000000001</v>
      </c>
      <c r="AK208" s="135">
        <v>0.95</v>
      </c>
      <c r="AL208" s="135">
        <v>2.5</v>
      </c>
      <c r="AM208" s="135">
        <v>4700</v>
      </c>
      <c r="AN208" s="135">
        <v>1906.6</v>
      </c>
      <c r="AO208" s="135">
        <v>0.52</v>
      </c>
      <c r="AP208" s="135"/>
      <c r="AQ208" s="135"/>
      <c r="AR208" s="135"/>
      <c r="AS208" s="135"/>
      <c r="AT208" s="135"/>
      <c r="AU208" s="135"/>
      <c r="AV208" s="135"/>
      <c r="AW208" s="135"/>
      <c r="AX208" s="135">
        <v>2.5</v>
      </c>
      <c r="AY208" s="135">
        <v>10</v>
      </c>
      <c r="AZ208" s="135">
        <v>4.0999999999999996</v>
      </c>
      <c r="BA208" s="135">
        <v>0.25</v>
      </c>
      <c r="BB208" s="135"/>
      <c r="BC208" s="135"/>
      <c r="BD208" s="135"/>
      <c r="BE208" s="135"/>
      <c r="BF208" s="135">
        <v>2.9</v>
      </c>
      <c r="BG208" s="135">
        <v>6000</v>
      </c>
      <c r="BH208" s="135">
        <v>2037</v>
      </c>
      <c r="BI208" s="135">
        <v>0.49</v>
      </c>
      <c r="BJ208" s="135">
        <v>40.5</v>
      </c>
      <c r="BK208" s="135">
        <v>-6.5</v>
      </c>
      <c r="BL208" s="135">
        <v>23.5</v>
      </c>
    </row>
    <row r="209" spans="1:64" x14ac:dyDescent="0.3">
      <c r="A209" s="135">
        <v>2016</v>
      </c>
      <c r="B209" s="135">
        <v>4</v>
      </c>
      <c r="C209" s="135" t="s">
        <v>2185</v>
      </c>
      <c r="D209" s="135" t="s">
        <v>524</v>
      </c>
      <c r="E209" s="135" t="s">
        <v>396</v>
      </c>
      <c r="F209" s="135" t="s">
        <v>14</v>
      </c>
      <c r="G209" s="135" t="s">
        <v>2310</v>
      </c>
      <c r="H209" s="135">
        <v>32.14</v>
      </c>
      <c r="I209" s="135">
        <v>2.0190000000000001</v>
      </c>
      <c r="J209" s="135">
        <v>3.4849999999999999</v>
      </c>
      <c r="K209" s="135">
        <v>0</v>
      </c>
      <c r="L209" s="135">
        <v>0</v>
      </c>
      <c r="M209" s="135">
        <v>0</v>
      </c>
      <c r="N209" s="135">
        <v>0</v>
      </c>
      <c r="O209" s="135">
        <v>0</v>
      </c>
      <c r="P209" s="135">
        <v>0</v>
      </c>
      <c r="Q209" s="135">
        <v>0</v>
      </c>
      <c r="R209" s="135">
        <v>0</v>
      </c>
      <c r="S209" s="135">
        <v>1.466</v>
      </c>
      <c r="T209" s="135">
        <v>15.532</v>
      </c>
      <c r="U209" s="135">
        <v>8.2000000000000003E-2</v>
      </c>
      <c r="V209" s="135">
        <v>1.2999999999999999E-2</v>
      </c>
      <c r="W209" s="135">
        <v>0</v>
      </c>
      <c r="X209" s="135">
        <v>0</v>
      </c>
      <c r="Y209" s="135" t="s">
        <v>1995</v>
      </c>
      <c r="Z209" s="135">
        <v>2.7</v>
      </c>
      <c r="AA209" s="135">
        <v>3000</v>
      </c>
      <c r="AB209" s="135">
        <v>1095.2</v>
      </c>
      <c r="AC209" s="135">
        <v>0.91</v>
      </c>
      <c r="AD209" s="135">
        <v>3.5</v>
      </c>
      <c r="AE209" s="135">
        <v>5000</v>
      </c>
      <c r="AF209" s="135">
        <v>1434.6</v>
      </c>
      <c r="AG209" s="135">
        <v>0.7</v>
      </c>
      <c r="AH209" s="135">
        <v>3.6</v>
      </c>
      <c r="AI209" s="135">
        <v>3000</v>
      </c>
      <c r="AJ209" s="135">
        <v>835.3</v>
      </c>
      <c r="AK209" s="135">
        <v>1.2</v>
      </c>
      <c r="AL209" s="135">
        <v>2.8</v>
      </c>
      <c r="AM209" s="135">
        <v>4500</v>
      </c>
      <c r="AN209" s="135">
        <v>1635.1</v>
      </c>
      <c r="AO209" s="135">
        <v>0.61</v>
      </c>
      <c r="AP209" s="135"/>
      <c r="AQ209" s="135"/>
      <c r="AR209" s="135"/>
      <c r="AS209" s="135"/>
      <c r="AT209" s="135"/>
      <c r="AU209" s="135"/>
      <c r="AV209" s="135"/>
      <c r="AW209" s="135"/>
      <c r="AX209" s="135">
        <v>2.8</v>
      </c>
      <c r="AY209" s="135">
        <v>10</v>
      </c>
      <c r="AZ209" s="135">
        <v>3.6</v>
      </c>
      <c r="BA209" s="135">
        <v>0.28000000000000003</v>
      </c>
      <c r="BB209" s="135"/>
      <c r="BC209" s="135"/>
      <c r="BD209" s="135"/>
      <c r="BE209" s="135"/>
      <c r="BF209" s="135">
        <v>3.6</v>
      </c>
      <c r="BG209" s="135">
        <v>6000</v>
      </c>
      <c r="BH209" s="135">
        <v>1670.7</v>
      </c>
      <c r="BI209" s="135">
        <v>0.6</v>
      </c>
      <c r="BJ209" s="135">
        <v>45.5</v>
      </c>
      <c r="BK209" s="135">
        <v>8</v>
      </c>
      <c r="BL209" s="135">
        <v>18.75</v>
      </c>
    </row>
    <row r="210" spans="1:64" x14ac:dyDescent="0.3">
      <c r="A210" s="135">
        <v>2016</v>
      </c>
      <c r="B210" s="135">
        <v>4</v>
      </c>
      <c r="C210" s="135" t="s">
        <v>2181</v>
      </c>
      <c r="D210" s="135" t="s">
        <v>267</v>
      </c>
      <c r="E210" s="135" t="s">
        <v>396</v>
      </c>
      <c r="F210" s="135" t="s">
        <v>7</v>
      </c>
      <c r="G210" s="135" t="s">
        <v>2305</v>
      </c>
      <c r="H210" s="135">
        <v>36.82</v>
      </c>
      <c r="I210" s="135">
        <v>1.9970000000000001</v>
      </c>
      <c r="J210" s="135">
        <v>3.109</v>
      </c>
      <c r="K210" s="135">
        <v>0</v>
      </c>
      <c r="L210" s="135">
        <v>0</v>
      </c>
      <c r="M210" s="135">
        <v>0</v>
      </c>
      <c r="N210" s="135">
        <v>0</v>
      </c>
      <c r="O210" s="135">
        <v>0</v>
      </c>
      <c r="P210" s="135">
        <v>0</v>
      </c>
      <c r="Q210" s="135">
        <v>0</v>
      </c>
      <c r="R210" s="135">
        <v>0</v>
      </c>
      <c r="S210" s="135">
        <v>1.1120000000000001</v>
      </c>
      <c r="T210" s="135">
        <v>14.147</v>
      </c>
      <c r="U210" s="135">
        <v>0.10100000000000001</v>
      </c>
      <c r="V210" s="135">
        <v>1.2E-2</v>
      </c>
      <c r="W210" s="135">
        <v>0</v>
      </c>
      <c r="X210" s="135">
        <v>0</v>
      </c>
      <c r="Y210" s="135" t="s">
        <v>1995</v>
      </c>
      <c r="Z210" s="135">
        <v>2.5</v>
      </c>
      <c r="AA210" s="135">
        <v>3500</v>
      </c>
      <c r="AB210" s="135">
        <v>1377.6</v>
      </c>
      <c r="AC210" s="135">
        <v>0.73</v>
      </c>
      <c r="AD210" s="135">
        <v>3.1</v>
      </c>
      <c r="AE210" s="135">
        <v>5000</v>
      </c>
      <c r="AF210" s="135">
        <v>1608.4</v>
      </c>
      <c r="AG210" s="135">
        <v>0.62</v>
      </c>
      <c r="AH210" s="135">
        <v>3.2</v>
      </c>
      <c r="AI210" s="135">
        <v>3000</v>
      </c>
      <c r="AJ210" s="135">
        <v>935.9</v>
      </c>
      <c r="AK210" s="135">
        <v>1.07</v>
      </c>
      <c r="AL210" s="135">
        <v>2.6</v>
      </c>
      <c r="AM210" s="135">
        <v>4500</v>
      </c>
      <c r="AN210" s="135">
        <v>1762.8</v>
      </c>
      <c r="AO210" s="135">
        <v>0.56999999999999995</v>
      </c>
      <c r="AP210" s="135"/>
      <c r="AQ210" s="135"/>
      <c r="AR210" s="135"/>
      <c r="AS210" s="135"/>
      <c r="AT210" s="135"/>
      <c r="AU210" s="135"/>
      <c r="AV210" s="135"/>
      <c r="AW210" s="135"/>
      <c r="AX210" s="135">
        <v>2.6</v>
      </c>
      <c r="AY210" s="135">
        <v>10</v>
      </c>
      <c r="AZ210" s="135">
        <v>3.9</v>
      </c>
      <c r="BA210" s="135">
        <v>0.26</v>
      </c>
      <c r="BB210" s="135"/>
      <c r="BC210" s="135"/>
      <c r="BD210" s="135"/>
      <c r="BE210" s="135"/>
      <c r="BF210" s="135">
        <v>3.2</v>
      </c>
      <c r="BG210" s="135">
        <v>6000</v>
      </c>
      <c r="BH210" s="135">
        <v>1871.7</v>
      </c>
      <c r="BI210" s="135">
        <v>0.53</v>
      </c>
      <c r="BJ210" s="135">
        <v>40.5</v>
      </c>
      <c r="BK210" s="135">
        <v>-1.5</v>
      </c>
      <c r="BL210" s="135">
        <v>21</v>
      </c>
    </row>
    <row r="211" spans="1:64" x14ac:dyDescent="0.3">
      <c r="A211" s="135">
        <v>2016</v>
      </c>
      <c r="B211" s="135">
        <v>4</v>
      </c>
      <c r="C211" s="135" t="s">
        <v>2176</v>
      </c>
      <c r="D211" s="135" t="s">
        <v>408</v>
      </c>
      <c r="E211" s="135" t="s">
        <v>396</v>
      </c>
      <c r="F211" s="135" t="s">
        <v>30</v>
      </c>
      <c r="G211" s="135" t="s">
        <v>2302</v>
      </c>
      <c r="H211" s="135">
        <v>17.190000000000001</v>
      </c>
      <c r="I211" s="135">
        <v>1.9410000000000001</v>
      </c>
      <c r="J211" s="135">
        <v>3.0059999999999998</v>
      </c>
      <c r="K211" s="135">
        <v>0</v>
      </c>
      <c r="L211" s="135">
        <v>0</v>
      </c>
      <c r="M211" s="135">
        <v>0</v>
      </c>
      <c r="N211" s="135">
        <v>0</v>
      </c>
      <c r="O211" s="135">
        <v>0</v>
      </c>
      <c r="P211" s="135">
        <v>0</v>
      </c>
      <c r="Q211" s="135">
        <v>0</v>
      </c>
      <c r="R211" s="135">
        <v>0</v>
      </c>
      <c r="S211" s="135">
        <v>1.0649999999999999</v>
      </c>
      <c r="T211" s="135">
        <v>11.41</v>
      </c>
      <c r="U211" s="135">
        <v>0.13700000000000001</v>
      </c>
      <c r="V211" s="135">
        <v>1.0999999999999999E-2</v>
      </c>
      <c r="W211" s="135">
        <v>0</v>
      </c>
      <c r="X211" s="135">
        <v>0</v>
      </c>
      <c r="Y211" s="135" t="s">
        <v>1995</v>
      </c>
      <c r="Z211" s="135">
        <v>2.5</v>
      </c>
      <c r="AA211" s="135">
        <v>3800</v>
      </c>
      <c r="AB211" s="135">
        <v>1543.1</v>
      </c>
      <c r="AC211" s="135">
        <v>0.65</v>
      </c>
      <c r="AD211" s="135">
        <v>3</v>
      </c>
      <c r="AE211" s="135">
        <v>5000</v>
      </c>
      <c r="AF211" s="135">
        <v>1663.3</v>
      </c>
      <c r="AG211" s="135">
        <v>0.6</v>
      </c>
      <c r="AH211" s="135">
        <v>3.1</v>
      </c>
      <c r="AI211" s="135">
        <v>3200</v>
      </c>
      <c r="AJ211" s="135">
        <v>1037.0999999999999</v>
      </c>
      <c r="AK211" s="135">
        <v>0.96</v>
      </c>
      <c r="AL211" s="135">
        <v>2.5</v>
      </c>
      <c r="AM211" s="135">
        <v>5100</v>
      </c>
      <c r="AN211" s="135">
        <v>2061.9</v>
      </c>
      <c r="AO211" s="135">
        <v>0.49</v>
      </c>
      <c r="AP211" s="135"/>
      <c r="AQ211" s="135"/>
      <c r="AR211" s="135"/>
      <c r="AS211" s="135"/>
      <c r="AT211" s="135"/>
      <c r="AU211" s="135"/>
      <c r="AV211" s="135"/>
      <c r="AW211" s="135"/>
      <c r="AX211" s="135">
        <v>2.5</v>
      </c>
      <c r="AY211" s="135">
        <v>10</v>
      </c>
      <c r="AZ211" s="135">
        <v>4</v>
      </c>
      <c r="BA211" s="135">
        <v>0.25</v>
      </c>
      <c r="BB211" s="135"/>
      <c r="BC211" s="135"/>
      <c r="BD211" s="135"/>
      <c r="BE211" s="135"/>
      <c r="BF211" s="135">
        <v>3.1</v>
      </c>
      <c r="BG211" s="135">
        <v>6300</v>
      </c>
      <c r="BH211" s="135">
        <v>2041.8</v>
      </c>
      <c r="BI211" s="135">
        <v>0.49</v>
      </c>
      <c r="BJ211" s="135">
        <v>40.5</v>
      </c>
      <c r="BK211" s="135">
        <v>6.5</v>
      </c>
      <c r="BL211" s="135">
        <v>17</v>
      </c>
    </row>
    <row r="212" spans="1:64" x14ac:dyDescent="0.3">
      <c r="A212" s="135">
        <v>2016</v>
      </c>
      <c r="B212" s="135">
        <v>4</v>
      </c>
      <c r="C212" s="135" t="s">
        <v>2186</v>
      </c>
      <c r="D212" s="135" t="s">
        <v>248</v>
      </c>
      <c r="E212" s="135" t="s">
        <v>396</v>
      </c>
      <c r="F212" s="135" t="s">
        <v>397</v>
      </c>
      <c r="G212" s="135" t="s">
        <v>2307</v>
      </c>
      <c r="H212" s="135">
        <v>15.77</v>
      </c>
      <c r="I212" s="135">
        <v>1.8240000000000001</v>
      </c>
      <c r="J212" s="135">
        <v>2.8410000000000002</v>
      </c>
      <c r="K212" s="135">
        <v>0</v>
      </c>
      <c r="L212" s="135">
        <v>0</v>
      </c>
      <c r="M212" s="135">
        <v>0</v>
      </c>
      <c r="N212" s="135">
        <v>0</v>
      </c>
      <c r="O212" s="135">
        <v>0</v>
      </c>
      <c r="P212" s="135">
        <v>0</v>
      </c>
      <c r="Q212" s="135">
        <v>0</v>
      </c>
      <c r="R212" s="135">
        <v>0</v>
      </c>
      <c r="S212" s="135">
        <v>1.0169999999999999</v>
      </c>
      <c r="T212" s="135">
        <v>10.579000000000001</v>
      </c>
      <c r="U212" s="135">
        <v>0.13100000000000001</v>
      </c>
      <c r="V212" s="135">
        <v>0.01</v>
      </c>
      <c r="W212" s="135">
        <v>0</v>
      </c>
      <c r="X212" s="135">
        <v>0</v>
      </c>
      <c r="Y212" s="135" t="s">
        <v>1995</v>
      </c>
      <c r="Z212" s="135">
        <v>2.2999999999999998</v>
      </c>
      <c r="AA212" s="135">
        <v>3700</v>
      </c>
      <c r="AB212" s="135">
        <v>1593.2</v>
      </c>
      <c r="AC212" s="135">
        <v>0.63</v>
      </c>
      <c r="AD212" s="135">
        <v>2.8</v>
      </c>
      <c r="AE212" s="135">
        <v>5000</v>
      </c>
      <c r="AF212" s="135">
        <v>1760</v>
      </c>
      <c r="AG212" s="135">
        <v>0.56999999999999995</v>
      </c>
      <c r="AH212" s="135">
        <v>2.9</v>
      </c>
      <c r="AI212" s="135">
        <v>3000</v>
      </c>
      <c r="AJ212" s="135">
        <v>1029.4000000000001</v>
      </c>
      <c r="AK212" s="135">
        <v>0.97</v>
      </c>
      <c r="AL212" s="135">
        <v>2.2999999999999998</v>
      </c>
      <c r="AM212" s="135">
        <v>4700</v>
      </c>
      <c r="AN212" s="135">
        <v>2015.1</v>
      </c>
      <c r="AO212" s="135">
        <v>0.5</v>
      </c>
      <c r="AP212" s="135"/>
      <c r="AQ212" s="135"/>
      <c r="AR212" s="135"/>
      <c r="AS212" s="135"/>
      <c r="AT212" s="135"/>
      <c r="AU212" s="135"/>
      <c r="AV212" s="135"/>
      <c r="AW212" s="135"/>
      <c r="AX212" s="135">
        <v>2.2999999999999998</v>
      </c>
      <c r="AY212" s="135">
        <v>10</v>
      </c>
      <c r="AZ212" s="135">
        <v>4.3</v>
      </c>
      <c r="BA212" s="135">
        <v>0.23</v>
      </c>
      <c r="BB212" s="135"/>
      <c r="BC212" s="135"/>
      <c r="BD212" s="135"/>
      <c r="BE212" s="135"/>
      <c r="BF212" s="135">
        <v>2.9</v>
      </c>
      <c r="BG212" s="135">
        <v>6000</v>
      </c>
      <c r="BH212" s="135">
        <v>2058.8000000000002</v>
      </c>
      <c r="BI212" s="135">
        <v>0.49</v>
      </c>
      <c r="BJ212" s="135">
        <v>47.5</v>
      </c>
      <c r="BK212" s="135">
        <v>5.5</v>
      </c>
      <c r="BL212" s="135">
        <v>21</v>
      </c>
    </row>
    <row r="213" spans="1:64" x14ac:dyDescent="0.3">
      <c r="A213" s="135">
        <v>2016</v>
      </c>
      <c r="B213" s="135">
        <v>4</v>
      </c>
      <c r="C213" s="135" t="s">
        <v>2187</v>
      </c>
      <c r="D213" s="135" t="s">
        <v>529</v>
      </c>
      <c r="E213" s="135" t="s">
        <v>396</v>
      </c>
      <c r="F213" s="135" t="s">
        <v>397</v>
      </c>
      <c r="G213" s="135" t="s">
        <v>2307</v>
      </c>
      <c r="H213" s="135">
        <v>15.77</v>
      </c>
      <c r="I213" s="135">
        <v>1.756</v>
      </c>
      <c r="J213" s="135">
        <v>3.1549999999999998</v>
      </c>
      <c r="K213" s="135">
        <v>0</v>
      </c>
      <c r="L213" s="135">
        <v>0</v>
      </c>
      <c r="M213" s="135">
        <v>0</v>
      </c>
      <c r="N213" s="135">
        <v>0</v>
      </c>
      <c r="O213" s="135">
        <v>0</v>
      </c>
      <c r="P213" s="135">
        <v>0</v>
      </c>
      <c r="Q213" s="135">
        <v>0</v>
      </c>
      <c r="R213" s="135">
        <v>0</v>
      </c>
      <c r="S213" s="135">
        <v>1.399</v>
      </c>
      <c r="T213" s="135">
        <v>13.224</v>
      </c>
      <c r="U213" s="135">
        <v>7.6999999999999999E-2</v>
      </c>
      <c r="V213" s="135">
        <v>1.4E-2</v>
      </c>
      <c r="W213" s="135">
        <v>0</v>
      </c>
      <c r="X213" s="135">
        <v>0</v>
      </c>
      <c r="Y213" s="135" t="s">
        <v>1995</v>
      </c>
      <c r="Z213" s="135">
        <v>2.4</v>
      </c>
      <c r="AA213" s="135">
        <v>3000</v>
      </c>
      <c r="AB213" s="135">
        <v>1228.5999999999999</v>
      </c>
      <c r="AC213" s="135">
        <v>0.81</v>
      </c>
      <c r="AD213" s="135">
        <v>3.2</v>
      </c>
      <c r="AE213" s="135">
        <v>5000</v>
      </c>
      <c r="AF213" s="135">
        <v>1584.6</v>
      </c>
      <c r="AG213" s="135">
        <v>0.63</v>
      </c>
      <c r="AH213" s="135">
        <v>3.2</v>
      </c>
      <c r="AI213" s="135">
        <v>3000</v>
      </c>
      <c r="AJ213" s="135">
        <v>923.4</v>
      </c>
      <c r="AK213" s="135">
        <v>1.08</v>
      </c>
      <c r="AL213" s="135"/>
      <c r="AM213" s="135"/>
      <c r="AN213" s="135"/>
      <c r="AO213" s="135"/>
      <c r="AP213" s="135"/>
      <c r="AQ213" s="135"/>
      <c r="AR213" s="135"/>
      <c r="AS213" s="135"/>
      <c r="AT213" s="135"/>
      <c r="AU213" s="135"/>
      <c r="AV213" s="135"/>
      <c r="AW213" s="135"/>
      <c r="AX213" s="135">
        <v>2.5</v>
      </c>
      <c r="AY213" s="135">
        <v>10</v>
      </c>
      <c r="AZ213" s="135">
        <v>4.0999999999999996</v>
      </c>
      <c r="BA213" s="135">
        <v>0.25</v>
      </c>
      <c r="BB213" s="135"/>
      <c r="BC213" s="135"/>
      <c r="BD213" s="135"/>
      <c r="BE213" s="135"/>
      <c r="BF213" s="135">
        <v>3.2</v>
      </c>
      <c r="BG213" s="135">
        <v>6000</v>
      </c>
      <c r="BH213" s="135">
        <v>1846.9</v>
      </c>
      <c r="BI213" s="135">
        <v>0.54</v>
      </c>
      <c r="BJ213" s="135">
        <v>47.5</v>
      </c>
      <c r="BK213" s="135">
        <v>5.5</v>
      </c>
      <c r="BL213" s="135">
        <v>21</v>
      </c>
    </row>
    <row r="214" spans="1:64" x14ac:dyDescent="0.3">
      <c r="A214" s="135">
        <v>2016</v>
      </c>
      <c r="B214" s="135">
        <v>4</v>
      </c>
      <c r="C214" s="135" t="s">
        <v>2568</v>
      </c>
      <c r="D214" s="135" t="s">
        <v>487</v>
      </c>
      <c r="E214" s="135" t="s">
        <v>396</v>
      </c>
      <c r="F214" s="135" t="s">
        <v>407</v>
      </c>
      <c r="G214" s="135" t="s">
        <v>404</v>
      </c>
      <c r="H214" s="135">
        <v>19.47</v>
      </c>
      <c r="I214" s="135">
        <v>1.7090000000000001</v>
      </c>
      <c r="J214" s="135">
        <v>2.76</v>
      </c>
      <c r="K214" s="135">
        <v>0</v>
      </c>
      <c r="L214" s="135">
        <v>0</v>
      </c>
      <c r="M214" s="135">
        <v>0</v>
      </c>
      <c r="N214" s="135">
        <v>0</v>
      </c>
      <c r="O214" s="135">
        <v>0</v>
      </c>
      <c r="P214" s="135">
        <v>0</v>
      </c>
      <c r="Q214" s="135">
        <v>0</v>
      </c>
      <c r="R214" s="135">
        <v>0</v>
      </c>
      <c r="S214" s="135">
        <v>1.0509999999999999</v>
      </c>
      <c r="T214" s="135">
        <v>12.125</v>
      </c>
      <c r="U214" s="135">
        <v>8.5000000000000006E-2</v>
      </c>
      <c r="V214" s="135">
        <v>7.0000000000000001E-3</v>
      </c>
      <c r="W214" s="135">
        <v>0</v>
      </c>
      <c r="X214" s="135">
        <v>0</v>
      </c>
      <c r="Y214" s="135" t="s">
        <v>1995</v>
      </c>
      <c r="Z214" s="135">
        <v>2.2000000000000002</v>
      </c>
      <c r="AA214" s="135">
        <v>3000</v>
      </c>
      <c r="AB214" s="135">
        <v>1347.1</v>
      </c>
      <c r="AC214" s="135">
        <v>0.74</v>
      </c>
      <c r="AD214" s="135">
        <v>2.8</v>
      </c>
      <c r="AE214" s="135">
        <v>5000</v>
      </c>
      <c r="AF214" s="135">
        <v>1811.9</v>
      </c>
      <c r="AG214" s="135">
        <v>0.55000000000000004</v>
      </c>
      <c r="AH214" s="135"/>
      <c r="AI214" s="135"/>
      <c r="AJ214" s="135"/>
      <c r="AK214" s="135"/>
      <c r="AL214" s="135">
        <v>2.2000000000000002</v>
      </c>
      <c r="AM214" s="135">
        <v>4500</v>
      </c>
      <c r="AN214" s="135">
        <v>2014.3</v>
      </c>
      <c r="AO214" s="135">
        <v>0.5</v>
      </c>
      <c r="AP214" s="135"/>
      <c r="AQ214" s="135"/>
      <c r="AR214" s="135"/>
      <c r="AS214" s="135"/>
      <c r="AT214" s="135"/>
      <c r="AU214" s="135"/>
      <c r="AV214" s="135"/>
      <c r="AW214" s="135"/>
      <c r="AX214" s="135">
        <v>2.2000000000000002</v>
      </c>
      <c r="AY214" s="135">
        <v>10</v>
      </c>
      <c r="AZ214" s="135">
        <v>4.5</v>
      </c>
      <c r="BA214" s="135">
        <v>0.22</v>
      </c>
      <c r="BB214" s="135"/>
      <c r="BC214" s="135"/>
      <c r="BD214" s="135"/>
      <c r="BE214" s="135"/>
      <c r="BF214" s="135"/>
      <c r="BG214" s="135"/>
      <c r="BH214" s="135"/>
      <c r="BI214" s="135"/>
      <c r="BJ214" s="135">
        <v>53.5</v>
      </c>
      <c r="BK214" s="135">
        <v>-4</v>
      </c>
      <c r="BL214" s="135">
        <v>28.75</v>
      </c>
    </row>
    <row r="215" spans="1:64" x14ac:dyDescent="0.3">
      <c r="A215" s="135">
        <v>2016</v>
      </c>
      <c r="B215" s="135">
        <v>4</v>
      </c>
      <c r="C215" s="135" t="s">
        <v>2178</v>
      </c>
      <c r="D215" s="135" t="s">
        <v>228</v>
      </c>
      <c r="E215" s="135" t="s">
        <v>396</v>
      </c>
      <c r="F215" s="135" t="s">
        <v>402</v>
      </c>
      <c r="G215" s="135" t="s">
        <v>10</v>
      </c>
      <c r="H215" s="135">
        <v>28.75</v>
      </c>
      <c r="I215" s="135">
        <v>1.6779999999999999</v>
      </c>
      <c r="J215" s="135">
        <v>3.0089999999999999</v>
      </c>
      <c r="K215" s="135">
        <v>0</v>
      </c>
      <c r="L215" s="135">
        <v>0</v>
      </c>
      <c r="M215" s="135">
        <v>0</v>
      </c>
      <c r="N215" s="135">
        <v>0</v>
      </c>
      <c r="O215" s="135">
        <v>0</v>
      </c>
      <c r="P215" s="135">
        <v>0</v>
      </c>
      <c r="Q215" s="135">
        <v>0</v>
      </c>
      <c r="R215" s="135">
        <v>0</v>
      </c>
      <c r="S215" s="135">
        <v>1.331</v>
      </c>
      <c r="T215" s="135">
        <v>12.362</v>
      </c>
      <c r="U215" s="135">
        <v>7.8E-2</v>
      </c>
      <c r="V215" s="135">
        <v>1.2999999999999999E-2</v>
      </c>
      <c r="W215" s="135">
        <v>0</v>
      </c>
      <c r="X215" s="135">
        <v>0</v>
      </c>
      <c r="Y215" s="135" t="s">
        <v>1995</v>
      </c>
      <c r="Z215" s="135">
        <v>2.2999999999999998</v>
      </c>
      <c r="AA215" s="135">
        <v>4150</v>
      </c>
      <c r="AB215" s="135">
        <v>1780.6</v>
      </c>
      <c r="AC215" s="135">
        <v>0.56000000000000005</v>
      </c>
      <c r="AD215" s="135">
        <v>3</v>
      </c>
      <c r="AE215" s="135">
        <v>5350</v>
      </c>
      <c r="AF215" s="135">
        <v>1777.9</v>
      </c>
      <c r="AG215" s="135">
        <v>0.56000000000000005</v>
      </c>
      <c r="AH215" s="135">
        <v>3.1</v>
      </c>
      <c r="AI215" s="135">
        <v>3600</v>
      </c>
      <c r="AJ215" s="135">
        <v>1162.7</v>
      </c>
      <c r="AK215" s="135">
        <v>0.86</v>
      </c>
      <c r="AL215" s="135">
        <v>2.2999999999999998</v>
      </c>
      <c r="AM215" s="135">
        <v>5400</v>
      </c>
      <c r="AN215" s="135">
        <v>2304</v>
      </c>
      <c r="AO215" s="135">
        <v>0.43</v>
      </c>
      <c r="AP215" s="135"/>
      <c r="AQ215" s="135"/>
      <c r="AR215" s="135"/>
      <c r="AS215" s="135"/>
      <c r="AT215" s="135"/>
      <c r="AU215" s="135"/>
      <c r="AV215" s="135"/>
      <c r="AW215" s="135"/>
      <c r="AX215" s="135">
        <v>2.2999999999999998</v>
      </c>
      <c r="AY215" s="135">
        <v>16</v>
      </c>
      <c r="AZ215" s="135">
        <v>6.8</v>
      </c>
      <c r="BA215" s="135">
        <v>0.15</v>
      </c>
      <c r="BB215" s="135"/>
      <c r="BC215" s="135"/>
      <c r="BD215" s="135"/>
      <c r="BE215" s="135"/>
      <c r="BF215" s="135">
        <v>3.1</v>
      </c>
      <c r="BG215" s="135">
        <v>7000</v>
      </c>
      <c r="BH215" s="135">
        <v>2260.6999999999998</v>
      </c>
      <c r="BI215" s="135">
        <v>0.44</v>
      </c>
      <c r="BJ215" s="135">
        <v>44</v>
      </c>
      <c r="BK215" s="135">
        <v>-4.5</v>
      </c>
      <c r="BL215" s="135">
        <v>24.25</v>
      </c>
    </row>
    <row r="216" spans="1:64" x14ac:dyDescent="0.3">
      <c r="A216" s="135">
        <v>2016</v>
      </c>
      <c r="B216" s="135">
        <v>4</v>
      </c>
      <c r="C216" s="135" t="s">
        <v>2190</v>
      </c>
      <c r="D216" s="135" t="s">
        <v>250</v>
      </c>
      <c r="E216" s="135" t="s">
        <v>396</v>
      </c>
      <c r="F216" s="135" t="s">
        <v>30</v>
      </c>
      <c r="G216" s="135" t="s">
        <v>2302</v>
      </c>
      <c r="H216" s="135">
        <v>17.190000000000001</v>
      </c>
      <c r="I216" s="135">
        <v>1.577</v>
      </c>
      <c r="J216" s="135">
        <v>2.6419999999999999</v>
      </c>
      <c r="K216" s="135">
        <v>0</v>
      </c>
      <c r="L216" s="135">
        <v>0</v>
      </c>
      <c r="M216" s="135">
        <v>0</v>
      </c>
      <c r="N216" s="135">
        <v>0</v>
      </c>
      <c r="O216" s="135">
        <v>0</v>
      </c>
      <c r="P216" s="135">
        <v>0</v>
      </c>
      <c r="Q216" s="135">
        <v>0</v>
      </c>
      <c r="R216" s="135">
        <v>0</v>
      </c>
      <c r="S216" s="135">
        <v>1.0649999999999999</v>
      </c>
      <c r="T216" s="135">
        <v>12.446999999999999</v>
      </c>
      <c r="U216" s="135">
        <v>5.8999999999999997E-2</v>
      </c>
      <c r="V216" s="135">
        <v>1.0999999999999999E-2</v>
      </c>
      <c r="W216" s="135">
        <v>0</v>
      </c>
      <c r="X216" s="135">
        <v>0</v>
      </c>
      <c r="Y216" s="135" t="s">
        <v>1995</v>
      </c>
      <c r="Z216" s="135">
        <v>2.1</v>
      </c>
      <c r="AA216" s="135">
        <v>3600</v>
      </c>
      <c r="AB216" s="135">
        <v>1715.8</v>
      </c>
      <c r="AC216" s="135">
        <v>0.57999999999999996</v>
      </c>
      <c r="AD216" s="135">
        <v>2.6</v>
      </c>
      <c r="AE216" s="135">
        <v>5000</v>
      </c>
      <c r="AF216" s="135">
        <v>1892.7</v>
      </c>
      <c r="AG216" s="135">
        <v>0.53</v>
      </c>
      <c r="AH216" s="135">
        <v>2.7</v>
      </c>
      <c r="AI216" s="135">
        <v>3000</v>
      </c>
      <c r="AJ216" s="135">
        <v>1100</v>
      </c>
      <c r="AK216" s="135">
        <v>0.91</v>
      </c>
      <c r="AL216" s="135">
        <v>2.1</v>
      </c>
      <c r="AM216" s="135">
        <v>4500</v>
      </c>
      <c r="AN216" s="135">
        <v>2133.5</v>
      </c>
      <c r="AO216" s="135">
        <v>0.47</v>
      </c>
      <c r="AP216" s="135"/>
      <c r="AQ216" s="135"/>
      <c r="AR216" s="135"/>
      <c r="AS216" s="135"/>
      <c r="AT216" s="135"/>
      <c r="AU216" s="135"/>
      <c r="AV216" s="135"/>
      <c r="AW216" s="135"/>
      <c r="AX216" s="135">
        <v>2.1</v>
      </c>
      <c r="AY216" s="135">
        <v>10</v>
      </c>
      <c r="AZ216" s="135">
        <v>4.7</v>
      </c>
      <c r="BA216" s="135">
        <v>0.21</v>
      </c>
      <c r="BB216" s="135"/>
      <c r="BC216" s="135"/>
      <c r="BD216" s="135"/>
      <c r="BE216" s="135"/>
      <c r="BF216" s="135">
        <v>2.7</v>
      </c>
      <c r="BG216" s="135">
        <v>6000</v>
      </c>
      <c r="BH216" s="135">
        <v>2199.9</v>
      </c>
      <c r="BI216" s="135">
        <v>0.45</v>
      </c>
      <c r="BJ216" s="135">
        <v>40.5</v>
      </c>
      <c r="BK216" s="135">
        <v>6.5</v>
      </c>
      <c r="BL216" s="135">
        <v>17</v>
      </c>
    </row>
    <row r="217" spans="1:64" x14ac:dyDescent="0.3">
      <c r="A217" s="135">
        <v>2016</v>
      </c>
      <c r="B217" s="135">
        <v>4</v>
      </c>
      <c r="C217" s="135" t="s">
        <v>2195</v>
      </c>
      <c r="D217" s="135" t="s">
        <v>313</v>
      </c>
      <c r="E217" s="135" t="s">
        <v>396</v>
      </c>
      <c r="F217" s="135" t="s">
        <v>398</v>
      </c>
      <c r="G217" s="135" t="s">
        <v>52</v>
      </c>
      <c r="H217" s="135">
        <v>17.72</v>
      </c>
      <c r="I217" s="135">
        <v>1.5509999999999999</v>
      </c>
      <c r="J217" s="135">
        <v>2.343</v>
      </c>
      <c r="K217" s="135">
        <v>0</v>
      </c>
      <c r="L217" s="135">
        <v>0</v>
      </c>
      <c r="M217" s="135">
        <v>0</v>
      </c>
      <c r="N217" s="135">
        <v>0</v>
      </c>
      <c r="O217" s="135">
        <v>0</v>
      </c>
      <c r="P217" s="135">
        <v>0</v>
      </c>
      <c r="Q217" s="135">
        <v>0</v>
      </c>
      <c r="R217" s="135">
        <v>0</v>
      </c>
      <c r="S217" s="135">
        <v>0.79200000000000004</v>
      </c>
      <c r="T217" s="135">
        <v>12.366</v>
      </c>
      <c r="U217" s="135">
        <v>5.5E-2</v>
      </c>
      <c r="V217" s="135">
        <v>8.0000000000000002E-3</v>
      </c>
      <c r="W217" s="135">
        <v>0</v>
      </c>
      <c r="X217" s="135">
        <v>0</v>
      </c>
      <c r="Y217" s="135" t="s">
        <v>1995</v>
      </c>
      <c r="Z217" s="135">
        <v>1.9</v>
      </c>
      <c r="AA217" s="135">
        <v>3400</v>
      </c>
      <c r="AB217" s="135">
        <v>1753.8</v>
      </c>
      <c r="AC217" s="135">
        <v>0.56999999999999995</v>
      </c>
      <c r="AD217" s="135">
        <v>2.2999999999999998</v>
      </c>
      <c r="AE217" s="135">
        <v>5000</v>
      </c>
      <c r="AF217" s="135">
        <v>2134.4</v>
      </c>
      <c r="AG217" s="135">
        <v>0.47</v>
      </c>
      <c r="AH217" s="135">
        <v>2.4</v>
      </c>
      <c r="AI217" s="135">
        <v>3000</v>
      </c>
      <c r="AJ217" s="135">
        <v>1237.2</v>
      </c>
      <c r="AK217" s="135">
        <v>0.81</v>
      </c>
      <c r="AL217" s="135">
        <v>1.9</v>
      </c>
      <c r="AM217" s="135">
        <v>4500</v>
      </c>
      <c r="AN217" s="135">
        <v>2311.6999999999998</v>
      </c>
      <c r="AO217" s="135">
        <v>0.43</v>
      </c>
      <c r="AP217" s="135"/>
      <c r="AQ217" s="135"/>
      <c r="AR217" s="135"/>
      <c r="AS217" s="135"/>
      <c r="AT217" s="135"/>
      <c r="AU217" s="135"/>
      <c r="AV217" s="135"/>
      <c r="AW217" s="135"/>
      <c r="AX217" s="135">
        <v>1.9</v>
      </c>
      <c r="AY217" s="135">
        <v>10</v>
      </c>
      <c r="AZ217" s="135">
        <v>5.0999999999999996</v>
      </c>
      <c r="BA217" s="135">
        <v>0.19</v>
      </c>
      <c r="BB217" s="135"/>
      <c r="BC217" s="135"/>
      <c r="BD217" s="135"/>
      <c r="BE217" s="135"/>
      <c r="BF217" s="135">
        <v>2.4</v>
      </c>
      <c r="BG217" s="135">
        <v>6000</v>
      </c>
      <c r="BH217" s="135">
        <v>2474.4</v>
      </c>
      <c r="BI217" s="135">
        <v>0.4</v>
      </c>
      <c r="BJ217" s="135">
        <v>46</v>
      </c>
      <c r="BK217" s="135">
        <v>3</v>
      </c>
      <c r="BL217" s="135">
        <v>21.5</v>
      </c>
    </row>
    <row r="218" spans="1:64" x14ac:dyDescent="0.3">
      <c r="A218" s="135">
        <v>2016</v>
      </c>
      <c r="B218" s="135">
        <v>4</v>
      </c>
      <c r="C218" s="135" t="s">
        <v>2569</v>
      </c>
      <c r="D218" s="135" t="s">
        <v>1250</v>
      </c>
      <c r="E218" s="135" t="s">
        <v>396</v>
      </c>
      <c r="F218" s="135" t="s">
        <v>10</v>
      </c>
      <c r="G218" s="135" t="s">
        <v>1992</v>
      </c>
      <c r="H218" s="135">
        <v>19.690000000000001</v>
      </c>
      <c r="I218" s="135">
        <v>1.528</v>
      </c>
      <c r="J218" s="135">
        <v>2.5270000000000001</v>
      </c>
      <c r="K218" s="135">
        <v>0</v>
      </c>
      <c r="L218" s="135">
        <v>0</v>
      </c>
      <c r="M218" s="135">
        <v>0</v>
      </c>
      <c r="N218" s="135">
        <v>0</v>
      </c>
      <c r="O218" s="135">
        <v>0</v>
      </c>
      <c r="P218" s="135">
        <v>0</v>
      </c>
      <c r="Q218" s="135">
        <v>0</v>
      </c>
      <c r="R218" s="135">
        <v>0</v>
      </c>
      <c r="S218" s="135">
        <v>0.999</v>
      </c>
      <c r="T218" s="135">
        <v>12.763</v>
      </c>
      <c r="U218" s="135">
        <v>4.5999999999999999E-2</v>
      </c>
      <c r="V218" s="135">
        <v>1.2E-2</v>
      </c>
      <c r="W218" s="135">
        <v>0</v>
      </c>
      <c r="X218" s="135">
        <v>0</v>
      </c>
      <c r="Y218" s="135" t="s">
        <v>1995</v>
      </c>
      <c r="Z218" s="135">
        <v>2</v>
      </c>
      <c r="AA218" s="135">
        <v>3000</v>
      </c>
      <c r="AB218" s="135">
        <v>1488.2</v>
      </c>
      <c r="AC218" s="135">
        <v>0.67</v>
      </c>
      <c r="AD218" s="135"/>
      <c r="AE218" s="135"/>
      <c r="AF218" s="135"/>
      <c r="AG218" s="135"/>
      <c r="AH218" s="135"/>
      <c r="AI218" s="135"/>
      <c r="AJ218" s="135"/>
      <c r="AK218" s="135"/>
      <c r="AL218" s="135"/>
      <c r="AM218" s="135"/>
      <c r="AN218" s="135"/>
      <c r="AO218" s="135"/>
      <c r="AP218" s="135"/>
      <c r="AQ218" s="135"/>
      <c r="AR218" s="135"/>
      <c r="AS218" s="135"/>
      <c r="AT218" s="135"/>
      <c r="AU218" s="135"/>
      <c r="AV218" s="135"/>
      <c r="AW218" s="135"/>
      <c r="AX218" s="135"/>
      <c r="AY218" s="135"/>
      <c r="AZ218" s="135"/>
      <c r="BA218" s="135"/>
      <c r="BB218" s="135"/>
      <c r="BC218" s="135"/>
      <c r="BD218" s="135"/>
      <c r="BE218" s="135"/>
      <c r="BF218" s="135"/>
      <c r="BG218" s="135"/>
      <c r="BH218" s="135"/>
      <c r="BI218" s="135"/>
      <c r="BJ218" s="135">
        <v>44</v>
      </c>
      <c r="BK218" s="135">
        <v>4.5</v>
      </c>
      <c r="BL218" s="135">
        <v>19.75</v>
      </c>
    </row>
    <row r="219" spans="1:64" x14ac:dyDescent="0.3">
      <c r="A219" s="135">
        <v>2016</v>
      </c>
      <c r="B219" s="135">
        <v>4</v>
      </c>
      <c r="C219" s="135" t="s">
        <v>2182</v>
      </c>
      <c r="D219" s="135" t="s">
        <v>274</v>
      </c>
      <c r="E219" s="135" t="s">
        <v>396</v>
      </c>
      <c r="F219" s="135" t="s">
        <v>4</v>
      </c>
      <c r="G219" s="135" t="s">
        <v>2297</v>
      </c>
      <c r="H219" s="135">
        <v>22.34</v>
      </c>
      <c r="I219" s="135">
        <v>1.476</v>
      </c>
      <c r="J219" s="135">
        <v>2.2719999999999998</v>
      </c>
      <c r="K219" s="135">
        <v>0</v>
      </c>
      <c r="L219" s="135">
        <v>0</v>
      </c>
      <c r="M219" s="135">
        <v>0</v>
      </c>
      <c r="N219" s="135">
        <v>0</v>
      </c>
      <c r="O219" s="135">
        <v>0</v>
      </c>
      <c r="P219" s="135">
        <v>0</v>
      </c>
      <c r="Q219" s="135">
        <v>0</v>
      </c>
      <c r="R219" s="135">
        <v>0</v>
      </c>
      <c r="S219" s="135">
        <v>0.79600000000000004</v>
      </c>
      <c r="T219" s="135">
        <v>7.9009999999999998</v>
      </c>
      <c r="U219" s="135">
        <v>0.11700000000000001</v>
      </c>
      <c r="V219" s="135">
        <v>8.0000000000000002E-3</v>
      </c>
      <c r="W219" s="135">
        <v>0</v>
      </c>
      <c r="X219" s="135">
        <v>0</v>
      </c>
      <c r="Y219" s="135" t="s">
        <v>1995</v>
      </c>
      <c r="Z219" s="135">
        <v>1.9</v>
      </c>
      <c r="AA219" s="135">
        <v>3800</v>
      </c>
      <c r="AB219" s="135">
        <v>2036.3</v>
      </c>
      <c r="AC219" s="135">
        <v>0.49</v>
      </c>
      <c r="AD219" s="135">
        <v>2.2999999999999998</v>
      </c>
      <c r="AE219" s="135">
        <v>5000</v>
      </c>
      <c r="AF219" s="135">
        <v>2200.6</v>
      </c>
      <c r="AG219" s="135">
        <v>0.45</v>
      </c>
      <c r="AH219" s="135">
        <v>2.2999999999999998</v>
      </c>
      <c r="AI219" s="135">
        <v>3000</v>
      </c>
      <c r="AJ219" s="135">
        <v>1288.9000000000001</v>
      </c>
      <c r="AK219" s="135">
        <v>0.78</v>
      </c>
      <c r="AL219" s="135">
        <v>1.9</v>
      </c>
      <c r="AM219" s="135">
        <v>4600</v>
      </c>
      <c r="AN219" s="135">
        <v>2454.5</v>
      </c>
      <c r="AO219" s="135">
        <v>0.41</v>
      </c>
      <c r="AP219" s="135"/>
      <c r="AQ219" s="135"/>
      <c r="AR219" s="135"/>
      <c r="AS219" s="135"/>
      <c r="AT219" s="135"/>
      <c r="AU219" s="135"/>
      <c r="AV219" s="135"/>
      <c r="AW219" s="135"/>
      <c r="AX219" s="135">
        <v>1.9</v>
      </c>
      <c r="AY219" s="135">
        <v>10</v>
      </c>
      <c r="AZ219" s="135">
        <v>5.3</v>
      </c>
      <c r="BA219" s="135">
        <v>0.19</v>
      </c>
      <c r="BB219" s="135"/>
      <c r="BC219" s="135"/>
      <c r="BD219" s="135"/>
      <c r="BE219" s="135"/>
      <c r="BF219" s="135">
        <v>2.2999999999999998</v>
      </c>
      <c r="BG219" s="135">
        <v>6000</v>
      </c>
      <c r="BH219" s="135">
        <v>2577.9</v>
      </c>
      <c r="BI219" s="135">
        <v>0.39</v>
      </c>
      <c r="BJ219" s="135">
        <v>46.5</v>
      </c>
      <c r="BK219" s="135">
        <v>3.5</v>
      </c>
      <c r="BL219" s="135">
        <v>21.5</v>
      </c>
    </row>
    <row r="220" spans="1:64" x14ac:dyDescent="0.3">
      <c r="A220" s="135">
        <v>2016</v>
      </c>
      <c r="B220" s="135">
        <v>4</v>
      </c>
      <c r="C220" s="135" t="s">
        <v>2191</v>
      </c>
      <c r="D220" s="135" t="s">
        <v>284</v>
      </c>
      <c r="E220" s="135" t="s">
        <v>396</v>
      </c>
      <c r="F220" s="135" t="s">
        <v>50</v>
      </c>
      <c r="G220" s="135" t="s">
        <v>22</v>
      </c>
      <c r="H220" s="135">
        <v>13.55</v>
      </c>
      <c r="I220" s="135">
        <v>1.4650000000000001</v>
      </c>
      <c r="J220" s="135">
        <v>2.617</v>
      </c>
      <c r="K220" s="135">
        <v>0</v>
      </c>
      <c r="L220" s="135">
        <v>0</v>
      </c>
      <c r="M220" s="135">
        <v>0</v>
      </c>
      <c r="N220" s="135">
        <v>0</v>
      </c>
      <c r="O220" s="135">
        <v>0</v>
      </c>
      <c r="P220" s="135">
        <v>0</v>
      </c>
      <c r="Q220" s="135">
        <v>0</v>
      </c>
      <c r="R220" s="135">
        <v>0</v>
      </c>
      <c r="S220" s="135">
        <v>1.1519999999999999</v>
      </c>
      <c r="T220" s="135">
        <v>9.5299999999999994</v>
      </c>
      <c r="U220" s="135">
        <v>8.8999999999999996E-2</v>
      </c>
      <c r="V220" s="135">
        <v>1.0999999999999999E-2</v>
      </c>
      <c r="W220" s="135">
        <v>0</v>
      </c>
      <c r="X220" s="135">
        <v>0</v>
      </c>
      <c r="Y220" s="135" t="s">
        <v>1995</v>
      </c>
      <c r="Z220" s="135">
        <v>2</v>
      </c>
      <c r="AA220" s="135">
        <v>3900</v>
      </c>
      <c r="AB220" s="135">
        <v>1921.2</v>
      </c>
      <c r="AC220" s="135">
        <v>0.52</v>
      </c>
      <c r="AD220" s="135">
        <v>2.6</v>
      </c>
      <c r="AE220" s="135">
        <v>5000</v>
      </c>
      <c r="AF220" s="135">
        <v>1910.6</v>
      </c>
      <c r="AG220" s="135">
        <v>0.52</v>
      </c>
      <c r="AH220" s="135">
        <v>2.7</v>
      </c>
      <c r="AI220" s="135">
        <v>3000</v>
      </c>
      <c r="AJ220" s="135">
        <v>1117.2</v>
      </c>
      <c r="AK220" s="135">
        <v>0.9</v>
      </c>
      <c r="AL220" s="135">
        <v>2</v>
      </c>
      <c r="AM220" s="135">
        <v>4900</v>
      </c>
      <c r="AN220" s="135">
        <v>2400.8000000000002</v>
      </c>
      <c r="AO220" s="135">
        <v>0.42</v>
      </c>
      <c r="AP220" s="135"/>
      <c r="AQ220" s="135"/>
      <c r="AR220" s="135"/>
      <c r="AS220" s="135"/>
      <c r="AT220" s="135"/>
      <c r="AU220" s="135"/>
      <c r="AV220" s="135"/>
      <c r="AW220" s="135"/>
      <c r="AX220" s="135">
        <v>2</v>
      </c>
      <c r="AY220" s="135">
        <v>10</v>
      </c>
      <c r="AZ220" s="135">
        <v>4.9000000000000004</v>
      </c>
      <c r="BA220" s="135">
        <v>0.2</v>
      </c>
      <c r="BB220" s="135"/>
      <c r="BC220" s="135"/>
      <c r="BD220" s="135"/>
      <c r="BE220" s="135"/>
      <c r="BF220" s="135">
        <v>2.7</v>
      </c>
      <c r="BG220" s="135">
        <v>6000</v>
      </c>
      <c r="BH220" s="135">
        <v>2234.5</v>
      </c>
      <c r="BI220" s="135">
        <v>0.45</v>
      </c>
      <c r="BJ220" s="135">
        <v>50</v>
      </c>
      <c r="BK220" s="135">
        <v>3</v>
      </c>
      <c r="BL220" s="135">
        <v>23.5</v>
      </c>
    </row>
    <row r="221" spans="1:64" x14ac:dyDescent="0.3">
      <c r="A221" s="135">
        <v>2016</v>
      </c>
      <c r="B221" s="135">
        <v>4</v>
      </c>
      <c r="C221" s="135" t="s">
        <v>2570</v>
      </c>
      <c r="D221" s="135" t="s">
        <v>296</v>
      </c>
      <c r="E221" s="135" t="s">
        <v>396</v>
      </c>
      <c r="F221" s="135" t="s">
        <v>46</v>
      </c>
      <c r="G221" s="135" t="s">
        <v>26</v>
      </c>
      <c r="H221" s="135">
        <v>31.1</v>
      </c>
      <c r="I221" s="135">
        <v>1.3939999999999999</v>
      </c>
      <c r="J221" s="135">
        <v>2.35</v>
      </c>
      <c r="K221" s="135">
        <v>0</v>
      </c>
      <c r="L221" s="135">
        <v>0</v>
      </c>
      <c r="M221" s="135">
        <v>0</v>
      </c>
      <c r="N221" s="135">
        <v>0</v>
      </c>
      <c r="O221" s="135">
        <v>0</v>
      </c>
      <c r="P221" s="135">
        <v>0</v>
      </c>
      <c r="Q221" s="135">
        <v>0</v>
      </c>
      <c r="R221" s="135">
        <v>0</v>
      </c>
      <c r="S221" s="135">
        <v>0.95599999999999996</v>
      </c>
      <c r="T221" s="135">
        <v>10.295999999999999</v>
      </c>
      <c r="U221" s="135">
        <v>6.4000000000000001E-2</v>
      </c>
      <c r="V221" s="135">
        <v>0.01</v>
      </c>
      <c r="W221" s="135">
        <v>0</v>
      </c>
      <c r="X221" s="135">
        <v>0</v>
      </c>
      <c r="Y221" s="135" t="s">
        <v>1995</v>
      </c>
      <c r="Z221" s="135">
        <v>1.9</v>
      </c>
      <c r="AA221" s="135">
        <v>3000</v>
      </c>
      <c r="AB221" s="135">
        <v>1611.5</v>
      </c>
      <c r="AC221" s="135">
        <v>0.62</v>
      </c>
      <c r="AD221" s="135">
        <v>2.2999999999999998</v>
      </c>
      <c r="AE221" s="135">
        <v>5000</v>
      </c>
      <c r="AF221" s="135">
        <v>2128</v>
      </c>
      <c r="AG221" s="135">
        <v>0.47</v>
      </c>
      <c r="AH221" s="135">
        <v>2.4</v>
      </c>
      <c r="AI221" s="135">
        <v>3000</v>
      </c>
      <c r="AJ221" s="135">
        <v>1239</v>
      </c>
      <c r="AK221" s="135">
        <v>0.81</v>
      </c>
      <c r="AL221" s="135">
        <v>1.9</v>
      </c>
      <c r="AM221" s="135">
        <v>4500</v>
      </c>
      <c r="AN221" s="135">
        <v>2404.4</v>
      </c>
      <c r="AO221" s="135">
        <v>0.42</v>
      </c>
      <c r="AP221" s="135"/>
      <c r="AQ221" s="135"/>
      <c r="AR221" s="135"/>
      <c r="AS221" s="135"/>
      <c r="AT221" s="135"/>
      <c r="AU221" s="135"/>
      <c r="AV221" s="135"/>
      <c r="AW221" s="135"/>
      <c r="AX221" s="135">
        <v>1.9</v>
      </c>
      <c r="AY221" s="135">
        <v>10</v>
      </c>
      <c r="AZ221" s="135">
        <v>5.3</v>
      </c>
      <c r="BA221" s="135">
        <v>0.19</v>
      </c>
      <c r="BB221" s="135"/>
      <c r="BC221" s="135"/>
      <c r="BD221" s="135"/>
      <c r="BE221" s="135"/>
      <c r="BF221" s="135">
        <v>2.4</v>
      </c>
      <c r="BG221" s="135">
        <v>6000</v>
      </c>
      <c r="BH221" s="135">
        <v>2477.9</v>
      </c>
      <c r="BI221" s="135">
        <v>0.4</v>
      </c>
      <c r="BJ221" s="135">
        <v>46.5</v>
      </c>
      <c r="BK221" s="135">
        <v>3</v>
      </c>
      <c r="BL221" s="135">
        <v>21.75</v>
      </c>
    </row>
    <row r="222" spans="1:64" x14ac:dyDescent="0.3">
      <c r="A222" s="135">
        <v>2016</v>
      </c>
      <c r="B222" s="135">
        <v>4</v>
      </c>
      <c r="C222" s="135" t="s">
        <v>2198</v>
      </c>
      <c r="D222" s="135" t="s">
        <v>477</v>
      </c>
      <c r="E222" s="135" t="s">
        <v>396</v>
      </c>
      <c r="F222" s="135" t="s">
        <v>50</v>
      </c>
      <c r="G222" s="135" t="s">
        <v>22</v>
      </c>
      <c r="H222" s="135">
        <v>13.55</v>
      </c>
      <c r="I222" s="135">
        <v>1.2849999999999999</v>
      </c>
      <c r="J222" s="135">
        <v>2.3220000000000001</v>
      </c>
      <c r="K222" s="135">
        <v>0</v>
      </c>
      <c r="L222" s="135">
        <v>0</v>
      </c>
      <c r="M222" s="135">
        <v>0</v>
      </c>
      <c r="N222" s="135">
        <v>0</v>
      </c>
      <c r="O222" s="135">
        <v>0</v>
      </c>
      <c r="P222" s="135">
        <v>0</v>
      </c>
      <c r="Q222" s="135">
        <v>0</v>
      </c>
      <c r="R222" s="135">
        <v>0</v>
      </c>
      <c r="S222" s="135">
        <v>1.0369999999999999</v>
      </c>
      <c r="T222" s="135">
        <v>10.891999999999999</v>
      </c>
      <c r="U222" s="135">
        <v>3.5999999999999997E-2</v>
      </c>
      <c r="V222" s="135">
        <v>0.01</v>
      </c>
      <c r="W222" s="135">
        <v>0</v>
      </c>
      <c r="X222" s="135">
        <v>0</v>
      </c>
      <c r="Y222" s="135" t="s">
        <v>1995</v>
      </c>
      <c r="Z222" s="135">
        <v>1.8</v>
      </c>
      <c r="AA222" s="135">
        <v>3600</v>
      </c>
      <c r="AB222" s="135">
        <v>2007</v>
      </c>
      <c r="AC222" s="135">
        <v>0.5</v>
      </c>
      <c r="AD222" s="135">
        <v>2.2999999999999998</v>
      </c>
      <c r="AE222" s="135">
        <v>5000</v>
      </c>
      <c r="AF222" s="135">
        <v>2153.1</v>
      </c>
      <c r="AG222" s="135">
        <v>0.46</v>
      </c>
      <c r="AH222" s="135">
        <v>2.4</v>
      </c>
      <c r="AI222" s="135">
        <v>3000</v>
      </c>
      <c r="AJ222" s="135">
        <v>1251.3</v>
      </c>
      <c r="AK222" s="135">
        <v>0.8</v>
      </c>
      <c r="AL222" s="135">
        <v>1.8</v>
      </c>
      <c r="AM222" s="135">
        <v>4500</v>
      </c>
      <c r="AN222" s="135">
        <v>2494.9</v>
      </c>
      <c r="AO222" s="135">
        <v>0.4</v>
      </c>
      <c r="AP222" s="135"/>
      <c r="AQ222" s="135"/>
      <c r="AR222" s="135"/>
      <c r="AS222" s="135"/>
      <c r="AT222" s="135"/>
      <c r="AU222" s="135"/>
      <c r="AV222" s="135"/>
      <c r="AW222" s="135"/>
      <c r="AX222" s="135">
        <v>1.8</v>
      </c>
      <c r="AY222" s="135">
        <v>10</v>
      </c>
      <c r="AZ222" s="135">
        <v>5.5</v>
      </c>
      <c r="BA222" s="135">
        <v>0.18</v>
      </c>
      <c r="BB222" s="135"/>
      <c r="BC222" s="135"/>
      <c r="BD222" s="135"/>
      <c r="BE222" s="135"/>
      <c r="BF222" s="135">
        <v>2.4</v>
      </c>
      <c r="BG222" s="135">
        <v>6000</v>
      </c>
      <c r="BH222" s="135">
        <v>2502.6</v>
      </c>
      <c r="BI222" s="135">
        <v>0.4</v>
      </c>
      <c r="BJ222" s="135">
        <v>50</v>
      </c>
      <c r="BK222" s="135">
        <v>3</v>
      </c>
      <c r="BL222" s="135">
        <v>23.5</v>
      </c>
    </row>
    <row r="223" spans="1:64" x14ac:dyDescent="0.3">
      <c r="A223" s="135">
        <v>2016</v>
      </c>
      <c r="B223" s="135">
        <v>4</v>
      </c>
      <c r="C223" s="135" t="s">
        <v>2193</v>
      </c>
      <c r="D223" s="135" t="s">
        <v>523</v>
      </c>
      <c r="E223" s="135" t="s">
        <v>396</v>
      </c>
      <c r="F223" s="135" t="s">
        <v>34</v>
      </c>
      <c r="G223" s="135" t="s">
        <v>7</v>
      </c>
      <c r="H223" s="135">
        <v>10.17</v>
      </c>
      <c r="I223" s="135">
        <v>1.25</v>
      </c>
      <c r="J223" s="135">
        <v>2.1589999999999998</v>
      </c>
      <c r="K223" s="135">
        <v>0</v>
      </c>
      <c r="L223" s="135">
        <v>0</v>
      </c>
      <c r="M223" s="135">
        <v>0</v>
      </c>
      <c r="N223" s="135">
        <v>0</v>
      </c>
      <c r="O223" s="135">
        <v>0</v>
      </c>
      <c r="P223" s="135">
        <v>0</v>
      </c>
      <c r="Q223" s="135">
        <v>0</v>
      </c>
      <c r="R223" s="135">
        <v>0</v>
      </c>
      <c r="S223" s="135">
        <v>0.90900000000000003</v>
      </c>
      <c r="T223" s="135">
        <v>12.717000000000001</v>
      </c>
      <c r="U223" s="135">
        <v>0</v>
      </c>
      <c r="V223" s="135">
        <v>1.0999999999999999E-2</v>
      </c>
      <c r="W223" s="135">
        <v>0</v>
      </c>
      <c r="X223" s="135">
        <v>0</v>
      </c>
      <c r="Y223" s="135" t="s">
        <v>1995</v>
      </c>
      <c r="Z223" s="135">
        <v>1.7</v>
      </c>
      <c r="AA223" s="135">
        <v>3000</v>
      </c>
      <c r="AB223" s="135">
        <v>1771.8</v>
      </c>
      <c r="AC223" s="135">
        <v>0.56000000000000005</v>
      </c>
      <c r="AD223" s="135">
        <v>2.2000000000000002</v>
      </c>
      <c r="AE223" s="135">
        <v>5000</v>
      </c>
      <c r="AF223" s="135">
        <v>2316.1999999999998</v>
      </c>
      <c r="AG223" s="135">
        <v>0.43</v>
      </c>
      <c r="AH223" s="135">
        <v>2.2000000000000002</v>
      </c>
      <c r="AI223" s="135">
        <v>3000</v>
      </c>
      <c r="AJ223" s="135">
        <v>1335.7</v>
      </c>
      <c r="AK223" s="135">
        <v>0.75</v>
      </c>
      <c r="AL223" s="135">
        <v>1.7</v>
      </c>
      <c r="AM223" s="135">
        <v>4700</v>
      </c>
      <c r="AN223" s="135">
        <v>2757.9</v>
      </c>
      <c r="AO223" s="135">
        <v>0.36</v>
      </c>
      <c r="AP223" s="135"/>
      <c r="AQ223" s="135"/>
      <c r="AR223" s="135"/>
      <c r="AS223" s="135"/>
      <c r="AT223" s="135"/>
      <c r="AU223" s="135"/>
      <c r="AV223" s="135"/>
      <c r="AW223" s="135"/>
      <c r="AX223" s="135">
        <v>1.7</v>
      </c>
      <c r="AY223" s="135">
        <v>10</v>
      </c>
      <c r="AZ223" s="135">
        <v>5.9</v>
      </c>
      <c r="BA223" s="135">
        <v>0.17</v>
      </c>
      <c r="BB223" s="135"/>
      <c r="BC223" s="135"/>
      <c r="BD223" s="135"/>
      <c r="BE223" s="135"/>
      <c r="BF223" s="135">
        <v>2.2000000000000002</v>
      </c>
      <c r="BG223" s="135">
        <v>6000</v>
      </c>
      <c r="BH223" s="135">
        <v>2671.4</v>
      </c>
      <c r="BI223" s="135">
        <v>0.37</v>
      </c>
      <c r="BJ223" s="135">
        <v>40.5</v>
      </c>
      <c r="BK223" s="135">
        <v>1.5</v>
      </c>
      <c r="BL223" s="135">
        <v>19.5</v>
      </c>
    </row>
    <row r="224" spans="1:64" x14ac:dyDescent="0.3">
      <c r="A224" s="135">
        <v>2016</v>
      </c>
      <c r="B224" s="135">
        <v>4</v>
      </c>
      <c r="C224" s="135" t="s">
        <v>2188</v>
      </c>
      <c r="D224" s="135" t="s">
        <v>266</v>
      </c>
      <c r="E224" s="135" t="s">
        <v>396</v>
      </c>
      <c r="F224" s="135" t="s">
        <v>52</v>
      </c>
      <c r="G224" s="135" t="s">
        <v>2309</v>
      </c>
      <c r="H224" s="135">
        <v>26.3</v>
      </c>
      <c r="I224" s="135">
        <v>1.175</v>
      </c>
      <c r="J224" s="135">
        <v>1.8069999999999999</v>
      </c>
      <c r="K224" s="135">
        <v>0</v>
      </c>
      <c r="L224" s="135">
        <v>0</v>
      </c>
      <c r="M224" s="135">
        <v>0</v>
      </c>
      <c r="N224" s="135">
        <v>0</v>
      </c>
      <c r="O224" s="135">
        <v>0</v>
      </c>
      <c r="P224" s="135">
        <v>0</v>
      </c>
      <c r="Q224" s="135">
        <v>0</v>
      </c>
      <c r="R224" s="135">
        <v>0</v>
      </c>
      <c r="S224" s="135">
        <v>0.63200000000000001</v>
      </c>
      <c r="T224" s="135">
        <v>7.2919999999999998</v>
      </c>
      <c r="U224" s="135">
        <v>7.5999999999999998E-2</v>
      </c>
      <c r="V224" s="135">
        <v>5.0000000000000001E-3</v>
      </c>
      <c r="W224" s="135">
        <v>0</v>
      </c>
      <c r="X224" s="135">
        <v>0</v>
      </c>
      <c r="Y224" s="135" t="s">
        <v>1995</v>
      </c>
      <c r="Z224" s="135">
        <v>1.5</v>
      </c>
      <c r="AA224" s="135">
        <v>3700</v>
      </c>
      <c r="AB224" s="135">
        <v>2489.6</v>
      </c>
      <c r="AC224" s="135">
        <v>0.4</v>
      </c>
      <c r="AD224" s="135">
        <v>1.8</v>
      </c>
      <c r="AE224" s="135">
        <v>5000</v>
      </c>
      <c r="AF224" s="135">
        <v>2766.7</v>
      </c>
      <c r="AG224" s="135">
        <v>0.36</v>
      </c>
      <c r="AH224" s="135">
        <v>1.9</v>
      </c>
      <c r="AI224" s="135">
        <v>3000</v>
      </c>
      <c r="AJ224" s="135">
        <v>1616.4</v>
      </c>
      <c r="AK224" s="135">
        <v>0.62</v>
      </c>
      <c r="AL224" s="135">
        <v>1.5</v>
      </c>
      <c r="AM224" s="135">
        <v>4500</v>
      </c>
      <c r="AN224" s="135">
        <v>3017.7</v>
      </c>
      <c r="AO224" s="135">
        <v>0.33</v>
      </c>
      <c r="AP224" s="135"/>
      <c r="AQ224" s="135"/>
      <c r="AR224" s="135"/>
      <c r="AS224" s="135"/>
      <c r="AT224" s="135"/>
      <c r="AU224" s="135"/>
      <c r="AV224" s="135"/>
      <c r="AW224" s="135"/>
      <c r="AX224" s="135">
        <v>1.5</v>
      </c>
      <c r="AY224" s="135">
        <v>10</v>
      </c>
      <c r="AZ224" s="135">
        <v>6.7</v>
      </c>
      <c r="BA224" s="135">
        <v>0.15</v>
      </c>
      <c r="BB224" s="135"/>
      <c r="BC224" s="135"/>
      <c r="BD224" s="135"/>
      <c r="BE224" s="135"/>
      <c r="BF224" s="135">
        <v>1.9</v>
      </c>
      <c r="BG224" s="135">
        <v>6000</v>
      </c>
      <c r="BH224" s="135">
        <v>3232.8</v>
      </c>
      <c r="BI224" s="135">
        <v>0.31</v>
      </c>
      <c r="BJ224" s="135">
        <v>46</v>
      </c>
      <c r="BK224" s="135">
        <v>-3</v>
      </c>
      <c r="BL224" s="135">
        <v>24.5</v>
      </c>
    </row>
    <row r="225" spans="1:64" x14ac:dyDescent="0.3">
      <c r="A225" s="135">
        <v>2016</v>
      </c>
      <c r="B225" s="135">
        <v>4</v>
      </c>
      <c r="C225" s="135" t="s">
        <v>2172</v>
      </c>
      <c r="D225" s="135" t="s">
        <v>221</v>
      </c>
      <c r="E225" s="135" t="s">
        <v>396</v>
      </c>
      <c r="F225" s="135" t="s">
        <v>32</v>
      </c>
      <c r="G225" s="135" t="s">
        <v>4</v>
      </c>
      <c r="H225" s="135">
        <v>34.54</v>
      </c>
      <c r="I225" s="135">
        <v>1.163</v>
      </c>
      <c r="J225" s="135">
        <v>2.1589999999999998</v>
      </c>
      <c r="K225" s="135">
        <v>0</v>
      </c>
      <c r="L225" s="135">
        <v>0</v>
      </c>
      <c r="M225" s="135">
        <v>0</v>
      </c>
      <c r="N225" s="135">
        <v>0</v>
      </c>
      <c r="O225" s="135">
        <v>0</v>
      </c>
      <c r="P225" s="135">
        <v>0</v>
      </c>
      <c r="Q225" s="135">
        <v>0</v>
      </c>
      <c r="R225" s="135">
        <v>0</v>
      </c>
      <c r="S225" s="135">
        <v>0.996</v>
      </c>
      <c r="T225" s="135">
        <v>8.4730000000000008</v>
      </c>
      <c r="U225" s="135">
        <v>5.5E-2</v>
      </c>
      <c r="V225" s="135">
        <v>7.0000000000000001E-3</v>
      </c>
      <c r="W225" s="135">
        <v>0</v>
      </c>
      <c r="X225" s="135">
        <v>0</v>
      </c>
      <c r="Y225" s="135" t="s">
        <v>1995</v>
      </c>
      <c r="Z225" s="135">
        <v>1.7</v>
      </c>
      <c r="AA225" s="135">
        <v>3900</v>
      </c>
      <c r="AB225" s="135">
        <v>2357.5</v>
      </c>
      <c r="AC225" s="135">
        <v>0.42</v>
      </c>
      <c r="AD225" s="135">
        <v>2.2000000000000002</v>
      </c>
      <c r="AE225" s="135">
        <v>8300</v>
      </c>
      <c r="AF225" s="135">
        <v>3843.8</v>
      </c>
      <c r="AG225" s="135">
        <v>0.26</v>
      </c>
      <c r="AH225" s="135">
        <v>2.2000000000000002</v>
      </c>
      <c r="AI225" s="135">
        <v>3000</v>
      </c>
      <c r="AJ225" s="135">
        <v>1353.1</v>
      </c>
      <c r="AK225" s="135">
        <v>0.74</v>
      </c>
      <c r="AL225" s="135">
        <v>1.7</v>
      </c>
      <c r="AM225" s="135">
        <v>5400</v>
      </c>
      <c r="AN225" s="135">
        <v>3250.5</v>
      </c>
      <c r="AO225" s="135">
        <v>0.31</v>
      </c>
      <c r="AP225" s="135"/>
      <c r="AQ225" s="135"/>
      <c r="AR225" s="135"/>
      <c r="AS225" s="135"/>
      <c r="AT225" s="135"/>
      <c r="AU225" s="135"/>
      <c r="AV225" s="135"/>
      <c r="AW225" s="135"/>
      <c r="AX225" s="135">
        <v>1.7</v>
      </c>
      <c r="AY225" s="135">
        <v>13</v>
      </c>
      <c r="AZ225" s="135">
        <v>7.8</v>
      </c>
      <c r="BA225" s="135">
        <v>0.13</v>
      </c>
      <c r="BB225" s="135"/>
      <c r="BC225" s="135"/>
      <c r="BD225" s="135"/>
      <c r="BE225" s="135"/>
      <c r="BF225" s="135">
        <v>2.2000000000000002</v>
      </c>
      <c r="BG225" s="135">
        <v>6000</v>
      </c>
      <c r="BH225" s="135">
        <v>2706.2</v>
      </c>
      <c r="BI225" s="135">
        <v>0.37</v>
      </c>
      <c r="BJ225" s="135">
        <v>46.5</v>
      </c>
      <c r="BK225" s="135">
        <v>-3.5</v>
      </c>
      <c r="BL225" s="135">
        <v>25</v>
      </c>
    </row>
    <row r="226" spans="1:64" x14ac:dyDescent="0.3">
      <c r="A226" s="135">
        <v>2016</v>
      </c>
      <c r="B226" s="135">
        <v>4</v>
      </c>
      <c r="C226" s="135" t="s">
        <v>2180</v>
      </c>
      <c r="D226" s="135" t="s">
        <v>498</v>
      </c>
      <c r="E226" s="135" t="s">
        <v>396</v>
      </c>
      <c r="F226" s="135" t="s">
        <v>402</v>
      </c>
      <c r="G226" s="135" t="s">
        <v>10</v>
      </c>
      <c r="H226" s="135">
        <v>28.75</v>
      </c>
      <c r="I226" s="135">
        <v>1.012</v>
      </c>
      <c r="J226" s="135">
        <v>1.6259999999999999</v>
      </c>
      <c r="K226" s="135">
        <v>0</v>
      </c>
      <c r="L226" s="135">
        <v>0</v>
      </c>
      <c r="M226" s="135">
        <v>0</v>
      </c>
      <c r="N226" s="135">
        <v>0</v>
      </c>
      <c r="O226" s="135">
        <v>0</v>
      </c>
      <c r="P226" s="135">
        <v>0</v>
      </c>
      <c r="Q226" s="135">
        <v>0</v>
      </c>
      <c r="R226" s="135">
        <v>0</v>
      </c>
      <c r="S226" s="135">
        <v>0.61399999999999999</v>
      </c>
      <c r="T226" s="135">
        <v>7.4169999999999998</v>
      </c>
      <c r="U226" s="135">
        <v>4.7E-2</v>
      </c>
      <c r="V226" s="135">
        <v>6.0000000000000001E-3</v>
      </c>
      <c r="W226" s="135">
        <v>0</v>
      </c>
      <c r="X226" s="135">
        <v>0</v>
      </c>
      <c r="Y226" s="135" t="s">
        <v>1995</v>
      </c>
      <c r="Z226" s="135">
        <v>1.3</v>
      </c>
      <c r="AA226" s="135">
        <v>3300</v>
      </c>
      <c r="AB226" s="135">
        <v>2513.9</v>
      </c>
      <c r="AC226" s="135">
        <v>0.4</v>
      </c>
      <c r="AD226" s="135">
        <v>1.6</v>
      </c>
      <c r="AE226" s="135">
        <v>5000</v>
      </c>
      <c r="AF226" s="135">
        <v>3075.6</v>
      </c>
      <c r="AG226" s="135">
        <v>0.33</v>
      </c>
      <c r="AH226" s="135">
        <v>1.7</v>
      </c>
      <c r="AI226" s="135">
        <v>3000</v>
      </c>
      <c r="AJ226" s="135">
        <v>1789.8</v>
      </c>
      <c r="AK226" s="135">
        <v>0.56000000000000005</v>
      </c>
      <c r="AL226" s="135">
        <v>1.3</v>
      </c>
      <c r="AM226" s="135">
        <v>4500</v>
      </c>
      <c r="AN226" s="135">
        <v>3412.5</v>
      </c>
      <c r="AO226" s="135">
        <v>0.28999999999999998</v>
      </c>
      <c r="AP226" s="135"/>
      <c r="AQ226" s="135"/>
      <c r="AR226" s="135"/>
      <c r="AS226" s="135"/>
      <c r="AT226" s="135"/>
      <c r="AU226" s="135"/>
      <c r="AV226" s="135"/>
      <c r="AW226" s="135"/>
      <c r="AX226" s="135">
        <v>1.3</v>
      </c>
      <c r="AY226" s="135">
        <v>10</v>
      </c>
      <c r="AZ226" s="135">
        <v>7.6</v>
      </c>
      <c r="BA226" s="135">
        <v>0.13</v>
      </c>
      <c r="BB226" s="135"/>
      <c r="BC226" s="135"/>
      <c r="BD226" s="135"/>
      <c r="BE226" s="135"/>
      <c r="BF226" s="135">
        <v>1.7</v>
      </c>
      <c r="BG226" s="135">
        <v>6000</v>
      </c>
      <c r="BH226" s="135">
        <v>3579.5</v>
      </c>
      <c r="BI226" s="135">
        <v>0.28000000000000003</v>
      </c>
      <c r="BJ226" s="135">
        <v>44</v>
      </c>
      <c r="BK226" s="135">
        <v>-4.5</v>
      </c>
      <c r="BL226" s="135">
        <v>24.25</v>
      </c>
    </row>
    <row r="227" spans="1:64" x14ac:dyDescent="0.3">
      <c r="A227" s="135">
        <v>2016</v>
      </c>
      <c r="B227" s="135">
        <v>4</v>
      </c>
      <c r="C227" s="135" t="s">
        <v>2192</v>
      </c>
      <c r="D227" s="135" t="s">
        <v>304</v>
      </c>
      <c r="E227" s="135" t="s">
        <v>396</v>
      </c>
      <c r="F227" s="135" t="s">
        <v>70</v>
      </c>
      <c r="G227" s="135" t="s">
        <v>2005</v>
      </c>
      <c r="H227" s="135">
        <v>32.64</v>
      </c>
      <c r="I227" s="135">
        <v>0.91700000000000004</v>
      </c>
      <c r="J227" s="135">
        <v>1.5529999999999999</v>
      </c>
      <c r="K227" s="135">
        <v>0</v>
      </c>
      <c r="L227" s="135">
        <v>0</v>
      </c>
      <c r="M227" s="135">
        <v>0</v>
      </c>
      <c r="N227" s="135">
        <v>0</v>
      </c>
      <c r="O227" s="135">
        <v>0</v>
      </c>
      <c r="P227" s="135">
        <v>0</v>
      </c>
      <c r="Q227" s="135">
        <v>0</v>
      </c>
      <c r="R227" s="135">
        <v>0</v>
      </c>
      <c r="S227" s="135">
        <v>0.63600000000000001</v>
      </c>
      <c r="T227" s="135">
        <v>6.3520000000000003</v>
      </c>
      <c r="U227" s="135">
        <v>4.9000000000000002E-2</v>
      </c>
      <c r="V227" s="135">
        <v>6.0000000000000001E-3</v>
      </c>
      <c r="W227" s="135">
        <v>0</v>
      </c>
      <c r="X227" s="135">
        <v>0</v>
      </c>
      <c r="Y227" s="135" t="s">
        <v>1995</v>
      </c>
      <c r="Z227" s="135">
        <v>1.2</v>
      </c>
      <c r="AA227" s="135">
        <v>3700</v>
      </c>
      <c r="AB227" s="135">
        <v>3010.1</v>
      </c>
      <c r="AC227" s="135">
        <v>0.33</v>
      </c>
      <c r="AD227" s="135">
        <v>1.6</v>
      </c>
      <c r="AE227" s="135">
        <v>5000</v>
      </c>
      <c r="AF227" s="135">
        <v>3219.2</v>
      </c>
      <c r="AG227" s="135">
        <v>0.31</v>
      </c>
      <c r="AH227" s="135">
        <v>1.6</v>
      </c>
      <c r="AI227" s="135">
        <v>3000</v>
      </c>
      <c r="AJ227" s="135">
        <v>1878.2</v>
      </c>
      <c r="AK227" s="135">
        <v>0.53</v>
      </c>
      <c r="AL227" s="135">
        <v>1.2</v>
      </c>
      <c r="AM227" s="135">
        <v>4500</v>
      </c>
      <c r="AN227" s="135">
        <v>3643.1</v>
      </c>
      <c r="AO227" s="135">
        <v>0.27</v>
      </c>
      <c r="AP227" s="135"/>
      <c r="AQ227" s="135"/>
      <c r="AR227" s="135"/>
      <c r="AS227" s="135"/>
      <c r="AT227" s="135"/>
      <c r="AU227" s="135"/>
      <c r="AV227" s="135"/>
      <c r="AW227" s="135"/>
      <c r="AX227" s="135">
        <v>1.2</v>
      </c>
      <c r="AY227" s="135">
        <v>10</v>
      </c>
      <c r="AZ227" s="135">
        <v>8.1</v>
      </c>
      <c r="BA227" s="135">
        <v>0.12</v>
      </c>
      <c r="BB227" s="135"/>
      <c r="BC227" s="135"/>
      <c r="BD227" s="135"/>
      <c r="BE227" s="135"/>
      <c r="BF227" s="135">
        <v>1.6</v>
      </c>
      <c r="BG227" s="135">
        <v>6000</v>
      </c>
      <c r="BH227" s="135">
        <v>3756.3</v>
      </c>
      <c r="BI227" s="135">
        <v>0.27</v>
      </c>
      <c r="BJ227" s="135">
        <v>44</v>
      </c>
      <c r="BK227" s="135">
        <v>-3</v>
      </c>
      <c r="BL227" s="135">
        <v>23.5</v>
      </c>
    </row>
    <row r="228" spans="1:64" x14ac:dyDescent="0.3">
      <c r="A228" s="135">
        <v>2016</v>
      </c>
      <c r="B228" s="135">
        <v>4</v>
      </c>
      <c r="C228" s="135" t="s">
        <v>2571</v>
      </c>
      <c r="D228" s="135" t="s">
        <v>312</v>
      </c>
      <c r="E228" s="135" t="s">
        <v>396</v>
      </c>
      <c r="F228" s="135" t="s">
        <v>401</v>
      </c>
      <c r="G228" s="135" t="s">
        <v>70</v>
      </c>
      <c r="H228" s="135">
        <v>10.94</v>
      </c>
      <c r="I228" s="135">
        <v>0.85199999999999998</v>
      </c>
      <c r="J228" s="135">
        <v>1.657</v>
      </c>
      <c r="K228" s="135">
        <v>0</v>
      </c>
      <c r="L228" s="135">
        <v>0</v>
      </c>
      <c r="M228" s="135">
        <v>0</v>
      </c>
      <c r="N228" s="135">
        <v>0</v>
      </c>
      <c r="O228" s="135">
        <v>0</v>
      </c>
      <c r="P228" s="135">
        <v>0</v>
      </c>
      <c r="Q228" s="135">
        <v>0</v>
      </c>
      <c r="R228" s="135">
        <v>0</v>
      </c>
      <c r="S228" s="135">
        <v>0.80500000000000005</v>
      </c>
      <c r="T228" s="135">
        <v>6.3550000000000004</v>
      </c>
      <c r="U228" s="135">
        <v>3.9E-2</v>
      </c>
      <c r="V228" s="135">
        <v>8.9999999999999993E-3</v>
      </c>
      <c r="W228" s="135">
        <v>0</v>
      </c>
      <c r="X228" s="135">
        <v>0</v>
      </c>
      <c r="Y228" s="135" t="s">
        <v>1995</v>
      </c>
      <c r="Z228" s="135">
        <v>1.2</v>
      </c>
      <c r="AA228" s="135">
        <v>3300</v>
      </c>
      <c r="AB228" s="135">
        <v>2650.6</v>
      </c>
      <c r="AC228" s="135">
        <v>0.38</v>
      </c>
      <c r="AD228" s="135">
        <v>1.7</v>
      </c>
      <c r="AE228" s="135">
        <v>5000</v>
      </c>
      <c r="AF228" s="135">
        <v>3018.4</v>
      </c>
      <c r="AG228" s="135">
        <v>0.33</v>
      </c>
      <c r="AH228" s="135">
        <v>1.7</v>
      </c>
      <c r="AI228" s="135">
        <v>3000</v>
      </c>
      <c r="AJ228" s="135">
        <v>1760.9</v>
      </c>
      <c r="AK228" s="135">
        <v>0.56999999999999995</v>
      </c>
      <c r="AL228" s="135"/>
      <c r="AM228" s="135"/>
      <c r="AN228" s="135"/>
      <c r="AO228" s="135"/>
      <c r="AP228" s="135"/>
      <c r="AQ228" s="135"/>
      <c r="AR228" s="135"/>
      <c r="AS228" s="135"/>
      <c r="AT228" s="135"/>
      <c r="AU228" s="135"/>
      <c r="AV228" s="135"/>
      <c r="AW228" s="135"/>
      <c r="AX228" s="135">
        <v>1.3</v>
      </c>
      <c r="AY228" s="135">
        <v>10</v>
      </c>
      <c r="AZ228" s="135">
        <v>8</v>
      </c>
      <c r="BA228" s="135">
        <v>0.13</v>
      </c>
      <c r="BB228" s="135"/>
      <c r="BC228" s="135"/>
      <c r="BD228" s="135"/>
      <c r="BE228" s="135"/>
      <c r="BF228" s="135">
        <v>1.7</v>
      </c>
      <c r="BG228" s="135">
        <v>6000</v>
      </c>
      <c r="BH228" s="135">
        <v>3521.9</v>
      </c>
      <c r="BI228" s="135">
        <v>0.28000000000000003</v>
      </c>
      <c r="BJ228" s="135">
        <v>44</v>
      </c>
      <c r="BK228" s="135">
        <v>3</v>
      </c>
      <c r="BL228" s="135">
        <v>20.5</v>
      </c>
    </row>
    <row r="229" spans="1:64" x14ac:dyDescent="0.3">
      <c r="A229" s="135">
        <v>2016</v>
      </c>
      <c r="B229" s="135">
        <v>4</v>
      </c>
      <c r="C229" s="135" t="s">
        <v>2572</v>
      </c>
      <c r="D229" s="135" t="s">
        <v>481</v>
      </c>
      <c r="E229" s="135" t="s">
        <v>396</v>
      </c>
      <c r="F229" s="135" t="s">
        <v>28</v>
      </c>
      <c r="G229" s="135" t="s">
        <v>57</v>
      </c>
      <c r="H229" s="135">
        <v>30.59</v>
      </c>
      <c r="I229" s="135">
        <v>0.82299999999999995</v>
      </c>
      <c r="J229" s="135">
        <v>1.7849999999999999</v>
      </c>
      <c r="K229" s="135">
        <v>0</v>
      </c>
      <c r="L229" s="135">
        <v>0</v>
      </c>
      <c r="M229" s="135">
        <v>0</v>
      </c>
      <c r="N229" s="135">
        <v>0</v>
      </c>
      <c r="O229" s="135">
        <v>0</v>
      </c>
      <c r="P229" s="135">
        <v>0</v>
      </c>
      <c r="Q229" s="135">
        <v>0</v>
      </c>
      <c r="R229" s="135">
        <v>0</v>
      </c>
      <c r="S229" s="135">
        <v>0.96199999999999997</v>
      </c>
      <c r="T229" s="135">
        <v>8.3740000000000006</v>
      </c>
      <c r="U229" s="135">
        <v>0</v>
      </c>
      <c r="V229" s="135">
        <v>7.0000000000000001E-3</v>
      </c>
      <c r="W229" s="135">
        <v>0</v>
      </c>
      <c r="X229" s="135">
        <v>0</v>
      </c>
      <c r="Y229" s="135" t="s">
        <v>1995</v>
      </c>
      <c r="Z229" s="135">
        <v>1.3</v>
      </c>
      <c r="AA229" s="135">
        <v>3000</v>
      </c>
      <c r="AB229" s="135">
        <v>2312.3000000000002</v>
      </c>
      <c r="AC229" s="135">
        <v>0.43</v>
      </c>
      <c r="AD229" s="135">
        <v>1.8</v>
      </c>
      <c r="AE229" s="135">
        <v>5000</v>
      </c>
      <c r="AF229" s="135">
        <v>2800.5</v>
      </c>
      <c r="AG229" s="135">
        <v>0.36</v>
      </c>
      <c r="AH229" s="135">
        <v>1.8</v>
      </c>
      <c r="AI229" s="135">
        <v>3000</v>
      </c>
      <c r="AJ229" s="135">
        <v>1628.1</v>
      </c>
      <c r="AK229" s="135">
        <v>0.61</v>
      </c>
      <c r="AL229" s="135">
        <v>1.3</v>
      </c>
      <c r="AM229" s="135">
        <v>4500</v>
      </c>
      <c r="AN229" s="135">
        <v>3449.9</v>
      </c>
      <c r="AO229" s="135">
        <v>0.28999999999999998</v>
      </c>
      <c r="AP229" s="135"/>
      <c r="AQ229" s="135"/>
      <c r="AR229" s="135"/>
      <c r="AS229" s="135"/>
      <c r="AT229" s="135"/>
      <c r="AU229" s="135"/>
      <c r="AV229" s="135"/>
      <c r="AW229" s="135"/>
      <c r="AX229" s="135">
        <v>1.3</v>
      </c>
      <c r="AY229" s="135">
        <v>10</v>
      </c>
      <c r="AZ229" s="135">
        <v>7.7</v>
      </c>
      <c r="BA229" s="135">
        <v>0.13</v>
      </c>
      <c r="BB229" s="135"/>
      <c r="BC229" s="135"/>
      <c r="BD229" s="135"/>
      <c r="BE229" s="135"/>
      <c r="BF229" s="135">
        <v>1.8</v>
      </c>
      <c r="BG229" s="135">
        <v>6000</v>
      </c>
      <c r="BH229" s="135">
        <v>3256.2</v>
      </c>
      <c r="BI229" s="135">
        <v>0.31</v>
      </c>
      <c r="BJ229" s="135">
        <v>44.5</v>
      </c>
      <c r="BK229" s="135">
        <v>-7</v>
      </c>
      <c r="BL229" s="135">
        <v>25.75</v>
      </c>
    </row>
    <row r="230" spans="1:64" x14ac:dyDescent="0.3">
      <c r="A230" s="135">
        <v>2016</v>
      </c>
      <c r="B230" s="135">
        <v>4</v>
      </c>
      <c r="C230" s="135" t="s">
        <v>2573</v>
      </c>
      <c r="D230" s="135" t="s">
        <v>279</v>
      </c>
      <c r="E230" s="135" t="s">
        <v>396</v>
      </c>
      <c r="F230" s="135" t="s">
        <v>18</v>
      </c>
      <c r="G230" s="135" t="s">
        <v>14</v>
      </c>
      <c r="H230" s="135">
        <v>36.85</v>
      </c>
      <c r="I230" s="135">
        <v>0.80400000000000005</v>
      </c>
      <c r="J230" s="135">
        <v>1.29</v>
      </c>
      <c r="K230" s="135">
        <v>0</v>
      </c>
      <c r="L230" s="135">
        <v>0</v>
      </c>
      <c r="M230" s="135">
        <v>0</v>
      </c>
      <c r="N230" s="135">
        <v>0</v>
      </c>
      <c r="O230" s="135">
        <v>0</v>
      </c>
      <c r="P230" s="135">
        <v>0</v>
      </c>
      <c r="Q230" s="135">
        <v>0</v>
      </c>
      <c r="R230" s="135">
        <v>0</v>
      </c>
      <c r="S230" s="135">
        <v>0.48599999999999999</v>
      </c>
      <c r="T230" s="135">
        <v>5.782</v>
      </c>
      <c r="U230" s="135">
        <v>3.9E-2</v>
      </c>
      <c r="V230" s="135">
        <v>4.0000000000000001E-3</v>
      </c>
      <c r="W230" s="135">
        <v>0</v>
      </c>
      <c r="X230" s="135">
        <v>0</v>
      </c>
      <c r="Y230" s="135" t="s">
        <v>1995</v>
      </c>
      <c r="Z230" s="135">
        <v>1</v>
      </c>
      <c r="AA230" s="135">
        <v>3000</v>
      </c>
      <c r="AB230" s="135">
        <v>2875.8</v>
      </c>
      <c r="AC230" s="135">
        <v>0.35</v>
      </c>
      <c r="AD230" s="135">
        <v>1.3</v>
      </c>
      <c r="AE230" s="135">
        <v>5000</v>
      </c>
      <c r="AF230" s="135">
        <v>3875.4</v>
      </c>
      <c r="AG230" s="135">
        <v>0.26</v>
      </c>
      <c r="AH230" s="135">
        <v>1.3</v>
      </c>
      <c r="AI230" s="135">
        <v>3000</v>
      </c>
      <c r="AJ230" s="135">
        <v>2257.5</v>
      </c>
      <c r="AK230" s="135">
        <v>0.44</v>
      </c>
      <c r="AL230" s="135">
        <v>1</v>
      </c>
      <c r="AM230" s="135">
        <v>4600</v>
      </c>
      <c r="AN230" s="135">
        <v>4392.7</v>
      </c>
      <c r="AO230" s="135">
        <v>0.23</v>
      </c>
      <c r="AP230" s="135"/>
      <c r="AQ230" s="135"/>
      <c r="AR230" s="135"/>
      <c r="AS230" s="135"/>
      <c r="AT230" s="135"/>
      <c r="AU230" s="135"/>
      <c r="AV230" s="135"/>
      <c r="AW230" s="135"/>
      <c r="AX230" s="135">
        <v>1</v>
      </c>
      <c r="AY230" s="135">
        <v>10</v>
      </c>
      <c r="AZ230" s="135">
        <v>9.5</v>
      </c>
      <c r="BA230" s="135">
        <v>0.1</v>
      </c>
      <c r="BB230" s="135"/>
      <c r="BC230" s="135"/>
      <c r="BD230" s="135"/>
      <c r="BE230" s="135"/>
      <c r="BF230" s="135">
        <v>1.3</v>
      </c>
      <c r="BG230" s="135">
        <v>6000</v>
      </c>
      <c r="BH230" s="135">
        <v>4515</v>
      </c>
      <c r="BI230" s="135">
        <v>0.22</v>
      </c>
      <c r="BJ230" s="135">
        <v>45.5</v>
      </c>
      <c r="BK230" s="135">
        <v>-8</v>
      </c>
      <c r="BL230" s="135">
        <v>26.75</v>
      </c>
    </row>
    <row r="231" spans="1:64" x14ac:dyDescent="0.3">
      <c r="A231" s="135">
        <v>2016</v>
      </c>
      <c r="B231" s="135">
        <v>4</v>
      </c>
      <c r="C231" s="135" t="s">
        <v>2184</v>
      </c>
      <c r="D231" s="135" t="s">
        <v>518</v>
      </c>
      <c r="E231" s="135" t="s">
        <v>396</v>
      </c>
      <c r="F231" s="135" t="s">
        <v>16</v>
      </c>
      <c r="G231" s="135" t="s">
        <v>1980</v>
      </c>
      <c r="H231" s="135">
        <v>26.15</v>
      </c>
      <c r="I231" s="135">
        <v>0.79600000000000004</v>
      </c>
      <c r="J231" s="135">
        <v>1.2969999999999999</v>
      </c>
      <c r="K231" s="135">
        <v>0</v>
      </c>
      <c r="L231" s="135">
        <v>0</v>
      </c>
      <c r="M231" s="135">
        <v>0</v>
      </c>
      <c r="N231" s="135">
        <v>0</v>
      </c>
      <c r="O231" s="135">
        <v>0</v>
      </c>
      <c r="P231" s="135">
        <v>0</v>
      </c>
      <c r="Q231" s="135">
        <v>0</v>
      </c>
      <c r="R231" s="135">
        <v>0</v>
      </c>
      <c r="S231" s="135">
        <v>0.501</v>
      </c>
      <c r="T231" s="135">
        <v>5.6950000000000003</v>
      </c>
      <c r="U231" s="135">
        <v>3.9E-2</v>
      </c>
      <c r="V231" s="135">
        <v>4.0000000000000001E-3</v>
      </c>
      <c r="W231" s="135">
        <v>0</v>
      </c>
      <c r="X231" s="135">
        <v>0</v>
      </c>
      <c r="Y231" s="135" t="s">
        <v>1995</v>
      </c>
      <c r="Z231" s="135">
        <v>1</v>
      </c>
      <c r="AA231" s="135">
        <v>3000</v>
      </c>
      <c r="AB231" s="135">
        <v>2879.1</v>
      </c>
      <c r="AC231" s="135">
        <v>0.35</v>
      </c>
      <c r="AD231" s="135">
        <v>1.3</v>
      </c>
      <c r="AE231" s="135">
        <v>5000</v>
      </c>
      <c r="AF231" s="135">
        <v>3856.5</v>
      </c>
      <c r="AG231" s="135">
        <v>0.26</v>
      </c>
      <c r="AH231" s="135">
        <v>1.3</v>
      </c>
      <c r="AI231" s="135">
        <v>3000</v>
      </c>
      <c r="AJ231" s="135">
        <v>2247.6999999999998</v>
      </c>
      <c r="AK231" s="135">
        <v>0.44</v>
      </c>
      <c r="AL231" s="135"/>
      <c r="AM231" s="135"/>
      <c r="AN231" s="135"/>
      <c r="AO231" s="135"/>
      <c r="AP231" s="135"/>
      <c r="AQ231" s="135"/>
      <c r="AR231" s="135"/>
      <c r="AS231" s="135"/>
      <c r="AT231" s="135"/>
      <c r="AU231" s="135"/>
      <c r="AV231" s="135"/>
      <c r="AW231" s="135"/>
      <c r="AX231" s="135">
        <v>1</v>
      </c>
      <c r="AY231" s="135">
        <v>10</v>
      </c>
      <c r="AZ231" s="135">
        <v>9.6</v>
      </c>
      <c r="BA231" s="135">
        <v>0.1</v>
      </c>
      <c r="BB231" s="135"/>
      <c r="BC231" s="135"/>
      <c r="BD231" s="135"/>
      <c r="BE231" s="135"/>
      <c r="BF231" s="135">
        <v>1.3</v>
      </c>
      <c r="BG231" s="135">
        <v>6000</v>
      </c>
      <c r="BH231" s="135">
        <v>4495.5</v>
      </c>
      <c r="BI231" s="135">
        <v>0.22</v>
      </c>
      <c r="BJ231" s="135">
        <v>49.5</v>
      </c>
      <c r="BK231" s="135">
        <v>-2.5</v>
      </c>
      <c r="BL231" s="135">
        <v>26</v>
      </c>
    </row>
    <row r="232" spans="1:64" x14ac:dyDescent="0.3">
      <c r="A232" s="135">
        <v>2016</v>
      </c>
      <c r="B232" s="135">
        <v>4</v>
      </c>
      <c r="C232" s="135" t="s">
        <v>2194</v>
      </c>
      <c r="D232" s="135" t="s">
        <v>316</v>
      </c>
      <c r="E232" s="135" t="s">
        <v>396</v>
      </c>
      <c r="F232" s="135" t="s">
        <v>41</v>
      </c>
      <c r="G232" s="135" t="s">
        <v>37</v>
      </c>
      <c r="H232" s="135">
        <v>18.84</v>
      </c>
      <c r="I232" s="135">
        <v>0.70199999999999996</v>
      </c>
      <c r="J232" s="135">
        <v>1.377</v>
      </c>
      <c r="K232" s="135">
        <v>0</v>
      </c>
      <c r="L232" s="135">
        <v>0</v>
      </c>
      <c r="M232" s="135">
        <v>0</v>
      </c>
      <c r="N232" s="135">
        <v>0</v>
      </c>
      <c r="O232" s="135">
        <v>0</v>
      </c>
      <c r="P232" s="135">
        <v>0</v>
      </c>
      <c r="Q232" s="135">
        <v>0</v>
      </c>
      <c r="R232" s="135">
        <v>0</v>
      </c>
      <c r="S232" s="135">
        <v>0.67500000000000004</v>
      </c>
      <c r="T232" s="135">
        <v>5.1210000000000004</v>
      </c>
      <c r="U232" s="135">
        <v>3.4000000000000002E-2</v>
      </c>
      <c r="V232" s="135">
        <v>7.0000000000000001E-3</v>
      </c>
      <c r="W232" s="135">
        <v>0</v>
      </c>
      <c r="X232" s="135">
        <v>0</v>
      </c>
      <c r="Y232" s="135" t="s">
        <v>1995</v>
      </c>
      <c r="Z232" s="135">
        <v>1</v>
      </c>
      <c r="AA232" s="135">
        <v>3500</v>
      </c>
      <c r="AB232" s="135">
        <v>3389.5</v>
      </c>
      <c r="AC232" s="135">
        <v>0.3</v>
      </c>
      <c r="AD232" s="135">
        <v>1.4</v>
      </c>
      <c r="AE232" s="135">
        <v>5000</v>
      </c>
      <c r="AF232" s="135">
        <v>3630.8</v>
      </c>
      <c r="AG232" s="135">
        <v>0.28000000000000003</v>
      </c>
      <c r="AH232" s="135">
        <v>1.4</v>
      </c>
      <c r="AI232" s="135">
        <v>3000</v>
      </c>
      <c r="AJ232" s="135">
        <v>2120.4</v>
      </c>
      <c r="AK232" s="135">
        <v>0.47</v>
      </c>
      <c r="AL232" s="135">
        <v>1</v>
      </c>
      <c r="AM232" s="135">
        <v>4700</v>
      </c>
      <c r="AN232" s="135">
        <v>4521</v>
      </c>
      <c r="AO232" s="135">
        <v>0.22</v>
      </c>
      <c r="AP232" s="135"/>
      <c r="AQ232" s="135"/>
      <c r="AR232" s="135"/>
      <c r="AS232" s="135"/>
      <c r="AT232" s="135"/>
      <c r="AU232" s="135"/>
      <c r="AV232" s="135"/>
      <c r="AW232" s="135"/>
      <c r="AX232" s="135">
        <v>1</v>
      </c>
      <c r="AY232" s="135">
        <v>10</v>
      </c>
      <c r="AZ232" s="135">
        <v>9.6</v>
      </c>
      <c r="BA232" s="135">
        <v>0.1</v>
      </c>
      <c r="BB232" s="135"/>
      <c r="BC232" s="135"/>
      <c r="BD232" s="135"/>
      <c r="BE232" s="135"/>
      <c r="BF232" s="135">
        <v>1.4</v>
      </c>
      <c r="BG232" s="135">
        <v>6000</v>
      </c>
      <c r="BH232" s="135">
        <v>4240.8</v>
      </c>
      <c r="BI232" s="135">
        <v>0.24</v>
      </c>
      <c r="BJ232" s="135">
        <v>43.5</v>
      </c>
      <c r="BK232" s="135">
        <v>-4</v>
      </c>
      <c r="BL232" s="135">
        <v>23.75</v>
      </c>
    </row>
    <row r="233" spans="1:64" x14ac:dyDescent="0.3">
      <c r="A233" s="135">
        <v>2016</v>
      </c>
      <c r="B233" s="135">
        <v>4</v>
      </c>
      <c r="C233" s="135" t="s">
        <v>2574</v>
      </c>
      <c r="D233" s="135" t="s">
        <v>506</v>
      </c>
      <c r="E233" s="135" t="s">
        <v>396</v>
      </c>
      <c r="F233" s="135" t="s">
        <v>28</v>
      </c>
      <c r="G233" s="135" t="s">
        <v>57</v>
      </c>
      <c r="H233" s="135">
        <v>30.59</v>
      </c>
      <c r="I233" s="135">
        <v>0.55200000000000005</v>
      </c>
      <c r="J233" s="135">
        <v>0.91300000000000003</v>
      </c>
      <c r="K233" s="135">
        <v>0</v>
      </c>
      <c r="L233" s="135">
        <v>0</v>
      </c>
      <c r="M233" s="135">
        <v>0</v>
      </c>
      <c r="N233" s="135">
        <v>0</v>
      </c>
      <c r="O233" s="135">
        <v>0</v>
      </c>
      <c r="P233" s="135">
        <v>0</v>
      </c>
      <c r="Q233" s="135">
        <v>0</v>
      </c>
      <c r="R233" s="135">
        <v>0</v>
      </c>
      <c r="S233" s="135">
        <v>0.36099999999999999</v>
      </c>
      <c r="T233" s="135">
        <v>5.5830000000000002</v>
      </c>
      <c r="U233" s="135">
        <v>0</v>
      </c>
      <c r="V233" s="135">
        <v>3.0000000000000001E-3</v>
      </c>
      <c r="W233" s="135">
        <v>0</v>
      </c>
      <c r="X233" s="135">
        <v>0</v>
      </c>
      <c r="Y233" s="135" t="s">
        <v>1995</v>
      </c>
      <c r="Z233" s="135">
        <v>0.7</v>
      </c>
      <c r="AA233" s="135">
        <v>3000</v>
      </c>
      <c r="AB233" s="135">
        <v>4110.7</v>
      </c>
      <c r="AC233" s="135">
        <v>0.24</v>
      </c>
      <c r="AD233" s="135">
        <v>0.9</v>
      </c>
      <c r="AE233" s="135">
        <v>5000</v>
      </c>
      <c r="AF233" s="135">
        <v>5474.7</v>
      </c>
      <c r="AG233" s="135">
        <v>0.18</v>
      </c>
      <c r="AH233" s="135">
        <v>0.9</v>
      </c>
      <c r="AI233" s="135">
        <v>3000</v>
      </c>
      <c r="AJ233" s="135">
        <v>3158.6</v>
      </c>
      <c r="AK233" s="135">
        <v>0.32</v>
      </c>
      <c r="AL233" s="135">
        <v>0.7</v>
      </c>
      <c r="AM233" s="135">
        <v>4500</v>
      </c>
      <c r="AN233" s="135">
        <v>6140.8</v>
      </c>
      <c r="AO233" s="135">
        <v>0.16</v>
      </c>
      <c r="AP233" s="135"/>
      <c r="AQ233" s="135"/>
      <c r="AR233" s="135"/>
      <c r="AS233" s="135"/>
      <c r="AT233" s="135"/>
      <c r="AU233" s="135"/>
      <c r="AV233" s="135"/>
      <c r="AW233" s="135"/>
      <c r="AX233" s="135">
        <v>0.7</v>
      </c>
      <c r="AY233" s="135">
        <v>10</v>
      </c>
      <c r="AZ233" s="135">
        <v>13.6</v>
      </c>
      <c r="BA233" s="135">
        <v>7.0000000000000007E-2</v>
      </c>
      <c r="BB233" s="135"/>
      <c r="BC233" s="135"/>
      <c r="BD233" s="135"/>
      <c r="BE233" s="135"/>
      <c r="BF233" s="135">
        <v>0.9</v>
      </c>
      <c r="BG233" s="135">
        <v>6000</v>
      </c>
      <c r="BH233" s="135">
        <v>6317.1</v>
      </c>
      <c r="BI233" s="135">
        <v>0.16</v>
      </c>
      <c r="BJ233" s="135">
        <v>44.5</v>
      </c>
      <c r="BK233" s="135">
        <v>-7</v>
      </c>
      <c r="BL233" s="135">
        <v>25.75</v>
      </c>
    </row>
    <row r="234" spans="1:64" x14ac:dyDescent="0.3">
      <c r="A234" s="135">
        <v>2016</v>
      </c>
      <c r="B234" s="135">
        <v>4</v>
      </c>
      <c r="C234" s="135" t="s">
        <v>2189</v>
      </c>
      <c r="D234" s="135" t="s">
        <v>489</v>
      </c>
      <c r="E234" s="135" t="s">
        <v>396</v>
      </c>
      <c r="F234" s="135" t="s">
        <v>16</v>
      </c>
      <c r="G234" s="135" t="s">
        <v>1980</v>
      </c>
      <c r="H234" s="135">
        <v>26.15</v>
      </c>
      <c r="I234" s="135">
        <v>0.51500000000000001</v>
      </c>
      <c r="J234" s="135">
        <v>0.76500000000000001</v>
      </c>
      <c r="K234" s="135">
        <v>0</v>
      </c>
      <c r="L234" s="135">
        <v>0</v>
      </c>
      <c r="M234" s="135">
        <v>0</v>
      </c>
      <c r="N234" s="135">
        <v>0</v>
      </c>
      <c r="O234" s="135">
        <v>0</v>
      </c>
      <c r="P234" s="135">
        <v>0</v>
      </c>
      <c r="Q234" s="135">
        <v>0</v>
      </c>
      <c r="R234" s="135">
        <v>0</v>
      </c>
      <c r="S234" s="135">
        <v>0.25</v>
      </c>
      <c r="T234" s="135">
        <v>2.847</v>
      </c>
      <c r="U234" s="135">
        <v>3.9E-2</v>
      </c>
      <c r="V234" s="135">
        <v>2E-3</v>
      </c>
      <c r="W234" s="135">
        <v>0</v>
      </c>
      <c r="X234" s="135">
        <v>0</v>
      </c>
      <c r="Y234" s="135" t="s">
        <v>1995</v>
      </c>
      <c r="Z234" s="135">
        <v>0.6</v>
      </c>
      <c r="AA234" s="135">
        <v>3000</v>
      </c>
      <c r="AB234" s="135">
        <v>4704.3999999999996</v>
      </c>
      <c r="AC234" s="135">
        <v>0.21</v>
      </c>
      <c r="AD234" s="135">
        <v>0.8</v>
      </c>
      <c r="AE234" s="135">
        <v>5000</v>
      </c>
      <c r="AF234" s="135">
        <v>6538.5</v>
      </c>
      <c r="AG234" s="135">
        <v>0.15</v>
      </c>
      <c r="AH234" s="135">
        <v>0.8</v>
      </c>
      <c r="AI234" s="135">
        <v>3000</v>
      </c>
      <c r="AJ234" s="135">
        <v>3827.6</v>
      </c>
      <c r="AK234" s="135">
        <v>0.26</v>
      </c>
      <c r="AL234" s="135">
        <v>0.6</v>
      </c>
      <c r="AM234" s="135">
        <v>4500</v>
      </c>
      <c r="AN234" s="135">
        <v>7034.5</v>
      </c>
      <c r="AO234" s="135">
        <v>0.14000000000000001</v>
      </c>
      <c r="AP234" s="135"/>
      <c r="AQ234" s="135"/>
      <c r="AR234" s="135"/>
      <c r="AS234" s="135"/>
      <c r="AT234" s="135"/>
      <c r="AU234" s="135"/>
      <c r="AV234" s="135"/>
      <c r="AW234" s="135"/>
      <c r="AX234" s="135">
        <v>0.6</v>
      </c>
      <c r="AY234" s="135">
        <v>10</v>
      </c>
      <c r="AZ234" s="135">
        <v>15.6</v>
      </c>
      <c r="BA234" s="135">
        <v>0.06</v>
      </c>
      <c r="BB234" s="135"/>
      <c r="BC234" s="135"/>
      <c r="BD234" s="135"/>
      <c r="BE234" s="135"/>
      <c r="BF234" s="135">
        <v>0.8</v>
      </c>
      <c r="BG234" s="135">
        <v>6000</v>
      </c>
      <c r="BH234" s="135">
        <v>7655.2</v>
      </c>
      <c r="BI234" s="135">
        <v>0.13</v>
      </c>
      <c r="BJ234" s="135">
        <v>49.5</v>
      </c>
      <c r="BK234" s="135">
        <v>-2.5</v>
      </c>
      <c r="BL234" s="135">
        <v>26</v>
      </c>
    </row>
    <row r="235" spans="1:64" x14ac:dyDescent="0.3">
      <c r="A235" s="135">
        <v>2016</v>
      </c>
      <c r="B235" s="135">
        <v>4</v>
      </c>
      <c r="C235" s="135" t="s">
        <v>2201</v>
      </c>
      <c r="D235" s="135" t="s">
        <v>319</v>
      </c>
      <c r="E235" s="135" t="s">
        <v>399</v>
      </c>
      <c r="F235" s="135" t="s">
        <v>22</v>
      </c>
      <c r="G235" s="135" t="s">
        <v>2296</v>
      </c>
      <c r="H235" s="135">
        <v>18.57</v>
      </c>
      <c r="I235" s="135">
        <v>11.06</v>
      </c>
      <c r="J235" s="135">
        <v>17.780999999999999</v>
      </c>
      <c r="K235" s="135">
        <v>0</v>
      </c>
      <c r="L235" s="135">
        <v>0</v>
      </c>
      <c r="M235" s="135">
        <v>0</v>
      </c>
      <c r="N235" s="135">
        <v>0</v>
      </c>
      <c r="O235" s="135">
        <v>0</v>
      </c>
      <c r="P235" s="135">
        <v>0</v>
      </c>
      <c r="Q235" s="135">
        <v>0</v>
      </c>
      <c r="R235" s="135">
        <v>0</v>
      </c>
      <c r="S235" s="135">
        <v>6.7210000000000001</v>
      </c>
      <c r="T235" s="135">
        <v>88.52</v>
      </c>
      <c r="U235" s="135">
        <v>0.38600000000000001</v>
      </c>
      <c r="V235" s="135">
        <v>5.3999999999999999E-2</v>
      </c>
      <c r="W235" s="135">
        <v>0</v>
      </c>
      <c r="X235" s="135">
        <v>0</v>
      </c>
      <c r="Y235" s="135" t="s">
        <v>1959</v>
      </c>
      <c r="Z235" s="135">
        <v>14.4</v>
      </c>
      <c r="AA235" s="135">
        <v>5300</v>
      </c>
      <c r="AB235" s="135">
        <v>368.9</v>
      </c>
      <c r="AC235" s="135">
        <v>2.71</v>
      </c>
      <c r="AD235" s="135">
        <v>17.8</v>
      </c>
      <c r="AE235" s="135">
        <v>12000</v>
      </c>
      <c r="AF235" s="135">
        <v>674.9</v>
      </c>
      <c r="AG235" s="135">
        <v>1.48</v>
      </c>
      <c r="AH235" s="135">
        <v>18.399999999999999</v>
      </c>
      <c r="AI235" s="135">
        <v>6000</v>
      </c>
      <c r="AJ235" s="135">
        <v>326.7</v>
      </c>
      <c r="AK235" s="135">
        <v>3.06</v>
      </c>
      <c r="AL235" s="135">
        <v>14.4</v>
      </c>
      <c r="AM235" s="135">
        <v>7900</v>
      </c>
      <c r="AN235" s="135">
        <v>547.79999999999995</v>
      </c>
      <c r="AO235" s="135">
        <v>1.83</v>
      </c>
      <c r="AP235" s="135"/>
      <c r="AQ235" s="135"/>
      <c r="AR235" s="135"/>
      <c r="AS235" s="135"/>
      <c r="AT235" s="135"/>
      <c r="AU235" s="135"/>
      <c r="AV235" s="135"/>
      <c r="AW235" s="135"/>
      <c r="AX235" s="135">
        <v>14.4</v>
      </c>
      <c r="AY235" s="135">
        <v>24</v>
      </c>
      <c r="AZ235" s="135">
        <v>1.7</v>
      </c>
      <c r="BA235" s="135">
        <v>0.6</v>
      </c>
      <c r="BB235" s="135"/>
      <c r="BC235" s="135"/>
      <c r="BD235" s="135"/>
      <c r="BE235" s="135"/>
      <c r="BF235" s="135">
        <v>18.399999999999999</v>
      </c>
      <c r="BG235" s="135">
        <v>11300</v>
      </c>
      <c r="BH235" s="135">
        <v>615.29999999999995</v>
      </c>
      <c r="BI235" s="135">
        <v>1.63</v>
      </c>
      <c r="BJ235" s="135">
        <v>50</v>
      </c>
      <c r="BK235" s="135">
        <v>-3</v>
      </c>
      <c r="BL235" s="135">
        <v>26.5</v>
      </c>
    </row>
    <row r="236" spans="1:64" x14ac:dyDescent="0.3">
      <c r="A236" s="135">
        <v>2016</v>
      </c>
      <c r="B236" s="135">
        <v>4</v>
      </c>
      <c r="C236" s="135" t="s">
        <v>2200</v>
      </c>
      <c r="D236" s="135" t="s">
        <v>215</v>
      </c>
      <c r="E236" s="135" t="s">
        <v>399</v>
      </c>
      <c r="F236" s="135" t="s">
        <v>18</v>
      </c>
      <c r="G236" s="135" t="s">
        <v>14</v>
      </c>
      <c r="H236" s="135">
        <v>8.52</v>
      </c>
      <c r="I236" s="135">
        <v>9.9559999999999995</v>
      </c>
      <c r="J236" s="135">
        <v>15.423999999999999</v>
      </c>
      <c r="K236" s="135">
        <v>0</v>
      </c>
      <c r="L236" s="135">
        <v>0</v>
      </c>
      <c r="M236" s="135">
        <v>0</v>
      </c>
      <c r="N236" s="135">
        <v>0</v>
      </c>
      <c r="O236" s="135">
        <v>0</v>
      </c>
      <c r="P236" s="135">
        <v>0</v>
      </c>
      <c r="Q236" s="135">
        <v>0</v>
      </c>
      <c r="R236" s="135">
        <v>0</v>
      </c>
      <c r="S236" s="135">
        <v>5.468</v>
      </c>
      <c r="T236" s="135">
        <v>66.497</v>
      </c>
      <c r="U236" s="135">
        <v>0.56499999999999995</v>
      </c>
      <c r="V236" s="135">
        <v>4.2000000000000003E-2</v>
      </c>
      <c r="W236" s="135">
        <v>0</v>
      </c>
      <c r="X236" s="135">
        <v>0</v>
      </c>
      <c r="Y236" s="135" t="s">
        <v>1959</v>
      </c>
      <c r="Z236" s="135">
        <v>12.6</v>
      </c>
      <c r="AA236" s="135">
        <v>5000</v>
      </c>
      <c r="AB236" s="135">
        <v>395.3</v>
      </c>
      <c r="AC236" s="135">
        <v>2.5299999999999998</v>
      </c>
      <c r="AD236" s="135">
        <v>15.4</v>
      </c>
      <c r="AE236" s="135">
        <v>12750</v>
      </c>
      <c r="AF236" s="135">
        <v>826.6</v>
      </c>
      <c r="AG236" s="135">
        <v>1.21</v>
      </c>
      <c r="AH236" s="135">
        <v>15.9</v>
      </c>
      <c r="AI236" s="135">
        <v>6300</v>
      </c>
      <c r="AJ236" s="135">
        <v>397.1</v>
      </c>
      <c r="AK236" s="135">
        <v>2.52</v>
      </c>
      <c r="AL236" s="135">
        <v>12.7</v>
      </c>
      <c r="AM236" s="135">
        <v>7500</v>
      </c>
      <c r="AN236" s="135">
        <v>591</v>
      </c>
      <c r="AO236" s="135">
        <v>1.69</v>
      </c>
      <c r="AP236" s="135"/>
      <c r="AQ236" s="135"/>
      <c r="AR236" s="135"/>
      <c r="AS236" s="135"/>
      <c r="AT236" s="135"/>
      <c r="AU236" s="135"/>
      <c r="AV236" s="135"/>
      <c r="AW236" s="135"/>
      <c r="AX236" s="135">
        <v>12.7</v>
      </c>
      <c r="AY236" s="135">
        <v>27</v>
      </c>
      <c r="AZ236" s="135">
        <v>2.1</v>
      </c>
      <c r="BA236" s="135">
        <v>0.47</v>
      </c>
      <c r="BB236" s="135"/>
      <c r="BC236" s="135"/>
      <c r="BD236" s="135"/>
      <c r="BE236" s="135"/>
      <c r="BF236" s="135">
        <v>15.9</v>
      </c>
      <c r="BG236" s="135">
        <v>12000</v>
      </c>
      <c r="BH236" s="135">
        <v>756.4</v>
      </c>
      <c r="BI236" s="135">
        <v>1.32</v>
      </c>
      <c r="BJ236" s="135">
        <v>45.5</v>
      </c>
      <c r="BK236" s="135">
        <v>-8</v>
      </c>
      <c r="BL236" s="135">
        <v>26.75</v>
      </c>
    </row>
    <row r="237" spans="1:64" x14ac:dyDescent="0.3">
      <c r="A237" s="135">
        <v>2016</v>
      </c>
      <c r="B237" s="135">
        <v>4</v>
      </c>
      <c r="C237" s="135" t="s">
        <v>2203</v>
      </c>
      <c r="D237" s="135" t="s">
        <v>323</v>
      </c>
      <c r="E237" s="135" t="s">
        <v>399</v>
      </c>
      <c r="F237" s="135" t="s">
        <v>397</v>
      </c>
      <c r="G237" s="135" t="s">
        <v>2307</v>
      </c>
      <c r="H237" s="135">
        <v>6.49</v>
      </c>
      <c r="I237" s="135">
        <v>8.9920000000000009</v>
      </c>
      <c r="J237" s="135">
        <v>14.968999999999999</v>
      </c>
      <c r="K237" s="135">
        <v>0</v>
      </c>
      <c r="L237" s="135">
        <v>0</v>
      </c>
      <c r="M237" s="135">
        <v>0</v>
      </c>
      <c r="N237" s="135">
        <v>0</v>
      </c>
      <c r="O237" s="135">
        <v>0</v>
      </c>
      <c r="P237" s="135">
        <v>0</v>
      </c>
      <c r="Q237" s="135">
        <v>0</v>
      </c>
      <c r="R237" s="135">
        <v>0</v>
      </c>
      <c r="S237" s="135">
        <v>5.9770000000000003</v>
      </c>
      <c r="T237" s="135">
        <v>67.442999999999998</v>
      </c>
      <c r="U237" s="135">
        <v>0.39400000000000002</v>
      </c>
      <c r="V237" s="135">
        <v>5.8000000000000003E-2</v>
      </c>
      <c r="W237" s="135">
        <v>0</v>
      </c>
      <c r="X237" s="135">
        <v>0</v>
      </c>
      <c r="Y237" s="135" t="s">
        <v>1959</v>
      </c>
      <c r="Z237" s="135">
        <v>11.9</v>
      </c>
      <c r="AA237" s="135">
        <v>4850</v>
      </c>
      <c r="AB237" s="135">
        <v>406.8</v>
      </c>
      <c r="AC237" s="135">
        <v>2.46</v>
      </c>
      <c r="AD237" s="135">
        <v>15</v>
      </c>
      <c r="AE237" s="135">
        <v>10600</v>
      </c>
      <c r="AF237" s="135">
        <v>708.1</v>
      </c>
      <c r="AG237" s="135">
        <v>1.41</v>
      </c>
      <c r="AH237" s="135">
        <v>15.4</v>
      </c>
      <c r="AI237" s="135">
        <v>4800</v>
      </c>
      <c r="AJ237" s="135">
        <v>311</v>
      </c>
      <c r="AK237" s="135">
        <v>3.21</v>
      </c>
      <c r="AL237" s="135">
        <v>12</v>
      </c>
      <c r="AM237" s="135">
        <v>6500</v>
      </c>
      <c r="AN237" s="135">
        <v>542.5</v>
      </c>
      <c r="AO237" s="135">
        <v>1.84</v>
      </c>
      <c r="AP237" s="135"/>
      <c r="AQ237" s="135"/>
      <c r="AR237" s="135"/>
      <c r="AS237" s="135"/>
      <c r="AT237" s="135"/>
      <c r="AU237" s="135"/>
      <c r="AV237" s="135"/>
      <c r="AW237" s="135"/>
      <c r="AX237" s="135">
        <v>12</v>
      </c>
      <c r="AY237" s="135">
        <v>21</v>
      </c>
      <c r="AZ237" s="135">
        <v>1.8</v>
      </c>
      <c r="BA237" s="135">
        <v>0.56999999999999995</v>
      </c>
      <c r="BB237" s="135"/>
      <c r="BC237" s="135"/>
      <c r="BD237" s="135"/>
      <c r="BE237" s="135"/>
      <c r="BF237" s="135">
        <v>15.4</v>
      </c>
      <c r="BG237" s="135">
        <v>9000</v>
      </c>
      <c r="BH237" s="135">
        <v>583.20000000000005</v>
      </c>
      <c r="BI237" s="135">
        <v>1.71</v>
      </c>
      <c r="BJ237" s="135">
        <v>47.5</v>
      </c>
      <c r="BK237" s="135">
        <v>5.5</v>
      </c>
      <c r="BL237" s="135">
        <v>21</v>
      </c>
    </row>
    <row r="238" spans="1:64" x14ac:dyDescent="0.3">
      <c r="A238" s="135">
        <v>2016</v>
      </c>
      <c r="B238" s="135">
        <v>4</v>
      </c>
      <c r="C238" s="135" t="s">
        <v>2581</v>
      </c>
      <c r="D238" s="135" t="s">
        <v>318</v>
      </c>
      <c r="E238" s="135" t="s">
        <v>399</v>
      </c>
      <c r="F238" s="135" t="s">
        <v>402</v>
      </c>
      <c r="G238" s="135" t="s">
        <v>10</v>
      </c>
      <c r="H238" s="135">
        <v>5.24</v>
      </c>
      <c r="I238" s="135">
        <v>8.0860000000000003</v>
      </c>
      <c r="J238" s="135">
        <v>11.872999999999999</v>
      </c>
      <c r="K238" s="135">
        <v>0</v>
      </c>
      <c r="L238" s="135">
        <v>0</v>
      </c>
      <c r="M238" s="135">
        <v>0</v>
      </c>
      <c r="N238" s="135">
        <v>0</v>
      </c>
      <c r="O238" s="135">
        <v>0</v>
      </c>
      <c r="P238" s="135">
        <v>0</v>
      </c>
      <c r="Q238" s="135">
        <v>0</v>
      </c>
      <c r="R238" s="135">
        <v>0</v>
      </c>
      <c r="S238" s="135">
        <v>3.7869999999999999</v>
      </c>
      <c r="T238" s="135">
        <v>53.155999999999999</v>
      </c>
      <c r="U238" s="135">
        <v>0.47399999999999998</v>
      </c>
      <c r="V238" s="135">
        <v>3.6999999999999998E-2</v>
      </c>
      <c r="W238" s="135">
        <v>0</v>
      </c>
      <c r="X238" s="135">
        <v>0</v>
      </c>
      <c r="Y238" s="135" t="s">
        <v>1983</v>
      </c>
      <c r="Z238" s="135">
        <v>9.9</v>
      </c>
      <c r="AA238" s="135">
        <v>5700</v>
      </c>
      <c r="AB238" s="135">
        <v>573.29999999999995</v>
      </c>
      <c r="AC238" s="135">
        <v>1.74</v>
      </c>
      <c r="AD238" s="135">
        <v>11.9</v>
      </c>
      <c r="AE238" s="135">
        <v>10000</v>
      </c>
      <c r="AF238" s="135">
        <v>842.3</v>
      </c>
      <c r="AG238" s="135">
        <v>1.19</v>
      </c>
      <c r="AH238" s="135">
        <v>12.2</v>
      </c>
      <c r="AI238" s="135">
        <v>6500</v>
      </c>
      <c r="AJ238" s="135">
        <v>531.5</v>
      </c>
      <c r="AK238" s="135">
        <v>1.88</v>
      </c>
      <c r="AL238" s="135">
        <v>10</v>
      </c>
      <c r="AM238" s="135">
        <v>7400</v>
      </c>
      <c r="AN238" s="135">
        <v>741.5</v>
      </c>
      <c r="AO238" s="135">
        <v>1.35</v>
      </c>
      <c r="AP238" s="135"/>
      <c r="AQ238" s="135"/>
      <c r="AR238" s="135"/>
      <c r="AS238" s="135"/>
      <c r="AT238" s="135"/>
      <c r="AU238" s="135"/>
      <c r="AV238" s="135"/>
      <c r="AW238" s="135"/>
      <c r="AX238" s="135">
        <v>10</v>
      </c>
      <c r="AY238" s="135">
        <v>27</v>
      </c>
      <c r="AZ238" s="135">
        <v>2.7</v>
      </c>
      <c r="BA238" s="135">
        <v>0.37</v>
      </c>
      <c r="BB238" s="135"/>
      <c r="BC238" s="135"/>
      <c r="BD238" s="135"/>
      <c r="BE238" s="135"/>
      <c r="BF238" s="135">
        <v>12.2</v>
      </c>
      <c r="BG238" s="135">
        <v>12300</v>
      </c>
      <c r="BH238" s="135">
        <v>1005.8</v>
      </c>
      <c r="BI238" s="135">
        <v>0.99</v>
      </c>
      <c r="BJ238" s="135">
        <v>44</v>
      </c>
      <c r="BK238" s="135">
        <v>-4.5</v>
      </c>
      <c r="BL238" s="135">
        <v>24.25</v>
      </c>
    </row>
    <row r="239" spans="1:64" x14ac:dyDescent="0.3">
      <c r="A239" s="135">
        <v>2016</v>
      </c>
      <c r="B239" s="135">
        <v>4</v>
      </c>
      <c r="C239" s="135" t="s">
        <v>2210</v>
      </c>
      <c r="D239" s="135" t="s">
        <v>331</v>
      </c>
      <c r="E239" s="135" t="s">
        <v>399</v>
      </c>
      <c r="F239" s="135" t="s">
        <v>41</v>
      </c>
      <c r="G239" s="135" t="s">
        <v>37</v>
      </c>
      <c r="H239" s="135">
        <v>4.62</v>
      </c>
      <c r="I239" s="135">
        <v>7.9589999999999996</v>
      </c>
      <c r="J239" s="135">
        <v>12.458</v>
      </c>
      <c r="K239" s="135">
        <v>0</v>
      </c>
      <c r="L239" s="135">
        <v>0</v>
      </c>
      <c r="M239" s="135">
        <v>0</v>
      </c>
      <c r="N239" s="135">
        <v>0</v>
      </c>
      <c r="O239" s="135">
        <v>0</v>
      </c>
      <c r="P239" s="135">
        <v>0</v>
      </c>
      <c r="Q239" s="135">
        <v>0</v>
      </c>
      <c r="R239" s="135">
        <v>0</v>
      </c>
      <c r="S239" s="135">
        <v>4.4989999999999997</v>
      </c>
      <c r="T239" s="135">
        <v>51.213999999999999</v>
      </c>
      <c r="U239" s="135">
        <v>0.48799999999999999</v>
      </c>
      <c r="V239" s="135">
        <v>4.4999999999999998E-2</v>
      </c>
      <c r="W239" s="135">
        <v>0</v>
      </c>
      <c r="X239" s="135">
        <v>0</v>
      </c>
      <c r="Y239" s="135" t="s">
        <v>1983</v>
      </c>
      <c r="Z239" s="135">
        <v>10.199999999999999</v>
      </c>
      <c r="AA239" s="135">
        <v>4550</v>
      </c>
      <c r="AB239" s="135">
        <v>447.7</v>
      </c>
      <c r="AC239" s="135">
        <v>2.23</v>
      </c>
      <c r="AD239" s="135">
        <v>12.5</v>
      </c>
      <c r="AE239" s="135">
        <v>8150</v>
      </c>
      <c r="AF239" s="135">
        <v>654.20000000000005</v>
      </c>
      <c r="AG239" s="135">
        <v>1.53</v>
      </c>
      <c r="AH239" s="135">
        <v>12.8</v>
      </c>
      <c r="AI239" s="135">
        <v>3400</v>
      </c>
      <c r="AJ239" s="135">
        <v>265.39999999999998</v>
      </c>
      <c r="AK239" s="135">
        <v>3.77</v>
      </c>
      <c r="AL239" s="135">
        <v>10.199999999999999</v>
      </c>
      <c r="AM239" s="135">
        <v>5600</v>
      </c>
      <c r="AN239" s="135">
        <v>548.5</v>
      </c>
      <c r="AO239" s="135">
        <v>1.82</v>
      </c>
      <c r="AP239" s="135"/>
      <c r="AQ239" s="135"/>
      <c r="AR239" s="135"/>
      <c r="AS239" s="135"/>
      <c r="AT239" s="135"/>
      <c r="AU239" s="135"/>
      <c r="AV239" s="135"/>
      <c r="AW239" s="135"/>
      <c r="AX239" s="135">
        <v>10.199999999999999</v>
      </c>
      <c r="AY239" s="135">
        <v>15</v>
      </c>
      <c r="AZ239" s="135">
        <v>1.5</v>
      </c>
      <c r="BA239" s="135">
        <v>0.68</v>
      </c>
      <c r="BB239" s="135"/>
      <c r="BC239" s="135"/>
      <c r="BD239" s="135"/>
      <c r="BE239" s="135"/>
      <c r="BF239" s="135">
        <v>12.8</v>
      </c>
      <c r="BG239" s="135">
        <v>6700</v>
      </c>
      <c r="BH239" s="135">
        <v>523</v>
      </c>
      <c r="BI239" s="135">
        <v>1.91</v>
      </c>
      <c r="BJ239" s="135">
        <v>43.5</v>
      </c>
      <c r="BK239" s="135">
        <v>-4</v>
      </c>
      <c r="BL239" s="135">
        <v>23.75</v>
      </c>
    </row>
    <row r="240" spans="1:64" x14ac:dyDescent="0.3">
      <c r="A240" s="135">
        <v>2016</v>
      </c>
      <c r="B240" s="135">
        <v>4</v>
      </c>
      <c r="C240" s="135" t="s">
        <v>2206</v>
      </c>
      <c r="D240" s="135" t="s">
        <v>532</v>
      </c>
      <c r="E240" s="135" t="s">
        <v>399</v>
      </c>
      <c r="F240" s="135" t="s">
        <v>32</v>
      </c>
      <c r="G240" s="135" t="s">
        <v>4</v>
      </c>
      <c r="H240" s="135">
        <v>9.34</v>
      </c>
      <c r="I240" s="135">
        <v>7.5309999999999997</v>
      </c>
      <c r="J240" s="135">
        <v>12.763</v>
      </c>
      <c r="K240" s="135">
        <v>0</v>
      </c>
      <c r="L240" s="135">
        <v>0</v>
      </c>
      <c r="M240" s="135">
        <v>0</v>
      </c>
      <c r="N240" s="135">
        <v>0</v>
      </c>
      <c r="O240" s="135">
        <v>0</v>
      </c>
      <c r="P240" s="135">
        <v>0</v>
      </c>
      <c r="Q240" s="135">
        <v>0</v>
      </c>
      <c r="R240" s="135">
        <v>0</v>
      </c>
      <c r="S240" s="135">
        <v>5.2320000000000002</v>
      </c>
      <c r="T240" s="135">
        <v>55.072000000000003</v>
      </c>
      <c r="U240" s="135">
        <v>0.35</v>
      </c>
      <c r="V240" s="135">
        <v>3.7999999999999999E-2</v>
      </c>
      <c r="W240" s="135">
        <v>0</v>
      </c>
      <c r="X240" s="135">
        <v>0</v>
      </c>
      <c r="Y240" s="135" t="s">
        <v>1983</v>
      </c>
      <c r="Z240" s="135">
        <v>10.1</v>
      </c>
      <c r="AA240" s="135">
        <v>4750</v>
      </c>
      <c r="AB240" s="135">
        <v>469.9</v>
      </c>
      <c r="AC240" s="135">
        <v>2.13</v>
      </c>
      <c r="AD240" s="135">
        <v>12.8</v>
      </c>
      <c r="AE240" s="135">
        <v>9100</v>
      </c>
      <c r="AF240" s="135">
        <v>713</v>
      </c>
      <c r="AG240" s="135">
        <v>1.4</v>
      </c>
      <c r="AH240" s="135">
        <v>13.1</v>
      </c>
      <c r="AI240" s="135">
        <v>3900</v>
      </c>
      <c r="AJ240" s="135">
        <v>297</v>
      </c>
      <c r="AK240" s="135">
        <v>3.37</v>
      </c>
      <c r="AL240" s="135">
        <v>10.1</v>
      </c>
      <c r="AM240" s="135">
        <v>5400</v>
      </c>
      <c r="AN240" s="135">
        <v>532.20000000000005</v>
      </c>
      <c r="AO240" s="135">
        <v>1.88</v>
      </c>
      <c r="AP240" s="135"/>
      <c r="AQ240" s="135"/>
      <c r="AR240" s="135"/>
      <c r="AS240" s="135"/>
      <c r="AT240" s="135"/>
      <c r="AU240" s="135"/>
      <c r="AV240" s="135"/>
      <c r="AW240" s="135"/>
      <c r="AX240" s="135">
        <v>10.1</v>
      </c>
      <c r="AY240" s="135">
        <v>18</v>
      </c>
      <c r="AZ240" s="135">
        <v>1.8</v>
      </c>
      <c r="BA240" s="135">
        <v>0.56000000000000005</v>
      </c>
      <c r="BB240" s="135"/>
      <c r="BC240" s="135"/>
      <c r="BD240" s="135"/>
      <c r="BE240" s="135"/>
      <c r="BF240" s="135">
        <v>13.1</v>
      </c>
      <c r="BG240" s="135">
        <v>7700</v>
      </c>
      <c r="BH240" s="135">
        <v>586.4</v>
      </c>
      <c r="BI240" s="135">
        <v>1.71</v>
      </c>
      <c r="BJ240" s="135">
        <v>46.5</v>
      </c>
      <c r="BK240" s="135">
        <v>-3.5</v>
      </c>
      <c r="BL240" s="135">
        <v>25</v>
      </c>
    </row>
    <row r="241" spans="1:64" x14ac:dyDescent="0.3">
      <c r="A241" s="135">
        <v>2016</v>
      </c>
      <c r="B241" s="135">
        <v>4</v>
      </c>
      <c r="C241" s="135" t="s">
        <v>2205</v>
      </c>
      <c r="D241" s="135" t="s">
        <v>332</v>
      </c>
      <c r="E241" s="135" t="s">
        <v>399</v>
      </c>
      <c r="F241" s="135" t="s">
        <v>26</v>
      </c>
      <c r="G241" s="135" t="s">
        <v>2298</v>
      </c>
      <c r="H241" s="135">
        <v>6.82</v>
      </c>
      <c r="I241" s="135">
        <v>7.2329999999999997</v>
      </c>
      <c r="J241" s="135">
        <v>11.512</v>
      </c>
      <c r="K241" s="135">
        <v>0</v>
      </c>
      <c r="L241" s="135">
        <v>0</v>
      </c>
      <c r="M241" s="135">
        <v>0</v>
      </c>
      <c r="N241" s="135">
        <v>0</v>
      </c>
      <c r="O241" s="135">
        <v>0</v>
      </c>
      <c r="P241" s="135">
        <v>0</v>
      </c>
      <c r="Q241" s="135">
        <v>0</v>
      </c>
      <c r="R241" s="135">
        <v>0</v>
      </c>
      <c r="S241" s="135">
        <v>4.2789999999999999</v>
      </c>
      <c r="T241" s="135">
        <v>47.728999999999999</v>
      </c>
      <c r="U241" s="135">
        <v>0.41899999999999998</v>
      </c>
      <c r="V241" s="135">
        <v>2.7E-2</v>
      </c>
      <c r="W241" s="135">
        <v>0</v>
      </c>
      <c r="X241" s="135">
        <v>0</v>
      </c>
      <c r="Y241" s="135" t="s">
        <v>1983</v>
      </c>
      <c r="Z241" s="135">
        <v>9.3000000000000007</v>
      </c>
      <c r="AA241" s="135">
        <v>4500</v>
      </c>
      <c r="AB241" s="135">
        <v>481.5</v>
      </c>
      <c r="AC241" s="135">
        <v>2.08</v>
      </c>
      <c r="AD241" s="135">
        <v>11.5</v>
      </c>
      <c r="AE241" s="135">
        <v>9250</v>
      </c>
      <c r="AF241" s="135">
        <v>803.5</v>
      </c>
      <c r="AG241" s="135">
        <v>1.24</v>
      </c>
      <c r="AH241" s="135">
        <v>11.8</v>
      </c>
      <c r="AI241" s="135">
        <v>3700</v>
      </c>
      <c r="AJ241" s="135">
        <v>312.89999999999998</v>
      </c>
      <c r="AK241" s="135">
        <v>3.2</v>
      </c>
      <c r="AL241" s="135">
        <v>9.4</v>
      </c>
      <c r="AM241" s="135">
        <v>5800</v>
      </c>
      <c r="AN241" s="135">
        <v>618.79999999999995</v>
      </c>
      <c r="AO241" s="135">
        <v>1.62</v>
      </c>
      <c r="AP241" s="135"/>
      <c r="AQ241" s="135"/>
      <c r="AR241" s="135"/>
      <c r="AS241" s="135"/>
      <c r="AT241" s="135"/>
      <c r="AU241" s="135"/>
      <c r="AV241" s="135"/>
      <c r="AW241" s="135"/>
      <c r="AX241" s="135">
        <v>9.4</v>
      </c>
      <c r="AY241" s="135">
        <v>18</v>
      </c>
      <c r="AZ241" s="135">
        <v>1.9</v>
      </c>
      <c r="BA241" s="135">
        <v>0.52</v>
      </c>
      <c r="BB241" s="135"/>
      <c r="BC241" s="135"/>
      <c r="BD241" s="135"/>
      <c r="BE241" s="135"/>
      <c r="BF241" s="135">
        <v>11.8</v>
      </c>
      <c r="BG241" s="135">
        <v>7400</v>
      </c>
      <c r="BH241" s="135">
        <v>625.79999999999995</v>
      </c>
      <c r="BI241" s="135">
        <v>1.6</v>
      </c>
      <c r="BJ241" s="135">
        <v>46.5</v>
      </c>
      <c r="BK241" s="135">
        <v>-3</v>
      </c>
      <c r="BL241" s="135">
        <v>24.75</v>
      </c>
    </row>
    <row r="242" spans="1:64" x14ac:dyDescent="0.3">
      <c r="A242" s="135">
        <v>2016</v>
      </c>
      <c r="B242" s="135">
        <v>4</v>
      </c>
      <c r="C242" s="135" t="s">
        <v>2204</v>
      </c>
      <c r="D242" s="135" t="s">
        <v>326</v>
      </c>
      <c r="E242" s="135" t="s">
        <v>399</v>
      </c>
      <c r="F242" s="135" t="s">
        <v>12</v>
      </c>
      <c r="G242" s="135" t="s">
        <v>16</v>
      </c>
      <c r="H242" s="135">
        <v>8.5</v>
      </c>
      <c r="I242" s="135">
        <v>6.851</v>
      </c>
      <c r="J242" s="135">
        <v>10.662000000000001</v>
      </c>
      <c r="K242" s="135">
        <v>0</v>
      </c>
      <c r="L242" s="135">
        <v>0</v>
      </c>
      <c r="M242" s="135">
        <v>0</v>
      </c>
      <c r="N242" s="135">
        <v>0</v>
      </c>
      <c r="O242" s="135">
        <v>0</v>
      </c>
      <c r="P242" s="135">
        <v>0</v>
      </c>
      <c r="Q242" s="135">
        <v>0</v>
      </c>
      <c r="R242" s="135">
        <v>0</v>
      </c>
      <c r="S242" s="135">
        <v>3.8109999999999999</v>
      </c>
      <c r="T242" s="135">
        <v>47.994</v>
      </c>
      <c r="U242" s="135">
        <v>0.35299999999999998</v>
      </c>
      <c r="V242" s="135">
        <v>3.3000000000000002E-2</v>
      </c>
      <c r="W242" s="135">
        <v>0</v>
      </c>
      <c r="X242" s="135">
        <v>0</v>
      </c>
      <c r="Y242" s="135" t="s">
        <v>1983</v>
      </c>
      <c r="Z242" s="135">
        <v>8.6999999999999993</v>
      </c>
      <c r="AA242" s="135">
        <v>4400</v>
      </c>
      <c r="AB242" s="135">
        <v>504.4</v>
      </c>
      <c r="AC242" s="135">
        <v>1.98</v>
      </c>
      <c r="AD242" s="135">
        <v>10.7</v>
      </c>
      <c r="AE242" s="135">
        <v>9450</v>
      </c>
      <c r="AF242" s="135">
        <v>886.3</v>
      </c>
      <c r="AG242" s="135">
        <v>1.1299999999999999</v>
      </c>
      <c r="AH242" s="135">
        <v>11</v>
      </c>
      <c r="AI242" s="135">
        <v>4400</v>
      </c>
      <c r="AJ242" s="135">
        <v>400.6</v>
      </c>
      <c r="AK242" s="135">
        <v>2.5</v>
      </c>
      <c r="AL242" s="135">
        <v>8.8000000000000007</v>
      </c>
      <c r="AM242" s="135">
        <v>6000</v>
      </c>
      <c r="AN242" s="135">
        <v>685.2</v>
      </c>
      <c r="AO242" s="135">
        <v>1.46</v>
      </c>
      <c r="AP242" s="135"/>
      <c r="AQ242" s="135"/>
      <c r="AR242" s="135"/>
      <c r="AS242" s="135"/>
      <c r="AT242" s="135"/>
      <c r="AU242" s="135"/>
      <c r="AV242" s="135"/>
      <c r="AW242" s="135"/>
      <c r="AX242" s="135">
        <v>8.8000000000000007</v>
      </c>
      <c r="AY242" s="135">
        <v>16</v>
      </c>
      <c r="AZ242" s="135">
        <v>1.8</v>
      </c>
      <c r="BA242" s="135">
        <v>0.55000000000000004</v>
      </c>
      <c r="BB242" s="135"/>
      <c r="BC242" s="135"/>
      <c r="BD242" s="135"/>
      <c r="BE242" s="135"/>
      <c r="BF242" s="135">
        <v>11</v>
      </c>
      <c r="BG242" s="135">
        <v>8300</v>
      </c>
      <c r="BH242" s="135">
        <v>755.7</v>
      </c>
      <c r="BI242" s="135">
        <v>1.32</v>
      </c>
      <c r="BJ242" s="135">
        <v>49.5</v>
      </c>
      <c r="BK242" s="135">
        <v>2.5</v>
      </c>
      <c r="BL242" s="135">
        <v>23.5</v>
      </c>
    </row>
    <row r="243" spans="1:64" x14ac:dyDescent="0.3">
      <c r="A243" s="135">
        <v>2016</v>
      </c>
      <c r="B243" s="135">
        <v>4</v>
      </c>
      <c r="C243" s="135" t="s">
        <v>2212</v>
      </c>
      <c r="D243" s="135" t="s">
        <v>308</v>
      </c>
      <c r="E243" s="135" t="s">
        <v>399</v>
      </c>
      <c r="F243" s="135" t="s">
        <v>404</v>
      </c>
      <c r="G243" s="135" t="s">
        <v>2308</v>
      </c>
      <c r="H243" s="135">
        <v>6.27</v>
      </c>
      <c r="I243" s="135">
        <v>6.835</v>
      </c>
      <c r="J243" s="135">
        <v>10.747</v>
      </c>
      <c r="K243" s="135">
        <v>0</v>
      </c>
      <c r="L243" s="135">
        <v>0</v>
      </c>
      <c r="M243" s="135">
        <v>0</v>
      </c>
      <c r="N243" s="135">
        <v>0</v>
      </c>
      <c r="O243" s="135">
        <v>0</v>
      </c>
      <c r="P243" s="135">
        <v>0</v>
      </c>
      <c r="Q243" s="135">
        <v>0</v>
      </c>
      <c r="R243" s="135">
        <v>0</v>
      </c>
      <c r="S243" s="135">
        <v>3.9119999999999999</v>
      </c>
      <c r="T243" s="135">
        <v>50.052999999999997</v>
      </c>
      <c r="U243" s="135">
        <v>0.315</v>
      </c>
      <c r="V243" s="135">
        <v>0.03</v>
      </c>
      <c r="W243" s="135">
        <v>0</v>
      </c>
      <c r="X243" s="135">
        <v>0</v>
      </c>
      <c r="Y243" s="135" t="s">
        <v>1983</v>
      </c>
      <c r="Z243" s="135">
        <v>8.8000000000000007</v>
      </c>
      <c r="AA243" s="135">
        <v>4200</v>
      </c>
      <c r="AB243" s="135">
        <v>479.4</v>
      </c>
      <c r="AC243" s="135">
        <v>2.09</v>
      </c>
      <c r="AD243" s="135">
        <v>10.7</v>
      </c>
      <c r="AE243" s="135">
        <v>9450</v>
      </c>
      <c r="AF243" s="135">
        <v>879.3</v>
      </c>
      <c r="AG243" s="135">
        <v>1.1399999999999999</v>
      </c>
      <c r="AH243" s="135">
        <v>11.1</v>
      </c>
      <c r="AI243" s="135">
        <v>3200</v>
      </c>
      <c r="AJ243" s="135">
        <v>288.89999999999998</v>
      </c>
      <c r="AK243" s="135">
        <v>3.46</v>
      </c>
      <c r="AL243" s="135">
        <v>8.8000000000000007</v>
      </c>
      <c r="AM243" s="135">
        <v>5400</v>
      </c>
      <c r="AN243" s="135">
        <v>614.20000000000005</v>
      </c>
      <c r="AO243" s="135">
        <v>1.63</v>
      </c>
      <c r="AP243" s="135"/>
      <c r="AQ243" s="135"/>
      <c r="AR243" s="135"/>
      <c r="AS243" s="135"/>
      <c r="AT243" s="135"/>
      <c r="AU243" s="135"/>
      <c r="AV243" s="135"/>
      <c r="AW243" s="135"/>
      <c r="AX243" s="135">
        <v>8.8000000000000007</v>
      </c>
      <c r="AY243" s="135">
        <v>16</v>
      </c>
      <c r="AZ243" s="135">
        <v>1.8</v>
      </c>
      <c r="BA243" s="135">
        <v>0.55000000000000004</v>
      </c>
      <c r="BB243" s="135"/>
      <c r="BC243" s="135"/>
      <c r="BD243" s="135"/>
      <c r="BE243" s="135"/>
      <c r="BF243" s="135">
        <v>11.1</v>
      </c>
      <c r="BG243" s="135">
        <v>6300</v>
      </c>
      <c r="BH243" s="135">
        <v>568.70000000000005</v>
      </c>
      <c r="BI243" s="135">
        <v>1.76</v>
      </c>
      <c r="BJ243" s="135">
        <v>53.5</v>
      </c>
      <c r="BK243" s="135">
        <v>4</v>
      </c>
      <c r="BL243" s="135">
        <v>24.75</v>
      </c>
    </row>
    <row r="244" spans="1:64" x14ac:dyDescent="0.3">
      <c r="A244" s="135">
        <v>2016</v>
      </c>
      <c r="B244" s="135">
        <v>4</v>
      </c>
      <c r="C244" s="135" t="s">
        <v>2202</v>
      </c>
      <c r="D244" s="135" t="s">
        <v>320</v>
      </c>
      <c r="E244" s="135" t="s">
        <v>399</v>
      </c>
      <c r="F244" s="135" t="s">
        <v>30</v>
      </c>
      <c r="G244" s="135" t="s">
        <v>2302</v>
      </c>
      <c r="H244" s="135">
        <v>-2.06</v>
      </c>
      <c r="I244" s="135">
        <v>6.7960000000000003</v>
      </c>
      <c r="J244" s="135">
        <v>10.701000000000001</v>
      </c>
      <c r="K244" s="135">
        <v>0</v>
      </c>
      <c r="L244" s="135">
        <v>0</v>
      </c>
      <c r="M244" s="135">
        <v>0</v>
      </c>
      <c r="N244" s="135">
        <v>0</v>
      </c>
      <c r="O244" s="135">
        <v>0</v>
      </c>
      <c r="P244" s="135">
        <v>0</v>
      </c>
      <c r="Q244" s="135">
        <v>0</v>
      </c>
      <c r="R244" s="135">
        <v>0</v>
      </c>
      <c r="S244" s="135">
        <v>3.9049999999999998</v>
      </c>
      <c r="T244" s="135">
        <v>52.9</v>
      </c>
      <c r="U244" s="135">
        <v>0.26500000000000001</v>
      </c>
      <c r="V244" s="135">
        <v>4.2000000000000003E-2</v>
      </c>
      <c r="W244" s="135">
        <v>0</v>
      </c>
      <c r="X244" s="135">
        <v>0</v>
      </c>
      <c r="Y244" s="135" t="s">
        <v>1983</v>
      </c>
      <c r="Z244" s="135">
        <v>8.6999999999999993</v>
      </c>
      <c r="AA244" s="135">
        <v>4700</v>
      </c>
      <c r="AB244" s="135">
        <v>539.79999999999995</v>
      </c>
      <c r="AC244" s="135">
        <v>1.85</v>
      </c>
      <c r="AD244" s="135">
        <v>10.7</v>
      </c>
      <c r="AE244" s="135">
        <v>9600</v>
      </c>
      <c r="AF244" s="135">
        <v>897.1</v>
      </c>
      <c r="AG244" s="135">
        <v>1.1100000000000001</v>
      </c>
      <c r="AH244" s="135">
        <v>11.1</v>
      </c>
      <c r="AI244" s="135">
        <v>5000</v>
      </c>
      <c r="AJ244" s="135">
        <v>452.1</v>
      </c>
      <c r="AK244" s="135">
        <v>2.21</v>
      </c>
      <c r="AL244" s="135">
        <v>8.6999999999999993</v>
      </c>
      <c r="AM244" s="135">
        <v>6700</v>
      </c>
      <c r="AN244" s="135">
        <v>765.8</v>
      </c>
      <c r="AO244" s="135">
        <v>1.31</v>
      </c>
      <c r="AP244" s="135"/>
      <c r="AQ244" s="135"/>
      <c r="AR244" s="135"/>
      <c r="AS244" s="135"/>
      <c r="AT244" s="135"/>
      <c r="AU244" s="135"/>
      <c r="AV244" s="135"/>
      <c r="AW244" s="135"/>
      <c r="AX244" s="135">
        <v>8.6999999999999993</v>
      </c>
      <c r="AY244" s="135">
        <v>24</v>
      </c>
      <c r="AZ244" s="135">
        <v>2.7</v>
      </c>
      <c r="BA244" s="135">
        <v>0.36</v>
      </c>
      <c r="BB244" s="135"/>
      <c r="BC244" s="135"/>
      <c r="BD244" s="135"/>
      <c r="BE244" s="135"/>
      <c r="BF244" s="135">
        <v>11.1</v>
      </c>
      <c r="BG244" s="135">
        <v>9300</v>
      </c>
      <c r="BH244" s="135">
        <v>840.8</v>
      </c>
      <c r="BI244" s="135">
        <v>1.19</v>
      </c>
      <c r="BJ244" s="135">
        <v>40.5</v>
      </c>
      <c r="BK244" s="135">
        <v>6.5</v>
      </c>
      <c r="BL244" s="135">
        <v>17</v>
      </c>
    </row>
    <row r="245" spans="1:64" x14ac:dyDescent="0.3">
      <c r="A245" s="135">
        <v>2016</v>
      </c>
      <c r="B245" s="135">
        <v>4</v>
      </c>
      <c r="C245" s="135" t="s">
        <v>2207</v>
      </c>
      <c r="D245" s="135" t="s">
        <v>329</v>
      </c>
      <c r="E245" s="135" t="s">
        <v>399</v>
      </c>
      <c r="F245" s="135" t="s">
        <v>52</v>
      </c>
      <c r="G245" s="135" t="s">
        <v>2309</v>
      </c>
      <c r="H245" s="135">
        <v>13.74</v>
      </c>
      <c r="I245" s="135">
        <v>6.6029999999999998</v>
      </c>
      <c r="J245" s="135">
        <v>10.714</v>
      </c>
      <c r="K245" s="135">
        <v>0</v>
      </c>
      <c r="L245" s="135">
        <v>0</v>
      </c>
      <c r="M245" s="135">
        <v>0</v>
      </c>
      <c r="N245" s="135">
        <v>0</v>
      </c>
      <c r="O245" s="135">
        <v>0</v>
      </c>
      <c r="P245" s="135">
        <v>0</v>
      </c>
      <c r="Q245" s="135">
        <v>0</v>
      </c>
      <c r="R245" s="135">
        <v>0</v>
      </c>
      <c r="S245" s="135">
        <v>4.1109999999999998</v>
      </c>
      <c r="T245" s="135">
        <v>43.750999999999998</v>
      </c>
      <c r="U245" s="135">
        <v>0.38200000000000001</v>
      </c>
      <c r="V245" s="135">
        <v>3.2000000000000001E-2</v>
      </c>
      <c r="W245" s="135">
        <v>0</v>
      </c>
      <c r="X245" s="135">
        <v>0</v>
      </c>
      <c r="Y245" s="135" t="s">
        <v>1983</v>
      </c>
      <c r="Z245" s="135">
        <v>8.6</v>
      </c>
      <c r="AA245" s="135">
        <v>4450</v>
      </c>
      <c r="AB245" s="135">
        <v>515.79999999999995</v>
      </c>
      <c r="AC245" s="135">
        <v>1.94</v>
      </c>
      <c r="AD245" s="135">
        <v>10.7</v>
      </c>
      <c r="AE245" s="135">
        <v>9300</v>
      </c>
      <c r="AF245" s="135">
        <v>868</v>
      </c>
      <c r="AG245" s="135">
        <v>1.1499999999999999</v>
      </c>
      <c r="AH245" s="135">
        <v>11</v>
      </c>
      <c r="AI245" s="135">
        <v>4500</v>
      </c>
      <c r="AJ245" s="135">
        <v>408.8</v>
      </c>
      <c r="AK245" s="135">
        <v>2.4500000000000002</v>
      </c>
      <c r="AL245" s="135">
        <v>8.6999999999999993</v>
      </c>
      <c r="AM245" s="135">
        <v>6000</v>
      </c>
      <c r="AN245" s="135">
        <v>693</v>
      </c>
      <c r="AO245" s="135">
        <v>1.44</v>
      </c>
      <c r="AP245" s="135"/>
      <c r="AQ245" s="135"/>
      <c r="AR245" s="135"/>
      <c r="AS245" s="135"/>
      <c r="AT245" s="135"/>
      <c r="AU245" s="135"/>
      <c r="AV245" s="135"/>
      <c r="AW245" s="135"/>
      <c r="AX245" s="135">
        <v>8.6999999999999993</v>
      </c>
      <c r="AY245" s="135">
        <v>20</v>
      </c>
      <c r="AZ245" s="135">
        <v>2.2999999999999998</v>
      </c>
      <c r="BA245" s="135">
        <v>0.43</v>
      </c>
      <c r="BB245" s="135"/>
      <c r="BC245" s="135"/>
      <c r="BD245" s="135"/>
      <c r="BE245" s="135"/>
      <c r="BF245" s="135">
        <v>11</v>
      </c>
      <c r="BG245" s="135">
        <v>8400</v>
      </c>
      <c r="BH245" s="135">
        <v>763</v>
      </c>
      <c r="BI245" s="135">
        <v>1.31</v>
      </c>
      <c r="BJ245" s="135">
        <v>46</v>
      </c>
      <c r="BK245" s="135">
        <v>-3</v>
      </c>
      <c r="BL245" s="135">
        <v>24.5</v>
      </c>
    </row>
    <row r="246" spans="1:64" x14ac:dyDescent="0.3">
      <c r="A246" s="135">
        <v>2016</v>
      </c>
      <c r="B246" s="135">
        <v>4</v>
      </c>
      <c r="C246" s="135" t="s">
        <v>2216</v>
      </c>
      <c r="D246" s="135" t="s">
        <v>328</v>
      </c>
      <c r="E246" s="135" t="s">
        <v>399</v>
      </c>
      <c r="F246" s="135" t="s">
        <v>7</v>
      </c>
      <c r="G246" s="135" t="s">
        <v>2305</v>
      </c>
      <c r="H246" s="135">
        <v>11.35</v>
      </c>
      <c r="I246" s="135">
        <v>6.5039999999999996</v>
      </c>
      <c r="J246" s="135">
        <v>10.46</v>
      </c>
      <c r="K246" s="135">
        <v>0</v>
      </c>
      <c r="L246" s="135">
        <v>0</v>
      </c>
      <c r="M246" s="135">
        <v>0</v>
      </c>
      <c r="N246" s="135">
        <v>0</v>
      </c>
      <c r="O246" s="135">
        <v>0</v>
      </c>
      <c r="P246" s="135">
        <v>0</v>
      </c>
      <c r="Q246" s="135">
        <v>0</v>
      </c>
      <c r="R246" s="135">
        <v>0</v>
      </c>
      <c r="S246" s="135">
        <v>3.956</v>
      </c>
      <c r="T246" s="135">
        <v>49.515000000000001</v>
      </c>
      <c r="U246" s="135">
        <v>0.27300000000000002</v>
      </c>
      <c r="V246" s="135">
        <v>4.2999999999999997E-2</v>
      </c>
      <c r="W246" s="135">
        <v>0</v>
      </c>
      <c r="X246" s="135">
        <v>0</v>
      </c>
      <c r="Y246" s="135" t="s">
        <v>1983</v>
      </c>
      <c r="Z246" s="135">
        <v>8.4</v>
      </c>
      <c r="AA246" s="135">
        <v>4800</v>
      </c>
      <c r="AB246" s="135">
        <v>568.79999999999995</v>
      </c>
      <c r="AC246" s="135">
        <v>1.76</v>
      </c>
      <c r="AD246" s="135">
        <v>10.5</v>
      </c>
      <c r="AE246" s="135">
        <v>7600</v>
      </c>
      <c r="AF246" s="135">
        <v>726.6</v>
      </c>
      <c r="AG246" s="135">
        <v>1.38</v>
      </c>
      <c r="AH246" s="135">
        <v>10.8</v>
      </c>
      <c r="AI246" s="135">
        <v>4000</v>
      </c>
      <c r="AJ246" s="135">
        <v>370.4</v>
      </c>
      <c r="AK246" s="135">
        <v>2.7</v>
      </c>
      <c r="AL246" s="135">
        <v>8.5</v>
      </c>
      <c r="AM246" s="135">
        <v>6400</v>
      </c>
      <c r="AN246" s="135">
        <v>754.6</v>
      </c>
      <c r="AO246" s="135">
        <v>1.33</v>
      </c>
      <c r="AP246" s="135"/>
      <c r="AQ246" s="135"/>
      <c r="AR246" s="135"/>
      <c r="AS246" s="135"/>
      <c r="AT246" s="135"/>
      <c r="AU246" s="135"/>
      <c r="AV246" s="135"/>
      <c r="AW246" s="135"/>
      <c r="AX246" s="135">
        <v>8.5</v>
      </c>
      <c r="AY246" s="135">
        <v>16</v>
      </c>
      <c r="AZ246" s="135">
        <v>1.9</v>
      </c>
      <c r="BA246" s="135">
        <v>0.53</v>
      </c>
      <c r="BB246" s="135"/>
      <c r="BC246" s="135"/>
      <c r="BD246" s="135"/>
      <c r="BE246" s="135"/>
      <c r="BF246" s="135">
        <v>10.8</v>
      </c>
      <c r="BG246" s="135">
        <v>7800</v>
      </c>
      <c r="BH246" s="135">
        <v>722.2</v>
      </c>
      <c r="BI246" s="135">
        <v>1.38</v>
      </c>
      <c r="BJ246" s="135">
        <v>40.5</v>
      </c>
      <c r="BK246" s="135">
        <v>-1.5</v>
      </c>
      <c r="BL246" s="135">
        <v>21</v>
      </c>
    </row>
    <row r="247" spans="1:64" x14ac:dyDescent="0.3">
      <c r="A247" s="135">
        <v>2016</v>
      </c>
      <c r="B247" s="135">
        <v>4</v>
      </c>
      <c r="C247" s="135" t="s">
        <v>2217</v>
      </c>
      <c r="D247" s="135" t="s">
        <v>322</v>
      </c>
      <c r="E247" s="135" t="s">
        <v>399</v>
      </c>
      <c r="F247" s="135" t="s">
        <v>14</v>
      </c>
      <c r="G247" s="135" t="s">
        <v>2310</v>
      </c>
      <c r="H247" s="135">
        <v>4.6500000000000004</v>
      </c>
      <c r="I247" s="135">
        <v>6.33</v>
      </c>
      <c r="J247" s="135">
        <v>10.414</v>
      </c>
      <c r="K247" s="135">
        <v>0</v>
      </c>
      <c r="L247" s="135">
        <v>0</v>
      </c>
      <c r="M247" s="135">
        <v>0</v>
      </c>
      <c r="N247" s="135">
        <v>0</v>
      </c>
      <c r="O247" s="135">
        <v>0</v>
      </c>
      <c r="P247" s="135">
        <v>0</v>
      </c>
      <c r="Q247" s="135">
        <v>0</v>
      </c>
      <c r="R247" s="135">
        <v>0</v>
      </c>
      <c r="S247" s="135">
        <v>4.0839999999999996</v>
      </c>
      <c r="T247" s="135">
        <v>44.378</v>
      </c>
      <c r="U247" s="135">
        <v>0.32700000000000001</v>
      </c>
      <c r="V247" s="135">
        <v>3.5000000000000003E-2</v>
      </c>
      <c r="W247" s="135">
        <v>0</v>
      </c>
      <c r="X247" s="135">
        <v>0</v>
      </c>
      <c r="Y247" s="135" t="s">
        <v>1995</v>
      </c>
      <c r="Z247" s="135">
        <v>8.3000000000000007</v>
      </c>
      <c r="AA247" s="135">
        <v>4400</v>
      </c>
      <c r="AB247" s="135">
        <v>527.79999999999995</v>
      </c>
      <c r="AC247" s="135">
        <v>1.89</v>
      </c>
      <c r="AD247" s="135">
        <v>10.4</v>
      </c>
      <c r="AE247" s="135">
        <v>8750</v>
      </c>
      <c r="AF247" s="135">
        <v>840.2</v>
      </c>
      <c r="AG247" s="135">
        <v>1.19</v>
      </c>
      <c r="AH247" s="135">
        <v>10.7</v>
      </c>
      <c r="AI247" s="135">
        <v>3600</v>
      </c>
      <c r="AJ247" s="135">
        <v>336</v>
      </c>
      <c r="AK247" s="135">
        <v>2.98</v>
      </c>
      <c r="AL247" s="135">
        <v>8.4</v>
      </c>
      <c r="AM247" s="135">
        <v>5900</v>
      </c>
      <c r="AN247" s="135">
        <v>704.7</v>
      </c>
      <c r="AO247" s="135">
        <v>1.42</v>
      </c>
      <c r="AP247" s="135"/>
      <c r="AQ247" s="135"/>
      <c r="AR247" s="135"/>
      <c r="AS247" s="135"/>
      <c r="AT247" s="135"/>
      <c r="AU247" s="135"/>
      <c r="AV247" s="135"/>
      <c r="AW247" s="135"/>
      <c r="AX247" s="135">
        <v>8.4</v>
      </c>
      <c r="AY247" s="135">
        <v>18</v>
      </c>
      <c r="AZ247" s="135">
        <v>2.2000000000000002</v>
      </c>
      <c r="BA247" s="135">
        <v>0.47</v>
      </c>
      <c r="BB247" s="135"/>
      <c r="BC247" s="135"/>
      <c r="BD247" s="135"/>
      <c r="BE247" s="135"/>
      <c r="BF247" s="135">
        <v>10.7</v>
      </c>
      <c r="BG247" s="135">
        <v>7000</v>
      </c>
      <c r="BH247" s="135">
        <v>653.29999999999995</v>
      </c>
      <c r="BI247" s="135">
        <v>1.53</v>
      </c>
      <c r="BJ247" s="135">
        <v>45.5</v>
      </c>
      <c r="BK247" s="135">
        <v>8</v>
      </c>
      <c r="BL247" s="135">
        <v>18.75</v>
      </c>
    </row>
    <row r="248" spans="1:64" x14ac:dyDescent="0.3">
      <c r="A248" s="135">
        <v>2016</v>
      </c>
      <c r="B248" s="135">
        <v>4</v>
      </c>
      <c r="C248" s="135" t="s">
        <v>2209</v>
      </c>
      <c r="D248" s="135" t="s">
        <v>357</v>
      </c>
      <c r="E248" s="135" t="s">
        <v>399</v>
      </c>
      <c r="F248" s="135" t="s">
        <v>16</v>
      </c>
      <c r="G248" s="135" t="s">
        <v>1980</v>
      </c>
      <c r="H248" s="135">
        <v>4.9400000000000004</v>
      </c>
      <c r="I248" s="135">
        <v>6.2969999999999997</v>
      </c>
      <c r="J248" s="135">
        <v>10.051</v>
      </c>
      <c r="K248" s="135">
        <v>0</v>
      </c>
      <c r="L248" s="135">
        <v>0</v>
      </c>
      <c r="M248" s="135">
        <v>0</v>
      </c>
      <c r="N248" s="135">
        <v>0</v>
      </c>
      <c r="O248" s="135">
        <v>0</v>
      </c>
      <c r="P248" s="135">
        <v>0</v>
      </c>
      <c r="Q248" s="135">
        <v>0</v>
      </c>
      <c r="R248" s="135">
        <v>0</v>
      </c>
      <c r="S248" s="135">
        <v>3.754</v>
      </c>
      <c r="T248" s="135">
        <v>41.286999999999999</v>
      </c>
      <c r="U248" s="135">
        <v>0.371</v>
      </c>
      <c r="V248" s="135">
        <v>2.9000000000000001E-2</v>
      </c>
      <c r="W248" s="135">
        <v>0</v>
      </c>
      <c r="X248" s="135">
        <v>0</v>
      </c>
      <c r="Y248" s="135" t="s">
        <v>1995</v>
      </c>
      <c r="Z248" s="135">
        <v>8.1</v>
      </c>
      <c r="AA248" s="135">
        <v>3950</v>
      </c>
      <c r="AB248" s="135">
        <v>485</v>
      </c>
      <c r="AC248" s="135">
        <v>2.06</v>
      </c>
      <c r="AD248" s="135">
        <v>10.1</v>
      </c>
      <c r="AE248" s="135">
        <v>8450</v>
      </c>
      <c r="AF248" s="135">
        <v>840.7</v>
      </c>
      <c r="AG248" s="135">
        <v>1.19</v>
      </c>
      <c r="AH248" s="135">
        <v>10.3</v>
      </c>
      <c r="AI248" s="135">
        <v>3800</v>
      </c>
      <c r="AJ248" s="135">
        <v>368</v>
      </c>
      <c r="AK248" s="135">
        <v>2.72</v>
      </c>
      <c r="AL248" s="135">
        <v>8.1999999999999993</v>
      </c>
      <c r="AM248" s="135">
        <v>5900</v>
      </c>
      <c r="AN248" s="135">
        <v>721.8</v>
      </c>
      <c r="AO248" s="135">
        <v>1.39</v>
      </c>
      <c r="AP248" s="135"/>
      <c r="AQ248" s="135"/>
      <c r="AR248" s="135"/>
      <c r="AS248" s="135"/>
      <c r="AT248" s="135"/>
      <c r="AU248" s="135"/>
      <c r="AV248" s="135"/>
      <c r="AW248" s="135"/>
      <c r="AX248" s="135">
        <v>8.1999999999999993</v>
      </c>
      <c r="AY248" s="135">
        <v>17</v>
      </c>
      <c r="AZ248" s="135">
        <v>2.1</v>
      </c>
      <c r="BA248" s="135">
        <v>0.48</v>
      </c>
      <c r="BB248" s="135"/>
      <c r="BC248" s="135"/>
      <c r="BD248" s="135"/>
      <c r="BE248" s="135"/>
      <c r="BF248" s="135">
        <v>10.3</v>
      </c>
      <c r="BG248" s="135">
        <v>7400</v>
      </c>
      <c r="BH248" s="135">
        <v>716.5</v>
      </c>
      <c r="BI248" s="135">
        <v>1.4</v>
      </c>
      <c r="BJ248" s="135">
        <v>49.5</v>
      </c>
      <c r="BK248" s="135">
        <v>-2.5</v>
      </c>
      <c r="BL248" s="135">
        <v>26</v>
      </c>
    </row>
    <row r="249" spans="1:64" x14ac:dyDescent="0.3">
      <c r="A249" s="135">
        <v>2016</v>
      </c>
      <c r="B249" s="135">
        <v>4</v>
      </c>
      <c r="C249" s="135" t="s">
        <v>2215</v>
      </c>
      <c r="D249" s="135" t="s">
        <v>334</v>
      </c>
      <c r="E249" s="135" t="s">
        <v>399</v>
      </c>
      <c r="F249" s="135" t="s">
        <v>46</v>
      </c>
      <c r="G249" s="135" t="s">
        <v>26</v>
      </c>
      <c r="H249" s="135">
        <v>18.64</v>
      </c>
      <c r="I249" s="135">
        <v>5.9989999999999997</v>
      </c>
      <c r="J249" s="135">
        <v>11.375999999999999</v>
      </c>
      <c r="K249" s="135">
        <v>0</v>
      </c>
      <c r="L249" s="135">
        <v>0</v>
      </c>
      <c r="M249" s="135">
        <v>0</v>
      </c>
      <c r="N249" s="135">
        <v>0</v>
      </c>
      <c r="O249" s="135">
        <v>0</v>
      </c>
      <c r="P249" s="135">
        <v>0</v>
      </c>
      <c r="Q249" s="135">
        <v>0</v>
      </c>
      <c r="R249" s="135">
        <v>0</v>
      </c>
      <c r="S249" s="135">
        <v>5.3769999999999998</v>
      </c>
      <c r="T249" s="135">
        <v>42.470999999999997</v>
      </c>
      <c r="U249" s="135">
        <v>0.31</v>
      </c>
      <c r="V249" s="135">
        <v>5.3999999999999999E-2</v>
      </c>
      <c r="W249" s="135">
        <v>0</v>
      </c>
      <c r="X249" s="135">
        <v>0</v>
      </c>
      <c r="Y249" s="135" t="s">
        <v>1995</v>
      </c>
      <c r="Z249" s="135">
        <v>8.6</v>
      </c>
      <c r="AA249" s="135">
        <v>4000</v>
      </c>
      <c r="AB249" s="135">
        <v>463.3</v>
      </c>
      <c r="AC249" s="135">
        <v>2.16</v>
      </c>
      <c r="AD249" s="135"/>
      <c r="AE249" s="135"/>
      <c r="AF249" s="135"/>
      <c r="AG249" s="135"/>
      <c r="AH249" s="135">
        <v>11.7</v>
      </c>
      <c r="AI249" s="135">
        <v>2700</v>
      </c>
      <c r="AJ249" s="135">
        <v>231.1</v>
      </c>
      <c r="AK249" s="135">
        <v>4.33</v>
      </c>
      <c r="AL249" s="135">
        <v>8.6999999999999993</v>
      </c>
      <c r="AM249" s="135">
        <v>5000</v>
      </c>
      <c r="AN249" s="135">
        <v>575.5</v>
      </c>
      <c r="AO249" s="135">
        <v>1.74</v>
      </c>
      <c r="AP249" s="135"/>
      <c r="AQ249" s="135"/>
      <c r="AR249" s="135"/>
      <c r="AS249" s="135"/>
      <c r="AT249" s="135"/>
      <c r="AU249" s="135"/>
      <c r="AV249" s="135"/>
      <c r="AW249" s="135"/>
      <c r="AX249" s="135">
        <v>8.6999999999999993</v>
      </c>
      <c r="AY249" s="135">
        <v>16</v>
      </c>
      <c r="AZ249" s="135">
        <v>1.8</v>
      </c>
      <c r="BA249" s="135">
        <v>0.54</v>
      </c>
      <c r="BB249" s="135"/>
      <c r="BC249" s="135"/>
      <c r="BD249" s="135"/>
      <c r="BE249" s="135"/>
      <c r="BF249" s="135">
        <v>11.7</v>
      </c>
      <c r="BG249" s="135">
        <v>5200</v>
      </c>
      <c r="BH249" s="135">
        <v>445</v>
      </c>
      <c r="BI249" s="135">
        <v>2.25</v>
      </c>
      <c r="BJ249" s="135">
        <v>46.5</v>
      </c>
      <c r="BK249" s="135">
        <v>3</v>
      </c>
      <c r="BL249" s="135">
        <v>21.75</v>
      </c>
    </row>
    <row r="250" spans="1:64" x14ac:dyDescent="0.3">
      <c r="A250" s="135">
        <v>2016</v>
      </c>
      <c r="B250" s="135">
        <v>4</v>
      </c>
      <c r="C250" s="135" t="s">
        <v>2229</v>
      </c>
      <c r="D250" s="135" t="s">
        <v>559</v>
      </c>
      <c r="E250" s="135" t="s">
        <v>399</v>
      </c>
      <c r="F250" s="135" t="s">
        <v>407</v>
      </c>
      <c r="G250" s="135" t="s">
        <v>404</v>
      </c>
      <c r="H250" s="135">
        <v>0.37</v>
      </c>
      <c r="I250" s="135">
        <v>5.9050000000000002</v>
      </c>
      <c r="J250" s="135">
        <v>9.5820000000000007</v>
      </c>
      <c r="K250" s="135">
        <v>0</v>
      </c>
      <c r="L250" s="135">
        <v>0</v>
      </c>
      <c r="M250" s="135">
        <v>0</v>
      </c>
      <c r="N250" s="135">
        <v>0</v>
      </c>
      <c r="O250" s="135">
        <v>0</v>
      </c>
      <c r="P250" s="135">
        <v>0</v>
      </c>
      <c r="Q250" s="135">
        <v>0</v>
      </c>
      <c r="R250" s="135">
        <v>0</v>
      </c>
      <c r="S250" s="135">
        <v>3.677</v>
      </c>
      <c r="T250" s="135">
        <v>37.89</v>
      </c>
      <c r="U250" s="135">
        <v>0.36099999999999999</v>
      </c>
      <c r="V250" s="135">
        <v>2.5000000000000001E-2</v>
      </c>
      <c r="W250" s="135">
        <v>0</v>
      </c>
      <c r="X250" s="135">
        <v>0</v>
      </c>
      <c r="Y250" s="135" t="s">
        <v>1995</v>
      </c>
      <c r="Z250" s="135">
        <v>7.7</v>
      </c>
      <c r="AA250" s="135">
        <v>3950</v>
      </c>
      <c r="AB250" s="135">
        <v>511.8</v>
      </c>
      <c r="AC250" s="135">
        <v>1.95</v>
      </c>
      <c r="AD250" s="135">
        <v>9.6</v>
      </c>
      <c r="AE250" s="135">
        <v>7250</v>
      </c>
      <c r="AF250" s="135">
        <v>756.6</v>
      </c>
      <c r="AG250" s="135">
        <v>1.32</v>
      </c>
      <c r="AH250" s="135">
        <v>9.8000000000000007</v>
      </c>
      <c r="AI250" s="135">
        <v>2700</v>
      </c>
      <c r="AJ250" s="135">
        <v>274.5</v>
      </c>
      <c r="AK250" s="135">
        <v>3.64</v>
      </c>
      <c r="AL250" s="135">
        <v>7.7</v>
      </c>
      <c r="AM250" s="135">
        <v>4500</v>
      </c>
      <c r="AN250" s="135">
        <v>581.1</v>
      </c>
      <c r="AO250" s="135">
        <v>1.72</v>
      </c>
      <c r="AP250" s="135"/>
      <c r="AQ250" s="135"/>
      <c r="AR250" s="135"/>
      <c r="AS250" s="135"/>
      <c r="AT250" s="135"/>
      <c r="AU250" s="135"/>
      <c r="AV250" s="135"/>
      <c r="AW250" s="135"/>
      <c r="AX250" s="135">
        <v>7.7</v>
      </c>
      <c r="AY250" s="135">
        <v>10</v>
      </c>
      <c r="AZ250" s="135">
        <v>1.3</v>
      </c>
      <c r="BA250" s="135">
        <v>0.77</v>
      </c>
      <c r="BB250" s="135"/>
      <c r="BC250" s="135"/>
      <c r="BD250" s="135"/>
      <c r="BE250" s="135"/>
      <c r="BF250" s="135">
        <v>9.8000000000000007</v>
      </c>
      <c r="BG250" s="135">
        <v>5300</v>
      </c>
      <c r="BH250" s="135">
        <v>538.9</v>
      </c>
      <c r="BI250" s="135">
        <v>1.86</v>
      </c>
      <c r="BJ250" s="135">
        <v>53.5</v>
      </c>
      <c r="BK250" s="135">
        <v>-4</v>
      </c>
      <c r="BL250" s="135">
        <v>28.75</v>
      </c>
    </row>
    <row r="251" spans="1:64" x14ac:dyDescent="0.3">
      <c r="A251" s="135">
        <v>2016</v>
      </c>
      <c r="B251" s="135">
        <v>4</v>
      </c>
      <c r="C251" s="135" t="s">
        <v>2208</v>
      </c>
      <c r="D251" s="135" t="s">
        <v>336</v>
      </c>
      <c r="E251" s="135" t="s">
        <v>399</v>
      </c>
      <c r="F251" s="135" t="s">
        <v>402</v>
      </c>
      <c r="G251" s="135" t="s">
        <v>10</v>
      </c>
      <c r="H251" s="135">
        <v>5.24</v>
      </c>
      <c r="I251" s="135">
        <v>5.7009999999999996</v>
      </c>
      <c r="J251" s="135">
        <v>8.6690000000000005</v>
      </c>
      <c r="K251" s="135">
        <v>0</v>
      </c>
      <c r="L251" s="135">
        <v>0</v>
      </c>
      <c r="M251" s="135">
        <v>0</v>
      </c>
      <c r="N251" s="135">
        <v>0</v>
      </c>
      <c r="O251" s="135">
        <v>0</v>
      </c>
      <c r="P251" s="135">
        <v>0</v>
      </c>
      <c r="Q251" s="135">
        <v>0</v>
      </c>
      <c r="R251" s="135">
        <v>0</v>
      </c>
      <c r="S251" s="135">
        <v>2.968</v>
      </c>
      <c r="T251" s="135">
        <v>40.793999999999997</v>
      </c>
      <c r="U251" s="135">
        <v>0.28000000000000003</v>
      </c>
      <c r="V251" s="135">
        <v>2.9000000000000001E-2</v>
      </c>
      <c r="W251" s="135">
        <v>0</v>
      </c>
      <c r="X251" s="135">
        <v>0</v>
      </c>
      <c r="Y251" s="135" t="s">
        <v>1995</v>
      </c>
      <c r="Z251" s="135">
        <v>7.2</v>
      </c>
      <c r="AA251" s="135">
        <v>4300</v>
      </c>
      <c r="AB251" s="135">
        <v>600.9</v>
      </c>
      <c r="AC251" s="135">
        <v>1.66</v>
      </c>
      <c r="AD251" s="135">
        <v>8.6999999999999993</v>
      </c>
      <c r="AE251" s="135">
        <v>9050</v>
      </c>
      <c r="AF251" s="135">
        <v>1043.9000000000001</v>
      </c>
      <c r="AG251" s="135">
        <v>0.96</v>
      </c>
      <c r="AH251" s="135">
        <v>8.9</v>
      </c>
      <c r="AI251" s="135">
        <v>3500</v>
      </c>
      <c r="AJ251" s="135">
        <v>391.4</v>
      </c>
      <c r="AK251" s="135">
        <v>2.56</v>
      </c>
      <c r="AL251" s="135">
        <v>7.2</v>
      </c>
      <c r="AM251" s="135">
        <v>6300</v>
      </c>
      <c r="AN251" s="135">
        <v>876.8</v>
      </c>
      <c r="AO251" s="135">
        <v>1.1399999999999999</v>
      </c>
      <c r="AP251" s="135"/>
      <c r="AQ251" s="135"/>
      <c r="AR251" s="135"/>
      <c r="AS251" s="135"/>
      <c r="AT251" s="135"/>
      <c r="AU251" s="135"/>
      <c r="AV251" s="135"/>
      <c r="AW251" s="135"/>
      <c r="AX251" s="135">
        <v>7.2</v>
      </c>
      <c r="AY251" s="135">
        <v>14</v>
      </c>
      <c r="AZ251" s="135">
        <v>1.9</v>
      </c>
      <c r="BA251" s="135">
        <v>0.51</v>
      </c>
      <c r="BB251" s="135"/>
      <c r="BC251" s="135"/>
      <c r="BD251" s="135"/>
      <c r="BE251" s="135"/>
      <c r="BF251" s="135">
        <v>8.9</v>
      </c>
      <c r="BG251" s="135">
        <v>6900</v>
      </c>
      <c r="BH251" s="135">
        <v>771.5</v>
      </c>
      <c r="BI251" s="135">
        <v>1.3</v>
      </c>
      <c r="BJ251" s="135">
        <v>44</v>
      </c>
      <c r="BK251" s="135">
        <v>-4.5</v>
      </c>
      <c r="BL251" s="135">
        <v>24.25</v>
      </c>
    </row>
    <row r="252" spans="1:64" x14ac:dyDescent="0.3">
      <c r="A252" s="135">
        <v>2016</v>
      </c>
      <c r="B252" s="135">
        <v>4</v>
      </c>
      <c r="C252" s="135" t="s">
        <v>2218</v>
      </c>
      <c r="D252" s="135" t="s">
        <v>368</v>
      </c>
      <c r="E252" s="135" t="s">
        <v>399</v>
      </c>
      <c r="F252" s="135" t="s">
        <v>16</v>
      </c>
      <c r="G252" s="135" t="s">
        <v>1980</v>
      </c>
      <c r="H252" s="135">
        <v>4.9400000000000004</v>
      </c>
      <c r="I252" s="135">
        <v>5.6710000000000003</v>
      </c>
      <c r="J252" s="135">
        <v>9.1750000000000007</v>
      </c>
      <c r="K252" s="135">
        <v>0</v>
      </c>
      <c r="L252" s="135">
        <v>0</v>
      </c>
      <c r="M252" s="135">
        <v>0</v>
      </c>
      <c r="N252" s="135">
        <v>0</v>
      </c>
      <c r="O252" s="135">
        <v>0</v>
      </c>
      <c r="P252" s="135">
        <v>0</v>
      </c>
      <c r="Q252" s="135">
        <v>0</v>
      </c>
      <c r="R252" s="135">
        <v>0</v>
      </c>
      <c r="S252" s="135">
        <v>3.504</v>
      </c>
      <c r="T252" s="135">
        <v>35.591999999999999</v>
      </c>
      <c r="U252" s="135">
        <v>0.36099999999999999</v>
      </c>
      <c r="V252" s="135">
        <v>2.7E-2</v>
      </c>
      <c r="W252" s="135">
        <v>0</v>
      </c>
      <c r="X252" s="135">
        <v>0</v>
      </c>
      <c r="Y252" s="135" t="s">
        <v>1995</v>
      </c>
      <c r="Z252" s="135">
        <v>7.4</v>
      </c>
      <c r="AA252" s="135">
        <v>4000</v>
      </c>
      <c r="AB252" s="135">
        <v>540.79999999999995</v>
      </c>
      <c r="AC252" s="135">
        <v>1.85</v>
      </c>
      <c r="AD252" s="135">
        <v>9.1999999999999993</v>
      </c>
      <c r="AE252" s="135">
        <v>5000</v>
      </c>
      <c r="AF252" s="135">
        <v>544.9</v>
      </c>
      <c r="AG252" s="135">
        <v>1.84</v>
      </c>
      <c r="AH252" s="135">
        <v>9.4</v>
      </c>
      <c r="AI252" s="135">
        <v>2500</v>
      </c>
      <c r="AJ252" s="135">
        <v>265.5</v>
      </c>
      <c r="AK252" s="135">
        <v>3.77</v>
      </c>
      <c r="AL252" s="135">
        <v>7.4</v>
      </c>
      <c r="AM252" s="135">
        <v>4800</v>
      </c>
      <c r="AN252" s="135">
        <v>646.6</v>
      </c>
      <c r="AO252" s="135">
        <v>1.55</v>
      </c>
      <c r="AP252" s="135"/>
      <c r="AQ252" s="135"/>
      <c r="AR252" s="135"/>
      <c r="AS252" s="135"/>
      <c r="AT252" s="135"/>
      <c r="AU252" s="135"/>
      <c r="AV252" s="135"/>
      <c r="AW252" s="135"/>
      <c r="AX252" s="135">
        <v>7.4</v>
      </c>
      <c r="AY252" s="135">
        <v>13</v>
      </c>
      <c r="AZ252" s="135">
        <v>1.8</v>
      </c>
      <c r="BA252" s="135">
        <v>0.56999999999999995</v>
      </c>
      <c r="BB252" s="135"/>
      <c r="BC252" s="135"/>
      <c r="BD252" s="135"/>
      <c r="BE252" s="135"/>
      <c r="BF252" s="135">
        <v>9.4</v>
      </c>
      <c r="BG252" s="135">
        <v>5000</v>
      </c>
      <c r="BH252" s="135">
        <v>531</v>
      </c>
      <c r="BI252" s="135">
        <v>1.88</v>
      </c>
      <c r="BJ252" s="135">
        <v>49.5</v>
      </c>
      <c r="BK252" s="135">
        <v>-2.5</v>
      </c>
      <c r="BL252" s="135">
        <v>26</v>
      </c>
    </row>
    <row r="253" spans="1:64" x14ac:dyDescent="0.3">
      <c r="A253" s="135">
        <v>2016</v>
      </c>
      <c r="B253" s="135">
        <v>4</v>
      </c>
      <c r="C253" s="135" t="s">
        <v>2211</v>
      </c>
      <c r="D253" s="135" t="s">
        <v>335</v>
      </c>
      <c r="E253" s="135" t="s">
        <v>399</v>
      </c>
      <c r="F253" s="135" t="s">
        <v>50</v>
      </c>
      <c r="G253" s="135" t="s">
        <v>22</v>
      </c>
      <c r="H253" s="135">
        <v>11.24</v>
      </c>
      <c r="I253" s="135">
        <v>5.5650000000000004</v>
      </c>
      <c r="J253" s="135">
        <v>9.4830000000000005</v>
      </c>
      <c r="K253" s="135">
        <v>0</v>
      </c>
      <c r="L253" s="135">
        <v>0</v>
      </c>
      <c r="M253" s="135">
        <v>0</v>
      </c>
      <c r="N253" s="135">
        <v>0</v>
      </c>
      <c r="O253" s="135">
        <v>0</v>
      </c>
      <c r="P253" s="135">
        <v>0</v>
      </c>
      <c r="Q253" s="135">
        <v>0</v>
      </c>
      <c r="R253" s="135">
        <v>0</v>
      </c>
      <c r="S253" s="135">
        <v>3.9180000000000001</v>
      </c>
      <c r="T253" s="135">
        <v>43.567</v>
      </c>
      <c r="U253" s="135">
        <v>0.214</v>
      </c>
      <c r="V253" s="135">
        <v>3.7999999999999999E-2</v>
      </c>
      <c r="W253" s="135">
        <v>0</v>
      </c>
      <c r="X253" s="135">
        <v>0</v>
      </c>
      <c r="Y253" s="135" t="s">
        <v>1995</v>
      </c>
      <c r="Z253" s="135">
        <v>7.5</v>
      </c>
      <c r="AA253" s="135">
        <v>4200</v>
      </c>
      <c r="AB253" s="135">
        <v>561.1</v>
      </c>
      <c r="AC253" s="135">
        <v>1.78</v>
      </c>
      <c r="AD253" s="135">
        <v>9.5</v>
      </c>
      <c r="AE253" s="135">
        <v>6550</v>
      </c>
      <c r="AF253" s="135">
        <v>690.7</v>
      </c>
      <c r="AG253" s="135">
        <v>1.45</v>
      </c>
      <c r="AH253" s="135">
        <v>9.8000000000000007</v>
      </c>
      <c r="AI253" s="135">
        <v>3400</v>
      </c>
      <c r="AJ253" s="135">
        <v>347.6</v>
      </c>
      <c r="AK253" s="135">
        <v>2.88</v>
      </c>
      <c r="AL253" s="135">
        <v>7.5</v>
      </c>
      <c r="AM253" s="135">
        <v>5500</v>
      </c>
      <c r="AN253" s="135">
        <v>731</v>
      </c>
      <c r="AO253" s="135">
        <v>1.37</v>
      </c>
      <c r="AP253" s="135"/>
      <c r="AQ253" s="135"/>
      <c r="AR253" s="135"/>
      <c r="AS253" s="135"/>
      <c r="AT253" s="135"/>
      <c r="AU253" s="135"/>
      <c r="AV253" s="135"/>
      <c r="AW253" s="135"/>
      <c r="AX253" s="135">
        <v>7.5</v>
      </c>
      <c r="AY253" s="135">
        <v>20</v>
      </c>
      <c r="AZ253" s="135">
        <v>2.7</v>
      </c>
      <c r="BA253" s="135">
        <v>0.38</v>
      </c>
      <c r="BB253" s="135"/>
      <c r="BC253" s="135"/>
      <c r="BD253" s="135"/>
      <c r="BE253" s="135"/>
      <c r="BF253" s="135">
        <v>9.8000000000000007</v>
      </c>
      <c r="BG253" s="135">
        <v>6700</v>
      </c>
      <c r="BH253" s="135">
        <v>684.9</v>
      </c>
      <c r="BI253" s="135">
        <v>1.46</v>
      </c>
      <c r="BJ253" s="135">
        <v>50</v>
      </c>
      <c r="BK253" s="135">
        <v>3</v>
      </c>
      <c r="BL253" s="135">
        <v>23.5</v>
      </c>
    </row>
    <row r="254" spans="1:64" x14ac:dyDescent="0.3">
      <c r="A254" s="135">
        <v>2016</v>
      </c>
      <c r="B254" s="135">
        <v>4</v>
      </c>
      <c r="C254" s="135" t="s">
        <v>2223</v>
      </c>
      <c r="D254" s="135" t="s">
        <v>340</v>
      </c>
      <c r="E254" s="135" t="s">
        <v>399</v>
      </c>
      <c r="F254" s="135" t="s">
        <v>401</v>
      </c>
      <c r="G254" s="135" t="s">
        <v>70</v>
      </c>
      <c r="H254" s="135">
        <v>0.44</v>
      </c>
      <c r="I254" s="135">
        <v>5.452</v>
      </c>
      <c r="J254" s="135">
        <v>8.7880000000000003</v>
      </c>
      <c r="K254" s="135">
        <v>0</v>
      </c>
      <c r="L254" s="135">
        <v>0</v>
      </c>
      <c r="M254" s="135">
        <v>0</v>
      </c>
      <c r="N254" s="135">
        <v>0</v>
      </c>
      <c r="O254" s="135">
        <v>0</v>
      </c>
      <c r="P254" s="135">
        <v>0</v>
      </c>
      <c r="Q254" s="135">
        <v>0</v>
      </c>
      <c r="R254" s="135">
        <v>0</v>
      </c>
      <c r="S254" s="135">
        <v>3.3359999999999999</v>
      </c>
      <c r="T254" s="135">
        <v>31.776</v>
      </c>
      <c r="U254" s="135">
        <v>0.39100000000000001</v>
      </c>
      <c r="V254" s="135">
        <v>3.5999999999999997E-2</v>
      </c>
      <c r="W254" s="135">
        <v>0</v>
      </c>
      <c r="X254" s="135">
        <v>0</v>
      </c>
      <c r="Y254" s="135" t="s">
        <v>1995</v>
      </c>
      <c r="Z254" s="135">
        <v>7.1</v>
      </c>
      <c r="AA254" s="135">
        <v>4100</v>
      </c>
      <c r="AB254" s="135">
        <v>578.79999999999995</v>
      </c>
      <c r="AC254" s="135">
        <v>1.73</v>
      </c>
      <c r="AD254" s="135">
        <v>8.8000000000000007</v>
      </c>
      <c r="AE254" s="135">
        <v>6700</v>
      </c>
      <c r="AF254" s="135">
        <v>762.4</v>
      </c>
      <c r="AG254" s="135">
        <v>1.31</v>
      </c>
      <c r="AH254" s="135">
        <v>9</v>
      </c>
      <c r="AI254" s="135">
        <v>2800</v>
      </c>
      <c r="AJ254" s="135">
        <v>310.60000000000002</v>
      </c>
      <c r="AK254" s="135">
        <v>3.22</v>
      </c>
      <c r="AL254" s="135">
        <v>7.1</v>
      </c>
      <c r="AM254" s="135">
        <v>5300</v>
      </c>
      <c r="AN254" s="135">
        <v>744.4</v>
      </c>
      <c r="AO254" s="135">
        <v>1.34</v>
      </c>
      <c r="AP254" s="135"/>
      <c r="AQ254" s="135"/>
      <c r="AR254" s="135"/>
      <c r="AS254" s="135"/>
      <c r="AT254" s="135"/>
      <c r="AU254" s="135"/>
      <c r="AV254" s="135"/>
      <c r="AW254" s="135"/>
      <c r="AX254" s="135">
        <v>7.1</v>
      </c>
      <c r="AY254" s="135">
        <v>10</v>
      </c>
      <c r="AZ254" s="135">
        <v>1.4</v>
      </c>
      <c r="BA254" s="135">
        <v>0.71</v>
      </c>
      <c r="BB254" s="135"/>
      <c r="BC254" s="135"/>
      <c r="BD254" s="135"/>
      <c r="BE254" s="135"/>
      <c r="BF254" s="135">
        <v>9</v>
      </c>
      <c r="BG254" s="135">
        <v>5600</v>
      </c>
      <c r="BH254" s="135">
        <v>621.20000000000005</v>
      </c>
      <c r="BI254" s="135">
        <v>1.61</v>
      </c>
      <c r="BJ254" s="135">
        <v>44</v>
      </c>
      <c r="BK254" s="135">
        <v>3</v>
      </c>
      <c r="BL254" s="135">
        <v>20.5</v>
      </c>
    </row>
    <row r="255" spans="1:64" x14ac:dyDescent="0.3">
      <c r="A255" s="135">
        <v>2016</v>
      </c>
      <c r="B255" s="135">
        <v>4</v>
      </c>
      <c r="C255" s="135" t="s">
        <v>2232</v>
      </c>
      <c r="D255" s="135" t="s">
        <v>345</v>
      </c>
      <c r="E255" s="135" t="s">
        <v>399</v>
      </c>
      <c r="F255" s="135" t="s">
        <v>398</v>
      </c>
      <c r="G255" s="135" t="s">
        <v>52</v>
      </c>
      <c r="H255" s="135">
        <v>17.34</v>
      </c>
      <c r="I255" s="135">
        <v>5.4379999999999997</v>
      </c>
      <c r="J255" s="135">
        <v>9.4</v>
      </c>
      <c r="K255" s="135">
        <v>0</v>
      </c>
      <c r="L255" s="135">
        <v>0</v>
      </c>
      <c r="M255" s="135">
        <v>0</v>
      </c>
      <c r="N255" s="135">
        <v>0</v>
      </c>
      <c r="O255" s="135">
        <v>0</v>
      </c>
      <c r="P255" s="135">
        <v>0</v>
      </c>
      <c r="Q255" s="135">
        <v>0</v>
      </c>
      <c r="R255" s="135">
        <v>0</v>
      </c>
      <c r="S255" s="135">
        <v>3.9620000000000002</v>
      </c>
      <c r="T255" s="135">
        <v>41.22</v>
      </c>
      <c r="U255" s="135">
        <v>0.23300000000000001</v>
      </c>
      <c r="V255" s="135">
        <v>4.1000000000000002E-2</v>
      </c>
      <c r="W255" s="135">
        <v>0</v>
      </c>
      <c r="X255" s="135">
        <v>0</v>
      </c>
      <c r="Y255" s="135" t="s">
        <v>1995</v>
      </c>
      <c r="Z255" s="135">
        <v>7.4</v>
      </c>
      <c r="AA255" s="135">
        <v>3000</v>
      </c>
      <c r="AB255" s="135">
        <v>406.6</v>
      </c>
      <c r="AC255" s="135">
        <v>2.46</v>
      </c>
      <c r="AD255" s="135">
        <v>9.4</v>
      </c>
      <c r="AE255" s="135">
        <v>5000</v>
      </c>
      <c r="AF255" s="135">
        <v>531.9</v>
      </c>
      <c r="AG255" s="135">
        <v>1.88</v>
      </c>
      <c r="AH255" s="135">
        <v>9.6999999999999993</v>
      </c>
      <c r="AI255" s="135">
        <v>2500</v>
      </c>
      <c r="AJ255" s="135">
        <v>258</v>
      </c>
      <c r="AK255" s="135">
        <v>3.88</v>
      </c>
      <c r="AL255" s="135">
        <v>7.4</v>
      </c>
      <c r="AM255" s="135">
        <v>4500</v>
      </c>
      <c r="AN255" s="135">
        <v>606.6</v>
      </c>
      <c r="AO255" s="135">
        <v>1.65</v>
      </c>
      <c r="AP255" s="135"/>
      <c r="AQ255" s="135"/>
      <c r="AR255" s="135"/>
      <c r="AS255" s="135"/>
      <c r="AT255" s="135"/>
      <c r="AU255" s="135"/>
      <c r="AV255" s="135"/>
      <c r="AW255" s="135"/>
      <c r="AX255" s="135">
        <v>7.4</v>
      </c>
      <c r="AY255" s="135">
        <v>10</v>
      </c>
      <c r="AZ255" s="135">
        <v>1.3</v>
      </c>
      <c r="BA255" s="135">
        <v>0.74</v>
      </c>
      <c r="BB255" s="135"/>
      <c r="BC255" s="135"/>
      <c r="BD255" s="135"/>
      <c r="BE255" s="135"/>
      <c r="BF255" s="135">
        <v>9.6999999999999993</v>
      </c>
      <c r="BG255" s="135">
        <v>5000</v>
      </c>
      <c r="BH255" s="135">
        <v>516.1</v>
      </c>
      <c r="BI255" s="135">
        <v>1.94</v>
      </c>
      <c r="BJ255" s="135">
        <v>46</v>
      </c>
      <c r="BK255" s="135">
        <v>3</v>
      </c>
      <c r="BL255" s="135">
        <v>21.5</v>
      </c>
    </row>
    <row r="256" spans="1:64" x14ac:dyDescent="0.3">
      <c r="A256" s="135">
        <v>2016</v>
      </c>
      <c r="B256" s="135">
        <v>4</v>
      </c>
      <c r="C256" s="135" t="s">
        <v>2236</v>
      </c>
      <c r="D256" s="135" t="s">
        <v>362</v>
      </c>
      <c r="E256" s="135" t="s">
        <v>399</v>
      </c>
      <c r="F256" s="135" t="s">
        <v>57</v>
      </c>
      <c r="G256" s="135" t="s">
        <v>1999</v>
      </c>
      <c r="H256" s="135">
        <v>14.59</v>
      </c>
      <c r="I256" s="135">
        <v>5.3380000000000001</v>
      </c>
      <c r="J256" s="135">
        <v>8.4570000000000007</v>
      </c>
      <c r="K256" s="135">
        <v>0</v>
      </c>
      <c r="L256" s="135">
        <v>0</v>
      </c>
      <c r="M256" s="135">
        <v>0</v>
      </c>
      <c r="N256" s="135">
        <v>0</v>
      </c>
      <c r="O256" s="135">
        <v>0</v>
      </c>
      <c r="P256" s="135">
        <v>0</v>
      </c>
      <c r="Q256" s="135">
        <v>0</v>
      </c>
      <c r="R256" s="135">
        <v>0</v>
      </c>
      <c r="S256" s="135">
        <v>3.1190000000000002</v>
      </c>
      <c r="T256" s="135">
        <v>34.856999999999999</v>
      </c>
      <c r="U256" s="135">
        <v>0.32</v>
      </c>
      <c r="V256" s="135">
        <v>3.4000000000000002E-2</v>
      </c>
      <c r="W256" s="135">
        <v>0</v>
      </c>
      <c r="X256" s="135">
        <v>0</v>
      </c>
      <c r="Y256" s="135" t="s">
        <v>1995</v>
      </c>
      <c r="Z256" s="135">
        <v>6.9</v>
      </c>
      <c r="AA256" s="135">
        <v>3000</v>
      </c>
      <c r="AB256" s="135">
        <v>437.1</v>
      </c>
      <c r="AC256" s="135">
        <v>2.29</v>
      </c>
      <c r="AD256" s="135">
        <v>8.5</v>
      </c>
      <c r="AE256" s="135">
        <v>5000</v>
      </c>
      <c r="AF256" s="135">
        <v>591.20000000000005</v>
      </c>
      <c r="AG256" s="135">
        <v>1.69</v>
      </c>
      <c r="AH256" s="135">
        <v>8.6999999999999993</v>
      </c>
      <c r="AI256" s="135">
        <v>2500</v>
      </c>
      <c r="AJ256" s="135">
        <v>287.39999999999998</v>
      </c>
      <c r="AK256" s="135">
        <v>3.48</v>
      </c>
      <c r="AL256" s="135">
        <v>6.9</v>
      </c>
      <c r="AM256" s="135">
        <v>4500</v>
      </c>
      <c r="AN256" s="135">
        <v>652.4</v>
      </c>
      <c r="AO256" s="135">
        <v>1.53</v>
      </c>
      <c r="AP256" s="135"/>
      <c r="AQ256" s="135"/>
      <c r="AR256" s="135"/>
      <c r="AS256" s="135"/>
      <c r="AT256" s="135"/>
      <c r="AU256" s="135"/>
      <c r="AV256" s="135"/>
      <c r="AW256" s="135"/>
      <c r="AX256" s="135">
        <v>6.9</v>
      </c>
      <c r="AY256" s="135">
        <v>10</v>
      </c>
      <c r="AZ256" s="135">
        <v>1.4</v>
      </c>
      <c r="BA256" s="135">
        <v>0.69</v>
      </c>
      <c r="BB256" s="135"/>
      <c r="BC256" s="135"/>
      <c r="BD256" s="135"/>
      <c r="BE256" s="135"/>
      <c r="BF256" s="135">
        <v>8.6999999999999993</v>
      </c>
      <c r="BG256" s="135">
        <v>5000</v>
      </c>
      <c r="BH256" s="135">
        <v>574.70000000000005</v>
      </c>
      <c r="BI256" s="135">
        <v>1.74</v>
      </c>
      <c r="BJ256" s="135">
        <v>44.5</v>
      </c>
      <c r="BK256" s="135">
        <v>7</v>
      </c>
      <c r="BL256" s="135">
        <v>18.75</v>
      </c>
    </row>
    <row r="257" spans="1:64" x14ac:dyDescent="0.3">
      <c r="A257" s="135">
        <v>2016</v>
      </c>
      <c r="B257" s="135">
        <v>4</v>
      </c>
      <c r="C257" s="135" t="s">
        <v>2213</v>
      </c>
      <c r="D257" s="135" t="s">
        <v>354</v>
      </c>
      <c r="E257" s="135" t="s">
        <v>399</v>
      </c>
      <c r="F257" s="135" t="s">
        <v>20</v>
      </c>
      <c r="G257" s="135" t="s">
        <v>397</v>
      </c>
      <c r="H257" s="135">
        <v>5.2</v>
      </c>
      <c r="I257" s="135">
        <v>5.1150000000000002</v>
      </c>
      <c r="J257" s="135">
        <v>8.2650000000000006</v>
      </c>
      <c r="K257" s="135">
        <v>0</v>
      </c>
      <c r="L257" s="135">
        <v>0</v>
      </c>
      <c r="M257" s="135">
        <v>0</v>
      </c>
      <c r="N257" s="135">
        <v>0</v>
      </c>
      <c r="O257" s="135">
        <v>0</v>
      </c>
      <c r="P257" s="135">
        <v>0</v>
      </c>
      <c r="Q257" s="135">
        <v>0</v>
      </c>
      <c r="R257" s="135">
        <v>0</v>
      </c>
      <c r="S257" s="135">
        <v>3.15</v>
      </c>
      <c r="T257" s="135">
        <v>33.353999999999999</v>
      </c>
      <c r="U257" s="135">
        <v>0.30599999999999999</v>
      </c>
      <c r="V257" s="135">
        <v>2.8000000000000001E-2</v>
      </c>
      <c r="W257" s="135">
        <v>0</v>
      </c>
      <c r="X257" s="135">
        <v>0</v>
      </c>
      <c r="Y257" s="135" t="s">
        <v>1995</v>
      </c>
      <c r="Z257" s="135">
        <v>6.7</v>
      </c>
      <c r="AA257" s="135">
        <v>4150</v>
      </c>
      <c r="AB257" s="135">
        <v>622.9</v>
      </c>
      <c r="AC257" s="135">
        <v>1.61</v>
      </c>
      <c r="AD257" s="135">
        <v>8.3000000000000007</v>
      </c>
      <c r="AE257" s="135">
        <v>6450</v>
      </c>
      <c r="AF257" s="135">
        <v>780.4</v>
      </c>
      <c r="AG257" s="135">
        <v>1.28</v>
      </c>
      <c r="AH257" s="135">
        <v>8.5</v>
      </c>
      <c r="AI257" s="135">
        <v>3100</v>
      </c>
      <c r="AJ257" s="135">
        <v>365</v>
      </c>
      <c r="AK257" s="135">
        <v>2.74</v>
      </c>
      <c r="AL257" s="135">
        <v>6.7</v>
      </c>
      <c r="AM257" s="135">
        <v>4500</v>
      </c>
      <c r="AN257" s="135">
        <v>672.6</v>
      </c>
      <c r="AO257" s="135">
        <v>1.49</v>
      </c>
      <c r="AP257" s="135"/>
      <c r="AQ257" s="135"/>
      <c r="AR257" s="135"/>
      <c r="AS257" s="135"/>
      <c r="AT257" s="135"/>
      <c r="AU257" s="135"/>
      <c r="AV257" s="135"/>
      <c r="AW257" s="135"/>
      <c r="AX257" s="135">
        <v>6.7</v>
      </c>
      <c r="AY257" s="135">
        <v>13</v>
      </c>
      <c r="AZ257" s="135">
        <v>1.9</v>
      </c>
      <c r="BA257" s="135">
        <v>0.51</v>
      </c>
      <c r="BB257" s="135"/>
      <c r="BC257" s="135"/>
      <c r="BD257" s="135"/>
      <c r="BE257" s="135"/>
      <c r="BF257" s="135">
        <v>8.5</v>
      </c>
      <c r="BG257" s="135">
        <v>6000</v>
      </c>
      <c r="BH257" s="135">
        <v>706.4</v>
      </c>
      <c r="BI257" s="135">
        <v>1.42</v>
      </c>
      <c r="BJ257" s="135">
        <v>47.5</v>
      </c>
      <c r="BK257" s="135">
        <v>-5.5</v>
      </c>
      <c r="BL257" s="135">
        <v>26.5</v>
      </c>
    </row>
    <row r="258" spans="1:64" x14ac:dyDescent="0.3">
      <c r="A258" s="135">
        <v>2016</v>
      </c>
      <c r="B258" s="135">
        <v>4</v>
      </c>
      <c r="C258" s="135" t="s">
        <v>2214</v>
      </c>
      <c r="D258" s="135" t="s">
        <v>344</v>
      </c>
      <c r="E258" s="135" t="s">
        <v>399</v>
      </c>
      <c r="F258" s="135" t="s">
        <v>4</v>
      </c>
      <c r="G258" s="135" t="s">
        <v>2297</v>
      </c>
      <c r="H258" s="135">
        <v>3.55</v>
      </c>
      <c r="I258" s="135">
        <v>4.8159999999999998</v>
      </c>
      <c r="J258" s="135">
        <v>8</v>
      </c>
      <c r="K258" s="135">
        <v>0</v>
      </c>
      <c r="L258" s="135">
        <v>0</v>
      </c>
      <c r="M258" s="135">
        <v>0</v>
      </c>
      <c r="N258" s="135">
        <v>0</v>
      </c>
      <c r="O258" s="135">
        <v>0</v>
      </c>
      <c r="P258" s="135">
        <v>0</v>
      </c>
      <c r="Q258" s="135">
        <v>0</v>
      </c>
      <c r="R258" s="135">
        <v>0</v>
      </c>
      <c r="S258" s="135">
        <v>3.1840000000000002</v>
      </c>
      <c r="T258" s="135">
        <v>31.603999999999999</v>
      </c>
      <c r="U258" s="135">
        <v>0.28599999999999998</v>
      </c>
      <c r="V258" s="135">
        <v>0.03</v>
      </c>
      <c r="W258" s="135">
        <v>0</v>
      </c>
      <c r="X258" s="135">
        <v>0</v>
      </c>
      <c r="Y258" s="135" t="s">
        <v>1995</v>
      </c>
      <c r="Z258" s="135">
        <v>6.4</v>
      </c>
      <c r="AA258" s="135">
        <v>3900</v>
      </c>
      <c r="AB258" s="135">
        <v>611.4</v>
      </c>
      <c r="AC258" s="135">
        <v>1.64</v>
      </c>
      <c r="AD258" s="135">
        <v>8</v>
      </c>
      <c r="AE258" s="135">
        <v>6550</v>
      </c>
      <c r="AF258" s="135">
        <v>818.7</v>
      </c>
      <c r="AG258" s="135">
        <v>1.22</v>
      </c>
      <c r="AH258" s="135">
        <v>8.1999999999999993</v>
      </c>
      <c r="AI258" s="135">
        <v>2700</v>
      </c>
      <c r="AJ258" s="135">
        <v>328.5</v>
      </c>
      <c r="AK258" s="135">
        <v>3.04</v>
      </c>
      <c r="AL258" s="135">
        <v>6.4</v>
      </c>
      <c r="AM258" s="135">
        <v>4900</v>
      </c>
      <c r="AN258" s="135">
        <v>764.6</v>
      </c>
      <c r="AO258" s="135">
        <v>1.31</v>
      </c>
      <c r="AP258" s="135"/>
      <c r="AQ258" s="135"/>
      <c r="AR258" s="135"/>
      <c r="AS258" s="135"/>
      <c r="AT258" s="135"/>
      <c r="AU258" s="135"/>
      <c r="AV258" s="135"/>
      <c r="AW258" s="135"/>
      <c r="AX258" s="135">
        <v>6.4</v>
      </c>
      <c r="AY258" s="135">
        <v>14</v>
      </c>
      <c r="AZ258" s="135">
        <v>2.2000000000000002</v>
      </c>
      <c r="BA258" s="135">
        <v>0.46</v>
      </c>
      <c r="BB258" s="135"/>
      <c r="BC258" s="135"/>
      <c r="BD258" s="135"/>
      <c r="BE258" s="135"/>
      <c r="BF258" s="135">
        <v>8.1999999999999993</v>
      </c>
      <c r="BG258" s="135">
        <v>5300</v>
      </c>
      <c r="BH258" s="135">
        <v>644.79999999999995</v>
      </c>
      <c r="BI258" s="135">
        <v>1.55</v>
      </c>
      <c r="BJ258" s="135">
        <v>46.5</v>
      </c>
      <c r="BK258" s="135">
        <v>3.5</v>
      </c>
      <c r="BL258" s="135">
        <v>21.5</v>
      </c>
    </row>
    <row r="259" spans="1:64" x14ac:dyDescent="0.3">
      <c r="A259" s="135">
        <v>2016</v>
      </c>
      <c r="B259" s="135">
        <v>4</v>
      </c>
      <c r="C259" s="135" t="s">
        <v>2219</v>
      </c>
      <c r="D259" s="135" t="s">
        <v>333</v>
      </c>
      <c r="E259" s="135" t="s">
        <v>399</v>
      </c>
      <c r="F259" s="135" t="s">
        <v>10</v>
      </c>
      <c r="G259" s="135" t="s">
        <v>1992</v>
      </c>
      <c r="H259" s="135">
        <v>11.8</v>
      </c>
      <c r="I259" s="135">
        <v>4.78</v>
      </c>
      <c r="J259" s="135">
        <v>8.4760000000000009</v>
      </c>
      <c r="K259" s="135">
        <v>0</v>
      </c>
      <c r="L259" s="135">
        <v>0</v>
      </c>
      <c r="M259" s="135">
        <v>0</v>
      </c>
      <c r="N259" s="135">
        <v>0</v>
      </c>
      <c r="O259" s="135">
        <v>0</v>
      </c>
      <c r="P259" s="135">
        <v>0</v>
      </c>
      <c r="Q259" s="135">
        <v>0</v>
      </c>
      <c r="R259" s="135">
        <v>0</v>
      </c>
      <c r="S259" s="135">
        <v>3.6960000000000002</v>
      </c>
      <c r="T259" s="135">
        <v>36.161000000000001</v>
      </c>
      <c r="U259" s="135">
        <v>0.20899999999999999</v>
      </c>
      <c r="V259" s="135">
        <v>4.4999999999999998E-2</v>
      </c>
      <c r="W259" s="135">
        <v>0</v>
      </c>
      <c r="X259" s="135">
        <v>0</v>
      </c>
      <c r="Y259" s="135" t="s">
        <v>1995</v>
      </c>
      <c r="Z259" s="135">
        <v>6.6</v>
      </c>
      <c r="AA259" s="135">
        <v>3900</v>
      </c>
      <c r="AB259" s="135">
        <v>592.4</v>
      </c>
      <c r="AC259" s="135">
        <v>1.69</v>
      </c>
      <c r="AD259" s="135">
        <v>8.5</v>
      </c>
      <c r="AE259" s="135">
        <v>7200</v>
      </c>
      <c r="AF259" s="135">
        <v>849.4</v>
      </c>
      <c r="AG259" s="135">
        <v>1.18</v>
      </c>
      <c r="AH259" s="135">
        <v>8.6999999999999993</v>
      </c>
      <c r="AI259" s="135">
        <v>2600</v>
      </c>
      <c r="AJ259" s="135">
        <v>297.5</v>
      </c>
      <c r="AK259" s="135">
        <v>3.36</v>
      </c>
      <c r="AL259" s="135">
        <v>6.6</v>
      </c>
      <c r="AM259" s="135">
        <v>5100</v>
      </c>
      <c r="AN259" s="135">
        <v>769.5</v>
      </c>
      <c r="AO259" s="135">
        <v>1.3</v>
      </c>
      <c r="AP259" s="135"/>
      <c r="AQ259" s="135"/>
      <c r="AR259" s="135"/>
      <c r="AS259" s="135"/>
      <c r="AT259" s="135"/>
      <c r="AU259" s="135"/>
      <c r="AV259" s="135"/>
      <c r="AW259" s="135"/>
      <c r="AX259" s="135">
        <v>6.6</v>
      </c>
      <c r="AY259" s="135">
        <v>14</v>
      </c>
      <c r="AZ259" s="135">
        <v>2.1</v>
      </c>
      <c r="BA259" s="135">
        <v>0.47</v>
      </c>
      <c r="BB259" s="135"/>
      <c r="BC259" s="135"/>
      <c r="BD259" s="135"/>
      <c r="BE259" s="135"/>
      <c r="BF259" s="135">
        <v>8.6999999999999993</v>
      </c>
      <c r="BG259" s="135">
        <v>5000</v>
      </c>
      <c r="BH259" s="135">
        <v>572.20000000000005</v>
      </c>
      <c r="BI259" s="135">
        <v>1.75</v>
      </c>
      <c r="BJ259" s="135">
        <v>44</v>
      </c>
      <c r="BK259" s="135">
        <v>4.5</v>
      </c>
      <c r="BL259" s="135">
        <v>19.75</v>
      </c>
    </row>
    <row r="260" spans="1:64" x14ac:dyDescent="0.3">
      <c r="A260" s="135">
        <v>2016</v>
      </c>
      <c r="B260" s="135">
        <v>4</v>
      </c>
      <c r="C260" s="135" t="s">
        <v>2221</v>
      </c>
      <c r="D260" s="135" t="s">
        <v>383</v>
      </c>
      <c r="E260" s="135" t="s">
        <v>399</v>
      </c>
      <c r="F260" s="135" t="s">
        <v>28</v>
      </c>
      <c r="G260" s="135" t="s">
        <v>57</v>
      </c>
      <c r="H260" s="135">
        <v>12.07</v>
      </c>
      <c r="I260" s="135">
        <v>3.9159999999999999</v>
      </c>
      <c r="J260" s="135">
        <v>5.9610000000000003</v>
      </c>
      <c r="K260" s="135">
        <v>0</v>
      </c>
      <c r="L260" s="135">
        <v>0</v>
      </c>
      <c r="M260" s="135">
        <v>0</v>
      </c>
      <c r="N260" s="135">
        <v>0</v>
      </c>
      <c r="O260" s="135">
        <v>0</v>
      </c>
      <c r="P260" s="135">
        <v>0</v>
      </c>
      <c r="Q260" s="135">
        <v>0</v>
      </c>
      <c r="R260" s="135">
        <v>0</v>
      </c>
      <c r="S260" s="135">
        <v>2.0449999999999999</v>
      </c>
      <c r="T260" s="135">
        <v>26.518000000000001</v>
      </c>
      <c r="U260" s="135">
        <v>0.216</v>
      </c>
      <c r="V260" s="135">
        <v>1.6E-2</v>
      </c>
      <c r="W260" s="135">
        <v>0</v>
      </c>
      <c r="X260" s="135">
        <v>0</v>
      </c>
      <c r="Y260" s="135" t="s">
        <v>1995</v>
      </c>
      <c r="Z260" s="135">
        <v>4.9000000000000004</v>
      </c>
      <c r="AA260" s="135">
        <v>3000</v>
      </c>
      <c r="AB260" s="135">
        <v>609.5</v>
      </c>
      <c r="AC260" s="135">
        <v>1.64</v>
      </c>
      <c r="AD260" s="135">
        <v>6</v>
      </c>
      <c r="AE260" s="135">
        <v>5000</v>
      </c>
      <c r="AF260" s="135">
        <v>838.8</v>
      </c>
      <c r="AG260" s="135">
        <v>1.19</v>
      </c>
      <c r="AH260" s="135">
        <v>6.1</v>
      </c>
      <c r="AI260" s="135">
        <v>2500</v>
      </c>
      <c r="AJ260" s="135">
        <v>407.4</v>
      </c>
      <c r="AK260" s="135">
        <v>2.4500000000000002</v>
      </c>
      <c r="AL260" s="135">
        <v>4.9000000000000004</v>
      </c>
      <c r="AM260" s="135">
        <v>5000</v>
      </c>
      <c r="AN260" s="135">
        <v>1012.5</v>
      </c>
      <c r="AO260" s="135">
        <v>0.99</v>
      </c>
      <c r="AP260" s="135"/>
      <c r="AQ260" s="135"/>
      <c r="AR260" s="135"/>
      <c r="AS260" s="135"/>
      <c r="AT260" s="135"/>
      <c r="AU260" s="135"/>
      <c r="AV260" s="135"/>
      <c r="AW260" s="135"/>
      <c r="AX260" s="135">
        <v>4.9000000000000004</v>
      </c>
      <c r="AY260" s="135">
        <v>10</v>
      </c>
      <c r="AZ260" s="135">
        <v>2</v>
      </c>
      <c r="BA260" s="135">
        <v>0.49</v>
      </c>
      <c r="BB260" s="135"/>
      <c r="BC260" s="135"/>
      <c r="BD260" s="135"/>
      <c r="BE260" s="135"/>
      <c r="BF260" s="135">
        <v>6.1</v>
      </c>
      <c r="BG260" s="135">
        <v>5000</v>
      </c>
      <c r="BH260" s="135">
        <v>814.9</v>
      </c>
      <c r="BI260" s="135">
        <v>1.23</v>
      </c>
      <c r="BJ260" s="135">
        <v>44.5</v>
      </c>
      <c r="BK260" s="135">
        <v>-7</v>
      </c>
      <c r="BL260" s="135">
        <v>25.75</v>
      </c>
    </row>
    <row r="261" spans="1:64" x14ac:dyDescent="0.3">
      <c r="A261" s="135">
        <v>2016</v>
      </c>
      <c r="B261" s="135">
        <v>4</v>
      </c>
      <c r="C261" s="135" t="s">
        <v>2220</v>
      </c>
      <c r="D261" s="135" t="s">
        <v>263</v>
      </c>
      <c r="E261" s="135" t="s">
        <v>399</v>
      </c>
      <c r="F261" s="135" t="s">
        <v>409</v>
      </c>
      <c r="G261" s="135" t="s">
        <v>2295</v>
      </c>
      <c r="H261" s="135">
        <v>-0.6</v>
      </c>
      <c r="I261" s="135">
        <v>3.8410000000000002</v>
      </c>
      <c r="J261" s="135">
        <v>6.117</v>
      </c>
      <c r="K261" s="135">
        <v>0</v>
      </c>
      <c r="L261" s="135">
        <v>0</v>
      </c>
      <c r="M261" s="135">
        <v>0</v>
      </c>
      <c r="N261" s="135">
        <v>0</v>
      </c>
      <c r="O261" s="135">
        <v>0</v>
      </c>
      <c r="P261" s="135">
        <v>0</v>
      </c>
      <c r="Q261" s="135">
        <v>0</v>
      </c>
      <c r="R261" s="135">
        <v>0</v>
      </c>
      <c r="S261" s="135">
        <v>2.2759999999999998</v>
      </c>
      <c r="T261" s="135">
        <v>28.388999999999999</v>
      </c>
      <c r="U261" s="135">
        <v>0.17499999999999999</v>
      </c>
      <c r="V261" s="135">
        <v>2.4E-2</v>
      </c>
      <c r="W261" s="135">
        <v>0</v>
      </c>
      <c r="X261" s="135">
        <v>0</v>
      </c>
      <c r="Y261" s="135" t="s">
        <v>1995</v>
      </c>
      <c r="Z261" s="135">
        <v>5</v>
      </c>
      <c r="AA261" s="135">
        <v>3000</v>
      </c>
      <c r="AB261" s="135">
        <v>605.5</v>
      </c>
      <c r="AC261" s="135">
        <v>1.65</v>
      </c>
      <c r="AD261" s="135">
        <v>6.1</v>
      </c>
      <c r="AE261" s="135">
        <v>5000</v>
      </c>
      <c r="AF261" s="135">
        <v>817.4</v>
      </c>
      <c r="AG261" s="135">
        <v>1.22</v>
      </c>
      <c r="AH261" s="135">
        <v>6.3</v>
      </c>
      <c r="AI261" s="135">
        <v>2600</v>
      </c>
      <c r="AJ261" s="135">
        <v>412</v>
      </c>
      <c r="AK261" s="135">
        <v>2.4300000000000002</v>
      </c>
      <c r="AL261" s="135">
        <v>5</v>
      </c>
      <c r="AM261" s="135">
        <v>4500</v>
      </c>
      <c r="AN261" s="135">
        <v>903.8</v>
      </c>
      <c r="AO261" s="135">
        <v>1.1100000000000001</v>
      </c>
      <c r="AP261" s="135"/>
      <c r="AQ261" s="135"/>
      <c r="AR261" s="135"/>
      <c r="AS261" s="135"/>
      <c r="AT261" s="135"/>
      <c r="AU261" s="135"/>
      <c r="AV261" s="135"/>
      <c r="AW261" s="135"/>
      <c r="AX261" s="135">
        <v>5</v>
      </c>
      <c r="AY261" s="135">
        <v>10</v>
      </c>
      <c r="AZ261" s="135">
        <v>2</v>
      </c>
      <c r="BA261" s="135">
        <v>0.5</v>
      </c>
      <c r="BB261" s="135"/>
      <c r="BC261" s="135"/>
      <c r="BD261" s="135"/>
      <c r="BE261" s="135"/>
      <c r="BF261" s="135">
        <v>6.3</v>
      </c>
      <c r="BG261" s="135">
        <v>5000</v>
      </c>
      <c r="BH261" s="135">
        <v>792.2</v>
      </c>
      <c r="BI261" s="135">
        <v>1.26</v>
      </c>
      <c r="BJ261" s="135">
        <v>43</v>
      </c>
      <c r="BK261" s="135">
        <v>8</v>
      </c>
      <c r="BL261" s="135">
        <v>17.5</v>
      </c>
    </row>
    <row r="262" spans="1:64" x14ac:dyDescent="0.3">
      <c r="A262" s="135">
        <v>2016</v>
      </c>
      <c r="B262" s="135">
        <v>4</v>
      </c>
      <c r="C262" s="135" t="s">
        <v>2242</v>
      </c>
      <c r="D262" s="135" t="s">
        <v>361</v>
      </c>
      <c r="E262" s="135" t="s">
        <v>399</v>
      </c>
      <c r="F262" s="135" t="s">
        <v>12</v>
      </c>
      <c r="G262" s="135" t="s">
        <v>16</v>
      </c>
      <c r="H262" s="135">
        <v>8.5</v>
      </c>
      <c r="I262" s="135">
        <v>3.6379999999999999</v>
      </c>
      <c r="J262" s="135">
        <v>6.0880000000000001</v>
      </c>
      <c r="K262" s="135">
        <v>0</v>
      </c>
      <c r="L262" s="135">
        <v>0</v>
      </c>
      <c r="M262" s="135">
        <v>0</v>
      </c>
      <c r="N262" s="135">
        <v>0</v>
      </c>
      <c r="O262" s="135">
        <v>0</v>
      </c>
      <c r="P262" s="135">
        <v>0</v>
      </c>
      <c r="Q262" s="135">
        <v>0</v>
      </c>
      <c r="R262" s="135">
        <v>0</v>
      </c>
      <c r="S262" s="135">
        <v>2.4500000000000002</v>
      </c>
      <c r="T262" s="135">
        <v>26.178000000000001</v>
      </c>
      <c r="U262" s="135">
        <v>0.17699999999999999</v>
      </c>
      <c r="V262" s="135">
        <v>2.1000000000000001E-2</v>
      </c>
      <c r="W262" s="135">
        <v>0</v>
      </c>
      <c r="X262" s="135">
        <v>0</v>
      </c>
      <c r="Y262" s="135" t="s">
        <v>1995</v>
      </c>
      <c r="Z262" s="135">
        <v>4.8</v>
      </c>
      <c r="AA262" s="135">
        <v>3300</v>
      </c>
      <c r="AB262" s="135">
        <v>681.6</v>
      </c>
      <c r="AC262" s="135">
        <v>1.47</v>
      </c>
      <c r="AD262" s="135">
        <v>6.1</v>
      </c>
      <c r="AE262" s="135">
        <v>5000</v>
      </c>
      <c r="AF262" s="135">
        <v>821.3</v>
      </c>
      <c r="AG262" s="135">
        <v>1.22</v>
      </c>
      <c r="AH262" s="135">
        <v>6.3</v>
      </c>
      <c r="AI262" s="135">
        <v>2500</v>
      </c>
      <c r="AJ262" s="135">
        <v>399</v>
      </c>
      <c r="AK262" s="135">
        <v>2.5099999999999998</v>
      </c>
      <c r="AL262" s="135">
        <v>4.9000000000000004</v>
      </c>
      <c r="AM262" s="135">
        <v>4600</v>
      </c>
      <c r="AN262" s="135">
        <v>946</v>
      </c>
      <c r="AO262" s="135">
        <v>1.06</v>
      </c>
      <c r="AP262" s="135"/>
      <c r="AQ262" s="135"/>
      <c r="AR262" s="135"/>
      <c r="AS262" s="135"/>
      <c r="AT262" s="135"/>
      <c r="AU262" s="135"/>
      <c r="AV262" s="135"/>
      <c r="AW262" s="135"/>
      <c r="AX262" s="135">
        <v>4.9000000000000004</v>
      </c>
      <c r="AY262" s="135">
        <v>10</v>
      </c>
      <c r="AZ262" s="135">
        <v>2.1</v>
      </c>
      <c r="BA262" s="135">
        <v>0.49</v>
      </c>
      <c r="BB262" s="135"/>
      <c r="BC262" s="135"/>
      <c r="BD262" s="135"/>
      <c r="BE262" s="135"/>
      <c r="BF262" s="135">
        <v>6.3</v>
      </c>
      <c r="BG262" s="135">
        <v>5000</v>
      </c>
      <c r="BH262" s="135">
        <v>798</v>
      </c>
      <c r="BI262" s="135">
        <v>1.25</v>
      </c>
      <c r="BJ262" s="135">
        <v>49.5</v>
      </c>
      <c r="BK262" s="135">
        <v>2.5</v>
      </c>
      <c r="BL262" s="135">
        <v>23.5</v>
      </c>
    </row>
    <row r="263" spans="1:64" x14ac:dyDescent="0.3">
      <c r="A263" s="135">
        <v>2016</v>
      </c>
      <c r="B263" s="135">
        <v>4</v>
      </c>
      <c r="C263" s="135" t="s">
        <v>2238</v>
      </c>
      <c r="D263" s="135" t="s">
        <v>337</v>
      </c>
      <c r="E263" s="135" t="s">
        <v>399</v>
      </c>
      <c r="F263" s="135" t="s">
        <v>43</v>
      </c>
      <c r="G263" s="135" t="s">
        <v>30</v>
      </c>
      <c r="H263" s="135">
        <v>2.35</v>
      </c>
      <c r="I263" s="135">
        <v>2.9729999999999999</v>
      </c>
      <c r="J263" s="135">
        <v>6.2389999999999999</v>
      </c>
      <c r="K263" s="135">
        <v>0</v>
      </c>
      <c r="L263" s="135">
        <v>0</v>
      </c>
      <c r="M263" s="135">
        <v>0</v>
      </c>
      <c r="N263" s="135">
        <v>0</v>
      </c>
      <c r="O263" s="135">
        <v>0</v>
      </c>
      <c r="P263" s="135">
        <v>0</v>
      </c>
      <c r="Q263" s="135">
        <v>0</v>
      </c>
      <c r="R263" s="135">
        <v>0</v>
      </c>
      <c r="S263" s="135">
        <v>3.266</v>
      </c>
      <c r="T263" s="135">
        <v>25.946000000000002</v>
      </c>
      <c r="U263" s="135">
        <v>7.2999999999999995E-2</v>
      </c>
      <c r="V263" s="135">
        <v>0.03</v>
      </c>
      <c r="W263" s="135">
        <v>0</v>
      </c>
      <c r="X263" s="135">
        <v>0</v>
      </c>
      <c r="Y263" s="135" t="s">
        <v>1995</v>
      </c>
      <c r="Z263" s="135">
        <v>4.5999999999999996</v>
      </c>
      <c r="AA263" s="135">
        <v>3000</v>
      </c>
      <c r="AB263" s="135">
        <v>655.7</v>
      </c>
      <c r="AC263" s="135">
        <v>1.53</v>
      </c>
      <c r="AD263" s="135">
        <v>6.2</v>
      </c>
      <c r="AE263" s="135">
        <v>5750</v>
      </c>
      <c r="AF263" s="135">
        <v>921.7</v>
      </c>
      <c r="AG263" s="135">
        <v>1.08</v>
      </c>
      <c r="AH263" s="135">
        <v>6.4</v>
      </c>
      <c r="AI263" s="135">
        <v>2600</v>
      </c>
      <c r="AJ263" s="135">
        <v>404.7</v>
      </c>
      <c r="AK263" s="135">
        <v>2.4700000000000002</v>
      </c>
      <c r="AL263" s="135">
        <v>4.5999999999999996</v>
      </c>
      <c r="AM263" s="135">
        <v>4500</v>
      </c>
      <c r="AN263" s="135">
        <v>977.1</v>
      </c>
      <c r="AO263" s="135">
        <v>1.02</v>
      </c>
      <c r="AP263" s="135"/>
      <c r="AQ263" s="135"/>
      <c r="AR263" s="135"/>
      <c r="AS263" s="135"/>
      <c r="AT263" s="135"/>
      <c r="AU263" s="135"/>
      <c r="AV263" s="135"/>
      <c r="AW263" s="135"/>
      <c r="AX263" s="135">
        <v>4.5999999999999996</v>
      </c>
      <c r="AY263" s="135">
        <v>10</v>
      </c>
      <c r="AZ263" s="135">
        <v>2.2000000000000002</v>
      </c>
      <c r="BA263" s="135">
        <v>0.46</v>
      </c>
      <c r="BB263" s="135"/>
      <c r="BC263" s="135"/>
      <c r="BD263" s="135"/>
      <c r="BE263" s="135"/>
      <c r="BF263" s="135">
        <v>6.4</v>
      </c>
      <c r="BG263" s="135">
        <v>5000</v>
      </c>
      <c r="BH263" s="135">
        <v>778.3</v>
      </c>
      <c r="BI263" s="135">
        <v>1.28</v>
      </c>
      <c r="BJ263" s="135">
        <v>40.5</v>
      </c>
      <c r="BK263" s="135">
        <v>-6.5</v>
      </c>
      <c r="BL263" s="135">
        <v>23.5</v>
      </c>
    </row>
    <row r="264" spans="1:64" x14ac:dyDescent="0.3">
      <c r="A264" s="135">
        <v>2016</v>
      </c>
      <c r="B264" s="135">
        <v>4</v>
      </c>
      <c r="C264" s="135" t="s">
        <v>2582</v>
      </c>
      <c r="D264" s="135" t="s">
        <v>1518</v>
      </c>
      <c r="E264" s="135" t="s">
        <v>399</v>
      </c>
      <c r="F264" s="135" t="s">
        <v>70</v>
      </c>
      <c r="G264" s="135" t="s">
        <v>2005</v>
      </c>
      <c r="H264" s="135">
        <v>3.74</v>
      </c>
      <c r="I264" s="135">
        <v>2.7930000000000001</v>
      </c>
      <c r="J264" s="135">
        <v>4.49</v>
      </c>
      <c r="K264" s="135">
        <v>0</v>
      </c>
      <c r="L264" s="135">
        <v>0</v>
      </c>
      <c r="M264" s="135">
        <v>0</v>
      </c>
      <c r="N264" s="135">
        <v>0</v>
      </c>
      <c r="O264" s="135">
        <v>0</v>
      </c>
      <c r="P264" s="135">
        <v>0</v>
      </c>
      <c r="Q264" s="135">
        <v>0</v>
      </c>
      <c r="R264" s="135">
        <v>0</v>
      </c>
      <c r="S264" s="135">
        <v>1.6970000000000001</v>
      </c>
      <c r="T264" s="135">
        <v>20.327999999999999</v>
      </c>
      <c r="U264" s="135">
        <v>0.13200000000000001</v>
      </c>
      <c r="V264" s="135">
        <v>1.6E-2</v>
      </c>
      <c r="W264" s="135">
        <v>0</v>
      </c>
      <c r="X264" s="135">
        <v>0</v>
      </c>
      <c r="Y264" s="135" t="s">
        <v>1995</v>
      </c>
      <c r="Z264" s="135">
        <v>3.6</v>
      </c>
      <c r="AA264" s="135">
        <v>3000</v>
      </c>
      <c r="AB264" s="135">
        <v>827.5</v>
      </c>
      <c r="AC264" s="135">
        <v>1.21</v>
      </c>
      <c r="AD264" s="135">
        <v>4.5</v>
      </c>
      <c r="AE264" s="135">
        <v>5250</v>
      </c>
      <c r="AF264" s="135">
        <v>1169.3</v>
      </c>
      <c r="AG264" s="135">
        <v>0.86</v>
      </c>
      <c r="AH264" s="135">
        <v>4.5999999999999996</v>
      </c>
      <c r="AI264" s="135">
        <v>2500</v>
      </c>
      <c r="AJ264" s="135">
        <v>540.20000000000005</v>
      </c>
      <c r="AK264" s="135">
        <v>1.85</v>
      </c>
      <c r="AL264" s="135">
        <v>3.6</v>
      </c>
      <c r="AM264" s="135">
        <v>4700</v>
      </c>
      <c r="AN264" s="135">
        <v>1290.7</v>
      </c>
      <c r="AO264" s="135">
        <v>0.77</v>
      </c>
      <c r="AP264" s="135"/>
      <c r="AQ264" s="135"/>
      <c r="AR264" s="135"/>
      <c r="AS264" s="135"/>
      <c r="AT264" s="135"/>
      <c r="AU264" s="135"/>
      <c r="AV264" s="135"/>
      <c r="AW264" s="135"/>
      <c r="AX264" s="135">
        <v>3.6</v>
      </c>
      <c r="AY264" s="135">
        <v>10</v>
      </c>
      <c r="AZ264" s="135">
        <v>2.7</v>
      </c>
      <c r="BA264" s="135">
        <v>0.36</v>
      </c>
      <c r="BB264" s="135"/>
      <c r="BC264" s="135"/>
      <c r="BD264" s="135"/>
      <c r="BE264" s="135"/>
      <c r="BF264" s="135">
        <v>4.5999999999999996</v>
      </c>
      <c r="BG264" s="135">
        <v>5000</v>
      </c>
      <c r="BH264" s="135">
        <v>1080.4000000000001</v>
      </c>
      <c r="BI264" s="135">
        <v>0.93</v>
      </c>
      <c r="BJ264" s="135">
        <v>44</v>
      </c>
      <c r="BK264" s="135">
        <v>-3</v>
      </c>
      <c r="BL264" s="135">
        <v>23.5</v>
      </c>
    </row>
    <row r="265" spans="1:64" x14ac:dyDescent="0.3">
      <c r="A265" s="135">
        <v>2016</v>
      </c>
      <c r="B265" s="135">
        <v>4</v>
      </c>
      <c r="C265" s="135" t="s">
        <v>2225</v>
      </c>
      <c r="D265" s="135" t="s">
        <v>330</v>
      </c>
      <c r="E265" s="135" t="s">
        <v>399</v>
      </c>
      <c r="F265" s="135" t="s">
        <v>32</v>
      </c>
      <c r="G265" s="135" t="s">
        <v>4</v>
      </c>
      <c r="H265" s="135">
        <v>9.34</v>
      </c>
      <c r="I265" s="135">
        <v>2.5609999999999999</v>
      </c>
      <c r="J265" s="135">
        <v>4.056</v>
      </c>
      <c r="K265" s="135">
        <v>0</v>
      </c>
      <c r="L265" s="135">
        <v>0</v>
      </c>
      <c r="M265" s="135">
        <v>0</v>
      </c>
      <c r="N265" s="135">
        <v>0</v>
      </c>
      <c r="O265" s="135">
        <v>0</v>
      </c>
      <c r="P265" s="135">
        <v>0</v>
      </c>
      <c r="Q265" s="135">
        <v>0</v>
      </c>
      <c r="R265" s="135">
        <v>0</v>
      </c>
      <c r="S265" s="135">
        <v>1.4950000000000001</v>
      </c>
      <c r="T265" s="135">
        <v>16.945</v>
      </c>
      <c r="U265" s="135">
        <v>0.14799999999999999</v>
      </c>
      <c r="V265" s="135">
        <v>1.0999999999999999E-2</v>
      </c>
      <c r="W265" s="135">
        <v>0</v>
      </c>
      <c r="X265" s="135">
        <v>0</v>
      </c>
      <c r="Y265" s="135" t="s">
        <v>1995</v>
      </c>
      <c r="Z265" s="135">
        <v>3.3</v>
      </c>
      <c r="AA265" s="135">
        <v>3500</v>
      </c>
      <c r="AB265" s="135">
        <v>1061.5999999999999</v>
      </c>
      <c r="AC265" s="135">
        <v>0.94</v>
      </c>
      <c r="AD265" s="135">
        <v>4.0999999999999996</v>
      </c>
      <c r="AE265" s="135">
        <v>5000</v>
      </c>
      <c r="AF265" s="135">
        <v>1232.9000000000001</v>
      </c>
      <c r="AG265" s="135">
        <v>0.81</v>
      </c>
      <c r="AH265" s="135">
        <v>4.2</v>
      </c>
      <c r="AI265" s="135">
        <v>2500</v>
      </c>
      <c r="AJ265" s="135">
        <v>599.79999999999995</v>
      </c>
      <c r="AK265" s="135">
        <v>1.67</v>
      </c>
      <c r="AL265" s="135">
        <v>3.3</v>
      </c>
      <c r="AM265" s="135">
        <v>4500</v>
      </c>
      <c r="AN265" s="135">
        <v>1360.3</v>
      </c>
      <c r="AO265" s="135">
        <v>0.74</v>
      </c>
      <c r="AP265" s="135"/>
      <c r="AQ265" s="135"/>
      <c r="AR265" s="135"/>
      <c r="AS265" s="135"/>
      <c r="AT265" s="135"/>
      <c r="AU265" s="135"/>
      <c r="AV265" s="135"/>
      <c r="AW265" s="135"/>
      <c r="AX265" s="135">
        <v>3.3</v>
      </c>
      <c r="AY265" s="135">
        <v>10</v>
      </c>
      <c r="AZ265" s="135">
        <v>3</v>
      </c>
      <c r="BA265" s="135">
        <v>0.33</v>
      </c>
      <c r="BB265" s="135"/>
      <c r="BC265" s="135"/>
      <c r="BD265" s="135"/>
      <c r="BE265" s="135"/>
      <c r="BF265" s="135">
        <v>4.2</v>
      </c>
      <c r="BG265" s="135">
        <v>5000</v>
      </c>
      <c r="BH265" s="135">
        <v>1199.5999999999999</v>
      </c>
      <c r="BI265" s="135">
        <v>0.83</v>
      </c>
      <c r="BJ265" s="135">
        <v>46.5</v>
      </c>
      <c r="BK265" s="135">
        <v>-3.5</v>
      </c>
      <c r="BL265" s="135">
        <v>25</v>
      </c>
    </row>
    <row r="266" spans="1:64" x14ac:dyDescent="0.3">
      <c r="A266" s="135">
        <v>2016</v>
      </c>
      <c r="B266" s="135">
        <v>4</v>
      </c>
      <c r="C266" s="135" t="s">
        <v>2224</v>
      </c>
      <c r="D266" s="135" t="s">
        <v>339</v>
      </c>
      <c r="E266" s="135" t="s">
        <v>399</v>
      </c>
      <c r="F266" s="135" t="s">
        <v>37</v>
      </c>
      <c r="G266" s="135" t="s">
        <v>2304</v>
      </c>
      <c r="H266" s="135">
        <v>3.55</v>
      </c>
      <c r="I266" s="135">
        <v>2.4580000000000002</v>
      </c>
      <c r="J266" s="135">
        <v>4.7610000000000001</v>
      </c>
      <c r="K266" s="135">
        <v>0</v>
      </c>
      <c r="L266" s="135">
        <v>0</v>
      </c>
      <c r="M266" s="135">
        <v>0</v>
      </c>
      <c r="N266" s="135">
        <v>0</v>
      </c>
      <c r="O266" s="135">
        <v>0</v>
      </c>
      <c r="P266" s="135">
        <v>0</v>
      </c>
      <c r="Q266" s="135">
        <v>0</v>
      </c>
      <c r="R266" s="135">
        <v>0</v>
      </c>
      <c r="S266" s="135">
        <v>2.3029999999999999</v>
      </c>
      <c r="T266" s="135">
        <v>18.215</v>
      </c>
      <c r="U266" s="135">
        <v>0.115</v>
      </c>
      <c r="V266" s="135">
        <v>2.7E-2</v>
      </c>
      <c r="W266" s="135">
        <v>0</v>
      </c>
      <c r="X266" s="135">
        <v>0</v>
      </c>
      <c r="Y266" s="135" t="s">
        <v>1995</v>
      </c>
      <c r="Z266" s="135">
        <v>3.6</v>
      </c>
      <c r="AA266" s="135">
        <v>3600</v>
      </c>
      <c r="AB266" s="135">
        <v>1005</v>
      </c>
      <c r="AC266" s="135">
        <v>1</v>
      </c>
      <c r="AD266" s="135">
        <v>4.8</v>
      </c>
      <c r="AE266" s="135">
        <v>5000</v>
      </c>
      <c r="AF266" s="135">
        <v>1050.3</v>
      </c>
      <c r="AG266" s="135">
        <v>0.95</v>
      </c>
      <c r="AH266" s="135">
        <v>4.9000000000000004</v>
      </c>
      <c r="AI266" s="135">
        <v>2600</v>
      </c>
      <c r="AJ266" s="135">
        <v>531</v>
      </c>
      <c r="AK266" s="135">
        <v>1.88</v>
      </c>
      <c r="AL266" s="135">
        <v>3.6</v>
      </c>
      <c r="AM266" s="135">
        <v>5100</v>
      </c>
      <c r="AN266" s="135">
        <v>1413.1</v>
      </c>
      <c r="AO266" s="135">
        <v>0.71</v>
      </c>
      <c r="AP266" s="135"/>
      <c r="AQ266" s="135"/>
      <c r="AR266" s="135"/>
      <c r="AS266" s="135"/>
      <c r="AT266" s="135"/>
      <c r="AU266" s="135"/>
      <c r="AV266" s="135"/>
      <c r="AW266" s="135"/>
      <c r="AX266" s="135">
        <v>3.6</v>
      </c>
      <c r="AY266" s="135">
        <v>14</v>
      </c>
      <c r="AZ266" s="135">
        <v>3.9</v>
      </c>
      <c r="BA266" s="135">
        <v>0.26</v>
      </c>
      <c r="BB266" s="135"/>
      <c r="BC266" s="135"/>
      <c r="BD266" s="135"/>
      <c r="BE266" s="135"/>
      <c r="BF266" s="135">
        <v>4.9000000000000004</v>
      </c>
      <c r="BG266" s="135">
        <v>5000</v>
      </c>
      <c r="BH266" s="135">
        <v>1021.1</v>
      </c>
      <c r="BI266" s="135">
        <v>0.98</v>
      </c>
      <c r="BJ266" s="135">
        <v>43.5</v>
      </c>
      <c r="BK266" s="135">
        <v>4</v>
      </c>
      <c r="BL266" s="135">
        <v>19.75</v>
      </c>
    </row>
    <row r="267" spans="1:64" x14ac:dyDescent="0.3">
      <c r="A267" s="135">
        <v>2016</v>
      </c>
      <c r="B267" s="135">
        <v>4</v>
      </c>
      <c r="C267" s="135" t="s">
        <v>2248</v>
      </c>
      <c r="D267" s="135" t="s">
        <v>1253</v>
      </c>
      <c r="E267" s="135" t="s">
        <v>399</v>
      </c>
      <c r="F267" s="135" t="s">
        <v>70</v>
      </c>
      <c r="G267" s="135" t="s">
        <v>2005</v>
      </c>
      <c r="H267" s="135">
        <v>3.74</v>
      </c>
      <c r="I267" s="135">
        <v>2.4409999999999998</v>
      </c>
      <c r="J267" s="135">
        <v>3.9260000000000002</v>
      </c>
      <c r="K267" s="135">
        <v>0</v>
      </c>
      <c r="L267" s="135">
        <v>0</v>
      </c>
      <c r="M267" s="135">
        <v>0</v>
      </c>
      <c r="N267" s="135">
        <v>0</v>
      </c>
      <c r="O267" s="135">
        <v>0</v>
      </c>
      <c r="P267" s="135">
        <v>0</v>
      </c>
      <c r="Q267" s="135">
        <v>0</v>
      </c>
      <c r="R267" s="135">
        <v>0</v>
      </c>
      <c r="S267" s="135">
        <v>1.4850000000000001</v>
      </c>
      <c r="T267" s="135">
        <v>17.786999999999999</v>
      </c>
      <c r="U267" s="135">
        <v>0.115</v>
      </c>
      <c r="V267" s="135">
        <v>1.4E-2</v>
      </c>
      <c r="W267" s="135">
        <v>0</v>
      </c>
      <c r="X267" s="135">
        <v>0</v>
      </c>
      <c r="Y267" s="135" t="s">
        <v>1995</v>
      </c>
      <c r="Z267" s="135">
        <v>3.2</v>
      </c>
      <c r="AA267" s="135">
        <v>3000</v>
      </c>
      <c r="AB267" s="135">
        <v>946.6</v>
      </c>
      <c r="AC267" s="135">
        <v>1.06</v>
      </c>
      <c r="AD267" s="135">
        <v>3.9</v>
      </c>
      <c r="AE267" s="135">
        <v>5000</v>
      </c>
      <c r="AF267" s="135">
        <v>1273.7</v>
      </c>
      <c r="AG267" s="135">
        <v>0.79</v>
      </c>
      <c r="AH267" s="135">
        <v>4</v>
      </c>
      <c r="AI267" s="135">
        <v>2500</v>
      </c>
      <c r="AJ267" s="135">
        <v>617.79999999999995</v>
      </c>
      <c r="AK267" s="135">
        <v>1.62</v>
      </c>
      <c r="AL267" s="135">
        <v>3.2</v>
      </c>
      <c r="AM267" s="135">
        <v>4500</v>
      </c>
      <c r="AN267" s="135">
        <v>1413.7</v>
      </c>
      <c r="AO267" s="135">
        <v>0.71</v>
      </c>
      <c r="AP267" s="135"/>
      <c r="AQ267" s="135"/>
      <c r="AR267" s="135"/>
      <c r="AS267" s="135"/>
      <c r="AT267" s="135"/>
      <c r="AU267" s="135"/>
      <c r="AV267" s="135"/>
      <c r="AW267" s="135"/>
      <c r="AX267" s="135">
        <v>3.2</v>
      </c>
      <c r="AY267" s="135">
        <v>10</v>
      </c>
      <c r="AZ267" s="135">
        <v>3.1</v>
      </c>
      <c r="BA267" s="135">
        <v>0.32</v>
      </c>
      <c r="BB267" s="135"/>
      <c r="BC267" s="135"/>
      <c r="BD267" s="135"/>
      <c r="BE267" s="135"/>
      <c r="BF267" s="135">
        <v>4</v>
      </c>
      <c r="BG267" s="135">
        <v>5000</v>
      </c>
      <c r="BH267" s="135">
        <v>1235.7</v>
      </c>
      <c r="BI267" s="135">
        <v>0.81</v>
      </c>
      <c r="BJ267" s="135">
        <v>44</v>
      </c>
      <c r="BK267" s="135">
        <v>-3</v>
      </c>
      <c r="BL267" s="135">
        <v>23.5</v>
      </c>
    </row>
    <row r="268" spans="1:64" x14ac:dyDescent="0.3">
      <c r="A268" s="135">
        <v>2016</v>
      </c>
      <c r="B268" s="135">
        <v>4</v>
      </c>
      <c r="C268" s="135" t="s">
        <v>2231</v>
      </c>
      <c r="D268" s="135" t="s">
        <v>364</v>
      </c>
      <c r="E268" s="135" t="s">
        <v>399</v>
      </c>
      <c r="F268" s="135" t="s">
        <v>28</v>
      </c>
      <c r="G268" s="135" t="s">
        <v>57</v>
      </c>
      <c r="H268" s="135">
        <v>12.07</v>
      </c>
      <c r="I268" s="135">
        <v>2.4089999999999998</v>
      </c>
      <c r="J268" s="135">
        <v>3.8530000000000002</v>
      </c>
      <c r="K268" s="135">
        <v>0</v>
      </c>
      <c r="L268" s="135">
        <v>0</v>
      </c>
      <c r="M268" s="135">
        <v>0</v>
      </c>
      <c r="N268" s="135">
        <v>0</v>
      </c>
      <c r="O268" s="135">
        <v>0</v>
      </c>
      <c r="P268" s="135">
        <v>0</v>
      </c>
      <c r="Q268" s="135">
        <v>0</v>
      </c>
      <c r="R268" s="135">
        <v>0</v>
      </c>
      <c r="S268" s="135">
        <v>1.444</v>
      </c>
      <c r="T268" s="135">
        <v>16.748000000000001</v>
      </c>
      <c r="U268" s="135">
        <v>0.126</v>
      </c>
      <c r="V268" s="135">
        <v>1.0999999999999999E-2</v>
      </c>
      <c r="W268" s="135">
        <v>0</v>
      </c>
      <c r="X268" s="135">
        <v>0</v>
      </c>
      <c r="Y268" s="135" t="s">
        <v>1995</v>
      </c>
      <c r="Z268" s="135">
        <v>3.1</v>
      </c>
      <c r="AA268" s="135">
        <v>3300</v>
      </c>
      <c r="AB268" s="135">
        <v>1057.8</v>
      </c>
      <c r="AC268" s="135">
        <v>0.95</v>
      </c>
      <c r="AD268" s="135">
        <v>3.9</v>
      </c>
      <c r="AE268" s="135">
        <v>5000</v>
      </c>
      <c r="AF268" s="135">
        <v>1297.8</v>
      </c>
      <c r="AG268" s="135">
        <v>0.77</v>
      </c>
      <c r="AH268" s="135">
        <v>4</v>
      </c>
      <c r="AI268" s="135">
        <v>2500</v>
      </c>
      <c r="AJ268" s="135">
        <v>630.6</v>
      </c>
      <c r="AK268" s="135">
        <v>1.59</v>
      </c>
      <c r="AL268" s="135">
        <v>3.1</v>
      </c>
      <c r="AM268" s="135">
        <v>4600</v>
      </c>
      <c r="AN268" s="135">
        <v>1469.3</v>
      </c>
      <c r="AO268" s="135">
        <v>0.68</v>
      </c>
      <c r="AP268" s="135"/>
      <c r="AQ268" s="135"/>
      <c r="AR268" s="135"/>
      <c r="AS268" s="135"/>
      <c r="AT268" s="135"/>
      <c r="AU268" s="135"/>
      <c r="AV268" s="135"/>
      <c r="AW268" s="135"/>
      <c r="AX268" s="135">
        <v>3.1</v>
      </c>
      <c r="AY268" s="135">
        <v>10</v>
      </c>
      <c r="AZ268" s="135">
        <v>3.2</v>
      </c>
      <c r="BA268" s="135">
        <v>0.31</v>
      </c>
      <c r="BB268" s="135"/>
      <c r="BC268" s="135"/>
      <c r="BD268" s="135"/>
      <c r="BE268" s="135"/>
      <c r="BF268" s="135">
        <v>4</v>
      </c>
      <c r="BG268" s="135">
        <v>5000</v>
      </c>
      <c r="BH268" s="135">
        <v>1261.3</v>
      </c>
      <c r="BI268" s="135">
        <v>0.79</v>
      </c>
      <c r="BJ268" s="135">
        <v>44.5</v>
      </c>
      <c r="BK268" s="135">
        <v>-7</v>
      </c>
      <c r="BL268" s="135">
        <v>25.75</v>
      </c>
    </row>
    <row r="269" spans="1:64" x14ac:dyDescent="0.3">
      <c r="A269" s="135">
        <v>2016</v>
      </c>
      <c r="B269" s="135">
        <v>4</v>
      </c>
      <c r="C269" s="135" t="s">
        <v>2241</v>
      </c>
      <c r="D269" s="135" t="s">
        <v>558</v>
      </c>
      <c r="E269" s="135" t="s">
        <v>399</v>
      </c>
      <c r="F269" s="135" t="s">
        <v>50</v>
      </c>
      <c r="G269" s="135" t="s">
        <v>22</v>
      </c>
      <c r="H269" s="135">
        <v>11.24</v>
      </c>
      <c r="I269" s="135">
        <v>2.21</v>
      </c>
      <c r="J269" s="135">
        <v>3.2469999999999999</v>
      </c>
      <c r="K269" s="135">
        <v>0</v>
      </c>
      <c r="L269" s="135">
        <v>0</v>
      </c>
      <c r="M269" s="135">
        <v>0</v>
      </c>
      <c r="N269" s="135">
        <v>0</v>
      </c>
      <c r="O269" s="135">
        <v>0</v>
      </c>
      <c r="P269" s="135">
        <v>0</v>
      </c>
      <c r="Q269" s="135">
        <v>0</v>
      </c>
      <c r="R269" s="135">
        <v>0</v>
      </c>
      <c r="S269" s="135">
        <v>1.0369999999999999</v>
      </c>
      <c r="T269" s="135">
        <v>19.061</v>
      </c>
      <c r="U269" s="135">
        <v>5.3999999999999999E-2</v>
      </c>
      <c r="V269" s="135">
        <v>0.01</v>
      </c>
      <c r="W269" s="135">
        <v>0</v>
      </c>
      <c r="X269" s="135">
        <v>0</v>
      </c>
      <c r="Y269" s="135" t="s">
        <v>1995</v>
      </c>
      <c r="Z269" s="135">
        <v>2.7</v>
      </c>
      <c r="AA269" s="135">
        <v>3800</v>
      </c>
      <c r="AB269" s="135">
        <v>1397.8</v>
      </c>
      <c r="AC269" s="135">
        <v>0.72</v>
      </c>
      <c r="AD269" s="135">
        <v>3.2</v>
      </c>
      <c r="AE269" s="135">
        <v>5000</v>
      </c>
      <c r="AF269" s="135">
        <v>1539.8</v>
      </c>
      <c r="AG269" s="135">
        <v>0.65</v>
      </c>
      <c r="AH269" s="135">
        <v>3.4</v>
      </c>
      <c r="AI269" s="135">
        <v>2500</v>
      </c>
      <c r="AJ269" s="135">
        <v>741.5</v>
      </c>
      <c r="AK269" s="135">
        <v>1.35</v>
      </c>
      <c r="AL269" s="135">
        <v>2.7</v>
      </c>
      <c r="AM269" s="135">
        <v>4500</v>
      </c>
      <c r="AN269" s="135">
        <v>1649.2</v>
      </c>
      <c r="AO269" s="135">
        <v>0.61</v>
      </c>
      <c r="AP269" s="135"/>
      <c r="AQ269" s="135"/>
      <c r="AR269" s="135"/>
      <c r="AS269" s="135"/>
      <c r="AT269" s="135"/>
      <c r="AU269" s="135"/>
      <c r="AV269" s="135"/>
      <c r="AW269" s="135"/>
      <c r="AX269" s="135">
        <v>2.7</v>
      </c>
      <c r="AY269" s="135">
        <v>10</v>
      </c>
      <c r="AZ269" s="135">
        <v>3.7</v>
      </c>
      <c r="BA269" s="135">
        <v>0.27</v>
      </c>
      <c r="BB269" s="135"/>
      <c r="BC269" s="135"/>
      <c r="BD269" s="135"/>
      <c r="BE269" s="135"/>
      <c r="BF269" s="135">
        <v>3.4</v>
      </c>
      <c r="BG269" s="135">
        <v>5000</v>
      </c>
      <c r="BH269" s="135">
        <v>1483</v>
      </c>
      <c r="BI269" s="135">
        <v>0.67</v>
      </c>
      <c r="BJ269" s="135">
        <v>50</v>
      </c>
      <c r="BK269" s="135">
        <v>3</v>
      </c>
      <c r="BL269" s="135">
        <v>23.5</v>
      </c>
    </row>
    <row r="270" spans="1:64" x14ac:dyDescent="0.3">
      <c r="A270" s="135">
        <v>2016</v>
      </c>
      <c r="B270" s="135">
        <v>4</v>
      </c>
      <c r="C270" s="135" t="s">
        <v>2228</v>
      </c>
      <c r="D270" s="135" t="s">
        <v>244</v>
      </c>
      <c r="E270" s="135" t="s">
        <v>399</v>
      </c>
      <c r="F270" s="135" t="s">
        <v>37</v>
      </c>
      <c r="G270" s="135" t="s">
        <v>2304</v>
      </c>
      <c r="H270" s="135">
        <v>3.55</v>
      </c>
      <c r="I270" s="135">
        <v>2.117</v>
      </c>
      <c r="J270" s="135">
        <v>3.7290000000000001</v>
      </c>
      <c r="K270" s="135">
        <v>0</v>
      </c>
      <c r="L270" s="135">
        <v>0</v>
      </c>
      <c r="M270" s="135">
        <v>0</v>
      </c>
      <c r="N270" s="135">
        <v>0</v>
      </c>
      <c r="O270" s="135">
        <v>0</v>
      </c>
      <c r="P270" s="135">
        <v>0</v>
      </c>
      <c r="Q270" s="135">
        <v>0</v>
      </c>
      <c r="R270" s="135">
        <v>0</v>
      </c>
      <c r="S270" s="135">
        <v>1.6120000000000001</v>
      </c>
      <c r="T270" s="135">
        <v>15.613</v>
      </c>
      <c r="U270" s="135">
        <v>9.9000000000000005E-2</v>
      </c>
      <c r="V270" s="135">
        <v>1.9E-2</v>
      </c>
      <c r="W270" s="135">
        <v>0</v>
      </c>
      <c r="X270" s="135">
        <v>0</v>
      </c>
      <c r="Y270" s="135" t="s">
        <v>1995</v>
      </c>
      <c r="Z270" s="135">
        <v>2.9</v>
      </c>
      <c r="AA270" s="135">
        <v>3500</v>
      </c>
      <c r="AB270" s="135">
        <v>1205.0999999999999</v>
      </c>
      <c r="AC270" s="135">
        <v>0.83</v>
      </c>
      <c r="AD270" s="135">
        <v>3.7</v>
      </c>
      <c r="AE270" s="135">
        <v>5000</v>
      </c>
      <c r="AF270" s="135">
        <v>1340.7</v>
      </c>
      <c r="AG270" s="135">
        <v>0.75</v>
      </c>
      <c r="AH270" s="135">
        <v>3.8</v>
      </c>
      <c r="AI270" s="135">
        <v>2600</v>
      </c>
      <c r="AJ270" s="135">
        <v>676.7</v>
      </c>
      <c r="AK270" s="135">
        <v>1.48</v>
      </c>
      <c r="AL270" s="135">
        <v>2.9</v>
      </c>
      <c r="AM270" s="135">
        <v>4700</v>
      </c>
      <c r="AN270" s="135">
        <v>1607.8</v>
      </c>
      <c r="AO270" s="135">
        <v>0.62</v>
      </c>
      <c r="AP270" s="135"/>
      <c r="AQ270" s="135"/>
      <c r="AR270" s="135"/>
      <c r="AS270" s="135"/>
      <c r="AT270" s="135"/>
      <c r="AU270" s="135"/>
      <c r="AV270" s="135"/>
      <c r="AW270" s="135"/>
      <c r="AX270" s="135">
        <v>2.9</v>
      </c>
      <c r="AY270" s="135">
        <v>10</v>
      </c>
      <c r="AZ270" s="135">
        <v>3.4</v>
      </c>
      <c r="BA270" s="135">
        <v>0.28999999999999998</v>
      </c>
      <c r="BB270" s="135"/>
      <c r="BC270" s="135"/>
      <c r="BD270" s="135"/>
      <c r="BE270" s="135"/>
      <c r="BF270" s="135">
        <v>3.8</v>
      </c>
      <c r="BG270" s="135">
        <v>5000</v>
      </c>
      <c r="BH270" s="135">
        <v>1301.4000000000001</v>
      </c>
      <c r="BI270" s="135">
        <v>0.77</v>
      </c>
      <c r="BJ270" s="135">
        <v>43.5</v>
      </c>
      <c r="BK270" s="135">
        <v>4</v>
      </c>
      <c r="BL270" s="135">
        <v>19.75</v>
      </c>
    </row>
    <row r="271" spans="1:64" x14ac:dyDescent="0.3">
      <c r="A271" s="135">
        <v>2016</v>
      </c>
      <c r="B271" s="135">
        <v>4</v>
      </c>
      <c r="C271" s="135" t="s">
        <v>2227</v>
      </c>
      <c r="D271" s="135" t="s">
        <v>551</v>
      </c>
      <c r="E271" s="135" t="s">
        <v>399</v>
      </c>
      <c r="F271" s="135" t="s">
        <v>43</v>
      </c>
      <c r="G271" s="135" t="s">
        <v>30</v>
      </c>
      <c r="H271" s="135">
        <v>2.35</v>
      </c>
      <c r="I271" s="135">
        <v>1.9790000000000001</v>
      </c>
      <c r="J271" s="135">
        <v>3.42</v>
      </c>
      <c r="K271" s="135">
        <v>0</v>
      </c>
      <c r="L271" s="135">
        <v>0</v>
      </c>
      <c r="M271" s="135">
        <v>0</v>
      </c>
      <c r="N271" s="135">
        <v>0</v>
      </c>
      <c r="O271" s="135">
        <v>0</v>
      </c>
      <c r="P271" s="135">
        <v>0</v>
      </c>
      <c r="Q271" s="135">
        <v>0</v>
      </c>
      <c r="R271" s="135">
        <v>0</v>
      </c>
      <c r="S271" s="135">
        <v>1.4410000000000001</v>
      </c>
      <c r="T271" s="135">
        <v>14.826000000000001</v>
      </c>
      <c r="U271" s="135">
        <v>8.6999999999999994E-2</v>
      </c>
      <c r="V271" s="135">
        <v>1.2999999999999999E-2</v>
      </c>
      <c r="W271" s="135">
        <v>0</v>
      </c>
      <c r="X271" s="135">
        <v>0</v>
      </c>
      <c r="Y271" s="135" t="s">
        <v>1995</v>
      </c>
      <c r="Z271" s="135">
        <v>2.7</v>
      </c>
      <c r="AA271" s="135">
        <v>3100</v>
      </c>
      <c r="AB271" s="135">
        <v>1154.0999999999999</v>
      </c>
      <c r="AC271" s="135">
        <v>0.87</v>
      </c>
      <c r="AD271" s="135">
        <v>3.4</v>
      </c>
      <c r="AE271" s="135">
        <v>5000</v>
      </c>
      <c r="AF271" s="135">
        <v>1462.2</v>
      </c>
      <c r="AG271" s="135">
        <v>0.68</v>
      </c>
      <c r="AH271" s="135">
        <v>3.5</v>
      </c>
      <c r="AI271" s="135">
        <v>2500</v>
      </c>
      <c r="AJ271" s="135">
        <v>709.9</v>
      </c>
      <c r="AK271" s="135">
        <v>1.41</v>
      </c>
      <c r="AL271" s="135">
        <v>2.7</v>
      </c>
      <c r="AM271" s="135">
        <v>4500</v>
      </c>
      <c r="AN271" s="135">
        <v>1667.2</v>
      </c>
      <c r="AO271" s="135">
        <v>0.6</v>
      </c>
      <c r="AP271" s="135"/>
      <c r="AQ271" s="135"/>
      <c r="AR271" s="135"/>
      <c r="AS271" s="135"/>
      <c r="AT271" s="135"/>
      <c r="AU271" s="135"/>
      <c r="AV271" s="135"/>
      <c r="AW271" s="135"/>
      <c r="AX271" s="135">
        <v>2.7</v>
      </c>
      <c r="AY271" s="135">
        <v>10</v>
      </c>
      <c r="AZ271" s="135">
        <v>3.7</v>
      </c>
      <c r="BA271" s="135">
        <v>0.27</v>
      </c>
      <c r="BB271" s="135"/>
      <c r="BC271" s="135"/>
      <c r="BD271" s="135"/>
      <c r="BE271" s="135"/>
      <c r="BF271" s="135">
        <v>3.5</v>
      </c>
      <c r="BG271" s="135">
        <v>5000</v>
      </c>
      <c r="BH271" s="135">
        <v>1419.8</v>
      </c>
      <c r="BI271" s="135">
        <v>0.7</v>
      </c>
      <c r="BJ271" s="135">
        <v>40.5</v>
      </c>
      <c r="BK271" s="135">
        <v>-6.5</v>
      </c>
      <c r="BL271" s="135">
        <v>23.5</v>
      </c>
    </row>
    <row r="272" spans="1:64" x14ac:dyDescent="0.3">
      <c r="A272" s="135">
        <v>2016</v>
      </c>
      <c r="B272" s="135">
        <v>4</v>
      </c>
      <c r="C272" s="135" t="s">
        <v>2230</v>
      </c>
      <c r="D272" s="135" t="s">
        <v>349</v>
      </c>
      <c r="E272" s="135" t="s">
        <v>399</v>
      </c>
      <c r="F272" s="135" t="s">
        <v>18</v>
      </c>
      <c r="G272" s="135" t="s">
        <v>14</v>
      </c>
      <c r="H272" s="135">
        <v>8.52</v>
      </c>
      <c r="I272" s="135">
        <v>1.92</v>
      </c>
      <c r="J272" s="135">
        <v>3.1349999999999998</v>
      </c>
      <c r="K272" s="135">
        <v>0</v>
      </c>
      <c r="L272" s="135">
        <v>0</v>
      </c>
      <c r="M272" s="135">
        <v>0</v>
      </c>
      <c r="N272" s="135">
        <v>0</v>
      </c>
      <c r="O272" s="135">
        <v>0</v>
      </c>
      <c r="P272" s="135">
        <v>0</v>
      </c>
      <c r="Q272" s="135">
        <v>0</v>
      </c>
      <c r="R272" s="135">
        <v>0</v>
      </c>
      <c r="S272" s="135">
        <v>1.2150000000000001</v>
      </c>
      <c r="T272" s="135">
        <v>15.901999999999999</v>
      </c>
      <c r="U272" s="135">
        <v>5.8000000000000003E-2</v>
      </c>
      <c r="V272" s="135">
        <v>8.9999999999999993E-3</v>
      </c>
      <c r="W272" s="135">
        <v>0</v>
      </c>
      <c r="X272" s="135">
        <v>0</v>
      </c>
      <c r="Y272" s="135" t="s">
        <v>1995</v>
      </c>
      <c r="Z272" s="135">
        <v>2.5</v>
      </c>
      <c r="AA272" s="135">
        <v>4000</v>
      </c>
      <c r="AB272" s="135">
        <v>1588.1</v>
      </c>
      <c r="AC272" s="135">
        <v>0.63</v>
      </c>
      <c r="AD272" s="135">
        <v>3.1</v>
      </c>
      <c r="AE272" s="135">
        <v>5000</v>
      </c>
      <c r="AF272" s="135">
        <v>1594.8</v>
      </c>
      <c r="AG272" s="135">
        <v>0.63</v>
      </c>
      <c r="AH272" s="135">
        <v>3.2</v>
      </c>
      <c r="AI272" s="135">
        <v>2500</v>
      </c>
      <c r="AJ272" s="135">
        <v>771.7</v>
      </c>
      <c r="AK272" s="135">
        <v>1.3</v>
      </c>
      <c r="AL272" s="135">
        <v>2.5</v>
      </c>
      <c r="AM272" s="135">
        <v>4500</v>
      </c>
      <c r="AN272" s="135">
        <v>1780.3</v>
      </c>
      <c r="AO272" s="135">
        <v>0.56000000000000005</v>
      </c>
      <c r="AP272" s="135"/>
      <c r="AQ272" s="135"/>
      <c r="AR272" s="135"/>
      <c r="AS272" s="135"/>
      <c r="AT272" s="135"/>
      <c r="AU272" s="135"/>
      <c r="AV272" s="135"/>
      <c r="AW272" s="135"/>
      <c r="AX272" s="135">
        <v>2.5</v>
      </c>
      <c r="AY272" s="135">
        <v>10</v>
      </c>
      <c r="AZ272" s="135">
        <v>4</v>
      </c>
      <c r="BA272" s="135">
        <v>0.25</v>
      </c>
      <c r="BB272" s="135"/>
      <c r="BC272" s="135"/>
      <c r="BD272" s="135"/>
      <c r="BE272" s="135"/>
      <c r="BF272" s="135">
        <v>3.2</v>
      </c>
      <c r="BG272" s="135">
        <v>5000</v>
      </c>
      <c r="BH272" s="135">
        <v>1543.4</v>
      </c>
      <c r="BI272" s="135">
        <v>0.65</v>
      </c>
      <c r="BJ272" s="135">
        <v>45.5</v>
      </c>
      <c r="BK272" s="135">
        <v>-8</v>
      </c>
      <c r="BL272" s="135">
        <v>26.75</v>
      </c>
    </row>
    <row r="273" spans="1:64" x14ac:dyDescent="0.3">
      <c r="A273" s="135">
        <v>2016</v>
      </c>
      <c r="B273" s="135">
        <v>4</v>
      </c>
      <c r="C273" s="135" t="s">
        <v>2222</v>
      </c>
      <c r="D273" s="135" t="s">
        <v>342</v>
      </c>
      <c r="E273" s="135" t="s">
        <v>399</v>
      </c>
      <c r="F273" s="135" t="s">
        <v>24</v>
      </c>
      <c r="G273" s="135" t="s">
        <v>409</v>
      </c>
      <c r="H273" s="135">
        <v>7.87</v>
      </c>
      <c r="I273" s="135">
        <v>1.8320000000000001</v>
      </c>
      <c r="J273" s="135">
        <v>3.71</v>
      </c>
      <c r="K273" s="135">
        <v>0</v>
      </c>
      <c r="L273" s="135">
        <v>0</v>
      </c>
      <c r="M273" s="135">
        <v>0</v>
      </c>
      <c r="N273" s="135">
        <v>0</v>
      </c>
      <c r="O273" s="135">
        <v>0</v>
      </c>
      <c r="P273" s="135">
        <v>0</v>
      </c>
      <c r="Q273" s="135">
        <v>0</v>
      </c>
      <c r="R273" s="135">
        <v>0</v>
      </c>
      <c r="S273" s="135">
        <v>1.8779999999999999</v>
      </c>
      <c r="T273" s="135">
        <v>14.481</v>
      </c>
      <c r="U273" s="135">
        <v>7.0000000000000007E-2</v>
      </c>
      <c r="V273" s="135">
        <v>1.7999999999999999E-2</v>
      </c>
      <c r="W273" s="135">
        <v>0</v>
      </c>
      <c r="X273" s="135">
        <v>0</v>
      </c>
      <c r="Y273" s="135" t="s">
        <v>1995</v>
      </c>
      <c r="Z273" s="135">
        <v>2.8</v>
      </c>
      <c r="AA273" s="135">
        <v>3400</v>
      </c>
      <c r="AB273" s="135">
        <v>1235</v>
      </c>
      <c r="AC273" s="135">
        <v>0.81</v>
      </c>
      <c r="AD273" s="135">
        <v>3.7</v>
      </c>
      <c r="AE273" s="135">
        <v>5000</v>
      </c>
      <c r="AF273" s="135">
        <v>1347.7</v>
      </c>
      <c r="AG273" s="135">
        <v>0.74</v>
      </c>
      <c r="AH273" s="135">
        <v>3.8</v>
      </c>
      <c r="AI273" s="135">
        <v>2500</v>
      </c>
      <c r="AJ273" s="135">
        <v>655.29999999999995</v>
      </c>
      <c r="AK273" s="135">
        <v>1.53</v>
      </c>
      <c r="AL273" s="135">
        <v>2.8</v>
      </c>
      <c r="AM273" s="135">
        <v>4700</v>
      </c>
      <c r="AN273" s="135">
        <v>1696.1</v>
      </c>
      <c r="AO273" s="135">
        <v>0.59</v>
      </c>
      <c r="AP273" s="135"/>
      <c r="AQ273" s="135"/>
      <c r="AR273" s="135"/>
      <c r="AS273" s="135"/>
      <c r="AT273" s="135"/>
      <c r="AU273" s="135"/>
      <c r="AV273" s="135"/>
      <c r="AW273" s="135"/>
      <c r="AX273" s="135">
        <v>2.8</v>
      </c>
      <c r="AY273" s="135">
        <v>10</v>
      </c>
      <c r="AZ273" s="135">
        <v>3.6</v>
      </c>
      <c r="BA273" s="135">
        <v>0.28000000000000003</v>
      </c>
      <c r="BB273" s="135"/>
      <c r="BC273" s="135"/>
      <c r="BD273" s="135"/>
      <c r="BE273" s="135"/>
      <c r="BF273" s="135">
        <v>3.8</v>
      </c>
      <c r="BG273" s="135">
        <v>5000</v>
      </c>
      <c r="BH273" s="135">
        <v>1310.5999999999999</v>
      </c>
      <c r="BI273" s="135">
        <v>0.76</v>
      </c>
      <c r="BJ273" s="135">
        <v>43</v>
      </c>
      <c r="BK273" s="135">
        <v>-8</v>
      </c>
      <c r="BL273" s="135">
        <v>25.5</v>
      </c>
    </row>
    <row r="274" spans="1:64" x14ac:dyDescent="0.3">
      <c r="A274" s="135">
        <v>2016</v>
      </c>
      <c r="B274" s="135">
        <v>4</v>
      </c>
      <c r="C274" s="135" t="s">
        <v>2226</v>
      </c>
      <c r="D274" s="135" t="s">
        <v>352</v>
      </c>
      <c r="E274" s="135" t="s">
        <v>399</v>
      </c>
      <c r="F274" s="135" t="s">
        <v>24</v>
      </c>
      <c r="G274" s="135" t="s">
        <v>409</v>
      </c>
      <c r="H274" s="135">
        <v>7.87</v>
      </c>
      <c r="I274" s="135">
        <v>1.589</v>
      </c>
      <c r="J274" s="135">
        <v>2.9140000000000001</v>
      </c>
      <c r="K274" s="135">
        <v>0</v>
      </c>
      <c r="L274" s="135">
        <v>0</v>
      </c>
      <c r="M274" s="135">
        <v>0</v>
      </c>
      <c r="N274" s="135">
        <v>0</v>
      </c>
      <c r="O274" s="135">
        <v>0</v>
      </c>
      <c r="P274" s="135">
        <v>0</v>
      </c>
      <c r="Q274" s="135">
        <v>0</v>
      </c>
      <c r="R274" s="135">
        <v>0</v>
      </c>
      <c r="S274" s="135">
        <v>1.325</v>
      </c>
      <c r="T274" s="135">
        <v>13.032999999999999</v>
      </c>
      <c r="U274" s="135">
        <v>5.1999999999999998E-2</v>
      </c>
      <c r="V274" s="135">
        <v>1.2999999999999999E-2</v>
      </c>
      <c r="W274" s="135">
        <v>0</v>
      </c>
      <c r="X274" s="135">
        <v>0</v>
      </c>
      <c r="Y274" s="135" t="s">
        <v>1995</v>
      </c>
      <c r="Z274" s="135">
        <v>2.2000000000000002</v>
      </c>
      <c r="AA274" s="135">
        <v>3800</v>
      </c>
      <c r="AB274" s="135">
        <v>1697.3</v>
      </c>
      <c r="AC274" s="135">
        <v>0.59</v>
      </c>
      <c r="AD274" s="135">
        <v>2.9</v>
      </c>
      <c r="AE274" s="135">
        <v>5000</v>
      </c>
      <c r="AF274" s="135">
        <v>1715.7</v>
      </c>
      <c r="AG274" s="135">
        <v>0.57999999999999996</v>
      </c>
      <c r="AH274" s="135">
        <v>3</v>
      </c>
      <c r="AI274" s="135">
        <v>2500</v>
      </c>
      <c r="AJ274" s="135">
        <v>831.8</v>
      </c>
      <c r="AK274" s="135">
        <v>1.2</v>
      </c>
      <c r="AL274" s="135">
        <v>2.2999999999999998</v>
      </c>
      <c r="AM274" s="135">
        <v>4500</v>
      </c>
      <c r="AN274" s="135">
        <v>1998.4</v>
      </c>
      <c r="AO274" s="135">
        <v>0.5</v>
      </c>
      <c r="AP274" s="135"/>
      <c r="AQ274" s="135"/>
      <c r="AR274" s="135"/>
      <c r="AS274" s="135"/>
      <c r="AT274" s="135"/>
      <c r="AU274" s="135"/>
      <c r="AV274" s="135"/>
      <c r="AW274" s="135"/>
      <c r="AX274" s="135">
        <v>2.2999999999999998</v>
      </c>
      <c r="AY274" s="135">
        <v>10</v>
      </c>
      <c r="AZ274" s="135">
        <v>4.4000000000000004</v>
      </c>
      <c r="BA274" s="135">
        <v>0.23</v>
      </c>
      <c r="BB274" s="135"/>
      <c r="BC274" s="135"/>
      <c r="BD274" s="135"/>
      <c r="BE274" s="135"/>
      <c r="BF274" s="135">
        <v>3</v>
      </c>
      <c r="BG274" s="135">
        <v>5000</v>
      </c>
      <c r="BH274" s="135">
        <v>1663.6</v>
      </c>
      <c r="BI274" s="135">
        <v>0.6</v>
      </c>
      <c r="BJ274" s="135">
        <v>43</v>
      </c>
      <c r="BK274" s="135">
        <v>-8</v>
      </c>
      <c r="BL274" s="135">
        <v>25.5</v>
      </c>
    </row>
    <row r="275" spans="1:64" x14ac:dyDescent="0.3">
      <c r="A275" s="135">
        <v>2016</v>
      </c>
      <c r="B275" s="135">
        <v>4</v>
      </c>
      <c r="C275" s="135" t="s">
        <v>2583</v>
      </c>
      <c r="D275" s="135" t="s">
        <v>535</v>
      </c>
      <c r="E275" s="135" t="s">
        <v>399</v>
      </c>
      <c r="F275" s="135" t="s">
        <v>407</v>
      </c>
      <c r="G275" s="135" t="s">
        <v>404</v>
      </c>
      <c r="H275" s="135">
        <v>0.37</v>
      </c>
      <c r="I275" s="135">
        <v>1.5309999999999999</v>
      </c>
      <c r="J275" s="135">
        <v>2.5819999999999999</v>
      </c>
      <c r="K275" s="135">
        <v>0</v>
      </c>
      <c r="L275" s="135">
        <v>0</v>
      </c>
      <c r="M275" s="135">
        <v>0</v>
      </c>
      <c r="N275" s="135">
        <v>0</v>
      </c>
      <c r="O275" s="135">
        <v>0</v>
      </c>
      <c r="P275" s="135">
        <v>0</v>
      </c>
      <c r="Q275" s="135">
        <v>0</v>
      </c>
      <c r="R275" s="135">
        <v>0</v>
      </c>
      <c r="S275" s="135">
        <v>1.0509999999999999</v>
      </c>
      <c r="T275" s="135">
        <v>9.093</v>
      </c>
      <c r="U275" s="135">
        <v>0.106</v>
      </c>
      <c r="V275" s="135">
        <v>7.0000000000000001E-3</v>
      </c>
      <c r="W275" s="135">
        <v>0</v>
      </c>
      <c r="X275" s="135">
        <v>0</v>
      </c>
      <c r="Y275" s="135" t="s">
        <v>1995</v>
      </c>
      <c r="Z275" s="135">
        <v>2</v>
      </c>
      <c r="AA275" s="135">
        <v>3000</v>
      </c>
      <c r="AB275" s="135">
        <v>1463.6</v>
      </c>
      <c r="AC275" s="135">
        <v>0.68</v>
      </c>
      <c r="AD275" s="135">
        <v>2.6</v>
      </c>
      <c r="AE275" s="135">
        <v>5000</v>
      </c>
      <c r="AF275" s="135">
        <v>1936.3</v>
      </c>
      <c r="AG275" s="135">
        <v>0.52</v>
      </c>
      <c r="AH275" s="135">
        <v>2.6</v>
      </c>
      <c r="AI275" s="135">
        <v>2500</v>
      </c>
      <c r="AJ275" s="135">
        <v>945.6</v>
      </c>
      <c r="AK275" s="135">
        <v>1.06</v>
      </c>
      <c r="AL275" s="135">
        <v>2.1</v>
      </c>
      <c r="AM275" s="135">
        <v>4500</v>
      </c>
      <c r="AN275" s="135">
        <v>2187.9</v>
      </c>
      <c r="AO275" s="135">
        <v>0.46</v>
      </c>
      <c r="AP275" s="135"/>
      <c r="AQ275" s="135"/>
      <c r="AR275" s="135"/>
      <c r="AS275" s="135"/>
      <c r="AT275" s="135"/>
      <c r="AU275" s="135"/>
      <c r="AV275" s="135"/>
      <c r="AW275" s="135"/>
      <c r="AX275" s="135">
        <v>2.1</v>
      </c>
      <c r="AY275" s="135">
        <v>10</v>
      </c>
      <c r="AZ275" s="135">
        <v>4.9000000000000004</v>
      </c>
      <c r="BA275" s="135">
        <v>0.21</v>
      </c>
      <c r="BB275" s="135"/>
      <c r="BC275" s="135"/>
      <c r="BD275" s="135"/>
      <c r="BE275" s="135"/>
      <c r="BF275" s="135">
        <v>2.6</v>
      </c>
      <c r="BG275" s="135">
        <v>5000</v>
      </c>
      <c r="BH275" s="135">
        <v>1891.2</v>
      </c>
      <c r="BI275" s="135">
        <v>0.53</v>
      </c>
      <c r="BJ275" s="135">
        <v>53.5</v>
      </c>
      <c r="BK275" s="135">
        <v>-4</v>
      </c>
      <c r="BL275" s="135">
        <v>28.75</v>
      </c>
    </row>
    <row r="276" spans="1:64" x14ac:dyDescent="0.3">
      <c r="A276" s="135">
        <v>2016</v>
      </c>
      <c r="B276" s="135">
        <v>4</v>
      </c>
      <c r="C276" s="135" t="s">
        <v>2233</v>
      </c>
      <c r="D276" s="135" t="s">
        <v>374</v>
      </c>
      <c r="E276" s="135" t="s">
        <v>399</v>
      </c>
      <c r="F276" s="135" t="s">
        <v>397</v>
      </c>
      <c r="G276" s="135" t="s">
        <v>2307</v>
      </c>
      <c r="H276" s="135">
        <v>6.49</v>
      </c>
      <c r="I276" s="135">
        <v>1.41</v>
      </c>
      <c r="J276" s="135">
        <v>2.427</v>
      </c>
      <c r="K276" s="135">
        <v>0</v>
      </c>
      <c r="L276" s="135">
        <v>0</v>
      </c>
      <c r="M276" s="135">
        <v>0</v>
      </c>
      <c r="N276" s="135">
        <v>0</v>
      </c>
      <c r="O276" s="135">
        <v>0</v>
      </c>
      <c r="P276" s="135">
        <v>0</v>
      </c>
      <c r="Q276" s="135">
        <v>0</v>
      </c>
      <c r="R276" s="135">
        <v>0</v>
      </c>
      <c r="S276" s="135">
        <v>1.0169999999999999</v>
      </c>
      <c r="T276" s="135">
        <v>10.579000000000001</v>
      </c>
      <c r="U276" s="135">
        <v>6.2E-2</v>
      </c>
      <c r="V276" s="135">
        <v>0.01</v>
      </c>
      <c r="W276" s="135">
        <v>0</v>
      </c>
      <c r="X276" s="135">
        <v>0</v>
      </c>
      <c r="Y276" s="135" t="s">
        <v>1995</v>
      </c>
      <c r="Z276" s="135">
        <v>1.9</v>
      </c>
      <c r="AA276" s="135">
        <v>3200</v>
      </c>
      <c r="AB276" s="135">
        <v>1676.8</v>
      </c>
      <c r="AC276" s="135">
        <v>0.6</v>
      </c>
      <c r="AD276" s="135">
        <v>2.4</v>
      </c>
      <c r="AE276" s="135">
        <v>5000</v>
      </c>
      <c r="AF276" s="135">
        <v>2060.1999999999998</v>
      </c>
      <c r="AG276" s="135">
        <v>0.49</v>
      </c>
      <c r="AH276" s="135">
        <v>2.5</v>
      </c>
      <c r="AI276" s="135">
        <v>2500</v>
      </c>
      <c r="AJ276" s="135">
        <v>999.9</v>
      </c>
      <c r="AK276" s="135">
        <v>1</v>
      </c>
      <c r="AL276" s="135">
        <v>1.9</v>
      </c>
      <c r="AM276" s="135">
        <v>4500</v>
      </c>
      <c r="AN276" s="135">
        <v>2345.6999999999998</v>
      </c>
      <c r="AO276" s="135">
        <v>0.43</v>
      </c>
      <c r="AP276" s="135"/>
      <c r="AQ276" s="135"/>
      <c r="AR276" s="135"/>
      <c r="AS276" s="135"/>
      <c r="AT276" s="135"/>
      <c r="AU276" s="135"/>
      <c r="AV276" s="135"/>
      <c r="AW276" s="135"/>
      <c r="AX276" s="135">
        <v>1.9</v>
      </c>
      <c r="AY276" s="135">
        <v>10</v>
      </c>
      <c r="AZ276" s="135">
        <v>5.2</v>
      </c>
      <c r="BA276" s="135">
        <v>0.19</v>
      </c>
      <c r="BB276" s="135"/>
      <c r="BC276" s="135"/>
      <c r="BD276" s="135"/>
      <c r="BE276" s="135"/>
      <c r="BF276" s="135">
        <v>2.5</v>
      </c>
      <c r="BG276" s="135">
        <v>5000</v>
      </c>
      <c r="BH276" s="135">
        <v>1999.7</v>
      </c>
      <c r="BI276" s="135">
        <v>0.5</v>
      </c>
      <c r="BJ276" s="135">
        <v>47.5</v>
      </c>
      <c r="BK276" s="135">
        <v>5.5</v>
      </c>
      <c r="BL276" s="135">
        <v>21</v>
      </c>
    </row>
    <row r="277" spans="1:64" x14ac:dyDescent="0.3">
      <c r="A277" s="135">
        <v>2016</v>
      </c>
      <c r="B277" s="135">
        <v>4</v>
      </c>
      <c r="C277" s="135" t="s">
        <v>2235</v>
      </c>
      <c r="D277" s="135" t="s">
        <v>1255</v>
      </c>
      <c r="E277" s="135" t="s">
        <v>399</v>
      </c>
      <c r="F277" s="135" t="s">
        <v>46</v>
      </c>
      <c r="G277" s="135" t="s">
        <v>26</v>
      </c>
      <c r="H277" s="135">
        <v>18.64</v>
      </c>
      <c r="I277" s="135">
        <v>1.2649999999999999</v>
      </c>
      <c r="J277" s="135">
        <v>2.2210000000000001</v>
      </c>
      <c r="K277" s="135">
        <v>0</v>
      </c>
      <c r="L277" s="135">
        <v>0</v>
      </c>
      <c r="M277" s="135">
        <v>0</v>
      </c>
      <c r="N277" s="135">
        <v>0</v>
      </c>
      <c r="O277" s="135">
        <v>0</v>
      </c>
      <c r="P277" s="135">
        <v>0</v>
      </c>
      <c r="Q277" s="135">
        <v>0</v>
      </c>
      <c r="R277" s="135">
        <v>0</v>
      </c>
      <c r="S277" s="135">
        <v>0.95599999999999996</v>
      </c>
      <c r="T277" s="135">
        <v>9.0090000000000003</v>
      </c>
      <c r="U277" s="135">
        <v>6.4000000000000001E-2</v>
      </c>
      <c r="V277" s="135">
        <v>0.01</v>
      </c>
      <c r="W277" s="135">
        <v>0</v>
      </c>
      <c r="X277" s="135">
        <v>0</v>
      </c>
      <c r="Y277" s="135" t="s">
        <v>1995</v>
      </c>
      <c r="Z277" s="135">
        <v>1.7</v>
      </c>
      <c r="AA277" s="135">
        <v>3000</v>
      </c>
      <c r="AB277" s="135">
        <v>1731.2</v>
      </c>
      <c r="AC277" s="135">
        <v>0.57999999999999996</v>
      </c>
      <c r="AD277" s="135">
        <v>2.2000000000000002</v>
      </c>
      <c r="AE277" s="135">
        <v>5000</v>
      </c>
      <c r="AF277" s="135">
        <v>2251.3000000000002</v>
      </c>
      <c r="AG277" s="135">
        <v>0.44</v>
      </c>
      <c r="AH277" s="135">
        <v>2.2999999999999998</v>
      </c>
      <c r="AI277" s="135">
        <v>2500</v>
      </c>
      <c r="AJ277" s="135">
        <v>1094.0999999999999</v>
      </c>
      <c r="AK277" s="135">
        <v>0.91</v>
      </c>
      <c r="AL277" s="135">
        <v>1.7</v>
      </c>
      <c r="AM277" s="135">
        <v>4500</v>
      </c>
      <c r="AN277" s="135">
        <v>2581.9</v>
      </c>
      <c r="AO277" s="135">
        <v>0.39</v>
      </c>
      <c r="AP277" s="135"/>
      <c r="AQ277" s="135"/>
      <c r="AR277" s="135"/>
      <c r="AS277" s="135"/>
      <c r="AT277" s="135"/>
      <c r="AU277" s="135"/>
      <c r="AV277" s="135"/>
      <c r="AW277" s="135"/>
      <c r="AX277" s="135">
        <v>1.7</v>
      </c>
      <c r="AY277" s="135">
        <v>10</v>
      </c>
      <c r="AZ277" s="135">
        <v>5.7</v>
      </c>
      <c r="BA277" s="135">
        <v>0.17</v>
      </c>
      <c r="BB277" s="135"/>
      <c r="BC277" s="135"/>
      <c r="BD277" s="135"/>
      <c r="BE277" s="135"/>
      <c r="BF277" s="135">
        <v>2.2999999999999998</v>
      </c>
      <c r="BG277" s="135">
        <v>5000</v>
      </c>
      <c r="BH277" s="135">
        <v>2188.1999999999998</v>
      </c>
      <c r="BI277" s="135">
        <v>0.46</v>
      </c>
      <c r="BJ277" s="135">
        <v>46.5</v>
      </c>
      <c r="BK277" s="135">
        <v>3</v>
      </c>
      <c r="BL277" s="135">
        <v>21.75</v>
      </c>
    </row>
    <row r="278" spans="1:64" x14ac:dyDescent="0.3">
      <c r="A278" s="135">
        <v>2016</v>
      </c>
      <c r="B278" s="135">
        <v>4</v>
      </c>
      <c r="C278" s="135" t="s">
        <v>2234</v>
      </c>
      <c r="D278" s="135" t="s">
        <v>367</v>
      </c>
      <c r="E278" s="135" t="s">
        <v>399</v>
      </c>
      <c r="F278" s="135" t="s">
        <v>4</v>
      </c>
      <c r="G278" s="135" t="s">
        <v>2297</v>
      </c>
      <c r="H278" s="135">
        <v>3.55</v>
      </c>
      <c r="I278" s="135">
        <v>1.206</v>
      </c>
      <c r="J278" s="135">
        <v>2.343</v>
      </c>
      <c r="K278" s="135">
        <v>0</v>
      </c>
      <c r="L278" s="135">
        <v>0</v>
      </c>
      <c r="M278" s="135">
        <v>0</v>
      </c>
      <c r="N278" s="135">
        <v>0</v>
      </c>
      <c r="O278" s="135">
        <v>0</v>
      </c>
      <c r="P278" s="135">
        <v>0</v>
      </c>
      <c r="Q278" s="135">
        <v>0</v>
      </c>
      <c r="R278" s="135">
        <v>0</v>
      </c>
      <c r="S278" s="135">
        <v>1.137</v>
      </c>
      <c r="T278" s="135">
        <v>7.9009999999999998</v>
      </c>
      <c r="U278" s="135">
        <v>7.2999999999999995E-2</v>
      </c>
      <c r="V278" s="135">
        <v>1.0999999999999999E-2</v>
      </c>
      <c r="W278" s="135">
        <v>0</v>
      </c>
      <c r="X278" s="135">
        <v>0</v>
      </c>
      <c r="Y278" s="135" t="s">
        <v>1995</v>
      </c>
      <c r="Z278" s="135">
        <v>1.8</v>
      </c>
      <c r="AA278" s="135">
        <v>3000</v>
      </c>
      <c r="AB278" s="135">
        <v>1701.1</v>
      </c>
      <c r="AC278" s="135">
        <v>0.59</v>
      </c>
      <c r="AD278" s="135">
        <v>2.2999999999999998</v>
      </c>
      <c r="AE278" s="135">
        <v>5000</v>
      </c>
      <c r="AF278" s="135">
        <v>2133.9</v>
      </c>
      <c r="AG278" s="135">
        <v>0.47</v>
      </c>
      <c r="AH278" s="135">
        <v>2.4</v>
      </c>
      <c r="AI278" s="135">
        <v>2500</v>
      </c>
      <c r="AJ278" s="135">
        <v>1041</v>
      </c>
      <c r="AK278" s="135">
        <v>0.96</v>
      </c>
      <c r="AL278" s="135">
        <v>1.8</v>
      </c>
      <c r="AM278" s="135">
        <v>4500</v>
      </c>
      <c r="AN278" s="135">
        <v>2535.8000000000002</v>
      </c>
      <c r="AO278" s="135">
        <v>0.39</v>
      </c>
      <c r="AP278" s="135"/>
      <c r="AQ278" s="135"/>
      <c r="AR278" s="135"/>
      <c r="AS278" s="135"/>
      <c r="AT278" s="135"/>
      <c r="AU278" s="135"/>
      <c r="AV278" s="135"/>
      <c r="AW278" s="135"/>
      <c r="AX278" s="135">
        <v>1.8</v>
      </c>
      <c r="AY278" s="135">
        <v>10</v>
      </c>
      <c r="AZ278" s="135">
        <v>5.6</v>
      </c>
      <c r="BA278" s="135">
        <v>0.18</v>
      </c>
      <c r="BB278" s="135"/>
      <c r="BC278" s="135"/>
      <c r="BD278" s="135"/>
      <c r="BE278" s="135"/>
      <c r="BF278" s="135">
        <v>2.4</v>
      </c>
      <c r="BG278" s="135">
        <v>5000</v>
      </c>
      <c r="BH278" s="135">
        <v>2082</v>
      </c>
      <c r="BI278" s="135">
        <v>0.48</v>
      </c>
      <c r="BJ278" s="135">
        <v>46.5</v>
      </c>
      <c r="BK278" s="135">
        <v>3.5</v>
      </c>
      <c r="BL278" s="135">
        <v>21.5</v>
      </c>
    </row>
    <row r="279" spans="1:64" x14ac:dyDescent="0.3">
      <c r="A279" s="135">
        <v>2016</v>
      </c>
      <c r="B279" s="135">
        <v>4</v>
      </c>
      <c r="C279" s="135" t="s">
        <v>2237</v>
      </c>
      <c r="D279" s="135" t="s">
        <v>769</v>
      </c>
      <c r="E279" s="135" t="s">
        <v>399</v>
      </c>
      <c r="F279" s="135" t="s">
        <v>409</v>
      </c>
      <c r="G279" s="135" t="s">
        <v>2295</v>
      </c>
      <c r="H279" s="135">
        <v>-0.6</v>
      </c>
      <c r="I279" s="135">
        <v>1.135</v>
      </c>
      <c r="J279" s="135">
        <v>1.704</v>
      </c>
      <c r="K279" s="135">
        <v>0</v>
      </c>
      <c r="L279" s="135">
        <v>0</v>
      </c>
      <c r="M279" s="135">
        <v>0</v>
      </c>
      <c r="N279" s="135">
        <v>0</v>
      </c>
      <c r="O279" s="135">
        <v>0</v>
      </c>
      <c r="P279" s="135">
        <v>0</v>
      </c>
      <c r="Q279" s="135">
        <v>0</v>
      </c>
      <c r="R279" s="135">
        <v>0</v>
      </c>
      <c r="S279" s="135">
        <v>0.56899999999999995</v>
      </c>
      <c r="T279" s="135">
        <v>8.4120000000000008</v>
      </c>
      <c r="U279" s="135">
        <v>5.0999999999999997E-2</v>
      </c>
      <c r="V279" s="135">
        <v>6.0000000000000001E-3</v>
      </c>
      <c r="W279" s="135">
        <v>0</v>
      </c>
      <c r="X279" s="135">
        <v>0</v>
      </c>
      <c r="Y279" s="135" t="s">
        <v>1995</v>
      </c>
      <c r="Z279" s="135">
        <v>1.4</v>
      </c>
      <c r="AA279" s="135">
        <v>3500</v>
      </c>
      <c r="AB279" s="135">
        <v>2475.8000000000002</v>
      </c>
      <c r="AC279" s="135">
        <v>0.4</v>
      </c>
      <c r="AD279" s="135">
        <v>1.7</v>
      </c>
      <c r="AE279" s="135">
        <v>5000</v>
      </c>
      <c r="AF279" s="135">
        <v>2933.9</v>
      </c>
      <c r="AG279" s="135">
        <v>0.34</v>
      </c>
      <c r="AH279" s="135">
        <v>1.8</v>
      </c>
      <c r="AI279" s="135">
        <v>2500</v>
      </c>
      <c r="AJ279" s="135">
        <v>1419.9</v>
      </c>
      <c r="AK279" s="135">
        <v>0.7</v>
      </c>
      <c r="AL279" s="135">
        <v>1.4</v>
      </c>
      <c r="AM279" s="135">
        <v>4500</v>
      </c>
      <c r="AN279" s="135">
        <v>3169.7</v>
      </c>
      <c r="AO279" s="135">
        <v>0.32</v>
      </c>
      <c r="AP279" s="135"/>
      <c r="AQ279" s="135"/>
      <c r="AR279" s="135"/>
      <c r="AS279" s="135"/>
      <c r="AT279" s="135"/>
      <c r="AU279" s="135"/>
      <c r="AV279" s="135"/>
      <c r="AW279" s="135"/>
      <c r="AX279" s="135">
        <v>1.4</v>
      </c>
      <c r="AY279" s="135">
        <v>10</v>
      </c>
      <c r="AZ279" s="135">
        <v>7</v>
      </c>
      <c r="BA279" s="135">
        <v>0.14000000000000001</v>
      </c>
      <c r="BB279" s="135"/>
      <c r="BC279" s="135"/>
      <c r="BD279" s="135"/>
      <c r="BE279" s="135"/>
      <c r="BF279" s="135">
        <v>1.8</v>
      </c>
      <c r="BG279" s="135">
        <v>5000</v>
      </c>
      <c r="BH279" s="135">
        <v>2839.8</v>
      </c>
      <c r="BI279" s="135">
        <v>0.35</v>
      </c>
      <c r="BJ279" s="135">
        <v>43</v>
      </c>
      <c r="BK279" s="135">
        <v>8</v>
      </c>
      <c r="BL279" s="135">
        <v>17.5</v>
      </c>
    </row>
    <row r="280" spans="1:64" x14ac:dyDescent="0.3">
      <c r="A280" s="135">
        <v>2016</v>
      </c>
      <c r="B280" s="135">
        <v>4</v>
      </c>
      <c r="C280" s="135" t="s">
        <v>2584</v>
      </c>
      <c r="D280" s="135" t="s">
        <v>378</v>
      </c>
      <c r="E280" s="135" t="s">
        <v>399</v>
      </c>
      <c r="F280" s="135" t="s">
        <v>10</v>
      </c>
      <c r="G280" s="135" t="s">
        <v>1992</v>
      </c>
      <c r="H280" s="135">
        <v>11.8</v>
      </c>
      <c r="I280" s="135">
        <v>1.107</v>
      </c>
      <c r="J280" s="135">
        <v>1.9059999999999999</v>
      </c>
      <c r="K280" s="135">
        <v>0</v>
      </c>
      <c r="L280" s="135">
        <v>0</v>
      </c>
      <c r="M280" s="135">
        <v>0</v>
      </c>
      <c r="N280" s="135">
        <v>0</v>
      </c>
      <c r="O280" s="135">
        <v>0</v>
      </c>
      <c r="P280" s="135">
        <v>0</v>
      </c>
      <c r="Q280" s="135">
        <v>0</v>
      </c>
      <c r="R280" s="135">
        <v>0</v>
      </c>
      <c r="S280" s="135">
        <v>0.79900000000000004</v>
      </c>
      <c r="T280" s="135">
        <v>8.5079999999999991</v>
      </c>
      <c r="U280" s="135">
        <v>4.5999999999999999E-2</v>
      </c>
      <c r="V280" s="135">
        <v>0.01</v>
      </c>
      <c r="W280" s="135">
        <v>0</v>
      </c>
      <c r="X280" s="135">
        <v>0</v>
      </c>
      <c r="Y280" s="135" t="s">
        <v>1995</v>
      </c>
      <c r="Z280" s="135">
        <v>1.5</v>
      </c>
      <c r="AA280" s="135">
        <v>3000</v>
      </c>
      <c r="AB280" s="135">
        <v>2004.9</v>
      </c>
      <c r="AC280" s="135">
        <v>0.5</v>
      </c>
      <c r="AD280" s="135">
        <v>1.9</v>
      </c>
      <c r="AE280" s="135">
        <v>5000</v>
      </c>
      <c r="AF280" s="135">
        <v>2623.6</v>
      </c>
      <c r="AG280" s="135">
        <v>0.38</v>
      </c>
      <c r="AH280" s="135">
        <v>2</v>
      </c>
      <c r="AI280" s="135">
        <v>2500</v>
      </c>
      <c r="AJ280" s="135">
        <v>1271.0999999999999</v>
      </c>
      <c r="AK280" s="135">
        <v>0.79</v>
      </c>
      <c r="AL280" s="135">
        <v>1.5</v>
      </c>
      <c r="AM280" s="135">
        <v>4500</v>
      </c>
      <c r="AN280" s="135">
        <v>2987.5</v>
      </c>
      <c r="AO280" s="135">
        <v>0.33</v>
      </c>
      <c r="AP280" s="135"/>
      <c r="AQ280" s="135"/>
      <c r="AR280" s="135"/>
      <c r="AS280" s="135"/>
      <c r="AT280" s="135"/>
      <c r="AU280" s="135"/>
      <c r="AV280" s="135"/>
      <c r="AW280" s="135"/>
      <c r="AX280" s="135">
        <v>1.5</v>
      </c>
      <c r="AY280" s="135">
        <v>10</v>
      </c>
      <c r="AZ280" s="135">
        <v>6.6</v>
      </c>
      <c r="BA280" s="135">
        <v>0.15</v>
      </c>
      <c r="BB280" s="135"/>
      <c r="BC280" s="135"/>
      <c r="BD280" s="135"/>
      <c r="BE280" s="135"/>
      <c r="BF280" s="135">
        <v>2</v>
      </c>
      <c r="BG280" s="135">
        <v>5000</v>
      </c>
      <c r="BH280" s="135">
        <v>2542.1</v>
      </c>
      <c r="BI280" s="135">
        <v>0.39</v>
      </c>
      <c r="BJ280" s="135">
        <v>44</v>
      </c>
      <c r="BK280" s="135">
        <v>4.5</v>
      </c>
      <c r="BL280" s="135">
        <v>19.75</v>
      </c>
    </row>
    <row r="281" spans="1:64" x14ac:dyDescent="0.3">
      <c r="A281" s="135">
        <v>2016</v>
      </c>
      <c r="B281" s="135">
        <v>4</v>
      </c>
      <c r="C281" s="135" t="s">
        <v>2585</v>
      </c>
      <c r="D281" s="135" t="s">
        <v>531</v>
      </c>
      <c r="E281" s="135" t="s">
        <v>399</v>
      </c>
      <c r="F281" s="135" t="s">
        <v>30</v>
      </c>
      <c r="G281" s="135" t="s">
        <v>2302</v>
      </c>
      <c r="H281" s="135">
        <v>-2.06</v>
      </c>
      <c r="I281" s="135">
        <v>1.079</v>
      </c>
      <c r="J281" s="135">
        <v>1.9670000000000001</v>
      </c>
      <c r="K281" s="135">
        <v>0</v>
      </c>
      <c r="L281" s="135">
        <v>0</v>
      </c>
      <c r="M281" s="135">
        <v>0</v>
      </c>
      <c r="N281" s="135">
        <v>0</v>
      </c>
      <c r="O281" s="135">
        <v>0</v>
      </c>
      <c r="P281" s="135">
        <v>0</v>
      </c>
      <c r="Q281" s="135">
        <v>0</v>
      </c>
      <c r="R281" s="135">
        <v>0</v>
      </c>
      <c r="S281" s="135">
        <v>0.88800000000000001</v>
      </c>
      <c r="T281" s="135">
        <v>10.372999999999999</v>
      </c>
      <c r="U281" s="135">
        <v>0.01</v>
      </c>
      <c r="V281" s="135">
        <v>8.9999999999999993E-3</v>
      </c>
      <c r="W281" s="135">
        <v>0</v>
      </c>
      <c r="X281" s="135">
        <v>0</v>
      </c>
      <c r="Y281" s="135" t="s">
        <v>1995</v>
      </c>
      <c r="Z281" s="135">
        <v>1.5</v>
      </c>
      <c r="AA281" s="135">
        <v>3000</v>
      </c>
      <c r="AB281" s="135">
        <v>1981.1</v>
      </c>
      <c r="AC281" s="135">
        <v>0.5</v>
      </c>
      <c r="AD281" s="135">
        <v>2</v>
      </c>
      <c r="AE281" s="135">
        <v>5150</v>
      </c>
      <c r="AF281" s="135">
        <v>2617.8000000000002</v>
      </c>
      <c r="AG281" s="135">
        <v>0.38</v>
      </c>
      <c r="AH281" s="135">
        <v>2</v>
      </c>
      <c r="AI281" s="135">
        <v>2600</v>
      </c>
      <c r="AJ281" s="135">
        <v>1275.4000000000001</v>
      </c>
      <c r="AK281" s="135">
        <v>0.78</v>
      </c>
      <c r="AL281" s="135">
        <v>1.5</v>
      </c>
      <c r="AM281" s="135">
        <v>4600</v>
      </c>
      <c r="AN281" s="135">
        <v>3019.8</v>
      </c>
      <c r="AO281" s="135">
        <v>0.33</v>
      </c>
      <c r="AP281" s="135"/>
      <c r="AQ281" s="135"/>
      <c r="AR281" s="135"/>
      <c r="AS281" s="135"/>
      <c r="AT281" s="135"/>
      <c r="AU281" s="135"/>
      <c r="AV281" s="135"/>
      <c r="AW281" s="135"/>
      <c r="AX281" s="135">
        <v>1.5</v>
      </c>
      <c r="AY281" s="135">
        <v>11</v>
      </c>
      <c r="AZ281" s="135">
        <v>7.2</v>
      </c>
      <c r="BA281" s="135">
        <v>0.14000000000000001</v>
      </c>
      <c r="BB281" s="135"/>
      <c r="BC281" s="135"/>
      <c r="BD281" s="135"/>
      <c r="BE281" s="135"/>
      <c r="BF281" s="135">
        <v>2</v>
      </c>
      <c r="BG281" s="135">
        <v>5000</v>
      </c>
      <c r="BH281" s="135">
        <v>2452.6999999999998</v>
      </c>
      <c r="BI281" s="135">
        <v>0.41</v>
      </c>
      <c r="BJ281" s="135">
        <v>40.5</v>
      </c>
      <c r="BK281" s="135">
        <v>6.5</v>
      </c>
      <c r="BL281" s="135">
        <v>17</v>
      </c>
    </row>
    <row r="282" spans="1:64" x14ac:dyDescent="0.3">
      <c r="A282" s="135">
        <v>2016</v>
      </c>
      <c r="B282" s="135">
        <v>4</v>
      </c>
      <c r="C282" s="135" t="s">
        <v>2239</v>
      </c>
      <c r="D282" s="135" t="s">
        <v>351</v>
      </c>
      <c r="E282" s="135" t="s">
        <v>399</v>
      </c>
      <c r="F282" s="135" t="s">
        <v>7</v>
      </c>
      <c r="G282" s="135" t="s">
        <v>2305</v>
      </c>
      <c r="H282" s="135">
        <v>11.35</v>
      </c>
      <c r="I282" s="135">
        <v>0.91100000000000003</v>
      </c>
      <c r="J282" s="135">
        <v>1.9</v>
      </c>
      <c r="K282" s="135">
        <v>0</v>
      </c>
      <c r="L282" s="135">
        <v>0</v>
      </c>
      <c r="M282" s="135">
        <v>0</v>
      </c>
      <c r="N282" s="135">
        <v>0</v>
      </c>
      <c r="O282" s="135">
        <v>0</v>
      </c>
      <c r="P282" s="135">
        <v>0</v>
      </c>
      <c r="Q282" s="135">
        <v>0</v>
      </c>
      <c r="R282" s="135">
        <v>0</v>
      </c>
      <c r="S282" s="135">
        <v>0.98899999999999999</v>
      </c>
      <c r="T282" s="135">
        <v>8.4879999999999995</v>
      </c>
      <c r="U282" s="135">
        <v>1.4E-2</v>
      </c>
      <c r="V282" s="135">
        <v>1.0999999999999999E-2</v>
      </c>
      <c r="W282" s="135">
        <v>0</v>
      </c>
      <c r="X282" s="135">
        <v>0</v>
      </c>
      <c r="Y282" s="135" t="s">
        <v>1995</v>
      </c>
      <c r="Z282" s="135">
        <v>1.4</v>
      </c>
      <c r="AA282" s="135">
        <v>3700</v>
      </c>
      <c r="AB282" s="135">
        <v>2653.7</v>
      </c>
      <c r="AC282" s="135">
        <v>0.38</v>
      </c>
      <c r="AD282" s="135">
        <v>1.9</v>
      </c>
      <c r="AE282" s="135">
        <v>5000</v>
      </c>
      <c r="AF282" s="135">
        <v>2631.9</v>
      </c>
      <c r="AG282" s="135">
        <v>0.38</v>
      </c>
      <c r="AH282" s="135">
        <v>2</v>
      </c>
      <c r="AI282" s="135">
        <v>2500</v>
      </c>
      <c r="AJ282" s="135">
        <v>1274.4000000000001</v>
      </c>
      <c r="AK282" s="135">
        <v>0.78</v>
      </c>
      <c r="AL282" s="135">
        <v>1.4</v>
      </c>
      <c r="AM282" s="135">
        <v>4500</v>
      </c>
      <c r="AN282" s="135">
        <v>3202.2</v>
      </c>
      <c r="AO282" s="135">
        <v>0.31</v>
      </c>
      <c r="AP282" s="135"/>
      <c r="AQ282" s="135"/>
      <c r="AR282" s="135"/>
      <c r="AS282" s="135"/>
      <c r="AT282" s="135"/>
      <c r="AU282" s="135"/>
      <c r="AV282" s="135"/>
      <c r="AW282" s="135"/>
      <c r="AX282" s="135">
        <v>1.4</v>
      </c>
      <c r="AY282" s="135">
        <v>10</v>
      </c>
      <c r="AZ282" s="135">
        <v>7.1</v>
      </c>
      <c r="BA282" s="135">
        <v>0.14000000000000001</v>
      </c>
      <c r="BB282" s="135"/>
      <c r="BC282" s="135"/>
      <c r="BD282" s="135"/>
      <c r="BE282" s="135"/>
      <c r="BF282" s="135">
        <v>2</v>
      </c>
      <c r="BG282" s="135">
        <v>5000</v>
      </c>
      <c r="BH282" s="135">
        <v>2548.8000000000002</v>
      </c>
      <c r="BI282" s="135">
        <v>0.39</v>
      </c>
      <c r="BJ282" s="135">
        <v>40.5</v>
      </c>
      <c r="BK282" s="135">
        <v>-1.5</v>
      </c>
      <c r="BL282" s="135">
        <v>21</v>
      </c>
    </row>
    <row r="283" spans="1:64" x14ac:dyDescent="0.3">
      <c r="A283" s="135">
        <v>2016</v>
      </c>
      <c r="B283" s="135">
        <v>4</v>
      </c>
      <c r="C283" s="135" t="s">
        <v>2244</v>
      </c>
      <c r="D283" s="135" t="s">
        <v>1254</v>
      </c>
      <c r="E283" s="135" t="s">
        <v>399</v>
      </c>
      <c r="F283" s="135" t="s">
        <v>18</v>
      </c>
      <c r="G283" s="135" t="s">
        <v>14</v>
      </c>
      <c r="H283" s="135">
        <v>8.52</v>
      </c>
      <c r="I283" s="135">
        <v>0.80600000000000005</v>
      </c>
      <c r="J283" s="135">
        <v>1.171</v>
      </c>
      <c r="K283" s="135">
        <v>0</v>
      </c>
      <c r="L283" s="135">
        <v>0</v>
      </c>
      <c r="M283" s="135">
        <v>0</v>
      </c>
      <c r="N283" s="135">
        <v>0</v>
      </c>
      <c r="O283" s="135">
        <v>0</v>
      </c>
      <c r="P283" s="135">
        <v>0</v>
      </c>
      <c r="Q283" s="135">
        <v>0</v>
      </c>
      <c r="R283" s="135">
        <v>0</v>
      </c>
      <c r="S283" s="135">
        <v>0.36499999999999999</v>
      </c>
      <c r="T283" s="135">
        <v>5.782</v>
      </c>
      <c r="U283" s="135">
        <v>3.9E-2</v>
      </c>
      <c r="V283" s="135">
        <v>3.0000000000000001E-3</v>
      </c>
      <c r="W283" s="135">
        <v>0</v>
      </c>
      <c r="X283" s="135">
        <v>0</v>
      </c>
      <c r="Y283" s="135" t="s">
        <v>1995</v>
      </c>
      <c r="Z283" s="135">
        <v>1</v>
      </c>
      <c r="AA283" s="135">
        <v>3000</v>
      </c>
      <c r="AB283" s="135">
        <v>3043.5</v>
      </c>
      <c r="AC283" s="135">
        <v>0.33</v>
      </c>
      <c r="AD283" s="135">
        <v>1.2</v>
      </c>
      <c r="AE283" s="135">
        <v>5000</v>
      </c>
      <c r="AF283" s="135">
        <v>4269.1000000000004</v>
      </c>
      <c r="AG283" s="135">
        <v>0.23</v>
      </c>
      <c r="AH283" s="135">
        <v>1.2</v>
      </c>
      <c r="AI283" s="135">
        <v>2500</v>
      </c>
      <c r="AJ283" s="135">
        <v>2068</v>
      </c>
      <c r="AK283" s="135">
        <v>0.48</v>
      </c>
      <c r="AL283" s="135">
        <v>1</v>
      </c>
      <c r="AM283" s="135">
        <v>4500</v>
      </c>
      <c r="AN283" s="135">
        <v>4551.3999999999996</v>
      </c>
      <c r="AO283" s="135">
        <v>0.22</v>
      </c>
      <c r="AP283" s="135"/>
      <c r="AQ283" s="135"/>
      <c r="AR283" s="135"/>
      <c r="AS283" s="135"/>
      <c r="AT283" s="135"/>
      <c r="AU283" s="135"/>
      <c r="AV283" s="135"/>
      <c r="AW283" s="135"/>
      <c r="AX283" s="135">
        <v>1</v>
      </c>
      <c r="AY283" s="135">
        <v>10</v>
      </c>
      <c r="AZ283" s="135">
        <v>10.1</v>
      </c>
      <c r="BA283" s="135">
        <v>0.1</v>
      </c>
      <c r="BB283" s="135"/>
      <c r="BC283" s="135"/>
      <c r="BD283" s="135"/>
      <c r="BE283" s="135"/>
      <c r="BF283" s="135">
        <v>1.2</v>
      </c>
      <c r="BG283" s="135">
        <v>5000</v>
      </c>
      <c r="BH283" s="135">
        <v>4136</v>
      </c>
      <c r="BI283" s="135">
        <v>0.24</v>
      </c>
      <c r="BJ283" s="135">
        <v>45.5</v>
      </c>
      <c r="BK283" s="135">
        <v>-8</v>
      </c>
      <c r="BL283" s="135">
        <v>26.75</v>
      </c>
    </row>
    <row r="284" spans="1:64" x14ac:dyDescent="0.3">
      <c r="A284" s="135">
        <v>2016</v>
      </c>
      <c r="B284" s="135">
        <v>4</v>
      </c>
      <c r="C284" s="135" t="s">
        <v>2243</v>
      </c>
      <c r="D284" s="135" t="s">
        <v>557</v>
      </c>
      <c r="E284" s="135" t="s">
        <v>399</v>
      </c>
      <c r="F284" s="135" t="s">
        <v>26</v>
      </c>
      <c r="G284" s="135" t="s">
        <v>2298</v>
      </c>
      <c r="H284" s="135">
        <v>6.82</v>
      </c>
      <c r="I284" s="135">
        <v>0.77800000000000002</v>
      </c>
      <c r="J284" s="135">
        <v>1.2669999999999999</v>
      </c>
      <c r="K284" s="135">
        <v>0</v>
      </c>
      <c r="L284" s="135">
        <v>0</v>
      </c>
      <c r="M284" s="135">
        <v>0</v>
      </c>
      <c r="N284" s="135">
        <v>0</v>
      </c>
      <c r="O284" s="135">
        <v>0</v>
      </c>
      <c r="P284" s="135">
        <v>0</v>
      </c>
      <c r="Q284" s="135">
        <v>0</v>
      </c>
      <c r="R284" s="135">
        <v>0</v>
      </c>
      <c r="S284" s="135">
        <v>0.48899999999999999</v>
      </c>
      <c r="T284" s="135">
        <v>5.6150000000000002</v>
      </c>
      <c r="U284" s="135">
        <v>3.6999999999999998E-2</v>
      </c>
      <c r="V284" s="135">
        <v>3.0000000000000001E-3</v>
      </c>
      <c r="W284" s="135">
        <v>0</v>
      </c>
      <c r="X284" s="135">
        <v>0</v>
      </c>
      <c r="Y284" s="135" t="s">
        <v>1995</v>
      </c>
      <c r="Z284" s="135">
        <v>1</v>
      </c>
      <c r="AA284" s="135">
        <v>3000</v>
      </c>
      <c r="AB284" s="135">
        <v>2944.1</v>
      </c>
      <c r="AC284" s="135">
        <v>0.34</v>
      </c>
      <c r="AD284" s="135">
        <v>1.3</v>
      </c>
      <c r="AE284" s="135">
        <v>5000</v>
      </c>
      <c r="AF284" s="135">
        <v>3947.9</v>
      </c>
      <c r="AG284" s="135">
        <v>0.25</v>
      </c>
      <c r="AH284" s="135">
        <v>1.3</v>
      </c>
      <c r="AI284" s="135">
        <v>2500</v>
      </c>
      <c r="AJ284" s="135">
        <v>1918.4</v>
      </c>
      <c r="AK284" s="135">
        <v>0.52</v>
      </c>
      <c r="AL284" s="135">
        <v>1</v>
      </c>
      <c r="AM284" s="135">
        <v>4500</v>
      </c>
      <c r="AN284" s="135">
        <v>4403.1000000000004</v>
      </c>
      <c r="AO284" s="135">
        <v>0.23</v>
      </c>
      <c r="AP284" s="135"/>
      <c r="AQ284" s="135"/>
      <c r="AR284" s="135"/>
      <c r="AS284" s="135"/>
      <c r="AT284" s="135"/>
      <c r="AU284" s="135"/>
      <c r="AV284" s="135"/>
      <c r="AW284" s="135"/>
      <c r="AX284" s="135">
        <v>1</v>
      </c>
      <c r="AY284" s="135">
        <v>10</v>
      </c>
      <c r="AZ284" s="135">
        <v>9.8000000000000007</v>
      </c>
      <c r="BA284" s="135">
        <v>0.1</v>
      </c>
      <c r="BB284" s="135"/>
      <c r="BC284" s="135"/>
      <c r="BD284" s="135"/>
      <c r="BE284" s="135"/>
      <c r="BF284" s="135">
        <v>1.3</v>
      </c>
      <c r="BG284" s="135">
        <v>5000</v>
      </c>
      <c r="BH284" s="135">
        <v>3836.7</v>
      </c>
      <c r="BI284" s="135">
        <v>0.26</v>
      </c>
      <c r="BJ284" s="135">
        <v>46.5</v>
      </c>
      <c r="BK284" s="135">
        <v>-3</v>
      </c>
      <c r="BL284" s="135">
        <v>24.75</v>
      </c>
    </row>
    <row r="285" spans="1:64" x14ac:dyDescent="0.3">
      <c r="A285" s="135">
        <v>2016</v>
      </c>
      <c r="B285" s="135">
        <v>4</v>
      </c>
      <c r="C285" s="135" t="s">
        <v>2240</v>
      </c>
      <c r="D285" s="135" t="s">
        <v>353</v>
      </c>
      <c r="E285" s="135" t="s">
        <v>399</v>
      </c>
      <c r="F285" s="135" t="s">
        <v>22</v>
      </c>
      <c r="G285" s="135" t="s">
        <v>2296</v>
      </c>
      <c r="H285" s="135">
        <v>18.57</v>
      </c>
      <c r="I285" s="135">
        <v>0.65900000000000003</v>
      </c>
      <c r="J285" s="135">
        <v>1.139</v>
      </c>
      <c r="K285" s="135">
        <v>0</v>
      </c>
      <c r="L285" s="135">
        <v>0</v>
      </c>
      <c r="M285" s="135">
        <v>0</v>
      </c>
      <c r="N285" s="135">
        <v>0</v>
      </c>
      <c r="O285" s="135">
        <v>0</v>
      </c>
      <c r="P285" s="135">
        <v>0</v>
      </c>
      <c r="Q285" s="135">
        <v>0</v>
      </c>
      <c r="R285" s="135">
        <v>0</v>
      </c>
      <c r="S285" s="135">
        <v>0.48</v>
      </c>
      <c r="T285" s="135">
        <v>5.5330000000000004</v>
      </c>
      <c r="U285" s="135">
        <v>1.9E-2</v>
      </c>
      <c r="V285" s="135">
        <v>4.0000000000000001E-3</v>
      </c>
      <c r="W285" s="135">
        <v>0</v>
      </c>
      <c r="X285" s="135">
        <v>0</v>
      </c>
      <c r="Y285" s="135" t="s">
        <v>1995</v>
      </c>
      <c r="Z285" s="135">
        <v>0.9</v>
      </c>
      <c r="AA285" s="135">
        <v>3000</v>
      </c>
      <c r="AB285" s="135">
        <v>3350.8</v>
      </c>
      <c r="AC285" s="135">
        <v>0.3</v>
      </c>
      <c r="AD285" s="135">
        <v>1.1000000000000001</v>
      </c>
      <c r="AE285" s="135">
        <v>5000</v>
      </c>
      <c r="AF285" s="135">
        <v>4388.7</v>
      </c>
      <c r="AG285" s="135">
        <v>0.23</v>
      </c>
      <c r="AH285" s="135">
        <v>1.2</v>
      </c>
      <c r="AI285" s="135">
        <v>2500</v>
      </c>
      <c r="AJ285" s="135">
        <v>2125</v>
      </c>
      <c r="AK285" s="135">
        <v>0.47</v>
      </c>
      <c r="AL285" s="135">
        <v>0.9</v>
      </c>
      <c r="AM285" s="135">
        <v>4500</v>
      </c>
      <c r="AN285" s="135">
        <v>5003.8999999999996</v>
      </c>
      <c r="AO285" s="135">
        <v>0.2</v>
      </c>
      <c r="AP285" s="135"/>
      <c r="AQ285" s="135"/>
      <c r="AR285" s="135"/>
      <c r="AS285" s="135"/>
      <c r="AT285" s="135"/>
      <c r="AU285" s="135"/>
      <c r="AV285" s="135"/>
      <c r="AW285" s="135"/>
      <c r="AX285" s="135">
        <v>0.9</v>
      </c>
      <c r="AY285" s="135">
        <v>10</v>
      </c>
      <c r="AZ285" s="135">
        <v>11.1</v>
      </c>
      <c r="BA285" s="135">
        <v>0.09</v>
      </c>
      <c r="BB285" s="135"/>
      <c r="BC285" s="135"/>
      <c r="BD285" s="135"/>
      <c r="BE285" s="135"/>
      <c r="BF285" s="135">
        <v>1.2</v>
      </c>
      <c r="BG285" s="135">
        <v>5000</v>
      </c>
      <c r="BH285" s="135">
        <v>4249.8999999999996</v>
      </c>
      <c r="BI285" s="135">
        <v>0.24</v>
      </c>
      <c r="BJ285" s="135">
        <v>50</v>
      </c>
      <c r="BK285" s="135">
        <v>-3</v>
      </c>
      <c r="BL285" s="135">
        <v>26.5</v>
      </c>
    </row>
    <row r="286" spans="1:64" x14ac:dyDescent="0.3">
      <c r="A286" s="135">
        <v>2016</v>
      </c>
      <c r="B286" s="135">
        <v>4</v>
      </c>
      <c r="C286" s="135" t="s">
        <v>2247</v>
      </c>
      <c r="D286" s="135" t="s">
        <v>359</v>
      </c>
      <c r="E286" s="135" t="s">
        <v>399</v>
      </c>
      <c r="F286" s="135" t="s">
        <v>43</v>
      </c>
      <c r="G286" s="135" t="s">
        <v>30</v>
      </c>
      <c r="H286" s="135">
        <v>2.35</v>
      </c>
      <c r="I286" s="135">
        <v>0.65800000000000003</v>
      </c>
      <c r="J286" s="135">
        <v>1.234</v>
      </c>
      <c r="K286" s="135">
        <v>0</v>
      </c>
      <c r="L286" s="135">
        <v>0</v>
      </c>
      <c r="M286" s="135">
        <v>0</v>
      </c>
      <c r="N286" s="135">
        <v>0</v>
      </c>
      <c r="O286" s="135">
        <v>0</v>
      </c>
      <c r="P286" s="135">
        <v>0</v>
      </c>
      <c r="Q286" s="135">
        <v>0</v>
      </c>
      <c r="R286" s="135">
        <v>0</v>
      </c>
      <c r="S286" s="135">
        <v>0.57599999999999996</v>
      </c>
      <c r="T286" s="135">
        <v>4.9420000000000002</v>
      </c>
      <c r="U286" s="135">
        <v>2.9000000000000001E-2</v>
      </c>
      <c r="V286" s="135">
        <v>5.0000000000000001E-3</v>
      </c>
      <c r="W286" s="135">
        <v>0</v>
      </c>
      <c r="X286" s="135">
        <v>0</v>
      </c>
      <c r="Y286" s="135" t="s">
        <v>1995</v>
      </c>
      <c r="Z286" s="135">
        <v>0.9</v>
      </c>
      <c r="AA286" s="135">
        <v>3200</v>
      </c>
      <c r="AB286" s="135">
        <v>3399.9</v>
      </c>
      <c r="AC286" s="135">
        <v>0.28999999999999998</v>
      </c>
      <c r="AD286" s="135">
        <v>1.2</v>
      </c>
      <c r="AE286" s="135">
        <v>5000</v>
      </c>
      <c r="AF286" s="135">
        <v>4051.2</v>
      </c>
      <c r="AG286" s="135">
        <v>0.25</v>
      </c>
      <c r="AH286" s="135">
        <v>1.3</v>
      </c>
      <c r="AI286" s="135">
        <v>2500</v>
      </c>
      <c r="AJ286" s="135">
        <v>1970.3</v>
      </c>
      <c r="AK286" s="135">
        <v>0.51</v>
      </c>
      <c r="AL286" s="135">
        <v>0.9</v>
      </c>
      <c r="AM286" s="135">
        <v>4500</v>
      </c>
      <c r="AN286" s="135">
        <v>4755.8999999999996</v>
      </c>
      <c r="AO286" s="135">
        <v>0.21</v>
      </c>
      <c r="AP286" s="135"/>
      <c r="AQ286" s="135"/>
      <c r="AR286" s="135"/>
      <c r="AS286" s="135"/>
      <c r="AT286" s="135"/>
      <c r="AU286" s="135"/>
      <c r="AV286" s="135"/>
      <c r="AW286" s="135"/>
      <c r="AX286" s="135">
        <v>0.9</v>
      </c>
      <c r="AY286" s="135">
        <v>10</v>
      </c>
      <c r="AZ286" s="135">
        <v>10.6</v>
      </c>
      <c r="BA286" s="135">
        <v>0.09</v>
      </c>
      <c r="BB286" s="135"/>
      <c r="BC286" s="135"/>
      <c r="BD286" s="135"/>
      <c r="BE286" s="135"/>
      <c r="BF286" s="135">
        <v>1.3</v>
      </c>
      <c r="BG286" s="135">
        <v>5000</v>
      </c>
      <c r="BH286" s="135">
        <v>3940.6</v>
      </c>
      <c r="BI286" s="135">
        <v>0.25</v>
      </c>
      <c r="BJ286" s="135">
        <v>40.5</v>
      </c>
      <c r="BK286" s="135">
        <v>-6.5</v>
      </c>
      <c r="BL286" s="135">
        <v>23.5</v>
      </c>
    </row>
    <row r="287" spans="1:64" x14ac:dyDescent="0.3">
      <c r="A287" s="135">
        <v>2016</v>
      </c>
      <c r="B287" s="135">
        <v>4</v>
      </c>
      <c r="C287" s="135" t="s">
        <v>2246</v>
      </c>
      <c r="D287" s="135" t="s">
        <v>360</v>
      </c>
      <c r="E287" s="135" t="s">
        <v>399</v>
      </c>
      <c r="F287" s="135" t="s">
        <v>41</v>
      </c>
      <c r="G287" s="135" t="s">
        <v>37</v>
      </c>
      <c r="H287" s="135">
        <v>4.62</v>
      </c>
      <c r="I287" s="135">
        <v>0.65400000000000003</v>
      </c>
      <c r="J287" s="135">
        <v>1.1040000000000001</v>
      </c>
      <c r="K287" s="135">
        <v>0</v>
      </c>
      <c r="L287" s="135">
        <v>0</v>
      </c>
      <c r="M287" s="135">
        <v>0</v>
      </c>
      <c r="N287" s="135">
        <v>0</v>
      </c>
      <c r="O287" s="135">
        <v>0</v>
      </c>
      <c r="P287" s="135">
        <v>0</v>
      </c>
      <c r="Q287" s="135">
        <v>0</v>
      </c>
      <c r="R287" s="135">
        <v>0</v>
      </c>
      <c r="S287" s="135">
        <v>0.45</v>
      </c>
      <c r="T287" s="135">
        <v>5.1210000000000004</v>
      </c>
      <c r="U287" s="135">
        <v>2.5000000000000001E-2</v>
      </c>
      <c r="V287" s="135">
        <v>4.0000000000000001E-3</v>
      </c>
      <c r="W287" s="135">
        <v>0</v>
      </c>
      <c r="X287" s="135">
        <v>0</v>
      </c>
      <c r="Y287" s="135" t="s">
        <v>1995</v>
      </c>
      <c r="Z287" s="135">
        <v>0.9</v>
      </c>
      <c r="AA287" s="135">
        <v>3000</v>
      </c>
      <c r="AB287" s="135">
        <v>3428.2</v>
      </c>
      <c r="AC287" s="135">
        <v>0.28999999999999998</v>
      </c>
      <c r="AD287" s="135">
        <v>1.1000000000000001</v>
      </c>
      <c r="AE287" s="135">
        <v>5000</v>
      </c>
      <c r="AF287" s="135">
        <v>4528.6000000000004</v>
      </c>
      <c r="AG287" s="135">
        <v>0.22</v>
      </c>
      <c r="AH287" s="135">
        <v>1.1000000000000001</v>
      </c>
      <c r="AI287" s="135">
        <v>2500</v>
      </c>
      <c r="AJ287" s="135">
        <v>2195.1999999999998</v>
      </c>
      <c r="AK287" s="135">
        <v>0.46</v>
      </c>
      <c r="AL287" s="135">
        <v>0.9</v>
      </c>
      <c r="AM287" s="135">
        <v>4500</v>
      </c>
      <c r="AN287" s="135">
        <v>5118.8999999999996</v>
      </c>
      <c r="AO287" s="135">
        <v>0.2</v>
      </c>
      <c r="AP287" s="135"/>
      <c r="AQ287" s="135"/>
      <c r="AR287" s="135"/>
      <c r="AS287" s="135"/>
      <c r="AT287" s="135"/>
      <c r="AU287" s="135"/>
      <c r="AV287" s="135"/>
      <c r="AW287" s="135"/>
      <c r="AX287" s="135">
        <v>0.9</v>
      </c>
      <c r="AY287" s="135">
        <v>10</v>
      </c>
      <c r="AZ287" s="135">
        <v>11.4</v>
      </c>
      <c r="BA287" s="135">
        <v>0.09</v>
      </c>
      <c r="BB287" s="135"/>
      <c r="BC287" s="135"/>
      <c r="BD287" s="135"/>
      <c r="BE287" s="135"/>
      <c r="BF287" s="135">
        <v>1.1000000000000001</v>
      </c>
      <c r="BG287" s="135">
        <v>5000</v>
      </c>
      <c r="BH287" s="135">
        <v>4390.5</v>
      </c>
      <c r="BI287" s="135">
        <v>0.23</v>
      </c>
      <c r="BJ287" s="135">
        <v>43.5</v>
      </c>
      <c r="BK287" s="135">
        <v>-4</v>
      </c>
      <c r="BL287" s="135">
        <v>23.75</v>
      </c>
    </row>
    <row r="288" spans="1:64" x14ac:dyDescent="0.3">
      <c r="A288" s="135">
        <v>2016</v>
      </c>
      <c r="B288" s="135">
        <v>4</v>
      </c>
      <c r="C288" s="135" t="s">
        <v>2249</v>
      </c>
      <c r="D288" s="135" t="s">
        <v>356</v>
      </c>
      <c r="E288" s="135" t="s">
        <v>399</v>
      </c>
      <c r="F288" s="135" t="s">
        <v>398</v>
      </c>
      <c r="G288" s="135" t="s">
        <v>52</v>
      </c>
      <c r="H288" s="135">
        <v>17.34</v>
      </c>
      <c r="I288" s="135">
        <v>0.56599999999999995</v>
      </c>
      <c r="J288" s="135">
        <v>0.96199999999999997</v>
      </c>
      <c r="K288" s="135">
        <v>0</v>
      </c>
      <c r="L288" s="135">
        <v>0</v>
      </c>
      <c r="M288" s="135">
        <v>0</v>
      </c>
      <c r="N288" s="135">
        <v>0</v>
      </c>
      <c r="O288" s="135">
        <v>0</v>
      </c>
      <c r="P288" s="135">
        <v>0</v>
      </c>
      <c r="Q288" s="135">
        <v>0</v>
      </c>
      <c r="R288" s="135">
        <v>0</v>
      </c>
      <c r="S288" s="135">
        <v>0.39600000000000002</v>
      </c>
      <c r="T288" s="135">
        <v>4.1219999999999999</v>
      </c>
      <c r="U288" s="135">
        <v>2.7E-2</v>
      </c>
      <c r="V288" s="135">
        <v>4.0000000000000001E-3</v>
      </c>
      <c r="W288" s="135">
        <v>0</v>
      </c>
      <c r="X288" s="135">
        <v>0</v>
      </c>
      <c r="Y288" s="135" t="s">
        <v>1995</v>
      </c>
      <c r="Z288" s="135">
        <v>0.8</v>
      </c>
      <c r="AA288" s="135">
        <v>3000</v>
      </c>
      <c r="AB288" s="135">
        <v>3946.3</v>
      </c>
      <c r="AC288" s="135">
        <v>0.25</v>
      </c>
      <c r="AD288" s="135">
        <v>1</v>
      </c>
      <c r="AE288" s="135">
        <v>5000</v>
      </c>
      <c r="AF288" s="135">
        <v>5196.3999999999996</v>
      </c>
      <c r="AG288" s="135">
        <v>0.19</v>
      </c>
      <c r="AH288" s="135">
        <v>1</v>
      </c>
      <c r="AI288" s="135">
        <v>2500</v>
      </c>
      <c r="AJ288" s="135">
        <v>2522.9</v>
      </c>
      <c r="AK288" s="135">
        <v>0.4</v>
      </c>
      <c r="AL288" s="135">
        <v>0.8</v>
      </c>
      <c r="AM288" s="135">
        <v>4500</v>
      </c>
      <c r="AN288" s="135">
        <v>5888.5</v>
      </c>
      <c r="AO288" s="135">
        <v>0.17</v>
      </c>
      <c r="AP288" s="135"/>
      <c r="AQ288" s="135"/>
      <c r="AR288" s="135"/>
      <c r="AS288" s="135"/>
      <c r="AT288" s="135"/>
      <c r="AU288" s="135"/>
      <c r="AV288" s="135"/>
      <c r="AW288" s="135"/>
      <c r="AX288" s="135">
        <v>0.8</v>
      </c>
      <c r="AY288" s="135">
        <v>10</v>
      </c>
      <c r="AZ288" s="135">
        <v>13.1</v>
      </c>
      <c r="BA288" s="135">
        <v>0.08</v>
      </c>
      <c r="BB288" s="135"/>
      <c r="BC288" s="135"/>
      <c r="BD288" s="135"/>
      <c r="BE288" s="135"/>
      <c r="BF288" s="135">
        <v>1</v>
      </c>
      <c r="BG288" s="135">
        <v>5000</v>
      </c>
      <c r="BH288" s="135">
        <v>5045.8</v>
      </c>
      <c r="BI288" s="135">
        <v>0.2</v>
      </c>
      <c r="BJ288" s="135">
        <v>46</v>
      </c>
      <c r="BK288" s="135">
        <v>3</v>
      </c>
      <c r="BL288" s="135">
        <v>21.5</v>
      </c>
    </row>
    <row r="289" spans="1:64" x14ac:dyDescent="0.3">
      <c r="A289" s="135">
        <v>2016</v>
      </c>
      <c r="B289" s="135">
        <v>4</v>
      </c>
      <c r="C289" s="135" t="s">
        <v>2252</v>
      </c>
      <c r="D289" s="135" t="s">
        <v>358</v>
      </c>
      <c r="E289" s="135" t="s">
        <v>399</v>
      </c>
      <c r="F289" s="135" t="s">
        <v>401</v>
      </c>
      <c r="G289" s="135" t="s">
        <v>70</v>
      </c>
      <c r="H289" s="135">
        <v>0.44</v>
      </c>
      <c r="I289" s="135">
        <v>0.49399999999999999</v>
      </c>
      <c r="J289" s="135">
        <v>1.1839999999999999</v>
      </c>
      <c r="K289" s="135">
        <v>0</v>
      </c>
      <c r="L289" s="135">
        <v>0</v>
      </c>
      <c r="M289" s="135">
        <v>0</v>
      </c>
      <c r="N289" s="135">
        <v>0</v>
      </c>
      <c r="O289" s="135">
        <v>0</v>
      </c>
      <c r="P289" s="135">
        <v>0</v>
      </c>
      <c r="Q289" s="135">
        <v>0</v>
      </c>
      <c r="R289" s="135">
        <v>0</v>
      </c>
      <c r="S289" s="135">
        <v>0.69</v>
      </c>
      <c r="T289" s="135">
        <v>5.0839999999999996</v>
      </c>
      <c r="U289" s="135">
        <v>0</v>
      </c>
      <c r="V289" s="135">
        <v>7.0000000000000001E-3</v>
      </c>
      <c r="W289" s="135">
        <v>0</v>
      </c>
      <c r="X289" s="135">
        <v>0</v>
      </c>
      <c r="Y289" s="135" t="s">
        <v>1995</v>
      </c>
      <c r="Z289" s="135">
        <v>0.8</v>
      </c>
      <c r="AA289" s="135">
        <v>3000</v>
      </c>
      <c r="AB289" s="135">
        <v>3604</v>
      </c>
      <c r="AC289" s="135">
        <v>0.28000000000000003</v>
      </c>
      <c r="AD289" s="135">
        <v>1.2</v>
      </c>
      <c r="AE289" s="135">
        <v>5000</v>
      </c>
      <c r="AF289" s="135">
        <v>4221.5</v>
      </c>
      <c r="AG289" s="135">
        <v>0.24</v>
      </c>
      <c r="AH289" s="135">
        <v>1.2</v>
      </c>
      <c r="AI289" s="135">
        <v>2500</v>
      </c>
      <c r="AJ289" s="135">
        <v>2046</v>
      </c>
      <c r="AK289" s="135">
        <v>0.49</v>
      </c>
      <c r="AL289" s="135">
        <v>0.8</v>
      </c>
      <c r="AM289" s="135">
        <v>4500</v>
      </c>
      <c r="AN289" s="135">
        <v>5361</v>
      </c>
      <c r="AO289" s="135">
        <v>0.19</v>
      </c>
      <c r="AP289" s="135"/>
      <c r="AQ289" s="135"/>
      <c r="AR289" s="135"/>
      <c r="AS289" s="135"/>
      <c r="AT289" s="135"/>
      <c r="AU289" s="135"/>
      <c r="AV289" s="135"/>
      <c r="AW289" s="135"/>
      <c r="AX289" s="135">
        <v>0.8</v>
      </c>
      <c r="AY289" s="135">
        <v>10</v>
      </c>
      <c r="AZ289" s="135">
        <v>11.9</v>
      </c>
      <c r="BA289" s="135">
        <v>0.08</v>
      </c>
      <c r="BB289" s="135"/>
      <c r="BC289" s="135"/>
      <c r="BD289" s="135"/>
      <c r="BE289" s="135"/>
      <c r="BF289" s="135">
        <v>1.2</v>
      </c>
      <c r="BG289" s="135">
        <v>5000</v>
      </c>
      <c r="BH289" s="135">
        <v>4092</v>
      </c>
      <c r="BI289" s="135">
        <v>0.24</v>
      </c>
      <c r="BJ289" s="135">
        <v>44</v>
      </c>
      <c r="BK289" s="135">
        <v>3</v>
      </c>
      <c r="BL289" s="135">
        <v>20.5</v>
      </c>
    </row>
    <row r="290" spans="1:64" x14ac:dyDescent="0.3">
      <c r="A290" s="135">
        <v>2016</v>
      </c>
      <c r="B290" s="135">
        <v>4</v>
      </c>
      <c r="C290" s="135" t="s">
        <v>2245</v>
      </c>
      <c r="D290" s="135" t="s">
        <v>386</v>
      </c>
      <c r="E290" s="135" t="s">
        <v>399</v>
      </c>
      <c r="F290" s="135" t="s">
        <v>52</v>
      </c>
      <c r="G290" s="135" t="s">
        <v>2309</v>
      </c>
      <c r="H290" s="135">
        <v>13.74</v>
      </c>
      <c r="I290" s="135">
        <v>0.47799999999999998</v>
      </c>
      <c r="J290" s="135">
        <v>1.0049999999999999</v>
      </c>
      <c r="K290" s="135">
        <v>0</v>
      </c>
      <c r="L290" s="135">
        <v>0</v>
      </c>
      <c r="M290" s="135">
        <v>0</v>
      </c>
      <c r="N290" s="135">
        <v>0</v>
      </c>
      <c r="O290" s="135">
        <v>0</v>
      </c>
      <c r="P290" s="135">
        <v>0</v>
      </c>
      <c r="Q290" s="135">
        <v>0</v>
      </c>
      <c r="R290" s="135">
        <v>0</v>
      </c>
      <c r="S290" s="135">
        <v>0.52700000000000002</v>
      </c>
      <c r="T290" s="135">
        <v>4.8609999999999998</v>
      </c>
      <c r="U290" s="135">
        <v>0</v>
      </c>
      <c r="V290" s="135">
        <v>4.0000000000000001E-3</v>
      </c>
      <c r="W290" s="135">
        <v>0</v>
      </c>
      <c r="X290" s="135">
        <v>0</v>
      </c>
      <c r="Y290" s="135" t="s">
        <v>1995</v>
      </c>
      <c r="Z290" s="135">
        <v>0.7</v>
      </c>
      <c r="AA290" s="135">
        <v>3000</v>
      </c>
      <c r="AB290" s="135">
        <v>4067.2</v>
      </c>
      <c r="AC290" s="135">
        <v>0.25</v>
      </c>
      <c r="AD290" s="135">
        <v>1</v>
      </c>
      <c r="AE290" s="135">
        <v>5000</v>
      </c>
      <c r="AF290" s="135">
        <v>4974.6000000000004</v>
      </c>
      <c r="AG290" s="135">
        <v>0.2</v>
      </c>
      <c r="AH290" s="135">
        <v>1</v>
      </c>
      <c r="AI290" s="135">
        <v>2500</v>
      </c>
      <c r="AJ290" s="135">
        <v>2407.9</v>
      </c>
      <c r="AK290" s="135">
        <v>0.42</v>
      </c>
      <c r="AL290" s="135">
        <v>0.7</v>
      </c>
      <c r="AM290" s="135">
        <v>4500</v>
      </c>
      <c r="AN290" s="135">
        <v>6068</v>
      </c>
      <c r="AO290" s="135">
        <v>0.16</v>
      </c>
      <c r="AP290" s="135"/>
      <c r="AQ290" s="135"/>
      <c r="AR290" s="135"/>
      <c r="AS290" s="135"/>
      <c r="AT290" s="135"/>
      <c r="AU290" s="135"/>
      <c r="AV290" s="135"/>
      <c r="AW290" s="135"/>
      <c r="AX290" s="135">
        <v>0.7</v>
      </c>
      <c r="AY290" s="135">
        <v>10</v>
      </c>
      <c r="AZ290" s="135">
        <v>13.5</v>
      </c>
      <c r="BA290" s="135">
        <v>7.0000000000000007E-2</v>
      </c>
      <c r="BB290" s="135"/>
      <c r="BC290" s="135"/>
      <c r="BD290" s="135"/>
      <c r="BE290" s="135"/>
      <c r="BF290" s="135">
        <v>1</v>
      </c>
      <c r="BG290" s="135">
        <v>5000</v>
      </c>
      <c r="BH290" s="135">
        <v>4815.7</v>
      </c>
      <c r="BI290" s="135">
        <v>0.21</v>
      </c>
      <c r="BJ290" s="135">
        <v>46</v>
      </c>
      <c r="BK290" s="135">
        <v>-3</v>
      </c>
      <c r="BL290" s="135">
        <v>24.5</v>
      </c>
    </row>
    <row r="291" spans="1:64" x14ac:dyDescent="0.3">
      <c r="A291" s="135">
        <v>2016</v>
      </c>
      <c r="B291" s="135">
        <v>4</v>
      </c>
      <c r="C291" s="135" t="s">
        <v>2253</v>
      </c>
      <c r="D291" s="135" t="s">
        <v>547</v>
      </c>
      <c r="E291" s="135" t="s">
        <v>399</v>
      </c>
      <c r="F291" s="135" t="s">
        <v>14</v>
      </c>
      <c r="G291" s="135" t="s">
        <v>2310</v>
      </c>
      <c r="H291" s="135">
        <v>4.6500000000000004</v>
      </c>
      <c r="I291" s="135">
        <v>0.436</v>
      </c>
      <c r="J291" s="135">
        <v>0.85499999999999998</v>
      </c>
      <c r="K291" s="135">
        <v>0</v>
      </c>
      <c r="L291" s="135">
        <v>0</v>
      </c>
      <c r="M291" s="135">
        <v>0</v>
      </c>
      <c r="N291" s="135">
        <v>0</v>
      </c>
      <c r="O291" s="135">
        <v>0</v>
      </c>
      <c r="P291" s="135">
        <v>0</v>
      </c>
      <c r="Q291" s="135">
        <v>0</v>
      </c>
      <c r="R291" s="135">
        <v>0</v>
      </c>
      <c r="S291" s="135">
        <v>0.41899999999999998</v>
      </c>
      <c r="T291" s="135">
        <v>4.4379999999999997</v>
      </c>
      <c r="U291" s="135">
        <v>0</v>
      </c>
      <c r="V291" s="135">
        <v>4.0000000000000001E-3</v>
      </c>
      <c r="W291" s="135">
        <v>0</v>
      </c>
      <c r="X291" s="135">
        <v>0</v>
      </c>
      <c r="Y291" s="135" t="s">
        <v>1995</v>
      </c>
      <c r="Z291" s="135">
        <v>0.6</v>
      </c>
      <c r="AA291" s="135">
        <v>3000</v>
      </c>
      <c r="AB291" s="135">
        <v>4678</v>
      </c>
      <c r="AC291" s="135">
        <v>0.21</v>
      </c>
      <c r="AD291" s="135">
        <v>0.9</v>
      </c>
      <c r="AE291" s="135">
        <v>5000</v>
      </c>
      <c r="AF291" s="135">
        <v>5849.3</v>
      </c>
      <c r="AG291" s="135">
        <v>0.17</v>
      </c>
      <c r="AH291" s="135">
        <v>0.9</v>
      </c>
      <c r="AI291" s="135">
        <v>2500</v>
      </c>
      <c r="AJ291" s="135">
        <v>2823.5</v>
      </c>
      <c r="AK291" s="135">
        <v>0.35</v>
      </c>
      <c r="AL291" s="135">
        <v>0.6</v>
      </c>
      <c r="AM291" s="135">
        <v>4500</v>
      </c>
      <c r="AN291" s="135">
        <v>6973.5</v>
      </c>
      <c r="AO291" s="135">
        <v>0.14000000000000001</v>
      </c>
      <c r="AP291" s="135"/>
      <c r="AQ291" s="135"/>
      <c r="AR291" s="135"/>
      <c r="AS291" s="135"/>
      <c r="AT291" s="135"/>
      <c r="AU291" s="135"/>
      <c r="AV291" s="135"/>
      <c r="AW291" s="135"/>
      <c r="AX291" s="135">
        <v>0.6</v>
      </c>
      <c r="AY291" s="135">
        <v>10</v>
      </c>
      <c r="AZ291" s="135">
        <v>15.5</v>
      </c>
      <c r="BA291" s="135">
        <v>0.06</v>
      </c>
      <c r="BB291" s="135"/>
      <c r="BC291" s="135"/>
      <c r="BD291" s="135"/>
      <c r="BE291" s="135"/>
      <c r="BF291" s="135">
        <v>0.9</v>
      </c>
      <c r="BG291" s="135">
        <v>5000</v>
      </c>
      <c r="BH291" s="135">
        <v>5647</v>
      </c>
      <c r="BI291" s="135">
        <v>0.18</v>
      </c>
      <c r="BJ291" s="135">
        <v>45.5</v>
      </c>
      <c r="BK291" s="135">
        <v>8</v>
      </c>
      <c r="BL291" s="135">
        <v>18.75</v>
      </c>
    </row>
    <row r="292" spans="1:64" x14ac:dyDescent="0.3">
      <c r="A292" s="135">
        <v>2016</v>
      </c>
      <c r="B292" s="135">
        <v>4</v>
      </c>
      <c r="C292" s="135" t="s">
        <v>2251</v>
      </c>
      <c r="D292" s="135" t="s">
        <v>381</v>
      </c>
      <c r="E292" s="135" t="s">
        <v>399</v>
      </c>
      <c r="F292" s="135" t="s">
        <v>34</v>
      </c>
      <c r="G292" s="135" t="s">
        <v>7</v>
      </c>
      <c r="H292" s="135">
        <v>3.1</v>
      </c>
      <c r="I292" s="135">
        <v>0.41599999999999998</v>
      </c>
      <c r="J292" s="135">
        <v>0.78</v>
      </c>
      <c r="K292" s="135">
        <v>0</v>
      </c>
      <c r="L292" s="135">
        <v>0</v>
      </c>
      <c r="M292" s="135">
        <v>0</v>
      </c>
      <c r="N292" s="135">
        <v>0</v>
      </c>
      <c r="O292" s="135">
        <v>0</v>
      </c>
      <c r="P292" s="135">
        <v>0</v>
      </c>
      <c r="Q292" s="135">
        <v>0</v>
      </c>
      <c r="R292" s="135">
        <v>0</v>
      </c>
      <c r="S292" s="135">
        <v>0.36399999999999999</v>
      </c>
      <c r="T292" s="135">
        <v>4.2389999999999999</v>
      </c>
      <c r="U292" s="135">
        <v>0</v>
      </c>
      <c r="V292" s="135">
        <v>4.0000000000000001E-3</v>
      </c>
      <c r="W292" s="135">
        <v>0</v>
      </c>
      <c r="X292" s="135">
        <v>0</v>
      </c>
      <c r="Y292" s="135" t="s">
        <v>1995</v>
      </c>
      <c r="Z292" s="135">
        <v>0.6</v>
      </c>
      <c r="AA292" s="135">
        <v>3000</v>
      </c>
      <c r="AB292" s="135">
        <v>5051.3999999999996</v>
      </c>
      <c r="AC292" s="135">
        <v>0.2</v>
      </c>
      <c r="AD292" s="135">
        <v>0.8</v>
      </c>
      <c r="AE292" s="135">
        <v>5000</v>
      </c>
      <c r="AF292" s="135">
        <v>6411.1</v>
      </c>
      <c r="AG292" s="135">
        <v>0.16</v>
      </c>
      <c r="AH292" s="135">
        <v>0.8</v>
      </c>
      <c r="AI292" s="135">
        <v>2500</v>
      </c>
      <c r="AJ292" s="135">
        <v>3089</v>
      </c>
      <c r="AK292" s="135">
        <v>0.32</v>
      </c>
      <c r="AL292" s="135">
        <v>0.6</v>
      </c>
      <c r="AM292" s="135">
        <v>4500</v>
      </c>
      <c r="AN292" s="135">
        <v>7526.3</v>
      </c>
      <c r="AO292" s="135">
        <v>0.13</v>
      </c>
      <c r="AP292" s="135"/>
      <c r="AQ292" s="135"/>
      <c r="AR292" s="135"/>
      <c r="AS292" s="135"/>
      <c r="AT292" s="135"/>
      <c r="AU292" s="135"/>
      <c r="AV292" s="135"/>
      <c r="AW292" s="135"/>
      <c r="AX292" s="135">
        <v>0.6</v>
      </c>
      <c r="AY292" s="135">
        <v>10</v>
      </c>
      <c r="AZ292" s="135">
        <v>16.7</v>
      </c>
      <c r="BA292" s="135">
        <v>0.06</v>
      </c>
      <c r="BB292" s="135"/>
      <c r="BC292" s="135"/>
      <c r="BD292" s="135"/>
      <c r="BE292" s="135"/>
      <c r="BF292" s="135">
        <v>0.8</v>
      </c>
      <c r="BG292" s="135">
        <v>5000</v>
      </c>
      <c r="BH292" s="135">
        <v>6177.9</v>
      </c>
      <c r="BI292" s="135">
        <v>0.16</v>
      </c>
      <c r="BJ292" s="135">
        <v>40.5</v>
      </c>
      <c r="BK292" s="135">
        <v>1.5</v>
      </c>
      <c r="BL292" s="135">
        <v>19.5</v>
      </c>
    </row>
    <row r="293" spans="1:64" x14ac:dyDescent="0.3">
      <c r="A293" s="135">
        <v>2016</v>
      </c>
      <c r="B293" s="135">
        <v>4</v>
      </c>
      <c r="C293" s="135" t="s">
        <v>2254</v>
      </c>
      <c r="D293" s="135" t="s">
        <v>98</v>
      </c>
      <c r="E293" s="135" t="s">
        <v>399</v>
      </c>
      <c r="F293" s="135" t="s">
        <v>20</v>
      </c>
      <c r="G293" s="135" t="s">
        <v>397</v>
      </c>
      <c r="H293" s="135">
        <v>5.2</v>
      </c>
      <c r="I293" s="135">
        <v>0.41299999999999998</v>
      </c>
      <c r="J293" s="135">
        <v>0.63</v>
      </c>
      <c r="K293" s="135">
        <v>0</v>
      </c>
      <c r="L293" s="135">
        <v>0</v>
      </c>
      <c r="M293" s="135">
        <v>0</v>
      </c>
      <c r="N293" s="135">
        <v>0</v>
      </c>
      <c r="O293" s="135">
        <v>0</v>
      </c>
      <c r="P293" s="135">
        <v>0</v>
      </c>
      <c r="Q293" s="135">
        <v>0</v>
      </c>
      <c r="R293" s="135">
        <v>0</v>
      </c>
      <c r="S293" s="135">
        <v>0.217</v>
      </c>
      <c r="T293" s="135">
        <v>3.032</v>
      </c>
      <c r="U293" s="135">
        <v>1.9E-2</v>
      </c>
      <c r="V293" s="135">
        <v>2E-3</v>
      </c>
      <c r="W293" s="135">
        <v>0</v>
      </c>
      <c r="X293" s="135">
        <v>0</v>
      </c>
      <c r="Y293" s="135" t="s">
        <v>1995</v>
      </c>
      <c r="Z293" s="135">
        <v>0.5</v>
      </c>
      <c r="AA293" s="135">
        <v>3000</v>
      </c>
      <c r="AB293" s="135">
        <v>5772.6</v>
      </c>
      <c r="AC293" s="135">
        <v>0.17</v>
      </c>
      <c r="AD293" s="135">
        <v>0.6</v>
      </c>
      <c r="AE293" s="135">
        <v>5000</v>
      </c>
      <c r="AF293" s="135">
        <v>7934</v>
      </c>
      <c r="AG293" s="135">
        <v>0.13</v>
      </c>
      <c r="AH293" s="135">
        <v>0.7</v>
      </c>
      <c r="AI293" s="135">
        <v>2500</v>
      </c>
      <c r="AJ293" s="135">
        <v>3843.8</v>
      </c>
      <c r="AK293" s="135">
        <v>0.26</v>
      </c>
      <c r="AL293" s="135">
        <v>0.5</v>
      </c>
      <c r="AM293" s="135">
        <v>4500</v>
      </c>
      <c r="AN293" s="135">
        <v>8625.6</v>
      </c>
      <c r="AO293" s="135">
        <v>0.12</v>
      </c>
      <c r="AP293" s="135"/>
      <c r="AQ293" s="135"/>
      <c r="AR293" s="135"/>
      <c r="AS293" s="135"/>
      <c r="AT293" s="135"/>
      <c r="AU293" s="135"/>
      <c r="AV293" s="135"/>
      <c r="AW293" s="135"/>
      <c r="AX293" s="135">
        <v>0.5</v>
      </c>
      <c r="AY293" s="135">
        <v>10</v>
      </c>
      <c r="AZ293" s="135">
        <v>19.2</v>
      </c>
      <c r="BA293" s="135">
        <v>0.05</v>
      </c>
      <c r="BB293" s="135"/>
      <c r="BC293" s="135"/>
      <c r="BD293" s="135"/>
      <c r="BE293" s="135"/>
      <c r="BF293" s="135">
        <v>0.7</v>
      </c>
      <c r="BG293" s="135">
        <v>5000</v>
      </c>
      <c r="BH293" s="135">
        <v>7687.7</v>
      </c>
      <c r="BI293" s="135">
        <v>0.13</v>
      </c>
      <c r="BJ293" s="135">
        <v>47.5</v>
      </c>
      <c r="BK293" s="135">
        <v>-5.5</v>
      </c>
      <c r="BL293" s="135">
        <v>26.5</v>
      </c>
    </row>
    <row r="294" spans="1:64" x14ac:dyDescent="0.3">
      <c r="A294" s="135">
        <v>2016</v>
      </c>
      <c r="B294" s="135">
        <v>4</v>
      </c>
      <c r="C294" s="135" t="s">
        <v>2255</v>
      </c>
      <c r="D294" s="135" t="s">
        <v>350</v>
      </c>
      <c r="E294" s="135" t="s">
        <v>399</v>
      </c>
      <c r="F294" s="135" t="s">
        <v>32</v>
      </c>
      <c r="G294" s="135" t="s">
        <v>4</v>
      </c>
      <c r="H294" s="135">
        <v>9.34</v>
      </c>
      <c r="I294" s="135">
        <v>0.38600000000000001</v>
      </c>
      <c r="J294" s="135">
        <v>0.63500000000000001</v>
      </c>
      <c r="K294" s="135">
        <v>0</v>
      </c>
      <c r="L294" s="135">
        <v>0</v>
      </c>
      <c r="M294" s="135">
        <v>0</v>
      </c>
      <c r="N294" s="135">
        <v>0</v>
      </c>
      <c r="O294" s="135">
        <v>0</v>
      </c>
      <c r="P294" s="135">
        <v>0</v>
      </c>
      <c r="Q294" s="135">
        <v>0</v>
      </c>
      <c r="R294" s="135">
        <v>0</v>
      </c>
      <c r="S294" s="135">
        <v>0.249</v>
      </c>
      <c r="T294" s="135">
        <v>2.8239999999999998</v>
      </c>
      <c r="U294" s="135">
        <v>1.7999999999999999E-2</v>
      </c>
      <c r="V294" s="135">
        <v>2E-3</v>
      </c>
      <c r="W294" s="135">
        <v>0</v>
      </c>
      <c r="X294" s="135">
        <v>0</v>
      </c>
      <c r="Y294" s="135" t="s">
        <v>1995</v>
      </c>
      <c r="Z294" s="135">
        <v>0.5</v>
      </c>
      <c r="AA294" s="135">
        <v>3000</v>
      </c>
      <c r="AB294" s="135">
        <v>5895.1</v>
      </c>
      <c r="AC294" s="135">
        <v>0.17</v>
      </c>
      <c r="AD294" s="135">
        <v>0.6</v>
      </c>
      <c r="AE294" s="135">
        <v>5000</v>
      </c>
      <c r="AF294" s="135">
        <v>7869.1</v>
      </c>
      <c r="AG294" s="135">
        <v>0.13</v>
      </c>
      <c r="AH294" s="135">
        <v>0.7</v>
      </c>
      <c r="AI294" s="135">
        <v>2500</v>
      </c>
      <c r="AJ294" s="135">
        <v>3820.6</v>
      </c>
      <c r="AK294" s="135">
        <v>0.26</v>
      </c>
      <c r="AL294" s="135">
        <v>0.5</v>
      </c>
      <c r="AM294" s="135">
        <v>4500</v>
      </c>
      <c r="AN294" s="135">
        <v>8808</v>
      </c>
      <c r="AO294" s="135">
        <v>0.11</v>
      </c>
      <c r="AP294" s="135"/>
      <c r="AQ294" s="135"/>
      <c r="AR294" s="135"/>
      <c r="AS294" s="135"/>
      <c r="AT294" s="135"/>
      <c r="AU294" s="135"/>
      <c r="AV294" s="135"/>
      <c r="AW294" s="135"/>
      <c r="AX294" s="135">
        <v>0.5</v>
      </c>
      <c r="AY294" s="135">
        <v>10</v>
      </c>
      <c r="AZ294" s="135">
        <v>19.600000000000001</v>
      </c>
      <c r="BA294" s="135">
        <v>0.05</v>
      </c>
      <c r="BB294" s="135"/>
      <c r="BC294" s="135"/>
      <c r="BD294" s="135"/>
      <c r="BE294" s="135"/>
      <c r="BF294" s="135">
        <v>0.7</v>
      </c>
      <c r="BG294" s="135">
        <v>5000</v>
      </c>
      <c r="BH294" s="135">
        <v>7641.2</v>
      </c>
      <c r="BI294" s="135">
        <v>0.13</v>
      </c>
      <c r="BJ294" s="135">
        <v>46.5</v>
      </c>
      <c r="BK294" s="135">
        <v>-3.5</v>
      </c>
      <c r="BL294" s="135">
        <v>25</v>
      </c>
    </row>
    <row r="295" spans="1:64" x14ac:dyDescent="0.3">
      <c r="A295" s="135">
        <v>2016</v>
      </c>
      <c r="B295" s="135">
        <v>4</v>
      </c>
      <c r="C295" s="135" t="s">
        <v>2256</v>
      </c>
      <c r="D295" s="135" t="s">
        <v>543</v>
      </c>
      <c r="E295" s="135" t="s">
        <v>399</v>
      </c>
      <c r="F295" s="135" t="s">
        <v>34</v>
      </c>
      <c r="G295" s="135" t="s">
        <v>7</v>
      </c>
      <c r="H295" s="135">
        <v>3.1</v>
      </c>
      <c r="I295" s="135">
        <v>0.20799999999999999</v>
      </c>
      <c r="J295" s="135">
        <v>0.39</v>
      </c>
      <c r="K295" s="135">
        <v>0</v>
      </c>
      <c r="L295" s="135">
        <v>0</v>
      </c>
      <c r="M295" s="135">
        <v>0</v>
      </c>
      <c r="N295" s="135">
        <v>0</v>
      </c>
      <c r="O295" s="135">
        <v>0</v>
      </c>
      <c r="P295" s="135">
        <v>0</v>
      </c>
      <c r="Q295" s="135">
        <v>0</v>
      </c>
      <c r="R295" s="135">
        <v>0</v>
      </c>
      <c r="S295" s="135">
        <v>0.182</v>
      </c>
      <c r="T295" s="135">
        <v>2.1190000000000002</v>
      </c>
      <c r="U295" s="135">
        <v>0</v>
      </c>
      <c r="V295" s="135">
        <v>2E-3</v>
      </c>
      <c r="W295" s="135">
        <v>0</v>
      </c>
      <c r="X295" s="135">
        <v>0</v>
      </c>
      <c r="Y295" s="135" t="s">
        <v>1995</v>
      </c>
      <c r="Z295" s="135">
        <v>0.3</v>
      </c>
      <c r="AA295" s="135">
        <v>3000</v>
      </c>
      <c r="AB295" s="135">
        <v>10104.4</v>
      </c>
      <c r="AC295" s="135">
        <v>0.1</v>
      </c>
      <c r="AD295" s="135">
        <v>0.4</v>
      </c>
      <c r="AE295" s="135">
        <v>5000</v>
      </c>
      <c r="AF295" s="135">
        <v>12823.8</v>
      </c>
      <c r="AG295" s="135">
        <v>0.08</v>
      </c>
      <c r="AH295" s="135">
        <v>0.4</v>
      </c>
      <c r="AI295" s="135">
        <v>2500</v>
      </c>
      <c r="AJ295" s="135">
        <v>6178.7</v>
      </c>
      <c r="AK295" s="135">
        <v>0.16</v>
      </c>
      <c r="AL295" s="135">
        <v>0.3</v>
      </c>
      <c r="AM295" s="135">
        <v>4500</v>
      </c>
      <c r="AN295" s="135">
        <v>15055.2</v>
      </c>
      <c r="AO295" s="135">
        <v>7.0000000000000007E-2</v>
      </c>
      <c r="AP295" s="135"/>
      <c r="AQ295" s="135"/>
      <c r="AR295" s="135"/>
      <c r="AS295" s="135"/>
      <c r="AT295" s="135"/>
      <c r="AU295" s="135"/>
      <c r="AV295" s="135"/>
      <c r="AW295" s="135"/>
      <c r="AX295" s="135">
        <v>0.3</v>
      </c>
      <c r="AY295" s="135">
        <v>10</v>
      </c>
      <c r="AZ295" s="135">
        <v>33.5</v>
      </c>
      <c r="BA295" s="135">
        <v>0.03</v>
      </c>
      <c r="BB295" s="135"/>
      <c r="BC295" s="135"/>
      <c r="BD295" s="135"/>
      <c r="BE295" s="135"/>
      <c r="BF295" s="135">
        <v>0.4</v>
      </c>
      <c r="BG295" s="135">
        <v>5000</v>
      </c>
      <c r="BH295" s="135">
        <v>12357.5</v>
      </c>
      <c r="BI295" s="135">
        <v>0.08</v>
      </c>
      <c r="BJ295" s="135">
        <v>40.5</v>
      </c>
      <c r="BK295" s="135">
        <v>1.5</v>
      </c>
      <c r="BL295" s="135">
        <v>19.5</v>
      </c>
    </row>
    <row r="296" spans="1:64" x14ac:dyDescent="0.3">
      <c r="A296" s="135">
        <v>2016</v>
      </c>
      <c r="B296" s="135">
        <v>4</v>
      </c>
      <c r="C296" s="135" t="s">
        <v>2257</v>
      </c>
      <c r="D296" s="135" t="s">
        <v>546</v>
      </c>
      <c r="E296" s="135" t="s">
        <v>399</v>
      </c>
      <c r="F296" s="135" t="s">
        <v>16</v>
      </c>
      <c r="G296" s="135" t="s">
        <v>1980</v>
      </c>
      <c r="H296" s="135">
        <v>4.9400000000000004</v>
      </c>
      <c r="I296" s="135">
        <v>0.2</v>
      </c>
      <c r="J296" s="135">
        <v>0.32500000000000001</v>
      </c>
      <c r="K296" s="135">
        <v>0</v>
      </c>
      <c r="L296" s="135">
        <v>0</v>
      </c>
      <c r="M296" s="135">
        <v>0</v>
      </c>
      <c r="N296" s="135">
        <v>0</v>
      </c>
      <c r="O296" s="135">
        <v>0</v>
      </c>
      <c r="P296" s="135">
        <v>0</v>
      </c>
      <c r="Q296" s="135">
        <v>0</v>
      </c>
      <c r="R296" s="135">
        <v>0</v>
      </c>
      <c r="S296" s="135">
        <v>0.125</v>
      </c>
      <c r="T296" s="135">
        <v>1.4239999999999999</v>
      </c>
      <c r="U296" s="135">
        <v>0.01</v>
      </c>
      <c r="V296" s="135">
        <v>1E-3</v>
      </c>
      <c r="W296" s="135">
        <v>0</v>
      </c>
      <c r="X296" s="135">
        <v>0</v>
      </c>
      <c r="Y296" s="135" t="s">
        <v>1995</v>
      </c>
      <c r="Z296" s="135">
        <v>0.3</v>
      </c>
      <c r="AA296" s="135">
        <v>3000</v>
      </c>
      <c r="AB296" s="135">
        <v>11454.8</v>
      </c>
      <c r="AC296" s="135">
        <v>0.09</v>
      </c>
      <c r="AD296" s="135">
        <v>0.3</v>
      </c>
      <c r="AE296" s="135">
        <v>5000</v>
      </c>
      <c r="AF296" s="135">
        <v>15365.7</v>
      </c>
      <c r="AG296" s="135">
        <v>7.0000000000000007E-2</v>
      </c>
      <c r="AH296" s="135">
        <v>0.3</v>
      </c>
      <c r="AI296" s="135">
        <v>2500</v>
      </c>
      <c r="AJ296" s="135">
        <v>7463.9</v>
      </c>
      <c r="AK296" s="135">
        <v>0.13</v>
      </c>
      <c r="AL296" s="135"/>
      <c r="AM296" s="135"/>
      <c r="AN296" s="135"/>
      <c r="AO296" s="135"/>
      <c r="AP296" s="135"/>
      <c r="AQ296" s="135"/>
      <c r="AR296" s="135"/>
      <c r="AS296" s="135"/>
      <c r="AT296" s="135"/>
      <c r="AU296" s="135"/>
      <c r="AV296" s="135"/>
      <c r="AW296" s="135"/>
      <c r="AX296" s="135">
        <v>0.3</v>
      </c>
      <c r="AY296" s="135">
        <v>10</v>
      </c>
      <c r="AZ296" s="135">
        <v>38</v>
      </c>
      <c r="BA296" s="135">
        <v>0.03</v>
      </c>
      <c r="BB296" s="135"/>
      <c r="BC296" s="135"/>
      <c r="BD296" s="135"/>
      <c r="BE296" s="135"/>
      <c r="BF296" s="135">
        <v>0.3</v>
      </c>
      <c r="BG296" s="135">
        <v>5000</v>
      </c>
      <c r="BH296" s="135">
        <v>14927.9</v>
      </c>
      <c r="BI296" s="135">
        <v>7.0000000000000007E-2</v>
      </c>
      <c r="BJ296" s="135">
        <v>49.5</v>
      </c>
      <c r="BK296" s="135">
        <v>-2.5</v>
      </c>
      <c r="BL296" s="135">
        <v>26</v>
      </c>
    </row>
    <row r="297" spans="1:64" x14ac:dyDescent="0.3">
      <c r="A297" s="135">
        <v>2016</v>
      </c>
      <c r="B297" s="135">
        <v>4</v>
      </c>
      <c r="C297" s="135" t="s">
        <v>2269</v>
      </c>
      <c r="D297" s="135" t="s">
        <v>1286</v>
      </c>
      <c r="E297" s="135" t="s">
        <v>565</v>
      </c>
      <c r="F297" s="135" t="s">
        <v>407</v>
      </c>
      <c r="G297" s="135" t="s">
        <v>404</v>
      </c>
      <c r="H297" s="135">
        <v>9.49</v>
      </c>
      <c r="I297" s="135">
        <v>4.9630000000000001</v>
      </c>
      <c r="J297" s="135">
        <v>4.9630000000000001</v>
      </c>
      <c r="K297" s="135">
        <v>0</v>
      </c>
      <c r="L297" s="135">
        <v>0</v>
      </c>
      <c r="M297" s="135">
        <v>0</v>
      </c>
      <c r="N297" s="135">
        <v>0</v>
      </c>
      <c r="O297" s="135">
        <v>0</v>
      </c>
      <c r="P297" s="135">
        <v>0</v>
      </c>
      <c r="Q297" s="135">
        <v>0</v>
      </c>
      <c r="R297" s="135">
        <v>0</v>
      </c>
      <c r="S297" s="135">
        <v>0</v>
      </c>
      <c r="T297" s="135">
        <v>0</v>
      </c>
      <c r="U297" s="135">
        <v>0</v>
      </c>
      <c r="V297" s="135">
        <v>0</v>
      </c>
      <c r="W297" s="135">
        <v>3.2589999999999999</v>
      </c>
      <c r="X297" s="135">
        <v>1.623</v>
      </c>
      <c r="Y297" s="135" t="s">
        <v>1995</v>
      </c>
      <c r="Z297" s="135"/>
      <c r="AA297" s="135"/>
      <c r="AB297" s="135"/>
      <c r="AC297" s="135"/>
      <c r="AD297" s="135"/>
      <c r="AE297" s="135"/>
      <c r="AF297" s="135"/>
      <c r="AG297" s="135"/>
      <c r="AH297" s="135"/>
      <c r="AI297" s="135"/>
      <c r="AJ297" s="135"/>
      <c r="AK297" s="135"/>
      <c r="AL297" s="135">
        <v>8.1</v>
      </c>
      <c r="AM297" s="135">
        <v>4500</v>
      </c>
      <c r="AN297" s="135">
        <v>553.6</v>
      </c>
      <c r="AO297" s="135">
        <v>1.81</v>
      </c>
      <c r="AP297" s="135"/>
      <c r="AQ297" s="135"/>
      <c r="AR297" s="135"/>
      <c r="AS297" s="135"/>
      <c r="AT297" s="135"/>
      <c r="AU297" s="135"/>
      <c r="AV297" s="135"/>
      <c r="AW297" s="135"/>
      <c r="AX297" s="135"/>
      <c r="AY297" s="135"/>
      <c r="AZ297" s="135"/>
      <c r="BA297" s="135"/>
      <c r="BB297" s="135"/>
      <c r="BC297" s="135"/>
      <c r="BD297" s="135"/>
      <c r="BE297" s="135"/>
      <c r="BF297" s="135"/>
      <c r="BG297" s="135"/>
      <c r="BH297" s="135"/>
      <c r="BI297" s="135"/>
      <c r="BJ297" s="135">
        <v>53.5</v>
      </c>
      <c r="BK297" s="135">
        <v>-4</v>
      </c>
      <c r="BL297" s="135">
        <v>28.75</v>
      </c>
    </row>
    <row r="298" spans="1:64" x14ac:dyDescent="0.3">
      <c r="A298" s="135">
        <v>2016</v>
      </c>
      <c r="B298" s="135">
        <v>4</v>
      </c>
      <c r="C298" s="135" t="s">
        <v>2277</v>
      </c>
      <c r="D298" s="135" t="s">
        <v>1277</v>
      </c>
      <c r="E298" s="135" t="s">
        <v>565</v>
      </c>
      <c r="F298" s="135" t="s">
        <v>18</v>
      </c>
      <c r="G298" s="135" t="s">
        <v>14</v>
      </c>
      <c r="H298" s="135">
        <v>7.49</v>
      </c>
      <c r="I298" s="135">
        <v>4.6120000000000001</v>
      </c>
      <c r="J298" s="135">
        <v>4.6120000000000001</v>
      </c>
      <c r="K298" s="135">
        <v>0</v>
      </c>
      <c r="L298" s="135">
        <v>0</v>
      </c>
      <c r="M298" s="135">
        <v>0</v>
      </c>
      <c r="N298" s="135">
        <v>0</v>
      </c>
      <c r="O298" s="135">
        <v>0</v>
      </c>
      <c r="P298" s="135">
        <v>0</v>
      </c>
      <c r="Q298" s="135">
        <v>0</v>
      </c>
      <c r="R298" s="135">
        <v>0</v>
      </c>
      <c r="S298" s="135">
        <v>0</v>
      </c>
      <c r="T298" s="135">
        <v>0</v>
      </c>
      <c r="U298" s="135">
        <v>0</v>
      </c>
      <c r="V298" s="135">
        <v>0</v>
      </c>
      <c r="W298" s="135">
        <v>2.798</v>
      </c>
      <c r="X298" s="135">
        <v>1.6950000000000001</v>
      </c>
      <c r="Y298" s="135" t="s">
        <v>1995</v>
      </c>
      <c r="Z298" s="135"/>
      <c r="AA298" s="135"/>
      <c r="AB298" s="135"/>
      <c r="AC298" s="135"/>
      <c r="AD298" s="135"/>
      <c r="AE298" s="135"/>
      <c r="AF298" s="135"/>
      <c r="AG298" s="135"/>
      <c r="AH298" s="135"/>
      <c r="AI298" s="135"/>
      <c r="AJ298" s="135"/>
      <c r="AK298" s="135"/>
      <c r="AL298" s="135">
        <v>7.9</v>
      </c>
      <c r="AM298" s="135">
        <v>4500</v>
      </c>
      <c r="AN298" s="135">
        <v>570.79999999999995</v>
      </c>
      <c r="AO298" s="135">
        <v>1.75</v>
      </c>
      <c r="AP298" s="135"/>
      <c r="AQ298" s="135"/>
      <c r="AR298" s="135"/>
      <c r="AS298" s="135"/>
      <c r="AT298" s="135"/>
      <c r="AU298" s="135"/>
      <c r="AV298" s="135"/>
      <c r="AW298" s="135"/>
      <c r="AX298" s="135"/>
      <c r="AY298" s="135"/>
      <c r="AZ298" s="135"/>
      <c r="BA298" s="135"/>
      <c r="BB298" s="135"/>
      <c r="BC298" s="135"/>
      <c r="BD298" s="135"/>
      <c r="BE298" s="135"/>
      <c r="BF298" s="135"/>
      <c r="BG298" s="135"/>
      <c r="BH298" s="135"/>
      <c r="BI298" s="135"/>
      <c r="BJ298" s="135">
        <v>45.5</v>
      </c>
      <c r="BK298" s="135">
        <v>-8</v>
      </c>
      <c r="BL298" s="135">
        <v>26.75</v>
      </c>
    </row>
    <row r="299" spans="1:64" x14ac:dyDescent="0.3">
      <c r="A299" s="135">
        <v>2016</v>
      </c>
      <c r="B299" s="135">
        <v>4</v>
      </c>
      <c r="C299" s="135" t="s">
        <v>2274</v>
      </c>
      <c r="D299" s="135" t="s">
        <v>1271</v>
      </c>
      <c r="E299" s="135" t="s">
        <v>565</v>
      </c>
      <c r="F299" s="135" t="s">
        <v>402</v>
      </c>
      <c r="G299" s="135" t="s">
        <v>10</v>
      </c>
      <c r="H299" s="135">
        <v>6.99</v>
      </c>
      <c r="I299" s="135">
        <v>4.6079999999999997</v>
      </c>
      <c r="J299" s="135">
        <v>4.6079999999999997</v>
      </c>
      <c r="K299" s="135">
        <v>0</v>
      </c>
      <c r="L299" s="135">
        <v>0</v>
      </c>
      <c r="M299" s="135">
        <v>0</v>
      </c>
      <c r="N299" s="135">
        <v>0</v>
      </c>
      <c r="O299" s="135">
        <v>0</v>
      </c>
      <c r="P299" s="135">
        <v>0</v>
      </c>
      <c r="Q299" s="135">
        <v>0</v>
      </c>
      <c r="R299" s="135">
        <v>0</v>
      </c>
      <c r="S299" s="135">
        <v>0</v>
      </c>
      <c r="T299" s="135">
        <v>0</v>
      </c>
      <c r="U299" s="135">
        <v>0</v>
      </c>
      <c r="V299" s="135">
        <v>0</v>
      </c>
      <c r="W299" s="135">
        <v>2.6429999999999998</v>
      </c>
      <c r="X299" s="135">
        <v>1.786</v>
      </c>
      <c r="Y299" s="135" t="s">
        <v>1995</v>
      </c>
      <c r="Z299" s="135"/>
      <c r="AA299" s="135"/>
      <c r="AB299" s="135"/>
      <c r="AC299" s="135"/>
      <c r="AD299" s="135"/>
      <c r="AE299" s="135"/>
      <c r="AF299" s="135"/>
      <c r="AG299" s="135"/>
      <c r="AH299" s="135"/>
      <c r="AI299" s="135"/>
      <c r="AJ299" s="135"/>
      <c r="AK299" s="135"/>
      <c r="AL299" s="135">
        <v>8</v>
      </c>
      <c r="AM299" s="135">
        <v>5200</v>
      </c>
      <c r="AN299" s="135">
        <v>649.9</v>
      </c>
      <c r="AO299" s="135">
        <v>1.54</v>
      </c>
      <c r="AP299" s="135"/>
      <c r="AQ299" s="135"/>
      <c r="AR299" s="135"/>
      <c r="AS299" s="135"/>
      <c r="AT299" s="135"/>
      <c r="AU299" s="135"/>
      <c r="AV299" s="135"/>
      <c r="AW299" s="135"/>
      <c r="AX299" s="135"/>
      <c r="AY299" s="135"/>
      <c r="AZ299" s="135"/>
      <c r="BA299" s="135"/>
      <c r="BB299" s="135"/>
      <c r="BC299" s="135"/>
      <c r="BD299" s="135"/>
      <c r="BE299" s="135"/>
      <c r="BF299" s="135"/>
      <c r="BG299" s="135"/>
      <c r="BH299" s="135"/>
      <c r="BI299" s="135"/>
      <c r="BJ299" s="135">
        <v>44</v>
      </c>
      <c r="BK299" s="135">
        <v>-4.5</v>
      </c>
      <c r="BL299" s="135">
        <v>24.25</v>
      </c>
    </row>
    <row r="300" spans="1:64" x14ac:dyDescent="0.3">
      <c r="A300" s="135">
        <v>2016</v>
      </c>
      <c r="B300" s="135">
        <v>4</v>
      </c>
      <c r="C300" s="135" t="s">
        <v>2258</v>
      </c>
      <c r="D300" s="135" t="s">
        <v>1268</v>
      </c>
      <c r="E300" s="135" t="s">
        <v>565</v>
      </c>
      <c r="F300" s="135" t="s">
        <v>16</v>
      </c>
      <c r="G300" s="135" t="s">
        <v>1980</v>
      </c>
      <c r="H300" s="135">
        <v>9.16</v>
      </c>
      <c r="I300" s="135">
        <v>4.6059999999999999</v>
      </c>
      <c r="J300" s="135">
        <v>4.6059999999999999</v>
      </c>
      <c r="K300" s="135">
        <v>0</v>
      </c>
      <c r="L300" s="135">
        <v>0</v>
      </c>
      <c r="M300" s="135">
        <v>0</v>
      </c>
      <c r="N300" s="135">
        <v>0</v>
      </c>
      <c r="O300" s="135">
        <v>0</v>
      </c>
      <c r="P300" s="135">
        <v>0</v>
      </c>
      <c r="Q300" s="135">
        <v>0</v>
      </c>
      <c r="R300" s="135">
        <v>0</v>
      </c>
      <c r="S300" s="135">
        <v>0</v>
      </c>
      <c r="T300" s="135">
        <v>0</v>
      </c>
      <c r="U300" s="135">
        <v>0</v>
      </c>
      <c r="V300" s="135">
        <v>0</v>
      </c>
      <c r="W300" s="135">
        <v>2.794</v>
      </c>
      <c r="X300" s="135">
        <v>1.647</v>
      </c>
      <c r="Y300" s="135" t="s">
        <v>1995</v>
      </c>
      <c r="Z300" s="135"/>
      <c r="AA300" s="135"/>
      <c r="AB300" s="135"/>
      <c r="AC300" s="135"/>
      <c r="AD300" s="135"/>
      <c r="AE300" s="135"/>
      <c r="AF300" s="135"/>
      <c r="AG300" s="135"/>
      <c r="AH300" s="135"/>
      <c r="AI300" s="135"/>
      <c r="AJ300" s="135"/>
      <c r="AK300" s="135"/>
      <c r="AL300" s="135">
        <v>7.7</v>
      </c>
      <c r="AM300" s="135">
        <v>4800</v>
      </c>
      <c r="AN300" s="135">
        <v>620.6</v>
      </c>
      <c r="AO300" s="135">
        <v>1.61</v>
      </c>
      <c r="AP300" s="135"/>
      <c r="AQ300" s="135"/>
      <c r="AR300" s="135"/>
      <c r="AS300" s="135"/>
      <c r="AT300" s="135"/>
      <c r="AU300" s="135"/>
      <c r="AV300" s="135"/>
      <c r="AW300" s="135"/>
      <c r="AX300" s="135"/>
      <c r="AY300" s="135"/>
      <c r="AZ300" s="135"/>
      <c r="BA300" s="135"/>
      <c r="BB300" s="135"/>
      <c r="BC300" s="135"/>
      <c r="BD300" s="135"/>
      <c r="BE300" s="135"/>
      <c r="BF300" s="135"/>
      <c r="BG300" s="135"/>
      <c r="BH300" s="135"/>
      <c r="BI300" s="135"/>
      <c r="BJ300" s="135">
        <v>49.5</v>
      </c>
      <c r="BK300" s="135">
        <v>-2.5</v>
      </c>
      <c r="BL300" s="135">
        <v>26</v>
      </c>
    </row>
    <row r="301" spans="1:64" x14ac:dyDescent="0.3">
      <c r="A301" s="135">
        <v>2016</v>
      </c>
      <c r="B301" s="135">
        <v>4</v>
      </c>
      <c r="C301" s="135" t="s">
        <v>2264</v>
      </c>
      <c r="D301" s="135" t="s">
        <v>1279</v>
      </c>
      <c r="E301" s="135" t="s">
        <v>565</v>
      </c>
      <c r="F301" s="135" t="s">
        <v>22</v>
      </c>
      <c r="G301" s="135" t="s">
        <v>2296</v>
      </c>
      <c r="H301" s="135">
        <v>7.66</v>
      </c>
      <c r="I301" s="135">
        <v>4.585</v>
      </c>
      <c r="J301" s="135">
        <v>4.585</v>
      </c>
      <c r="K301" s="135">
        <v>0</v>
      </c>
      <c r="L301" s="135">
        <v>0</v>
      </c>
      <c r="M301" s="135">
        <v>0</v>
      </c>
      <c r="N301" s="135">
        <v>0</v>
      </c>
      <c r="O301" s="135">
        <v>0</v>
      </c>
      <c r="P301" s="135">
        <v>0</v>
      </c>
      <c r="Q301" s="135">
        <v>0</v>
      </c>
      <c r="R301" s="135">
        <v>0</v>
      </c>
      <c r="S301" s="135">
        <v>0</v>
      </c>
      <c r="T301" s="135">
        <v>0</v>
      </c>
      <c r="U301" s="135">
        <v>0</v>
      </c>
      <c r="V301" s="135">
        <v>0</v>
      </c>
      <c r="W301" s="135">
        <v>2.93</v>
      </c>
      <c r="X301" s="135">
        <v>1.5469999999999999</v>
      </c>
      <c r="Y301" s="135" t="s">
        <v>1995</v>
      </c>
      <c r="Z301" s="135"/>
      <c r="AA301" s="135"/>
      <c r="AB301" s="135"/>
      <c r="AC301" s="135"/>
      <c r="AD301" s="135"/>
      <c r="AE301" s="135"/>
      <c r="AF301" s="135"/>
      <c r="AG301" s="135"/>
      <c r="AH301" s="135"/>
      <c r="AI301" s="135"/>
      <c r="AJ301" s="135"/>
      <c r="AK301" s="135"/>
      <c r="AL301" s="135">
        <v>7.6</v>
      </c>
      <c r="AM301" s="135">
        <v>4800</v>
      </c>
      <c r="AN301" s="135">
        <v>634</v>
      </c>
      <c r="AO301" s="135">
        <v>1.58</v>
      </c>
      <c r="AP301" s="135"/>
      <c r="AQ301" s="135"/>
      <c r="AR301" s="135"/>
      <c r="AS301" s="135"/>
      <c r="AT301" s="135"/>
      <c r="AU301" s="135"/>
      <c r="AV301" s="135"/>
      <c r="AW301" s="135"/>
      <c r="AX301" s="135"/>
      <c r="AY301" s="135"/>
      <c r="AZ301" s="135"/>
      <c r="BA301" s="135"/>
      <c r="BB301" s="135"/>
      <c r="BC301" s="135"/>
      <c r="BD301" s="135"/>
      <c r="BE301" s="135"/>
      <c r="BF301" s="135"/>
      <c r="BG301" s="135"/>
      <c r="BH301" s="135"/>
      <c r="BI301" s="135"/>
      <c r="BJ301" s="135">
        <v>50</v>
      </c>
      <c r="BK301" s="135">
        <v>-3</v>
      </c>
      <c r="BL301" s="135">
        <v>26.5</v>
      </c>
    </row>
    <row r="302" spans="1:64" x14ac:dyDescent="0.3">
      <c r="A302" s="135">
        <v>2016</v>
      </c>
      <c r="B302" s="135">
        <v>4</v>
      </c>
      <c r="C302" s="135" t="s">
        <v>2261</v>
      </c>
      <c r="D302" s="135" t="s">
        <v>1266</v>
      </c>
      <c r="E302" s="135" t="s">
        <v>565</v>
      </c>
      <c r="F302" s="135" t="s">
        <v>52</v>
      </c>
      <c r="G302" s="135" t="s">
        <v>2309</v>
      </c>
      <c r="H302" s="135">
        <v>10.82</v>
      </c>
      <c r="I302" s="135">
        <v>4.5359999999999996</v>
      </c>
      <c r="J302" s="135">
        <v>4.5359999999999996</v>
      </c>
      <c r="K302" s="135">
        <v>0</v>
      </c>
      <c r="L302" s="135">
        <v>0</v>
      </c>
      <c r="M302" s="135">
        <v>0</v>
      </c>
      <c r="N302" s="135">
        <v>0</v>
      </c>
      <c r="O302" s="135">
        <v>0</v>
      </c>
      <c r="P302" s="135">
        <v>0</v>
      </c>
      <c r="Q302" s="135">
        <v>0</v>
      </c>
      <c r="R302" s="135">
        <v>0</v>
      </c>
      <c r="S302" s="135">
        <v>0</v>
      </c>
      <c r="T302" s="135">
        <v>0</v>
      </c>
      <c r="U302" s="135">
        <v>0</v>
      </c>
      <c r="V302" s="135">
        <v>0</v>
      </c>
      <c r="W302" s="135">
        <v>2.6920000000000002</v>
      </c>
      <c r="X302" s="135">
        <v>1.6759999999999999</v>
      </c>
      <c r="Y302" s="135" t="s">
        <v>1995</v>
      </c>
      <c r="Z302" s="135"/>
      <c r="AA302" s="135"/>
      <c r="AB302" s="135"/>
      <c r="AC302" s="135"/>
      <c r="AD302" s="135"/>
      <c r="AE302" s="135"/>
      <c r="AF302" s="135"/>
      <c r="AG302" s="135"/>
      <c r="AH302" s="135"/>
      <c r="AI302" s="135"/>
      <c r="AJ302" s="135"/>
      <c r="AK302" s="135"/>
      <c r="AL302" s="135">
        <v>7.7</v>
      </c>
      <c r="AM302" s="135">
        <v>4600</v>
      </c>
      <c r="AN302" s="135">
        <v>595.9</v>
      </c>
      <c r="AO302" s="135">
        <v>1.68</v>
      </c>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v>46</v>
      </c>
      <c r="BK302" s="135">
        <v>-3</v>
      </c>
      <c r="BL302" s="135">
        <v>24.5</v>
      </c>
    </row>
    <row r="303" spans="1:64" x14ac:dyDescent="0.3">
      <c r="A303" s="135">
        <v>2016</v>
      </c>
      <c r="B303" s="135">
        <v>4</v>
      </c>
      <c r="C303" s="135" t="s">
        <v>2281</v>
      </c>
      <c r="D303" s="135" t="s">
        <v>1272</v>
      </c>
      <c r="E303" s="135" t="s">
        <v>565</v>
      </c>
      <c r="F303" s="135" t="s">
        <v>26</v>
      </c>
      <c r="G303" s="135" t="s">
        <v>2298</v>
      </c>
      <c r="H303" s="135">
        <v>7.99</v>
      </c>
      <c r="I303" s="135">
        <v>4.53</v>
      </c>
      <c r="J303" s="135">
        <v>4.53</v>
      </c>
      <c r="K303" s="135">
        <v>0</v>
      </c>
      <c r="L303" s="135">
        <v>0</v>
      </c>
      <c r="M303" s="135">
        <v>0</v>
      </c>
      <c r="N303" s="135">
        <v>0</v>
      </c>
      <c r="O303" s="135">
        <v>0</v>
      </c>
      <c r="P303" s="135">
        <v>0</v>
      </c>
      <c r="Q303" s="135">
        <v>0</v>
      </c>
      <c r="R303" s="135">
        <v>0</v>
      </c>
      <c r="S303" s="135">
        <v>0</v>
      </c>
      <c r="T303" s="135">
        <v>0</v>
      </c>
      <c r="U303" s="135">
        <v>0</v>
      </c>
      <c r="V303" s="135">
        <v>0</v>
      </c>
      <c r="W303" s="135">
        <v>2.738</v>
      </c>
      <c r="X303" s="135">
        <v>1.629</v>
      </c>
      <c r="Y303" s="135" t="s">
        <v>1995</v>
      </c>
      <c r="Z303" s="135"/>
      <c r="AA303" s="135"/>
      <c r="AB303" s="135"/>
      <c r="AC303" s="135"/>
      <c r="AD303" s="135"/>
      <c r="AE303" s="135"/>
      <c r="AF303" s="135"/>
      <c r="AG303" s="135"/>
      <c r="AH303" s="135"/>
      <c r="AI303" s="135"/>
      <c r="AJ303" s="135"/>
      <c r="AK303" s="135"/>
      <c r="AL303" s="135">
        <v>7.6</v>
      </c>
      <c r="AM303" s="135">
        <v>4700</v>
      </c>
      <c r="AN303" s="135">
        <v>616.4</v>
      </c>
      <c r="AO303" s="135">
        <v>1.62</v>
      </c>
      <c r="AP303" s="135"/>
      <c r="AQ303" s="135"/>
      <c r="AR303" s="135"/>
      <c r="AS303" s="135"/>
      <c r="AT303" s="135"/>
      <c r="AU303" s="135"/>
      <c r="AV303" s="135"/>
      <c r="AW303" s="135"/>
      <c r="AX303" s="135"/>
      <c r="AY303" s="135"/>
      <c r="AZ303" s="135"/>
      <c r="BA303" s="135"/>
      <c r="BB303" s="135"/>
      <c r="BC303" s="135"/>
      <c r="BD303" s="135"/>
      <c r="BE303" s="135"/>
      <c r="BF303" s="135"/>
      <c r="BG303" s="135"/>
      <c r="BH303" s="135"/>
      <c r="BI303" s="135"/>
      <c r="BJ303" s="135">
        <v>46.5</v>
      </c>
      <c r="BK303" s="135">
        <v>-3</v>
      </c>
      <c r="BL303" s="135">
        <v>24.75</v>
      </c>
    </row>
    <row r="304" spans="1:64" x14ac:dyDescent="0.3">
      <c r="A304" s="135">
        <v>2016</v>
      </c>
      <c r="B304" s="135">
        <v>4</v>
      </c>
      <c r="C304" s="135" t="s">
        <v>2266</v>
      </c>
      <c r="D304" s="135" t="s">
        <v>1262</v>
      </c>
      <c r="E304" s="135" t="s">
        <v>565</v>
      </c>
      <c r="F304" s="135" t="s">
        <v>32</v>
      </c>
      <c r="G304" s="135" t="s">
        <v>4</v>
      </c>
      <c r="H304" s="135">
        <v>8.32</v>
      </c>
      <c r="I304" s="135">
        <v>4.5289999999999999</v>
      </c>
      <c r="J304" s="135">
        <v>4.5289999999999999</v>
      </c>
      <c r="K304" s="135">
        <v>0</v>
      </c>
      <c r="L304" s="135">
        <v>0</v>
      </c>
      <c r="M304" s="135">
        <v>0</v>
      </c>
      <c r="N304" s="135">
        <v>0</v>
      </c>
      <c r="O304" s="135">
        <v>0</v>
      </c>
      <c r="P304" s="135">
        <v>0</v>
      </c>
      <c r="Q304" s="135">
        <v>0</v>
      </c>
      <c r="R304" s="135">
        <v>0</v>
      </c>
      <c r="S304" s="135">
        <v>0</v>
      </c>
      <c r="T304" s="135">
        <v>0</v>
      </c>
      <c r="U304" s="135">
        <v>0</v>
      </c>
      <c r="V304" s="135">
        <v>0</v>
      </c>
      <c r="W304" s="135">
        <v>2.6269999999999998</v>
      </c>
      <c r="X304" s="135">
        <v>1.7290000000000001</v>
      </c>
      <c r="Y304" s="135" t="s">
        <v>1995</v>
      </c>
      <c r="Z304" s="135"/>
      <c r="AA304" s="135"/>
      <c r="AB304" s="135"/>
      <c r="AC304" s="135"/>
      <c r="AD304" s="135"/>
      <c r="AE304" s="135"/>
      <c r="AF304" s="135"/>
      <c r="AG304" s="135"/>
      <c r="AH304" s="135"/>
      <c r="AI304" s="135"/>
      <c r="AJ304" s="135"/>
      <c r="AK304" s="135"/>
      <c r="AL304" s="135">
        <v>7.8</v>
      </c>
      <c r="AM304" s="135">
        <v>5100</v>
      </c>
      <c r="AN304" s="135">
        <v>652.70000000000005</v>
      </c>
      <c r="AO304" s="135">
        <v>1.53</v>
      </c>
      <c r="AP304" s="135"/>
      <c r="AQ304" s="135"/>
      <c r="AR304" s="135"/>
      <c r="AS304" s="135"/>
      <c r="AT304" s="135"/>
      <c r="AU304" s="135"/>
      <c r="AV304" s="135"/>
      <c r="AW304" s="135"/>
      <c r="AX304" s="135"/>
      <c r="AY304" s="135"/>
      <c r="AZ304" s="135"/>
      <c r="BA304" s="135"/>
      <c r="BB304" s="135"/>
      <c r="BC304" s="135"/>
      <c r="BD304" s="135"/>
      <c r="BE304" s="135"/>
      <c r="BF304" s="135"/>
      <c r="BG304" s="135"/>
      <c r="BH304" s="135"/>
      <c r="BI304" s="135"/>
      <c r="BJ304" s="135">
        <v>46.5</v>
      </c>
      <c r="BK304" s="135">
        <v>-3.5</v>
      </c>
      <c r="BL304" s="135">
        <v>25</v>
      </c>
    </row>
    <row r="305" spans="1:64" x14ac:dyDescent="0.3">
      <c r="A305" s="135">
        <v>2016</v>
      </c>
      <c r="B305" s="135">
        <v>4</v>
      </c>
      <c r="C305" s="135" t="s">
        <v>2276</v>
      </c>
      <c r="D305" s="135" t="s">
        <v>1264</v>
      </c>
      <c r="E305" s="135" t="s">
        <v>565</v>
      </c>
      <c r="F305" s="135" t="s">
        <v>28</v>
      </c>
      <c r="G305" s="135" t="s">
        <v>57</v>
      </c>
      <c r="H305" s="135">
        <v>7.99</v>
      </c>
      <c r="I305" s="135">
        <v>4.4569999999999999</v>
      </c>
      <c r="J305" s="135">
        <v>4.4569999999999999</v>
      </c>
      <c r="K305" s="135">
        <v>0</v>
      </c>
      <c r="L305" s="135">
        <v>0</v>
      </c>
      <c r="M305" s="135">
        <v>0</v>
      </c>
      <c r="N305" s="135">
        <v>0</v>
      </c>
      <c r="O305" s="135">
        <v>0</v>
      </c>
      <c r="P305" s="135">
        <v>0</v>
      </c>
      <c r="Q305" s="135">
        <v>0</v>
      </c>
      <c r="R305" s="135">
        <v>0</v>
      </c>
      <c r="S305" s="135">
        <v>0</v>
      </c>
      <c r="T305" s="135">
        <v>0</v>
      </c>
      <c r="U305" s="135">
        <v>0</v>
      </c>
      <c r="V305" s="135">
        <v>0</v>
      </c>
      <c r="W305" s="135">
        <v>2.7149999999999999</v>
      </c>
      <c r="X305" s="135">
        <v>1.6279999999999999</v>
      </c>
      <c r="Y305" s="135" t="s">
        <v>1995</v>
      </c>
      <c r="Z305" s="135"/>
      <c r="AA305" s="135"/>
      <c r="AB305" s="135"/>
      <c r="AC305" s="135"/>
      <c r="AD305" s="135"/>
      <c r="AE305" s="135"/>
      <c r="AF305" s="135"/>
      <c r="AG305" s="135"/>
      <c r="AH305" s="135"/>
      <c r="AI305" s="135"/>
      <c r="AJ305" s="135"/>
      <c r="AK305" s="135"/>
      <c r="AL305" s="135">
        <v>7.6</v>
      </c>
      <c r="AM305" s="135">
        <v>4500</v>
      </c>
      <c r="AN305" s="135">
        <v>592.20000000000005</v>
      </c>
      <c r="AO305" s="135">
        <v>1.69</v>
      </c>
      <c r="AP305" s="135"/>
      <c r="AQ305" s="135"/>
      <c r="AR305" s="135"/>
      <c r="AS305" s="135"/>
      <c r="AT305" s="135"/>
      <c r="AU305" s="135"/>
      <c r="AV305" s="135"/>
      <c r="AW305" s="135"/>
      <c r="AX305" s="135"/>
      <c r="AY305" s="135"/>
      <c r="AZ305" s="135"/>
      <c r="BA305" s="135"/>
      <c r="BB305" s="135"/>
      <c r="BC305" s="135"/>
      <c r="BD305" s="135"/>
      <c r="BE305" s="135"/>
      <c r="BF305" s="135"/>
      <c r="BG305" s="135"/>
      <c r="BH305" s="135"/>
      <c r="BI305" s="135"/>
      <c r="BJ305" s="135">
        <v>44.5</v>
      </c>
      <c r="BK305" s="135">
        <v>-7</v>
      </c>
      <c r="BL305" s="135">
        <v>25.75</v>
      </c>
    </row>
    <row r="306" spans="1:64" x14ac:dyDescent="0.3">
      <c r="A306" s="135">
        <v>2016</v>
      </c>
      <c r="B306" s="135">
        <v>4</v>
      </c>
      <c r="C306" s="135" t="s">
        <v>2265</v>
      </c>
      <c r="D306" s="135" t="s">
        <v>1265</v>
      </c>
      <c r="E306" s="135" t="s">
        <v>565</v>
      </c>
      <c r="F306" s="135" t="s">
        <v>24</v>
      </c>
      <c r="G306" s="135" t="s">
        <v>409</v>
      </c>
      <c r="H306" s="135">
        <v>3.66</v>
      </c>
      <c r="I306" s="135">
        <v>4.4539999999999997</v>
      </c>
      <c r="J306" s="135">
        <v>4.4539999999999997</v>
      </c>
      <c r="K306" s="135">
        <v>0</v>
      </c>
      <c r="L306" s="135">
        <v>0</v>
      </c>
      <c r="M306" s="135">
        <v>0</v>
      </c>
      <c r="N306" s="135">
        <v>0</v>
      </c>
      <c r="O306" s="135">
        <v>0</v>
      </c>
      <c r="P306" s="135">
        <v>0</v>
      </c>
      <c r="Q306" s="135">
        <v>0</v>
      </c>
      <c r="R306" s="135">
        <v>0</v>
      </c>
      <c r="S306" s="135">
        <v>0</v>
      </c>
      <c r="T306" s="135">
        <v>0</v>
      </c>
      <c r="U306" s="135">
        <v>0</v>
      </c>
      <c r="V306" s="135">
        <v>0</v>
      </c>
      <c r="W306" s="135">
        <v>2.7509999999999999</v>
      </c>
      <c r="X306" s="135">
        <v>1.6220000000000001</v>
      </c>
      <c r="Y306" s="135" t="s">
        <v>1995</v>
      </c>
      <c r="Z306" s="135"/>
      <c r="AA306" s="135"/>
      <c r="AB306" s="135"/>
      <c r="AC306" s="135"/>
      <c r="AD306" s="135"/>
      <c r="AE306" s="135"/>
      <c r="AF306" s="135"/>
      <c r="AG306" s="135"/>
      <c r="AH306" s="135"/>
      <c r="AI306" s="135"/>
      <c r="AJ306" s="135"/>
      <c r="AK306" s="135"/>
      <c r="AL306" s="135">
        <v>7.6</v>
      </c>
      <c r="AM306" s="135">
        <v>4600</v>
      </c>
      <c r="AN306" s="135">
        <v>603.9</v>
      </c>
      <c r="AO306" s="135">
        <v>1.66</v>
      </c>
      <c r="AP306" s="135"/>
      <c r="AQ306" s="135"/>
      <c r="AR306" s="135"/>
      <c r="AS306" s="135"/>
      <c r="AT306" s="135"/>
      <c r="AU306" s="135"/>
      <c r="AV306" s="135"/>
      <c r="AW306" s="135"/>
      <c r="AX306" s="135"/>
      <c r="AY306" s="135"/>
      <c r="AZ306" s="135"/>
      <c r="BA306" s="135"/>
      <c r="BB306" s="135"/>
      <c r="BC306" s="135"/>
      <c r="BD306" s="135"/>
      <c r="BE306" s="135"/>
      <c r="BF306" s="135"/>
      <c r="BG306" s="135"/>
      <c r="BH306" s="135"/>
      <c r="BI306" s="135"/>
      <c r="BJ306" s="135">
        <v>43</v>
      </c>
      <c r="BK306" s="135">
        <v>-8</v>
      </c>
      <c r="BL306" s="135">
        <v>25.5</v>
      </c>
    </row>
    <row r="307" spans="1:64" x14ac:dyDescent="0.3">
      <c r="A307" s="135">
        <v>2016</v>
      </c>
      <c r="B307" s="135">
        <v>4</v>
      </c>
      <c r="C307" s="135" t="s">
        <v>2283</v>
      </c>
      <c r="D307" s="135" t="s">
        <v>1278</v>
      </c>
      <c r="E307" s="135" t="s">
        <v>565</v>
      </c>
      <c r="F307" s="135" t="s">
        <v>70</v>
      </c>
      <c r="G307" s="135" t="s">
        <v>2005</v>
      </c>
      <c r="H307" s="135">
        <v>10.66</v>
      </c>
      <c r="I307" s="135">
        <v>4.4089999999999998</v>
      </c>
      <c r="J307" s="135">
        <v>4.4089999999999998</v>
      </c>
      <c r="K307" s="135">
        <v>0</v>
      </c>
      <c r="L307" s="135">
        <v>0</v>
      </c>
      <c r="M307" s="135">
        <v>0</v>
      </c>
      <c r="N307" s="135">
        <v>0</v>
      </c>
      <c r="O307" s="135">
        <v>0</v>
      </c>
      <c r="P307" s="135">
        <v>0</v>
      </c>
      <c r="Q307" s="135">
        <v>0</v>
      </c>
      <c r="R307" s="135">
        <v>0</v>
      </c>
      <c r="S307" s="135">
        <v>0</v>
      </c>
      <c r="T307" s="135">
        <v>0</v>
      </c>
      <c r="U307" s="135">
        <v>0</v>
      </c>
      <c r="V307" s="135">
        <v>0</v>
      </c>
      <c r="W307" s="135">
        <v>2.5070000000000001</v>
      </c>
      <c r="X307" s="135">
        <v>1.698</v>
      </c>
      <c r="Y307" s="135" t="s">
        <v>1995</v>
      </c>
      <c r="Z307" s="135"/>
      <c r="AA307" s="135"/>
      <c r="AB307" s="135"/>
      <c r="AC307" s="135"/>
      <c r="AD307" s="135"/>
      <c r="AE307" s="135"/>
      <c r="AF307" s="135"/>
      <c r="AG307" s="135"/>
      <c r="AH307" s="135"/>
      <c r="AI307" s="135"/>
      <c r="AJ307" s="135"/>
      <c r="AK307" s="135"/>
      <c r="AL307" s="135">
        <v>7.6</v>
      </c>
      <c r="AM307" s="135">
        <v>4800</v>
      </c>
      <c r="AN307" s="135">
        <v>631.5</v>
      </c>
      <c r="AO307" s="135">
        <v>1.58</v>
      </c>
      <c r="AP307" s="135"/>
      <c r="AQ307" s="135"/>
      <c r="AR307" s="135"/>
      <c r="AS307" s="135"/>
      <c r="AT307" s="135"/>
      <c r="AU307" s="135"/>
      <c r="AV307" s="135"/>
      <c r="AW307" s="135"/>
      <c r="AX307" s="135"/>
      <c r="AY307" s="135"/>
      <c r="AZ307" s="135"/>
      <c r="BA307" s="135"/>
      <c r="BB307" s="135"/>
      <c r="BC307" s="135"/>
      <c r="BD307" s="135"/>
      <c r="BE307" s="135"/>
      <c r="BF307" s="135"/>
      <c r="BG307" s="135"/>
      <c r="BH307" s="135"/>
      <c r="BI307" s="135"/>
      <c r="BJ307" s="135">
        <v>44</v>
      </c>
      <c r="BK307" s="135">
        <v>-3</v>
      </c>
      <c r="BL307" s="135">
        <v>23.5</v>
      </c>
    </row>
    <row r="308" spans="1:64" x14ac:dyDescent="0.3">
      <c r="A308" s="135">
        <v>2016</v>
      </c>
      <c r="B308" s="135">
        <v>4</v>
      </c>
      <c r="C308" s="135" t="s">
        <v>2262</v>
      </c>
      <c r="D308" s="135" t="s">
        <v>1273</v>
      </c>
      <c r="E308" s="135" t="s">
        <v>565</v>
      </c>
      <c r="F308" s="135" t="s">
        <v>20</v>
      </c>
      <c r="G308" s="135" t="s">
        <v>397</v>
      </c>
      <c r="H308" s="135">
        <v>6.99</v>
      </c>
      <c r="I308" s="135">
        <v>4.4080000000000004</v>
      </c>
      <c r="J308" s="135">
        <v>4.4080000000000004</v>
      </c>
      <c r="K308" s="135">
        <v>0</v>
      </c>
      <c r="L308" s="135">
        <v>0</v>
      </c>
      <c r="M308" s="135">
        <v>0</v>
      </c>
      <c r="N308" s="135">
        <v>0</v>
      </c>
      <c r="O308" s="135">
        <v>0</v>
      </c>
      <c r="P308" s="135">
        <v>0</v>
      </c>
      <c r="Q308" s="135">
        <v>0</v>
      </c>
      <c r="R308" s="135">
        <v>0</v>
      </c>
      <c r="S308" s="135">
        <v>0</v>
      </c>
      <c r="T308" s="135">
        <v>0</v>
      </c>
      <c r="U308" s="135">
        <v>0</v>
      </c>
      <c r="V308" s="135">
        <v>0</v>
      </c>
      <c r="W308" s="135">
        <v>2.7549999999999999</v>
      </c>
      <c r="X308" s="135">
        <v>1.5740000000000001</v>
      </c>
      <c r="Y308" s="135" t="s">
        <v>1995</v>
      </c>
      <c r="Z308" s="135"/>
      <c r="AA308" s="135"/>
      <c r="AB308" s="135"/>
      <c r="AC308" s="135"/>
      <c r="AD308" s="135"/>
      <c r="AE308" s="135"/>
      <c r="AF308" s="135"/>
      <c r="AG308" s="135"/>
      <c r="AH308" s="135"/>
      <c r="AI308" s="135"/>
      <c r="AJ308" s="135"/>
      <c r="AK308" s="135"/>
      <c r="AL308" s="135">
        <v>7.5</v>
      </c>
      <c r="AM308" s="135">
        <v>4800</v>
      </c>
      <c r="AN308" s="135">
        <v>642</v>
      </c>
      <c r="AO308" s="135">
        <v>1.56</v>
      </c>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v>47.5</v>
      </c>
      <c r="BK308" s="135">
        <v>-5.5</v>
      </c>
      <c r="BL308" s="135">
        <v>26.5</v>
      </c>
    </row>
    <row r="309" spans="1:64" x14ac:dyDescent="0.3">
      <c r="A309" s="135">
        <v>2016</v>
      </c>
      <c r="B309" s="135">
        <v>4</v>
      </c>
      <c r="C309" s="135" t="s">
        <v>2260</v>
      </c>
      <c r="D309" s="135" t="s">
        <v>1768</v>
      </c>
      <c r="E309" s="135" t="s">
        <v>565</v>
      </c>
      <c r="F309" s="135" t="s">
        <v>404</v>
      </c>
      <c r="G309" s="135" t="s">
        <v>2308</v>
      </c>
      <c r="H309" s="135">
        <v>5.16</v>
      </c>
      <c r="I309" s="135">
        <v>4.3609999999999998</v>
      </c>
      <c r="J309" s="135">
        <v>4.3609999999999998</v>
      </c>
      <c r="K309" s="135">
        <v>0</v>
      </c>
      <c r="L309" s="135">
        <v>0</v>
      </c>
      <c r="M309" s="135">
        <v>0</v>
      </c>
      <c r="N309" s="135">
        <v>0</v>
      </c>
      <c r="O309" s="135">
        <v>0</v>
      </c>
      <c r="P309" s="135">
        <v>0</v>
      </c>
      <c r="Q309" s="135">
        <v>0</v>
      </c>
      <c r="R309" s="135">
        <v>0</v>
      </c>
      <c r="S309" s="135">
        <v>0</v>
      </c>
      <c r="T309" s="135">
        <v>0</v>
      </c>
      <c r="U309" s="135">
        <v>0</v>
      </c>
      <c r="V309" s="135">
        <v>0</v>
      </c>
      <c r="W309" s="135">
        <v>2.7360000000000002</v>
      </c>
      <c r="X309" s="135">
        <v>1.625</v>
      </c>
      <c r="Y309" s="135" t="s">
        <v>1995</v>
      </c>
      <c r="Z309" s="135"/>
      <c r="AA309" s="135"/>
      <c r="AB309" s="135"/>
      <c r="AC309" s="135"/>
      <c r="AD309" s="135"/>
      <c r="AE309" s="135"/>
      <c r="AF309" s="135"/>
      <c r="AG309" s="135"/>
      <c r="AH309" s="135"/>
      <c r="AI309" s="135"/>
      <c r="AJ309" s="135"/>
      <c r="AK309" s="135"/>
      <c r="AL309" s="135">
        <v>7.6</v>
      </c>
      <c r="AM309" s="135">
        <v>4500</v>
      </c>
      <c r="AN309" s="135">
        <v>591.20000000000005</v>
      </c>
      <c r="AO309" s="135">
        <v>1.69</v>
      </c>
      <c r="AP309" s="135"/>
      <c r="AQ309" s="135"/>
      <c r="AR309" s="135"/>
      <c r="AS309" s="135"/>
      <c r="AT309" s="135"/>
      <c r="AU309" s="135"/>
      <c r="AV309" s="135"/>
      <c r="AW309" s="135"/>
      <c r="AX309" s="135"/>
      <c r="AY309" s="135"/>
      <c r="AZ309" s="135"/>
      <c r="BA309" s="135"/>
      <c r="BB309" s="135"/>
      <c r="BC309" s="135"/>
      <c r="BD309" s="135"/>
      <c r="BE309" s="135"/>
      <c r="BF309" s="135"/>
      <c r="BG309" s="135"/>
      <c r="BH309" s="135"/>
      <c r="BI309" s="135"/>
      <c r="BJ309" s="135">
        <v>53.5</v>
      </c>
      <c r="BK309" s="135">
        <v>4</v>
      </c>
      <c r="BL309" s="135">
        <v>24.75</v>
      </c>
    </row>
    <row r="310" spans="1:64" x14ac:dyDescent="0.3">
      <c r="A310" s="135">
        <v>2016</v>
      </c>
      <c r="B310" s="135">
        <v>4</v>
      </c>
      <c r="C310" s="135" t="s">
        <v>2284</v>
      </c>
      <c r="D310" s="135" t="s">
        <v>1261</v>
      </c>
      <c r="E310" s="135" t="s">
        <v>565</v>
      </c>
      <c r="F310" s="135" t="s">
        <v>41</v>
      </c>
      <c r="G310" s="135" t="s">
        <v>37</v>
      </c>
      <c r="H310" s="135">
        <v>10.82</v>
      </c>
      <c r="I310" s="135">
        <v>4.2720000000000002</v>
      </c>
      <c r="J310" s="135">
        <v>4.2720000000000002</v>
      </c>
      <c r="K310" s="135">
        <v>0</v>
      </c>
      <c r="L310" s="135">
        <v>0</v>
      </c>
      <c r="M310" s="135">
        <v>0</v>
      </c>
      <c r="N310" s="135">
        <v>0</v>
      </c>
      <c r="O310" s="135">
        <v>0</v>
      </c>
      <c r="P310" s="135">
        <v>0</v>
      </c>
      <c r="Q310" s="135">
        <v>0</v>
      </c>
      <c r="R310" s="135">
        <v>0</v>
      </c>
      <c r="S310" s="135">
        <v>0</v>
      </c>
      <c r="T310" s="135">
        <v>0</v>
      </c>
      <c r="U310" s="135">
        <v>0</v>
      </c>
      <c r="V310" s="135">
        <v>0</v>
      </c>
      <c r="W310" s="135">
        <v>2.2290000000000001</v>
      </c>
      <c r="X310" s="135">
        <v>1.8240000000000001</v>
      </c>
      <c r="Y310" s="135" t="s">
        <v>1995</v>
      </c>
      <c r="Z310" s="135"/>
      <c r="AA310" s="135"/>
      <c r="AB310" s="135"/>
      <c r="AC310" s="135"/>
      <c r="AD310" s="135"/>
      <c r="AE310" s="135"/>
      <c r="AF310" s="135"/>
      <c r="AG310" s="135"/>
      <c r="AH310" s="135"/>
      <c r="AI310" s="135"/>
      <c r="AJ310" s="135"/>
      <c r="AK310" s="135"/>
      <c r="AL310" s="135">
        <v>7.7</v>
      </c>
      <c r="AM310" s="135">
        <v>4500</v>
      </c>
      <c r="AN310" s="135">
        <v>584.29999999999995</v>
      </c>
      <c r="AO310" s="135">
        <v>1.71</v>
      </c>
      <c r="AP310" s="135"/>
      <c r="AQ310" s="135"/>
      <c r="AR310" s="135"/>
      <c r="AS310" s="135"/>
      <c r="AT310" s="135"/>
      <c r="AU310" s="135"/>
      <c r="AV310" s="135"/>
      <c r="AW310" s="135"/>
      <c r="AX310" s="135"/>
      <c r="AY310" s="135"/>
      <c r="AZ310" s="135"/>
      <c r="BA310" s="135"/>
      <c r="BB310" s="135"/>
      <c r="BC310" s="135"/>
      <c r="BD310" s="135"/>
      <c r="BE310" s="135"/>
      <c r="BF310" s="135"/>
      <c r="BG310" s="135"/>
      <c r="BH310" s="135"/>
      <c r="BI310" s="135"/>
      <c r="BJ310" s="135">
        <v>43.5</v>
      </c>
      <c r="BK310" s="135">
        <v>-4</v>
      </c>
      <c r="BL310" s="135">
        <v>23.75</v>
      </c>
    </row>
    <row r="311" spans="1:64" x14ac:dyDescent="0.3">
      <c r="A311" s="135">
        <v>2016</v>
      </c>
      <c r="B311" s="135">
        <v>4</v>
      </c>
      <c r="C311" s="135" t="s">
        <v>2268</v>
      </c>
      <c r="D311" s="135" t="s">
        <v>1267</v>
      </c>
      <c r="E311" s="135" t="s">
        <v>565</v>
      </c>
      <c r="F311" s="135" t="s">
        <v>50</v>
      </c>
      <c r="G311" s="135" t="s">
        <v>22</v>
      </c>
      <c r="H311" s="135">
        <v>5.82</v>
      </c>
      <c r="I311" s="135">
        <v>4.2060000000000004</v>
      </c>
      <c r="J311" s="135">
        <v>4.2060000000000004</v>
      </c>
      <c r="K311" s="135">
        <v>0</v>
      </c>
      <c r="L311" s="135">
        <v>0</v>
      </c>
      <c r="M311" s="135">
        <v>0</v>
      </c>
      <c r="N311" s="135">
        <v>0</v>
      </c>
      <c r="O311" s="135">
        <v>0</v>
      </c>
      <c r="P311" s="135">
        <v>0</v>
      </c>
      <c r="Q311" s="135">
        <v>0</v>
      </c>
      <c r="R311" s="135">
        <v>0</v>
      </c>
      <c r="S311" s="135">
        <v>0</v>
      </c>
      <c r="T311" s="135">
        <v>0</v>
      </c>
      <c r="U311" s="135">
        <v>0</v>
      </c>
      <c r="V311" s="135">
        <v>0</v>
      </c>
      <c r="W311" s="135">
        <v>2.645</v>
      </c>
      <c r="X311" s="135">
        <v>1.4870000000000001</v>
      </c>
      <c r="Y311" s="135" t="s">
        <v>1995</v>
      </c>
      <c r="Z311" s="135"/>
      <c r="AA311" s="135"/>
      <c r="AB311" s="135"/>
      <c r="AC311" s="135"/>
      <c r="AD311" s="135"/>
      <c r="AE311" s="135"/>
      <c r="AF311" s="135"/>
      <c r="AG311" s="135"/>
      <c r="AH311" s="135"/>
      <c r="AI311" s="135"/>
      <c r="AJ311" s="135"/>
      <c r="AK311" s="135"/>
      <c r="AL311" s="135">
        <v>7.1</v>
      </c>
      <c r="AM311" s="135">
        <v>4600</v>
      </c>
      <c r="AN311" s="135">
        <v>647.29999999999995</v>
      </c>
      <c r="AO311" s="135">
        <v>1.54</v>
      </c>
      <c r="AP311" s="135"/>
      <c r="AQ311" s="135"/>
      <c r="AR311" s="135"/>
      <c r="AS311" s="135"/>
      <c r="AT311" s="135"/>
      <c r="AU311" s="135"/>
      <c r="AV311" s="135"/>
      <c r="AW311" s="135"/>
      <c r="AX311" s="135"/>
      <c r="AY311" s="135"/>
      <c r="AZ311" s="135"/>
      <c r="BA311" s="135"/>
      <c r="BB311" s="135"/>
      <c r="BC311" s="135"/>
      <c r="BD311" s="135"/>
      <c r="BE311" s="135"/>
      <c r="BF311" s="135"/>
      <c r="BG311" s="135"/>
      <c r="BH311" s="135"/>
      <c r="BI311" s="135"/>
      <c r="BJ311" s="135">
        <v>50</v>
      </c>
      <c r="BK311" s="135">
        <v>3</v>
      </c>
      <c r="BL311" s="135">
        <v>23.5</v>
      </c>
    </row>
    <row r="312" spans="1:64" x14ac:dyDescent="0.3">
      <c r="A312" s="135">
        <v>2016</v>
      </c>
      <c r="B312" s="135">
        <v>4</v>
      </c>
      <c r="C312" s="135" t="s">
        <v>2278</v>
      </c>
      <c r="D312" s="135" t="s">
        <v>1258</v>
      </c>
      <c r="E312" s="135" t="s">
        <v>565</v>
      </c>
      <c r="F312" s="135" t="s">
        <v>43</v>
      </c>
      <c r="G312" s="135" t="s">
        <v>30</v>
      </c>
      <c r="H312" s="135">
        <v>9.32</v>
      </c>
      <c r="I312" s="135">
        <v>4.0830000000000002</v>
      </c>
      <c r="J312" s="135">
        <v>4.0830000000000002</v>
      </c>
      <c r="K312" s="135">
        <v>0</v>
      </c>
      <c r="L312" s="135">
        <v>0</v>
      </c>
      <c r="M312" s="135">
        <v>0</v>
      </c>
      <c r="N312" s="135">
        <v>0</v>
      </c>
      <c r="O312" s="135">
        <v>0</v>
      </c>
      <c r="P312" s="135">
        <v>0</v>
      </c>
      <c r="Q312" s="135">
        <v>0</v>
      </c>
      <c r="R312" s="135">
        <v>0</v>
      </c>
      <c r="S312" s="135">
        <v>0</v>
      </c>
      <c r="T312" s="135">
        <v>0</v>
      </c>
      <c r="U312" s="135">
        <v>0</v>
      </c>
      <c r="V312" s="135">
        <v>0</v>
      </c>
      <c r="W312" s="135">
        <v>2.2290000000000001</v>
      </c>
      <c r="X312" s="135">
        <v>1.7330000000000001</v>
      </c>
      <c r="Y312" s="135" t="s">
        <v>1995</v>
      </c>
      <c r="Z312" s="135"/>
      <c r="AA312" s="135"/>
      <c r="AB312" s="135"/>
      <c r="AC312" s="135"/>
      <c r="AD312" s="135"/>
      <c r="AE312" s="135"/>
      <c r="AF312" s="135"/>
      <c r="AG312" s="135"/>
      <c r="AH312" s="135"/>
      <c r="AI312" s="135"/>
      <c r="AJ312" s="135"/>
      <c r="AK312" s="135"/>
      <c r="AL312" s="135">
        <v>7.4</v>
      </c>
      <c r="AM312" s="135">
        <v>4500</v>
      </c>
      <c r="AN312" s="135">
        <v>605.79999999999995</v>
      </c>
      <c r="AO312" s="135">
        <v>1.65</v>
      </c>
      <c r="AP312" s="135"/>
      <c r="AQ312" s="135"/>
      <c r="AR312" s="135"/>
      <c r="AS312" s="135"/>
      <c r="AT312" s="135"/>
      <c r="AU312" s="135"/>
      <c r="AV312" s="135"/>
      <c r="AW312" s="135"/>
      <c r="AX312" s="135"/>
      <c r="AY312" s="135"/>
      <c r="AZ312" s="135"/>
      <c r="BA312" s="135"/>
      <c r="BB312" s="135"/>
      <c r="BC312" s="135"/>
      <c r="BD312" s="135"/>
      <c r="BE312" s="135"/>
      <c r="BF312" s="135"/>
      <c r="BG312" s="135"/>
      <c r="BH312" s="135"/>
      <c r="BI312" s="135"/>
      <c r="BJ312" s="135">
        <v>40.5</v>
      </c>
      <c r="BK312" s="135">
        <v>-6.5</v>
      </c>
      <c r="BL312" s="135">
        <v>23.5</v>
      </c>
    </row>
    <row r="313" spans="1:64" x14ac:dyDescent="0.3">
      <c r="A313" s="135">
        <v>2016</v>
      </c>
      <c r="B313" s="135">
        <v>4</v>
      </c>
      <c r="C313" s="135" t="s">
        <v>2275</v>
      </c>
      <c r="D313" s="135" t="s">
        <v>1281</v>
      </c>
      <c r="E313" s="135" t="s">
        <v>565</v>
      </c>
      <c r="F313" s="135" t="s">
        <v>12</v>
      </c>
      <c r="G313" s="135" t="s">
        <v>16</v>
      </c>
      <c r="H313" s="135">
        <v>10.82</v>
      </c>
      <c r="I313" s="135">
        <v>4.0339999999999998</v>
      </c>
      <c r="J313" s="135">
        <v>4.0339999999999998</v>
      </c>
      <c r="K313" s="135">
        <v>0</v>
      </c>
      <c r="L313" s="135">
        <v>0</v>
      </c>
      <c r="M313" s="135">
        <v>0</v>
      </c>
      <c r="N313" s="135">
        <v>0</v>
      </c>
      <c r="O313" s="135">
        <v>0</v>
      </c>
      <c r="P313" s="135">
        <v>0</v>
      </c>
      <c r="Q313" s="135">
        <v>0</v>
      </c>
      <c r="R313" s="135">
        <v>0</v>
      </c>
      <c r="S313" s="135">
        <v>0</v>
      </c>
      <c r="T313" s="135">
        <v>0</v>
      </c>
      <c r="U313" s="135">
        <v>0</v>
      </c>
      <c r="V313" s="135">
        <v>0</v>
      </c>
      <c r="W313" s="135">
        <v>2.4169999999999998</v>
      </c>
      <c r="X313" s="135">
        <v>1.54</v>
      </c>
      <c r="Y313" s="135" t="s">
        <v>1995</v>
      </c>
      <c r="Z313" s="135"/>
      <c r="AA313" s="135"/>
      <c r="AB313" s="135"/>
      <c r="AC313" s="135"/>
      <c r="AD313" s="135"/>
      <c r="AE313" s="135"/>
      <c r="AF313" s="135"/>
      <c r="AG313" s="135"/>
      <c r="AH313" s="135"/>
      <c r="AI313" s="135"/>
      <c r="AJ313" s="135"/>
      <c r="AK313" s="135"/>
      <c r="AL313" s="135">
        <v>7</v>
      </c>
      <c r="AM313" s="135">
        <v>4500</v>
      </c>
      <c r="AN313" s="135">
        <v>639.5</v>
      </c>
      <c r="AO313" s="135">
        <v>1.56</v>
      </c>
      <c r="AP313" s="135"/>
      <c r="AQ313" s="135"/>
      <c r="AR313" s="135"/>
      <c r="AS313" s="135"/>
      <c r="AT313" s="135"/>
      <c r="AU313" s="135"/>
      <c r="AV313" s="135"/>
      <c r="AW313" s="135"/>
      <c r="AX313" s="135"/>
      <c r="AY313" s="135"/>
      <c r="AZ313" s="135"/>
      <c r="BA313" s="135"/>
      <c r="BB313" s="135"/>
      <c r="BC313" s="135"/>
      <c r="BD313" s="135"/>
      <c r="BE313" s="135"/>
      <c r="BF313" s="135"/>
      <c r="BG313" s="135"/>
      <c r="BH313" s="135"/>
      <c r="BI313" s="135"/>
      <c r="BJ313" s="135">
        <v>49.5</v>
      </c>
      <c r="BK313" s="135">
        <v>2.5</v>
      </c>
      <c r="BL313" s="135">
        <v>23.5</v>
      </c>
    </row>
    <row r="314" spans="1:64" x14ac:dyDescent="0.3">
      <c r="A314" s="135">
        <v>2016</v>
      </c>
      <c r="B314" s="135">
        <v>4</v>
      </c>
      <c r="C314" s="135" t="s">
        <v>2259</v>
      </c>
      <c r="D314" s="135" t="s">
        <v>1260</v>
      </c>
      <c r="E314" s="135" t="s">
        <v>565</v>
      </c>
      <c r="F314" s="135" t="s">
        <v>7</v>
      </c>
      <c r="G314" s="135" t="s">
        <v>2305</v>
      </c>
      <c r="H314" s="135">
        <v>7.66</v>
      </c>
      <c r="I314" s="135">
        <v>3.98</v>
      </c>
      <c r="J314" s="135">
        <v>3.98</v>
      </c>
      <c r="K314" s="135">
        <v>0</v>
      </c>
      <c r="L314" s="135">
        <v>0</v>
      </c>
      <c r="M314" s="135">
        <v>0</v>
      </c>
      <c r="N314" s="135">
        <v>0</v>
      </c>
      <c r="O314" s="135">
        <v>0</v>
      </c>
      <c r="P314" s="135">
        <v>0</v>
      </c>
      <c r="Q314" s="135">
        <v>0</v>
      </c>
      <c r="R314" s="135">
        <v>0</v>
      </c>
      <c r="S314" s="135">
        <v>0</v>
      </c>
      <c r="T314" s="135">
        <v>0</v>
      </c>
      <c r="U314" s="135">
        <v>0</v>
      </c>
      <c r="V314" s="135">
        <v>0</v>
      </c>
      <c r="W314" s="135">
        <v>2.085</v>
      </c>
      <c r="X314" s="135">
        <v>1.7230000000000001</v>
      </c>
      <c r="Y314" s="135" t="s">
        <v>1995</v>
      </c>
      <c r="Z314" s="135"/>
      <c r="AA314" s="135"/>
      <c r="AB314" s="135"/>
      <c r="AC314" s="135"/>
      <c r="AD314" s="135"/>
      <c r="AE314" s="135"/>
      <c r="AF314" s="135"/>
      <c r="AG314" s="135"/>
      <c r="AH314" s="135"/>
      <c r="AI314" s="135"/>
      <c r="AJ314" s="135"/>
      <c r="AK314" s="135"/>
      <c r="AL314" s="135">
        <v>7.3</v>
      </c>
      <c r="AM314" s="135">
        <v>4800</v>
      </c>
      <c r="AN314" s="135">
        <v>661.7</v>
      </c>
      <c r="AO314" s="135">
        <v>1.51</v>
      </c>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v>40.5</v>
      </c>
      <c r="BK314" s="135">
        <v>-1.5</v>
      </c>
      <c r="BL314" s="135">
        <v>21</v>
      </c>
    </row>
    <row r="315" spans="1:64" x14ac:dyDescent="0.3">
      <c r="A315" s="135">
        <v>2016</v>
      </c>
      <c r="B315" s="135">
        <v>4</v>
      </c>
      <c r="C315" s="135" t="s">
        <v>2270</v>
      </c>
      <c r="D315" s="135" t="s">
        <v>1275</v>
      </c>
      <c r="E315" s="135" t="s">
        <v>565</v>
      </c>
      <c r="F315" s="135" t="s">
        <v>397</v>
      </c>
      <c r="G315" s="135" t="s">
        <v>2307</v>
      </c>
      <c r="H315" s="135">
        <v>6.66</v>
      </c>
      <c r="I315" s="135">
        <v>3.9710000000000001</v>
      </c>
      <c r="J315" s="135">
        <v>3.9710000000000001</v>
      </c>
      <c r="K315" s="135">
        <v>0</v>
      </c>
      <c r="L315" s="135">
        <v>0</v>
      </c>
      <c r="M315" s="135">
        <v>0</v>
      </c>
      <c r="N315" s="135">
        <v>0</v>
      </c>
      <c r="O315" s="135">
        <v>0</v>
      </c>
      <c r="P315" s="135">
        <v>0</v>
      </c>
      <c r="Q315" s="135">
        <v>0</v>
      </c>
      <c r="R315" s="135">
        <v>0</v>
      </c>
      <c r="S315" s="135">
        <v>0</v>
      </c>
      <c r="T315" s="135">
        <v>0</v>
      </c>
      <c r="U315" s="135">
        <v>0</v>
      </c>
      <c r="V315" s="135">
        <v>0</v>
      </c>
      <c r="W315" s="135">
        <v>2.0950000000000002</v>
      </c>
      <c r="X315" s="135">
        <v>1.7050000000000001</v>
      </c>
      <c r="Y315" s="135" t="s">
        <v>1995</v>
      </c>
      <c r="Z315" s="135"/>
      <c r="AA315" s="135"/>
      <c r="AB315" s="135"/>
      <c r="AC315" s="135"/>
      <c r="AD315" s="135"/>
      <c r="AE315" s="135"/>
      <c r="AF315" s="135"/>
      <c r="AG315" s="135"/>
      <c r="AH315" s="135"/>
      <c r="AI315" s="135"/>
      <c r="AJ315" s="135"/>
      <c r="AK315" s="135"/>
      <c r="AL315" s="135">
        <v>7.2</v>
      </c>
      <c r="AM315" s="135">
        <v>4900</v>
      </c>
      <c r="AN315" s="135">
        <v>679.6</v>
      </c>
      <c r="AO315" s="135">
        <v>1.47</v>
      </c>
      <c r="AP315" s="135"/>
      <c r="AQ315" s="135"/>
      <c r="AR315" s="135"/>
      <c r="AS315" s="135"/>
      <c r="AT315" s="135"/>
      <c r="AU315" s="135"/>
      <c r="AV315" s="135"/>
      <c r="AW315" s="135"/>
      <c r="AX315" s="135"/>
      <c r="AY315" s="135"/>
      <c r="AZ315" s="135"/>
      <c r="BA315" s="135"/>
      <c r="BB315" s="135"/>
      <c r="BC315" s="135"/>
      <c r="BD315" s="135"/>
      <c r="BE315" s="135"/>
      <c r="BF315" s="135"/>
      <c r="BG315" s="135"/>
      <c r="BH315" s="135"/>
      <c r="BI315" s="135"/>
      <c r="BJ315" s="135">
        <v>47.5</v>
      </c>
      <c r="BK315" s="135">
        <v>5.5</v>
      </c>
      <c r="BL315" s="135">
        <v>21</v>
      </c>
    </row>
    <row r="316" spans="1:64" x14ac:dyDescent="0.3">
      <c r="A316" s="135">
        <v>2016</v>
      </c>
      <c r="B316" s="135">
        <v>4</v>
      </c>
      <c r="C316" s="135" t="s">
        <v>2273</v>
      </c>
      <c r="D316" s="135" t="s">
        <v>1269</v>
      </c>
      <c r="E316" s="135" t="s">
        <v>565</v>
      </c>
      <c r="F316" s="135" t="s">
        <v>4</v>
      </c>
      <c r="G316" s="135" t="s">
        <v>2297</v>
      </c>
      <c r="H316" s="135">
        <v>2.82</v>
      </c>
      <c r="I316" s="135">
        <v>3.9260000000000002</v>
      </c>
      <c r="J316" s="135">
        <v>3.9260000000000002</v>
      </c>
      <c r="K316" s="135">
        <v>0</v>
      </c>
      <c r="L316" s="135">
        <v>0</v>
      </c>
      <c r="M316" s="135">
        <v>0</v>
      </c>
      <c r="N316" s="135">
        <v>0</v>
      </c>
      <c r="O316" s="135">
        <v>0</v>
      </c>
      <c r="P316" s="135">
        <v>0</v>
      </c>
      <c r="Q316" s="135">
        <v>0</v>
      </c>
      <c r="R316" s="135">
        <v>0</v>
      </c>
      <c r="S316" s="135">
        <v>0</v>
      </c>
      <c r="T316" s="135">
        <v>0</v>
      </c>
      <c r="U316" s="135">
        <v>0</v>
      </c>
      <c r="V316" s="135">
        <v>0</v>
      </c>
      <c r="W316" s="135">
        <v>2.3460000000000001</v>
      </c>
      <c r="X316" s="135">
        <v>1.4359999999999999</v>
      </c>
      <c r="Y316" s="135" t="s">
        <v>1995</v>
      </c>
      <c r="Z316" s="135"/>
      <c r="AA316" s="135"/>
      <c r="AB316" s="135"/>
      <c r="AC316" s="135"/>
      <c r="AD316" s="135"/>
      <c r="AE316" s="135"/>
      <c r="AF316" s="135"/>
      <c r="AG316" s="135"/>
      <c r="AH316" s="135"/>
      <c r="AI316" s="135"/>
      <c r="AJ316" s="135"/>
      <c r="AK316" s="135"/>
      <c r="AL316" s="135">
        <v>6.7</v>
      </c>
      <c r="AM316" s="135">
        <v>4700</v>
      </c>
      <c r="AN316" s="135">
        <v>706.3</v>
      </c>
      <c r="AO316" s="135">
        <v>1.42</v>
      </c>
      <c r="AP316" s="135"/>
      <c r="AQ316" s="135"/>
      <c r="AR316" s="135"/>
      <c r="AS316" s="135"/>
      <c r="AT316" s="135"/>
      <c r="AU316" s="135"/>
      <c r="AV316" s="135"/>
      <c r="AW316" s="135"/>
      <c r="AX316" s="135"/>
      <c r="AY316" s="135"/>
      <c r="AZ316" s="135"/>
      <c r="BA316" s="135"/>
      <c r="BB316" s="135"/>
      <c r="BC316" s="135"/>
      <c r="BD316" s="135"/>
      <c r="BE316" s="135"/>
      <c r="BF316" s="135"/>
      <c r="BG316" s="135"/>
      <c r="BH316" s="135"/>
      <c r="BI316" s="135"/>
      <c r="BJ316" s="135">
        <v>46.5</v>
      </c>
      <c r="BK316" s="135">
        <v>3.5</v>
      </c>
      <c r="BL316" s="135">
        <v>21.5</v>
      </c>
    </row>
    <row r="317" spans="1:64" x14ac:dyDescent="0.3">
      <c r="A317" s="135">
        <v>2016</v>
      </c>
      <c r="B317" s="135">
        <v>4</v>
      </c>
      <c r="C317" s="135" t="s">
        <v>2271</v>
      </c>
      <c r="D317" s="135" t="s">
        <v>1283</v>
      </c>
      <c r="E317" s="135" t="s">
        <v>565</v>
      </c>
      <c r="F317" s="135" t="s">
        <v>401</v>
      </c>
      <c r="G317" s="135" t="s">
        <v>70</v>
      </c>
      <c r="H317" s="135">
        <v>4.66</v>
      </c>
      <c r="I317" s="135">
        <v>3.8650000000000002</v>
      </c>
      <c r="J317" s="135">
        <v>3.8650000000000002</v>
      </c>
      <c r="K317" s="135">
        <v>0</v>
      </c>
      <c r="L317" s="135">
        <v>0</v>
      </c>
      <c r="M317" s="135">
        <v>0</v>
      </c>
      <c r="N317" s="135">
        <v>0</v>
      </c>
      <c r="O317" s="135">
        <v>0</v>
      </c>
      <c r="P317" s="135">
        <v>0</v>
      </c>
      <c r="Q317" s="135">
        <v>0</v>
      </c>
      <c r="R317" s="135">
        <v>0</v>
      </c>
      <c r="S317" s="135">
        <v>0</v>
      </c>
      <c r="T317" s="135">
        <v>0</v>
      </c>
      <c r="U317" s="135">
        <v>0</v>
      </c>
      <c r="V317" s="135">
        <v>0</v>
      </c>
      <c r="W317" s="135">
        <v>2.173</v>
      </c>
      <c r="X317" s="135">
        <v>1.552</v>
      </c>
      <c r="Y317" s="135" t="s">
        <v>1995</v>
      </c>
      <c r="Z317" s="135"/>
      <c r="AA317" s="135"/>
      <c r="AB317" s="135"/>
      <c r="AC317" s="135"/>
      <c r="AD317" s="135"/>
      <c r="AE317" s="135"/>
      <c r="AF317" s="135"/>
      <c r="AG317" s="135"/>
      <c r="AH317" s="135"/>
      <c r="AI317" s="135"/>
      <c r="AJ317" s="135"/>
      <c r="AK317" s="135"/>
      <c r="AL317" s="135">
        <v>6.8</v>
      </c>
      <c r="AM317" s="135">
        <v>4500</v>
      </c>
      <c r="AN317" s="135">
        <v>659</v>
      </c>
      <c r="AO317" s="135">
        <v>1.52</v>
      </c>
      <c r="AP317" s="135"/>
      <c r="AQ317" s="135"/>
      <c r="AR317" s="135"/>
      <c r="AS317" s="135"/>
      <c r="AT317" s="135"/>
      <c r="AU317" s="135"/>
      <c r="AV317" s="135"/>
      <c r="AW317" s="135"/>
      <c r="AX317" s="135"/>
      <c r="AY317" s="135"/>
      <c r="AZ317" s="135"/>
      <c r="BA317" s="135"/>
      <c r="BB317" s="135"/>
      <c r="BC317" s="135"/>
      <c r="BD317" s="135"/>
      <c r="BE317" s="135"/>
      <c r="BF317" s="135"/>
      <c r="BG317" s="135"/>
      <c r="BH317" s="135"/>
      <c r="BI317" s="135"/>
      <c r="BJ317" s="135">
        <v>44</v>
      </c>
      <c r="BK317" s="135">
        <v>3</v>
      </c>
      <c r="BL317" s="135">
        <v>20.5</v>
      </c>
    </row>
    <row r="318" spans="1:64" x14ac:dyDescent="0.3">
      <c r="A318" s="135">
        <v>2016</v>
      </c>
      <c r="B318" s="135">
        <v>4</v>
      </c>
      <c r="C318" s="135" t="s">
        <v>2286</v>
      </c>
      <c r="D318" s="135" t="s">
        <v>1276</v>
      </c>
      <c r="E318" s="135" t="s">
        <v>565</v>
      </c>
      <c r="F318" s="135" t="s">
        <v>398</v>
      </c>
      <c r="G318" s="135" t="s">
        <v>52</v>
      </c>
      <c r="H318" s="135">
        <v>4.99</v>
      </c>
      <c r="I318" s="135">
        <v>3.827</v>
      </c>
      <c r="J318" s="135">
        <v>3.827</v>
      </c>
      <c r="K318" s="135">
        <v>0</v>
      </c>
      <c r="L318" s="135">
        <v>0</v>
      </c>
      <c r="M318" s="135">
        <v>0</v>
      </c>
      <c r="N318" s="135">
        <v>0</v>
      </c>
      <c r="O318" s="135">
        <v>0</v>
      </c>
      <c r="P318" s="135">
        <v>0</v>
      </c>
      <c r="Q318" s="135">
        <v>0</v>
      </c>
      <c r="R318" s="135">
        <v>0</v>
      </c>
      <c r="S318" s="135">
        <v>0</v>
      </c>
      <c r="T318" s="135">
        <v>0</v>
      </c>
      <c r="U318" s="135">
        <v>0</v>
      </c>
      <c r="V318" s="135">
        <v>0</v>
      </c>
      <c r="W318" s="135">
        <v>2.2370000000000001</v>
      </c>
      <c r="X318" s="135">
        <v>1.472</v>
      </c>
      <c r="Y318" s="135" t="s">
        <v>1995</v>
      </c>
      <c r="Z318" s="135"/>
      <c r="AA318" s="135"/>
      <c r="AB318" s="135"/>
      <c r="AC318" s="135"/>
      <c r="AD318" s="135"/>
      <c r="AE318" s="135"/>
      <c r="AF318" s="135"/>
      <c r="AG318" s="135"/>
      <c r="AH318" s="135"/>
      <c r="AI318" s="135"/>
      <c r="AJ318" s="135"/>
      <c r="AK318" s="135"/>
      <c r="AL318" s="135">
        <v>6.7</v>
      </c>
      <c r="AM318" s="135">
        <v>4500</v>
      </c>
      <c r="AN318" s="135">
        <v>676.4</v>
      </c>
      <c r="AO318" s="135">
        <v>1.48</v>
      </c>
      <c r="AP318" s="135"/>
      <c r="AQ318" s="135"/>
      <c r="AR318" s="135"/>
      <c r="AS318" s="135"/>
      <c r="AT318" s="135"/>
      <c r="AU318" s="135"/>
      <c r="AV318" s="135"/>
      <c r="AW318" s="135"/>
      <c r="AX318" s="135"/>
      <c r="AY318" s="135"/>
      <c r="AZ318" s="135"/>
      <c r="BA318" s="135"/>
      <c r="BB318" s="135"/>
      <c r="BC318" s="135"/>
      <c r="BD318" s="135"/>
      <c r="BE318" s="135"/>
      <c r="BF318" s="135"/>
      <c r="BG318" s="135"/>
      <c r="BH318" s="135"/>
      <c r="BI318" s="135"/>
      <c r="BJ318" s="135">
        <v>46</v>
      </c>
      <c r="BK318" s="135">
        <v>3</v>
      </c>
      <c r="BL318" s="135">
        <v>21.5</v>
      </c>
    </row>
    <row r="319" spans="1:64" x14ac:dyDescent="0.3">
      <c r="A319" s="135">
        <v>2016</v>
      </c>
      <c r="B319" s="135">
        <v>4</v>
      </c>
      <c r="C319" s="135" t="s">
        <v>2280</v>
      </c>
      <c r="D319" s="135" t="s">
        <v>1287</v>
      </c>
      <c r="E319" s="135" t="s">
        <v>565</v>
      </c>
      <c r="F319" s="135" t="s">
        <v>46</v>
      </c>
      <c r="G319" s="135" t="s">
        <v>26</v>
      </c>
      <c r="H319" s="135">
        <v>9.16</v>
      </c>
      <c r="I319" s="135">
        <v>3.8159999999999998</v>
      </c>
      <c r="J319" s="135">
        <v>3.8159999999999998</v>
      </c>
      <c r="K319" s="135">
        <v>0</v>
      </c>
      <c r="L319" s="135">
        <v>0</v>
      </c>
      <c r="M319" s="135">
        <v>0</v>
      </c>
      <c r="N319" s="135">
        <v>0</v>
      </c>
      <c r="O319" s="135">
        <v>0</v>
      </c>
      <c r="P319" s="135">
        <v>0</v>
      </c>
      <c r="Q319" s="135">
        <v>0</v>
      </c>
      <c r="R319" s="135">
        <v>0</v>
      </c>
      <c r="S319" s="135">
        <v>0</v>
      </c>
      <c r="T319" s="135">
        <v>0</v>
      </c>
      <c r="U319" s="135">
        <v>0</v>
      </c>
      <c r="V319" s="135">
        <v>0</v>
      </c>
      <c r="W319" s="135">
        <v>2.2010000000000001</v>
      </c>
      <c r="X319" s="135">
        <v>1.5089999999999999</v>
      </c>
      <c r="Y319" s="135" t="s">
        <v>1995</v>
      </c>
      <c r="Z319" s="135"/>
      <c r="AA319" s="135"/>
      <c r="AB319" s="135"/>
      <c r="AC319" s="135"/>
      <c r="AD319" s="135"/>
      <c r="AE319" s="135"/>
      <c r="AF319" s="135"/>
      <c r="AG319" s="135"/>
      <c r="AH319" s="135"/>
      <c r="AI319" s="135"/>
      <c r="AJ319" s="135"/>
      <c r="AK319" s="135"/>
      <c r="AL319" s="135">
        <v>6.7</v>
      </c>
      <c r="AM319" s="135">
        <v>4500</v>
      </c>
      <c r="AN319" s="135">
        <v>668.8</v>
      </c>
      <c r="AO319" s="135">
        <v>1.5</v>
      </c>
      <c r="AP319" s="135"/>
      <c r="AQ319" s="135"/>
      <c r="AR319" s="135"/>
      <c r="AS319" s="135"/>
      <c r="AT319" s="135"/>
      <c r="AU319" s="135"/>
      <c r="AV319" s="135"/>
      <c r="AW319" s="135"/>
      <c r="AX319" s="135"/>
      <c r="AY319" s="135"/>
      <c r="AZ319" s="135"/>
      <c r="BA319" s="135"/>
      <c r="BB319" s="135"/>
      <c r="BC319" s="135"/>
      <c r="BD319" s="135"/>
      <c r="BE319" s="135"/>
      <c r="BF319" s="135"/>
      <c r="BG319" s="135"/>
      <c r="BH319" s="135"/>
      <c r="BI319" s="135"/>
      <c r="BJ319" s="135">
        <v>46.5</v>
      </c>
      <c r="BK319" s="135">
        <v>3</v>
      </c>
      <c r="BL319" s="135">
        <v>21.75</v>
      </c>
    </row>
    <row r="320" spans="1:64" x14ac:dyDescent="0.3">
      <c r="A320" s="135">
        <v>2016</v>
      </c>
      <c r="B320" s="135">
        <v>4</v>
      </c>
      <c r="C320" s="135" t="s">
        <v>2263</v>
      </c>
      <c r="D320" s="135" t="s">
        <v>1259</v>
      </c>
      <c r="E320" s="135" t="s">
        <v>565</v>
      </c>
      <c r="F320" s="135" t="s">
        <v>37</v>
      </c>
      <c r="G320" s="135" t="s">
        <v>2304</v>
      </c>
      <c r="H320" s="135">
        <v>2.16</v>
      </c>
      <c r="I320" s="135">
        <v>3.6240000000000001</v>
      </c>
      <c r="J320" s="135">
        <v>3.6240000000000001</v>
      </c>
      <c r="K320" s="135">
        <v>0</v>
      </c>
      <c r="L320" s="135">
        <v>0</v>
      </c>
      <c r="M320" s="135">
        <v>0</v>
      </c>
      <c r="N320" s="135">
        <v>0</v>
      </c>
      <c r="O320" s="135">
        <v>0</v>
      </c>
      <c r="P320" s="135">
        <v>0</v>
      </c>
      <c r="Q320" s="135">
        <v>0</v>
      </c>
      <c r="R320" s="135">
        <v>0</v>
      </c>
      <c r="S320" s="135">
        <v>0</v>
      </c>
      <c r="T320" s="135">
        <v>0</v>
      </c>
      <c r="U320" s="135">
        <v>0</v>
      </c>
      <c r="V320" s="135">
        <v>0</v>
      </c>
      <c r="W320" s="135">
        <v>2.044</v>
      </c>
      <c r="X320" s="135">
        <v>1.4770000000000001</v>
      </c>
      <c r="Y320" s="135" t="s">
        <v>1995</v>
      </c>
      <c r="Z320" s="135"/>
      <c r="AA320" s="135"/>
      <c r="AB320" s="135"/>
      <c r="AC320" s="135"/>
      <c r="AD320" s="135"/>
      <c r="AE320" s="135"/>
      <c r="AF320" s="135"/>
      <c r="AG320" s="135"/>
      <c r="AH320" s="135"/>
      <c r="AI320" s="135"/>
      <c r="AJ320" s="135"/>
      <c r="AK320" s="135"/>
      <c r="AL320" s="135">
        <v>6.5</v>
      </c>
      <c r="AM320" s="135">
        <v>4800</v>
      </c>
      <c r="AN320" s="135">
        <v>741.3</v>
      </c>
      <c r="AO320" s="135">
        <v>1.35</v>
      </c>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v>43.5</v>
      </c>
      <c r="BK320" s="135">
        <v>4</v>
      </c>
      <c r="BL320" s="135">
        <v>19.75</v>
      </c>
    </row>
    <row r="321" spans="1:64" x14ac:dyDescent="0.3">
      <c r="A321" s="135">
        <v>2016</v>
      </c>
      <c r="B321" s="135">
        <v>4</v>
      </c>
      <c r="C321" s="135" t="s">
        <v>2282</v>
      </c>
      <c r="D321" s="135" t="s">
        <v>1270</v>
      </c>
      <c r="E321" s="135" t="s">
        <v>565</v>
      </c>
      <c r="F321" s="135" t="s">
        <v>34</v>
      </c>
      <c r="G321" s="135" t="s">
        <v>7</v>
      </c>
      <c r="H321" s="135">
        <v>7.66</v>
      </c>
      <c r="I321" s="135">
        <v>3.5449999999999999</v>
      </c>
      <c r="J321" s="135">
        <v>3.5449999999999999</v>
      </c>
      <c r="K321" s="135">
        <v>0</v>
      </c>
      <c r="L321" s="135">
        <v>0</v>
      </c>
      <c r="M321" s="135">
        <v>0</v>
      </c>
      <c r="N321" s="135">
        <v>0</v>
      </c>
      <c r="O321" s="135">
        <v>0</v>
      </c>
      <c r="P321" s="135">
        <v>0</v>
      </c>
      <c r="Q321" s="135">
        <v>0</v>
      </c>
      <c r="R321" s="135">
        <v>0</v>
      </c>
      <c r="S321" s="135">
        <v>0</v>
      </c>
      <c r="T321" s="135">
        <v>0</v>
      </c>
      <c r="U321" s="135">
        <v>0</v>
      </c>
      <c r="V321" s="135">
        <v>0</v>
      </c>
      <c r="W321" s="135">
        <v>1.879</v>
      </c>
      <c r="X321" s="135">
        <v>1.5569999999999999</v>
      </c>
      <c r="Y321" s="135" t="s">
        <v>1995</v>
      </c>
      <c r="Z321" s="135"/>
      <c r="AA321" s="135"/>
      <c r="AB321" s="135"/>
      <c r="AC321" s="135"/>
      <c r="AD321" s="135"/>
      <c r="AE321" s="135"/>
      <c r="AF321" s="135"/>
      <c r="AG321" s="135"/>
      <c r="AH321" s="135"/>
      <c r="AI321" s="135"/>
      <c r="AJ321" s="135"/>
      <c r="AK321" s="135"/>
      <c r="AL321" s="135">
        <v>6.6</v>
      </c>
      <c r="AM321" s="135">
        <v>4500</v>
      </c>
      <c r="AN321" s="135">
        <v>687</v>
      </c>
      <c r="AO321" s="135">
        <v>1.46</v>
      </c>
      <c r="AP321" s="135"/>
      <c r="AQ321" s="135"/>
      <c r="AR321" s="135"/>
      <c r="AS321" s="135"/>
      <c r="AT321" s="135"/>
      <c r="AU321" s="135"/>
      <c r="AV321" s="135"/>
      <c r="AW321" s="135"/>
      <c r="AX321" s="135"/>
      <c r="AY321" s="135"/>
      <c r="AZ321" s="135"/>
      <c r="BA321" s="135"/>
      <c r="BB321" s="135"/>
      <c r="BC321" s="135"/>
      <c r="BD321" s="135"/>
      <c r="BE321" s="135"/>
      <c r="BF321" s="135"/>
      <c r="BG321" s="135"/>
      <c r="BH321" s="135"/>
      <c r="BI321" s="135"/>
      <c r="BJ321" s="135">
        <v>40.5</v>
      </c>
      <c r="BK321" s="135">
        <v>1.5</v>
      </c>
      <c r="BL321" s="135">
        <v>19.5</v>
      </c>
    </row>
    <row r="322" spans="1:64" x14ac:dyDescent="0.3">
      <c r="A322" s="135">
        <v>2016</v>
      </c>
      <c r="B322" s="135">
        <v>4</v>
      </c>
      <c r="C322" s="135" t="s">
        <v>2267</v>
      </c>
      <c r="D322" s="135" t="s">
        <v>1285</v>
      </c>
      <c r="E322" s="135" t="s">
        <v>565</v>
      </c>
      <c r="F322" s="135" t="s">
        <v>57</v>
      </c>
      <c r="G322" s="135" t="s">
        <v>1999</v>
      </c>
      <c r="H322" s="135">
        <v>6.99</v>
      </c>
      <c r="I322" s="135">
        <v>3.5329999999999999</v>
      </c>
      <c r="J322" s="135">
        <v>3.5329999999999999</v>
      </c>
      <c r="K322" s="135">
        <v>0</v>
      </c>
      <c r="L322" s="135">
        <v>0</v>
      </c>
      <c r="M322" s="135">
        <v>0</v>
      </c>
      <c r="N322" s="135">
        <v>0</v>
      </c>
      <c r="O322" s="135">
        <v>0</v>
      </c>
      <c r="P322" s="135">
        <v>0</v>
      </c>
      <c r="Q322" s="135">
        <v>0</v>
      </c>
      <c r="R322" s="135">
        <v>0</v>
      </c>
      <c r="S322" s="135">
        <v>0</v>
      </c>
      <c r="T322" s="135">
        <v>0</v>
      </c>
      <c r="U322" s="135">
        <v>0</v>
      </c>
      <c r="V322" s="135">
        <v>0</v>
      </c>
      <c r="W322" s="135">
        <v>1.978</v>
      </c>
      <c r="X322" s="135">
        <v>1.4810000000000001</v>
      </c>
      <c r="Y322" s="135" t="s">
        <v>1995</v>
      </c>
      <c r="Z322" s="135"/>
      <c r="AA322" s="135"/>
      <c r="AB322" s="135"/>
      <c r="AC322" s="135"/>
      <c r="AD322" s="135"/>
      <c r="AE322" s="135"/>
      <c r="AF322" s="135"/>
      <c r="AG322" s="135"/>
      <c r="AH322" s="135"/>
      <c r="AI322" s="135"/>
      <c r="AJ322" s="135"/>
      <c r="AK322" s="135"/>
      <c r="AL322" s="135">
        <v>6.4</v>
      </c>
      <c r="AM322" s="135">
        <v>4500</v>
      </c>
      <c r="AN322" s="135">
        <v>700.8</v>
      </c>
      <c r="AO322" s="135">
        <v>1.43</v>
      </c>
      <c r="AP322" s="135"/>
      <c r="AQ322" s="135"/>
      <c r="AR322" s="135"/>
      <c r="AS322" s="135"/>
      <c r="AT322" s="135"/>
      <c r="AU322" s="135"/>
      <c r="AV322" s="135"/>
      <c r="AW322" s="135"/>
      <c r="AX322" s="135"/>
      <c r="AY322" s="135"/>
      <c r="AZ322" s="135"/>
      <c r="BA322" s="135"/>
      <c r="BB322" s="135"/>
      <c r="BC322" s="135"/>
      <c r="BD322" s="135"/>
      <c r="BE322" s="135"/>
      <c r="BF322" s="135"/>
      <c r="BG322" s="135"/>
      <c r="BH322" s="135"/>
      <c r="BI322" s="135"/>
      <c r="BJ322" s="135">
        <v>44.5</v>
      </c>
      <c r="BK322" s="135">
        <v>7</v>
      </c>
      <c r="BL322" s="135">
        <v>18.75</v>
      </c>
    </row>
    <row r="323" spans="1:64" x14ac:dyDescent="0.3">
      <c r="A323" s="135">
        <v>2016</v>
      </c>
      <c r="B323" s="135">
        <v>4</v>
      </c>
      <c r="C323" s="135" t="s">
        <v>2591</v>
      </c>
      <c r="D323" s="135" t="s">
        <v>2592</v>
      </c>
      <c r="E323" s="135" t="s">
        <v>565</v>
      </c>
      <c r="F323" s="135" t="s">
        <v>14</v>
      </c>
      <c r="G323" s="135" t="s">
        <v>2310</v>
      </c>
      <c r="H323" s="135">
        <v>9.16</v>
      </c>
      <c r="I323" s="135">
        <v>3.528</v>
      </c>
      <c r="J323" s="135">
        <v>3.528</v>
      </c>
      <c r="K323" s="135">
        <v>0</v>
      </c>
      <c r="L323" s="135">
        <v>0</v>
      </c>
      <c r="M323" s="135">
        <v>0</v>
      </c>
      <c r="N323" s="135">
        <v>0</v>
      </c>
      <c r="O323" s="135">
        <v>0</v>
      </c>
      <c r="P323" s="135">
        <v>0</v>
      </c>
      <c r="Q323" s="135">
        <v>0</v>
      </c>
      <c r="R323" s="135">
        <v>0</v>
      </c>
      <c r="S323" s="135">
        <v>0</v>
      </c>
      <c r="T323" s="135">
        <v>0</v>
      </c>
      <c r="U323" s="135">
        <v>0</v>
      </c>
      <c r="V323" s="135">
        <v>0</v>
      </c>
      <c r="W323" s="135">
        <v>1.984</v>
      </c>
      <c r="X323" s="135">
        <v>1.47</v>
      </c>
      <c r="Y323" s="135" t="s">
        <v>1995</v>
      </c>
      <c r="Z323" s="135"/>
      <c r="AA323" s="135"/>
      <c r="AB323" s="135"/>
      <c r="AC323" s="135"/>
      <c r="AD323" s="135"/>
      <c r="AE323" s="135"/>
      <c r="AF323" s="135"/>
      <c r="AG323" s="135"/>
      <c r="AH323" s="135"/>
      <c r="AI323" s="135"/>
      <c r="AJ323" s="135"/>
      <c r="AK323" s="135"/>
      <c r="AL323" s="135">
        <v>6.4</v>
      </c>
      <c r="AM323" s="135">
        <v>4500</v>
      </c>
      <c r="AN323" s="135">
        <v>703.8</v>
      </c>
      <c r="AO323" s="135">
        <v>1.42</v>
      </c>
      <c r="AP323" s="135"/>
      <c r="AQ323" s="135"/>
      <c r="AR323" s="135"/>
      <c r="AS323" s="135"/>
      <c r="AT323" s="135"/>
      <c r="AU323" s="135"/>
      <c r="AV323" s="135"/>
      <c r="AW323" s="135"/>
      <c r="AX323" s="135"/>
      <c r="AY323" s="135"/>
      <c r="AZ323" s="135"/>
      <c r="BA323" s="135"/>
      <c r="BB323" s="135"/>
      <c r="BC323" s="135"/>
      <c r="BD323" s="135"/>
      <c r="BE323" s="135"/>
      <c r="BF323" s="135"/>
      <c r="BG323" s="135"/>
      <c r="BH323" s="135"/>
      <c r="BI323" s="135"/>
      <c r="BJ323" s="135">
        <v>45.5</v>
      </c>
      <c r="BK323" s="135">
        <v>8</v>
      </c>
      <c r="BL323" s="135">
        <v>18.75</v>
      </c>
    </row>
    <row r="324" spans="1:64" x14ac:dyDescent="0.3">
      <c r="A324" s="135">
        <v>2016</v>
      </c>
      <c r="B324" s="135">
        <v>4</v>
      </c>
      <c r="C324" s="135" t="s">
        <v>2279</v>
      </c>
      <c r="D324" s="135" t="s">
        <v>1274</v>
      </c>
      <c r="E324" s="135" t="s">
        <v>565</v>
      </c>
      <c r="F324" s="135" t="s">
        <v>10</v>
      </c>
      <c r="G324" s="135" t="s">
        <v>1992</v>
      </c>
      <c r="H324" s="135">
        <v>2.3199999999999998</v>
      </c>
      <c r="I324" s="135">
        <v>3.4940000000000002</v>
      </c>
      <c r="J324" s="135">
        <v>3.4940000000000002</v>
      </c>
      <c r="K324" s="135">
        <v>0</v>
      </c>
      <c r="L324" s="135">
        <v>0</v>
      </c>
      <c r="M324" s="135">
        <v>0</v>
      </c>
      <c r="N324" s="135">
        <v>0</v>
      </c>
      <c r="O324" s="135">
        <v>0</v>
      </c>
      <c r="P324" s="135">
        <v>0</v>
      </c>
      <c r="Q324" s="135">
        <v>0</v>
      </c>
      <c r="R324" s="135">
        <v>0</v>
      </c>
      <c r="S324" s="135">
        <v>0</v>
      </c>
      <c r="T324" s="135">
        <v>0</v>
      </c>
      <c r="U324" s="135">
        <v>0</v>
      </c>
      <c r="V324" s="135">
        <v>0</v>
      </c>
      <c r="W324" s="135">
        <v>1.986</v>
      </c>
      <c r="X324" s="135">
        <v>1.409</v>
      </c>
      <c r="Y324" s="135" t="s">
        <v>1995</v>
      </c>
      <c r="Z324" s="135"/>
      <c r="AA324" s="135"/>
      <c r="AB324" s="135"/>
      <c r="AC324" s="135"/>
      <c r="AD324" s="135"/>
      <c r="AE324" s="135"/>
      <c r="AF324" s="135"/>
      <c r="AG324" s="135"/>
      <c r="AH324" s="135"/>
      <c r="AI324" s="135"/>
      <c r="AJ324" s="135"/>
      <c r="AK324" s="135"/>
      <c r="AL324" s="135">
        <v>6.2</v>
      </c>
      <c r="AM324" s="135">
        <v>4500</v>
      </c>
      <c r="AN324" s="135">
        <v>724.3</v>
      </c>
      <c r="AO324" s="135">
        <v>1.38</v>
      </c>
      <c r="AP324" s="135"/>
      <c r="AQ324" s="135"/>
      <c r="AR324" s="135"/>
      <c r="AS324" s="135"/>
      <c r="AT324" s="135"/>
      <c r="AU324" s="135"/>
      <c r="AV324" s="135"/>
      <c r="AW324" s="135"/>
      <c r="AX324" s="135"/>
      <c r="AY324" s="135"/>
      <c r="AZ324" s="135"/>
      <c r="BA324" s="135"/>
      <c r="BB324" s="135"/>
      <c r="BC324" s="135"/>
      <c r="BD324" s="135"/>
      <c r="BE324" s="135"/>
      <c r="BF324" s="135"/>
      <c r="BG324" s="135"/>
      <c r="BH324" s="135"/>
      <c r="BI324" s="135"/>
      <c r="BJ324" s="135">
        <v>44</v>
      </c>
      <c r="BK324" s="135">
        <v>4.5</v>
      </c>
      <c r="BL324" s="135">
        <v>19.75</v>
      </c>
    </row>
    <row r="325" spans="1:64" x14ac:dyDescent="0.3">
      <c r="A325" s="135">
        <v>2016</v>
      </c>
      <c r="B325" s="135">
        <v>4</v>
      </c>
      <c r="C325" s="135" t="s">
        <v>2285</v>
      </c>
      <c r="D325" s="135" t="s">
        <v>1282</v>
      </c>
      <c r="E325" s="135" t="s">
        <v>565</v>
      </c>
      <c r="F325" s="135" t="s">
        <v>409</v>
      </c>
      <c r="G325" s="135" t="s">
        <v>2295</v>
      </c>
      <c r="H325" s="135">
        <v>8.82</v>
      </c>
      <c r="I325" s="135">
        <v>3.2629999999999999</v>
      </c>
      <c r="J325" s="135">
        <v>3.2629999999999999</v>
      </c>
      <c r="K325" s="135">
        <v>0</v>
      </c>
      <c r="L325" s="135">
        <v>0</v>
      </c>
      <c r="M325" s="135">
        <v>0</v>
      </c>
      <c r="N325" s="135">
        <v>0</v>
      </c>
      <c r="O325" s="135">
        <v>0</v>
      </c>
      <c r="P325" s="135">
        <v>0</v>
      </c>
      <c r="Q325" s="135">
        <v>0</v>
      </c>
      <c r="R325" s="135">
        <v>0</v>
      </c>
      <c r="S325" s="135">
        <v>0</v>
      </c>
      <c r="T325" s="135">
        <v>0</v>
      </c>
      <c r="U325" s="135">
        <v>0</v>
      </c>
      <c r="V325" s="135">
        <v>0</v>
      </c>
      <c r="W325" s="135">
        <v>1.6639999999999999</v>
      </c>
      <c r="X325" s="135">
        <v>1.454</v>
      </c>
      <c r="Y325" s="135" t="s">
        <v>1995</v>
      </c>
      <c r="Z325" s="135"/>
      <c r="AA325" s="135"/>
      <c r="AB325" s="135"/>
      <c r="AC325" s="135"/>
      <c r="AD325" s="135"/>
      <c r="AE325" s="135"/>
      <c r="AF325" s="135"/>
      <c r="AG325" s="135"/>
      <c r="AH325" s="135"/>
      <c r="AI325" s="135"/>
      <c r="AJ325" s="135"/>
      <c r="AK325" s="135"/>
      <c r="AL325" s="135">
        <v>6</v>
      </c>
      <c r="AM325" s="135">
        <v>4500</v>
      </c>
      <c r="AN325" s="135">
        <v>746.8</v>
      </c>
      <c r="AO325" s="135">
        <v>1.34</v>
      </c>
      <c r="AP325" s="135"/>
      <c r="AQ325" s="135"/>
      <c r="AR325" s="135"/>
      <c r="AS325" s="135"/>
      <c r="AT325" s="135"/>
      <c r="AU325" s="135"/>
      <c r="AV325" s="135"/>
      <c r="AW325" s="135"/>
      <c r="AX325" s="135"/>
      <c r="AY325" s="135"/>
      <c r="AZ325" s="135"/>
      <c r="BA325" s="135"/>
      <c r="BB325" s="135"/>
      <c r="BC325" s="135"/>
      <c r="BD325" s="135"/>
      <c r="BE325" s="135"/>
      <c r="BF325" s="135"/>
      <c r="BG325" s="135"/>
      <c r="BH325" s="135"/>
      <c r="BI325" s="135"/>
      <c r="BJ325" s="135">
        <v>43</v>
      </c>
      <c r="BK325" s="135">
        <v>8</v>
      </c>
      <c r="BL325" s="135">
        <v>17.5</v>
      </c>
    </row>
    <row r="326" spans="1:64" x14ac:dyDescent="0.3">
      <c r="A326" s="135">
        <v>2016</v>
      </c>
      <c r="B326" s="135">
        <v>4</v>
      </c>
      <c r="C326" s="135" t="s">
        <v>2272</v>
      </c>
      <c r="D326" s="135" t="s">
        <v>1280</v>
      </c>
      <c r="E326" s="135" t="s">
        <v>565</v>
      </c>
      <c r="F326" s="135" t="s">
        <v>30</v>
      </c>
      <c r="G326" s="135" t="s">
        <v>2302</v>
      </c>
      <c r="H326" s="135">
        <v>8.32</v>
      </c>
      <c r="I326" s="135">
        <v>3.2330000000000001</v>
      </c>
      <c r="J326" s="135">
        <v>3.2330000000000001</v>
      </c>
      <c r="K326" s="135">
        <v>0</v>
      </c>
      <c r="L326" s="135">
        <v>0</v>
      </c>
      <c r="M326" s="135">
        <v>0</v>
      </c>
      <c r="N326" s="135">
        <v>0</v>
      </c>
      <c r="O326" s="135">
        <v>0</v>
      </c>
      <c r="P326" s="135">
        <v>0</v>
      </c>
      <c r="Q326" s="135">
        <v>0</v>
      </c>
      <c r="R326" s="135">
        <v>0</v>
      </c>
      <c r="S326" s="135">
        <v>0</v>
      </c>
      <c r="T326" s="135">
        <v>0</v>
      </c>
      <c r="U326" s="135">
        <v>0</v>
      </c>
      <c r="V326" s="135">
        <v>0</v>
      </c>
      <c r="W326" s="135">
        <v>1.62</v>
      </c>
      <c r="X326" s="135">
        <v>1.536</v>
      </c>
      <c r="Y326" s="135" t="s">
        <v>1995</v>
      </c>
      <c r="Z326" s="135"/>
      <c r="AA326" s="135"/>
      <c r="AB326" s="135"/>
      <c r="AC326" s="135"/>
      <c r="AD326" s="135"/>
      <c r="AE326" s="135"/>
      <c r="AF326" s="135"/>
      <c r="AG326" s="135"/>
      <c r="AH326" s="135"/>
      <c r="AI326" s="135"/>
      <c r="AJ326" s="135"/>
      <c r="AK326" s="135"/>
      <c r="AL326" s="135">
        <v>6.2</v>
      </c>
      <c r="AM326" s="135">
        <v>4500</v>
      </c>
      <c r="AN326" s="135">
        <v>722.5</v>
      </c>
      <c r="AO326" s="135">
        <v>1.38</v>
      </c>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v>40.5</v>
      </c>
      <c r="BK326" s="135">
        <v>6.5</v>
      </c>
      <c r="BL326" s="135">
        <v>17</v>
      </c>
    </row>
    <row r="327" spans="1:64" x14ac:dyDescent="0.3">
      <c r="A327" s="135">
        <v>2016</v>
      </c>
      <c r="B327" s="135">
        <v>4</v>
      </c>
      <c r="C327" s="135" t="s">
        <v>10</v>
      </c>
      <c r="D327" s="135" t="s">
        <v>848</v>
      </c>
      <c r="E327" s="135" t="s">
        <v>1408</v>
      </c>
      <c r="F327" s="135" t="s">
        <v>10</v>
      </c>
      <c r="G327" s="135" t="s">
        <v>1992</v>
      </c>
      <c r="H327" s="135"/>
      <c r="I327" s="135"/>
      <c r="J327" s="135"/>
      <c r="K327" s="135"/>
      <c r="L327" s="135"/>
      <c r="M327" s="135"/>
      <c r="N327" s="135"/>
      <c r="O327" s="135"/>
      <c r="P327" s="135"/>
      <c r="Q327" s="135"/>
      <c r="R327" s="135"/>
      <c r="S327" s="135"/>
      <c r="T327" s="135"/>
      <c r="U327" s="135"/>
      <c r="V327" s="135"/>
      <c r="W327" s="135"/>
      <c r="X327" s="135"/>
      <c r="Y327" s="135"/>
      <c r="Z327" s="135">
        <v>6.6</v>
      </c>
      <c r="AA327" s="135">
        <v>2650</v>
      </c>
      <c r="AB327" s="135">
        <v>401</v>
      </c>
      <c r="AC327" s="135">
        <v>2.4900000000000002</v>
      </c>
      <c r="AD327" s="135">
        <v>6.6</v>
      </c>
      <c r="AE327" s="135">
        <v>6150</v>
      </c>
      <c r="AF327" s="135">
        <v>930.5</v>
      </c>
      <c r="AG327" s="135">
        <v>1.07</v>
      </c>
      <c r="AH327" s="135">
        <v>6.6</v>
      </c>
      <c r="AI327" s="135">
        <v>2600</v>
      </c>
      <c r="AJ327" s="135">
        <v>393.4</v>
      </c>
      <c r="AK327" s="135">
        <v>2.54</v>
      </c>
      <c r="AL327" s="135">
        <v>6.6</v>
      </c>
      <c r="AM327" s="135">
        <v>4300</v>
      </c>
      <c r="AN327" s="135">
        <v>650.6</v>
      </c>
      <c r="AO327" s="135">
        <v>1.54</v>
      </c>
      <c r="AP327" s="135">
        <v>6.6</v>
      </c>
      <c r="AQ327" s="135">
        <v>11</v>
      </c>
      <c r="AR327" s="135">
        <v>1.7</v>
      </c>
      <c r="AS327" s="135">
        <v>0.6</v>
      </c>
      <c r="AT327" s="135">
        <v>6.6</v>
      </c>
      <c r="AU327" s="135">
        <v>5000</v>
      </c>
      <c r="AV327" s="135">
        <v>756.5</v>
      </c>
      <c r="AW327" s="135">
        <v>1.32</v>
      </c>
      <c r="AX327" s="135"/>
      <c r="AY327" s="135"/>
      <c r="AZ327" s="135"/>
      <c r="BA327" s="135"/>
      <c r="BB327" s="135"/>
      <c r="BC327" s="135"/>
      <c r="BD327" s="135"/>
      <c r="BE327" s="135"/>
      <c r="BF327" s="135"/>
      <c r="BG327" s="135"/>
      <c r="BH327" s="135"/>
      <c r="BI327" s="135"/>
      <c r="BJ327" s="135"/>
      <c r="BK327" s="135"/>
      <c r="BL327" s="135"/>
    </row>
    <row r="328" spans="1:64" x14ac:dyDescent="0.3">
      <c r="A328" s="135">
        <v>2016</v>
      </c>
      <c r="B328" s="135">
        <v>4</v>
      </c>
      <c r="C328" s="135" t="s">
        <v>57</v>
      </c>
      <c r="D328" s="135" t="s">
        <v>843</v>
      </c>
      <c r="E328" s="135" t="s">
        <v>1408</v>
      </c>
      <c r="F328" s="135" t="s">
        <v>57</v>
      </c>
      <c r="G328" s="135" t="s">
        <v>1999</v>
      </c>
      <c r="H328" s="135"/>
      <c r="I328" s="135"/>
      <c r="J328" s="135"/>
      <c r="K328" s="135"/>
      <c r="L328" s="135"/>
      <c r="M328" s="135"/>
      <c r="N328" s="135"/>
      <c r="O328" s="135"/>
      <c r="P328" s="135"/>
      <c r="Q328" s="135"/>
      <c r="R328" s="135"/>
      <c r="S328" s="135"/>
      <c r="T328" s="135"/>
      <c r="U328" s="135"/>
      <c r="V328" s="135"/>
      <c r="W328" s="135"/>
      <c r="X328" s="135"/>
      <c r="Y328" s="135"/>
      <c r="Z328" s="135">
        <v>6.1</v>
      </c>
      <c r="AA328" s="135">
        <v>2650</v>
      </c>
      <c r="AB328" s="135">
        <v>436.3</v>
      </c>
      <c r="AC328" s="135">
        <v>2.29</v>
      </c>
      <c r="AD328" s="135">
        <v>6.1</v>
      </c>
      <c r="AE328" s="135">
        <v>5000</v>
      </c>
      <c r="AF328" s="135">
        <v>823.2</v>
      </c>
      <c r="AG328" s="135">
        <v>1.21</v>
      </c>
      <c r="AH328" s="135">
        <v>6.1</v>
      </c>
      <c r="AI328" s="135">
        <v>2700</v>
      </c>
      <c r="AJ328" s="135">
        <v>444.5</v>
      </c>
      <c r="AK328" s="135">
        <v>2.25</v>
      </c>
      <c r="AL328" s="135">
        <v>6.1</v>
      </c>
      <c r="AM328" s="135">
        <v>4300</v>
      </c>
      <c r="AN328" s="135">
        <v>707.9</v>
      </c>
      <c r="AO328" s="135">
        <v>1.41</v>
      </c>
      <c r="AP328" s="135">
        <v>6.1</v>
      </c>
      <c r="AQ328" s="135">
        <v>13</v>
      </c>
      <c r="AR328" s="135">
        <v>2.1</v>
      </c>
      <c r="AS328" s="135">
        <v>0.47</v>
      </c>
      <c r="AT328" s="135">
        <v>6.1</v>
      </c>
      <c r="AU328" s="135">
        <v>5300</v>
      </c>
      <c r="AV328" s="135">
        <v>872.6</v>
      </c>
      <c r="AW328" s="135">
        <v>1.1499999999999999</v>
      </c>
      <c r="AX328" s="135"/>
      <c r="AY328" s="135"/>
      <c r="AZ328" s="135"/>
      <c r="BA328" s="135"/>
      <c r="BB328" s="135"/>
      <c r="BC328" s="135"/>
      <c r="BD328" s="135"/>
      <c r="BE328" s="135"/>
      <c r="BF328" s="135"/>
      <c r="BG328" s="135"/>
      <c r="BH328" s="135"/>
      <c r="BI328" s="135"/>
      <c r="BJ328" s="135"/>
      <c r="BK328" s="135"/>
      <c r="BL328" s="135"/>
    </row>
    <row r="329" spans="1:64" x14ac:dyDescent="0.3">
      <c r="A329" s="135">
        <v>2016</v>
      </c>
      <c r="B329" s="135">
        <v>4</v>
      </c>
      <c r="C329" s="135" t="s">
        <v>34</v>
      </c>
      <c r="D329" s="135" t="s">
        <v>857</v>
      </c>
      <c r="E329" s="135" t="s">
        <v>1408</v>
      </c>
      <c r="F329" s="135" t="s">
        <v>34</v>
      </c>
      <c r="G329" s="135" t="s">
        <v>7</v>
      </c>
      <c r="H329" s="135"/>
      <c r="I329" s="135"/>
      <c r="J329" s="135"/>
      <c r="K329" s="135"/>
      <c r="L329" s="135"/>
      <c r="M329" s="135"/>
      <c r="N329" s="135"/>
      <c r="O329" s="135"/>
      <c r="P329" s="135"/>
      <c r="Q329" s="135"/>
      <c r="R329" s="135"/>
      <c r="S329" s="135"/>
      <c r="T329" s="135"/>
      <c r="U329" s="135"/>
      <c r="V329" s="135"/>
      <c r="W329" s="135"/>
      <c r="X329" s="135"/>
      <c r="Y329" s="135"/>
      <c r="Z329" s="135">
        <v>6.8</v>
      </c>
      <c r="AA329" s="135">
        <v>2950</v>
      </c>
      <c r="AB329" s="135">
        <v>433.1</v>
      </c>
      <c r="AC329" s="135">
        <v>2.31</v>
      </c>
      <c r="AD329" s="135">
        <v>6.8</v>
      </c>
      <c r="AE329" s="135">
        <v>5600</v>
      </c>
      <c r="AF329" s="135">
        <v>822.1</v>
      </c>
      <c r="AG329" s="135">
        <v>1.22</v>
      </c>
      <c r="AH329" s="135">
        <v>6.8</v>
      </c>
      <c r="AI329" s="135">
        <v>2800</v>
      </c>
      <c r="AJ329" s="135">
        <v>411</v>
      </c>
      <c r="AK329" s="135">
        <v>2.4300000000000002</v>
      </c>
      <c r="AL329" s="135">
        <v>6.8</v>
      </c>
      <c r="AM329" s="135">
        <v>4400</v>
      </c>
      <c r="AN329" s="135">
        <v>645.9</v>
      </c>
      <c r="AO329" s="135">
        <v>1.55</v>
      </c>
      <c r="AP329" s="135">
        <v>6.8</v>
      </c>
      <c r="AQ329" s="135">
        <v>16</v>
      </c>
      <c r="AR329" s="135">
        <v>2.2999999999999998</v>
      </c>
      <c r="AS329" s="135">
        <v>0.43</v>
      </c>
      <c r="AT329" s="135">
        <v>6.8</v>
      </c>
      <c r="AU329" s="135">
        <v>5600</v>
      </c>
      <c r="AV329" s="135">
        <v>822.1</v>
      </c>
      <c r="AW329" s="135">
        <v>1.22</v>
      </c>
      <c r="AX329" s="135"/>
      <c r="AY329" s="135"/>
      <c r="AZ329" s="135"/>
      <c r="BA329" s="135"/>
      <c r="BB329" s="135"/>
      <c r="BC329" s="135"/>
      <c r="BD329" s="135"/>
      <c r="BE329" s="135"/>
      <c r="BF329" s="135"/>
      <c r="BG329" s="135"/>
      <c r="BH329" s="135"/>
      <c r="BI329" s="135"/>
      <c r="BJ329" s="135"/>
      <c r="BK329" s="135"/>
      <c r="BL329" s="135"/>
    </row>
    <row r="330" spans="1:64" x14ac:dyDescent="0.3">
      <c r="A330" s="135">
        <v>2016</v>
      </c>
      <c r="B330" s="135">
        <v>4</v>
      </c>
      <c r="C330" s="135" t="s">
        <v>402</v>
      </c>
      <c r="D330" s="135" t="s">
        <v>852</v>
      </c>
      <c r="E330" s="135" t="s">
        <v>1408</v>
      </c>
      <c r="F330" s="135" t="s">
        <v>402</v>
      </c>
      <c r="G330" s="135" t="s">
        <v>10</v>
      </c>
      <c r="H330" s="135"/>
      <c r="I330" s="135"/>
      <c r="J330" s="135"/>
      <c r="K330" s="135"/>
      <c r="L330" s="135"/>
      <c r="M330" s="135"/>
      <c r="N330" s="135"/>
      <c r="O330" s="135"/>
      <c r="P330" s="135"/>
      <c r="Q330" s="135"/>
      <c r="R330" s="135"/>
      <c r="S330" s="135"/>
      <c r="T330" s="135"/>
      <c r="U330" s="135"/>
      <c r="V330" s="135"/>
      <c r="W330" s="135"/>
      <c r="X330" s="135"/>
      <c r="Y330" s="135"/>
      <c r="Z330" s="135">
        <v>7.4</v>
      </c>
      <c r="AA330" s="135">
        <v>3100</v>
      </c>
      <c r="AB330" s="135">
        <v>417.3</v>
      </c>
      <c r="AC330" s="135">
        <v>2.4</v>
      </c>
      <c r="AD330" s="135">
        <v>7.6</v>
      </c>
      <c r="AE330" s="135">
        <v>5350</v>
      </c>
      <c r="AF330" s="135">
        <v>708.3</v>
      </c>
      <c r="AG330" s="135">
        <v>1.41</v>
      </c>
      <c r="AH330" s="135">
        <v>7.6</v>
      </c>
      <c r="AI330" s="135">
        <v>3300</v>
      </c>
      <c r="AJ330" s="135">
        <v>436.9</v>
      </c>
      <c r="AK330" s="135">
        <v>2.29</v>
      </c>
      <c r="AL330" s="135">
        <v>7.6</v>
      </c>
      <c r="AM330" s="135">
        <v>4500</v>
      </c>
      <c r="AN330" s="135">
        <v>595.79999999999995</v>
      </c>
      <c r="AO330" s="135">
        <v>1.68</v>
      </c>
      <c r="AP330" s="135">
        <v>7.6</v>
      </c>
      <c r="AQ330" s="135">
        <v>17</v>
      </c>
      <c r="AR330" s="135">
        <v>2.2999999999999998</v>
      </c>
      <c r="AS330" s="135">
        <v>0.44</v>
      </c>
      <c r="AT330" s="135">
        <v>7.6</v>
      </c>
      <c r="AU330" s="135">
        <v>6400</v>
      </c>
      <c r="AV330" s="135">
        <v>847.3</v>
      </c>
      <c r="AW330" s="135">
        <v>1.18</v>
      </c>
      <c r="AX330" s="135"/>
      <c r="AY330" s="135"/>
      <c r="AZ330" s="135"/>
      <c r="BA330" s="135"/>
      <c r="BB330" s="135"/>
      <c r="BC330" s="135"/>
      <c r="BD330" s="135"/>
      <c r="BE330" s="135"/>
      <c r="BF330" s="135"/>
      <c r="BG330" s="135"/>
      <c r="BH330" s="135"/>
      <c r="BI330" s="135"/>
      <c r="BJ330" s="135"/>
      <c r="BK330" s="135"/>
      <c r="BL330" s="135"/>
    </row>
    <row r="331" spans="1:64" x14ac:dyDescent="0.3">
      <c r="A331" s="135">
        <v>2016</v>
      </c>
      <c r="B331" s="135">
        <v>4</v>
      </c>
      <c r="C331" s="135" t="s">
        <v>28</v>
      </c>
      <c r="D331" s="135" t="s">
        <v>842</v>
      </c>
      <c r="E331" s="135" t="s">
        <v>1408</v>
      </c>
      <c r="F331" s="135" t="s">
        <v>28</v>
      </c>
      <c r="G331" s="135" t="s">
        <v>57</v>
      </c>
      <c r="H331" s="135"/>
      <c r="I331" s="135"/>
      <c r="J331" s="135"/>
      <c r="K331" s="135"/>
      <c r="L331" s="135"/>
      <c r="M331" s="135"/>
      <c r="N331" s="135"/>
      <c r="O331" s="135"/>
      <c r="P331" s="135"/>
      <c r="Q331" s="135"/>
      <c r="R331" s="135"/>
      <c r="S331" s="135"/>
      <c r="T331" s="135"/>
      <c r="U331" s="135"/>
      <c r="V331" s="135"/>
      <c r="W331" s="135"/>
      <c r="X331" s="135"/>
      <c r="Y331" s="135"/>
      <c r="Z331" s="135">
        <v>8</v>
      </c>
      <c r="AA331" s="135">
        <v>2900</v>
      </c>
      <c r="AB331" s="135">
        <v>363.9</v>
      </c>
      <c r="AC331" s="135">
        <v>2.75</v>
      </c>
      <c r="AD331" s="135">
        <v>8.4</v>
      </c>
      <c r="AE331" s="135">
        <v>7050</v>
      </c>
      <c r="AF331" s="135">
        <v>835.6</v>
      </c>
      <c r="AG331" s="135">
        <v>1.2</v>
      </c>
      <c r="AH331" s="135">
        <v>8.4</v>
      </c>
      <c r="AI331" s="135">
        <v>3200</v>
      </c>
      <c r="AJ331" s="135">
        <v>379.3</v>
      </c>
      <c r="AK331" s="135">
        <v>2.64</v>
      </c>
      <c r="AL331" s="135">
        <v>8.4</v>
      </c>
      <c r="AM331" s="135">
        <v>4700</v>
      </c>
      <c r="AN331" s="135">
        <v>557.1</v>
      </c>
      <c r="AO331" s="135">
        <v>1.8</v>
      </c>
      <c r="AP331" s="135">
        <v>8.4</v>
      </c>
      <c r="AQ331" s="135">
        <v>15</v>
      </c>
      <c r="AR331" s="135">
        <v>1.8</v>
      </c>
      <c r="AS331" s="135">
        <v>0.56000000000000005</v>
      </c>
      <c r="AT331" s="135">
        <v>8.4</v>
      </c>
      <c r="AU331" s="135">
        <v>6300</v>
      </c>
      <c r="AV331" s="135">
        <v>746.7</v>
      </c>
      <c r="AW331" s="135">
        <v>1.34</v>
      </c>
      <c r="AX331" s="135"/>
      <c r="AY331" s="135"/>
      <c r="AZ331" s="135"/>
      <c r="BA331" s="135"/>
      <c r="BB331" s="135"/>
      <c r="BC331" s="135"/>
      <c r="BD331" s="135"/>
      <c r="BE331" s="135"/>
      <c r="BF331" s="135"/>
      <c r="BG331" s="135"/>
      <c r="BH331" s="135"/>
      <c r="BI331" s="135"/>
      <c r="BJ331" s="135"/>
      <c r="BK331" s="135"/>
      <c r="BL331" s="135"/>
    </row>
    <row r="332" spans="1:64" x14ac:dyDescent="0.3">
      <c r="A332" s="135">
        <v>2016</v>
      </c>
      <c r="B332" s="135">
        <v>4</v>
      </c>
      <c r="C332" s="135" t="s">
        <v>14</v>
      </c>
      <c r="D332" s="135" t="s">
        <v>833</v>
      </c>
      <c r="E332" s="135" t="s">
        <v>1408</v>
      </c>
      <c r="F332" s="135" t="s">
        <v>14</v>
      </c>
      <c r="G332" s="135" t="s">
        <v>2310</v>
      </c>
      <c r="H332" s="135"/>
      <c r="I332" s="135"/>
      <c r="J332" s="135"/>
      <c r="K332" s="135"/>
      <c r="L332" s="135"/>
      <c r="M332" s="135"/>
      <c r="N332" s="135"/>
      <c r="O332" s="135"/>
      <c r="P332" s="135"/>
      <c r="Q332" s="135"/>
      <c r="R332" s="135"/>
      <c r="S332" s="135"/>
      <c r="T332" s="135"/>
      <c r="U332" s="135"/>
      <c r="V332" s="135"/>
      <c r="W332" s="135"/>
      <c r="X332" s="135"/>
      <c r="Y332" s="135"/>
      <c r="Z332" s="135">
        <v>5.8</v>
      </c>
      <c r="AA332" s="135">
        <v>2500</v>
      </c>
      <c r="AB332" s="135">
        <v>428.5</v>
      </c>
      <c r="AC332" s="135">
        <v>2.33</v>
      </c>
      <c r="AD332" s="135">
        <v>5.8</v>
      </c>
      <c r="AE332" s="135">
        <v>5000</v>
      </c>
      <c r="AF332" s="135">
        <v>857</v>
      </c>
      <c r="AG332" s="135">
        <v>1.17</v>
      </c>
      <c r="AH332" s="135">
        <v>5.8</v>
      </c>
      <c r="AI332" s="135">
        <v>2500</v>
      </c>
      <c r="AJ332" s="135">
        <v>428.5</v>
      </c>
      <c r="AK332" s="135">
        <v>2.33</v>
      </c>
      <c r="AL332" s="135">
        <v>5.8</v>
      </c>
      <c r="AM332" s="135">
        <v>4200</v>
      </c>
      <c r="AN332" s="135">
        <v>719.9</v>
      </c>
      <c r="AO332" s="135">
        <v>1.39</v>
      </c>
      <c r="AP332" s="135">
        <v>5.8</v>
      </c>
      <c r="AQ332" s="135">
        <v>12</v>
      </c>
      <c r="AR332" s="135">
        <v>2.1</v>
      </c>
      <c r="AS332" s="135">
        <v>0.49</v>
      </c>
      <c r="AT332" s="135">
        <v>5.8</v>
      </c>
      <c r="AU332" s="135">
        <v>4900</v>
      </c>
      <c r="AV332" s="135">
        <v>839.9</v>
      </c>
      <c r="AW332" s="135">
        <v>1.19</v>
      </c>
      <c r="AX332" s="135"/>
      <c r="AY332" s="135"/>
      <c r="AZ332" s="135"/>
      <c r="BA332" s="135"/>
      <c r="BB332" s="135"/>
      <c r="BC332" s="135"/>
      <c r="BD332" s="135"/>
      <c r="BE332" s="135"/>
      <c r="BF332" s="135"/>
      <c r="BG332" s="135"/>
      <c r="BH332" s="135"/>
      <c r="BI332" s="135"/>
      <c r="BJ332" s="135"/>
      <c r="BK332" s="135"/>
      <c r="BL332" s="135"/>
    </row>
    <row r="333" spans="1:64" x14ac:dyDescent="0.3">
      <c r="A333" s="135">
        <v>2016</v>
      </c>
      <c r="B333" s="135">
        <v>4</v>
      </c>
      <c r="C333" s="135" t="s">
        <v>32</v>
      </c>
      <c r="D333" s="135" t="s">
        <v>832</v>
      </c>
      <c r="E333" s="135" t="s">
        <v>1408</v>
      </c>
      <c r="F333" s="135" t="s">
        <v>32</v>
      </c>
      <c r="G333" s="135" t="s">
        <v>4</v>
      </c>
      <c r="H333" s="135"/>
      <c r="I333" s="135"/>
      <c r="J333" s="135"/>
      <c r="K333" s="135"/>
      <c r="L333" s="135"/>
      <c r="M333" s="135"/>
      <c r="N333" s="135"/>
      <c r="O333" s="135"/>
      <c r="P333" s="135"/>
      <c r="Q333" s="135"/>
      <c r="R333" s="135"/>
      <c r="S333" s="135"/>
      <c r="T333" s="135"/>
      <c r="U333" s="135"/>
      <c r="V333" s="135"/>
      <c r="W333" s="135"/>
      <c r="X333" s="135"/>
      <c r="Y333" s="135"/>
      <c r="Z333" s="135">
        <v>6.7</v>
      </c>
      <c r="AA333" s="135">
        <v>2950</v>
      </c>
      <c r="AB333" s="135">
        <v>438.4</v>
      </c>
      <c r="AC333" s="135">
        <v>2.2799999999999998</v>
      </c>
      <c r="AD333" s="135">
        <v>6.7</v>
      </c>
      <c r="AE333" s="135">
        <v>6750</v>
      </c>
      <c r="AF333" s="135">
        <v>1003.1</v>
      </c>
      <c r="AG333" s="135">
        <v>1</v>
      </c>
      <c r="AH333" s="135">
        <v>6.7</v>
      </c>
      <c r="AI333" s="135">
        <v>2400</v>
      </c>
      <c r="AJ333" s="135">
        <v>356.7</v>
      </c>
      <c r="AK333" s="135">
        <v>2.8</v>
      </c>
      <c r="AL333" s="135">
        <v>6.7</v>
      </c>
      <c r="AM333" s="135">
        <v>4400</v>
      </c>
      <c r="AN333" s="135">
        <v>653.9</v>
      </c>
      <c r="AO333" s="135">
        <v>1.53</v>
      </c>
      <c r="AP333" s="135">
        <v>6.7</v>
      </c>
      <c r="AQ333" s="135">
        <v>15</v>
      </c>
      <c r="AR333" s="135">
        <v>2.2000000000000002</v>
      </c>
      <c r="AS333" s="135">
        <v>0.45</v>
      </c>
      <c r="AT333" s="135">
        <v>6.7</v>
      </c>
      <c r="AU333" s="135">
        <v>4600</v>
      </c>
      <c r="AV333" s="135">
        <v>683.6</v>
      </c>
      <c r="AW333" s="135">
        <v>1.46</v>
      </c>
      <c r="AX333" s="135"/>
      <c r="AY333" s="135"/>
      <c r="AZ333" s="135"/>
      <c r="BA333" s="135"/>
      <c r="BB333" s="135"/>
      <c r="BC333" s="135"/>
      <c r="BD333" s="135"/>
      <c r="BE333" s="135"/>
      <c r="BF333" s="135"/>
      <c r="BG333" s="135"/>
      <c r="BH333" s="135"/>
      <c r="BI333" s="135"/>
      <c r="BJ333" s="135"/>
      <c r="BK333" s="135"/>
      <c r="BL333" s="135"/>
    </row>
    <row r="334" spans="1:64" x14ac:dyDescent="0.3">
      <c r="A334" s="135">
        <v>2016</v>
      </c>
      <c r="B334" s="135">
        <v>4</v>
      </c>
      <c r="C334" s="135" t="s">
        <v>20</v>
      </c>
      <c r="D334" s="135" t="s">
        <v>849</v>
      </c>
      <c r="E334" s="135" t="s">
        <v>1408</v>
      </c>
      <c r="F334" s="135" t="s">
        <v>20</v>
      </c>
      <c r="G334" s="135" t="s">
        <v>397</v>
      </c>
      <c r="H334" s="135"/>
      <c r="I334" s="135"/>
      <c r="J334" s="135"/>
      <c r="K334" s="135"/>
      <c r="L334" s="135"/>
      <c r="M334" s="135"/>
      <c r="N334" s="135"/>
      <c r="O334" s="135"/>
      <c r="P334" s="135"/>
      <c r="Q334" s="135"/>
      <c r="R334" s="135"/>
      <c r="S334" s="135"/>
      <c r="T334" s="135"/>
      <c r="U334" s="135"/>
      <c r="V334" s="135"/>
      <c r="W334" s="135"/>
      <c r="X334" s="135"/>
      <c r="Y334" s="135"/>
      <c r="Z334" s="135">
        <v>7.5</v>
      </c>
      <c r="AA334" s="135">
        <v>2850</v>
      </c>
      <c r="AB334" s="135">
        <v>379.4</v>
      </c>
      <c r="AC334" s="135">
        <v>2.64</v>
      </c>
      <c r="AD334" s="135">
        <v>7.5</v>
      </c>
      <c r="AE334" s="135">
        <v>5000</v>
      </c>
      <c r="AF334" s="135">
        <v>665.6</v>
      </c>
      <c r="AG334" s="135">
        <v>1.5</v>
      </c>
      <c r="AH334" s="135">
        <v>7.5</v>
      </c>
      <c r="AI334" s="135">
        <v>2800</v>
      </c>
      <c r="AJ334" s="135">
        <v>372.7</v>
      </c>
      <c r="AK334" s="135">
        <v>2.68</v>
      </c>
      <c r="AL334" s="135">
        <v>7.5</v>
      </c>
      <c r="AM334" s="135">
        <v>4800</v>
      </c>
      <c r="AN334" s="135">
        <v>639</v>
      </c>
      <c r="AO334" s="135">
        <v>1.57</v>
      </c>
      <c r="AP334" s="135">
        <v>7.5</v>
      </c>
      <c r="AQ334" s="135">
        <v>14</v>
      </c>
      <c r="AR334" s="135">
        <v>1.9</v>
      </c>
      <c r="AS334" s="135">
        <v>0.54</v>
      </c>
      <c r="AT334" s="135">
        <v>7.5</v>
      </c>
      <c r="AU334" s="135">
        <v>5500</v>
      </c>
      <c r="AV334" s="135">
        <v>732.2</v>
      </c>
      <c r="AW334" s="135">
        <v>1.37</v>
      </c>
      <c r="AX334" s="135"/>
      <c r="AY334" s="135"/>
      <c r="AZ334" s="135"/>
      <c r="BA334" s="135"/>
      <c r="BB334" s="135"/>
      <c r="BC334" s="135"/>
      <c r="BD334" s="135"/>
      <c r="BE334" s="135"/>
      <c r="BF334" s="135"/>
      <c r="BG334" s="135"/>
      <c r="BH334" s="135"/>
      <c r="BI334" s="135"/>
      <c r="BJ334" s="135"/>
      <c r="BK334" s="135"/>
      <c r="BL334" s="135"/>
    </row>
    <row r="335" spans="1:64" x14ac:dyDescent="0.3">
      <c r="A335" s="135">
        <v>2016</v>
      </c>
      <c r="B335" s="135">
        <v>4</v>
      </c>
      <c r="C335" s="135" t="s">
        <v>16</v>
      </c>
      <c r="D335" s="135" t="s">
        <v>840</v>
      </c>
      <c r="E335" s="135" t="s">
        <v>1408</v>
      </c>
      <c r="F335" s="135" t="s">
        <v>16</v>
      </c>
      <c r="G335" s="135" t="s">
        <v>1980</v>
      </c>
      <c r="H335" s="135"/>
      <c r="I335" s="135"/>
      <c r="J335" s="135"/>
      <c r="K335" s="135"/>
      <c r="L335" s="135"/>
      <c r="M335" s="135"/>
      <c r="N335" s="135"/>
      <c r="O335" s="135"/>
      <c r="P335" s="135"/>
      <c r="Q335" s="135"/>
      <c r="R335" s="135"/>
      <c r="S335" s="135"/>
      <c r="T335" s="135"/>
      <c r="U335" s="135"/>
      <c r="V335" s="135"/>
      <c r="W335" s="135"/>
      <c r="X335" s="135"/>
      <c r="Y335" s="135"/>
      <c r="Z335" s="135">
        <v>7.4</v>
      </c>
      <c r="AA335" s="135">
        <v>2500</v>
      </c>
      <c r="AB335" s="135">
        <v>336.7</v>
      </c>
      <c r="AC335" s="135">
        <v>2.97</v>
      </c>
      <c r="AD335" s="135">
        <v>7.4</v>
      </c>
      <c r="AE335" s="135">
        <v>5450</v>
      </c>
      <c r="AF335" s="135">
        <v>733.9</v>
      </c>
      <c r="AG335" s="135">
        <v>1.36</v>
      </c>
      <c r="AH335" s="135">
        <v>7.4</v>
      </c>
      <c r="AI335" s="135">
        <v>2200</v>
      </c>
      <c r="AJ335" s="135">
        <v>296.3</v>
      </c>
      <c r="AK335" s="135">
        <v>3.38</v>
      </c>
      <c r="AL335" s="135">
        <v>7.4</v>
      </c>
      <c r="AM335" s="135">
        <v>4500</v>
      </c>
      <c r="AN335" s="135">
        <v>606</v>
      </c>
      <c r="AO335" s="135">
        <v>1.65</v>
      </c>
      <c r="AP335" s="135">
        <v>7.4</v>
      </c>
      <c r="AQ335" s="135">
        <v>12</v>
      </c>
      <c r="AR335" s="135">
        <v>1.6</v>
      </c>
      <c r="AS335" s="135">
        <v>0.62</v>
      </c>
      <c r="AT335" s="135">
        <v>7.4</v>
      </c>
      <c r="AU335" s="135">
        <v>4200</v>
      </c>
      <c r="AV335" s="135">
        <v>565.6</v>
      </c>
      <c r="AW335" s="135">
        <v>1.77</v>
      </c>
      <c r="AX335" s="135"/>
      <c r="AY335" s="135"/>
      <c r="AZ335" s="135"/>
      <c r="BA335" s="135"/>
      <c r="BB335" s="135"/>
      <c r="BC335" s="135"/>
      <c r="BD335" s="135"/>
      <c r="BE335" s="135"/>
      <c r="BF335" s="135"/>
      <c r="BG335" s="135"/>
      <c r="BH335" s="135"/>
      <c r="BI335" s="135"/>
      <c r="BJ335" s="135"/>
      <c r="BK335" s="135"/>
      <c r="BL335" s="135"/>
    </row>
    <row r="336" spans="1:64" x14ac:dyDescent="0.3">
      <c r="A336" s="135">
        <v>2016</v>
      </c>
      <c r="B336" s="135">
        <v>4</v>
      </c>
      <c r="C336" s="135" t="s">
        <v>12</v>
      </c>
      <c r="D336" s="135" t="s">
        <v>834</v>
      </c>
      <c r="E336" s="135" t="s">
        <v>1408</v>
      </c>
      <c r="F336" s="135" t="s">
        <v>12</v>
      </c>
      <c r="G336" s="135" t="s">
        <v>16</v>
      </c>
      <c r="H336" s="135"/>
      <c r="I336" s="135"/>
      <c r="J336" s="135"/>
      <c r="K336" s="135"/>
      <c r="L336" s="135"/>
      <c r="M336" s="135"/>
      <c r="N336" s="135"/>
      <c r="O336" s="135"/>
      <c r="P336" s="135"/>
      <c r="Q336" s="135"/>
      <c r="R336" s="135"/>
      <c r="S336" s="135"/>
      <c r="T336" s="135"/>
      <c r="U336" s="135"/>
      <c r="V336" s="135"/>
      <c r="W336" s="135"/>
      <c r="X336" s="135"/>
      <c r="Y336" s="135"/>
      <c r="Z336" s="135">
        <v>6.4</v>
      </c>
      <c r="AA336" s="135">
        <v>2500</v>
      </c>
      <c r="AB336" s="135">
        <v>389.3</v>
      </c>
      <c r="AC336" s="135">
        <v>2.57</v>
      </c>
      <c r="AD336" s="135">
        <v>6.4</v>
      </c>
      <c r="AE336" s="135">
        <v>5000</v>
      </c>
      <c r="AF336" s="135">
        <v>778.7</v>
      </c>
      <c r="AG336" s="135">
        <v>1.28</v>
      </c>
      <c r="AH336" s="135">
        <v>6.4</v>
      </c>
      <c r="AI336" s="135">
        <v>2400</v>
      </c>
      <c r="AJ336" s="135">
        <v>373.8</v>
      </c>
      <c r="AK336" s="135">
        <v>2.68</v>
      </c>
      <c r="AL336" s="135">
        <v>6.4</v>
      </c>
      <c r="AM336" s="135">
        <v>4000</v>
      </c>
      <c r="AN336" s="135">
        <v>623</v>
      </c>
      <c r="AO336" s="135">
        <v>1.61</v>
      </c>
      <c r="AP336" s="135">
        <v>6.4</v>
      </c>
      <c r="AQ336" s="135">
        <v>10</v>
      </c>
      <c r="AR336" s="135">
        <v>1.6</v>
      </c>
      <c r="AS336" s="135">
        <v>0.64</v>
      </c>
      <c r="AT336" s="135">
        <v>6.4</v>
      </c>
      <c r="AU336" s="135">
        <v>4600</v>
      </c>
      <c r="AV336" s="135">
        <v>716.4</v>
      </c>
      <c r="AW336" s="135">
        <v>1.4</v>
      </c>
      <c r="AX336" s="135"/>
      <c r="AY336" s="135"/>
      <c r="AZ336" s="135"/>
      <c r="BA336" s="135"/>
      <c r="BB336" s="135"/>
      <c r="BC336" s="135"/>
      <c r="BD336" s="135"/>
      <c r="BE336" s="135"/>
      <c r="BF336" s="135"/>
      <c r="BG336" s="135"/>
      <c r="BH336" s="135"/>
      <c r="BI336" s="135"/>
      <c r="BJ336" s="135"/>
      <c r="BK336" s="135"/>
      <c r="BL336" s="135"/>
    </row>
    <row r="337" spans="1:64" x14ac:dyDescent="0.3">
      <c r="A337" s="135">
        <v>2016</v>
      </c>
      <c r="B337" s="135">
        <v>4</v>
      </c>
      <c r="C337" s="135" t="s">
        <v>43</v>
      </c>
      <c r="D337" s="135" t="s">
        <v>858</v>
      </c>
      <c r="E337" s="135" t="s">
        <v>1408</v>
      </c>
      <c r="F337" s="135" t="s">
        <v>43</v>
      </c>
      <c r="G337" s="135" t="s">
        <v>30</v>
      </c>
      <c r="H337" s="135"/>
      <c r="I337" s="135"/>
      <c r="J337" s="135"/>
      <c r="K337" s="135"/>
      <c r="L337" s="135"/>
      <c r="M337" s="135"/>
      <c r="N337" s="135"/>
      <c r="O337" s="135"/>
      <c r="P337" s="135"/>
      <c r="Q337" s="135"/>
      <c r="R337" s="135"/>
      <c r="S337" s="135"/>
      <c r="T337" s="135"/>
      <c r="U337" s="135"/>
      <c r="V337" s="135"/>
      <c r="W337" s="135"/>
      <c r="X337" s="135"/>
      <c r="Y337" s="135"/>
      <c r="Z337" s="135">
        <v>7.8</v>
      </c>
      <c r="AA337" s="135">
        <v>3100</v>
      </c>
      <c r="AB337" s="135">
        <v>397.6</v>
      </c>
      <c r="AC337" s="135">
        <v>2.5099999999999998</v>
      </c>
      <c r="AD337" s="135">
        <v>8.1999999999999993</v>
      </c>
      <c r="AE337" s="135">
        <v>8500</v>
      </c>
      <c r="AF337" s="135">
        <v>1033.9000000000001</v>
      </c>
      <c r="AG337" s="135">
        <v>0.97</v>
      </c>
      <c r="AH337" s="135">
        <v>8.1999999999999993</v>
      </c>
      <c r="AI337" s="135">
        <v>3200</v>
      </c>
      <c r="AJ337" s="135">
        <v>389.2</v>
      </c>
      <c r="AK337" s="135">
        <v>2.57</v>
      </c>
      <c r="AL337" s="135">
        <v>8.1999999999999993</v>
      </c>
      <c r="AM337" s="135">
        <v>4900</v>
      </c>
      <c r="AN337" s="135">
        <v>596</v>
      </c>
      <c r="AO337" s="135">
        <v>1.68</v>
      </c>
      <c r="AP337" s="135">
        <v>8.1999999999999993</v>
      </c>
      <c r="AQ337" s="135">
        <v>16</v>
      </c>
      <c r="AR337" s="135">
        <v>1.9</v>
      </c>
      <c r="AS337" s="135">
        <v>0.51</v>
      </c>
      <c r="AT337" s="135">
        <v>8.1999999999999993</v>
      </c>
      <c r="AU337" s="135">
        <v>6300</v>
      </c>
      <c r="AV337" s="135">
        <v>766.3</v>
      </c>
      <c r="AW337" s="135">
        <v>1.3</v>
      </c>
      <c r="AX337" s="135"/>
      <c r="AY337" s="135"/>
      <c r="AZ337" s="135"/>
      <c r="BA337" s="135"/>
      <c r="BB337" s="135"/>
      <c r="BC337" s="135"/>
      <c r="BD337" s="135"/>
      <c r="BE337" s="135"/>
      <c r="BF337" s="135"/>
      <c r="BG337" s="135"/>
      <c r="BH337" s="135"/>
      <c r="BI337" s="135"/>
      <c r="BJ337" s="135"/>
      <c r="BK337" s="135"/>
      <c r="BL337" s="135"/>
    </row>
    <row r="338" spans="1:64" x14ac:dyDescent="0.3">
      <c r="A338" s="135">
        <v>2016</v>
      </c>
      <c r="B338" s="135">
        <v>4</v>
      </c>
      <c r="C338" s="135" t="s">
        <v>30</v>
      </c>
      <c r="D338" s="135" t="s">
        <v>836</v>
      </c>
      <c r="E338" s="135" t="s">
        <v>1408</v>
      </c>
      <c r="F338" s="135" t="s">
        <v>30</v>
      </c>
      <c r="G338" s="135" t="s">
        <v>2302</v>
      </c>
      <c r="H338" s="135"/>
      <c r="I338" s="135"/>
      <c r="J338" s="135"/>
      <c r="K338" s="135"/>
      <c r="L338" s="135"/>
      <c r="M338" s="135"/>
      <c r="N338" s="135"/>
      <c r="O338" s="135"/>
      <c r="P338" s="135"/>
      <c r="Q338" s="135"/>
      <c r="R338" s="135"/>
      <c r="S338" s="135"/>
      <c r="T338" s="135"/>
      <c r="U338" s="135"/>
      <c r="V338" s="135"/>
      <c r="W338" s="135"/>
      <c r="X338" s="135"/>
      <c r="Y338" s="135"/>
      <c r="Z338" s="135">
        <v>6.3</v>
      </c>
      <c r="AA338" s="135">
        <v>2850</v>
      </c>
      <c r="AB338" s="135">
        <v>450.5</v>
      </c>
      <c r="AC338" s="135">
        <v>2.2200000000000002</v>
      </c>
      <c r="AD338" s="135">
        <v>6.3</v>
      </c>
      <c r="AE338" s="135">
        <v>5500</v>
      </c>
      <c r="AF338" s="135">
        <v>869.3</v>
      </c>
      <c r="AG338" s="135">
        <v>1.1499999999999999</v>
      </c>
      <c r="AH338" s="135">
        <v>6.3</v>
      </c>
      <c r="AI338" s="135">
        <v>2400</v>
      </c>
      <c r="AJ338" s="135">
        <v>379.3</v>
      </c>
      <c r="AK338" s="135">
        <v>2.64</v>
      </c>
      <c r="AL338" s="135">
        <v>6.3</v>
      </c>
      <c r="AM338" s="135">
        <v>4100</v>
      </c>
      <c r="AN338" s="135">
        <v>648</v>
      </c>
      <c r="AO338" s="135">
        <v>1.54</v>
      </c>
      <c r="AP338" s="135">
        <v>6.3</v>
      </c>
      <c r="AQ338" s="135">
        <v>13</v>
      </c>
      <c r="AR338" s="135">
        <v>2.1</v>
      </c>
      <c r="AS338" s="135">
        <v>0.49</v>
      </c>
      <c r="AT338" s="135">
        <v>6.3</v>
      </c>
      <c r="AU338" s="135">
        <v>4600</v>
      </c>
      <c r="AV338" s="135">
        <v>727</v>
      </c>
      <c r="AW338" s="135">
        <v>1.38</v>
      </c>
      <c r="AX338" s="135"/>
      <c r="AY338" s="135"/>
      <c r="AZ338" s="135"/>
      <c r="BA338" s="135"/>
      <c r="BB338" s="135"/>
      <c r="BC338" s="135"/>
      <c r="BD338" s="135"/>
      <c r="BE338" s="135"/>
      <c r="BF338" s="135"/>
      <c r="BG338" s="135"/>
      <c r="BH338" s="135"/>
      <c r="BI338" s="135"/>
      <c r="BJ338" s="135"/>
      <c r="BK338" s="135"/>
      <c r="BL338" s="135"/>
    </row>
    <row r="339" spans="1:64" x14ac:dyDescent="0.3">
      <c r="A339" s="135">
        <v>2016</v>
      </c>
      <c r="B339" s="135">
        <v>4</v>
      </c>
      <c r="C339" s="135" t="s">
        <v>70</v>
      </c>
      <c r="D339" s="135" t="s">
        <v>851</v>
      </c>
      <c r="E339" s="135" t="s">
        <v>1408</v>
      </c>
      <c r="F339" s="135" t="s">
        <v>70</v>
      </c>
      <c r="G339" s="135" t="s">
        <v>2005</v>
      </c>
      <c r="H339" s="135"/>
      <c r="I339" s="135"/>
      <c r="J339" s="135"/>
      <c r="K339" s="135"/>
      <c r="L339" s="135"/>
      <c r="M339" s="135"/>
      <c r="N339" s="135"/>
      <c r="O339" s="135"/>
      <c r="P339" s="135"/>
      <c r="Q339" s="135"/>
      <c r="R339" s="135"/>
      <c r="S339" s="135"/>
      <c r="T339" s="135"/>
      <c r="U339" s="135"/>
      <c r="V339" s="135"/>
      <c r="W339" s="135"/>
      <c r="X339" s="135"/>
      <c r="Y339" s="135"/>
      <c r="Z339" s="135">
        <v>8.5</v>
      </c>
      <c r="AA339" s="135">
        <v>3150</v>
      </c>
      <c r="AB339" s="135">
        <v>370</v>
      </c>
      <c r="AC339" s="135">
        <v>2.7</v>
      </c>
      <c r="AD339" s="135">
        <v>8.5</v>
      </c>
      <c r="AE339" s="135">
        <v>9500</v>
      </c>
      <c r="AF339" s="135">
        <v>1115.9000000000001</v>
      </c>
      <c r="AG339" s="135">
        <v>0.9</v>
      </c>
      <c r="AH339" s="135">
        <v>8.5</v>
      </c>
      <c r="AI339" s="135">
        <v>3700</v>
      </c>
      <c r="AJ339" s="135">
        <v>434.6</v>
      </c>
      <c r="AK339" s="135">
        <v>2.2999999999999998</v>
      </c>
      <c r="AL339" s="135">
        <v>8.5</v>
      </c>
      <c r="AM339" s="135">
        <v>5200</v>
      </c>
      <c r="AN339" s="135">
        <v>610.79999999999995</v>
      </c>
      <c r="AO339" s="135">
        <v>1.64</v>
      </c>
      <c r="AP339" s="135">
        <v>8.5</v>
      </c>
      <c r="AQ339" s="135">
        <v>17</v>
      </c>
      <c r="AR339" s="135">
        <v>2</v>
      </c>
      <c r="AS339" s="135">
        <v>0.5</v>
      </c>
      <c r="AT339" s="135">
        <v>8.5</v>
      </c>
      <c r="AU339" s="135">
        <v>7300</v>
      </c>
      <c r="AV339" s="135">
        <v>857.5</v>
      </c>
      <c r="AW339" s="135">
        <v>1.17</v>
      </c>
      <c r="AX339" s="135"/>
      <c r="AY339" s="135"/>
      <c r="AZ339" s="135"/>
      <c r="BA339" s="135"/>
      <c r="BB339" s="135"/>
      <c r="BC339" s="135"/>
      <c r="BD339" s="135"/>
      <c r="BE339" s="135"/>
      <c r="BF339" s="135"/>
      <c r="BG339" s="135"/>
      <c r="BH339" s="135"/>
      <c r="BI339" s="135"/>
      <c r="BJ339" s="135"/>
      <c r="BK339" s="135"/>
      <c r="BL339" s="135"/>
    </row>
    <row r="340" spans="1:64" x14ac:dyDescent="0.3">
      <c r="A340" s="135">
        <v>2016</v>
      </c>
      <c r="B340" s="135">
        <v>4</v>
      </c>
      <c r="C340" s="135" t="s">
        <v>407</v>
      </c>
      <c r="D340" s="135" t="s">
        <v>853</v>
      </c>
      <c r="E340" s="135" t="s">
        <v>1408</v>
      </c>
      <c r="F340" s="135" t="s">
        <v>407</v>
      </c>
      <c r="G340" s="135" t="s">
        <v>404</v>
      </c>
      <c r="H340" s="135"/>
      <c r="I340" s="135"/>
      <c r="J340" s="135"/>
      <c r="K340" s="135"/>
      <c r="L340" s="135"/>
      <c r="M340" s="135"/>
      <c r="N340" s="135"/>
      <c r="O340" s="135"/>
      <c r="P340" s="135"/>
      <c r="Q340" s="135"/>
      <c r="R340" s="135"/>
      <c r="S340" s="135"/>
      <c r="T340" s="135"/>
      <c r="U340" s="135"/>
      <c r="V340" s="135"/>
      <c r="W340" s="135"/>
      <c r="X340" s="135"/>
      <c r="Y340" s="135"/>
      <c r="Z340" s="135">
        <v>6.4</v>
      </c>
      <c r="AA340" s="135">
        <v>2500</v>
      </c>
      <c r="AB340" s="135">
        <v>391.2</v>
      </c>
      <c r="AC340" s="135">
        <v>2.56</v>
      </c>
      <c r="AD340" s="135">
        <v>6.4</v>
      </c>
      <c r="AE340" s="135">
        <v>5050</v>
      </c>
      <c r="AF340" s="135">
        <v>790.3</v>
      </c>
      <c r="AG340" s="135">
        <v>1.27</v>
      </c>
      <c r="AH340" s="135">
        <v>6.4</v>
      </c>
      <c r="AI340" s="135">
        <v>2300</v>
      </c>
      <c r="AJ340" s="135">
        <v>359.9</v>
      </c>
      <c r="AK340" s="135">
        <v>2.78</v>
      </c>
      <c r="AL340" s="135">
        <v>6.4</v>
      </c>
      <c r="AM340" s="135">
        <v>4300</v>
      </c>
      <c r="AN340" s="135">
        <v>672.9</v>
      </c>
      <c r="AO340" s="135">
        <v>1.49</v>
      </c>
      <c r="AP340" s="135">
        <v>6.4</v>
      </c>
      <c r="AQ340" s="135">
        <v>14</v>
      </c>
      <c r="AR340" s="135">
        <v>2.2000000000000002</v>
      </c>
      <c r="AS340" s="135">
        <v>0.46</v>
      </c>
      <c r="AT340" s="135">
        <v>6.4</v>
      </c>
      <c r="AU340" s="135">
        <v>4600</v>
      </c>
      <c r="AV340" s="135">
        <v>719.9</v>
      </c>
      <c r="AW340" s="135">
        <v>1.39</v>
      </c>
      <c r="AX340" s="135"/>
      <c r="AY340" s="135"/>
      <c r="AZ340" s="135"/>
      <c r="BA340" s="135"/>
      <c r="BB340" s="135"/>
      <c r="BC340" s="135"/>
      <c r="BD340" s="135"/>
      <c r="BE340" s="135"/>
      <c r="BF340" s="135"/>
      <c r="BG340" s="135"/>
      <c r="BH340" s="135"/>
      <c r="BI340" s="135"/>
      <c r="BJ340" s="135"/>
      <c r="BK340" s="135"/>
      <c r="BL340" s="135"/>
    </row>
    <row r="341" spans="1:64" x14ac:dyDescent="0.3">
      <c r="A341" s="135">
        <v>2016</v>
      </c>
      <c r="B341" s="135">
        <v>4</v>
      </c>
      <c r="C341" s="135" t="s">
        <v>397</v>
      </c>
      <c r="D341" s="135" t="s">
        <v>850</v>
      </c>
      <c r="E341" s="135" t="s">
        <v>1408</v>
      </c>
      <c r="F341" s="135" t="s">
        <v>397</v>
      </c>
      <c r="G341" s="135" t="s">
        <v>2307</v>
      </c>
      <c r="H341" s="135"/>
      <c r="I341" s="135"/>
      <c r="J341" s="135"/>
      <c r="K341" s="135"/>
      <c r="L341" s="135"/>
      <c r="M341" s="135"/>
      <c r="N341" s="135"/>
      <c r="O341" s="135"/>
      <c r="P341" s="135"/>
      <c r="Q341" s="135"/>
      <c r="R341" s="135"/>
      <c r="S341" s="135"/>
      <c r="T341" s="135"/>
      <c r="U341" s="135"/>
      <c r="V341" s="135"/>
      <c r="W341" s="135"/>
      <c r="X341" s="135"/>
      <c r="Y341" s="135"/>
      <c r="Z341" s="135">
        <v>6.8</v>
      </c>
      <c r="AA341" s="135">
        <v>2900</v>
      </c>
      <c r="AB341" s="135">
        <v>427.1</v>
      </c>
      <c r="AC341" s="135">
        <v>2.34</v>
      </c>
      <c r="AD341" s="135">
        <v>6.8</v>
      </c>
      <c r="AE341" s="135">
        <v>6650</v>
      </c>
      <c r="AF341" s="135">
        <v>979.4</v>
      </c>
      <c r="AG341" s="135">
        <v>1.02</v>
      </c>
      <c r="AH341" s="135">
        <v>6.8</v>
      </c>
      <c r="AI341" s="135">
        <v>3000</v>
      </c>
      <c r="AJ341" s="135">
        <v>441.8</v>
      </c>
      <c r="AK341" s="135">
        <v>2.2599999999999998</v>
      </c>
      <c r="AL341" s="135">
        <v>6.8</v>
      </c>
      <c r="AM341" s="135">
        <v>4400</v>
      </c>
      <c r="AN341" s="135">
        <v>648</v>
      </c>
      <c r="AO341" s="135">
        <v>1.54</v>
      </c>
      <c r="AP341" s="135">
        <v>6.8</v>
      </c>
      <c r="AQ341" s="135">
        <v>14</v>
      </c>
      <c r="AR341" s="135">
        <v>2.1</v>
      </c>
      <c r="AS341" s="135">
        <v>0.49</v>
      </c>
      <c r="AT341" s="135">
        <v>6.8</v>
      </c>
      <c r="AU341" s="135">
        <v>5900</v>
      </c>
      <c r="AV341" s="135">
        <v>868.9</v>
      </c>
      <c r="AW341" s="135">
        <v>1.1499999999999999</v>
      </c>
      <c r="AX341" s="135"/>
      <c r="AY341" s="135"/>
      <c r="AZ341" s="135"/>
      <c r="BA341" s="135"/>
      <c r="BB341" s="135"/>
      <c r="BC341" s="135"/>
      <c r="BD341" s="135"/>
      <c r="BE341" s="135"/>
      <c r="BF341" s="135"/>
      <c r="BG341" s="135"/>
      <c r="BH341" s="135"/>
      <c r="BI341" s="135"/>
      <c r="BJ341" s="135"/>
      <c r="BK341" s="135"/>
      <c r="BL341" s="135"/>
    </row>
    <row r="342" spans="1:64" x14ac:dyDescent="0.3">
      <c r="A342" s="135">
        <v>2016</v>
      </c>
      <c r="B342" s="135">
        <v>4</v>
      </c>
      <c r="C342" s="135" t="s">
        <v>4</v>
      </c>
      <c r="D342" s="135" t="s">
        <v>835</v>
      </c>
      <c r="E342" s="135" t="s">
        <v>1408</v>
      </c>
      <c r="F342" s="135" t="s">
        <v>4</v>
      </c>
      <c r="G342" s="135" t="s">
        <v>2297</v>
      </c>
      <c r="H342" s="135"/>
      <c r="I342" s="135"/>
      <c r="J342" s="135"/>
      <c r="K342" s="135"/>
      <c r="L342" s="135"/>
      <c r="M342" s="135"/>
      <c r="N342" s="135"/>
      <c r="O342" s="135"/>
      <c r="P342" s="135"/>
      <c r="Q342" s="135"/>
      <c r="R342" s="135"/>
      <c r="S342" s="135"/>
      <c r="T342" s="135"/>
      <c r="U342" s="135"/>
      <c r="V342" s="135"/>
      <c r="W342" s="135"/>
      <c r="X342" s="135"/>
      <c r="Y342" s="135"/>
      <c r="Z342" s="135">
        <v>6.2</v>
      </c>
      <c r="AA342" s="135">
        <v>2500</v>
      </c>
      <c r="AB342" s="135">
        <v>405.9</v>
      </c>
      <c r="AC342" s="135">
        <v>2.46</v>
      </c>
      <c r="AD342" s="135">
        <v>6.2</v>
      </c>
      <c r="AE342" s="135">
        <v>6400</v>
      </c>
      <c r="AF342" s="135">
        <v>1039.0999999999999</v>
      </c>
      <c r="AG342" s="135">
        <v>0.96</v>
      </c>
      <c r="AH342" s="135">
        <v>6.2</v>
      </c>
      <c r="AI342" s="135">
        <v>2700</v>
      </c>
      <c r="AJ342" s="135">
        <v>438.4</v>
      </c>
      <c r="AK342" s="135">
        <v>2.2799999999999998</v>
      </c>
      <c r="AL342" s="135">
        <v>6.2</v>
      </c>
      <c r="AM342" s="135">
        <v>4500</v>
      </c>
      <c r="AN342" s="135">
        <v>730.6</v>
      </c>
      <c r="AO342" s="135">
        <v>1.37</v>
      </c>
      <c r="AP342" s="135">
        <v>6.2</v>
      </c>
      <c r="AQ342" s="135">
        <v>10</v>
      </c>
      <c r="AR342" s="135">
        <v>1.6</v>
      </c>
      <c r="AS342" s="135">
        <v>0.62</v>
      </c>
      <c r="AT342" s="135">
        <v>6.2</v>
      </c>
      <c r="AU342" s="135">
        <v>5300</v>
      </c>
      <c r="AV342" s="135">
        <v>860.5</v>
      </c>
      <c r="AW342" s="135">
        <v>1.1599999999999999</v>
      </c>
      <c r="AX342" s="135"/>
      <c r="AY342" s="135"/>
      <c r="AZ342" s="135"/>
      <c r="BA342" s="135"/>
      <c r="BB342" s="135"/>
      <c r="BC342" s="135"/>
      <c r="BD342" s="135"/>
      <c r="BE342" s="135"/>
      <c r="BF342" s="135"/>
      <c r="BG342" s="135"/>
      <c r="BH342" s="135"/>
      <c r="BI342" s="135"/>
      <c r="BJ342" s="135"/>
      <c r="BK342" s="135"/>
      <c r="BL342" s="135"/>
    </row>
    <row r="343" spans="1:64" x14ac:dyDescent="0.3">
      <c r="A343" s="135">
        <v>2016</v>
      </c>
      <c r="B343" s="135">
        <v>4</v>
      </c>
      <c r="C343" s="135" t="s">
        <v>52</v>
      </c>
      <c r="D343" s="135" t="s">
        <v>846</v>
      </c>
      <c r="E343" s="135" t="s">
        <v>1408</v>
      </c>
      <c r="F343" s="135" t="s">
        <v>52</v>
      </c>
      <c r="G343" s="135" t="s">
        <v>2309</v>
      </c>
      <c r="H343" s="135"/>
      <c r="I343" s="135"/>
      <c r="J343" s="135"/>
      <c r="K343" s="135"/>
      <c r="L343" s="135"/>
      <c r="M343" s="135"/>
      <c r="N343" s="135"/>
      <c r="O343" s="135"/>
      <c r="P343" s="135"/>
      <c r="Q343" s="135"/>
      <c r="R343" s="135"/>
      <c r="S343" s="135"/>
      <c r="T343" s="135"/>
      <c r="U343" s="135"/>
      <c r="V343" s="135"/>
      <c r="W343" s="135"/>
      <c r="X343" s="135"/>
      <c r="Y343" s="135"/>
      <c r="Z343" s="135">
        <v>6.6</v>
      </c>
      <c r="AA343" s="135">
        <v>2700</v>
      </c>
      <c r="AB343" s="135">
        <v>406.6</v>
      </c>
      <c r="AC343" s="135">
        <v>2.46</v>
      </c>
      <c r="AD343" s="135">
        <v>6.6</v>
      </c>
      <c r="AE343" s="135">
        <v>5350</v>
      </c>
      <c r="AF343" s="135">
        <v>805.7</v>
      </c>
      <c r="AG343" s="135">
        <v>1.24</v>
      </c>
      <c r="AH343" s="135">
        <v>6.6</v>
      </c>
      <c r="AI343" s="135">
        <v>2900</v>
      </c>
      <c r="AJ343" s="135">
        <v>436.7</v>
      </c>
      <c r="AK343" s="135">
        <v>2.29</v>
      </c>
      <c r="AL343" s="135">
        <v>6.6</v>
      </c>
      <c r="AM343" s="135">
        <v>4700</v>
      </c>
      <c r="AN343" s="135">
        <v>707.8</v>
      </c>
      <c r="AO343" s="135">
        <v>1.41</v>
      </c>
      <c r="AP343" s="135">
        <v>6.6</v>
      </c>
      <c r="AQ343" s="135">
        <v>15</v>
      </c>
      <c r="AR343" s="135">
        <v>2.2999999999999998</v>
      </c>
      <c r="AS343" s="135">
        <v>0.44</v>
      </c>
      <c r="AT343" s="135">
        <v>6.6</v>
      </c>
      <c r="AU343" s="135">
        <v>5700</v>
      </c>
      <c r="AV343" s="135">
        <v>858.4</v>
      </c>
      <c r="AW343" s="135">
        <v>1.1599999999999999</v>
      </c>
      <c r="AX343" s="135"/>
      <c r="AY343" s="135"/>
      <c r="AZ343" s="135"/>
      <c r="BA343" s="135"/>
      <c r="BB343" s="135"/>
      <c r="BC343" s="135"/>
      <c r="BD343" s="135"/>
      <c r="BE343" s="135"/>
      <c r="BF343" s="135"/>
      <c r="BG343" s="135"/>
      <c r="BH343" s="135"/>
      <c r="BI343" s="135"/>
      <c r="BJ343" s="135"/>
      <c r="BK343" s="135"/>
      <c r="BL343" s="135"/>
    </row>
    <row r="344" spans="1:64" x14ac:dyDescent="0.3">
      <c r="A344" s="135">
        <v>2016</v>
      </c>
      <c r="B344" s="135">
        <v>4</v>
      </c>
      <c r="C344" s="135" t="s">
        <v>18</v>
      </c>
      <c r="D344" s="135" t="s">
        <v>838</v>
      </c>
      <c r="E344" s="135" t="s">
        <v>1408</v>
      </c>
      <c r="F344" s="135" t="s">
        <v>18</v>
      </c>
      <c r="G344" s="135" t="s">
        <v>14</v>
      </c>
      <c r="H344" s="135"/>
      <c r="I344" s="135"/>
      <c r="J344" s="135"/>
      <c r="K344" s="135"/>
      <c r="L344" s="135"/>
      <c r="M344" s="135"/>
      <c r="N344" s="135"/>
      <c r="O344" s="135"/>
      <c r="P344" s="135"/>
      <c r="Q344" s="135"/>
      <c r="R344" s="135"/>
      <c r="S344" s="135"/>
      <c r="T344" s="135"/>
      <c r="U344" s="135"/>
      <c r="V344" s="135"/>
      <c r="W344" s="135"/>
      <c r="X344" s="135"/>
      <c r="Y344" s="135"/>
      <c r="Z344" s="135">
        <v>7.2</v>
      </c>
      <c r="AA344" s="135">
        <v>2700</v>
      </c>
      <c r="AB344" s="135">
        <v>373.6</v>
      </c>
      <c r="AC344" s="135">
        <v>2.68</v>
      </c>
      <c r="AD344" s="135">
        <v>7.7</v>
      </c>
      <c r="AE344" s="135">
        <v>5900</v>
      </c>
      <c r="AF344" s="135">
        <v>766.7</v>
      </c>
      <c r="AG344" s="135">
        <v>1.3</v>
      </c>
      <c r="AH344" s="135">
        <v>7.7</v>
      </c>
      <c r="AI344" s="135">
        <v>3500</v>
      </c>
      <c r="AJ344" s="135">
        <v>454.8</v>
      </c>
      <c r="AK344" s="135">
        <v>2.2000000000000002</v>
      </c>
      <c r="AL344" s="135">
        <v>7.7</v>
      </c>
      <c r="AM344" s="135">
        <v>4600</v>
      </c>
      <c r="AN344" s="135">
        <v>597.79999999999995</v>
      </c>
      <c r="AO344" s="135">
        <v>1.67</v>
      </c>
      <c r="AP344" s="135">
        <v>7.7</v>
      </c>
      <c r="AQ344" s="135">
        <v>17</v>
      </c>
      <c r="AR344" s="135">
        <v>2.2000000000000002</v>
      </c>
      <c r="AS344" s="135">
        <v>0.45</v>
      </c>
      <c r="AT344" s="135">
        <v>7.7</v>
      </c>
      <c r="AU344" s="135">
        <v>7000</v>
      </c>
      <c r="AV344" s="135">
        <v>909.7</v>
      </c>
      <c r="AW344" s="135">
        <v>1.1000000000000001</v>
      </c>
      <c r="AX344" s="135"/>
      <c r="AY344" s="135"/>
      <c r="AZ344" s="135"/>
      <c r="BA344" s="135"/>
      <c r="BB344" s="135"/>
      <c r="BC344" s="135"/>
      <c r="BD344" s="135"/>
      <c r="BE344" s="135"/>
      <c r="BF344" s="135"/>
      <c r="BG344" s="135"/>
      <c r="BH344" s="135"/>
      <c r="BI344" s="135"/>
      <c r="BJ344" s="135"/>
      <c r="BK344" s="135"/>
      <c r="BL344" s="135"/>
    </row>
    <row r="345" spans="1:64" x14ac:dyDescent="0.3">
      <c r="A345" s="135">
        <v>2016</v>
      </c>
      <c r="B345" s="135">
        <v>4</v>
      </c>
      <c r="C345" s="135" t="s">
        <v>46</v>
      </c>
      <c r="D345" s="135" t="s">
        <v>841</v>
      </c>
      <c r="E345" s="135" t="s">
        <v>1408</v>
      </c>
      <c r="F345" s="135" t="s">
        <v>46</v>
      </c>
      <c r="G345" s="135" t="s">
        <v>26</v>
      </c>
      <c r="H345" s="135"/>
      <c r="I345" s="135"/>
      <c r="J345" s="135"/>
      <c r="K345" s="135"/>
      <c r="L345" s="135"/>
      <c r="M345" s="135"/>
      <c r="N345" s="135"/>
      <c r="O345" s="135"/>
      <c r="P345" s="135"/>
      <c r="Q345" s="135"/>
      <c r="R345" s="135"/>
      <c r="S345" s="135"/>
      <c r="T345" s="135"/>
      <c r="U345" s="135"/>
      <c r="V345" s="135"/>
      <c r="W345" s="135"/>
      <c r="X345" s="135"/>
      <c r="Y345" s="135"/>
      <c r="Z345" s="135">
        <v>5.3</v>
      </c>
      <c r="AA345" s="135">
        <v>2500</v>
      </c>
      <c r="AB345" s="135">
        <v>469.7</v>
      </c>
      <c r="AC345" s="135">
        <v>2.13</v>
      </c>
      <c r="AD345" s="135">
        <v>5.3</v>
      </c>
      <c r="AE345" s="135">
        <v>5350</v>
      </c>
      <c r="AF345" s="135">
        <v>1005.1</v>
      </c>
      <c r="AG345" s="135">
        <v>0.99</v>
      </c>
      <c r="AH345" s="135">
        <v>5.3</v>
      </c>
      <c r="AI345" s="135">
        <v>2500</v>
      </c>
      <c r="AJ345" s="135">
        <v>469.7</v>
      </c>
      <c r="AK345" s="135">
        <v>2.13</v>
      </c>
      <c r="AL345" s="135">
        <v>5.3</v>
      </c>
      <c r="AM345" s="135">
        <v>4200</v>
      </c>
      <c r="AN345" s="135">
        <v>789</v>
      </c>
      <c r="AO345" s="135">
        <v>1.27</v>
      </c>
      <c r="AP345" s="135">
        <v>5.3</v>
      </c>
      <c r="AQ345" s="135">
        <v>12</v>
      </c>
      <c r="AR345" s="135">
        <v>2.2999999999999998</v>
      </c>
      <c r="AS345" s="135">
        <v>0.44</v>
      </c>
      <c r="AT345" s="135">
        <v>5.3</v>
      </c>
      <c r="AU345" s="135">
        <v>4900</v>
      </c>
      <c r="AV345" s="135">
        <v>920.5</v>
      </c>
      <c r="AW345" s="135">
        <v>1.0900000000000001</v>
      </c>
      <c r="AX345" s="135"/>
      <c r="AY345" s="135"/>
      <c r="AZ345" s="135"/>
      <c r="BA345" s="135"/>
      <c r="BB345" s="135"/>
      <c r="BC345" s="135"/>
      <c r="BD345" s="135"/>
      <c r="BE345" s="135"/>
      <c r="BF345" s="135"/>
      <c r="BG345" s="135"/>
      <c r="BH345" s="135"/>
      <c r="BI345" s="135"/>
      <c r="BJ345" s="135"/>
      <c r="BK345" s="135"/>
      <c r="BL345" s="135"/>
    </row>
    <row r="346" spans="1:64" x14ac:dyDescent="0.3">
      <c r="A346" s="135">
        <v>2016</v>
      </c>
      <c r="B346" s="135">
        <v>4</v>
      </c>
      <c r="C346" s="135" t="s">
        <v>26</v>
      </c>
      <c r="D346" s="135" t="s">
        <v>839</v>
      </c>
      <c r="E346" s="135" t="s">
        <v>1408</v>
      </c>
      <c r="F346" s="135" t="s">
        <v>26</v>
      </c>
      <c r="G346" s="135" t="s">
        <v>2298</v>
      </c>
      <c r="H346" s="135"/>
      <c r="I346" s="135"/>
      <c r="J346" s="135"/>
      <c r="K346" s="135"/>
      <c r="L346" s="135"/>
      <c r="M346" s="135"/>
      <c r="N346" s="135"/>
      <c r="O346" s="135"/>
      <c r="P346" s="135"/>
      <c r="Q346" s="135"/>
      <c r="R346" s="135"/>
      <c r="S346" s="135"/>
      <c r="T346" s="135"/>
      <c r="U346" s="135"/>
      <c r="V346" s="135"/>
      <c r="W346" s="135"/>
      <c r="X346" s="135"/>
      <c r="Y346" s="135"/>
      <c r="Z346" s="135">
        <v>7.5</v>
      </c>
      <c r="AA346" s="135">
        <v>2700</v>
      </c>
      <c r="AB346" s="135">
        <v>360.1</v>
      </c>
      <c r="AC346" s="135">
        <v>2.78</v>
      </c>
      <c r="AD346" s="135">
        <v>7.5</v>
      </c>
      <c r="AE346" s="135">
        <v>5000</v>
      </c>
      <c r="AF346" s="135">
        <v>666.8</v>
      </c>
      <c r="AG346" s="135">
        <v>1.5</v>
      </c>
      <c r="AH346" s="135">
        <v>7.5</v>
      </c>
      <c r="AI346" s="135">
        <v>3100</v>
      </c>
      <c r="AJ346" s="135">
        <v>413.4</v>
      </c>
      <c r="AK346" s="135">
        <v>2.42</v>
      </c>
      <c r="AL346" s="135">
        <v>7.5</v>
      </c>
      <c r="AM346" s="135">
        <v>4500</v>
      </c>
      <c r="AN346" s="135">
        <v>600.20000000000005</v>
      </c>
      <c r="AO346" s="135">
        <v>1.67</v>
      </c>
      <c r="AP346" s="135">
        <v>7.5</v>
      </c>
      <c r="AQ346" s="135">
        <v>15</v>
      </c>
      <c r="AR346" s="135">
        <v>2</v>
      </c>
      <c r="AS346" s="135">
        <v>0.5</v>
      </c>
      <c r="AT346" s="135">
        <v>7.5</v>
      </c>
      <c r="AU346" s="135">
        <v>6000</v>
      </c>
      <c r="AV346" s="135">
        <v>800.2</v>
      </c>
      <c r="AW346" s="135">
        <v>1.25</v>
      </c>
      <c r="AX346" s="135"/>
      <c r="AY346" s="135"/>
      <c r="AZ346" s="135"/>
      <c r="BA346" s="135"/>
      <c r="BB346" s="135"/>
      <c r="BC346" s="135"/>
      <c r="BD346" s="135"/>
      <c r="BE346" s="135"/>
      <c r="BF346" s="135"/>
      <c r="BG346" s="135"/>
      <c r="BH346" s="135"/>
      <c r="BI346" s="135"/>
      <c r="BJ346" s="135"/>
      <c r="BK346" s="135"/>
      <c r="BL346" s="135"/>
    </row>
    <row r="347" spans="1:64" x14ac:dyDescent="0.3">
      <c r="A347" s="135">
        <v>2016</v>
      </c>
      <c r="B347" s="135">
        <v>4</v>
      </c>
      <c r="C347" s="135" t="s">
        <v>41</v>
      </c>
      <c r="D347" s="135" t="s">
        <v>855</v>
      </c>
      <c r="E347" s="135" t="s">
        <v>1408</v>
      </c>
      <c r="F347" s="135" t="s">
        <v>41</v>
      </c>
      <c r="G347" s="135" t="s">
        <v>37</v>
      </c>
      <c r="H347" s="135"/>
      <c r="I347" s="135"/>
      <c r="J347" s="135"/>
      <c r="K347" s="135"/>
      <c r="L347" s="135"/>
      <c r="M347" s="135"/>
      <c r="N347" s="135"/>
      <c r="O347" s="135"/>
      <c r="P347" s="135"/>
      <c r="Q347" s="135"/>
      <c r="R347" s="135"/>
      <c r="S347" s="135"/>
      <c r="T347" s="135"/>
      <c r="U347" s="135"/>
      <c r="V347" s="135"/>
      <c r="W347" s="135"/>
      <c r="X347" s="135"/>
      <c r="Y347" s="135"/>
      <c r="Z347" s="135">
        <v>8.4</v>
      </c>
      <c r="AA347" s="135">
        <v>3200</v>
      </c>
      <c r="AB347" s="135">
        <v>382.7</v>
      </c>
      <c r="AC347" s="135">
        <v>2.61</v>
      </c>
      <c r="AD347" s="135">
        <v>8.5</v>
      </c>
      <c r="AE347" s="135">
        <v>7850</v>
      </c>
      <c r="AF347" s="135">
        <v>924.9</v>
      </c>
      <c r="AG347" s="135">
        <v>1.08</v>
      </c>
      <c r="AH347" s="135">
        <v>8.5</v>
      </c>
      <c r="AI347" s="135">
        <v>3600</v>
      </c>
      <c r="AJ347" s="135">
        <v>424.2</v>
      </c>
      <c r="AK347" s="135">
        <v>2.36</v>
      </c>
      <c r="AL347" s="135">
        <v>8.5</v>
      </c>
      <c r="AM347" s="135">
        <v>4700</v>
      </c>
      <c r="AN347" s="135">
        <v>553.79999999999995</v>
      </c>
      <c r="AO347" s="135">
        <v>1.81</v>
      </c>
      <c r="AP347" s="135">
        <v>8.5</v>
      </c>
      <c r="AQ347" s="135">
        <v>19</v>
      </c>
      <c r="AR347" s="135">
        <v>2.2000000000000002</v>
      </c>
      <c r="AS347" s="135">
        <v>0.45</v>
      </c>
      <c r="AT347" s="135">
        <v>8.5</v>
      </c>
      <c r="AU347" s="135">
        <v>7000</v>
      </c>
      <c r="AV347" s="135">
        <v>824.8</v>
      </c>
      <c r="AW347" s="135">
        <v>1.21</v>
      </c>
      <c r="AX347" s="135"/>
      <c r="AY347" s="135"/>
      <c r="AZ347" s="135"/>
      <c r="BA347" s="135"/>
      <c r="BB347" s="135"/>
      <c r="BC347" s="135"/>
      <c r="BD347" s="135"/>
      <c r="BE347" s="135"/>
      <c r="BF347" s="135"/>
      <c r="BG347" s="135"/>
      <c r="BH347" s="135"/>
      <c r="BI347" s="135"/>
      <c r="BJ347" s="135"/>
      <c r="BK347" s="135"/>
      <c r="BL347" s="135"/>
    </row>
    <row r="348" spans="1:64" x14ac:dyDescent="0.3">
      <c r="A348" s="135">
        <v>2016</v>
      </c>
      <c r="B348" s="135">
        <v>4</v>
      </c>
      <c r="C348" s="135" t="s">
        <v>401</v>
      </c>
      <c r="D348" s="135" t="s">
        <v>845</v>
      </c>
      <c r="E348" s="135" t="s">
        <v>1408</v>
      </c>
      <c r="F348" s="135" t="s">
        <v>401</v>
      </c>
      <c r="G348" s="135" t="s">
        <v>70</v>
      </c>
      <c r="H348" s="135"/>
      <c r="I348" s="135"/>
      <c r="J348" s="135"/>
      <c r="K348" s="135"/>
      <c r="L348" s="135"/>
      <c r="M348" s="135"/>
      <c r="N348" s="135"/>
      <c r="O348" s="135"/>
      <c r="P348" s="135"/>
      <c r="Q348" s="135"/>
      <c r="R348" s="135"/>
      <c r="S348" s="135"/>
      <c r="T348" s="135"/>
      <c r="U348" s="135"/>
      <c r="V348" s="135"/>
      <c r="W348" s="135"/>
      <c r="X348" s="135"/>
      <c r="Y348" s="135"/>
      <c r="Z348" s="135">
        <v>6.2</v>
      </c>
      <c r="AA348" s="135">
        <v>2500</v>
      </c>
      <c r="AB348" s="135">
        <v>406</v>
      </c>
      <c r="AC348" s="135">
        <v>2.46</v>
      </c>
      <c r="AD348" s="135">
        <v>6.2</v>
      </c>
      <c r="AE348" s="135">
        <v>6100</v>
      </c>
      <c r="AF348" s="135">
        <v>990.7</v>
      </c>
      <c r="AG348" s="135">
        <v>1.01</v>
      </c>
      <c r="AH348" s="135">
        <v>6.2</v>
      </c>
      <c r="AI348" s="135">
        <v>2600</v>
      </c>
      <c r="AJ348" s="135">
        <v>422.3</v>
      </c>
      <c r="AK348" s="135">
        <v>2.37</v>
      </c>
      <c r="AL348" s="135">
        <v>6.2</v>
      </c>
      <c r="AM348" s="135">
        <v>4200</v>
      </c>
      <c r="AN348" s="135">
        <v>682.2</v>
      </c>
      <c r="AO348" s="135">
        <v>1.47</v>
      </c>
      <c r="AP348" s="135">
        <v>6.2</v>
      </c>
      <c r="AQ348" s="135">
        <v>14</v>
      </c>
      <c r="AR348" s="135">
        <v>2.2999999999999998</v>
      </c>
      <c r="AS348" s="135">
        <v>0.44</v>
      </c>
      <c r="AT348" s="135">
        <v>6.2</v>
      </c>
      <c r="AU348" s="135">
        <v>5000</v>
      </c>
      <c r="AV348" s="135">
        <v>812.1</v>
      </c>
      <c r="AW348" s="135">
        <v>1.23</v>
      </c>
      <c r="AX348" s="135"/>
      <c r="AY348" s="135"/>
      <c r="AZ348" s="135"/>
      <c r="BA348" s="135"/>
      <c r="BB348" s="135"/>
      <c r="BC348" s="135"/>
      <c r="BD348" s="135"/>
      <c r="BE348" s="135"/>
      <c r="BF348" s="135"/>
      <c r="BG348" s="135"/>
      <c r="BH348" s="135"/>
      <c r="BI348" s="135"/>
      <c r="BJ348" s="135"/>
      <c r="BK348" s="135"/>
      <c r="BL348" s="135"/>
    </row>
    <row r="349" spans="1:64" x14ac:dyDescent="0.3">
      <c r="A349" s="135">
        <v>2016</v>
      </c>
      <c r="B349" s="135">
        <v>4</v>
      </c>
      <c r="C349" s="135" t="s">
        <v>50</v>
      </c>
      <c r="D349" s="135" t="s">
        <v>828</v>
      </c>
      <c r="E349" s="135" t="s">
        <v>1408</v>
      </c>
      <c r="F349" s="135" t="s">
        <v>50</v>
      </c>
      <c r="G349" s="135" t="s">
        <v>22</v>
      </c>
      <c r="H349" s="135"/>
      <c r="I349" s="135"/>
      <c r="J349" s="135"/>
      <c r="K349" s="135"/>
      <c r="L349" s="135"/>
      <c r="M349" s="135"/>
      <c r="N349" s="135"/>
      <c r="O349" s="135"/>
      <c r="P349" s="135"/>
      <c r="Q349" s="135"/>
      <c r="R349" s="135"/>
      <c r="S349" s="135"/>
      <c r="T349" s="135"/>
      <c r="U349" s="135"/>
      <c r="V349" s="135"/>
      <c r="W349" s="135"/>
      <c r="X349" s="135"/>
      <c r="Y349" s="135"/>
      <c r="Z349" s="135">
        <v>6.4</v>
      </c>
      <c r="AA349" s="135">
        <v>2500</v>
      </c>
      <c r="AB349" s="135">
        <v>392.6</v>
      </c>
      <c r="AC349" s="135">
        <v>2.5499999999999998</v>
      </c>
      <c r="AD349" s="135">
        <v>6.4</v>
      </c>
      <c r="AE349" s="135">
        <v>5000</v>
      </c>
      <c r="AF349" s="135">
        <v>785.2</v>
      </c>
      <c r="AG349" s="135">
        <v>1.27</v>
      </c>
      <c r="AH349" s="135">
        <v>6.4</v>
      </c>
      <c r="AI349" s="135">
        <v>2400</v>
      </c>
      <c r="AJ349" s="135">
        <v>376.9</v>
      </c>
      <c r="AK349" s="135">
        <v>2.65</v>
      </c>
      <c r="AL349" s="135">
        <v>6.4</v>
      </c>
      <c r="AM349" s="135">
        <v>4000</v>
      </c>
      <c r="AN349" s="135">
        <v>628.1</v>
      </c>
      <c r="AO349" s="135">
        <v>1.59</v>
      </c>
      <c r="AP349" s="135">
        <v>6.4</v>
      </c>
      <c r="AQ349" s="135">
        <v>10</v>
      </c>
      <c r="AR349" s="135">
        <v>1.6</v>
      </c>
      <c r="AS349" s="135">
        <v>0.64</v>
      </c>
      <c r="AT349" s="135">
        <v>6.4</v>
      </c>
      <c r="AU349" s="135">
        <v>4600</v>
      </c>
      <c r="AV349" s="135">
        <v>722.4</v>
      </c>
      <c r="AW349" s="135">
        <v>1.38</v>
      </c>
      <c r="AX349" s="135"/>
      <c r="AY349" s="135"/>
      <c r="AZ349" s="135"/>
      <c r="BA349" s="135"/>
      <c r="BB349" s="135"/>
      <c r="BC349" s="135"/>
      <c r="BD349" s="135"/>
      <c r="BE349" s="135"/>
      <c r="BF349" s="135"/>
      <c r="BG349" s="135"/>
      <c r="BH349" s="135"/>
      <c r="BI349" s="135"/>
      <c r="BJ349" s="135"/>
      <c r="BK349" s="135"/>
      <c r="BL349" s="135"/>
    </row>
    <row r="350" spans="1:64" x14ac:dyDescent="0.3">
      <c r="A350" s="135">
        <v>2016</v>
      </c>
      <c r="B350" s="135">
        <v>4</v>
      </c>
      <c r="C350" s="135" t="s">
        <v>22</v>
      </c>
      <c r="D350" s="135" t="s">
        <v>831</v>
      </c>
      <c r="E350" s="135" t="s">
        <v>1408</v>
      </c>
      <c r="F350" s="135" t="s">
        <v>22</v>
      </c>
      <c r="G350" s="135" t="s">
        <v>2296</v>
      </c>
      <c r="H350" s="135"/>
      <c r="I350" s="135"/>
      <c r="J350" s="135"/>
      <c r="K350" s="135"/>
      <c r="L350" s="135"/>
      <c r="M350" s="135"/>
      <c r="N350" s="135"/>
      <c r="O350" s="135"/>
      <c r="P350" s="135"/>
      <c r="Q350" s="135"/>
      <c r="R350" s="135"/>
      <c r="S350" s="135"/>
      <c r="T350" s="135"/>
      <c r="U350" s="135"/>
      <c r="V350" s="135"/>
      <c r="W350" s="135"/>
      <c r="X350" s="135"/>
      <c r="Y350" s="135"/>
      <c r="Z350" s="135">
        <v>7.8</v>
      </c>
      <c r="AA350" s="135">
        <v>3100</v>
      </c>
      <c r="AB350" s="135">
        <v>395.8</v>
      </c>
      <c r="AC350" s="135">
        <v>2.5299999999999998</v>
      </c>
      <c r="AD350" s="135">
        <v>7.8</v>
      </c>
      <c r="AE350" s="135">
        <v>8200</v>
      </c>
      <c r="AF350" s="135">
        <v>1047</v>
      </c>
      <c r="AG350" s="135">
        <v>0.96</v>
      </c>
      <c r="AH350" s="135">
        <v>7.8</v>
      </c>
      <c r="AI350" s="135">
        <v>3400</v>
      </c>
      <c r="AJ350" s="135">
        <v>434.1</v>
      </c>
      <c r="AK350" s="135">
        <v>2.2999999999999998</v>
      </c>
      <c r="AL350" s="135">
        <v>7.8</v>
      </c>
      <c r="AM350" s="135">
        <v>4800</v>
      </c>
      <c r="AN350" s="135">
        <v>612.9</v>
      </c>
      <c r="AO350" s="135">
        <v>1.63</v>
      </c>
      <c r="AP350" s="135">
        <v>7.8</v>
      </c>
      <c r="AQ350" s="135">
        <v>17</v>
      </c>
      <c r="AR350" s="135">
        <v>2.2000000000000002</v>
      </c>
      <c r="AS350" s="135">
        <v>0.46</v>
      </c>
      <c r="AT350" s="135">
        <v>7.8</v>
      </c>
      <c r="AU350" s="135">
        <v>6700</v>
      </c>
      <c r="AV350" s="135">
        <v>855.5</v>
      </c>
      <c r="AW350" s="135">
        <v>1.17</v>
      </c>
      <c r="AX350" s="135"/>
      <c r="AY350" s="135"/>
      <c r="AZ350" s="135"/>
      <c r="BA350" s="135"/>
      <c r="BB350" s="135"/>
      <c r="BC350" s="135"/>
      <c r="BD350" s="135"/>
      <c r="BE350" s="135"/>
      <c r="BF350" s="135"/>
      <c r="BG350" s="135"/>
      <c r="BH350" s="135"/>
      <c r="BI350" s="135"/>
      <c r="BJ350" s="135"/>
      <c r="BK350" s="135"/>
      <c r="BL350" s="135"/>
    </row>
    <row r="351" spans="1:64" x14ac:dyDescent="0.3">
      <c r="A351" s="135">
        <v>2016</v>
      </c>
      <c r="B351" s="135">
        <v>4</v>
      </c>
      <c r="C351" s="135" t="s">
        <v>404</v>
      </c>
      <c r="D351" s="135" t="s">
        <v>827</v>
      </c>
      <c r="E351" s="135" t="s">
        <v>1408</v>
      </c>
      <c r="F351" s="135" t="s">
        <v>404</v>
      </c>
      <c r="G351" s="135" t="s">
        <v>2308</v>
      </c>
      <c r="H351" s="135"/>
      <c r="I351" s="135"/>
      <c r="J351" s="135"/>
      <c r="K351" s="135"/>
      <c r="L351" s="135"/>
      <c r="M351" s="135"/>
      <c r="N351" s="135"/>
      <c r="O351" s="135"/>
      <c r="P351" s="135"/>
      <c r="Q351" s="135"/>
      <c r="R351" s="135"/>
      <c r="S351" s="135"/>
      <c r="T351" s="135"/>
      <c r="U351" s="135"/>
      <c r="V351" s="135"/>
      <c r="W351" s="135"/>
      <c r="X351" s="135"/>
      <c r="Y351" s="135"/>
      <c r="Z351" s="135">
        <v>5.5</v>
      </c>
      <c r="AA351" s="135">
        <v>2600</v>
      </c>
      <c r="AB351" s="135">
        <v>474.1</v>
      </c>
      <c r="AC351" s="135">
        <v>2.11</v>
      </c>
      <c r="AD351" s="135">
        <v>5.5</v>
      </c>
      <c r="AE351" s="135">
        <v>5000</v>
      </c>
      <c r="AF351" s="135">
        <v>911.7</v>
      </c>
      <c r="AG351" s="135">
        <v>1.1000000000000001</v>
      </c>
      <c r="AH351" s="135">
        <v>5.5</v>
      </c>
      <c r="AI351" s="135">
        <v>2000</v>
      </c>
      <c r="AJ351" s="135">
        <v>364.7</v>
      </c>
      <c r="AK351" s="135">
        <v>2.74</v>
      </c>
      <c r="AL351" s="135">
        <v>5.5</v>
      </c>
      <c r="AM351" s="135">
        <v>4000</v>
      </c>
      <c r="AN351" s="135">
        <v>729.4</v>
      </c>
      <c r="AO351" s="135">
        <v>1.37</v>
      </c>
      <c r="AP351" s="135">
        <v>5.5</v>
      </c>
      <c r="AQ351" s="135">
        <v>10</v>
      </c>
      <c r="AR351" s="135">
        <v>1.8</v>
      </c>
      <c r="AS351" s="135">
        <v>0.55000000000000004</v>
      </c>
      <c r="AT351" s="135">
        <v>5.5</v>
      </c>
      <c r="AU351" s="135">
        <v>3900</v>
      </c>
      <c r="AV351" s="135">
        <v>711.2</v>
      </c>
      <c r="AW351" s="135">
        <v>1.41</v>
      </c>
      <c r="AX351" s="135"/>
      <c r="AY351" s="135"/>
      <c r="AZ351" s="135"/>
      <c r="BA351" s="135"/>
      <c r="BB351" s="135"/>
      <c r="BC351" s="135"/>
      <c r="BD351" s="135"/>
      <c r="BE351" s="135"/>
      <c r="BF351" s="135"/>
      <c r="BG351" s="135"/>
      <c r="BH351" s="135"/>
      <c r="BI351" s="135"/>
      <c r="BJ351" s="135"/>
      <c r="BK351" s="135"/>
      <c r="BL351" s="135"/>
    </row>
    <row r="352" spans="1:64" x14ac:dyDescent="0.3">
      <c r="A352" s="135">
        <v>2016</v>
      </c>
      <c r="B352" s="135">
        <v>4</v>
      </c>
      <c r="C352" s="135" t="s">
        <v>398</v>
      </c>
      <c r="D352" s="135" t="s">
        <v>844</v>
      </c>
      <c r="E352" s="135" t="s">
        <v>1408</v>
      </c>
      <c r="F352" s="135" t="s">
        <v>398</v>
      </c>
      <c r="G352" s="135" t="s">
        <v>52</v>
      </c>
      <c r="H352" s="135"/>
      <c r="I352" s="135"/>
      <c r="J352" s="135"/>
      <c r="K352" s="135"/>
      <c r="L352" s="135"/>
      <c r="M352" s="135"/>
      <c r="N352" s="135"/>
      <c r="O352" s="135"/>
      <c r="P352" s="135"/>
      <c r="Q352" s="135"/>
      <c r="R352" s="135"/>
      <c r="S352" s="135"/>
      <c r="T352" s="135"/>
      <c r="U352" s="135"/>
      <c r="V352" s="135"/>
      <c r="W352" s="135"/>
      <c r="X352" s="135"/>
      <c r="Y352" s="135"/>
      <c r="Z352" s="135">
        <v>5.9</v>
      </c>
      <c r="AA352" s="135">
        <v>2500</v>
      </c>
      <c r="AB352" s="135">
        <v>424.1</v>
      </c>
      <c r="AC352" s="135">
        <v>2.36</v>
      </c>
      <c r="AD352" s="135">
        <v>5.9</v>
      </c>
      <c r="AE352" s="135">
        <v>5100</v>
      </c>
      <c r="AF352" s="135">
        <v>865.1</v>
      </c>
      <c r="AG352" s="135">
        <v>1.1599999999999999</v>
      </c>
      <c r="AH352" s="135">
        <v>5.9</v>
      </c>
      <c r="AI352" s="135">
        <v>2600</v>
      </c>
      <c r="AJ352" s="135">
        <v>441.1</v>
      </c>
      <c r="AK352" s="135">
        <v>2.27</v>
      </c>
      <c r="AL352" s="135">
        <v>5.9</v>
      </c>
      <c r="AM352" s="135">
        <v>4200</v>
      </c>
      <c r="AN352" s="135">
        <v>712.5</v>
      </c>
      <c r="AO352" s="135">
        <v>1.4</v>
      </c>
      <c r="AP352" s="135">
        <v>5.9</v>
      </c>
      <c r="AQ352" s="135">
        <v>15</v>
      </c>
      <c r="AR352" s="135">
        <v>2.5</v>
      </c>
      <c r="AS352" s="135">
        <v>0.39</v>
      </c>
      <c r="AT352" s="135">
        <v>5.9</v>
      </c>
      <c r="AU352" s="135">
        <v>5000</v>
      </c>
      <c r="AV352" s="135">
        <v>848.2</v>
      </c>
      <c r="AW352" s="135">
        <v>1.18</v>
      </c>
      <c r="AX352" s="135"/>
      <c r="AY352" s="135"/>
      <c r="AZ352" s="135"/>
      <c r="BA352" s="135"/>
      <c r="BB352" s="135"/>
      <c r="BC352" s="135"/>
      <c r="BD352" s="135"/>
      <c r="BE352" s="135"/>
      <c r="BF352" s="135"/>
      <c r="BG352" s="135"/>
      <c r="BH352" s="135"/>
      <c r="BI352" s="135"/>
      <c r="BJ352" s="135"/>
      <c r="BK352" s="135"/>
      <c r="BL352" s="135"/>
    </row>
    <row r="353" spans="1:64" x14ac:dyDescent="0.3">
      <c r="A353" s="135">
        <v>2016</v>
      </c>
      <c r="B353" s="135">
        <v>4</v>
      </c>
      <c r="C353" s="135" t="s">
        <v>24</v>
      </c>
      <c r="D353" s="135" t="s">
        <v>854</v>
      </c>
      <c r="E353" s="135" t="s">
        <v>1408</v>
      </c>
      <c r="F353" s="135" t="s">
        <v>24</v>
      </c>
      <c r="G353" s="135" t="s">
        <v>409</v>
      </c>
      <c r="H353" s="135"/>
      <c r="I353" s="135"/>
      <c r="J353" s="135"/>
      <c r="K353" s="135"/>
      <c r="L353" s="135"/>
      <c r="M353" s="135"/>
      <c r="N353" s="135"/>
      <c r="O353" s="135"/>
      <c r="P353" s="135"/>
      <c r="Q353" s="135"/>
      <c r="R353" s="135"/>
      <c r="S353" s="135"/>
      <c r="T353" s="135"/>
      <c r="U353" s="135"/>
      <c r="V353" s="135"/>
      <c r="W353" s="135"/>
      <c r="X353" s="135"/>
      <c r="Y353" s="135"/>
      <c r="Z353" s="135">
        <v>8.8000000000000007</v>
      </c>
      <c r="AA353" s="135">
        <v>3400</v>
      </c>
      <c r="AB353" s="135">
        <v>388.1</v>
      </c>
      <c r="AC353" s="135">
        <v>2.58</v>
      </c>
      <c r="AD353" s="135">
        <v>9.1999999999999993</v>
      </c>
      <c r="AE353" s="135">
        <v>9050</v>
      </c>
      <c r="AF353" s="135">
        <v>983.8</v>
      </c>
      <c r="AG353" s="135">
        <v>1.02</v>
      </c>
      <c r="AH353" s="135">
        <v>9.1999999999999993</v>
      </c>
      <c r="AI353" s="135">
        <v>3900</v>
      </c>
      <c r="AJ353" s="135">
        <v>424</v>
      </c>
      <c r="AK353" s="135">
        <v>2.36</v>
      </c>
      <c r="AL353" s="135">
        <v>9.1999999999999993</v>
      </c>
      <c r="AM353" s="135">
        <v>5300</v>
      </c>
      <c r="AN353" s="135">
        <v>576.1</v>
      </c>
      <c r="AO353" s="135">
        <v>1.74</v>
      </c>
      <c r="AP353" s="135">
        <v>9.1999999999999993</v>
      </c>
      <c r="AQ353" s="135">
        <v>19</v>
      </c>
      <c r="AR353" s="135">
        <v>2.1</v>
      </c>
      <c r="AS353" s="135">
        <v>0.48</v>
      </c>
      <c r="AT353" s="135">
        <v>9.1999999999999993</v>
      </c>
      <c r="AU353" s="135">
        <v>7700</v>
      </c>
      <c r="AV353" s="135">
        <v>837</v>
      </c>
      <c r="AW353" s="135">
        <v>1.19</v>
      </c>
      <c r="AX353" s="135"/>
      <c r="AY353" s="135"/>
      <c r="AZ353" s="135"/>
      <c r="BA353" s="135"/>
      <c r="BB353" s="135"/>
      <c r="BC353" s="135"/>
      <c r="BD353" s="135"/>
      <c r="BE353" s="135"/>
      <c r="BF353" s="135"/>
      <c r="BG353" s="135"/>
      <c r="BH353" s="135"/>
      <c r="BI353" s="135"/>
      <c r="BJ353" s="135"/>
      <c r="BK353" s="135"/>
      <c r="BL353" s="135"/>
    </row>
    <row r="354" spans="1:64" x14ac:dyDescent="0.3">
      <c r="A354" s="135">
        <v>2016</v>
      </c>
      <c r="B354" s="135">
        <v>4</v>
      </c>
      <c r="C354" s="135" t="s">
        <v>7</v>
      </c>
      <c r="D354" s="135" t="s">
        <v>847</v>
      </c>
      <c r="E354" s="135" t="s">
        <v>1408</v>
      </c>
      <c r="F354" s="135" t="s">
        <v>7</v>
      </c>
      <c r="G354" s="135" t="s">
        <v>2305</v>
      </c>
      <c r="H354" s="135"/>
      <c r="I354" s="135"/>
      <c r="J354" s="135"/>
      <c r="K354" s="135"/>
      <c r="L354" s="135"/>
      <c r="M354" s="135"/>
      <c r="N354" s="135"/>
      <c r="O354" s="135"/>
      <c r="P354" s="135"/>
      <c r="Q354" s="135"/>
      <c r="R354" s="135"/>
      <c r="S354" s="135"/>
      <c r="T354" s="135"/>
      <c r="U354" s="135"/>
      <c r="V354" s="135"/>
      <c r="W354" s="135"/>
      <c r="X354" s="135"/>
      <c r="Y354" s="135"/>
      <c r="Z354" s="135">
        <v>7.5</v>
      </c>
      <c r="AA354" s="135">
        <v>3300</v>
      </c>
      <c r="AB354" s="135">
        <v>439.4</v>
      </c>
      <c r="AC354" s="135">
        <v>2.2799999999999998</v>
      </c>
      <c r="AD354" s="135">
        <v>7.8</v>
      </c>
      <c r="AE354" s="135">
        <v>7550</v>
      </c>
      <c r="AF354" s="135">
        <v>972.9</v>
      </c>
      <c r="AG354" s="135">
        <v>1.03</v>
      </c>
      <c r="AH354" s="135">
        <v>7.8</v>
      </c>
      <c r="AI354" s="135">
        <v>3800</v>
      </c>
      <c r="AJ354" s="135">
        <v>489.7</v>
      </c>
      <c r="AK354" s="135">
        <v>2.04</v>
      </c>
      <c r="AL354" s="135">
        <v>7.8</v>
      </c>
      <c r="AM354" s="135">
        <v>5000</v>
      </c>
      <c r="AN354" s="135">
        <v>644.29999999999995</v>
      </c>
      <c r="AO354" s="135">
        <v>1.55</v>
      </c>
      <c r="AP354" s="135">
        <v>7.8</v>
      </c>
      <c r="AQ354" s="135">
        <v>17</v>
      </c>
      <c r="AR354" s="135">
        <v>2.2000000000000002</v>
      </c>
      <c r="AS354" s="135">
        <v>0.46</v>
      </c>
      <c r="AT354" s="135">
        <v>7.8</v>
      </c>
      <c r="AU354" s="135">
        <v>7400</v>
      </c>
      <c r="AV354" s="135">
        <v>953.6</v>
      </c>
      <c r="AW354" s="135">
        <v>1.05</v>
      </c>
      <c r="AX354" s="135"/>
      <c r="AY354" s="135"/>
      <c r="AZ354" s="135"/>
      <c r="BA354" s="135"/>
      <c r="BB354" s="135"/>
      <c r="BC354" s="135"/>
      <c r="BD354" s="135"/>
      <c r="BE354" s="135"/>
      <c r="BF354" s="135"/>
      <c r="BG354" s="135"/>
      <c r="BH354" s="135"/>
      <c r="BI354" s="135"/>
      <c r="BJ354" s="135"/>
      <c r="BK354" s="135"/>
      <c r="BL354" s="135"/>
    </row>
    <row r="355" spans="1:64" x14ac:dyDescent="0.3">
      <c r="A355" s="135">
        <v>2016</v>
      </c>
      <c r="B355" s="135">
        <v>4</v>
      </c>
      <c r="C355" s="135" t="s">
        <v>37</v>
      </c>
      <c r="D355" s="135" t="s">
        <v>829</v>
      </c>
      <c r="E355" s="135" t="s">
        <v>1408</v>
      </c>
      <c r="F355" s="135" t="s">
        <v>37</v>
      </c>
      <c r="G355" s="135" t="s">
        <v>2304</v>
      </c>
      <c r="H355" s="135"/>
      <c r="I355" s="135"/>
      <c r="J355" s="135"/>
      <c r="K355" s="135"/>
      <c r="L355" s="135"/>
      <c r="M355" s="135"/>
      <c r="N355" s="135"/>
      <c r="O355" s="135"/>
      <c r="P355" s="135"/>
      <c r="Q355" s="135"/>
      <c r="R355" s="135"/>
      <c r="S355" s="135"/>
      <c r="T355" s="135"/>
      <c r="U355" s="135"/>
      <c r="V355" s="135"/>
      <c r="W355" s="135"/>
      <c r="X355" s="135"/>
      <c r="Y355" s="135"/>
      <c r="Z355" s="135">
        <v>6.7</v>
      </c>
      <c r="AA355" s="135">
        <v>2650</v>
      </c>
      <c r="AB355" s="135">
        <v>395.8</v>
      </c>
      <c r="AC355" s="135">
        <v>2.5299999999999998</v>
      </c>
      <c r="AD355" s="135">
        <v>6.7</v>
      </c>
      <c r="AE355" s="135">
        <v>5350</v>
      </c>
      <c r="AF355" s="135">
        <v>799.1</v>
      </c>
      <c r="AG355" s="135">
        <v>1.25</v>
      </c>
      <c r="AH355" s="135">
        <v>6.7</v>
      </c>
      <c r="AI355" s="135">
        <v>2900</v>
      </c>
      <c r="AJ355" s="135">
        <v>433.2</v>
      </c>
      <c r="AK355" s="135">
        <v>2.31</v>
      </c>
      <c r="AL355" s="135">
        <v>6.7</v>
      </c>
      <c r="AM355" s="135">
        <v>4400</v>
      </c>
      <c r="AN355" s="135">
        <v>657.2</v>
      </c>
      <c r="AO355" s="135">
        <v>1.52</v>
      </c>
      <c r="AP355" s="135">
        <v>6.7</v>
      </c>
      <c r="AQ355" s="135">
        <v>13</v>
      </c>
      <c r="AR355" s="135">
        <v>1.9</v>
      </c>
      <c r="AS355" s="135">
        <v>0.52</v>
      </c>
      <c r="AT355" s="135">
        <v>6.7</v>
      </c>
      <c r="AU355" s="135">
        <v>5700</v>
      </c>
      <c r="AV355" s="135">
        <v>851.4</v>
      </c>
      <c r="AW355" s="135">
        <v>1.17</v>
      </c>
      <c r="AX355" s="135"/>
      <c r="AY355" s="135"/>
      <c r="AZ355" s="135"/>
      <c r="BA355" s="135"/>
      <c r="BB355" s="135"/>
      <c r="BC355" s="135"/>
      <c r="BD355" s="135"/>
      <c r="BE355" s="135"/>
      <c r="BF355" s="135"/>
      <c r="BG355" s="135"/>
      <c r="BH355" s="135"/>
      <c r="BI355" s="135"/>
      <c r="BJ355" s="135"/>
      <c r="BK355" s="135"/>
      <c r="BL355" s="135"/>
    </row>
    <row r="356" spans="1:64" x14ac:dyDescent="0.3">
      <c r="A356" s="135">
        <v>2016</v>
      </c>
      <c r="B356" s="135">
        <v>4</v>
      </c>
      <c r="C356" s="135" t="s">
        <v>409</v>
      </c>
      <c r="D356" s="135" t="s">
        <v>859</v>
      </c>
      <c r="E356" s="135" t="s">
        <v>1408</v>
      </c>
      <c r="F356" s="135" t="s">
        <v>409</v>
      </c>
      <c r="G356" s="135" t="s">
        <v>2295</v>
      </c>
      <c r="H356" s="135"/>
      <c r="I356" s="135"/>
      <c r="J356" s="135"/>
      <c r="K356" s="135"/>
      <c r="L356" s="135"/>
      <c r="M356" s="135"/>
      <c r="N356" s="135"/>
      <c r="O356" s="135"/>
      <c r="P356" s="135"/>
      <c r="Q356" s="135"/>
      <c r="R356" s="135"/>
      <c r="S356" s="135"/>
      <c r="T356" s="135"/>
      <c r="U356" s="135"/>
      <c r="V356" s="135"/>
      <c r="W356" s="135"/>
      <c r="X356" s="135"/>
      <c r="Y356" s="135"/>
      <c r="Z356" s="135">
        <v>6.5</v>
      </c>
      <c r="AA356" s="135">
        <v>2900</v>
      </c>
      <c r="AB356" s="135">
        <v>449.3</v>
      </c>
      <c r="AC356" s="135">
        <v>2.23</v>
      </c>
      <c r="AD356" s="135">
        <v>6.5</v>
      </c>
      <c r="AE356" s="135">
        <v>2700</v>
      </c>
      <c r="AF356" s="135">
        <v>418.3</v>
      </c>
      <c r="AG356" s="135">
        <v>2.39</v>
      </c>
      <c r="AH356" s="135">
        <v>6.5</v>
      </c>
      <c r="AI356" s="135">
        <v>4400</v>
      </c>
      <c r="AJ356" s="135">
        <v>681.7</v>
      </c>
      <c r="AK356" s="135">
        <v>1.47</v>
      </c>
      <c r="AL356" s="135">
        <v>6.5</v>
      </c>
      <c r="AM356" s="135">
        <v>14</v>
      </c>
      <c r="AN356" s="135">
        <v>2.2000000000000002</v>
      </c>
      <c r="AO356" s="135">
        <v>0.46</v>
      </c>
      <c r="AP356" s="135">
        <v>6.5</v>
      </c>
      <c r="AQ356" s="135">
        <v>5300</v>
      </c>
      <c r="AR356" s="135">
        <v>821.2</v>
      </c>
      <c r="AS356" s="135">
        <v>1.22</v>
      </c>
      <c r="AT356" s="135"/>
      <c r="AU356" s="135"/>
      <c r="AV356" s="135"/>
      <c r="AW356" s="135"/>
      <c r="AX356" s="135"/>
      <c r="AY356" s="135"/>
      <c r="AZ356" s="135"/>
      <c r="BA356" s="135"/>
      <c r="BB356" s="135"/>
      <c r="BC356" s="135"/>
      <c r="BD356" s="135"/>
      <c r="BE356" s="135"/>
      <c r="BF356" s="135"/>
      <c r="BG356" s="135"/>
      <c r="BH356" s="135"/>
      <c r="BI356" s="135"/>
      <c r="BJ356" s="135"/>
      <c r="BK356" s="135"/>
      <c r="BL356" s="135"/>
    </row>
    <row r="357" spans="1:64" x14ac:dyDescent="0.3">
      <c r="A357" s="135">
        <v>2016</v>
      </c>
      <c r="B357" s="135">
        <v>3</v>
      </c>
      <c r="C357" s="135" t="s">
        <v>402</v>
      </c>
      <c r="D357" s="135" t="s">
        <v>852</v>
      </c>
      <c r="E357" s="135" t="s">
        <v>1408</v>
      </c>
      <c r="F357" s="135" t="s">
        <v>402</v>
      </c>
      <c r="G357" s="135" t="s">
        <v>43</v>
      </c>
      <c r="H357" s="135"/>
      <c r="I357" s="135"/>
      <c r="J357" s="135"/>
      <c r="K357" s="135"/>
      <c r="L357" s="135"/>
      <c r="M357" s="135"/>
      <c r="N357" s="135"/>
      <c r="O357" s="135"/>
      <c r="P357" s="135"/>
      <c r="Q357" s="135"/>
      <c r="R357" s="135"/>
      <c r="S357" s="135"/>
      <c r="T357" s="135"/>
      <c r="U357" s="135"/>
      <c r="V357" s="135"/>
      <c r="W357" s="135"/>
      <c r="X357" s="135"/>
      <c r="Y357" s="135"/>
      <c r="Z357" s="135">
        <v>7.3</v>
      </c>
      <c r="AA357" s="135">
        <v>3000</v>
      </c>
      <c r="AB357" s="135">
        <v>410</v>
      </c>
      <c r="AC357" s="135">
        <v>2.44</v>
      </c>
      <c r="AD357" s="135">
        <v>7.3</v>
      </c>
      <c r="AE357" s="135">
        <v>5850</v>
      </c>
      <c r="AF357" s="135">
        <v>799.5</v>
      </c>
      <c r="AG357" s="135">
        <v>1.25</v>
      </c>
      <c r="AH357" s="135">
        <v>7.3</v>
      </c>
      <c r="AI357" s="135">
        <v>3200</v>
      </c>
      <c r="AJ357" s="135">
        <v>437.3</v>
      </c>
      <c r="AK357" s="135">
        <v>2.29</v>
      </c>
      <c r="AL357" s="135">
        <v>7.3</v>
      </c>
      <c r="AM357" s="135">
        <v>4300</v>
      </c>
      <c r="AN357" s="135">
        <v>587.70000000000005</v>
      </c>
      <c r="AO357" s="135">
        <v>1.7</v>
      </c>
      <c r="AP357" s="135">
        <v>7.3</v>
      </c>
      <c r="AQ357" s="135">
        <v>14</v>
      </c>
      <c r="AR357" s="135">
        <v>1.9</v>
      </c>
      <c r="AS357" s="135">
        <v>0.52</v>
      </c>
      <c r="AT357" s="135">
        <v>7.3</v>
      </c>
      <c r="AU357" s="135">
        <v>6300</v>
      </c>
      <c r="AV357" s="135">
        <v>861</v>
      </c>
      <c r="AW357" s="135">
        <v>1.1599999999999999</v>
      </c>
      <c r="AX357" s="135"/>
      <c r="AY357" s="135"/>
      <c r="AZ357" s="135"/>
      <c r="BA357" s="135"/>
      <c r="BB357" s="135"/>
      <c r="BC357" s="135"/>
      <c r="BD357" s="135"/>
      <c r="BE357" s="135"/>
      <c r="BF357" s="135"/>
      <c r="BG357" s="135"/>
      <c r="BH357" s="135"/>
      <c r="BI357" s="135"/>
      <c r="BJ357" s="135"/>
      <c r="BK357" s="135"/>
      <c r="BL357" s="135"/>
    </row>
    <row r="358" spans="1:64" x14ac:dyDescent="0.3">
      <c r="A358" s="135">
        <v>2016</v>
      </c>
      <c r="B358" s="135">
        <v>3</v>
      </c>
      <c r="C358" s="135" t="s">
        <v>28</v>
      </c>
      <c r="D358" s="135" t="s">
        <v>842</v>
      </c>
      <c r="E358" s="135" t="s">
        <v>1408</v>
      </c>
      <c r="F358" s="135" t="s">
        <v>28</v>
      </c>
      <c r="G358" s="135" t="s">
        <v>70</v>
      </c>
      <c r="H358" s="135"/>
      <c r="I358" s="135"/>
      <c r="J358" s="135"/>
      <c r="K358" s="135"/>
      <c r="L358" s="135"/>
      <c r="M358" s="135"/>
      <c r="N358" s="135"/>
      <c r="O358" s="135"/>
      <c r="P358" s="135"/>
      <c r="Q358" s="135"/>
      <c r="R358" s="135"/>
      <c r="S358" s="135"/>
      <c r="T358" s="135"/>
      <c r="U358" s="135"/>
      <c r="V358" s="135"/>
      <c r="W358" s="135"/>
      <c r="X358" s="135"/>
      <c r="Y358" s="135"/>
      <c r="Z358" s="135">
        <v>7.7</v>
      </c>
      <c r="AA358" s="135">
        <v>2850</v>
      </c>
      <c r="AB358" s="135">
        <v>369.9</v>
      </c>
      <c r="AC358" s="135">
        <v>2.7</v>
      </c>
      <c r="AD358" s="135">
        <v>8.1999999999999993</v>
      </c>
      <c r="AE358" s="135">
        <v>7550</v>
      </c>
      <c r="AF358" s="135">
        <v>923</v>
      </c>
      <c r="AG358" s="135">
        <v>1.08</v>
      </c>
      <c r="AH358" s="135">
        <v>8.1999999999999993</v>
      </c>
      <c r="AI358" s="135">
        <v>2800</v>
      </c>
      <c r="AJ358" s="135">
        <v>342.3</v>
      </c>
      <c r="AK358" s="135">
        <v>2.92</v>
      </c>
      <c r="AL358" s="135">
        <v>8.1999999999999993</v>
      </c>
      <c r="AM358" s="135">
        <v>4500</v>
      </c>
      <c r="AN358" s="135">
        <v>550.1</v>
      </c>
      <c r="AO358" s="135">
        <v>1.82</v>
      </c>
      <c r="AP358" s="135">
        <v>8.1999999999999993</v>
      </c>
      <c r="AQ358" s="135">
        <v>16</v>
      </c>
      <c r="AR358" s="135">
        <v>2</v>
      </c>
      <c r="AS358" s="135">
        <v>0.51</v>
      </c>
      <c r="AT358" s="135">
        <v>8.1999999999999993</v>
      </c>
      <c r="AU358" s="135">
        <v>5600</v>
      </c>
      <c r="AV358" s="135">
        <v>684.6</v>
      </c>
      <c r="AW358" s="135">
        <v>1.46</v>
      </c>
      <c r="AX358" s="135"/>
      <c r="AY358" s="135"/>
      <c r="AZ358" s="135"/>
      <c r="BA358" s="135"/>
      <c r="BB358" s="135"/>
      <c r="BC358" s="135"/>
      <c r="BD358" s="135"/>
      <c r="BE358" s="135"/>
      <c r="BF358" s="135"/>
      <c r="BG358" s="135"/>
      <c r="BH358" s="135"/>
      <c r="BI358" s="135"/>
      <c r="BJ358" s="135"/>
      <c r="BK358" s="135"/>
      <c r="BL358" s="135"/>
    </row>
    <row r="359" spans="1:64" x14ac:dyDescent="0.3">
      <c r="A359" s="135">
        <v>2016</v>
      </c>
      <c r="B359" s="135">
        <v>3</v>
      </c>
      <c r="C359" s="135" t="s">
        <v>14</v>
      </c>
      <c r="D359" s="135" t="s">
        <v>833</v>
      </c>
      <c r="E359" s="135" t="s">
        <v>1408</v>
      </c>
      <c r="F359" s="135" t="s">
        <v>14</v>
      </c>
      <c r="G359" s="135" t="s">
        <v>2003</v>
      </c>
      <c r="H359" s="135"/>
      <c r="I359" s="135"/>
      <c r="J359" s="135"/>
      <c r="K359" s="135"/>
      <c r="L359" s="135"/>
      <c r="M359" s="135"/>
      <c r="N359" s="135"/>
      <c r="O359" s="135"/>
      <c r="P359" s="135"/>
      <c r="Q359" s="135"/>
      <c r="R359" s="135"/>
      <c r="S359" s="135"/>
      <c r="T359" s="135"/>
      <c r="U359" s="135"/>
      <c r="V359" s="135"/>
      <c r="W359" s="135"/>
      <c r="X359" s="135"/>
      <c r="Y359" s="135"/>
      <c r="Z359" s="135">
        <v>5.9</v>
      </c>
      <c r="AA359" s="135">
        <v>2500</v>
      </c>
      <c r="AB359" s="135">
        <v>420.2</v>
      </c>
      <c r="AC359" s="135">
        <v>2.38</v>
      </c>
      <c r="AD359" s="135">
        <v>5.9</v>
      </c>
      <c r="AE359" s="135">
        <v>5000</v>
      </c>
      <c r="AF359" s="135">
        <v>840.5</v>
      </c>
      <c r="AG359" s="135">
        <v>1.19</v>
      </c>
      <c r="AH359" s="135">
        <v>5.9</v>
      </c>
      <c r="AI359" s="135">
        <v>2300</v>
      </c>
      <c r="AJ359" s="135">
        <v>386.6</v>
      </c>
      <c r="AK359" s="135">
        <v>2.59</v>
      </c>
      <c r="AL359" s="135">
        <v>5.9</v>
      </c>
      <c r="AM359" s="135">
        <v>4300</v>
      </c>
      <c r="AN359" s="135">
        <v>722.8</v>
      </c>
      <c r="AO359" s="135">
        <v>1.38</v>
      </c>
      <c r="AP359" s="135">
        <v>5.9</v>
      </c>
      <c r="AQ359" s="135">
        <v>11</v>
      </c>
      <c r="AR359" s="135">
        <v>1.8</v>
      </c>
      <c r="AS359" s="135">
        <v>0.54</v>
      </c>
      <c r="AT359" s="135">
        <v>5.9</v>
      </c>
      <c r="AU359" s="135">
        <v>4500</v>
      </c>
      <c r="AV359" s="135">
        <v>756.4</v>
      </c>
      <c r="AW359" s="135">
        <v>1.32</v>
      </c>
      <c r="AX359" s="135"/>
      <c r="AY359" s="135"/>
      <c r="AZ359" s="135"/>
      <c r="BA359" s="135"/>
      <c r="BB359" s="135"/>
      <c r="BC359" s="135"/>
      <c r="BD359" s="135"/>
      <c r="BE359" s="135"/>
      <c r="BF359" s="135"/>
      <c r="BG359" s="135"/>
      <c r="BH359" s="135"/>
      <c r="BI359" s="135"/>
      <c r="BJ359" s="135"/>
      <c r="BK359" s="135"/>
      <c r="BL359" s="135"/>
    </row>
    <row r="360" spans="1:64" x14ac:dyDescent="0.3">
      <c r="A360" s="135">
        <v>2016</v>
      </c>
      <c r="B360" s="135">
        <v>3</v>
      </c>
      <c r="C360" s="135" t="s">
        <v>32</v>
      </c>
      <c r="D360" s="135" t="s">
        <v>832</v>
      </c>
      <c r="E360" s="135" t="s">
        <v>1408</v>
      </c>
      <c r="F360" s="135" t="s">
        <v>32</v>
      </c>
      <c r="G360" s="135" t="s">
        <v>1980</v>
      </c>
      <c r="H360" s="135"/>
      <c r="I360" s="135"/>
      <c r="J360" s="135"/>
      <c r="K360" s="135"/>
      <c r="L360" s="135"/>
      <c r="M360" s="135"/>
      <c r="N360" s="135"/>
      <c r="O360" s="135"/>
      <c r="P360" s="135"/>
      <c r="Q360" s="135"/>
      <c r="R360" s="135"/>
      <c r="S360" s="135"/>
      <c r="T360" s="135"/>
      <c r="U360" s="135"/>
      <c r="V360" s="135"/>
      <c r="W360" s="135"/>
      <c r="X360" s="135"/>
      <c r="Y360" s="135"/>
      <c r="Z360" s="135">
        <v>7.2</v>
      </c>
      <c r="AA360" s="135">
        <v>2900</v>
      </c>
      <c r="AB360" s="135">
        <v>402.2</v>
      </c>
      <c r="AC360" s="135">
        <v>2.4900000000000002</v>
      </c>
      <c r="AD360" s="135">
        <v>7.2</v>
      </c>
      <c r="AE360" s="135">
        <v>6600</v>
      </c>
      <c r="AF360" s="135">
        <v>915.4</v>
      </c>
      <c r="AG360" s="135">
        <v>1.0900000000000001</v>
      </c>
      <c r="AH360" s="135">
        <v>7.2</v>
      </c>
      <c r="AI360" s="135">
        <v>2500</v>
      </c>
      <c r="AJ360" s="135">
        <v>346.7</v>
      </c>
      <c r="AK360" s="135">
        <v>2.88</v>
      </c>
      <c r="AL360" s="135">
        <v>7.2</v>
      </c>
      <c r="AM360" s="135">
        <v>4400</v>
      </c>
      <c r="AN360" s="135">
        <v>610.29999999999995</v>
      </c>
      <c r="AO360" s="135">
        <v>1.64</v>
      </c>
      <c r="AP360" s="135">
        <v>7.2</v>
      </c>
      <c r="AQ360" s="135">
        <v>17</v>
      </c>
      <c r="AR360" s="135">
        <v>2.4</v>
      </c>
      <c r="AS360" s="135">
        <v>0.42</v>
      </c>
      <c r="AT360" s="135">
        <v>7.2</v>
      </c>
      <c r="AU360" s="135">
        <v>4900</v>
      </c>
      <c r="AV360" s="135">
        <v>679.6</v>
      </c>
      <c r="AW360" s="135">
        <v>1.47</v>
      </c>
      <c r="AX360" s="135"/>
      <c r="AY360" s="135"/>
      <c r="AZ360" s="135"/>
      <c r="BA360" s="135"/>
      <c r="BB360" s="135"/>
      <c r="BC360" s="135"/>
      <c r="BD360" s="135"/>
      <c r="BE360" s="135"/>
      <c r="BF360" s="135"/>
      <c r="BG360" s="135"/>
      <c r="BH360" s="135"/>
      <c r="BI360" s="135"/>
      <c r="BJ360" s="135"/>
      <c r="BK360" s="135"/>
      <c r="BL360" s="135"/>
    </row>
    <row r="361" spans="1:64" x14ac:dyDescent="0.3">
      <c r="A361" s="135">
        <v>2016</v>
      </c>
      <c r="B361" s="135">
        <v>3</v>
      </c>
      <c r="C361" s="135" t="s">
        <v>20</v>
      </c>
      <c r="D361" s="135" t="s">
        <v>849</v>
      </c>
      <c r="E361" s="135" t="s">
        <v>1408</v>
      </c>
      <c r="F361" s="135" t="s">
        <v>20</v>
      </c>
      <c r="G361" s="135" t="s">
        <v>1965</v>
      </c>
      <c r="H361" s="135"/>
      <c r="I361" s="135"/>
      <c r="J361" s="135"/>
      <c r="K361" s="135"/>
      <c r="L361" s="135"/>
      <c r="M361" s="135"/>
      <c r="N361" s="135"/>
      <c r="O361" s="135"/>
      <c r="P361" s="135"/>
      <c r="Q361" s="135"/>
      <c r="R361" s="135"/>
      <c r="S361" s="135"/>
      <c r="T361" s="135"/>
      <c r="U361" s="135"/>
      <c r="V361" s="135"/>
      <c r="W361" s="135"/>
      <c r="X361" s="135"/>
      <c r="Y361" s="135"/>
      <c r="Z361" s="135">
        <v>7.1</v>
      </c>
      <c r="AA361" s="135">
        <v>2950</v>
      </c>
      <c r="AB361" s="135">
        <v>414.2</v>
      </c>
      <c r="AC361" s="135">
        <v>2.41</v>
      </c>
      <c r="AD361" s="135">
        <v>7.1</v>
      </c>
      <c r="AE361" s="135">
        <v>5850</v>
      </c>
      <c r="AF361" s="135">
        <v>821.3</v>
      </c>
      <c r="AG361" s="135">
        <v>1.22</v>
      </c>
      <c r="AH361" s="135">
        <v>7.1</v>
      </c>
      <c r="AI361" s="135">
        <v>2900</v>
      </c>
      <c r="AJ361" s="135">
        <v>407.1</v>
      </c>
      <c r="AK361" s="135">
        <v>2.46</v>
      </c>
      <c r="AL361" s="135">
        <v>7.1</v>
      </c>
      <c r="AM361" s="135">
        <v>4500</v>
      </c>
      <c r="AN361" s="135">
        <v>631.79999999999995</v>
      </c>
      <c r="AO361" s="135">
        <v>1.58</v>
      </c>
      <c r="AP361" s="135">
        <v>7.1</v>
      </c>
      <c r="AQ361" s="135">
        <v>16</v>
      </c>
      <c r="AR361" s="135">
        <v>2.2000000000000002</v>
      </c>
      <c r="AS361" s="135">
        <v>0.45</v>
      </c>
      <c r="AT361" s="135">
        <v>7.1</v>
      </c>
      <c r="AU361" s="135">
        <v>5600</v>
      </c>
      <c r="AV361" s="135">
        <v>786.2</v>
      </c>
      <c r="AW361" s="135">
        <v>1.27</v>
      </c>
      <c r="AX361" s="135"/>
      <c r="AY361" s="135"/>
      <c r="AZ361" s="135"/>
      <c r="BA361" s="135"/>
      <c r="BB361" s="135"/>
      <c r="BC361" s="135"/>
      <c r="BD361" s="135"/>
      <c r="BE361" s="135"/>
      <c r="BF361" s="135"/>
      <c r="BG361" s="135"/>
      <c r="BH361" s="135"/>
      <c r="BI361" s="135"/>
      <c r="BJ361" s="135"/>
      <c r="BK361" s="135"/>
      <c r="BL361" s="135"/>
    </row>
    <row r="362" spans="1:64" x14ac:dyDescent="0.3">
      <c r="A362" s="135">
        <v>2016</v>
      </c>
      <c r="B362" s="135">
        <v>3</v>
      </c>
      <c r="C362" s="135" t="s">
        <v>16</v>
      </c>
      <c r="D362" s="135" t="s">
        <v>840</v>
      </c>
      <c r="E362" s="135" t="s">
        <v>1408</v>
      </c>
      <c r="F362" s="135" t="s">
        <v>16</v>
      </c>
      <c r="G362" s="135" t="s">
        <v>407</v>
      </c>
      <c r="H362" s="135"/>
      <c r="I362" s="135"/>
      <c r="J362" s="135"/>
      <c r="K362" s="135"/>
      <c r="L362" s="135"/>
      <c r="M362" s="135"/>
      <c r="N362" s="135"/>
      <c r="O362" s="135"/>
      <c r="P362" s="135"/>
      <c r="Q362" s="135"/>
      <c r="R362" s="135"/>
      <c r="S362" s="135"/>
      <c r="T362" s="135"/>
      <c r="U362" s="135"/>
      <c r="V362" s="135"/>
      <c r="W362" s="135"/>
      <c r="X362" s="135"/>
      <c r="Y362" s="135"/>
      <c r="Z362" s="135">
        <v>6.6</v>
      </c>
      <c r="AA362" s="135">
        <v>2500</v>
      </c>
      <c r="AB362" s="135">
        <v>379.9</v>
      </c>
      <c r="AC362" s="135">
        <v>2.63</v>
      </c>
      <c r="AD362" s="135">
        <v>6.6</v>
      </c>
      <c r="AE362" s="135">
        <v>5250</v>
      </c>
      <c r="AF362" s="135">
        <v>797.8</v>
      </c>
      <c r="AG362" s="135">
        <v>1.25</v>
      </c>
      <c r="AH362" s="135">
        <v>6.6</v>
      </c>
      <c r="AI362" s="135">
        <v>2400</v>
      </c>
      <c r="AJ362" s="135">
        <v>364.7</v>
      </c>
      <c r="AK362" s="135">
        <v>2.74</v>
      </c>
      <c r="AL362" s="135">
        <v>6.6</v>
      </c>
      <c r="AM362" s="135">
        <v>4400</v>
      </c>
      <c r="AN362" s="135">
        <v>668.6</v>
      </c>
      <c r="AO362" s="135">
        <v>1.5</v>
      </c>
      <c r="AP362" s="135">
        <v>6.6</v>
      </c>
      <c r="AQ362" s="135">
        <v>10</v>
      </c>
      <c r="AR362" s="135">
        <v>1.5</v>
      </c>
      <c r="AS362" s="135">
        <v>0.66</v>
      </c>
      <c r="AT362" s="135">
        <v>6.6</v>
      </c>
      <c r="AU362" s="135">
        <v>4600</v>
      </c>
      <c r="AV362" s="135">
        <v>699</v>
      </c>
      <c r="AW362" s="135">
        <v>1.43</v>
      </c>
      <c r="AX362" s="135"/>
      <c r="AY362" s="135"/>
      <c r="AZ362" s="135"/>
      <c r="BA362" s="135"/>
      <c r="BB362" s="135"/>
      <c r="BC362" s="135"/>
      <c r="BD362" s="135"/>
      <c r="BE362" s="135"/>
      <c r="BF362" s="135"/>
      <c r="BG362" s="135"/>
      <c r="BH362" s="135"/>
      <c r="BI362" s="135"/>
      <c r="BJ362" s="135"/>
      <c r="BK362" s="135"/>
      <c r="BL362" s="135"/>
    </row>
    <row r="363" spans="1:64" x14ac:dyDescent="0.3">
      <c r="A363" s="135">
        <v>2016</v>
      </c>
      <c r="B363" s="135">
        <v>3</v>
      </c>
      <c r="C363" s="135" t="s">
        <v>12</v>
      </c>
      <c r="D363" s="135" t="s">
        <v>834</v>
      </c>
      <c r="E363" s="135" t="s">
        <v>1408</v>
      </c>
      <c r="F363" s="135" t="s">
        <v>12</v>
      </c>
      <c r="G363" s="135" t="s">
        <v>32</v>
      </c>
      <c r="H363" s="135"/>
      <c r="I363" s="135"/>
      <c r="J363" s="135"/>
      <c r="K363" s="135"/>
      <c r="L363" s="135"/>
      <c r="M363" s="135"/>
      <c r="N363" s="135"/>
      <c r="O363" s="135"/>
      <c r="P363" s="135"/>
      <c r="Q363" s="135"/>
      <c r="R363" s="135"/>
      <c r="S363" s="135"/>
      <c r="T363" s="135"/>
      <c r="U363" s="135"/>
      <c r="V363" s="135"/>
      <c r="W363" s="135"/>
      <c r="X363" s="135"/>
      <c r="Y363" s="135"/>
      <c r="Z363" s="135">
        <v>6.4</v>
      </c>
      <c r="AA363" s="135">
        <v>2500</v>
      </c>
      <c r="AB363" s="135">
        <v>388.8</v>
      </c>
      <c r="AC363" s="135">
        <v>2.57</v>
      </c>
      <c r="AD363" s="135">
        <v>6.4</v>
      </c>
      <c r="AE363" s="135">
        <v>5600</v>
      </c>
      <c r="AF363" s="135">
        <v>870.9</v>
      </c>
      <c r="AG363" s="135">
        <v>1.1499999999999999</v>
      </c>
      <c r="AH363" s="135">
        <v>6.4</v>
      </c>
      <c r="AI363" s="135">
        <v>2600</v>
      </c>
      <c r="AJ363" s="135">
        <v>404.4</v>
      </c>
      <c r="AK363" s="135">
        <v>2.4700000000000002</v>
      </c>
      <c r="AL363" s="135">
        <v>6.4</v>
      </c>
      <c r="AM363" s="135">
        <v>4100</v>
      </c>
      <c r="AN363" s="135">
        <v>637.6</v>
      </c>
      <c r="AO363" s="135">
        <v>1.57</v>
      </c>
      <c r="AP363" s="135">
        <v>6.4</v>
      </c>
      <c r="AQ363" s="135">
        <v>11</v>
      </c>
      <c r="AR363" s="135">
        <v>1.7</v>
      </c>
      <c r="AS363" s="135">
        <v>0.57999999999999996</v>
      </c>
      <c r="AT363" s="135">
        <v>6.4</v>
      </c>
      <c r="AU363" s="135">
        <v>5000</v>
      </c>
      <c r="AV363" s="135">
        <v>777.6</v>
      </c>
      <c r="AW363" s="135">
        <v>1.29</v>
      </c>
      <c r="AX363" s="135"/>
      <c r="AY363" s="135"/>
      <c r="AZ363" s="135"/>
      <c r="BA363" s="135"/>
      <c r="BB363" s="135"/>
      <c r="BC363" s="135"/>
      <c r="BD363" s="135"/>
      <c r="BE363" s="135"/>
      <c r="BF363" s="135"/>
      <c r="BG363" s="135"/>
      <c r="BH363" s="135"/>
      <c r="BI363" s="135"/>
      <c r="BJ363" s="135"/>
      <c r="BK363" s="135"/>
      <c r="BL363" s="135"/>
    </row>
    <row r="364" spans="1:64" x14ac:dyDescent="0.3">
      <c r="A364" s="135">
        <v>2016</v>
      </c>
      <c r="B364" s="135">
        <v>3</v>
      </c>
      <c r="C364" s="135" t="s">
        <v>43</v>
      </c>
      <c r="D364" s="135" t="s">
        <v>858</v>
      </c>
      <c r="E364" s="135" t="s">
        <v>1408</v>
      </c>
      <c r="F364" s="135" t="s">
        <v>43</v>
      </c>
      <c r="G364" s="135" t="s">
        <v>1992</v>
      </c>
      <c r="H364" s="135"/>
      <c r="I364" s="135"/>
      <c r="J364" s="135"/>
      <c r="K364" s="135"/>
      <c r="L364" s="135"/>
      <c r="M364" s="135"/>
      <c r="N364" s="135"/>
      <c r="O364" s="135"/>
      <c r="P364" s="135"/>
      <c r="Q364" s="135"/>
      <c r="R364" s="135"/>
      <c r="S364" s="135"/>
      <c r="T364" s="135"/>
      <c r="U364" s="135"/>
      <c r="V364" s="135"/>
      <c r="W364" s="135"/>
      <c r="X364" s="135"/>
      <c r="Y364" s="135"/>
      <c r="Z364" s="135">
        <v>7.8</v>
      </c>
      <c r="AA364" s="135">
        <v>2900</v>
      </c>
      <c r="AB364" s="135">
        <v>370.4</v>
      </c>
      <c r="AC364" s="135">
        <v>2.7</v>
      </c>
      <c r="AD364" s="135">
        <v>7.8</v>
      </c>
      <c r="AE364" s="135">
        <v>6350</v>
      </c>
      <c r="AF364" s="135">
        <v>811</v>
      </c>
      <c r="AG364" s="135">
        <v>1.23</v>
      </c>
      <c r="AH364" s="135">
        <v>7.8</v>
      </c>
      <c r="AI364" s="135">
        <v>3000</v>
      </c>
      <c r="AJ364" s="135">
        <v>383.1</v>
      </c>
      <c r="AK364" s="135">
        <v>2.61</v>
      </c>
      <c r="AL364" s="135">
        <v>7.8</v>
      </c>
      <c r="AM364" s="135">
        <v>5200</v>
      </c>
      <c r="AN364" s="135">
        <v>664.1</v>
      </c>
      <c r="AO364" s="135">
        <v>1.51</v>
      </c>
      <c r="AP364" s="135">
        <v>7.8</v>
      </c>
      <c r="AQ364" s="135">
        <v>15</v>
      </c>
      <c r="AR364" s="135">
        <v>1.9</v>
      </c>
      <c r="AS364" s="135">
        <v>0.52</v>
      </c>
      <c r="AT364" s="135">
        <v>7.8</v>
      </c>
      <c r="AU364" s="135">
        <v>5900</v>
      </c>
      <c r="AV364" s="135">
        <v>753.5</v>
      </c>
      <c r="AW364" s="135">
        <v>1.33</v>
      </c>
      <c r="AX364" s="135"/>
      <c r="AY364" s="135"/>
      <c r="AZ364" s="135"/>
      <c r="BA364" s="135"/>
      <c r="BB364" s="135"/>
      <c r="BC364" s="135"/>
      <c r="BD364" s="135"/>
      <c r="BE364" s="135"/>
      <c r="BF364" s="135"/>
      <c r="BG364" s="135"/>
      <c r="BH364" s="135"/>
      <c r="BI364" s="135"/>
      <c r="BJ364" s="135"/>
      <c r="BK364" s="135"/>
      <c r="BL364" s="135"/>
    </row>
    <row r="365" spans="1:64" x14ac:dyDescent="0.3">
      <c r="A365" s="135">
        <v>2016</v>
      </c>
      <c r="B365" s="135">
        <v>3</v>
      </c>
      <c r="C365" s="135" t="s">
        <v>30</v>
      </c>
      <c r="D365" s="135" t="s">
        <v>836</v>
      </c>
      <c r="E365" s="135" t="s">
        <v>1408</v>
      </c>
      <c r="F365" s="135" t="s">
        <v>30</v>
      </c>
      <c r="G365" s="135" t="s">
        <v>4</v>
      </c>
      <c r="H365" s="135"/>
      <c r="I365" s="135"/>
      <c r="J365" s="135"/>
      <c r="K365" s="135"/>
      <c r="L365" s="135"/>
      <c r="M365" s="135"/>
      <c r="N365" s="135"/>
      <c r="O365" s="135"/>
      <c r="P365" s="135"/>
      <c r="Q365" s="135"/>
      <c r="R365" s="135"/>
      <c r="S365" s="135"/>
      <c r="T365" s="135"/>
      <c r="U365" s="135"/>
      <c r="V365" s="135"/>
      <c r="W365" s="135"/>
      <c r="X365" s="135"/>
      <c r="Y365" s="135"/>
      <c r="Z365" s="135">
        <v>6</v>
      </c>
      <c r="AA365" s="135">
        <v>2800</v>
      </c>
      <c r="AB365" s="135">
        <v>466</v>
      </c>
      <c r="AC365" s="135">
        <v>2.15</v>
      </c>
      <c r="AD365" s="135">
        <v>6</v>
      </c>
      <c r="AE365" s="135">
        <v>5350</v>
      </c>
      <c r="AF365" s="135">
        <v>890.5</v>
      </c>
      <c r="AG365" s="135">
        <v>1.1200000000000001</v>
      </c>
      <c r="AH365" s="135">
        <v>6</v>
      </c>
      <c r="AI365" s="135">
        <v>2500</v>
      </c>
      <c r="AJ365" s="135">
        <v>416.1</v>
      </c>
      <c r="AK365" s="135">
        <v>2.4</v>
      </c>
      <c r="AL365" s="135">
        <v>6</v>
      </c>
      <c r="AM365" s="135">
        <v>4200</v>
      </c>
      <c r="AN365" s="135">
        <v>699.1</v>
      </c>
      <c r="AO365" s="135">
        <v>1.43</v>
      </c>
      <c r="AP365" s="135">
        <v>6</v>
      </c>
      <c r="AQ365" s="135">
        <v>12</v>
      </c>
      <c r="AR365" s="135">
        <v>2</v>
      </c>
      <c r="AS365" s="135">
        <v>0.5</v>
      </c>
      <c r="AT365" s="135">
        <v>6</v>
      </c>
      <c r="AU365" s="135">
        <v>4900</v>
      </c>
      <c r="AV365" s="135">
        <v>815.6</v>
      </c>
      <c r="AW365" s="135">
        <v>1.23</v>
      </c>
      <c r="AX365" s="135"/>
      <c r="AY365" s="135"/>
      <c r="AZ365" s="135"/>
      <c r="BA365" s="135"/>
      <c r="BB365" s="135"/>
      <c r="BC365" s="135"/>
      <c r="BD365" s="135"/>
      <c r="BE365" s="135"/>
      <c r="BF365" s="135"/>
      <c r="BG365" s="135"/>
      <c r="BH365" s="135"/>
      <c r="BI365" s="135"/>
      <c r="BJ365" s="135"/>
      <c r="BK365" s="135"/>
      <c r="BL365" s="135"/>
    </row>
    <row r="366" spans="1:64" x14ac:dyDescent="0.3">
      <c r="A366" s="135">
        <v>2016</v>
      </c>
      <c r="B366" s="135">
        <v>3</v>
      </c>
      <c r="C366" s="135" t="s">
        <v>70</v>
      </c>
      <c r="D366" s="135" t="s">
        <v>851</v>
      </c>
      <c r="E366" s="135" t="s">
        <v>1408</v>
      </c>
      <c r="F366" s="135" t="s">
        <v>70</v>
      </c>
      <c r="G366" s="135" t="s">
        <v>1999</v>
      </c>
      <c r="H366" s="135"/>
      <c r="I366" s="135"/>
      <c r="J366" s="135"/>
      <c r="K366" s="135"/>
      <c r="L366" s="135"/>
      <c r="M366" s="135"/>
      <c r="N366" s="135"/>
      <c r="O366" s="135"/>
      <c r="P366" s="135"/>
      <c r="Q366" s="135"/>
      <c r="R366" s="135"/>
      <c r="S366" s="135"/>
      <c r="T366" s="135"/>
      <c r="U366" s="135"/>
      <c r="V366" s="135"/>
      <c r="W366" s="135"/>
      <c r="X366" s="135"/>
      <c r="Y366" s="135"/>
      <c r="Z366" s="135">
        <v>7.9</v>
      </c>
      <c r="AA366" s="135">
        <v>3000</v>
      </c>
      <c r="AB366" s="135">
        <v>381.9</v>
      </c>
      <c r="AC366" s="135">
        <v>2.62</v>
      </c>
      <c r="AD366" s="135">
        <v>7.9</v>
      </c>
      <c r="AE366" s="135">
        <v>8400</v>
      </c>
      <c r="AF366" s="135">
        <v>1069.4000000000001</v>
      </c>
      <c r="AG366" s="135">
        <v>0.94</v>
      </c>
      <c r="AH366" s="135">
        <v>7.9</v>
      </c>
      <c r="AI366" s="135">
        <v>3500</v>
      </c>
      <c r="AJ366" s="135">
        <v>445.6</v>
      </c>
      <c r="AK366" s="135">
        <v>2.2400000000000002</v>
      </c>
      <c r="AL366" s="135">
        <v>7.9</v>
      </c>
      <c r="AM366" s="135">
        <v>4800</v>
      </c>
      <c r="AN366" s="135">
        <v>611.1</v>
      </c>
      <c r="AO366" s="135">
        <v>1.64</v>
      </c>
      <c r="AP366" s="135">
        <v>7.9</v>
      </c>
      <c r="AQ366" s="135">
        <v>15</v>
      </c>
      <c r="AR366" s="135">
        <v>1.9</v>
      </c>
      <c r="AS366" s="135">
        <v>0.52</v>
      </c>
      <c r="AT366" s="135">
        <v>7.9</v>
      </c>
      <c r="AU366" s="135">
        <v>6900</v>
      </c>
      <c r="AV366" s="135">
        <v>878.4</v>
      </c>
      <c r="AW366" s="135">
        <v>1.1399999999999999</v>
      </c>
      <c r="AX366" s="135"/>
      <c r="AY366" s="135"/>
      <c r="AZ366" s="135"/>
      <c r="BA366" s="135"/>
      <c r="BB366" s="135"/>
      <c r="BC366" s="135"/>
      <c r="BD366" s="135"/>
      <c r="BE366" s="135"/>
      <c r="BF366" s="135"/>
      <c r="BG366" s="135"/>
      <c r="BH366" s="135"/>
      <c r="BI366" s="135"/>
      <c r="BJ366" s="135"/>
      <c r="BK366" s="135"/>
      <c r="BL366" s="135"/>
    </row>
    <row r="367" spans="1:64" x14ac:dyDescent="0.3">
      <c r="A367" s="135">
        <v>2016</v>
      </c>
      <c r="B367" s="135">
        <v>3</v>
      </c>
      <c r="C367" s="135" t="s">
        <v>407</v>
      </c>
      <c r="D367" s="135" t="s">
        <v>853</v>
      </c>
      <c r="E367" s="135" t="s">
        <v>1408</v>
      </c>
      <c r="F367" s="135" t="s">
        <v>407</v>
      </c>
      <c r="G367" s="135" t="s">
        <v>1967</v>
      </c>
      <c r="H367" s="135"/>
      <c r="I367" s="135"/>
      <c r="J367" s="135"/>
      <c r="K367" s="135"/>
      <c r="L367" s="135"/>
      <c r="M367" s="135"/>
      <c r="N367" s="135"/>
      <c r="O367" s="135"/>
      <c r="P367" s="135"/>
      <c r="Q367" s="135"/>
      <c r="R367" s="135"/>
      <c r="S367" s="135"/>
      <c r="T367" s="135"/>
      <c r="U367" s="135"/>
      <c r="V367" s="135"/>
      <c r="W367" s="135"/>
      <c r="X367" s="135"/>
      <c r="Y367" s="135"/>
      <c r="Z367" s="135">
        <v>6.3</v>
      </c>
      <c r="AA367" s="135">
        <v>2500</v>
      </c>
      <c r="AB367" s="135">
        <v>397.8</v>
      </c>
      <c r="AC367" s="135">
        <v>2.5099999999999998</v>
      </c>
      <c r="AD367" s="135">
        <v>6.3</v>
      </c>
      <c r="AE367" s="135">
        <v>5000</v>
      </c>
      <c r="AF367" s="135">
        <v>795.5</v>
      </c>
      <c r="AG367" s="135">
        <v>1.26</v>
      </c>
      <c r="AH367" s="135">
        <v>6.3</v>
      </c>
      <c r="AI367" s="135">
        <v>2300</v>
      </c>
      <c r="AJ367" s="135">
        <v>366</v>
      </c>
      <c r="AK367" s="135">
        <v>2.73</v>
      </c>
      <c r="AL367" s="135">
        <v>6.3</v>
      </c>
      <c r="AM367" s="135">
        <v>4300</v>
      </c>
      <c r="AN367" s="135">
        <v>684.2</v>
      </c>
      <c r="AO367" s="135">
        <v>1.46</v>
      </c>
      <c r="AP367" s="135">
        <v>6.3</v>
      </c>
      <c r="AQ367" s="135">
        <v>13</v>
      </c>
      <c r="AR367" s="135">
        <v>2.1</v>
      </c>
      <c r="AS367" s="135">
        <v>0.48</v>
      </c>
      <c r="AT367" s="135">
        <v>6.3</v>
      </c>
      <c r="AU367" s="135">
        <v>4600</v>
      </c>
      <c r="AV367" s="135">
        <v>731.9</v>
      </c>
      <c r="AW367" s="135">
        <v>1.37</v>
      </c>
      <c r="AX367" s="135"/>
      <c r="AY367" s="135"/>
      <c r="AZ367" s="135"/>
      <c r="BA367" s="135"/>
      <c r="BB367" s="135"/>
      <c r="BC367" s="135"/>
      <c r="BD367" s="135"/>
      <c r="BE367" s="135"/>
      <c r="BF367" s="135"/>
      <c r="BG367" s="135"/>
      <c r="BH367" s="135"/>
      <c r="BI367" s="135"/>
      <c r="BJ367" s="135"/>
      <c r="BK367" s="135"/>
      <c r="BL367" s="135"/>
    </row>
    <row r="368" spans="1:64" x14ac:dyDescent="0.3">
      <c r="A368" s="135">
        <v>2016</v>
      </c>
      <c r="B368" s="135">
        <v>3</v>
      </c>
      <c r="C368" s="135" t="s">
        <v>397</v>
      </c>
      <c r="D368" s="135" t="s">
        <v>850</v>
      </c>
      <c r="E368" s="135" t="s">
        <v>1408</v>
      </c>
      <c r="F368" s="135" t="s">
        <v>397</v>
      </c>
      <c r="G368" s="135" t="s">
        <v>34</v>
      </c>
      <c r="H368" s="135"/>
      <c r="I368" s="135"/>
      <c r="J368" s="135"/>
      <c r="K368" s="135"/>
      <c r="L368" s="135"/>
      <c r="M368" s="135"/>
      <c r="N368" s="135"/>
      <c r="O368" s="135"/>
      <c r="P368" s="135"/>
      <c r="Q368" s="135"/>
      <c r="R368" s="135"/>
      <c r="S368" s="135"/>
      <c r="T368" s="135"/>
      <c r="U368" s="135"/>
      <c r="V368" s="135"/>
      <c r="W368" s="135"/>
      <c r="X368" s="135"/>
      <c r="Y368" s="135"/>
      <c r="Z368" s="135">
        <v>7.2</v>
      </c>
      <c r="AA368" s="135">
        <v>2850</v>
      </c>
      <c r="AB368" s="135">
        <v>396.4</v>
      </c>
      <c r="AC368" s="135">
        <v>2.52</v>
      </c>
      <c r="AD368" s="135">
        <v>7.2</v>
      </c>
      <c r="AE368" s="135">
        <v>6150</v>
      </c>
      <c r="AF368" s="135">
        <v>855.5</v>
      </c>
      <c r="AG368" s="135">
        <v>1.17</v>
      </c>
      <c r="AH368" s="135">
        <v>7.2</v>
      </c>
      <c r="AI368" s="135">
        <v>3200</v>
      </c>
      <c r="AJ368" s="135">
        <v>445.1</v>
      </c>
      <c r="AK368" s="135">
        <v>2.25</v>
      </c>
      <c r="AL368" s="135">
        <v>7.2</v>
      </c>
      <c r="AM368" s="135">
        <v>4500</v>
      </c>
      <c r="AN368" s="135">
        <v>626</v>
      </c>
      <c r="AO368" s="135">
        <v>1.6</v>
      </c>
      <c r="AP368" s="135">
        <v>7.2</v>
      </c>
      <c r="AQ368" s="135">
        <v>13</v>
      </c>
      <c r="AR368" s="135">
        <v>1.8</v>
      </c>
      <c r="AS368" s="135">
        <v>0.55000000000000004</v>
      </c>
      <c r="AT368" s="135">
        <v>7.2</v>
      </c>
      <c r="AU368" s="135">
        <v>6300</v>
      </c>
      <c r="AV368" s="135">
        <v>876.3</v>
      </c>
      <c r="AW368" s="135">
        <v>1.1399999999999999</v>
      </c>
      <c r="AX368" s="135"/>
      <c r="AY368" s="135"/>
      <c r="AZ368" s="135"/>
      <c r="BA368" s="135"/>
      <c r="BB368" s="135"/>
      <c r="BC368" s="135"/>
      <c r="BD368" s="135"/>
      <c r="BE368" s="135"/>
      <c r="BF368" s="135"/>
      <c r="BG368" s="135"/>
      <c r="BH368" s="135"/>
      <c r="BI368" s="135"/>
      <c r="BJ368" s="135"/>
      <c r="BK368" s="135"/>
      <c r="BL368" s="135"/>
    </row>
    <row r="369" spans="1:64" x14ac:dyDescent="0.3">
      <c r="A369" s="135">
        <v>2016</v>
      </c>
      <c r="B369" s="135">
        <v>3</v>
      </c>
      <c r="C369" s="135" t="s">
        <v>4</v>
      </c>
      <c r="D369" s="135" t="s">
        <v>835</v>
      </c>
      <c r="E369" s="135" t="s">
        <v>1408</v>
      </c>
      <c r="F369" s="135" t="s">
        <v>4</v>
      </c>
      <c r="G369" s="135" t="s">
        <v>1978</v>
      </c>
      <c r="H369" s="135"/>
      <c r="I369" s="135"/>
      <c r="J369" s="135"/>
      <c r="K369" s="135"/>
      <c r="L369" s="135"/>
      <c r="M369" s="135"/>
      <c r="N369" s="135"/>
      <c r="O369" s="135"/>
      <c r="P369" s="135"/>
      <c r="Q369" s="135"/>
      <c r="R369" s="135"/>
      <c r="S369" s="135"/>
      <c r="T369" s="135"/>
      <c r="U369" s="135"/>
      <c r="V369" s="135"/>
      <c r="W369" s="135"/>
      <c r="X369" s="135"/>
      <c r="Y369" s="135"/>
      <c r="Z369" s="135">
        <v>6.9</v>
      </c>
      <c r="AA369" s="135">
        <v>2500</v>
      </c>
      <c r="AB369" s="135">
        <v>360.4</v>
      </c>
      <c r="AC369" s="135">
        <v>2.77</v>
      </c>
      <c r="AD369" s="135">
        <v>6.9</v>
      </c>
      <c r="AE369" s="135">
        <v>7150</v>
      </c>
      <c r="AF369" s="135">
        <v>1030.9000000000001</v>
      </c>
      <c r="AG369" s="135">
        <v>0.97</v>
      </c>
      <c r="AH369" s="135">
        <v>6.9</v>
      </c>
      <c r="AI369" s="135">
        <v>2600</v>
      </c>
      <c r="AJ369" s="135">
        <v>374.9</v>
      </c>
      <c r="AK369" s="135">
        <v>2.67</v>
      </c>
      <c r="AL369" s="135">
        <v>6.9</v>
      </c>
      <c r="AM369" s="135">
        <v>4400</v>
      </c>
      <c r="AN369" s="135">
        <v>634.4</v>
      </c>
      <c r="AO369" s="135">
        <v>1.58</v>
      </c>
      <c r="AP369" s="135">
        <v>6.9</v>
      </c>
      <c r="AQ369" s="135">
        <v>12</v>
      </c>
      <c r="AR369" s="135">
        <v>1.7</v>
      </c>
      <c r="AS369" s="135">
        <v>0.57999999999999996</v>
      </c>
      <c r="AT369" s="135">
        <v>6.9</v>
      </c>
      <c r="AU369" s="135">
        <v>5000</v>
      </c>
      <c r="AV369" s="135">
        <v>720.9</v>
      </c>
      <c r="AW369" s="135">
        <v>1.39</v>
      </c>
      <c r="AX369" s="135"/>
      <c r="AY369" s="135"/>
      <c r="AZ369" s="135"/>
      <c r="BA369" s="135"/>
      <c r="BB369" s="135"/>
      <c r="BC369" s="135"/>
      <c r="BD369" s="135"/>
      <c r="BE369" s="135"/>
      <c r="BF369" s="135"/>
      <c r="BG369" s="135"/>
      <c r="BH369" s="135"/>
      <c r="BI369" s="135"/>
      <c r="BJ369" s="135"/>
      <c r="BK369" s="135"/>
      <c r="BL369" s="135"/>
    </row>
    <row r="370" spans="1:64" x14ac:dyDescent="0.3">
      <c r="A370" s="135">
        <v>2016</v>
      </c>
      <c r="B370" s="135">
        <v>3</v>
      </c>
      <c r="C370" s="135" t="s">
        <v>52</v>
      </c>
      <c r="D370" s="135" t="s">
        <v>846</v>
      </c>
      <c r="E370" s="135" t="s">
        <v>1408</v>
      </c>
      <c r="F370" s="135" t="s">
        <v>52</v>
      </c>
      <c r="G370" s="135" t="s">
        <v>46</v>
      </c>
      <c r="H370" s="135"/>
      <c r="I370" s="135"/>
      <c r="J370" s="135"/>
      <c r="K370" s="135"/>
      <c r="L370" s="135"/>
      <c r="M370" s="135"/>
      <c r="N370" s="135"/>
      <c r="O370" s="135"/>
      <c r="P370" s="135"/>
      <c r="Q370" s="135"/>
      <c r="R370" s="135"/>
      <c r="S370" s="135"/>
      <c r="T370" s="135"/>
      <c r="U370" s="135"/>
      <c r="V370" s="135"/>
      <c r="W370" s="135"/>
      <c r="X370" s="135"/>
      <c r="Y370" s="135"/>
      <c r="Z370" s="135">
        <v>6.8</v>
      </c>
      <c r="AA370" s="135">
        <v>2700</v>
      </c>
      <c r="AB370" s="135">
        <v>394.7</v>
      </c>
      <c r="AC370" s="135">
        <v>2.5299999999999998</v>
      </c>
      <c r="AD370" s="135">
        <v>7.3</v>
      </c>
      <c r="AE370" s="135">
        <v>5000</v>
      </c>
      <c r="AF370" s="135">
        <v>683.5</v>
      </c>
      <c r="AG370" s="135">
        <v>1.46</v>
      </c>
      <c r="AH370" s="135">
        <v>7.3</v>
      </c>
      <c r="AI370" s="135">
        <v>2500</v>
      </c>
      <c r="AJ370" s="135">
        <v>341.8</v>
      </c>
      <c r="AK370" s="135">
        <v>2.93</v>
      </c>
      <c r="AL370" s="135">
        <v>7.3</v>
      </c>
      <c r="AM370" s="135">
        <v>4600</v>
      </c>
      <c r="AN370" s="135">
        <v>628.79999999999995</v>
      </c>
      <c r="AO370" s="135">
        <v>1.59</v>
      </c>
      <c r="AP370" s="135">
        <v>7.3</v>
      </c>
      <c r="AQ370" s="135">
        <v>14</v>
      </c>
      <c r="AR370" s="135">
        <v>1.9</v>
      </c>
      <c r="AS370" s="135">
        <v>0.52</v>
      </c>
      <c r="AT370" s="135">
        <v>7.3</v>
      </c>
      <c r="AU370" s="135">
        <v>4900</v>
      </c>
      <c r="AV370" s="135">
        <v>669.9</v>
      </c>
      <c r="AW370" s="135">
        <v>1.49</v>
      </c>
      <c r="AX370" s="135"/>
      <c r="AY370" s="135"/>
      <c r="AZ370" s="135"/>
      <c r="BA370" s="135"/>
      <c r="BB370" s="135"/>
      <c r="BC370" s="135"/>
      <c r="BD370" s="135"/>
      <c r="BE370" s="135"/>
      <c r="BF370" s="135"/>
      <c r="BG370" s="135"/>
      <c r="BH370" s="135"/>
      <c r="BI370" s="135"/>
      <c r="BJ370" s="135"/>
      <c r="BK370" s="135"/>
      <c r="BL370" s="135"/>
    </row>
    <row r="371" spans="1:64" x14ac:dyDescent="0.3">
      <c r="A371" s="135">
        <v>2016</v>
      </c>
      <c r="B371" s="135">
        <v>3</v>
      </c>
      <c r="C371" s="135" t="s">
        <v>39</v>
      </c>
      <c r="D371" s="135" t="s">
        <v>830</v>
      </c>
      <c r="E371" s="135" t="s">
        <v>1408</v>
      </c>
      <c r="F371" s="135" t="s">
        <v>39</v>
      </c>
      <c r="G371" s="135" t="s">
        <v>20</v>
      </c>
      <c r="H371" s="135"/>
      <c r="I371" s="135"/>
      <c r="J371" s="135"/>
      <c r="K371" s="135"/>
      <c r="L371" s="135"/>
      <c r="M371" s="135"/>
      <c r="N371" s="135"/>
      <c r="O371" s="135"/>
      <c r="P371" s="135"/>
      <c r="Q371" s="135"/>
      <c r="R371" s="135"/>
      <c r="S371" s="135"/>
      <c r="T371" s="135"/>
      <c r="U371" s="135"/>
      <c r="V371" s="135"/>
      <c r="W371" s="135"/>
      <c r="X371" s="135"/>
      <c r="Y371" s="135"/>
      <c r="Z371" s="135">
        <v>6.9</v>
      </c>
      <c r="AA371" s="135">
        <v>2900</v>
      </c>
      <c r="AB371" s="135">
        <v>423.1</v>
      </c>
      <c r="AC371" s="135">
        <v>2.36</v>
      </c>
      <c r="AD371" s="135">
        <v>6.9</v>
      </c>
      <c r="AE371" s="135">
        <v>5000</v>
      </c>
      <c r="AF371" s="135">
        <v>729.5</v>
      </c>
      <c r="AG371" s="135">
        <v>1.37</v>
      </c>
      <c r="AH371" s="135">
        <v>6.9</v>
      </c>
      <c r="AI371" s="135">
        <v>2800</v>
      </c>
      <c r="AJ371" s="135">
        <v>408.5</v>
      </c>
      <c r="AK371" s="135">
        <v>2.4500000000000002</v>
      </c>
      <c r="AL371" s="135">
        <v>6.9</v>
      </c>
      <c r="AM371" s="135">
        <v>4500</v>
      </c>
      <c r="AN371" s="135">
        <v>656.6</v>
      </c>
      <c r="AO371" s="135">
        <v>1.52</v>
      </c>
      <c r="AP371" s="135">
        <v>6.9</v>
      </c>
      <c r="AQ371" s="135">
        <v>15</v>
      </c>
      <c r="AR371" s="135">
        <v>2.2000000000000002</v>
      </c>
      <c r="AS371" s="135">
        <v>0.46</v>
      </c>
      <c r="AT371" s="135">
        <v>6.9</v>
      </c>
      <c r="AU371" s="135">
        <v>5500</v>
      </c>
      <c r="AV371" s="135">
        <v>802.5</v>
      </c>
      <c r="AW371" s="135">
        <v>1.25</v>
      </c>
      <c r="AX371" s="135"/>
      <c r="AY371" s="135"/>
      <c r="AZ371" s="135"/>
      <c r="BA371" s="135"/>
      <c r="BB371" s="135"/>
      <c r="BC371" s="135"/>
      <c r="BD371" s="135"/>
      <c r="BE371" s="135"/>
      <c r="BF371" s="135"/>
      <c r="BG371" s="135"/>
      <c r="BH371" s="135"/>
      <c r="BI371" s="135"/>
      <c r="BJ371" s="135"/>
      <c r="BK371" s="135"/>
      <c r="BL371" s="135"/>
    </row>
    <row r="372" spans="1:64" x14ac:dyDescent="0.3">
      <c r="A372" s="135">
        <v>2016</v>
      </c>
      <c r="B372" s="135">
        <v>3</v>
      </c>
      <c r="C372" s="135" t="s">
        <v>18</v>
      </c>
      <c r="D372" s="135" t="s">
        <v>838</v>
      </c>
      <c r="E372" s="135" t="s">
        <v>1408</v>
      </c>
      <c r="F372" s="135" t="s">
        <v>18</v>
      </c>
      <c r="G372" s="135" t="s">
        <v>1987</v>
      </c>
      <c r="H372" s="135"/>
      <c r="I372" s="135"/>
      <c r="J372" s="135"/>
      <c r="K372" s="135"/>
      <c r="L372" s="135"/>
      <c r="M372" s="135"/>
      <c r="N372" s="135"/>
      <c r="O372" s="135"/>
      <c r="P372" s="135"/>
      <c r="Q372" s="135"/>
      <c r="R372" s="135"/>
      <c r="S372" s="135"/>
      <c r="T372" s="135"/>
      <c r="U372" s="135"/>
      <c r="V372" s="135"/>
      <c r="W372" s="135"/>
      <c r="X372" s="135"/>
      <c r="Y372" s="135"/>
      <c r="Z372" s="135">
        <v>5.9</v>
      </c>
      <c r="AA372" s="135">
        <v>2600</v>
      </c>
      <c r="AB372" s="135">
        <v>441.9</v>
      </c>
      <c r="AC372" s="135">
        <v>2.2599999999999998</v>
      </c>
      <c r="AD372" s="135">
        <v>5.9</v>
      </c>
      <c r="AE372" s="135">
        <v>5000</v>
      </c>
      <c r="AF372" s="135">
        <v>849.8</v>
      </c>
      <c r="AG372" s="135">
        <v>1.18</v>
      </c>
      <c r="AH372" s="135">
        <v>5.9</v>
      </c>
      <c r="AI372" s="135">
        <v>2400</v>
      </c>
      <c r="AJ372" s="135">
        <v>407.9</v>
      </c>
      <c r="AK372" s="135">
        <v>2.4500000000000002</v>
      </c>
      <c r="AL372" s="135">
        <v>5.9</v>
      </c>
      <c r="AM372" s="135">
        <v>4400</v>
      </c>
      <c r="AN372" s="135">
        <v>747.8</v>
      </c>
      <c r="AO372" s="135">
        <v>1.34</v>
      </c>
      <c r="AP372" s="135">
        <v>5.9</v>
      </c>
      <c r="AQ372" s="135">
        <v>10</v>
      </c>
      <c r="AR372" s="135">
        <v>1.7</v>
      </c>
      <c r="AS372" s="135">
        <v>0.59</v>
      </c>
      <c r="AT372" s="135">
        <v>5.9</v>
      </c>
      <c r="AU372" s="135">
        <v>4600</v>
      </c>
      <c r="AV372" s="135">
        <v>781.8</v>
      </c>
      <c r="AW372" s="135">
        <v>1.28</v>
      </c>
      <c r="AX372" s="135"/>
      <c r="AY372" s="135"/>
      <c r="AZ372" s="135"/>
      <c r="BA372" s="135"/>
      <c r="BB372" s="135"/>
      <c r="BC372" s="135"/>
      <c r="BD372" s="135"/>
      <c r="BE372" s="135"/>
      <c r="BF372" s="135"/>
      <c r="BG372" s="135"/>
      <c r="BH372" s="135"/>
      <c r="BI372" s="135"/>
      <c r="BJ372" s="135"/>
      <c r="BK372" s="135"/>
      <c r="BL372" s="135"/>
    </row>
    <row r="373" spans="1:64" x14ac:dyDescent="0.3">
      <c r="A373" s="135">
        <v>2016</v>
      </c>
      <c r="B373" s="135">
        <v>3</v>
      </c>
      <c r="C373" s="135" t="s">
        <v>46</v>
      </c>
      <c r="D373" s="135" t="s">
        <v>841</v>
      </c>
      <c r="E373" s="135" t="s">
        <v>1408</v>
      </c>
      <c r="F373" s="135" t="s">
        <v>46</v>
      </c>
      <c r="G373" s="135" t="s">
        <v>1994</v>
      </c>
      <c r="H373" s="135"/>
      <c r="I373" s="135"/>
      <c r="J373" s="135"/>
      <c r="K373" s="135"/>
      <c r="L373" s="135"/>
      <c r="M373" s="135"/>
      <c r="N373" s="135"/>
      <c r="O373" s="135"/>
      <c r="P373" s="135"/>
      <c r="Q373" s="135"/>
      <c r="R373" s="135"/>
      <c r="S373" s="135"/>
      <c r="T373" s="135"/>
      <c r="U373" s="135"/>
      <c r="V373" s="135"/>
      <c r="W373" s="135"/>
      <c r="X373" s="135"/>
      <c r="Y373" s="135"/>
      <c r="Z373" s="135">
        <v>6.1</v>
      </c>
      <c r="AA373" s="135">
        <v>2500</v>
      </c>
      <c r="AB373" s="135">
        <v>408.4</v>
      </c>
      <c r="AC373" s="135">
        <v>2.4500000000000002</v>
      </c>
      <c r="AD373" s="135">
        <v>6.1</v>
      </c>
      <c r="AE373" s="135">
        <v>5350</v>
      </c>
      <c r="AF373" s="135">
        <v>873.9</v>
      </c>
      <c r="AG373" s="135">
        <v>1.1399999999999999</v>
      </c>
      <c r="AH373" s="135">
        <v>6.1</v>
      </c>
      <c r="AI373" s="135">
        <v>2700</v>
      </c>
      <c r="AJ373" s="135">
        <v>441</v>
      </c>
      <c r="AK373" s="135">
        <v>2.27</v>
      </c>
      <c r="AL373" s="135">
        <v>6.1</v>
      </c>
      <c r="AM373" s="135">
        <v>4400</v>
      </c>
      <c r="AN373" s="135">
        <v>718.7</v>
      </c>
      <c r="AO373" s="135">
        <v>1.39</v>
      </c>
      <c r="AP373" s="135">
        <v>6.1</v>
      </c>
      <c r="AQ373" s="135">
        <v>11</v>
      </c>
      <c r="AR373" s="135">
        <v>1.8</v>
      </c>
      <c r="AS373" s="135">
        <v>0.56000000000000005</v>
      </c>
      <c r="AT373" s="135">
        <v>6.1</v>
      </c>
      <c r="AU373" s="135">
        <v>5300</v>
      </c>
      <c r="AV373" s="135">
        <v>865.7</v>
      </c>
      <c r="AW373" s="135">
        <v>1.1599999999999999</v>
      </c>
      <c r="AX373" s="135"/>
      <c r="AY373" s="135"/>
      <c r="AZ373" s="135"/>
      <c r="BA373" s="135"/>
      <c r="BB373" s="135"/>
      <c r="BC373" s="135"/>
      <c r="BD373" s="135"/>
      <c r="BE373" s="135"/>
      <c r="BF373" s="135"/>
      <c r="BG373" s="135"/>
      <c r="BH373" s="135"/>
      <c r="BI373" s="135"/>
      <c r="BJ373" s="135"/>
      <c r="BK373" s="135"/>
      <c r="BL373" s="135"/>
    </row>
    <row r="374" spans="1:64" x14ac:dyDescent="0.3">
      <c r="A374" s="135">
        <v>2016</v>
      </c>
      <c r="B374" s="135">
        <v>3</v>
      </c>
      <c r="C374" s="135" t="s">
        <v>26</v>
      </c>
      <c r="D374" s="135" t="s">
        <v>839</v>
      </c>
      <c r="E374" s="135" t="s">
        <v>1408</v>
      </c>
      <c r="F374" s="135" t="s">
        <v>26</v>
      </c>
      <c r="G374" s="135" t="s">
        <v>1976</v>
      </c>
      <c r="H374" s="135"/>
      <c r="I374" s="135"/>
      <c r="J374" s="135"/>
      <c r="K374" s="135"/>
      <c r="L374" s="135"/>
      <c r="M374" s="135"/>
      <c r="N374" s="135"/>
      <c r="O374" s="135"/>
      <c r="P374" s="135"/>
      <c r="Q374" s="135"/>
      <c r="R374" s="135"/>
      <c r="S374" s="135"/>
      <c r="T374" s="135"/>
      <c r="U374" s="135"/>
      <c r="V374" s="135"/>
      <c r="W374" s="135"/>
      <c r="X374" s="135"/>
      <c r="Y374" s="135"/>
      <c r="Z374" s="135">
        <v>5.7</v>
      </c>
      <c r="AA374" s="135">
        <v>2650</v>
      </c>
      <c r="AB374" s="135">
        <v>461.3</v>
      </c>
      <c r="AC374" s="135">
        <v>2.17</v>
      </c>
      <c r="AD374" s="135">
        <v>5.7</v>
      </c>
      <c r="AE374" s="135">
        <v>5500</v>
      </c>
      <c r="AF374" s="135">
        <v>957.4</v>
      </c>
      <c r="AG374" s="135">
        <v>1.04</v>
      </c>
      <c r="AH374" s="135">
        <v>5.7</v>
      </c>
      <c r="AI374" s="135">
        <v>2400</v>
      </c>
      <c r="AJ374" s="135">
        <v>417.8</v>
      </c>
      <c r="AK374" s="135">
        <v>2.39</v>
      </c>
      <c r="AL374" s="135">
        <v>5.7</v>
      </c>
      <c r="AM374" s="135">
        <v>4200</v>
      </c>
      <c r="AN374" s="135">
        <v>731.1</v>
      </c>
      <c r="AO374" s="135">
        <v>1.37</v>
      </c>
      <c r="AP374" s="135">
        <v>5.7</v>
      </c>
      <c r="AQ374" s="135">
        <v>12</v>
      </c>
      <c r="AR374" s="135">
        <v>2.1</v>
      </c>
      <c r="AS374" s="135">
        <v>0.48</v>
      </c>
      <c r="AT374" s="135">
        <v>5.7</v>
      </c>
      <c r="AU374" s="135">
        <v>4600</v>
      </c>
      <c r="AV374" s="135">
        <v>800.7</v>
      </c>
      <c r="AW374" s="135">
        <v>1.25</v>
      </c>
      <c r="AX374" s="135"/>
      <c r="AY374" s="135"/>
      <c r="AZ374" s="135"/>
      <c r="BA374" s="135"/>
      <c r="BB374" s="135"/>
      <c r="BC374" s="135"/>
      <c r="BD374" s="135"/>
      <c r="BE374" s="135"/>
      <c r="BF374" s="135"/>
      <c r="BG374" s="135"/>
      <c r="BH374" s="135"/>
      <c r="BI374" s="135"/>
      <c r="BJ374" s="135"/>
      <c r="BK374" s="135"/>
      <c r="BL374" s="135"/>
    </row>
    <row r="375" spans="1:64" x14ac:dyDescent="0.3">
      <c r="A375" s="135">
        <v>2016</v>
      </c>
      <c r="B375" s="135">
        <v>3</v>
      </c>
      <c r="C375" s="135" t="s">
        <v>395</v>
      </c>
      <c r="D375" s="135" t="s">
        <v>856</v>
      </c>
      <c r="E375" s="135" t="s">
        <v>1408</v>
      </c>
      <c r="F375" s="135" t="s">
        <v>395</v>
      </c>
      <c r="G375" s="135" t="s">
        <v>26</v>
      </c>
      <c r="H375" s="135"/>
      <c r="I375" s="135"/>
      <c r="J375" s="135"/>
      <c r="K375" s="135"/>
      <c r="L375" s="135"/>
      <c r="M375" s="135"/>
      <c r="N375" s="135"/>
      <c r="O375" s="135"/>
      <c r="P375" s="135"/>
      <c r="Q375" s="135"/>
      <c r="R375" s="135"/>
      <c r="S375" s="135"/>
      <c r="T375" s="135"/>
      <c r="U375" s="135"/>
      <c r="V375" s="135"/>
      <c r="W375" s="135"/>
      <c r="X375" s="135"/>
      <c r="Y375" s="135"/>
      <c r="Z375" s="135">
        <v>7.2</v>
      </c>
      <c r="AA375" s="135">
        <v>2900</v>
      </c>
      <c r="AB375" s="135">
        <v>400.3</v>
      </c>
      <c r="AC375" s="135">
        <v>2.5</v>
      </c>
      <c r="AD375" s="135">
        <v>7.2</v>
      </c>
      <c r="AE375" s="135">
        <v>7150</v>
      </c>
      <c r="AF375" s="135">
        <v>986.9</v>
      </c>
      <c r="AG375" s="135">
        <v>1.01</v>
      </c>
      <c r="AH375" s="135">
        <v>7.2</v>
      </c>
      <c r="AI375" s="135">
        <v>3000</v>
      </c>
      <c r="AJ375" s="135">
        <v>414.1</v>
      </c>
      <c r="AK375" s="135">
        <v>2.42</v>
      </c>
      <c r="AL375" s="135">
        <v>7.2</v>
      </c>
      <c r="AM375" s="135">
        <v>4400</v>
      </c>
      <c r="AN375" s="135">
        <v>607.29999999999995</v>
      </c>
      <c r="AO375" s="135">
        <v>1.65</v>
      </c>
      <c r="AP375" s="135">
        <v>7.2</v>
      </c>
      <c r="AQ375" s="135">
        <v>15</v>
      </c>
      <c r="AR375" s="135">
        <v>2.1</v>
      </c>
      <c r="AS375" s="135">
        <v>0.48</v>
      </c>
      <c r="AT375" s="135">
        <v>7.2</v>
      </c>
      <c r="AU375" s="135">
        <v>5900</v>
      </c>
      <c r="AV375" s="135">
        <v>814.4</v>
      </c>
      <c r="AW375" s="135">
        <v>1.23</v>
      </c>
      <c r="AX375" s="135"/>
      <c r="AY375" s="135"/>
      <c r="AZ375" s="135"/>
      <c r="BA375" s="135"/>
      <c r="BB375" s="135"/>
      <c r="BC375" s="135"/>
      <c r="BD375" s="135"/>
      <c r="BE375" s="135"/>
      <c r="BF375" s="135"/>
      <c r="BG375" s="135"/>
      <c r="BH375" s="135"/>
      <c r="BI375" s="135"/>
      <c r="BJ375" s="135"/>
      <c r="BK375" s="135"/>
      <c r="BL375" s="135"/>
    </row>
    <row r="376" spans="1:64" x14ac:dyDescent="0.3">
      <c r="A376" s="135">
        <v>2016</v>
      </c>
      <c r="B376" s="135">
        <v>3</v>
      </c>
      <c r="C376" s="135" t="s">
        <v>41</v>
      </c>
      <c r="D376" s="135" t="s">
        <v>855</v>
      </c>
      <c r="E376" s="135" t="s">
        <v>1408</v>
      </c>
      <c r="F376" s="135" t="s">
        <v>41</v>
      </c>
      <c r="G376" s="135" t="s">
        <v>1997</v>
      </c>
      <c r="H376" s="135"/>
      <c r="I376" s="135"/>
      <c r="J376" s="135"/>
      <c r="K376" s="135"/>
      <c r="L376" s="135"/>
      <c r="M376" s="135"/>
      <c r="N376" s="135"/>
      <c r="O376" s="135"/>
      <c r="P376" s="135"/>
      <c r="Q376" s="135"/>
      <c r="R376" s="135"/>
      <c r="S376" s="135"/>
      <c r="T376" s="135"/>
      <c r="U376" s="135"/>
      <c r="V376" s="135"/>
      <c r="W376" s="135"/>
      <c r="X376" s="135"/>
      <c r="Y376" s="135"/>
      <c r="Z376" s="135">
        <v>7</v>
      </c>
      <c r="AA376" s="135">
        <v>2800</v>
      </c>
      <c r="AB376" s="135">
        <v>398.9</v>
      </c>
      <c r="AC376" s="135">
        <v>2.5099999999999998</v>
      </c>
      <c r="AD376" s="135">
        <v>7</v>
      </c>
      <c r="AE376" s="135">
        <v>5850</v>
      </c>
      <c r="AF376" s="135">
        <v>833.5</v>
      </c>
      <c r="AG376" s="135">
        <v>1.2</v>
      </c>
      <c r="AH376" s="135">
        <v>7</v>
      </c>
      <c r="AI376" s="135">
        <v>3100</v>
      </c>
      <c r="AJ376" s="135">
        <v>441.7</v>
      </c>
      <c r="AK376" s="135">
        <v>2.2599999999999998</v>
      </c>
      <c r="AL376" s="135">
        <v>7</v>
      </c>
      <c r="AM376" s="135">
        <v>4400</v>
      </c>
      <c r="AN376" s="135">
        <v>626.9</v>
      </c>
      <c r="AO376" s="135">
        <v>1.6</v>
      </c>
      <c r="AP376" s="135">
        <v>7</v>
      </c>
      <c r="AQ376" s="135">
        <v>16</v>
      </c>
      <c r="AR376" s="135">
        <v>2.2999999999999998</v>
      </c>
      <c r="AS376" s="135">
        <v>0.44</v>
      </c>
      <c r="AT376" s="135">
        <v>7</v>
      </c>
      <c r="AU376" s="135">
        <v>6000</v>
      </c>
      <c r="AV376" s="135">
        <v>854.8</v>
      </c>
      <c r="AW376" s="135">
        <v>1.17</v>
      </c>
      <c r="AX376" s="135"/>
      <c r="AY376" s="135"/>
      <c r="AZ376" s="135"/>
      <c r="BA376" s="135"/>
      <c r="BB376" s="135"/>
      <c r="BC376" s="135"/>
      <c r="BD376" s="135"/>
      <c r="BE376" s="135"/>
      <c r="BF376" s="135"/>
      <c r="BG376" s="135"/>
      <c r="BH376" s="135"/>
      <c r="BI376" s="135"/>
      <c r="BJ376" s="135"/>
      <c r="BK376" s="135"/>
      <c r="BL376" s="135"/>
    </row>
    <row r="377" spans="1:64" x14ac:dyDescent="0.3">
      <c r="A377" s="135">
        <v>2016</v>
      </c>
      <c r="B377" s="135">
        <v>3</v>
      </c>
      <c r="C377" s="135" t="s">
        <v>401</v>
      </c>
      <c r="D377" s="135" t="s">
        <v>845</v>
      </c>
      <c r="E377" s="135" t="s">
        <v>1408</v>
      </c>
      <c r="F377" s="135" t="s">
        <v>401</v>
      </c>
      <c r="G377" s="135" t="s">
        <v>409</v>
      </c>
      <c r="H377" s="135"/>
      <c r="I377" s="135"/>
      <c r="J377" s="135"/>
      <c r="K377" s="135"/>
      <c r="L377" s="135"/>
      <c r="M377" s="135"/>
      <c r="N377" s="135"/>
      <c r="O377" s="135"/>
      <c r="P377" s="135"/>
      <c r="Q377" s="135"/>
      <c r="R377" s="135"/>
      <c r="S377" s="135"/>
      <c r="T377" s="135"/>
      <c r="U377" s="135"/>
      <c r="V377" s="135"/>
      <c r="W377" s="135"/>
      <c r="X377" s="135"/>
      <c r="Y377" s="135"/>
      <c r="Z377" s="135">
        <v>7.3</v>
      </c>
      <c r="AA377" s="135">
        <v>2600</v>
      </c>
      <c r="AB377" s="135">
        <v>356.1</v>
      </c>
      <c r="AC377" s="135">
        <v>2.81</v>
      </c>
      <c r="AD377" s="135">
        <v>7.8</v>
      </c>
      <c r="AE377" s="135">
        <v>6600</v>
      </c>
      <c r="AF377" s="135">
        <v>849.4</v>
      </c>
      <c r="AG377" s="135">
        <v>1.18</v>
      </c>
      <c r="AH377" s="135">
        <v>7.8</v>
      </c>
      <c r="AI377" s="135">
        <v>3100</v>
      </c>
      <c r="AJ377" s="135">
        <v>399</v>
      </c>
      <c r="AK377" s="135">
        <v>2.5099999999999998</v>
      </c>
      <c r="AL377" s="135">
        <v>7.8</v>
      </c>
      <c r="AM377" s="135">
        <v>4500</v>
      </c>
      <c r="AN377" s="135">
        <v>579.20000000000005</v>
      </c>
      <c r="AO377" s="135">
        <v>1.73</v>
      </c>
      <c r="AP377" s="135">
        <v>7.8</v>
      </c>
      <c r="AQ377" s="135">
        <v>14</v>
      </c>
      <c r="AR377" s="135">
        <v>1.8</v>
      </c>
      <c r="AS377" s="135">
        <v>0.56000000000000005</v>
      </c>
      <c r="AT377" s="135">
        <v>7.8</v>
      </c>
      <c r="AU377" s="135">
        <v>6000</v>
      </c>
      <c r="AV377" s="135">
        <v>772.2</v>
      </c>
      <c r="AW377" s="135">
        <v>1.3</v>
      </c>
      <c r="AX377" s="135"/>
      <c r="AY377" s="135"/>
      <c r="AZ377" s="135"/>
      <c r="BA377" s="135"/>
      <c r="BB377" s="135"/>
      <c r="BC377" s="135"/>
      <c r="BD377" s="135"/>
      <c r="BE377" s="135"/>
      <c r="BF377" s="135"/>
      <c r="BG377" s="135"/>
      <c r="BH377" s="135"/>
      <c r="BI377" s="135"/>
      <c r="BJ377" s="135"/>
      <c r="BK377" s="135"/>
      <c r="BL377" s="135"/>
    </row>
    <row r="378" spans="1:64" x14ac:dyDescent="0.3">
      <c r="A378" s="135">
        <v>2016</v>
      </c>
      <c r="B378" s="135">
        <v>3</v>
      </c>
      <c r="C378" s="135" t="s">
        <v>50</v>
      </c>
      <c r="D378" s="135" t="s">
        <v>828</v>
      </c>
      <c r="E378" s="135" t="s">
        <v>1408</v>
      </c>
      <c r="F378" s="135" t="s">
        <v>50</v>
      </c>
      <c r="G378" s="135" t="s">
        <v>1963</v>
      </c>
      <c r="H378" s="135"/>
      <c r="I378" s="135"/>
      <c r="J378" s="135"/>
      <c r="K378" s="135"/>
      <c r="L378" s="135"/>
      <c r="M378" s="135"/>
      <c r="N378" s="135"/>
      <c r="O378" s="135"/>
      <c r="P378" s="135"/>
      <c r="Q378" s="135"/>
      <c r="R378" s="135"/>
      <c r="S378" s="135"/>
      <c r="T378" s="135"/>
      <c r="U378" s="135"/>
      <c r="V378" s="135"/>
      <c r="W378" s="135"/>
      <c r="X378" s="135"/>
      <c r="Y378" s="135"/>
      <c r="Z378" s="135">
        <v>5.9</v>
      </c>
      <c r="AA378" s="135">
        <v>2500</v>
      </c>
      <c r="AB378" s="135">
        <v>426.2</v>
      </c>
      <c r="AC378" s="135">
        <v>2.35</v>
      </c>
      <c r="AD378" s="135">
        <v>5.9</v>
      </c>
      <c r="AE378" s="135">
        <v>5000</v>
      </c>
      <c r="AF378" s="135">
        <v>852.4</v>
      </c>
      <c r="AG378" s="135">
        <v>1.17</v>
      </c>
      <c r="AH378" s="135">
        <v>5.9</v>
      </c>
      <c r="AI378" s="135">
        <v>2000</v>
      </c>
      <c r="AJ378" s="135">
        <v>340.9</v>
      </c>
      <c r="AK378" s="135">
        <v>2.93</v>
      </c>
      <c r="AL378" s="135">
        <v>5.9</v>
      </c>
      <c r="AM378" s="135">
        <v>4000</v>
      </c>
      <c r="AN378" s="135">
        <v>681.9</v>
      </c>
      <c r="AO378" s="135">
        <v>1.47</v>
      </c>
      <c r="AP378" s="135">
        <v>5.9</v>
      </c>
      <c r="AQ378" s="135">
        <v>10</v>
      </c>
      <c r="AR378" s="135">
        <v>1.7</v>
      </c>
      <c r="AS378" s="135">
        <v>0.59</v>
      </c>
      <c r="AT378" s="135">
        <v>5.9</v>
      </c>
      <c r="AU378" s="135">
        <v>3800</v>
      </c>
      <c r="AV378" s="135">
        <v>647.79999999999995</v>
      </c>
      <c r="AW378" s="135">
        <v>1.54</v>
      </c>
      <c r="AX378" s="135"/>
      <c r="AY378" s="135"/>
      <c r="AZ378" s="135"/>
      <c r="BA378" s="135"/>
      <c r="BB378" s="135"/>
      <c r="BC378" s="135"/>
      <c r="BD378" s="135"/>
      <c r="BE378" s="135"/>
      <c r="BF378" s="135"/>
      <c r="BG378" s="135"/>
      <c r="BH378" s="135"/>
      <c r="BI378" s="135"/>
      <c r="BJ378" s="135"/>
      <c r="BK378" s="135"/>
      <c r="BL378" s="135"/>
    </row>
    <row r="379" spans="1:64" x14ac:dyDescent="0.3">
      <c r="A379" s="135">
        <v>2016</v>
      </c>
      <c r="B379" s="135">
        <v>3</v>
      </c>
      <c r="C379" s="135" t="s">
        <v>22</v>
      </c>
      <c r="D379" s="135" t="s">
        <v>831</v>
      </c>
      <c r="E379" s="135" t="s">
        <v>1408</v>
      </c>
      <c r="F379" s="135" t="s">
        <v>22</v>
      </c>
      <c r="G379" s="135" t="s">
        <v>41</v>
      </c>
      <c r="H379" s="135"/>
      <c r="I379" s="135"/>
      <c r="J379" s="135"/>
      <c r="K379" s="135"/>
      <c r="L379" s="135"/>
      <c r="M379" s="135"/>
      <c r="N379" s="135"/>
      <c r="O379" s="135"/>
      <c r="P379" s="135"/>
      <c r="Q379" s="135"/>
      <c r="R379" s="135"/>
      <c r="S379" s="135"/>
      <c r="T379" s="135"/>
      <c r="U379" s="135"/>
      <c r="V379" s="135"/>
      <c r="W379" s="135"/>
      <c r="X379" s="135"/>
      <c r="Y379" s="135"/>
      <c r="Z379" s="135">
        <v>8.5</v>
      </c>
      <c r="AA379" s="135">
        <v>3000</v>
      </c>
      <c r="AB379" s="135">
        <v>353.9</v>
      </c>
      <c r="AC379" s="135">
        <v>2.83</v>
      </c>
      <c r="AD379" s="135">
        <v>8.9</v>
      </c>
      <c r="AE379" s="135">
        <v>8300</v>
      </c>
      <c r="AF379" s="135">
        <v>929.8</v>
      </c>
      <c r="AG379" s="135">
        <v>1.08</v>
      </c>
      <c r="AH379" s="135">
        <v>8.9</v>
      </c>
      <c r="AI379" s="135">
        <v>3800</v>
      </c>
      <c r="AJ379" s="135">
        <v>425.7</v>
      </c>
      <c r="AK379" s="135">
        <v>2.35</v>
      </c>
      <c r="AL379" s="135">
        <v>8.9</v>
      </c>
      <c r="AM379" s="135">
        <v>5000</v>
      </c>
      <c r="AN379" s="135">
        <v>560.1</v>
      </c>
      <c r="AO379" s="135">
        <v>1.79</v>
      </c>
      <c r="AP379" s="135">
        <v>8.9</v>
      </c>
      <c r="AQ379" s="135">
        <v>18</v>
      </c>
      <c r="AR379" s="135">
        <v>2</v>
      </c>
      <c r="AS379" s="135">
        <v>0.5</v>
      </c>
      <c r="AT379" s="135">
        <v>8.9</v>
      </c>
      <c r="AU379" s="135">
        <v>7400</v>
      </c>
      <c r="AV379" s="135">
        <v>828.9</v>
      </c>
      <c r="AW379" s="135">
        <v>1.21</v>
      </c>
      <c r="AX379" s="135"/>
      <c r="AY379" s="135"/>
      <c r="AZ379" s="135"/>
      <c r="BA379" s="135"/>
      <c r="BB379" s="135"/>
      <c r="BC379" s="135"/>
      <c r="BD379" s="135"/>
      <c r="BE379" s="135"/>
      <c r="BF379" s="135"/>
      <c r="BG379" s="135"/>
      <c r="BH379" s="135"/>
      <c r="BI379" s="135"/>
      <c r="BJ379" s="135"/>
      <c r="BK379" s="135"/>
      <c r="BL379" s="135"/>
    </row>
    <row r="380" spans="1:64" x14ac:dyDescent="0.3">
      <c r="A380" s="135">
        <v>2016</v>
      </c>
      <c r="B380" s="135">
        <v>3</v>
      </c>
      <c r="C380" s="135" t="s">
        <v>404</v>
      </c>
      <c r="D380" s="135" t="s">
        <v>827</v>
      </c>
      <c r="E380" s="135" t="s">
        <v>1408</v>
      </c>
      <c r="F380" s="135" t="s">
        <v>404</v>
      </c>
      <c r="G380" s="135" t="s">
        <v>50</v>
      </c>
      <c r="H380" s="135"/>
      <c r="I380" s="135"/>
      <c r="J380" s="135"/>
      <c r="K380" s="135"/>
      <c r="L380" s="135"/>
      <c r="M380" s="135"/>
      <c r="N380" s="135"/>
      <c r="O380" s="135"/>
      <c r="P380" s="135"/>
      <c r="Q380" s="135"/>
      <c r="R380" s="135"/>
      <c r="S380" s="135"/>
      <c r="T380" s="135"/>
      <c r="U380" s="135"/>
      <c r="V380" s="135"/>
      <c r="W380" s="135"/>
      <c r="X380" s="135"/>
      <c r="Y380" s="135"/>
      <c r="Z380" s="135">
        <v>6.6</v>
      </c>
      <c r="AA380" s="135">
        <v>2500</v>
      </c>
      <c r="AB380" s="135">
        <v>381.6</v>
      </c>
      <c r="AC380" s="135">
        <v>2.62</v>
      </c>
      <c r="AD380" s="135">
        <v>6.6</v>
      </c>
      <c r="AE380" s="135">
        <v>5200</v>
      </c>
      <c r="AF380" s="135">
        <v>793.8</v>
      </c>
      <c r="AG380" s="135">
        <v>1.26</v>
      </c>
      <c r="AH380" s="135">
        <v>6.6</v>
      </c>
      <c r="AI380" s="135">
        <v>2200</v>
      </c>
      <c r="AJ380" s="135">
        <v>335.8</v>
      </c>
      <c r="AK380" s="135">
        <v>2.98</v>
      </c>
      <c r="AL380" s="135">
        <v>6.6</v>
      </c>
      <c r="AM380" s="135">
        <v>4100</v>
      </c>
      <c r="AN380" s="135">
        <v>625.9</v>
      </c>
      <c r="AO380" s="135">
        <v>1.6</v>
      </c>
      <c r="AP380" s="135">
        <v>6.6</v>
      </c>
      <c r="AQ380" s="135">
        <v>10</v>
      </c>
      <c r="AR380" s="135">
        <v>1.5</v>
      </c>
      <c r="AS380" s="135">
        <v>0.66</v>
      </c>
      <c r="AT380" s="135">
        <v>6.6</v>
      </c>
      <c r="AU380" s="135">
        <v>4200</v>
      </c>
      <c r="AV380" s="135">
        <v>641.1</v>
      </c>
      <c r="AW380" s="135">
        <v>1.56</v>
      </c>
      <c r="AX380" s="135"/>
      <c r="AY380" s="135"/>
      <c r="AZ380" s="135"/>
      <c r="BA380" s="135"/>
      <c r="BB380" s="135"/>
      <c r="BC380" s="135"/>
      <c r="BD380" s="135"/>
      <c r="BE380" s="135"/>
      <c r="BF380" s="135"/>
      <c r="BG380" s="135"/>
      <c r="BH380" s="135"/>
      <c r="BI380" s="135"/>
      <c r="BJ380" s="135"/>
      <c r="BK380" s="135"/>
      <c r="BL380" s="135"/>
    </row>
    <row r="381" spans="1:64" x14ac:dyDescent="0.3">
      <c r="A381" s="135">
        <v>2016</v>
      </c>
      <c r="B381" s="135">
        <v>3</v>
      </c>
      <c r="C381" s="135" t="s">
        <v>398</v>
      </c>
      <c r="D381" s="135" t="s">
        <v>844</v>
      </c>
      <c r="E381" s="135" t="s">
        <v>1408</v>
      </c>
      <c r="F381" s="135" t="s">
        <v>398</v>
      </c>
      <c r="G381" s="135" t="s">
        <v>2001</v>
      </c>
      <c r="H381" s="135"/>
      <c r="I381" s="135"/>
      <c r="J381" s="135"/>
      <c r="K381" s="135"/>
      <c r="L381" s="135"/>
      <c r="M381" s="135"/>
      <c r="N381" s="135"/>
      <c r="O381" s="135"/>
      <c r="P381" s="135"/>
      <c r="Q381" s="135"/>
      <c r="R381" s="135"/>
      <c r="S381" s="135"/>
      <c r="T381" s="135"/>
      <c r="U381" s="135"/>
      <c r="V381" s="135"/>
      <c r="W381" s="135"/>
      <c r="X381" s="135"/>
      <c r="Y381" s="135"/>
      <c r="Z381" s="135">
        <v>5.5</v>
      </c>
      <c r="AA381" s="135">
        <v>2500</v>
      </c>
      <c r="AB381" s="135">
        <v>452.2</v>
      </c>
      <c r="AC381" s="135">
        <v>2.21</v>
      </c>
      <c r="AD381" s="135">
        <v>5.5</v>
      </c>
      <c r="AE381" s="135">
        <v>5000</v>
      </c>
      <c r="AF381" s="135">
        <v>904.3</v>
      </c>
      <c r="AG381" s="135">
        <v>1.1100000000000001</v>
      </c>
      <c r="AH381" s="135">
        <v>5.5</v>
      </c>
      <c r="AI381" s="135">
        <v>2400</v>
      </c>
      <c r="AJ381" s="135">
        <v>434.1</v>
      </c>
      <c r="AK381" s="135">
        <v>2.2999999999999998</v>
      </c>
      <c r="AL381" s="135">
        <v>5.5</v>
      </c>
      <c r="AM381" s="135">
        <v>4000</v>
      </c>
      <c r="AN381" s="135">
        <v>723.5</v>
      </c>
      <c r="AO381" s="135">
        <v>1.38</v>
      </c>
      <c r="AP381" s="135">
        <v>5.5</v>
      </c>
      <c r="AQ381" s="135">
        <v>13</v>
      </c>
      <c r="AR381" s="135">
        <v>2.4</v>
      </c>
      <c r="AS381" s="135">
        <v>0.43</v>
      </c>
      <c r="AT381" s="135">
        <v>5.5</v>
      </c>
      <c r="AU381" s="135">
        <v>4600</v>
      </c>
      <c r="AV381" s="135">
        <v>832</v>
      </c>
      <c r="AW381" s="135">
        <v>1.2</v>
      </c>
      <c r="AX381" s="135"/>
      <c r="AY381" s="135"/>
      <c r="AZ381" s="135"/>
      <c r="BA381" s="135"/>
      <c r="BB381" s="135"/>
      <c r="BC381" s="135"/>
      <c r="BD381" s="135"/>
      <c r="BE381" s="135"/>
      <c r="BF381" s="135"/>
      <c r="BG381" s="135"/>
      <c r="BH381" s="135"/>
      <c r="BI381" s="135"/>
      <c r="BJ381" s="135"/>
      <c r="BK381" s="135"/>
      <c r="BL381" s="135"/>
    </row>
    <row r="382" spans="1:64" x14ac:dyDescent="0.3">
      <c r="A382" s="135">
        <v>2016</v>
      </c>
      <c r="B382" s="135">
        <v>3</v>
      </c>
      <c r="C382" s="135" t="s">
        <v>24</v>
      </c>
      <c r="D382" s="135" t="s">
        <v>854</v>
      </c>
      <c r="E382" s="135" t="s">
        <v>1408</v>
      </c>
      <c r="F382" s="135" t="s">
        <v>24</v>
      </c>
      <c r="G382" s="135" t="s">
        <v>1969</v>
      </c>
      <c r="H382" s="135"/>
      <c r="I382" s="135"/>
      <c r="J382" s="135"/>
      <c r="K382" s="135"/>
      <c r="L382" s="135"/>
      <c r="M382" s="135"/>
      <c r="N382" s="135"/>
      <c r="O382" s="135"/>
      <c r="P382" s="135"/>
      <c r="Q382" s="135"/>
      <c r="R382" s="135"/>
      <c r="S382" s="135"/>
      <c r="T382" s="135"/>
      <c r="U382" s="135"/>
      <c r="V382" s="135"/>
      <c r="W382" s="135"/>
      <c r="X382" s="135"/>
      <c r="Y382" s="135"/>
      <c r="Z382" s="135">
        <v>7.8</v>
      </c>
      <c r="AA382" s="135">
        <v>3400</v>
      </c>
      <c r="AB382" s="135">
        <v>436.8</v>
      </c>
      <c r="AC382" s="135">
        <v>2.29</v>
      </c>
      <c r="AD382" s="135">
        <v>7.8</v>
      </c>
      <c r="AE382" s="135">
        <v>6800</v>
      </c>
      <c r="AF382" s="135">
        <v>873.6</v>
      </c>
      <c r="AG382" s="135">
        <v>1.1399999999999999</v>
      </c>
      <c r="AH382" s="135">
        <v>7.8</v>
      </c>
      <c r="AI382" s="135">
        <v>3600</v>
      </c>
      <c r="AJ382" s="135">
        <v>462.5</v>
      </c>
      <c r="AK382" s="135">
        <v>2.16</v>
      </c>
      <c r="AL382" s="135">
        <v>7.8</v>
      </c>
      <c r="AM382" s="135">
        <v>5100</v>
      </c>
      <c r="AN382" s="135">
        <v>655.20000000000005</v>
      </c>
      <c r="AO382" s="135">
        <v>1.53</v>
      </c>
      <c r="AP382" s="135">
        <v>7.8</v>
      </c>
      <c r="AQ382" s="135">
        <v>17</v>
      </c>
      <c r="AR382" s="135">
        <v>2.2000000000000002</v>
      </c>
      <c r="AS382" s="135">
        <v>0.46</v>
      </c>
      <c r="AT382" s="135">
        <v>7.8</v>
      </c>
      <c r="AU382" s="135">
        <v>7000</v>
      </c>
      <c r="AV382" s="135">
        <v>899.3</v>
      </c>
      <c r="AW382" s="135">
        <v>1.1100000000000001</v>
      </c>
      <c r="AX382" s="135"/>
      <c r="AY382" s="135"/>
      <c r="AZ382" s="135"/>
      <c r="BA382" s="135"/>
      <c r="BB382" s="135"/>
      <c r="BC382" s="135"/>
      <c r="BD382" s="135"/>
      <c r="BE382" s="135"/>
      <c r="BF382" s="135"/>
      <c r="BG382" s="135"/>
      <c r="BH382" s="135"/>
      <c r="BI382" s="135"/>
      <c r="BJ382" s="135"/>
      <c r="BK382" s="135"/>
      <c r="BL382" s="135"/>
    </row>
    <row r="383" spans="1:64" x14ac:dyDescent="0.3">
      <c r="A383" s="135">
        <v>2016</v>
      </c>
      <c r="B383" s="135">
        <v>3</v>
      </c>
      <c r="C383" s="135" t="s">
        <v>7</v>
      </c>
      <c r="D383" s="135" t="s">
        <v>847</v>
      </c>
      <c r="E383" s="135" t="s">
        <v>1408</v>
      </c>
      <c r="F383" s="135" t="s">
        <v>7</v>
      </c>
      <c r="G383" s="135" t="s">
        <v>398</v>
      </c>
      <c r="H383" s="135"/>
      <c r="I383" s="135"/>
      <c r="J383" s="135"/>
      <c r="K383" s="135"/>
      <c r="L383" s="135"/>
      <c r="M383" s="135"/>
      <c r="N383" s="135"/>
      <c r="O383" s="135"/>
      <c r="P383" s="135"/>
      <c r="Q383" s="135"/>
      <c r="R383" s="135"/>
      <c r="S383" s="135"/>
      <c r="T383" s="135"/>
      <c r="U383" s="135"/>
      <c r="V383" s="135"/>
      <c r="W383" s="135"/>
      <c r="X383" s="135"/>
      <c r="Y383" s="135"/>
      <c r="Z383" s="135">
        <v>10.3</v>
      </c>
      <c r="AA383" s="135">
        <v>3500</v>
      </c>
      <c r="AB383" s="135">
        <v>340</v>
      </c>
      <c r="AC383" s="135">
        <v>2.94</v>
      </c>
      <c r="AD383" s="135">
        <v>10.7</v>
      </c>
      <c r="AE383" s="135">
        <v>9750</v>
      </c>
      <c r="AF383" s="135">
        <v>913.9</v>
      </c>
      <c r="AG383" s="135">
        <v>1.0900000000000001</v>
      </c>
      <c r="AH383" s="135">
        <v>10.7</v>
      </c>
      <c r="AI383" s="135">
        <v>4100</v>
      </c>
      <c r="AJ383" s="135">
        <v>384.3</v>
      </c>
      <c r="AK383" s="135">
        <v>2.6</v>
      </c>
      <c r="AL383" s="135">
        <v>10.7</v>
      </c>
      <c r="AM383" s="135">
        <v>5400</v>
      </c>
      <c r="AN383" s="135">
        <v>506.1</v>
      </c>
      <c r="AO383" s="135">
        <v>1.98</v>
      </c>
      <c r="AP383" s="135">
        <v>10.7</v>
      </c>
      <c r="AQ383" s="135">
        <v>18</v>
      </c>
      <c r="AR383" s="135">
        <v>1.7</v>
      </c>
      <c r="AS383" s="135">
        <v>0.59</v>
      </c>
      <c r="AT383" s="135">
        <v>10.7</v>
      </c>
      <c r="AU383" s="135">
        <v>8100</v>
      </c>
      <c r="AV383" s="135">
        <v>759.2</v>
      </c>
      <c r="AW383" s="135">
        <v>1.32</v>
      </c>
      <c r="AX383" s="135"/>
      <c r="AY383" s="135"/>
      <c r="AZ383" s="135"/>
      <c r="BA383" s="135"/>
      <c r="BB383" s="135"/>
      <c r="BC383" s="135"/>
      <c r="BD383" s="135"/>
      <c r="BE383" s="135"/>
      <c r="BF383" s="135"/>
      <c r="BG383" s="135"/>
      <c r="BH383" s="135"/>
      <c r="BI383" s="135"/>
      <c r="BJ383" s="135"/>
      <c r="BK383" s="135"/>
      <c r="BL383" s="135"/>
    </row>
    <row r="384" spans="1:64" x14ac:dyDescent="0.3">
      <c r="A384" s="135">
        <v>2016</v>
      </c>
      <c r="B384" s="135">
        <v>3</v>
      </c>
      <c r="C384" s="135" t="s">
        <v>37</v>
      </c>
      <c r="D384" s="135" t="s">
        <v>829</v>
      </c>
      <c r="E384" s="135" t="s">
        <v>1408</v>
      </c>
      <c r="F384" s="135" t="s">
        <v>37</v>
      </c>
      <c r="G384" s="135" t="s">
        <v>18</v>
      </c>
      <c r="H384" s="135"/>
      <c r="I384" s="135"/>
      <c r="J384" s="135"/>
      <c r="K384" s="135"/>
      <c r="L384" s="135"/>
      <c r="M384" s="135"/>
      <c r="N384" s="135"/>
      <c r="O384" s="135"/>
      <c r="P384" s="135"/>
      <c r="Q384" s="135"/>
      <c r="R384" s="135"/>
      <c r="S384" s="135"/>
      <c r="T384" s="135"/>
      <c r="U384" s="135"/>
      <c r="V384" s="135"/>
      <c r="W384" s="135"/>
      <c r="X384" s="135"/>
      <c r="Y384" s="135"/>
      <c r="Z384" s="135">
        <v>7.1</v>
      </c>
      <c r="AA384" s="135">
        <v>2650</v>
      </c>
      <c r="AB384" s="135">
        <v>373.3</v>
      </c>
      <c r="AC384" s="135">
        <v>2.68</v>
      </c>
      <c r="AD384" s="135">
        <v>7.1</v>
      </c>
      <c r="AE384" s="135">
        <v>5150</v>
      </c>
      <c r="AF384" s="135">
        <v>725.6</v>
      </c>
      <c r="AG384" s="135">
        <v>1.38</v>
      </c>
      <c r="AH384" s="135">
        <v>7.1</v>
      </c>
      <c r="AI384" s="135">
        <v>3300</v>
      </c>
      <c r="AJ384" s="135">
        <v>464.9</v>
      </c>
      <c r="AK384" s="135">
        <v>2.15</v>
      </c>
      <c r="AL384" s="135">
        <v>7.1</v>
      </c>
      <c r="AM384" s="135">
        <v>4500</v>
      </c>
      <c r="AN384" s="135">
        <v>634</v>
      </c>
      <c r="AO384" s="135">
        <v>1.58</v>
      </c>
      <c r="AP384" s="135">
        <v>7.1</v>
      </c>
      <c r="AQ384" s="135">
        <v>13</v>
      </c>
      <c r="AR384" s="135">
        <v>1.8</v>
      </c>
      <c r="AS384" s="135">
        <v>0.55000000000000004</v>
      </c>
      <c r="AT384" s="135">
        <v>7.1</v>
      </c>
      <c r="AU384" s="135">
        <v>6400</v>
      </c>
      <c r="AV384" s="135">
        <v>901.7</v>
      </c>
      <c r="AW384" s="135">
        <v>1.1100000000000001</v>
      </c>
      <c r="AX384" s="135"/>
      <c r="AY384" s="135"/>
      <c r="AZ384" s="135"/>
      <c r="BA384" s="135"/>
      <c r="BB384" s="135"/>
      <c r="BC384" s="135"/>
      <c r="BD384" s="135"/>
      <c r="BE384" s="135"/>
      <c r="BF384" s="135"/>
      <c r="BG384" s="135"/>
      <c r="BH384" s="135"/>
      <c r="BI384" s="135"/>
      <c r="BJ384" s="135"/>
      <c r="BK384" s="135"/>
      <c r="BL384" s="135"/>
    </row>
    <row r="385" spans="1:64" x14ac:dyDescent="0.3">
      <c r="A385" s="135">
        <v>2016</v>
      </c>
      <c r="B385" s="135">
        <v>3</v>
      </c>
      <c r="C385" s="135" t="s">
        <v>409</v>
      </c>
      <c r="D385" s="135" t="s">
        <v>859</v>
      </c>
      <c r="E385" s="135" t="s">
        <v>1408</v>
      </c>
      <c r="F385" s="135" t="s">
        <v>409</v>
      </c>
      <c r="G385" s="135" t="s">
        <v>2005</v>
      </c>
      <c r="H385" s="135"/>
      <c r="I385" s="135"/>
      <c r="J385" s="135"/>
      <c r="K385" s="135"/>
      <c r="L385" s="135"/>
      <c r="M385" s="135"/>
      <c r="N385" s="135"/>
      <c r="O385" s="135"/>
      <c r="P385" s="135"/>
      <c r="Q385" s="135"/>
      <c r="R385" s="135"/>
      <c r="S385" s="135"/>
      <c r="T385" s="135"/>
      <c r="U385" s="135"/>
      <c r="V385" s="135"/>
      <c r="W385" s="135"/>
      <c r="X385" s="135"/>
      <c r="Y385" s="135"/>
      <c r="Z385" s="135">
        <v>7</v>
      </c>
      <c r="AA385" s="135">
        <v>2950</v>
      </c>
      <c r="AB385" s="135">
        <v>418.6</v>
      </c>
      <c r="AC385" s="135">
        <v>2.39</v>
      </c>
      <c r="AD385" s="135">
        <v>7</v>
      </c>
      <c r="AE385" s="135">
        <v>3000</v>
      </c>
      <c r="AF385" s="135">
        <v>425.7</v>
      </c>
      <c r="AG385" s="135">
        <v>2.35</v>
      </c>
      <c r="AH385" s="135">
        <v>7</v>
      </c>
      <c r="AI385" s="135">
        <v>4500</v>
      </c>
      <c r="AJ385" s="135">
        <v>638.5</v>
      </c>
      <c r="AK385" s="135">
        <v>1.57</v>
      </c>
      <c r="AL385" s="135">
        <v>7</v>
      </c>
      <c r="AM385" s="135">
        <v>14</v>
      </c>
      <c r="AN385" s="135">
        <v>2</v>
      </c>
      <c r="AO385" s="135">
        <v>0.5</v>
      </c>
      <c r="AP385" s="135">
        <v>7</v>
      </c>
      <c r="AQ385" s="135">
        <v>5900</v>
      </c>
      <c r="AR385" s="135">
        <v>837.1</v>
      </c>
      <c r="AS385" s="135">
        <v>1.19</v>
      </c>
      <c r="AT385" s="135"/>
      <c r="AU385" s="135"/>
      <c r="AV385" s="135"/>
      <c r="AW385" s="135"/>
      <c r="AX385" s="135"/>
      <c r="AY385" s="135"/>
      <c r="AZ385" s="135"/>
      <c r="BA385" s="135"/>
      <c r="BB385" s="135"/>
      <c r="BC385" s="135"/>
      <c r="BD385" s="135"/>
      <c r="BE385" s="135"/>
      <c r="BF385" s="135"/>
      <c r="BG385" s="135"/>
      <c r="BH385" s="135"/>
      <c r="BI385" s="135"/>
      <c r="BJ385" s="135"/>
      <c r="BK385" s="135"/>
      <c r="BL385" s="13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4"/>
  <sheetViews>
    <sheetView workbookViewId="0">
      <selection activeCell="D10" sqref="D10"/>
    </sheetView>
  </sheetViews>
  <sheetFormatPr defaultRowHeight="14.4" x14ac:dyDescent="0.3"/>
  <cols>
    <col min="1" max="1" width="10.44140625" customWidth="1"/>
    <col min="2" max="2" width="22.21875" bestFit="1" customWidth="1"/>
    <col min="6" max="6" width="9.44140625" customWidth="1"/>
    <col min="7" max="7" width="11.21875" customWidth="1"/>
    <col min="8" max="8" width="10.77734375" customWidth="1"/>
    <col min="9" max="9" width="16" customWidth="1"/>
    <col min="10" max="10" width="12.21875" customWidth="1"/>
    <col min="11" max="11" width="15" customWidth="1"/>
  </cols>
  <sheetData>
    <row r="1" spans="1:11" x14ac:dyDescent="0.3">
      <c r="A1" s="135" t="s">
        <v>417</v>
      </c>
      <c r="B1" s="135" t="s">
        <v>1</v>
      </c>
      <c r="C1" s="135" t="s">
        <v>387</v>
      </c>
      <c r="D1" s="135" t="s">
        <v>1610</v>
      </c>
      <c r="E1" s="135" t="s">
        <v>2287</v>
      </c>
      <c r="F1" s="135" t="s">
        <v>2288</v>
      </c>
      <c r="G1" s="135" t="s">
        <v>2289</v>
      </c>
      <c r="H1" s="135" t="s">
        <v>1593</v>
      </c>
      <c r="I1" s="135" t="s">
        <v>2290</v>
      </c>
      <c r="J1" s="135" t="s">
        <v>2291</v>
      </c>
      <c r="K1" s="135" t="s">
        <v>2292</v>
      </c>
    </row>
    <row r="2" spans="1:11" x14ac:dyDescent="0.3">
      <c r="A2" s="135" t="s">
        <v>1408</v>
      </c>
      <c r="B2" s="135" t="s">
        <v>838</v>
      </c>
      <c r="C2" s="135" t="s">
        <v>18</v>
      </c>
      <c r="D2" s="135" t="s">
        <v>14</v>
      </c>
      <c r="E2" s="135">
        <v>11</v>
      </c>
      <c r="F2" s="135">
        <v>2700</v>
      </c>
      <c r="G2" s="135">
        <v>3500</v>
      </c>
      <c r="H2" s="135">
        <v>7</v>
      </c>
      <c r="I2" s="135">
        <v>800</v>
      </c>
      <c r="J2" s="135">
        <v>2400</v>
      </c>
      <c r="K2" s="135">
        <v>1100</v>
      </c>
    </row>
    <row r="3" spans="1:11" x14ac:dyDescent="0.3">
      <c r="A3" s="135" t="s">
        <v>396</v>
      </c>
      <c r="B3" s="135" t="s">
        <v>173</v>
      </c>
      <c r="C3" s="135" t="s">
        <v>26</v>
      </c>
      <c r="D3" s="135" t="s">
        <v>2298</v>
      </c>
      <c r="E3" s="135">
        <v>20</v>
      </c>
      <c r="F3" s="135">
        <v>4600</v>
      </c>
      <c r="G3" s="135">
        <v>7300</v>
      </c>
      <c r="H3" s="135">
        <v>14.6</v>
      </c>
      <c r="I3" s="135">
        <v>2700</v>
      </c>
      <c r="J3" s="135">
        <v>6200</v>
      </c>
      <c r="K3" s="135">
        <v>1100</v>
      </c>
    </row>
    <row r="4" spans="1:11" x14ac:dyDescent="0.3">
      <c r="A4" s="135" t="s">
        <v>399</v>
      </c>
      <c r="B4" s="135" t="s">
        <v>328</v>
      </c>
      <c r="C4" s="135" t="s">
        <v>7</v>
      </c>
      <c r="D4" s="135" t="s">
        <v>2305</v>
      </c>
      <c r="E4" s="135">
        <v>26</v>
      </c>
      <c r="F4" s="135">
        <v>3800</v>
      </c>
      <c r="G4" s="135">
        <v>4000</v>
      </c>
      <c r="H4" s="135">
        <v>8</v>
      </c>
      <c r="I4" s="135">
        <v>200</v>
      </c>
      <c r="J4" s="135">
        <v>3000</v>
      </c>
      <c r="K4" s="135">
        <v>1000</v>
      </c>
    </row>
    <row r="5" spans="1:11" x14ac:dyDescent="0.3">
      <c r="A5" s="135" t="s">
        <v>394</v>
      </c>
      <c r="B5" s="135" t="s">
        <v>145</v>
      </c>
      <c r="C5" s="135" t="s">
        <v>7</v>
      </c>
      <c r="D5" s="135" t="s">
        <v>2305</v>
      </c>
      <c r="E5" s="135">
        <v>2</v>
      </c>
      <c r="F5" s="135">
        <v>3700</v>
      </c>
      <c r="G5" s="135">
        <v>6000</v>
      </c>
      <c r="H5" s="135">
        <v>12</v>
      </c>
      <c r="I5" s="135">
        <v>2300</v>
      </c>
      <c r="J5" s="135">
        <v>5000</v>
      </c>
      <c r="K5" s="135">
        <v>1000</v>
      </c>
    </row>
    <row r="6" spans="1:11" x14ac:dyDescent="0.3">
      <c r="A6" s="135" t="s">
        <v>396</v>
      </c>
      <c r="B6" s="135" t="s">
        <v>218</v>
      </c>
      <c r="C6" s="135" t="s">
        <v>41</v>
      </c>
      <c r="D6" s="135" t="s">
        <v>37</v>
      </c>
      <c r="E6" s="135">
        <v>12</v>
      </c>
      <c r="F6" s="135">
        <v>4800</v>
      </c>
      <c r="G6" s="135">
        <v>6100</v>
      </c>
      <c r="H6" s="135">
        <v>12.2</v>
      </c>
      <c r="I6" s="135">
        <v>1300</v>
      </c>
      <c r="J6" s="135">
        <v>5100</v>
      </c>
      <c r="K6" s="135">
        <v>1000</v>
      </c>
    </row>
    <row r="7" spans="1:11" x14ac:dyDescent="0.3">
      <c r="A7" s="135" t="s">
        <v>396</v>
      </c>
      <c r="B7" s="135" t="s">
        <v>479</v>
      </c>
      <c r="C7" s="135" t="s">
        <v>14</v>
      </c>
      <c r="D7" s="135" t="s">
        <v>2310</v>
      </c>
      <c r="E7" s="135">
        <v>26</v>
      </c>
      <c r="F7" s="135">
        <v>3000</v>
      </c>
      <c r="G7" s="135">
        <v>4300</v>
      </c>
      <c r="H7" s="135">
        <v>8.6</v>
      </c>
      <c r="I7" s="135">
        <v>1300</v>
      </c>
      <c r="J7" s="135">
        <v>3400</v>
      </c>
      <c r="K7" s="135">
        <v>900</v>
      </c>
    </row>
    <row r="8" spans="1:11" x14ac:dyDescent="0.3">
      <c r="A8" s="135" t="s">
        <v>1408</v>
      </c>
      <c r="B8" s="135" t="s">
        <v>839</v>
      </c>
      <c r="C8" s="135" t="s">
        <v>26</v>
      </c>
      <c r="D8" s="135" t="s">
        <v>2298</v>
      </c>
      <c r="E8" s="135">
        <v>20</v>
      </c>
      <c r="F8" s="135">
        <v>2500</v>
      </c>
      <c r="G8" s="135">
        <v>3100</v>
      </c>
      <c r="H8" s="135">
        <v>6.2</v>
      </c>
      <c r="I8" s="135">
        <v>600</v>
      </c>
      <c r="J8" s="135">
        <v>2400</v>
      </c>
      <c r="K8" s="135">
        <v>700</v>
      </c>
    </row>
    <row r="9" spans="1:11" x14ac:dyDescent="0.3">
      <c r="A9" s="135" t="s">
        <v>394</v>
      </c>
      <c r="B9" s="135" t="s">
        <v>114</v>
      </c>
      <c r="C9" s="135" t="s">
        <v>401</v>
      </c>
      <c r="D9" s="135" t="s">
        <v>70</v>
      </c>
      <c r="E9" s="135">
        <v>21</v>
      </c>
      <c r="F9" s="135">
        <v>4400</v>
      </c>
      <c r="G9" s="135">
        <v>5600</v>
      </c>
      <c r="H9" s="135">
        <v>11.2</v>
      </c>
      <c r="I9" s="135">
        <v>1200</v>
      </c>
      <c r="J9" s="135">
        <v>4900</v>
      </c>
      <c r="K9" s="135">
        <v>700</v>
      </c>
    </row>
    <row r="10" spans="1:11" x14ac:dyDescent="0.3">
      <c r="A10" s="135" t="s">
        <v>396</v>
      </c>
      <c r="B10" s="135" t="s">
        <v>241</v>
      </c>
      <c r="C10" s="135" t="s">
        <v>407</v>
      </c>
      <c r="D10" s="135" t="s">
        <v>404</v>
      </c>
      <c r="E10" s="135">
        <v>15</v>
      </c>
      <c r="F10" s="135">
        <v>4100</v>
      </c>
      <c r="G10" s="135">
        <v>5900</v>
      </c>
      <c r="H10" s="135">
        <v>11.8</v>
      </c>
      <c r="I10" s="135">
        <v>1800</v>
      </c>
      <c r="J10" s="135">
        <v>5200</v>
      </c>
      <c r="K10" s="135">
        <v>700</v>
      </c>
    </row>
    <row r="11" spans="1:11" x14ac:dyDescent="0.3">
      <c r="A11" s="135" t="s">
        <v>396</v>
      </c>
      <c r="B11" s="135" t="s">
        <v>240</v>
      </c>
      <c r="C11" s="135" t="s">
        <v>52</v>
      </c>
      <c r="D11" s="135" t="s">
        <v>2309</v>
      </c>
      <c r="E11" s="135">
        <v>19</v>
      </c>
      <c r="F11" s="135">
        <v>3200</v>
      </c>
      <c r="G11" s="135">
        <v>3900</v>
      </c>
      <c r="H11" s="135">
        <v>7.8</v>
      </c>
      <c r="I11" s="135">
        <v>700</v>
      </c>
      <c r="J11" s="135">
        <v>3200</v>
      </c>
      <c r="K11" s="135">
        <v>700</v>
      </c>
    </row>
    <row r="12" spans="1:11" x14ac:dyDescent="0.3">
      <c r="A12" s="135" t="s">
        <v>394</v>
      </c>
      <c r="B12" s="135" t="s">
        <v>101</v>
      </c>
      <c r="C12" s="135" t="s">
        <v>402</v>
      </c>
      <c r="D12" s="135" t="s">
        <v>10</v>
      </c>
      <c r="E12" s="135">
        <v>24</v>
      </c>
      <c r="F12" s="135">
        <v>3700</v>
      </c>
      <c r="G12" s="135">
        <v>5000</v>
      </c>
      <c r="H12" s="135">
        <v>10</v>
      </c>
      <c r="I12" s="135">
        <v>1300</v>
      </c>
      <c r="J12" s="135">
        <v>4400</v>
      </c>
      <c r="K12" s="135">
        <v>600</v>
      </c>
    </row>
    <row r="13" spans="1:11" x14ac:dyDescent="0.3">
      <c r="A13" s="135" t="s">
        <v>394</v>
      </c>
      <c r="B13" s="135" t="s">
        <v>127</v>
      </c>
      <c r="C13" s="135" t="s">
        <v>37</v>
      </c>
      <c r="D13" s="135" t="s">
        <v>2304</v>
      </c>
      <c r="E13" s="135">
        <v>18</v>
      </c>
      <c r="F13" s="135">
        <v>3800</v>
      </c>
      <c r="G13" s="135">
        <v>4300</v>
      </c>
      <c r="H13" s="135">
        <v>8.6</v>
      </c>
      <c r="I13" s="135">
        <v>500</v>
      </c>
      <c r="J13" s="135">
        <v>3700</v>
      </c>
      <c r="K13" s="135">
        <v>600</v>
      </c>
    </row>
    <row r="14" spans="1:11" x14ac:dyDescent="0.3">
      <c r="A14" s="135" t="s">
        <v>1408</v>
      </c>
      <c r="B14" s="135" t="s">
        <v>855</v>
      </c>
      <c r="C14" s="135" t="s">
        <v>41</v>
      </c>
      <c r="D14" s="135" t="s">
        <v>37</v>
      </c>
      <c r="E14" s="135">
        <v>26</v>
      </c>
      <c r="F14" s="135">
        <v>3100</v>
      </c>
      <c r="G14" s="135">
        <v>3600</v>
      </c>
      <c r="H14" s="135">
        <v>7.2</v>
      </c>
      <c r="I14" s="135">
        <v>500</v>
      </c>
      <c r="J14" s="135">
        <v>3100</v>
      </c>
      <c r="K14" s="135">
        <v>500</v>
      </c>
    </row>
    <row r="15" spans="1:11" x14ac:dyDescent="0.3">
      <c r="A15" s="135" t="s">
        <v>396</v>
      </c>
      <c r="B15" s="135" t="s">
        <v>194</v>
      </c>
      <c r="C15" s="135" t="s">
        <v>12</v>
      </c>
      <c r="D15" s="135" t="s">
        <v>16</v>
      </c>
      <c r="E15" s="135">
        <v>5</v>
      </c>
      <c r="F15" s="135">
        <v>8300</v>
      </c>
      <c r="G15" s="135">
        <v>8000</v>
      </c>
      <c r="H15" s="135">
        <v>16</v>
      </c>
      <c r="I15" s="135">
        <v>-300</v>
      </c>
      <c r="J15" s="135">
        <v>7500</v>
      </c>
      <c r="K15" s="135">
        <v>500</v>
      </c>
    </row>
    <row r="16" spans="1:11" x14ac:dyDescent="0.3">
      <c r="A16" s="135" t="s">
        <v>396</v>
      </c>
      <c r="B16" s="135" t="s">
        <v>463</v>
      </c>
      <c r="C16" s="135" t="s">
        <v>43</v>
      </c>
      <c r="D16" s="135" t="s">
        <v>30</v>
      </c>
      <c r="E16" s="135">
        <v>13</v>
      </c>
      <c r="F16" s="135">
        <v>3700</v>
      </c>
      <c r="G16" s="135">
        <v>5300</v>
      </c>
      <c r="H16" s="135">
        <v>10.6</v>
      </c>
      <c r="I16" s="135">
        <v>1600</v>
      </c>
      <c r="J16" s="135">
        <v>4800</v>
      </c>
      <c r="K16" s="135">
        <v>500</v>
      </c>
    </row>
    <row r="17" spans="1:11" x14ac:dyDescent="0.3">
      <c r="A17" s="135" t="s">
        <v>394</v>
      </c>
      <c r="B17" s="135" t="s">
        <v>128</v>
      </c>
      <c r="C17" s="135" t="s">
        <v>30</v>
      </c>
      <c r="D17" s="135" t="s">
        <v>2302</v>
      </c>
      <c r="E17" s="135">
        <v>10</v>
      </c>
      <c r="F17" s="135">
        <v>5300</v>
      </c>
      <c r="G17" s="135">
        <v>6800</v>
      </c>
      <c r="H17" s="135">
        <v>13.6</v>
      </c>
      <c r="I17" s="135">
        <v>1500</v>
      </c>
      <c r="J17" s="135">
        <v>6300</v>
      </c>
      <c r="K17" s="135">
        <v>500</v>
      </c>
    </row>
    <row r="18" spans="1:11" x14ac:dyDescent="0.3">
      <c r="A18" s="135" t="s">
        <v>399</v>
      </c>
      <c r="B18" s="135" t="s">
        <v>532</v>
      </c>
      <c r="C18" s="135" t="s">
        <v>32</v>
      </c>
      <c r="D18" s="135" t="s">
        <v>4</v>
      </c>
      <c r="E18" s="135">
        <v>20</v>
      </c>
      <c r="F18" s="135">
        <v>2600</v>
      </c>
      <c r="G18" s="135">
        <v>3900</v>
      </c>
      <c r="H18" s="135">
        <v>7.8</v>
      </c>
      <c r="I18" s="135">
        <v>1300</v>
      </c>
      <c r="J18" s="135">
        <v>3400</v>
      </c>
      <c r="K18" s="135">
        <v>500</v>
      </c>
    </row>
    <row r="19" spans="1:11" x14ac:dyDescent="0.3">
      <c r="A19" s="135" t="s">
        <v>405</v>
      </c>
      <c r="B19" s="135" t="s">
        <v>25</v>
      </c>
      <c r="C19" s="135" t="s">
        <v>26</v>
      </c>
      <c r="D19" s="135" t="s">
        <v>2298</v>
      </c>
      <c r="E19" s="135">
        <v>22</v>
      </c>
      <c r="F19" s="135">
        <v>7200</v>
      </c>
      <c r="G19" s="135">
        <v>7300</v>
      </c>
      <c r="H19" s="135">
        <v>14.6</v>
      </c>
      <c r="I19" s="135">
        <v>100</v>
      </c>
      <c r="J19" s="135">
        <v>6800</v>
      </c>
      <c r="K19" s="135">
        <v>500</v>
      </c>
    </row>
    <row r="20" spans="1:11" x14ac:dyDescent="0.3">
      <c r="A20" s="135" t="s">
        <v>394</v>
      </c>
      <c r="B20" s="135" t="s">
        <v>119</v>
      </c>
      <c r="C20" s="135" t="s">
        <v>407</v>
      </c>
      <c r="D20" s="135" t="s">
        <v>404</v>
      </c>
      <c r="E20" s="135">
        <v>32</v>
      </c>
      <c r="F20" s="135">
        <v>4600</v>
      </c>
      <c r="G20" s="135">
        <v>6300</v>
      </c>
      <c r="H20" s="135">
        <v>12.6</v>
      </c>
      <c r="I20" s="135">
        <v>1700</v>
      </c>
      <c r="J20" s="135">
        <v>5800</v>
      </c>
      <c r="K20" s="135">
        <v>500</v>
      </c>
    </row>
    <row r="21" spans="1:11" x14ac:dyDescent="0.3">
      <c r="A21" s="135" t="s">
        <v>1408</v>
      </c>
      <c r="B21" s="135" t="s">
        <v>828</v>
      </c>
      <c r="C21" s="135" t="s">
        <v>50</v>
      </c>
      <c r="D21" s="135" t="s">
        <v>22</v>
      </c>
      <c r="E21" s="135">
        <v>14</v>
      </c>
      <c r="F21" s="135">
        <v>2800</v>
      </c>
      <c r="G21" s="135">
        <v>2400</v>
      </c>
      <c r="H21" s="135">
        <v>4.8</v>
      </c>
      <c r="I21" s="135">
        <v>-400</v>
      </c>
      <c r="J21" s="135">
        <v>2000</v>
      </c>
      <c r="K21" s="135">
        <v>400</v>
      </c>
    </row>
    <row r="22" spans="1:11" x14ac:dyDescent="0.3">
      <c r="A22" s="135" t="s">
        <v>1408</v>
      </c>
      <c r="B22" s="135" t="s">
        <v>846</v>
      </c>
      <c r="C22" s="135" t="s">
        <v>52</v>
      </c>
      <c r="D22" s="135" t="s">
        <v>2309</v>
      </c>
      <c r="E22" s="135">
        <v>10</v>
      </c>
      <c r="F22" s="135">
        <v>2500</v>
      </c>
      <c r="G22" s="135">
        <v>2900</v>
      </c>
      <c r="H22" s="135">
        <v>5.8</v>
      </c>
      <c r="I22" s="135">
        <v>400</v>
      </c>
      <c r="J22" s="135">
        <v>2500</v>
      </c>
      <c r="K22" s="135">
        <v>400</v>
      </c>
    </row>
    <row r="23" spans="1:11" x14ac:dyDescent="0.3">
      <c r="A23" s="135" t="s">
        <v>1408</v>
      </c>
      <c r="B23" s="135" t="s">
        <v>842</v>
      </c>
      <c r="C23" s="135" t="s">
        <v>28</v>
      </c>
      <c r="D23" s="135" t="s">
        <v>57</v>
      </c>
      <c r="E23" s="135">
        <v>25</v>
      </c>
      <c r="F23" s="135">
        <v>3000</v>
      </c>
      <c r="G23" s="135">
        <v>3200</v>
      </c>
      <c r="H23" s="135">
        <v>6.4</v>
      </c>
      <c r="I23" s="135">
        <v>200</v>
      </c>
      <c r="J23" s="135">
        <v>2800</v>
      </c>
      <c r="K23" s="135">
        <v>400</v>
      </c>
    </row>
    <row r="24" spans="1:11" x14ac:dyDescent="0.3">
      <c r="A24" s="135" t="s">
        <v>394</v>
      </c>
      <c r="B24" s="135" t="s">
        <v>102</v>
      </c>
      <c r="C24" s="135" t="s">
        <v>28</v>
      </c>
      <c r="D24" s="135" t="s">
        <v>57</v>
      </c>
      <c r="E24" s="135">
        <v>13</v>
      </c>
      <c r="F24" s="135">
        <v>4600</v>
      </c>
      <c r="G24" s="135">
        <v>4100</v>
      </c>
      <c r="H24" s="135">
        <v>8.1999999999999993</v>
      </c>
      <c r="I24" s="135">
        <v>-500</v>
      </c>
      <c r="J24" s="135">
        <v>3700</v>
      </c>
      <c r="K24" s="135">
        <v>400</v>
      </c>
    </row>
    <row r="25" spans="1:11" x14ac:dyDescent="0.3">
      <c r="A25" s="135" t="s">
        <v>394</v>
      </c>
      <c r="B25" s="135" t="s">
        <v>113</v>
      </c>
      <c r="C25" s="135" t="s">
        <v>28</v>
      </c>
      <c r="D25" s="135" t="s">
        <v>57</v>
      </c>
      <c r="E25" s="135">
        <v>13</v>
      </c>
      <c r="F25" s="135">
        <v>4800</v>
      </c>
      <c r="G25" s="135">
        <v>4700</v>
      </c>
      <c r="H25" s="135">
        <v>9.4</v>
      </c>
      <c r="I25" s="135">
        <v>-100</v>
      </c>
      <c r="J25" s="135">
        <v>4300</v>
      </c>
      <c r="K25" s="135">
        <v>400</v>
      </c>
    </row>
    <row r="26" spans="1:11" x14ac:dyDescent="0.3">
      <c r="A26" s="135" t="s">
        <v>405</v>
      </c>
      <c r="B26" s="135" t="s">
        <v>27</v>
      </c>
      <c r="C26" s="135" t="s">
        <v>28</v>
      </c>
      <c r="D26" s="135" t="s">
        <v>57</v>
      </c>
      <c r="E26" s="135">
        <v>18</v>
      </c>
      <c r="F26" s="135">
        <v>6800</v>
      </c>
      <c r="G26" s="135">
        <v>6100</v>
      </c>
      <c r="H26" s="135">
        <v>12.2</v>
      </c>
      <c r="I26" s="135">
        <v>-700</v>
      </c>
      <c r="J26" s="135">
        <v>5700</v>
      </c>
      <c r="K26" s="135">
        <v>400</v>
      </c>
    </row>
    <row r="27" spans="1:11" x14ac:dyDescent="0.3">
      <c r="A27" s="135" t="s">
        <v>396</v>
      </c>
      <c r="B27" s="135" t="s">
        <v>195</v>
      </c>
      <c r="C27" s="135" t="s">
        <v>28</v>
      </c>
      <c r="D27" s="135" t="s">
        <v>57</v>
      </c>
      <c r="E27" s="135">
        <v>31</v>
      </c>
      <c r="F27" s="135">
        <v>8400</v>
      </c>
      <c r="G27" s="135">
        <v>8500</v>
      </c>
      <c r="H27" s="135">
        <v>17</v>
      </c>
      <c r="I27" s="135">
        <v>100</v>
      </c>
      <c r="J27" s="135">
        <v>8100</v>
      </c>
      <c r="K27" s="135">
        <v>400</v>
      </c>
    </row>
    <row r="28" spans="1:11" x14ac:dyDescent="0.3">
      <c r="A28" s="135" t="s">
        <v>394</v>
      </c>
      <c r="B28" s="135" t="s">
        <v>1245</v>
      </c>
      <c r="C28" s="135" t="s">
        <v>18</v>
      </c>
      <c r="D28" s="135" t="s">
        <v>14</v>
      </c>
      <c r="E28" s="135">
        <v>16</v>
      </c>
      <c r="F28" s="135">
        <v>4300</v>
      </c>
      <c r="G28" s="135">
        <v>3400</v>
      </c>
      <c r="H28" s="135">
        <v>6.8</v>
      </c>
      <c r="I28" s="135">
        <v>-900</v>
      </c>
      <c r="J28" s="135">
        <v>3000</v>
      </c>
      <c r="K28" s="135">
        <v>400</v>
      </c>
    </row>
    <row r="29" spans="1:11" x14ac:dyDescent="0.3">
      <c r="A29" s="135" t="s">
        <v>396</v>
      </c>
      <c r="B29" s="135" t="s">
        <v>238</v>
      </c>
      <c r="C29" s="135" t="s">
        <v>18</v>
      </c>
      <c r="D29" s="135" t="s">
        <v>14</v>
      </c>
      <c r="E29" s="135">
        <v>30</v>
      </c>
      <c r="F29" s="135">
        <v>3800</v>
      </c>
      <c r="G29" s="135">
        <v>4200</v>
      </c>
      <c r="H29" s="135">
        <v>8.4</v>
      </c>
      <c r="I29" s="135">
        <v>400</v>
      </c>
      <c r="J29" s="135">
        <v>3800</v>
      </c>
      <c r="K29" s="135">
        <v>400</v>
      </c>
    </row>
    <row r="30" spans="1:11" x14ac:dyDescent="0.3">
      <c r="A30" s="135" t="s">
        <v>394</v>
      </c>
      <c r="B30" s="135" t="s">
        <v>150</v>
      </c>
      <c r="C30" s="135" t="s">
        <v>22</v>
      </c>
      <c r="D30" s="135" t="s">
        <v>2296</v>
      </c>
      <c r="E30" s="135">
        <v>27</v>
      </c>
      <c r="F30" s="135">
        <v>3000</v>
      </c>
      <c r="G30" s="135">
        <v>3400</v>
      </c>
      <c r="H30" s="135">
        <v>6.8</v>
      </c>
      <c r="I30" s="135">
        <v>400</v>
      </c>
      <c r="J30" s="135">
        <v>3000</v>
      </c>
      <c r="K30" s="135">
        <v>400</v>
      </c>
    </row>
    <row r="31" spans="1:11" x14ac:dyDescent="0.3">
      <c r="A31" s="135" t="s">
        <v>396</v>
      </c>
      <c r="B31" s="135" t="s">
        <v>2452</v>
      </c>
      <c r="C31" s="135" t="s">
        <v>32</v>
      </c>
      <c r="D31" s="135" t="s">
        <v>4</v>
      </c>
      <c r="E31" s="135">
        <v>29</v>
      </c>
      <c r="F31" s="135">
        <v>4900</v>
      </c>
      <c r="G31" s="135">
        <v>4500</v>
      </c>
      <c r="H31" s="135">
        <v>9</v>
      </c>
      <c r="I31" s="135">
        <v>-400</v>
      </c>
      <c r="J31" s="135">
        <v>4100</v>
      </c>
      <c r="K31" s="135">
        <v>400</v>
      </c>
    </row>
    <row r="32" spans="1:11" x14ac:dyDescent="0.3">
      <c r="A32" s="135" t="s">
        <v>396</v>
      </c>
      <c r="B32" s="135" t="s">
        <v>204</v>
      </c>
      <c r="C32" s="135" t="s">
        <v>4</v>
      </c>
      <c r="D32" s="135" t="s">
        <v>2297</v>
      </c>
      <c r="E32" s="135">
        <v>17</v>
      </c>
      <c r="F32" s="135">
        <v>5500</v>
      </c>
      <c r="G32" s="135">
        <v>6400</v>
      </c>
      <c r="H32" s="135">
        <v>12.8</v>
      </c>
      <c r="I32" s="135">
        <v>900</v>
      </c>
      <c r="J32" s="135">
        <v>6000</v>
      </c>
      <c r="K32" s="135">
        <v>400</v>
      </c>
    </row>
    <row r="33" spans="1:11" x14ac:dyDescent="0.3">
      <c r="A33" s="135" t="s">
        <v>394</v>
      </c>
      <c r="B33" s="135" t="s">
        <v>464</v>
      </c>
      <c r="C33" s="135" t="s">
        <v>46</v>
      </c>
      <c r="D33" s="135" t="s">
        <v>26</v>
      </c>
      <c r="E33" s="135">
        <v>11</v>
      </c>
      <c r="F33" s="135">
        <v>3700</v>
      </c>
      <c r="G33" s="135">
        <v>3700</v>
      </c>
      <c r="H33" s="135">
        <v>7.4</v>
      </c>
      <c r="I33" s="135">
        <v>0</v>
      </c>
      <c r="J33" s="135">
        <v>3300</v>
      </c>
      <c r="K33" s="135">
        <v>400</v>
      </c>
    </row>
    <row r="34" spans="1:11" x14ac:dyDescent="0.3">
      <c r="A34" s="135" t="s">
        <v>396</v>
      </c>
      <c r="B34" s="135" t="s">
        <v>203</v>
      </c>
      <c r="C34" s="135" t="s">
        <v>70</v>
      </c>
      <c r="D34" s="135" t="s">
        <v>2005</v>
      </c>
      <c r="E34" s="135">
        <v>24</v>
      </c>
      <c r="F34" s="135">
        <v>5700</v>
      </c>
      <c r="G34" s="135">
        <v>6400</v>
      </c>
      <c r="H34" s="135">
        <v>12.8</v>
      </c>
      <c r="I34" s="135">
        <v>700</v>
      </c>
      <c r="J34" s="135">
        <v>6000</v>
      </c>
      <c r="K34" s="135">
        <v>400</v>
      </c>
    </row>
    <row r="35" spans="1:11" x14ac:dyDescent="0.3">
      <c r="A35" s="135" t="s">
        <v>1408</v>
      </c>
      <c r="B35" s="135" t="s">
        <v>854</v>
      </c>
      <c r="C35" s="135" t="s">
        <v>24</v>
      </c>
      <c r="D35" s="135" t="s">
        <v>409</v>
      </c>
      <c r="E35" s="135">
        <v>31</v>
      </c>
      <c r="F35" s="135">
        <v>3500</v>
      </c>
      <c r="G35" s="135">
        <v>3900</v>
      </c>
      <c r="H35" s="135">
        <v>7.8</v>
      </c>
      <c r="I35" s="135">
        <v>400</v>
      </c>
      <c r="J35" s="135">
        <v>3600</v>
      </c>
      <c r="K35" s="135">
        <v>300</v>
      </c>
    </row>
    <row r="36" spans="1:11" x14ac:dyDescent="0.3">
      <c r="A36" s="135" t="s">
        <v>396</v>
      </c>
      <c r="B36" s="135" t="s">
        <v>262</v>
      </c>
      <c r="C36" s="135" t="s">
        <v>57</v>
      </c>
      <c r="D36" s="135" t="s">
        <v>1999</v>
      </c>
      <c r="E36" s="135">
        <v>16</v>
      </c>
      <c r="F36" s="135">
        <v>5300</v>
      </c>
      <c r="G36" s="135">
        <v>5200</v>
      </c>
      <c r="H36" s="135">
        <v>10.4</v>
      </c>
      <c r="I36" s="135">
        <v>-100</v>
      </c>
      <c r="J36" s="135">
        <v>4900</v>
      </c>
      <c r="K36" s="135">
        <v>300</v>
      </c>
    </row>
    <row r="37" spans="1:11" x14ac:dyDescent="0.3">
      <c r="A37" s="135" t="s">
        <v>396</v>
      </c>
      <c r="B37" s="135" t="s">
        <v>205</v>
      </c>
      <c r="C37" s="135" t="s">
        <v>57</v>
      </c>
      <c r="D37" s="135" t="s">
        <v>1999</v>
      </c>
      <c r="E37" s="135">
        <v>16</v>
      </c>
      <c r="F37" s="135">
        <v>6000</v>
      </c>
      <c r="G37" s="135">
        <v>6900</v>
      </c>
      <c r="H37" s="135">
        <v>13.8</v>
      </c>
      <c r="I37" s="135">
        <v>900</v>
      </c>
      <c r="J37" s="135">
        <v>6600</v>
      </c>
      <c r="K37" s="135">
        <v>300</v>
      </c>
    </row>
    <row r="38" spans="1:11" x14ac:dyDescent="0.3">
      <c r="A38" s="135" t="s">
        <v>396</v>
      </c>
      <c r="B38" s="135" t="s">
        <v>283</v>
      </c>
      <c r="C38" s="135" t="s">
        <v>16</v>
      </c>
      <c r="D38" s="135" t="s">
        <v>1980</v>
      </c>
      <c r="E38" s="135">
        <v>22</v>
      </c>
      <c r="F38" s="135">
        <v>4500</v>
      </c>
      <c r="G38" s="135">
        <v>4700</v>
      </c>
      <c r="H38" s="135">
        <v>9.4</v>
      </c>
      <c r="I38" s="135">
        <v>200</v>
      </c>
      <c r="J38" s="135">
        <v>4400</v>
      </c>
      <c r="K38" s="135">
        <v>300</v>
      </c>
    </row>
    <row r="39" spans="1:11" x14ac:dyDescent="0.3">
      <c r="A39" s="135" t="s">
        <v>396</v>
      </c>
      <c r="B39" s="135" t="s">
        <v>519</v>
      </c>
      <c r="C39" s="135" t="s">
        <v>30</v>
      </c>
      <c r="D39" s="135" t="s">
        <v>2302</v>
      </c>
      <c r="E39" s="135">
        <v>6</v>
      </c>
      <c r="F39" s="135">
        <v>3000</v>
      </c>
      <c r="G39" s="135">
        <v>5000</v>
      </c>
      <c r="H39" s="135">
        <v>10</v>
      </c>
      <c r="I39" s="135">
        <v>2000</v>
      </c>
      <c r="J39" s="135">
        <v>4700</v>
      </c>
      <c r="K39" s="135">
        <v>300</v>
      </c>
    </row>
    <row r="40" spans="1:11" x14ac:dyDescent="0.3">
      <c r="A40" s="135" t="s">
        <v>396</v>
      </c>
      <c r="B40" s="135" t="s">
        <v>226</v>
      </c>
      <c r="C40" s="135" t="s">
        <v>18</v>
      </c>
      <c r="D40" s="135" t="s">
        <v>14</v>
      </c>
      <c r="E40" s="135">
        <v>30</v>
      </c>
      <c r="F40" s="135">
        <v>6100</v>
      </c>
      <c r="G40" s="135">
        <v>6200</v>
      </c>
      <c r="H40" s="135">
        <v>12.4</v>
      </c>
      <c r="I40" s="135">
        <v>100</v>
      </c>
      <c r="J40" s="135">
        <v>5900</v>
      </c>
      <c r="K40" s="135">
        <v>300</v>
      </c>
    </row>
    <row r="41" spans="1:11" x14ac:dyDescent="0.3">
      <c r="A41" s="135" t="s">
        <v>394</v>
      </c>
      <c r="B41" s="135" t="s">
        <v>467</v>
      </c>
      <c r="C41" s="135" t="s">
        <v>32</v>
      </c>
      <c r="D41" s="135" t="s">
        <v>4</v>
      </c>
      <c r="E41" s="135">
        <v>5</v>
      </c>
      <c r="F41" s="135">
        <v>3400</v>
      </c>
      <c r="G41" s="135">
        <v>3300</v>
      </c>
      <c r="H41" s="135">
        <v>6.6</v>
      </c>
      <c r="I41" s="135">
        <v>-100</v>
      </c>
      <c r="J41" s="135">
        <v>3000</v>
      </c>
      <c r="K41" s="135">
        <v>300</v>
      </c>
    </row>
    <row r="42" spans="1:11" x14ac:dyDescent="0.3">
      <c r="A42" s="135" t="s">
        <v>394</v>
      </c>
      <c r="B42" s="135" t="s">
        <v>129</v>
      </c>
      <c r="C42" s="135" t="s">
        <v>26</v>
      </c>
      <c r="D42" s="135" t="s">
        <v>2298</v>
      </c>
      <c r="E42" s="135">
        <v>17</v>
      </c>
      <c r="F42" s="135">
        <v>4000</v>
      </c>
      <c r="G42" s="135">
        <v>5200</v>
      </c>
      <c r="H42" s="135">
        <v>10.4</v>
      </c>
      <c r="I42" s="135">
        <v>1200</v>
      </c>
      <c r="J42" s="135">
        <v>4900</v>
      </c>
      <c r="K42" s="135">
        <v>300</v>
      </c>
    </row>
    <row r="43" spans="1:11" x14ac:dyDescent="0.3">
      <c r="A43" s="135" t="s">
        <v>399</v>
      </c>
      <c r="B43" s="135" t="s">
        <v>340</v>
      </c>
      <c r="C43" s="135" t="s">
        <v>401</v>
      </c>
      <c r="D43" s="135" t="s">
        <v>70</v>
      </c>
      <c r="E43" s="135">
        <v>5</v>
      </c>
      <c r="F43" s="135">
        <v>2900</v>
      </c>
      <c r="G43" s="135">
        <v>2800</v>
      </c>
      <c r="H43" s="135">
        <v>5.6</v>
      </c>
      <c r="I43" s="135">
        <v>-100</v>
      </c>
      <c r="J43" s="135">
        <v>2500</v>
      </c>
      <c r="K43" s="135">
        <v>300</v>
      </c>
    </row>
    <row r="44" spans="1:11" x14ac:dyDescent="0.3">
      <c r="A44" s="135" t="s">
        <v>405</v>
      </c>
      <c r="B44" s="135" t="s">
        <v>1240</v>
      </c>
      <c r="C44" s="135" t="s">
        <v>70</v>
      </c>
      <c r="D44" s="135" t="s">
        <v>2005</v>
      </c>
      <c r="E44" s="135">
        <v>29</v>
      </c>
      <c r="F44" s="135">
        <v>5200</v>
      </c>
      <c r="G44" s="135">
        <v>5400</v>
      </c>
      <c r="H44" s="135">
        <v>10.8</v>
      </c>
      <c r="I44" s="135">
        <v>200</v>
      </c>
      <c r="J44" s="135">
        <v>5100</v>
      </c>
      <c r="K44" s="135">
        <v>300</v>
      </c>
    </row>
    <row r="45" spans="1:11" x14ac:dyDescent="0.3">
      <c r="A45" s="135" t="s">
        <v>396</v>
      </c>
      <c r="B45" s="135" t="s">
        <v>199</v>
      </c>
      <c r="C45" s="135" t="s">
        <v>70</v>
      </c>
      <c r="D45" s="135" t="s">
        <v>2005</v>
      </c>
      <c r="E45" s="135">
        <v>24</v>
      </c>
      <c r="F45" s="135">
        <v>7000</v>
      </c>
      <c r="G45" s="135">
        <v>6700</v>
      </c>
      <c r="H45" s="135">
        <v>13.4</v>
      </c>
      <c r="I45" s="135">
        <v>-300</v>
      </c>
      <c r="J45" s="135">
        <v>6400</v>
      </c>
      <c r="K45" s="135">
        <v>300</v>
      </c>
    </row>
    <row r="46" spans="1:11" x14ac:dyDescent="0.3">
      <c r="A46" s="135" t="s">
        <v>396</v>
      </c>
      <c r="B46" s="135" t="s">
        <v>193</v>
      </c>
      <c r="C46" s="135" t="s">
        <v>24</v>
      </c>
      <c r="D46" s="135" t="s">
        <v>409</v>
      </c>
      <c r="E46" s="135">
        <v>21</v>
      </c>
      <c r="F46" s="135">
        <v>6300</v>
      </c>
      <c r="G46" s="135">
        <v>7200</v>
      </c>
      <c r="H46" s="135">
        <v>14.4</v>
      </c>
      <c r="I46" s="135">
        <v>900</v>
      </c>
      <c r="J46" s="135">
        <v>6900</v>
      </c>
      <c r="K46" s="135">
        <v>300</v>
      </c>
    </row>
    <row r="47" spans="1:11" x14ac:dyDescent="0.3">
      <c r="A47" s="135" t="s">
        <v>394</v>
      </c>
      <c r="B47" s="135" t="s">
        <v>161</v>
      </c>
      <c r="C47" s="135" t="s">
        <v>41</v>
      </c>
      <c r="D47" s="135" t="s">
        <v>37</v>
      </c>
      <c r="E47" s="135">
        <v>3</v>
      </c>
      <c r="F47" s="135">
        <v>3300</v>
      </c>
      <c r="G47" s="135">
        <v>3300</v>
      </c>
      <c r="H47" s="135">
        <v>6.6</v>
      </c>
      <c r="I47" s="135">
        <v>0</v>
      </c>
      <c r="J47" s="135">
        <v>3000</v>
      </c>
      <c r="K47" s="135">
        <v>300</v>
      </c>
    </row>
    <row r="48" spans="1:11" x14ac:dyDescent="0.3">
      <c r="A48" s="135" t="s">
        <v>399</v>
      </c>
      <c r="B48" s="135" t="s">
        <v>331</v>
      </c>
      <c r="C48" s="135" t="s">
        <v>41</v>
      </c>
      <c r="D48" s="135" t="s">
        <v>37</v>
      </c>
      <c r="E48" s="135">
        <v>14</v>
      </c>
      <c r="F48" s="135">
        <v>3000</v>
      </c>
      <c r="G48" s="135">
        <v>3400</v>
      </c>
      <c r="H48" s="135">
        <v>6.8</v>
      </c>
      <c r="I48" s="135">
        <v>400</v>
      </c>
      <c r="J48" s="135">
        <v>3100</v>
      </c>
      <c r="K48" s="135">
        <v>300</v>
      </c>
    </row>
    <row r="49" spans="1:11" x14ac:dyDescent="0.3">
      <c r="A49" s="135" t="s">
        <v>396</v>
      </c>
      <c r="B49" s="135" t="s">
        <v>454</v>
      </c>
      <c r="C49" s="135" t="s">
        <v>37</v>
      </c>
      <c r="D49" s="135" t="s">
        <v>2304</v>
      </c>
      <c r="E49" s="135">
        <v>8</v>
      </c>
      <c r="F49" s="135">
        <v>4900</v>
      </c>
      <c r="G49" s="135">
        <v>5800</v>
      </c>
      <c r="H49" s="135">
        <v>11.6</v>
      </c>
      <c r="I49" s="135">
        <v>900</v>
      </c>
      <c r="J49" s="135">
        <v>5500</v>
      </c>
      <c r="K49" s="135">
        <v>300</v>
      </c>
    </row>
    <row r="50" spans="1:11" x14ac:dyDescent="0.3">
      <c r="A50" s="135" t="s">
        <v>1408</v>
      </c>
      <c r="B50" s="135" t="s">
        <v>833</v>
      </c>
      <c r="C50" s="135" t="s">
        <v>14</v>
      </c>
      <c r="D50" s="135" t="s">
        <v>2310</v>
      </c>
      <c r="E50" s="135">
        <v>18</v>
      </c>
      <c r="F50" s="135">
        <v>2300</v>
      </c>
      <c r="G50" s="135">
        <v>2500</v>
      </c>
      <c r="H50" s="135">
        <v>5</v>
      </c>
      <c r="I50" s="135">
        <v>200</v>
      </c>
      <c r="J50" s="135">
        <v>2300</v>
      </c>
      <c r="K50" s="135">
        <v>200</v>
      </c>
    </row>
    <row r="51" spans="1:11" x14ac:dyDescent="0.3">
      <c r="A51" s="135" t="s">
        <v>1408</v>
      </c>
      <c r="B51" s="135" t="s">
        <v>844</v>
      </c>
      <c r="C51" s="135" t="s">
        <v>398</v>
      </c>
      <c r="D51" s="135" t="s">
        <v>52</v>
      </c>
      <c r="E51" s="135">
        <v>7</v>
      </c>
      <c r="F51" s="135">
        <v>3100</v>
      </c>
      <c r="G51" s="135">
        <v>2600</v>
      </c>
      <c r="H51" s="135">
        <v>5.2</v>
      </c>
      <c r="I51" s="135">
        <v>-500</v>
      </c>
      <c r="J51" s="135">
        <v>2400</v>
      </c>
      <c r="K51" s="135">
        <v>200</v>
      </c>
    </row>
    <row r="52" spans="1:11" x14ac:dyDescent="0.3">
      <c r="A52" s="135" t="s">
        <v>1408</v>
      </c>
      <c r="B52" s="135" t="s">
        <v>858</v>
      </c>
      <c r="C52" s="135" t="s">
        <v>43</v>
      </c>
      <c r="D52" s="135" t="s">
        <v>30</v>
      </c>
      <c r="E52" s="135">
        <v>29</v>
      </c>
      <c r="F52" s="135">
        <v>3200</v>
      </c>
      <c r="G52" s="135">
        <v>3200</v>
      </c>
      <c r="H52" s="135">
        <v>6.4</v>
      </c>
      <c r="I52" s="135">
        <v>0</v>
      </c>
      <c r="J52" s="135">
        <v>3000</v>
      </c>
      <c r="K52" s="135">
        <v>200</v>
      </c>
    </row>
    <row r="53" spans="1:11" x14ac:dyDescent="0.3">
      <c r="A53" s="135" t="s">
        <v>1408</v>
      </c>
      <c r="B53" s="135" t="s">
        <v>851</v>
      </c>
      <c r="C53" s="135" t="s">
        <v>70</v>
      </c>
      <c r="D53" s="135" t="s">
        <v>2005</v>
      </c>
      <c r="E53" s="135">
        <v>30</v>
      </c>
      <c r="F53" s="135">
        <v>3700</v>
      </c>
      <c r="G53" s="135">
        <v>3700</v>
      </c>
      <c r="H53" s="135">
        <v>7.4</v>
      </c>
      <c r="I53" s="135">
        <v>0</v>
      </c>
      <c r="J53" s="135">
        <v>3500</v>
      </c>
      <c r="K53" s="135">
        <v>200</v>
      </c>
    </row>
    <row r="54" spans="1:11" x14ac:dyDescent="0.3">
      <c r="A54" s="135" t="s">
        <v>394</v>
      </c>
      <c r="B54" s="135" t="s">
        <v>87</v>
      </c>
      <c r="C54" s="135" t="s">
        <v>16</v>
      </c>
      <c r="D54" s="135" t="s">
        <v>1980</v>
      </c>
      <c r="E54" s="135">
        <v>15</v>
      </c>
      <c r="F54" s="135">
        <v>5500</v>
      </c>
      <c r="G54" s="135">
        <v>5200</v>
      </c>
      <c r="H54" s="135">
        <v>10.4</v>
      </c>
      <c r="I54" s="135">
        <v>-300</v>
      </c>
      <c r="J54" s="135">
        <v>5000</v>
      </c>
      <c r="K54" s="135">
        <v>200</v>
      </c>
    </row>
    <row r="55" spans="1:11" x14ac:dyDescent="0.3">
      <c r="A55" s="135" t="s">
        <v>396</v>
      </c>
      <c r="B55" s="135" t="s">
        <v>213</v>
      </c>
      <c r="C55" s="135" t="s">
        <v>16</v>
      </c>
      <c r="D55" s="135" t="s">
        <v>1980</v>
      </c>
      <c r="E55" s="135">
        <v>22</v>
      </c>
      <c r="F55" s="135">
        <v>7500</v>
      </c>
      <c r="G55" s="135">
        <v>7000</v>
      </c>
      <c r="H55" s="135">
        <v>14</v>
      </c>
      <c r="I55" s="135">
        <v>-500</v>
      </c>
      <c r="J55" s="135">
        <v>6800</v>
      </c>
      <c r="K55" s="135">
        <v>200</v>
      </c>
    </row>
    <row r="56" spans="1:11" x14ac:dyDescent="0.3">
      <c r="A56" s="135" t="s">
        <v>394</v>
      </c>
      <c r="B56" s="135" t="s">
        <v>121</v>
      </c>
      <c r="C56" s="135" t="s">
        <v>18</v>
      </c>
      <c r="D56" s="135" t="s">
        <v>14</v>
      </c>
      <c r="E56" s="135">
        <v>16</v>
      </c>
      <c r="F56" s="135">
        <v>4700</v>
      </c>
      <c r="G56" s="135">
        <v>4300</v>
      </c>
      <c r="H56" s="135">
        <v>8.6</v>
      </c>
      <c r="I56" s="135">
        <v>-400</v>
      </c>
      <c r="J56" s="135">
        <v>4100</v>
      </c>
      <c r="K56" s="135">
        <v>200</v>
      </c>
    </row>
    <row r="57" spans="1:11" x14ac:dyDescent="0.3">
      <c r="A57" s="135" t="s">
        <v>396</v>
      </c>
      <c r="B57" s="135" t="s">
        <v>231</v>
      </c>
      <c r="C57" s="135" t="s">
        <v>10</v>
      </c>
      <c r="D57" s="135" t="s">
        <v>1992</v>
      </c>
      <c r="E57" s="135">
        <v>14</v>
      </c>
      <c r="F57" s="135">
        <v>4600</v>
      </c>
      <c r="G57" s="135">
        <v>3400</v>
      </c>
      <c r="H57" s="135">
        <v>6.8</v>
      </c>
      <c r="I57" s="135">
        <v>-1200</v>
      </c>
      <c r="J57" s="135">
        <v>3200</v>
      </c>
      <c r="K57" s="135">
        <v>200</v>
      </c>
    </row>
    <row r="58" spans="1:11" x14ac:dyDescent="0.3">
      <c r="A58" s="135" t="s">
        <v>394</v>
      </c>
      <c r="B58" s="135" t="s">
        <v>93</v>
      </c>
      <c r="C58" s="135" t="s">
        <v>10</v>
      </c>
      <c r="D58" s="135" t="s">
        <v>1992</v>
      </c>
      <c r="E58" s="135">
        <v>14</v>
      </c>
      <c r="F58" s="135">
        <v>6400</v>
      </c>
      <c r="G58" s="135">
        <v>6700</v>
      </c>
      <c r="H58" s="135">
        <v>13.4</v>
      </c>
      <c r="I58" s="135">
        <v>300</v>
      </c>
      <c r="J58" s="135">
        <v>6500</v>
      </c>
      <c r="K58" s="135">
        <v>200</v>
      </c>
    </row>
    <row r="59" spans="1:11" x14ac:dyDescent="0.3">
      <c r="A59" s="135" t="s">
        <v>399</v>
      </c>
      <c r="B59" s="135" t="s">
        <v>335</v>
      </c>
      <c r="C59" s="135" t="s">
        <v>50</v>
      </c>
      <c r="D59" s="135" t="s">
        <v>22</v>
      </c>
      <c r="E59" s="135">
        <v>24</v>
      </c>
      <c r="F59" s="135">
        <v>2800</v>
      </c>
      <c r="G59" s="135">
        <v>3400</v>
      </c>
      <c r="H59" s="135">
        <v>6.8</v>
      </c>
      <c r="I59" s="135">
        <v>600</v>
      </c>
      <c r="J59" s="135">
        <v>3200</v>
      </c>
      <c r="K59" s="135">
        <v>200</v>
      </c>
    </row>
    <row r="60" spans="1:11" x14ac:dyDescent="0.3">
      <c r="A60" s="135" t="s">
        <v>399</v>
      </c>
      <c r="B60" s="135" t="s">
        <v>319</v>
      </c>
      <c r="C60" s="135" t="s">
        <v>22</v>
      </c>
      <c r="D60" s="135" t="s">
        <v>2296</v>
      </c>
      <c r="E60" s="135">
        <v>32</v>
      </c>
      <c r="F60" s="135">
        <v>5100</v>
      </c>
      <c r="G60" s="135">
        <v>6000</v>
      </c>
      <c r="H60" s="135">
        <v>12</v>
      </c>
      <c r="I60" s="135">
        <v>900</v>
      </c>
      <c r="J60" s="135">
        <v>5800</v>
      </c>
      <c r="K60" s="135">
        <v>200</v>
      </c>
    </row>
    <row r="61" spans="1:11" x14ac:dyDescent="0.3">
      <c r="A61" s="135" t="s">
        <v>396</v>
      </c>
      <c r="B61" s="135" t="s">
        <v>275</v>
      </c>
      <c r="C61" s="135" t="s">
        <v>32</v>
      </c>
      <c r="D61" s="135" t="s">
        <v>4</v>
      </c>
      <c r="E61" s="135">
        <v>29</v>
      </c>
      <c r="F61" s="135">
        <v>4200</v>
      </c>
      <c r="G61" s="135">
        <v>5200</v>
      </c>
      <c r="H61" s="135">
        <v>10.4</v>
      </c>
      <c r="I61" s="135">
        <v>1000</v>
      </c>
      <c r="J61" s="135">
        <v>5000</v>
      </c>
      <c r="K61" s="135">
        <v>200</v>
      </c>
    </row>
    <row r="62" spans="1:11" x14ac:dyDescent="0.3">
      <c r="A62" s="135" t="s">
        <v>394</v>
      </c>
      <c r="B62" s="135" t="s">
        <v>520</v>
      </c>
      <c r="C62" s="135" t="s">
        <v>26</v>
      </c>
      <c r="D62" s="135" t="s">
        <v>2298</v>
      </c>
      <c r="E62" s="135">
        <v>17</v>
      </c>
      <c r="F62" s="135">
        <v>3000</v>
      </c>
      <c r="G62" s="135">
        <v>3800</v>
      </c>
      <c r="H62" s="135">
        <v>7.6</v>
      </c>
      <c r="I62" s="135">
        <v>800</v>
      </c>
      <c r="J62" s="135">
        <v>3600</v>
      </c>
      <c r="K62" s="135">
        <v>200</v>
      </c>
    </row>
    <row r="63" spans="1:11" x14ac:dyDescent="0.3">
      <c r="A63" s="135" t="s">
        <v>399</v>
      </c>
      <c r="B63" s="135" t="s">
        <v>559</v>
      </c>
      <c r="C63" s="135" t="s">
        <v>407</v>
      </c>
      <c r="D63" s="135" t="s">
        <v>404</v>
      </c>
      <c r="E63" s="135">
        <v>3</v>
      </c>
      <c r="F63" s="135">
        <v>2500</v>
      </c>
      <c r="G63" s="135">
        <v>2700</v>
      </c>
      <c r="H63" s="135">
        <v>5.4</v>
      </c>
      <c r="I63" s="135">
        <v>200</v>
      </c>
      <c r="J63" s="135">
        <v>2500</v>
      </c>
      <c r="K63" s="135">
        <v>200</v>
      </c>
    </row>
    <row r="64" spans="1:11" x14ac:dyDescent="0.3">
      <c r="A64" s="135" t="s">
        <v>405</v>
      </c>
      <c r="B64" s="135" t="s">
        <v>40</v>
      </c>
      <c r="C64" s="135" t="s">
        <v>407</v>
      </c>
      <c r="D64" s="135" t="s">
        <v>404</v>
      </c>
      <c r="E64" s="135">
        <v>12</v>
      </c>
      <c r="F64" s="135">
        <v>7000</v>
      </c>
      <c r="G64" s="135">
        <v>6900</v>
      </c>
      <c r="H64" s="135">
        <v>13.8</v>
      </c>
      <c r="I64" s="135">
        <v>-100</v>
      </c>
      <c r="J64" s="135">
        <v>6700</v>
      </c>
      <c r="K64" s="135">
        <v>200</v>
      </c>
    </row>
    <row r="65" spans="1:11" x14ac:dyDescent="0.3">
      <c r="A65" s="135" t="s">
        <v>394</v>
      </c>
      <c r="B65" s="135" t="s">
        <v>148</v>
      </c>
      <c r="C65" s="135" t="s">
        <v>52</v>
      </c>
      <c r="D65" s="135" t="s">
        <v>2309</v>
      </c>
      <c r="E65" s="135">
        <v>25</v>
      </c>
      <c r="F65" s="135">
        <v>3800</v>
      </c>
      <c r="G65" s="135">
        <v>3900</v>
      </c>
      <c r="H65" s="135">
        <v>7.8</v>
      </c>
      <c r="I65" s="135">
        <v>100</v>
      </c>
      <c r="J65" s="135">
        <v>3700</v>
      </c>
      <c r="K65" s="135">
        <v>200</v>
      </c>
    </row>
    <row r="66" spans="1:11" x14ac:dyDescent="0.3">
      <c r="A66" s="135" t="s">
        <v>399</v>
      </c>
      <c r="B66" s="135" t="s">
        <v>329</v>
      </c>
      <c r="C66" s="135" t="s">
        <v>52</v>
      </c>
      <c r="D66" s="135" t="s">
        <v>2309</v>
      </c>
      <c r="E66" s="135">
        <v>28</v>
      </c>
      <c r="F66" s="135">
        <v>4100</v>
      </c>
      <c r="G66" s="135">
        <v>4500</v>
      </c>
      <c r="H66" s="135">
        <v>9</v>
      </c>
      <c r="I66" s="135">
        <v>400</v>
      </c>
      <c r="J66" s="135">
        <v>4300</v>
      </c>
      <c r="K66" s="135">
        <v>200</v>
      </c>
    </row>
    <row r="67" spans="1:11" x14ac:dyDescent="0.3">
      <c r="A67" s="135" t="s">
        <v>1408</v>
      </c>
      <c r="B67" s="135" t="s">
        <v>835</v>
      </c>
      <c r="C67" s="135" t="s">
        <v>4</v>
      </c>
      <c r="D67" s="135" t="s">
        <v>2297</v>
      </c>
      <c r="E67" s="135">
        <v>12</v>
      </c>
      <c r="F67" s="135">
        <v>2400</v>
      </c>
      <c r="G67" s="135">
        <v>2700</v>
      </c>
      <c r="H67" s="135">
        <v>5.4</v>
      </c>
      <c r="I67" s="135">
        <v>300</v>
      </c>
      <c r="J67" s="135">
        <v>2600</v>
      </c>
      <c r="K67" s="135">
        <v>100</v>
      </c>
    </row>
    <row r="68" spans="1:11" x14ac:dyDescent="0.3">
      <c r="A68" s="135" t="s">
        <v>1408</v>
      </c>
      <c r="B68" s="135" t="s">
        <v>852</v>
      </c>
      <c r="C68" s="135" t="s">
        <v>402</v>
      </c>
      <c r="D68" s="135" t="s">
        <v>10</v>
      </c>
      <c r="E68" s="135">
        <v>5</v>
      </c>
      <c r="F68" s="135">
        <v>2900</v>
      </c>
      <c r="G68" s="135">
        <v>3300</v>
      </c>
      <c r="H68" s="135">
        <v>6.6</v>
      </c>
      <c r="I68" s="135">
        <v>400</v>
      </c>
      <c r="J68" s="135">
        <v>3200</v>
      </c>
      <c r="K68" s="135">
        <v>100</v>
      </c>
    </row>
    <row r="69" spans="1:11" x14ac:dyDescent="0.3">
      <c r="A69" s="135" t="s">
        <v>396</v>
      </c>
      <c r="B69" s="135" t="s">
        <v>278</v>
      </c>
      <c r="C69" s="135" t="s">
        <v>12</v>
      </c>
      <c r="D69" s="135" t="s">
        <v>16</v>
      </c>
      <c r="E69" s="135">
        <v>5</v>
      </c>
      <c r="F69" s="135">
        <v>3100</v>
      </c>
      <c r="G69" s="135">
        <v>3100</v>
      </c>
      <c r="H69" s="135">
        <v>6.2</v>
      </c>
      <c r="I69" s="135">
        <v>0</v>
      </c>
      <c r="J69" s="135">
        <v>3000</v>
      </c>
      <c r="K69" s="135">
        <v>100</v>
      </c>
    </row>
    <row r="70" spans="1:11" x14ac:dyDescent="0.3">
      <c r="A70" s="135" t="s">
        <v>399</v>
      </c>
      <c r="B70" s="135" t="s">
        <v>337</v>
      </c>
      <c r="C70" s="135" t="s">
        <v>43</v>
      </c>
      <c r="D70" s="135" t="s">
        <v>30</v>
      </c>
      <c r="E70" s="135">
        <v>6</v>
      </c>
      <c r="F70" s="135">
        <v>2600</v>
      </c>
      <c r="G70" s="135">
        <v>2600</v>
      </c>
      <c r="H70" s="135">
        <v>5.2</v>
      </c>
      <c r="I70" s="135">
        <v>0</v>
      </c>
      <c r="J70" s="135">
        <v>2500</v>
      </c>
      <c r="K70" s="135">
        <v>100</v>
      </c>
    </row>
    <row r="71" spans="1:11" x14ac:dyDescent="0.3">
      <c r="A71" s="135" t="s">
        <v>399</v>
      </c>
      <c r="B71" s="135" t="s">
        <v>531</v>
      </c>
      <c r="C71" s="135" t="s">
        <v>30</v>
      </c>
      <c r="D71" s="135" t="s">
        <v>2302</v>
      </c>
      <c r="E71" s="135">
        <v>1</v>
      </c>
      <c r="F71" s="135">
        <v>2700</v>
      </c>
      <c r="G71" s="135">
        <v>2600</v>
      </c>
      <c r="H71" s="135">
        <v>5.2</v>
      </c>
      <c r="I71" s="135">
        <v>-100</v>
      </c>
      <c r="J71" s="135">
        <v>2500</v>
      </c>
      <c r="K71" s="135">
        <v>100</v>
      </c>
    </row>
    <row r="72" spans="1:11" x14ac:dyDescent="0.3">
      <c r="A72" s="135" t="s">
        <v>396</v>
      </c>
      <c r="B72" s="135" t="s">
        <v>220</v>
      </c>
      <c r="C72" s="135" t="s">
        <v>18</v>
      </c>
      <c r="D72" s="135" t="s">
        <v>14</v>
      </c>
      <c r="E72" s="135">
        <v>30</v>
      </c>
      <c r="F72" s="135">
        <v>4400</v>
      </c>
      <c r="G72" s="135">
        <v>4000</v>
      </c>
      <c r="H72" s="135">
        <v>8</v>
      </c>
      <c r="I72" s="135">
        <v>-400</v>
      </c>
      <c r="J72" s="135">
        <v>3900</v>
      </c>
      <c r="K72" s="135">
        <v>100</v>
      </c>
    </row>
    <row r="73" spans="1:11" x14ac:dyDescent="0.3">
      <c r="A73" s="135" t="s">
        <v>405</v>
      </c>
      <c r="B73" s="135" t="s">
        <v>17</v>
      </c>
      <c r="C73" s="135" t="s">
        <v>18</v>
      </c>
      <c r="D73" s="135" t="s">
        <v>14</v>
      </c>
      <c r="E73" s="135">
        <v>19</v>
      </c>
      <c r="F73" s="135">
        <v>7400</v>
      </c>
      <c r="G73" s="135">
        <v>6500</v>
      </c>
      <c r="H73" s="135">
        <v>13</v>
      </c>
      <c r="I73" s="135">
        <v>-900</v>
      </c>
      <c r="J73" s="135">
        <v>6400</v>
      </c>
      <c r="K73" s="135">
        <v>100</v>
      </c>
    </row>
    <row r="74" spans="1:11" x14ac:dyDescent="0.3">
      <c r="A74" s="135" t="s">
        <v>405</v>
      </c>
      <c r="B74" s="135" t="s">
        <v>449</v>
      </c>
      <c r="C74" s="135" t="s">
        <v>402</v>
      </c>
      <c r="D74" s="135" t="s">
        <v>10</v>
      </c>
      <c r="E74" s="135">
        <v>13</v>
      </c>
      <c r="F74" s="135">
        <v>5000</v>
      </c>
      <c r="G74" s="135">
        <v>5100</v>
      </c>
      <c r="H74" s="135">
        <v>10.199999999999999</v>
      </c>
      <c r="I74" s="135">
        <v>100</v>
      </c>
      <c r="J74" s="135">
        <v>5000</v>
      </c>
      <c r="K74" s="135">
        <v>100</v>
      </c>
    </row>
    <row r="75" spans="1:11" x14ac:dyDescent="0.3">
      <c r="A75" s="135" t="s">
        <v>394</v>
      </c>
      <c r="B75" s="135" t="s">
        <v>162</v>
      </c>
      <c r="C75" s="135" t="s">
        <v>22</v>
      </c>
      <c r="D75" s="135" t="s">
        <v>2296</v>
      </c>
      <c r="E75" s="135">
        <v>27</v>
      </c>
      <c r="F75" s="135">
        <v>3000</v>
      </c>
      <c r="G75" s="135">
        <v>3900</v>
      </c>
      <c r="H75" s="135">
        <v>7.8</v>
      </c>
      <c r="I75" s="135">
        <v>900</v>
      </c>
      <c r="J75" s="135">
        <v>3800</v>
      </c>
      <c r="K75" s="135">
        <v>100</v>
      </c>
    </row>
    <row r="76" spans="1:11" x14ac:dyDescent="0.3">
      <c r="A76" s="135" t="s">
        <v>394</v>
      </c>
      <c r="B76" s="135" t="s">
        <v>98</v>
      </c>
      <c r="C76" s="135" t="s">
        <v>24</v>
      </c>
      <c r="D76" s="135" t="s">
        <v>409</v>
      </c>
      <c r="E76" s="135">
        <v>26</v>
      </c>
      <c r="F76" s="135">
        <v>7500</v>
      </c>
      <c r="G76" s="135">
        <v>7800</v>
      </c>
      <c r="H76" s="135">
        <v>15.6</v>
      </c>
      <c r="I76" s="135">
        <v>300</v>
      </c>
      <c r="J76" s="135">
        <v>7700</v>
      </c>
      <c r="K76" s="135">
        <v>100</v>
      </c>
    </row>
    <row r="77" spans="1:11" x14ac:dyDescent="0.3">
      <c r="A77" s="135" t="s">
        <v>396</v>
      </c>
      <c r="B77" s="135" t="s">
        <v>505</v>
      </c>
      <c r="C77" s="135" t="s">
        <v>407</v>
      </c>
      <c r="D77" s="135" t="s">
        <v>404</v>
      </c>
      <c r="E77" s="135">
        <v>15</v>
      </c>
      <c r="F77" s="135">
        <v>3000</v>
      </c>
      <c r="G77" s="135">
        <v>4400</v>
      </c>
      <c r="H77" s="135">
        <v>8.8000000000000007</v>
      </c>
      <c r="I77" s="135">
        <v>1400</v>
      </c>
      <c r="J77" s="135">
        <v>4300</v>
      </c>
      <c r="K77" s="135">
        <v>100</v>
      </c>
    </row>
    <row r="78" spans="1:11" x14ac:dyDescent="0.3">
      <c r="A78" s="135" t="s">
        <v>396</v>
      </c>
      <c r="B78" s="135" t="s">
        <v>227</v>
      </c>
      <c r="C78" s="135" t="s">
        <v>404</v>
      </c>
      <c r="D78" s="135" t="s">
        <v>2308</v>
      </c>
      <c r="E78" s="135">
        <v>23</v>
      </c>
      <c r="F78" s="135">
        <v>4800</v>
      </c>
      <c r="G78" s="135">
        <v>6600</v>
      </c>
      <c r="H78" s="135">
        <v>13.2</v>
      </c>
      <c r="I78" s="135">
        <v>1800</v>
      </c>
      <c r="J78" s="135">
        <v>6500</v>
      </c>
      <c r="K78" s="135">
        <v>100</v>
      </c>
    </row>
    <row r="79" spans="1:11" x14ac:dyDescent="0.3">
      <c r="A79" s="135" t="s">
        <v>396</v>
      </c>
      <c r="B79" s="135" t="s">
        <v>187</v>
      </c>
      <c r="C79" s="135" t="s">
        <v>20</v>
      </c>
      <c r="D79" s="135" t="s">
        <v>397</v>
      </c>
      <c r="E79" s="135">
        <v>11</v>
      </c>
      <c r="F79" s="135">
        <v>9800</v>
      </c>
      <c r="G79" s="135">
        <v>9700</v>
      </c>
      <c r="H79" s="135">
        <v>19.399999999999999</v>
      </c>
      <c r="I79" s="135">
        <v>-100</v>
      </c>
      <c r="J79" s="135">
        <v>9600</v>
      </c>
      <c r="K79" s="135">
        <v>100</v>
      </c>
    </row>
    <row r="80" spans="1:11" x14ac:dyDescent="0.3">
      <c r="A80" s="135" t="s">
        <v>399</v>
      </c>
      <c r="B80" s="135" t="s">
        <v>323</v>
      </c>
      <c r="C80" s="135" t="s">
        <v>397</v>
      </c>
      <c r="D80" s="135" t="s">
        <v>2307</v>
      </c>
      <c r="E80" s="135">
        <v>19</v>
      </c>
      <c r="F80" s="135">
        <v>5000</v>
      </c>
      <c r="G80" s="135">
        <v>4800</v>
      </c>
      <c r="H80" s="135">
        <v>9.6</v>
      </c>
      <c r="I80" s="135">
        <v>-200</v>
      </c>
      <c r="J80" s="135">
        <v>4700</v>
      </c>
      <c r="K80" s="135">
        <v>100</v>
      </c>
    </row>
    <row r="81" spans="1:11" x14ac:dyDescent="0.3">
      <c r="A81" s="135" t="s">
        <v>394</v>
      </c>
      <c r="B81" s="135" t="s">
        <v>143</v>
      </c>
      <c r="C81" s="135" t="s">
        <v>41</v>
      </c>
      <c r="D81" s="135" t="s">
        <v>37</v>
      </c>
      <c r="E81" s="135">
        <v>3</v>
      </c>
      <c r="F81" s="135">
        <v>4600</v>
      </c>
      <c r="G81" s="135">
        <v>3900</v>
      </c>
      <c r="H81" s="135">
        <v>7.8</v>
      </c>
      <c r="I81" s="135">
        <v>-700</v>
      </c>
      <c r="J81" s="135">
        <v>3800</v>
      </c>
      <c r="K81" s="135">
        <v>100</v>
      </c>
    </row>
    <row r="82" spans="1:11" x14ac:dyDescent="0.3">
      <c r="A82" s="135" t="s">
        <v>1408</v>
      </c>
      <c r="B82" s="135" t="s">
        <v>853</v>
      </c>
      <c r="C82" s="135" t="s">
        <v>407</v>
      </c>
      <c r="D82" s="135" t="s">
        <v>404</v>
      </c>
      <c r="E82" s="135">
        <v>27</v>
      </c>
      <c r="F82" s="135">
        <v>2500</v>
      </c>
      <c r="G82" s="135">
        <v>2300</v>
      </c>
      <c r="H82" s="135">
        <v>4.5999999999999996</v>
      </c>
      <c r="I82" s="135">
        <v>-200</v>
      </c>
      <c r="J82" s="135">
        <v>2300</v>
      </c>
      <c r="K82" s="135">
        <v>0</v>
      </c>
    </row>
    <row r="83" spans="1:11" x14ac:dyDescent="0.3">
      <c r="A83" s="135" t="s">
        <v>399</v>
      </c>
      <c r="B83" s="135" t="s">
        <v>383</v>
      </c>
      <c r="C83" s="135" t="s">
        <v>28</v>
      </c>
      <c r="D83" s="135" t="s">
        <v>57</v>
      </c>
      <c r="E83" s="135">
        <v>25</v>
      </c>
      <c r="F83" s="135">
        <v>2500</v>
      </c>
      <c r="G83" s="135">
        <v>2500</v>
      </c>
      <c r="H83" s="135">
        <v>5</v>
      </c>
      <c r="I83" s="135">
        <v>0</v>
      </c>
      <c r="J83" s="135">
        <v>2500</v>
      </c>
      <c r="K83" s="135">
        <v>0</v>
      </c>
    </row>
    <row r="84" spans="1:11" x14ac:dyDescent="0.3">
      <c r="A84" s="135" t="s">
        <v>399</v>
      </c>
      <c r="B84" s="135" t="s">
        <v>364</v>
      </c>
      <c r="C84" s="135" t="s">
        <v>28</v>
      </c>
      <c r="D84" s="135" t="s">
        <v>57</v>
      </c>
      <c r="E84" s="135">
        <v>25</v>
      </c>
      <c r="F84" s="135">
        <v>2700</v>
      </c>
      <c r="G84" s="135">
        <v>2500</v>
      </c>
      <c r="H84" s="135">
        <v>5</v>
      </c>
      <c r="I84" s="135">
        <v>-200</v>
      </c>
      <c r="J84" s="135">
        <v>2500</v>
      </c>
      <c r="K84" s="135">
        <v>0</v>
      </c>
    </row>
    <row r="85" spans="1:11" x14ac:dyDescent="0.3">
      <c r="A85" s="135" t="s">
        <v>399</v>
      </c>
      <c r="B85" s="135" t="s">
        <v>533</v>
      </c>
      <c r="C85" s="135" t="s">
        <v>28</v>
      </c>
      <c r="D85" s="135" t="s">
        <v>57</v>
      </c>
      <c r="E85" s="135">
        <v>25</v>
      </c>
      <c r="F85" s="135">
        <v>2500</v>
      </c>
      <c r="G85" s="135">
        <v>2500</v>
      </c>
      <c r="H85" s="135">
        <v>5</v>
      </c>
      <c r="I85" s="135">
        <v>0</v>
      </c>
      <c r="J85" s="135">
        <v>2500</v>
      </c>
      <c r="K85" s="135">
        <v>0</v>
      </c>
    </row>
    <row r="86" spans="1:11" x14ac:dyDescent="0.3">
      <c r="A86" s="135" t="s">
        <v>396</v>
      </c>
      <c r="B86" s="135" t="s">
        <v>517</v>
      </c>
      <c r="C86" s="135" t="s">
        <v>28</v>
      </c>
      <c r="D86" s="135" t="s">
        <v>57</v>
      </c>
      <c r="E86" s="135">
        <v>31</v>
      </c>
      <c r="F86" s="135">
        <v>3000</v>
      </c>
      <c r="G86" s="135">
        <v>3000</v>
      </c>
      <c r="H86" s="135">
        <v>6</v>
      </c>
      <c r="I86" s="135">
        <v>0</v>
      </c>
      <c r="J86" s="135">
        <v>3000</v>
      </c>
      <c r="K86" s="135">
        <v>0</v>
      </c>
    </row>
    <row r="87" spans="1:11" x14ac:dyDescent="0.3">
      <c r="A87" s="135" t="s">
        <v>396</v>
      </c>
      <c r="B87" s="135" t="s">
        <v>506</v>
      </c>
      <c r="C87" s="135" t="s">
        <v>28</v>
      </c>
      <c r="D87" s="135" t="s">
        <v>57</v>
      </c>
      <c r="E87" s="135">
        <v>31</v>
      </c>
      <c r="F87" s="135">
        <v>3000</v>
      </c>
      <c r="G87" s="135">
        <v>3000</v>
      </c>
      <c r="H87" s="135">
        <v>6</v>
      </c>
      <c r="I87" s="135">
        <v>0</v>
      </c>
      <c r="J87" s="135">
        <v>3000</v>
      </c>
      <c r="K87" s="135">
        <v>0</v>
      </c>
    </row>
    <row r="88" spans="1:11" x14ac:dyDescent="0.3">
      <c r="A88" s="135" t="s">
        <v>396</v>
      </c>
      <c r="B88" s="135" t="s">
        <v>481</v>
      </c>
      <c r="C88" s="135" t="s">
        <v>28</v>
      </c>
      <c r="D88" s="135" t="s">
        <v>57</v>
      </c>
      <c r="E88" s="135">
        <v>31</v>
      </c>
      <c r="F88" s="135">
        <v>3000</v>
      </c>
      <c r="G88" s="135">
        <v>3000</v>
      </c>
      <c r="H88" s="135">
        <v>6</v>
      </c>
      <c r="I88" s="135">
        <v>0</v>
      </c>
      <c r="J88" s="135">
        <v>3000</v>
      </c>
      <c r="K88" s="135">
        <v>0</v>
      </c>
    </row>
    <row r="89" spans="1:11" x14ac:dyDescent="0.3">
      <c r="A89" s="135" t="s">
        <v>394</v>
      </c>
      <c r="B89" s="135" t="s">
        <v>174</v>
      </c>
      <c r="C89" s="135" t="s">
        <v>28</v>
      </c>
      <c r="D89" s="135" t="s">
        <v>57</v>
      </c>
      <c r="E89" s="135">
        <v>13</v>
      </c>
      <c r="F89" s="135">
        <v>3000</v>
      </c>
      <c r="G89" s="135">
        <v>3000</v>
      </c>
      <c r="H89" s="135">
        <v>6</v>
      </c>
      <c r="I89" s="135">
        <v>0</v>
      </c>
      <c r="J89" s="135">
        <v>3000</v>
      </c>
      <c r="K89" s="135">
        <v>0</v>
      </c>
    </row>
    <row r="90" spans="1:11" x14ac:dyDescent="0.3">
      <c r="A90" s="135" t="s">
        <v>399</v>
      </c>
      <c r="B90" s="135" t="s">
        <v>321</v>
      </c>
      <c r="C90" s="135" t="s">
        <v>28</v>
      </c>
      <c r="D90" s="135" t="s">
        <v>57</v>
      </c>
      <c r="E90" s="135">
        <v>25</v>
      </c>
      <c r="F90" s="135">
        <v>4700</v>
      </c>
      <c r="G90" s="135">
        <v>4500</v>
      </c>
      <c r="H90" s="135">
        <v>9</v>
      </c>
      <c r="I90" s="135">
        <v>-200</v>
      </c>
      <c r="J90" s="135">
        <v>4500</v>
      </c>
      <c r="K90" s="135">
        <v>0</v>
      </c>
    </row>
    <row r="91" spans="1:11" x14ac:dyDescent="0.3">
      <c r="A91" s="135" t="s">
        <v>405</v>
      </c>
      <c r="B91" s="135" t="s">
        <v>1548</v>
      </c>
      <c r="C91" s="135" t="s">
        <v>28</v>
      </c>
      <c r="D91" s="135" t="s">
        <v>57</v>
      </c>
      <c r="E91" s="135">
        <v>18</v>
      </c>
      <c r="F91" s="135">
        <v>5000</v>
      </c>
      <c r="G91" s="135">
        <v>5000</v>
      </c>
      <c r="H91" s="135">
        <v>10</v>
      </c>
      <c r="I91" s="135">
        <v>0</v>
      </c>
      <c r="J91" s="135">
        <v>5000</v>
      </c>
      <c r="K91" s="135">
        <v>0</v>
      </c>
    </row>
    <row r="92" spans="1:11" x14ac:dyDescent="0.3">
      <c r="A92" s="135" t="s">
        <v>405</v>
      </c>
      <c r="B92" s="135" t="s">
        <v>439</v>
      </c>
      <c r="C92" s="135" t="s">
        <v>28</v>
      </c>
      <c r="D92" s="135" t="s">
        <v>57</v>
      </c>
      <c r="E92" s="135">
        <v>18</v>
      </c>
      <c r="F92" s="135">
        <v>5000</v>
      </c>
      <c r="G92" s="135">
        <v>5000</v>
      </c>
      <c r="H92" s="135">
        <v>10</v>
      </c>
      <c r="I92" s="135">
        <v>0</v>
      </c>
      <c r="J92" s="135">
        <v>5000</v>
      </c>
      <c r="K92" s="135">
        <v>0</v>
      </c>
    </row>
    <row r="93" spans="1:11" x14ac:dyDescent="0.3">
      <c r="A93" s="135" t="s">
        <v>399</v>
      </c>
      <c r="B93" s="135" t="s">
        <v>362</v>
      </c>
      <c r="C93" s="135" t="s">
        <v>57</v>
      </c>
      <c r="D93" s="135" t="s">
        <v>1999</v>
      </c>
      <c r="E93" s="135">
        <v>29</v>
      </c>
      <c r="F93" s="135">
        <v>2500</v>
      </c>
      <c r="G93" s="135">
        <v>2500</v>
      </c>
      <c r="H93" s="135">
        <v>5</v>
      </c>
      <c r="I93" s="135">
        <v>0</v>
      </c>
      <c r="J93" s="135">
        <v>2500</v>
      </c>
      <c r="K93" s="135">
        <v>0</v>
      </c>
    </row>
    <row r="94" spans="1:11" x14ac:dyDescent="0.3">
      <c r="A94" s="135" t="s">
        <v>399</v>
      </c>
      <c r="B94" s="135" t="s">
        <v>384</v>
      </c>
      <c r="C94" s="135" t="s">
        <v>57</v>
      </c>
      <c r="D94" s="135" t="s">
        <v>1999</v>
      </c>
      <c r="E94" s="135">
        <v>29</v>
      </c>
      <c r="F94" s="135">
        <v>2500</v>
      </c>
      <c r="G94" s="135">
        <v>2500</v>
      </c>
      <c r="H94" s="135">
        <v>5</v>
      </c>
      <c r="I94" s="135">
        <v>0</v>
      </c>
      <c r="J94" s="135">
        <v>2500</v>
      </c>
      <c r="K94" s="135">
        <v>0</v>
      </c>
    </row>
    <row r="95" spans="1:11" x14ac:dyDescent="0.3">
      <c r="A95" s="135" t="s">
        <v>399</v>
      </c>
      <c r="B95" s="135" t="s">
        <v>341</v>
      </c>
      <c r="C95" s="135" t="s">
        <v>57</v>
      </c>
      <c r="D95" s="135" t="s">
        <v>1999</v>
      </c>
      <c r="E95" s="135">
        <v>29</v>
      </c>
      <c r="F95" s="135">
        <v>3000</v>
      </c>
      <c r="G95" s="135">
        <v>2900</v>
      </c>
      <c r="H95" s="135">
        <v>5.8</v>
      </c>
      <c r="I95" s="135">
        <v>-100</v>
      </c>
      <c r="J95" s="135">
        <v>2900</v>
      </c>
      <c r="K95" s="135">
        <v>0</v>
      </c>
    </row>
    <row r="96" spans="1:11" x14ac:dyDescent="0.3">
      <c r="A96" s="135" t="s">
        <v>396</v>
      </c>
      <c r="B96" s="135" t="s">
        <v>471</v>
      </c>
      <c r="C96" s="135" t="s">
        <v>57</v>
      </c>
      <c r="D96" s="135" t="s">
        <v>1999</v>
      </c>
      <c r="E96" s="135">
        <v>16</v>
      </c>
      <c r="F96" s="135">
        <v>3200</v>
      </c>
      <c r="G96" s="135">
        <v>3000</v>
      </c>
      <c r="H96" s="135">
        <v>6</v>
      </c>
      <c r="I96" s="135">
        <v>-200</v>
      </c>
      <c r="J96" s="135">
        <v>3000</v>
      </c>
      <c r="K96" s="135">
        <v>0</v>
      </c>
    </row>
    <row r="97" spans="1:11" x14ac:dyDescent="0.3">
      <c r="A97" s="135" t="s">
        <v>396</v>
      </c>
      <c r="B97" s="135" t="s">
        <v>495</v>
      </c>
      <c r="C97" s="135" t="s">
        <v>57</v>
      </c>
      <c r="D97" s="135" t="s">
        <v>1999</v>
      </c>
      <c r="E97" s="135">
        <v>16</v>
      </c>
      <c r="F97" s="135">
        <v>3000</v>
      </c>
      <c r="G97" s="135">
        <v>3000</v>
      </c>
      <c r="H97" s="135">
        <v>6</v>
      </c>
      <c r="I97" s="135">
        <v>0</v>
      </c>
      <c r="J97" s="135">
        <v>3000</v>
      </c>
      <c r="K97" s="135">
        <v>0</v>
      </c>
    </row>
    <row r="98" spans="1:11" x14ac:dyDescent="0.3">
      <c r="A98" s="135" t="s">
        <v>396</v>
      </c>
      <c r="B98" s="135" t="s">
        <v>261</v>
      </c>
      <c r="C98" s="135" t="s">
        <v>57</v>
      </c>
      <c r="D98" s="135" t="s">
        <v>1999</v>
      </c>
      <c r="E98" s="135">
        <v>16</v>
      </c>
      <c r="F98" s="135">
        <v>3000</v>
      </c>
      <c r="G98" s="135">
        <v>3000</v>
      </c>
      <c r="H98" s="135">
        <v>6</v>
      </c>
      <c r="I98" s="135">
        <v>0</v>
      </c>
      <c r="J98" s="135">
        <v>3000</v>
      </c>
      <c r="K98" s="135">
        <v>0</v>
      </c>
    </row>
    <row r="99" spans="1:11" x14ac:dyDescent="0.3">
      <c r="A99" s="135" t="s">
        <v>394</v>
      </c>
      <c r="B99" s="135" t="s">
        <v>167</v>
      </c>
      <c r="C99" s="135" t="s">
        <v>57</v>
      </c>
      <c r="D99" s="135" t="s">
        <v>1999</v>
      </c>
      <c r="E99" s="135">
        <v>7</v>
      </c>
      <c r="F99" s="135">
        <v>3000</v>
      </c>
      <c r="G99" s="135">
        <v>3000</v>
      </c>
      <c r="H99" s="135">
        <v>6</v>
      </c>
      <c r="I99" s="135">
        <v>0</v>
      </c>
      <c r="J99" s="135">
        <v>3000</v>
      </c>
      <c r="K99" s="135">
        <v>0</v>
      </c>
    </row>
    <row r="100" spans="1:11" x14ac:dyDescent="0.3">
      <c r="A100" s="135" t="s">
        <v>394</v>
      </c>
      <c r="B100" s="135" t="s">
        <v>186</v>
      </c>
      <c r="C100" s="135" t="s">
        <v>57</v>
      </c>
      <c r="D100" s="135" t="s">
        <v>1999</v>
      </c>
      <c r="E100" s="135">
        <v>7</v>
      </c>
      <c r="F100" s="135">
        <v>3000</v>
      </c>
      <c r="G100" s="135">
        <v>3000</v>
      </c>
      <c r="H100" s="135">
        <v>6</v>
      </c>
      <c r="I100" s="135">
        <v>0</v>
      </c>
      <c r="J100" s="135">
        <v>3000</v>
      </c>
      <c r="K100" s="135">
        <v>0</v>
      </c>
    </row>
    <row r="101" spans="1:11" x14ac:dyDescent="0.3">
      <c r="A101" s="135" t="s">
        <v>394</v>
      </c>
      <c r="B101" s="135" t="s">
        <v>516</v>
      </c>
      <c r="C101" s="135" t="s">
        <v>57</v>
      </c>
      <c r="D101" s="135" t="s">
        <v>1999</v>
      </c>
      <c r="E101" s="135">
        <v>7</v>
      </c>
      <c r="F101" s="135">
        <v>3000</v>
      </c>
      <c r="G101" s="135">
        <v>3600</v>
      </c>
      <c r="H101" s="135">
        <v>7.2</v>
      </c>
      <c r="I101" s="135">
        <v>600</v>
      </c>
      <c r="J101" s="135">
        <v>3600</v>
      </c>
      <c r="K101" s="135">
        <v>0</v>
      </c>
    </row>
    <row r="102" spans="1:11" x14ac:dyDescent="0.3">
      <c r="A102" s="135" t="s">
        <v>394</v>
      </c>
      <c r="B102" s="135" t="s">
        <v>139</v>
      </c>
      <c r="C102" s="135" t="s">
        <v>57</v>
      </c>
      <c r="D102" s="135" t="s">
        <v>1999</v>
      </c>
      <c r="E102" s="135">
        <v>7</v>
      </c>
      <c r="F102" s="135">
        <v>4200</v>
      </c>
      <c r="G102" s="135">
        <v>4000</v>
      </c>
      <c r="H102" s="135">
        <v>8</v>
      </c>
      <c r="I102" s="135">
        <v>-200</v>
      </c>
      <c r="J102" s="135">
        <v>4000</v>
      </c>
      <c r="K102" s="135">
        <v>0</v>
      </c>
    </row>
    <row r="103" spans="1:11" x14ac:dyDescent="0.3">
      <c r="A103" s="135" t="s">
        <v>405</v>
      </c>
      <c r="B103" s="135" t="s">
        <v>79</v>
      </c>
      <c r="C103" s="135" t="s">
        <v>57</v>
      </c>
      <c r="D103" s="135" t="s">
        <v>1999</v>
      </c>
      <c r="E103" s="135">
        <v>31</v>
      </c>
      <c r="F103" s="135">
        <v>5000</v>
      </c>
      <c r="G103" s="135">
        <v>5000</v>
      </c>
      <c r="H103" s="135">
        <v>10</v>
      </c>
      <c r="I103" s="135">
        <v>0</v>
      </c>
      <c r="J103" s="135">
        <v>5000</v>
      </c>
      <c r="K103" s="135">
        <v>0</v>
      </c>
    </row>
    <row r="104" spans="1:11" x14ac:dyDescent="0.3">
      <c r="A104" s="135" t="s">
        <v>399</v>
      </c>
      <c r="B104" s="135" t="s">
        <v>553</v>
      </c>
      <c r="C104" s="135" t="s">
        <v>12</v>
      </c>
      <c r="D104" s="135" t="s">
        <v>16</v>
      </c>
      <c r="E104" s="135">
        <v>22</v>
      </c>
      <c r="F104" s="135">
        <v>2500</v>
      </c>
      <c r="G104" s="135">
        <v>2500</v>
      </c>
      <c r="H104" s="135">
        <v>5</v>
      </c>
      <c r="I104" s="135">
        <v>0</v>
      </c>
      <c r="J104" s="135">
        <v>2500</v>
      </c>
      <c r="K104" s="135">
        <v>0</v>
      </c>
    </row>
    <row r="105" spans="1:11" x14ac:dyDescent="0.3">
      <c r="A105" s="135" t="s">
        <v>399</v>
      </c>
      <c r="B105" s="135" t="s">
        <v>361</v>
      </c>
      <c r="C105" s="135" t="s">
        <v>12</v>
      </c>
      <c r="D105" s="135" t="s">
        <v>16</v>
      </c>
      <c r="E105" s="135">
        <v>22</v>
      </c>
      <c r="F105" s="135">
        <v>2700</v>
      </c>
      <c r="G105" s="135">
        <v>2500</v>
      </c>
      <c r="H105" s="135">
        <v>5</v>
      </c>
      <c r="I105" s="135">
        <v>-200</v>
      </c>
      <c r="J105" s="135">
        <v>2500</v>
      </c>
      <c r="K105" s="135">
        <v>0</v>
      </c>
    </row>
    <row r="106" spans="1:11" x14ac:dyDescent="0.3">
      <c r="A106" s="135" t="s">
        <v>396</v>
      </c>
      <c r="B106" s="135" t="s">
        <v>280</v>
      </c>
      <c r="C106" s="135" t="s">
        <v>12</v>
      </c>
      <c r="D106" s="135" t="s">
        <v>16</v>
      </c>
      <c r="E106" s="135">
        <v>5</v>
      </c>
      <c r="F106" s="135">
        <v>3500</v>
      </c>
      <c r="G106" s="135">
        <v>3000</v>
      </c>
      <c r="H106" s="135">
        <v>6</v>
      </c>
      <c r="I106" s="135">
        <v>-500</v>
      </c>
      <c r="J106" s="135">
        <v>3000</v>
      </c>
      <c r="K106" s="135">
        <v>0</v>
      </c>
    </row>
    <row r="107" spans="1:11" x14ac:dyDescent="0.3">
      <c r="A107" s="135" t="s">
        <v>396</v>
      </c>
      <c r="B107" s="135" t="s">
        <v>476</v>
      </c>
      <c r="C107" s="135" t="s">
        <v>12</v>
      </c>
      <c r="D107" s="135" t="s">
        <v>16</v>
      </c>
      <c r="E107" s="135">
        <v>5</v>
      </c>
      <c r="F107" s="135">
        <v>3000</v>
      </c>
      <c r="G107" s="135">
        <v>3000</v>
      </c>
      <c r="H107" s="135">
        <v>6</v>
      </c>
      <c r="I107" s="135">
        <v>0</v>
      </c>
      <c r="J107" s="135">
        <v>3000</v>
      </c>
      <c r="K107" s="135">
        <v>0</v>
      </c>
    </row>
    <row r="108" spans="1:11" x14ac:dyDescent="0.3">
      <c r="A108" s="135" t="s">
        <v>394</v>
      </c>
      <c r="B108" s="135" t="s">
        <v>177</v>
      </c>
      <c r="C108" s="135" t="s">
        <v>12</v>
      </c>
      <c r="D108" s="135" t="s">
        <v>16</v>
      </c>
      <c r="E108" s="135">
        <v>28</v>
      </c>
      <c r="F108" s="135">
        <v>3000</v>
      </c>
      <c r="G108" s="135">
        <v>3000</v>
      </c>
      <c r="H108" s="135">
        <v>6</v>
      </c>
      <c r="I108" s="135">
        <v>0</v>
      </c>
      <c r="J108" s="135">
        <v>3000</v>
      </c>
      <c r="K108" s="135">
        <v>0</v>
      </c>
    </row>
    <row r="109" spans="1:11" x14ac:dyDescent="0.3">
      <c r="A109" s="135" t="s">
        <v>394</v>
      </c>
      <c r="B109" s="135" t="s">
        <v>133</v>
      </c>
      <c r="C109" s="135" t="s">
        <v>12</v>
      </c>
      <c r="D109" s="135" t="s">
        <v>16</v>
      </c>
      <c r="E109" s="135">
        <v>28</v>
      </c>
      <c r="F109" s="135">
        <v>3100</v>
      </c>
      <c r="G109" s="135">
        <v>3000</v>
      </c>
      <c r="H109" s="135">
        <v>6</v>
      </c>
      <c r="I109" s="135">
        <v>-100</v>
      </c>
      <c r="J109" s="135">
        <v>3000</v>
      </c>
      <c r="K109" s="135">
        <v>0</v>
      </c>
    </row>
    <row r="110" spans="1:11" x14ac:dyDescent="0.3">
      <c r="A110" s="135" t="s">
        <v>405</v>
      </c>
      <c r="B110" s="135" t="s">
        <v>447</v>
      </c>
      <c r="C110" s="135" t="s">
        <v>12</v>
      </c>
      <c r="D110" s="135" t="s">
        <v>16</v>
      </c>
      <c r="E110" s="135">
        <v>11</v>
      </c>
      <c r="F110" s="135">
        <v>5000</v>
      </c>
      <c r="G110" s="135">
        <v>5000</v>
      </c>
      <c r="H110" s="135">
        <v>10</v>
      </c>
      <c r="I110" s="135">
        <v>0</v>
      </c>
      <c r="J110" s="135">
        <v>5000</v>
      </c>
      <c r="K110" s="135">
        <v>0</v>
      </c>
    </row>
    <row r="111" spans="1:11" x14ac:dyDescent="0.3">
      <c r="A111" s="135" t="s">
        <v>405</v>
      </c>
      <c r="B111" s="135" t="s">
        <v>434</v>
      </c>
      <c r="C111" s="135" t="s">
        <v>12</v>
      </c>
      <c r="D111" s="135" t="s">
        <v>16</v>
      </c>
      <c r="E111" s="135">
        <v>11</v>
      </c>
      <c r="F111" s="135">
        <v>5000</v>
      </c>
      <c r="G111" s="135">
        <v>5000</v>
      </c>
      <c r="H111" s="135">
        <v>10</v>
      </c>
      <c r="I111" s="135">
        <v>0</v>
      </c>
      <c r="J111" s="135">
        <v>5000</v>
      </c>
      <c r="K111" s="135">
        <v>0</v>
      </c>
    </row>
    <row r="112" spans="1:11" x14ac:dyDescent="0.3">
      <c r="A112" s="135" t="s">
        <v>399</v>
      </c>
      <c r="B112" s="135" t="s">
        <v>546</v>
      </c>
      <c r="C112" s="135" t="s">
        <v>16</v>
      </c>
      <c r="D112" s="135" t="s">
        <v>1980</v>
      </c>
      <c r="E112" s="135">
        <v>8</v>
      </c>
      <c r="F112" s="135">
        <v>2500</v>
      </c>
      <c r="G112" s="135">
        <v>2500</v>
      </c>
      <c r="H112" s="135">
        <v>5</v>
      </c>
      <c r="I112" s="135">
        <v>0</v>
      </c>
      <c r="J112" s="135">
        <v>2500</v>
      </c>
      <c r="K112" s="135">
        <v>0</v>
      </c>
    </row>
    <row r="113" spans="1:11" x14ac:dyDescent="0.3">
      <c r="A113" s="135" t="s">
        <v>399</v>
      </c>
      <c r="B113" s="135" t="s">
        <v>368</v>
      </c>
      <c r="C113" s="135" t="s">
        <v>16</v>
      </c>
      <c r="D113" s="135" t="s">
        <v>1980</v>
      </c>
      <c r="E113" s="135">
        <v>8</v>
      </c>
      <c r="F113" s="135">
        <v>2500</v>
      </c>
      <c r="G113" s="135">
        <v>2500</v>
      </c>
      <c r="H113" s="135">
        <v>5</v>
      </c>
      <c r="I113" s="135">
        <v>0</v>
      </c>
      <c r="J113" s="135">
        <v>2500</v>
      </c>
      <c r="K113" s="135">
        <v>0</v>
      </c>
    </row>
    <row r="114" spans="1:11" x14ac:dyDescent="0.3">
      <c r="A114" s="135" t="s">
        <v>396</v>
      </c>
      <c r="B114" s="135" t="s">
        <v>518</v>
      </c>
      <c r="C114" s="135" t="s">
        <v>16</v>
      </c>
      <c r="D114" s="135" t="s">
        <v>1980</v>
      </c>
      <c r="E114" s="135">
        <v>22</v>
      </c>
      <c r="F114" s="135">
        <v>3000</v>
      </c>
      <c r="G114" s="135">
        <v>3000</v>
      </c>
      <c r="H114" s="135">
        <v>6</v>
      </c>
      <c r="I114" s="135">
        <v>0</v>
      </c>
      <c r="J114" s="135">
        <v>3000</v>
      </c>
      <c r="K114" s="135">
        <v>0</v>
      </c>
    </row>
    <row r="115" spans="1:11" x14ac:dyDescent="0.3">
      <c r="A115" s="135" t="s">
        <v>396</v>
      </c>
      <c r="B115" s="135" t="s">
        <v>489</v>
      </c>
      <c r="C115" s="135" t="s">
        <v>16</v>
      </c>
      <c r="D115" s="135" t="s">
        <v>1980</v>
      </c>
      <c r="E115" s="135">
        <v>22</v>
      </c>
      <c r="F115" s="135">
        <v>3000</v>
      </c>
      <c r="G115" s="135">
        <v>3000</v>
      </c>
      <c r="H115" s="135">
        <v>6</v>
      </c>
      <c r="I115" s="135">
        <v>0</v>
      </c>
      <c r="J115" s="135">
        <v>3000</v>
      </c>
      <c r="K115" s="135">
        <v>0</v>
      </c>
    </row>
    <row r="116" spans="1:11" x14ac:dyDescent="0.3">
      <c r="A116" s="135" t="s">
        <v>394</v>
      </c>
      <c r="B116" s="135" t="s">
        <v>466</v>
      </c>
      <c r="C116" s="135" t="s">
        <v>16</v>
      </c>
      <c r="D116" s="135" t="s">
        <v>1980</v>
      </c>
      <c r="E116" s="135">
        <v>15</v>
      </c>
      <c r="F116" s="135">
        <v>3500</v>
      </c>
      <c r="G116" s="135">
        <v>3000</v>
      </c>
      <c r="H116" s="135">
        <v>6</v>
      </c>
      <c r="I116" s="135">
        <v>-500</v>
      </c>
      <c r="J116" s="135">
        <v>3000</v>
      </c>
      <c r="K116" s="135">
        <v>0</v>
      </c>
    </row>
    <row r="117" spans="1:11" x14ac:dyDescent="0.3">
      <c r="A117" s="135" t="s">
        <v>394</v>
      </c>
      <c r="B117" s="135" t="s">
        <v>180</v>
      </c>
      <c r="C117" s="135" t="s">
        <v>16</v>
      </c>
      <c r="D117" s="135" t="s">
        <v>1980</v>
      </c>
      <c r="E117" s="135">
        <v>15</v>
      </c>
      <c r="F117" s="135">
        <v>3000</v>
      </c>
      <c r="G117" s="135">
        <v>3000</v>
      </c>
      <c r="H117" s="135">
        <v>6</v>
      </c>
      <c r="I117" s="135">
        <v>0</v>
      </c>
      <c r="J117" s="135">
        <v>3000</v>
      </c>
      <c r="K117" s="135">
        <v>0</v>
      </c>
    </row>
    <row r="118" spans="1:11" x14ac:dyDescent="0.3">
      <c r="A118" s="135" t="s">
        <v>394</v>
      </c>
      <c r="B118" s="135" t="s">
        <v>156</v>
      </c>
      <c r="C118" s="135" t="s">
        <v>16</v>
      </c>
      <c r="D118" s="135" t="s">
        <v>1980</v>
      </c>
      <c r="E118" s="135">
        <v>15</v>
      </c>
      <c r="F118" s="135">
        <v>3000</v>
      </c>
      <c r="G118" s="135">
        <v>3000</v>
      </c>
      <c r="H118" s="135">
        <v>6</v>
      </c>
      <c r="I118" s="135">
        <v>0</v>
      </c>
      <c r="J118" s="135">
        <v>3000</v>
      </c>
      <c r="K118" s="135">
        <v>0</v>
      </c>
    </row>
    <row r="119" spans="1:11" x14ac:dyDescent="0.3">
      <c r="A119" s="135" t="s">
        <v>399</v>
      </c>
      <c r="B119" s="135" t="s">
        <v>357</v>
      </c>
      <c r="C119" s="135" t="s">
        <v>16</v>
      </c>
      <c r="D119" s="135" t="s">
        <v>1980</v>
      </c>
      <c r="E119" s="135">
        <v>8</v>
      </c>
      <c r="F119" s="135">
        <v>3200</v>
      </c>
      <c r="G119" s="135">
        <v>3800</v>
      </c>
      <c r="H119" s="135">
        <v>7.6</v>
      </c>
      <c r="I119" s="135">
        <v>600</v>
      </c>
      <c r="J119" s="135">
        <v>3800</v>
      </c>
      <c r="K119" s="135">
        <v>0</v>
      </c>
    </row>
    <row r="120" spans="1:11" x14ac:dyDescent="0.3">
      <c r="A120" s="135" t="s">
        <v>405</v>
      </c>
      <c r="B120" s="135" t="s">
        <v>77</v>
      </c>
      <c r="C120" s="135" t="s">
        <v>16</v>
      </c>
      <c r="D120" s="135" t="s">
        <v>1980</v>
      </c>
      <c r="E120" s="135">
        <v>24</v>
      </c>
      <c r="F120" s="135">
        <v>5000</v>
      </c>
      <c r="G120" s="135">
        <v>5000</v>
      </c>
      <c r="H120" s="135">
        <v>10</v>
      </c>
      <c r="I120" s="135">
        <v>0</v>
      </c>
      <c r="J120" s="135">
        <v>5000</v>
      </c>
      <c r="K120" s="135">
        <v>0</v>
      </c>
    </row>
    <row r="121" spans="1:11" x14ac:dyDescent="0.3">
      <c r="A121" s="135" t="s">
        <v>399</v>
      </c>
      <c r="B121" s="135" t="s">
        <v>551</v>
      </c>
      <c r="C121" s="135" t="s">
        <v>43</v>
      </c>
      <c r="D121" s="135" t="s">
        <v>30</v>
      </c>
      <c r="E121" s="135">
        <v>6</v>
      </c>
      <c r="F121" s="135">
        <v>2500</v>
      </c>
      <c r="G121" s="135">
        <v>2500</v>
      </c>
      <c r="H121" s="135">
        <v>5</v>
      </c>
      <c r="I121" s="135">
        <v>0</v>
      </c>
      <c r="J121" s="135">
        <v>2500</v>
      </c>
      <c r="K121" s="135">
        <v>0</v>
      </c>
    </row>
    <row r="122" spans="1:11" x14ac:dyDescent="0.3">
      <c r="A122" s="135" t="s">
        <v>399</v>
      </c>
      <c r="B122" s="135" t="s">
        <v>359</v>
      </c>
      <c r="C122" s="135" t="s">
        <v>43</v>
      </c>
      <c r="D122" s="135" t="s">
        <v>30</v>
      </c>
      <c r="E122" s="135">
        <v>6</v>
      </c>
      <c r="F122" s="135">
        <v>2500</v>
      </c>
      <c r="G122" s="135">
        <v>2500</v>
      </c>
      <c r="H122" s="135">
        <v>5</v>
      </c>
      <c r="I122" s="135">
        <v>0</v>
      </c>
      <c r="J122" s="135">
        <v>2500</v>
      </c>
      <c r="K122" s="135">
        <v>0</v>
      </c>
    </row>
    <row r="123" spans="1:11" x14ac:dyDescent="0.3">
      <c r="A123" s="135" t="s">
        <v>396</v>
      </c>
      <c r="B123" s="135" t="s">
        <v>490</v>
      </c>
      <c r="C123" s="135" t="s">
        <v>43</v>
      </c>
      <c r="D123" s="135" t="s">
        <v>30</v>
      </c>
      <c r="E123" s="135">
        <v>13</v>
      </c>
      <c r="F123" s="135">
        <v>3000</v>
      </c>
      <c r="G123" s="135">
        <v>3000</v>
      </c>
      <c r="H123" s="135">
        <v>6</v>
      </c>
      <c r="I123" s="135">
        <v>0</v>
      </c>
      <c r="J123" s="135">
        <v>3000</v>
      </c>
      <c r="K123" s="135">
        <v>0</v>
      </c>
    </row>
    <row r="124" spans="1:11" x14ac:dyDescent="0.3">
      <c r="A124" s="135" t="s">
        <v>396</v>
      </c>
      <c r="B124" s="135" t="s">
        <v>295</v>
      </c>
      <c r="C124" s="135" t="s">
        <v>43</v>
      </c>
      <c r="D124" s="135" t="s">
        <v>30</v>
      </c>
      <c r="E124" s="135">
        <v>13</v>
      </c>
      <c r="F124" s="135">
        <v>3000</v>
      </c>
      <c r="G124" s="135">
        <v>3000</v>
      </c>
      <c r="H124" s="135">
        <v>6</v>
      </c>
      <c r="I124" s="135">
        <v>0</v>
      </c>
      <c r="J124" s="135">
        <v>3000</v>
      </c>
      <c r="K124" s="135">
        <v>0</v>
      </c>
    </row>
    <row r="125" spans="1:11" x14ac:dyDescent="0.3">
      <c r="A125" s="135" t="s">
        <v>394</v>
      </c>
      <c r="B125" s="135" t="s">
        <v>492</v>
      </c>
      <c r="C125" s="135" t="s">
        <v>43</v>
      </c>
      <c r="D125" s="135" t="s">
        <v>30</v>
      </c>
      <c r="E125" s="135">
        <v>1</v>
      </c>
      <c r="F125" s="135">
        <v>3000</v>
      </c>
      <c r="G125" s="135">
        <v>3000</v>
      </c>
      <c r="H125" s="135">
        <v>6</v>
      </c>
      <c r="I125" s="135">
        <v>0</v>
      </c>
      <c r="J125" s="135">
        <v>3000</v>
      </c>
      <c r="K125" s="135">
        <v>0</v>
      </c>
    </row>
    <row r="126" spans="1:11" x14ac:dyDescent="0.3">
      <c r="A126" s="135" t="s">
        <v>394</v>
      </c>
      <c r="B126" s="135" t="s">
        <v>178</v>
      </c>
      <c r="C126" s="135" t="s">
        <v>43</v>
      </c>
      <c r="D126" s="135" t="s">
        <v>30</v>
      </c>
      <c r="E126" s="135">
        <v>1</v>
      </c>
      <c r="F126" s="135">
        <v>3000</v>
      </c>
      <c r="G126" s="135">
        <v>3000</v>
      </c>
      <c r="H126" s="135">
        <v>6</v>
      </c>
      <c r="I126" s="135">
        <v>0</v>
      </c>
      <c r="J126" s="135">
        <v>3000</v>
      </c>
      <c r="K126" s="135">
        <v>0</v>
      </c>
    </row>
    <row r="127" spans="1:11" x14ac:dyDescent="0.3">
      <c r="A127" s="135" t="s">
        <v>394</v>
      </c>
      <c r="B127" s="135" t="s">
        <v>142</v>
      </c>
      <c r="C127" s="135" t="s">
        <v>43</v>
      </c>
      <c r="D127" s="135" t="s">
        <v>30</v>
      </c>
      <c r="E127" s="135">
        <v>1</v>
      </c>
      <c r="F127" s="135">
        <v>3000</v>
      </c>
      <c r="G127" s="135">
        <v>3000</v>
      </c>
      <c r="H127" s="135">
        <v>6</v>
      </c>
      <c r="I127" s="135">
        <v>0</v>
      </c>
      <c r="J127" s="135">
        <v>3000</v>
      </c>
      <c r="K127" s="135">
        <v>0</v>
      </c>
    </row>
    <row r="128" spans="1:11" x14ac:dyDescent="0.3">
      <c r="A128" s="135" t="s">
        <v>405</v>
      </c>
      <c r="B128" s="135" t="s">
        <v>440</v>
      </c>
      <c r="C128" s="135" t="s">
        <v>43</v>
      </c>
      <c r="D128" s="135" t="s">
        <v>30</v>
      </c>
      <c r="E128" s="135">
        <v>2</v>
      </c>
      <c r="F128" s="135">
        <v>5000</v>
      </c>
      <c r="G128" s="135">
        <v>5000</v>
      </c>
      <c r="H128" s="135">
        <v>10</v>
      </c>
      <c r="I128" s="135">
        <v>0</v>
      </c>
      <c r="J128" s="135">
        <v>5000</v>
      </c>
      <c r="K128" s="135">
        <v>0</v>
      </c>
    </row>
    <row r="129" spans="1:11" x14ac:dyDescent="0.3">
      <c r="A129" s="135" t="s">
        <v>405</v>
      </c>
      <c r="B129" s="135" t="s">
        <v>54</v>
      </c>
      <c r="C129" s="135" t="s">
        <v>43</v>
      </c>
      <c r="D129" s="135" t="s">
        <v>30</v>
      </c>
      <c r="E129" s="135">
        <v>2</v>
      </c>
      <c r="F129" s="135">
        <v>5000</v>
      </c>
      <c r="G129" s="135">
        <v>5000</v>
      </c>
      <c r="H129" s="135">
        <v>10</v>
      </c>
      <c r="I129" s="135">
        <v>0</v>
      </c>
      <c r="J129" s="135">
        <v>5000</v>
      </c>
      <c r="K129" s="135">
        <v>0</v>
      </c>
    </row>
    <row r="130" spans="1:11" x14ac:dyDescent="0.3">
      <c r="A130" s="135" t="s">
        <v>399</v>
      </c>
      <c r="B130" s="135" t="s">
        <v>380</v>
      </c>
      <c r="C130" s="135" t="s">
        <v>30</v>
      </c>
      <c r="D130" s="135" t="s">
        <v>2302</v>
      </c>
      <c r="E130" s="135">
        <v>1</v>
      </c>
      <c r="F130" s="135">
        <v>2500</v>
      </c>
      <c r="G130" s="135">
        <v>2500</v>
      </c>
      <c r="H130" s="135">
        <v>5</v>
      </c>
      <c r="I130" s="135">
        <v>0</v>
      </c>
      <c r="J130" s="135">
        <v>2500</v>
      </c>
      <c r="K130" s="135">
        <v>0</v>
      </c>
    </row>
    <row r="131" spans="1:11" x14ac:dyDescent="0.3">
      <c r="A131" s="135" t="s">
        <v>399</v>
      </c>
      <c r="B131" s="135" t="s">
        <v>346</v>
      </c>
      <c r="C131" s="135" t="s">
        <v>30</v>
      </c>
      <c r="D131" s="135" t="s">
        <v>2302</v>
      </c>
      <c r="E131" s="135">
        <v>1</v>
      </c>
      <c r="F131" s="135">
        <v>2500</v>
      </c>
      <c r="G131" s="135">
        <v>2500</v>
      </c>
      <c r="H131" s="135">
        <v>5</v>
      </c>
      <c r="I131" s="135">
        <v>0</v>
      </c>
      <c r="J131" s="135">
        <v>2500</v>
      </c>
      <c r="K131" s="135">
        <v>0</v>
      </c>
    </row>
    <row r="132" spans="1:11" x14ac:dyDescent="0.3">
      <c r="A132" s="135" t="s">
        <v>396</v>
      </c>
      <c r="B132" s="135" t="s">
        <v>236</v>
      </c>
      <c r="C132" s="135" t="s">
        <v>30</v>
      </c>
      <c r="D132" s="135" t="s">
        <v>2302</v>
      </c>
      <c r="E132" s="135">
        <v>6</v>
      </c>
      <c r="F132" s="135">
        <v>3400</v>
      </c>
      <c r="G132" s="135">
        <v>3000</v>
      </c>
      <c r="H132" s="135">
        <v>6</v>
      </c>
      <c r="I132" s="135">
        <v>-400</v>
      </c>
      <c r="J132" s="135">
        <v>3000</v>
      </c>
      <c r="K132" s="135">
        <v>0</v>
      </c>
    </row>
    <row r="133" spans="1:11" x14ac:dyDescent="0.3">
      <c r="A133" s="135" t="s">
        <v>396</v>
      </c>
      <c r="B133" s="135" t="s">
        <v>288</v>
      </c>
      <c r="C133" s="135" t="s">
        <v>30</v>
      </c>
      <c r="D133" s="135" t="s">
        <v>2302</v>
      </c>
      <c r="E133" s="135">
        <v>6</v>
      </c>
      <c r="F133" s="135">
        <v>3000</v>
      </c>
      <c r="G133" s="135">
        <v>3000</v>
      </c>
      <c r="H133" s="135">
        <v>6</v>
      </c>
      <c r="I133" s="135">
        <v>0</v>
      </c>
      <c r="J133" s="135">
        <v>3000</v>
      </c>
      <c r="K133" s="135">
        <v>0</v>
      </c>
    </row>
    <row r="134" spans="1:11" x14ac:dyDescent="0.3">
      <c r="A134" s="135" t="s">
        <v>396</v>
      </c>
      <c r="B134" s="135" t="s">
        <v>250</v>
      </c>
      <c r="C134" s="135" t="s">
        <v>30</v>
      </c>
      <c r="D134" s="135" t="s">
        <v>2302</v>
      </c>
      <c r="E134" s="135">
        <v>6</v>
      </c>
      <c r="F134" s="135">
        <v>3400</v>
      </c>
      <c r="G134" s="135">
        <v>3000</v>
      </c>
      <c r="H134" s="135">
        <v>6</v>
      </c>
      <c r="I134" s="135">
        <v>-400</v>
      </c>
      <c r="J134" s="135">
        <v>3000</v>
      </c>
      <c r="K134" s="135">
        <v>0</v>
      </c>
    </row>
    <row r="135" spans="1:11" x14ac:dyDescent="0.3">
      <c r="A135" s="135" t="s">
        <v>394</v>
      </c>
      <c r="B135" s="135" t="s">
        <v>112</v>
      </c>
      <c r="C135" s="135" t="s">
        <v>30</v>
      </c>
      <c r="D135" s="135" t="s">
        <v>2302</v>
      </c>
      <c r="E135" s="135">
        <v>10</v>
      </c>
      <c r="F135" s="135">
        <v>3000</v>
      </c>
      <c r="G135" s="135">
        <v>3000</v>
      </c>
      <c r="H135" s="135">
        <v>6</v>
      </c>
      <c r="I135" s="135">
        <v>0</v>
      </c>
      <c r="J135" s="135">
        <v>3000</v>
      </c>
      <c r="K135" s="135">
        <v>0</v>
      </c>
    </row>
    <row r="136" spans="1:11" x14ac:dyDescent="0.3">
      <c r="A136" s="135" t="s">
        <v>394</v>
      </c>
      <c r="B136" s="135" t="s">
        <v>172</v>
      </c>
      <c r="C136" s="135" t="s">
        <v>30</v>
      </c>
      <c r="D136" s="135" t="s">
        <v>2302</v>
      </c>
      <c r="E136" s="135">
        <v>10</v>
      </c>
      <c r="F136" s="135">
        <v>3000</v>
      </c>
      <c r="G136" s="135">
        <v>3000</v>
      </c>
      <c r="H136" s="135">
        <v>6</v>
      </c>
      <c r="I136" s="135">
        <v>0</v>
      </c>
      <c r="J136" s="135">
        <v>3000</v>
      </c>
      <c r="K136" s="135">
        <v>0</v>
      </c>
    </row>
    <row r="137" spans="1:11" x14ac:dyDescent="0.3">
      <c r="A137" s="135" t="s">
        <v>399</v>
      </c>
      <c r="B137" s="135" t="s">
        <v>320</v>
      </c>
      <c r="C137" s="135" t="s">
        <v>30</v>
      </c>
      <c r="D137" s="135" t="s">
        <v>2302</v>
      </c>
      <c r="E137" s="135">
        <v>1</v>
      </c>
      <c r="F137" s="135">
        <v>4500</v>
      </c>
      <c r="G137" s="135">
        <v>5000</v>
      </c>
      <c r="H137" s="135">
        <v>10</v>
      </c>
      <c r="I137" s="135">
        <v>500</v>
      </c>
      <c r="J137" s="135">
        <v>5000</v>
      </c>
      <c r="K137" s="135">
        <v>0</v>
      </c>
    </row>
    <row r="138" spans="1:11" x14ac:dyDescent="0.3">
      <c r="A138" s="135" t="s">
        <v>405</v>
      </c>
      <c r="B138" s="135" t="s">
        <v>64</v>
      </c>
      <c r="C138" s="135" t="s">
        <v>30</v>
      </c>
      <c r="D138" s="135" t="s">
        <v>2302</v>
      </c>
      <c r="E138" s="135">
        <v>5</v>
      </c>
      <c r="F138" s="135">
        <v>5000</v>
      </c>
      <c r="G138" s="135">
        <v>5000</v>
      </c>
      <c r="H138" s="135">
        <v>10</v>
      </c>
      <c r="I138" s="135">
        <v>0</v>
      </c>
      <c r="J138" s="135">
        <v>5000</v>
      </c>
      <c r="K138" s="135">
        <v>0</v>
      </c>
    </row>
    <row r="139" spans="1:11" x14ac:dyDescent="0.3">
      <c r="A139" s="135" t="s">
        <v>399</v>
      </c>
      <c r="B139" s="135" t="s">
        <v>1254</v>
      </c>
      <c r="C139" s="135" t="s">
        <v>18</v>
      </c>
      <c r="D139" s="135" t="s">
        <v>14</v>
      </c>
      <c r="E139" s="135">
        <v>23</v>
      </c>
      <c r="F139" s="135">
        <v>2500</v>
      </c>
      <c r="G139" s="135">
        <v>2500</v>
      </c>
      <c r="H139" s="135">
        <v>5</v>
      </c>
      <c r="I139" s="135">
        <v>0</v>
      </c>
      <c r="J139" s="135">
        <v>2500</v>
      </c>
      <c r="K139" s="135">
        <v>0</v>
      </c>
    </row>
    <row r="140" spans="1:11" x14ac:dyDescent="0.3">
      <c r="A140" s="135" t="s">
        <v>396</v>
      </c>
      <c r="B140" s="135" t="s">
        <v>303</v>
      </c>
      <c r="C140" s="135" t="s">
        <v>18</v>
      </c>
      <c r="D140" s="135" t="s">
        <v>14</v>
      </c>
      <c r="E140" s="135">
        <v>30</v>
      </c>
      <c r="F140" s="135">
        <v>3000</v>
      </c>
      <c r="G140" s="135">
        <v>3000</v>
      </c>
      <c r="H140" s="135">
        <v>6</v>
      </c>
      <c r="I140" s="135">
        <v>0</v>
      </c>
      <c r="J140" s="135">
        <v>3000</v>
      </c>
      <c r="K140" s="135">
        <v>0</v>
      </c>
    </row>
    <row r="141" spans="1:11" x14ac:dyDescent="0.3">
      <c r="A141" s="135" t="s">
        <v>396</v>
      </c>
      <c r="B141" s="135" t="s">
        <v>767</v>
      </c>
      <c r="C141" s="135" t="s">
        <v>18</v>
      </c>
      <c r="D141" s="135" t="s">
        <v>14</v>
      </c>
      <c r="E141" s="135">
        <v>30</v>
      </c>
      <c r="F141" s="135">
        <v>3000</v>
      </c>
      <c r="G141" s="135">
        <v>3000</v>
      </c>
      <c r="H141" s="135">
        <v>6</v>
      </c>
      <c r="I141" s="135">
        <v>0</v>
      </c>
      <c r="J141" s="135">
        <v>3000</v>
      </c>
      <c r="K141" s="135">
        <v>0</v>
      </c>
    </row>
    <row r="142" spans="1:11" x14ac:dyDescent="0.3">
      <c r="A142" s="135" t="s">
        <v>396</v>
      </c>
      <c r="B142" s="135" t="s">
        <v>279</v>
      </c>
      <c r="C142" s="135" t="s">
        <v>18</v>
      </c>
      <c r="D142" s="135" t="s">
        <v>14</v>
      </c>
      <c r="E142" s="135">
        <v>30</v>
      </c>
      <c r="F142" s="135">
        <v>3000</v>
      </c>
      <c r="G142" s="135">
        <v>3000</v>
      </c>
      <c r="H142" s="135">
        <v>6</v>
      </c>
      <c r="I142" s="135">
        <v>0</v>
      </c>
      <c r="J142" s="135">
        <v>3000</v>
      </c>
      <c r="K142" s="135">
        <v>0</v>
      </c>
    </row>
    <row r="143" spans="1:11" x14ac:dyDescent="0.3">
      <c r="A143" s="135" t="s">
        <v>394</v>
      </c>
      <c r="B143" s="135" t="s">
        <v>141</v>
      </c>
      <c r="C143" s="135" t="s">
        <v>18</v>
      </c>
      <c r="D143" s="135" t="s">
        <v>14</v>
      </c>
      <c r="E143" s="135">
        <v>16</v>
      </c>
      <c r="F143" s="135">
        <v>4000</v>
      </c>
      <c r="G143" s="135">
        <v>3400</v>
      </c>
      <c r="H143" s="135">
        <v>6.8</v>
      </c>
      <c r="I143" s="135">
        <v>-600</v>
      </c>
      <c r="J143" s="135">
        <v>3400</v>
      </c>
      <c r="K143" s="135">
        <v>0</v>
      </c>
    </row>
    <row r="144" spans="1:11" x14ac:dyDescent="0.3">
      <c r="A144" s="135" t="s">
        <v>405</v>
      </c>
      <c r="B144" s="135" t="s">
        <v>1549</v>
      </c>
      <c r="C144" s="135" t="s">
        <v>18</v>
      </c>
      <c r="D144" s="135" t="s">
        <v>14</v>
      </c>
      <c r="E144" s="135">
        <v>19</v>
      </c>
      <c r="F144" s="135">
        <v>5000</v>
      </c>
      <c r="G144" s="135">
        <v>5000</v>
      </c>
      <c r="H144" s="135">
        <v>10</v>
      </c>
      <c r="I144" s="135">
        <v>0</v>
      </c>
      <c r="J144" s="135">
        <v>5000</v>
      </c>
      <c r="K144" s="135">
        <v>0</v>
      </c>
    </row>
    <row r="145" spans="1:11" x14ac:dyDescent="0.3">
      <c r="A145" s="135" t="s">
        <v>405</v>
      </c>
      <c r="B145" s="135" t="s">
        <v>1241</v>
      </c>
      <c r="C145" s="135" t="s">
        <v>18</v>
      </c>
      <c r="D145" s="135" t="s">
        <v>14</v>
      </c>
      <c r="E145" s="135">
        <v>19</v>
      </c>
      <c r="F145" s="135">
        <v>5000</v>
      </c>
      <c r="G145" s="135">
        <v>5000</v>
      </c>
      <c r="H145" s="135">
        <v>10</v>
      </c>
      <c r="I145" s="135">
        <v>0</v>
      </c>
      <c r="J145" s="135">
        <v>5000</v>
      </c>
      <c r="K145" s="135">
        <v>0</v>
      </c>
    </row>
    <row r="146" spans="1:11" x14ac:dyDescent="0.3">
      <c r="A146" s="135" t="s">
        <v>399</v>
      </c>
      <c r="B146" s="135" t="s">
        <v>555</v>
      </c>
      <c r="C146" s="135" t="s">
        <v>14</v>
      </c>
      <c r="D146" s="135" t="s">
        <v>2310</v>
      </c>
      <c r="E146" s="135">
        <v>16</v>
      </c>
      <c r="F146" s="135">
        <v>2500</v>
      </c>
      <c r="G146" s="135">
        <v>2500</v>
      </c>
      <c r="H146" s="135">
        <v>5</v>
      </c>
      <c r="I146" s="135">
        <v>0</v>
      </c>
      <c r="J146" s="135">
        <v>2500</v>
      </c>
      <c r="K146" s="135">
        <v>0</v>
      </c>
    </row>
    <row r="147" spans="1:11" x14ac:dyDescent="0.3">
      <c r="A147" s="135" t="s">
        <v>399</v>
      </c>
      <c r="B147" s="135" t="s">
        <v>547</v>
      </c>
      <c r="C147" s="135" t="s">
        <v>14</v>
      </c>
      <c r="D147" s="135" t="s">
        <v>2310</v>
      </c>
      <c r="E147" s="135">
        <v>16</v>
      </c>
      <c r="F147" s="135">
        <v>2500</v>
      </c>
      <c r="G147" s="135">
        <v>2500</v>
      </c>
      <c r="H147" s="135">
        <v>5</v>
      </c>
      <c r="I147" s="135">
        <v>0</v>
      </c>
      <c r="J147" s="135">
        <v>2500</v>
      </c>
      <c r="K147" s="135">
        <v>0</v>
      </c>
    </row>
    <row r="148" spans="1:11" x14ac:dyDescent="0.3">
      <c r="A148" s="135" t="s">
        <v>396</v>
      </c>
      <c r="B148" s="135" t="s">
        <v>524</v>
      </c>
      <c r="C148" s="135" t="s">
        <v>14</v>
      </c>
      <c r="D148" s="135" t="s">
        <v>2310</v>
      </c>
      <c r="E148" s="135">
        <v>26</v>
      </c>
      <c r="F148" s="135">
        <v>3000</v>
      </c>
      <c r="G148" s="135">
        <v>3000</v>
      </c>
      <c r="H148" s="135">
        <v>6</v>
      </c>
      <c r="I148" s="135">
        <v>0</v>
      </c>
      <c r="J148" s="135">
        <v>3000</v>
      </c>
      <c r="K148" s="135">
        <v>0</v>
      </c>
    </row>
    <row r="149" spans="1:11" x14ac:dyDescent="0.3">
      <c r="A149" s="135" t="s">
        <v>396</v>
      </c>
      <c r="B149" s="135" t="s">
        <v>514</v>
      </c>
      <c r="C149" s="135" t="s">
        <v>14</v>
      </c>
      <c r="D149" s="135" t="s">
        <v>2310</v>
      </c>
      <c r="E149" s="135">
        <v>26</v>
      </c>
      <c r="F149" s="135">
        <v>3000</v>
      </c>
      <c r="G149" s="135">
        <v>3000</v>
      </c>
      <c r="H149" s="135">
        <v>6</v>
      </c>
      <c r="I149" s="135">
        <v>0</v>
      </c>
      <c r="J149" s="135">
        <v>3000</v>
      </c>
      <c r="K149" s="135">
        <v>0</v>
      </c>
    </row>
    <row r="150" spans="1:11" x14ac:dyDescent="0.3">
      <c r="A150" s="135" t="s">
        <v>396</v>
      </c>
      <c r="B150" s="135" t="s">
        <v>510</v>
      </c>
      <c r="C150" s="135" t="s">
        <v>14</v>
      </c>
      <c r="D150" s="135" t="s">
        <v>2310</v>
      </c>
      <c r="E150" s="135">
        <v>26</v>
      </c>
      <c r="F150" s="135">
        <v>3000</v>
      </c>
      <c r="G150" s="135">
        <v>3000</v>
      </c>
      <c r="H150" s="135">
        <v>6</v>
      </c>
      <c r="I150" s="135">
        <v>0</v>
      </c>
      <c r="J150" s="135">
        <v>3000</v>
      </c>
      <c r="K150" s="135">
        <v>0</v>
      </c>
    </row>
    <row r="151" spans="1:11" x14ac:dyDescent="0.3">
      <c r="A151" s="135" t="s">
        <v>396</v>
      </c>
      <c r="B151" s="135" t="s">
        <v>257</v>
      </c>
      <c r="C151" s="135" t="s">
        <v>14</v>
      </c>
      <c r="D151" s="135" t="s">
        <v>2310</v>
      </c>
      <c r="E151" s="135">
        <v>26</v>
      </c>
      <c r="F151" s="135">
        <v>3800</v>
      </c>
      <c r="G151" s="135">
        <v>3000</v>
      </c>
      <c r="H151" s="135">
        <v>6</v>
      </c>
      <c r="I151" s="135">
        <v>-800</v>
      </c>
      <c r="J151" s="135">
        <v>3000</v>
      </c>
      <c r="K151" s="135">
        <v>0</v>
      </c>
    </row>
    <row r="152" spans="1:11" x14ac:dyDescent="0.3">
      <c r="A152" s="135" t="s">
        <v>394</v>
      </c>
      <c r="B152" s="135" t="s">
        <v>406</v>
      </c>
      <c r="C152" s="135" t="s">
        <v>14</v>
      </c>
      <c r="D152" s="135" t="s">
        <v>2310</v>
      </c>
      <c r="E152" s="135">
        <v>30</v>
      </c>
      <c r="F152" s="135">
        <v>3000</v>
      </c>
      <c r="G152" s="135">
        <v>3000</v>
      </c>
      <c r="H152" s="135">
        <v>6</v>
      </c>
      <c r="I152" s="135">
        <v>0</v>
      </c>
      <c r="J152" s="135">
        <v>3000</v>
      </c>
      <c r="K152" s="135">
        <v>0</v>
      </c>
    </row>
    <row r="153" spans="1:11" x14ac:dyDescent="0.3">
      <c r="A153" s="135" t="s">
        <v>405</v>
      </c>
      <c r="B153" s="135" t="s">
        <v>445</v>
      </c>
      <c r="C153" s="135" t="s">
        <v>14</v>
      </c>
      <c r="D153" s="135" t="s">
        <v>2310</v>
      </c>
      <c r="E153" s="135">
        <v>21</v>
      </c>
      <c r="F153" s="135">
        <v>5000</v>
      </c>
      <c r="G153" s="135">
        <v>5000</v>
      </c>
      <c r="H153" s="135">
        <v>10</v>
      </c>
      <c r="I153" s="135">
        <v>0</v>
      </c>
      <c r="J153" s="135">
        <v>5000</v>
      </c>
      <c r="K153" s="135">
        <v>0</v>
      </c>
    </row>
    <row r="154" spans="1:11" x14ac:dyDescent="0.3">
      <c r="A154" s="135" t="s">
        <v>399</v>
      </c>
      <c r="B154" s="135" t="s">
        <v>543</v>
      </c>
      <c r="C154" s="135" t="s">
        <v>34</v>
      </c>
      <c r="D154" s="135" t="s">
        <v>7</v>
      </c>
      <c r="E154" s="135">
        <v>10</v>
      </c>
      <c r="F154" s="135">
        <v>2500</v>
      </c>
      <c r="G154" s="135">
        <v>2500</v>
      </c>
      <c r="H154" s="135">
        <v>5</v>
      </c>
      <c r="I154" s="135">
        <v>0</v>
      </c>
      <c r="J154" s="135">
        <v>2500</v>
      </c>
      <c r="K154" s="135">
        <v>0</v>
      </c>
    </row>
    <row r="155" spans="1:11" x14ac:dyDescent="0.3">
      <c r="A155" s="135" t="s">
        <v>399</v>
      </c>
      <c r="B155" s="135" t="s">
        <v>381</v>
      </c>
      <c r="C155" s="135" t="s">
        <v>34</v>
      </c>
      <c r="D155" s="135" t="s">
        <v>7</v>
      </c>
      <c r="E155" s="135">
        <v>10</v>
      </c>
      <c r="F155" s="135">
        <v>2500</v>
      </c>
      <c r="G155" s="135">
        <v>2500</v>
      </c>
      <c r="H155" s="135">
        <v>5</v>
      </c>
      <c r="I155" s="135">
        <v>0</v>
      </c>
      <c r="J155" s="135">
        <v>2500</v>
      </c>
      <c r="K155" s="135">
        <v>0</v>
      </c>
    </row>
    <row r="156" spans="1:11" x14ac:dyDescent="0.3">
      <c r="A156" s="135" t="s">
        <v>396</v>
      </c>
      <c r="B156" s="135" t="s">
        <v>523</v>
      </c>
      <c r="C156" s="135" t="s">
        <v>34</v>
      </c>
      <c r="D156" s="135" t="s">
        <v>7</v>
      </c>
      <c r="E156" s="135">
        <v>1</v>
      </c>
      <c r="F156" s="135">
        <v>3000</v>
      </c>
      <c r="G156" s="135">
        <v>3000</v>
      </c>
      <c r="H156" s="135">
        <v>6</v>
      </c>
      <c r="I156" s="135">
        <v>0</v>
      </c>
      <c r="J156" s="135">
        <v>3000</v>
      </c>
      <c r="K156" s="135">
        <v>0</v>
      </c>
    </row>
    <row r="157" spans="1:11" x14ac:dyDescent="0.3">
      <c r="A157" s="135" t="s">
        <v>396</v>
      </c>
      <c r="B157" s="135" t="s">
        <v>501</v>
      </c>
      <c r="C157" s="135" t="s">
        <v>34</v>
      </c>
      <c r="D157" s="135" t="s">
        <v>7</v>
      </c>
      <c r="E157" s="135">
        <v>1</v>
      </c>
      <c r="F157" s="135">
        <v>3000</v>
      </c>
      <c r="G157" s="135">
        <v>3000</v>
      </c>
      <c r="H157" s="135">
        <v>6</v>
      </c>
      <c r="I157" s="135">
        <v>0</v>
      </c>
      <c r="J157" s="135">
        <v>3000</v>
      </c>
      <c r="K157" s="135">
        <v>0</v>
      </c>
    </row>
    <row r="158" spans="1:11" x14ac:dyDescent="0.3">
      <c r="A158" s="135" t="s">
        <v>396</v>
      </c>
      <c r="B158" s="135" t="s">
        <v>491</v>
      </c>
      <c r="C158" s="135" t="s">
        <v>34</v>
      </c>
      <c r="D158" s="135" t="s">
        <v>7</v>
      </c>
      <c r="E158" s="135">
        <v>1</v>
      </c>
      <c r="F158" s="135">
        <v>3000</v>
      </c>
      <c r="G158" s="135">
        <v>3000</v>
      </c>
      <c r="H158" s="135">
        <v>6</v>
      </c>
      <c r="I158" s="135">
        <v>0</v>
      </c>
      <c r="J158" s="135">
        <v>3000</v>
      </c>
      <c r="K158" s="135">
        <v>0</v>
      </c>
    </row>
    <row r="159" spans="1:11" x14ac:dyDescent="0.3">
      <c r="A159" s="135" t="s">
        <v>405</v>
      </c>
      <c r="B159" s="135" t="s">
        <v>453</v>
      </c>
      <c r="C159" s="135" t="s">
        <v>34</v>
      </c>
      <c r="D159" s="135" t="s">
        <v>7</v>
      </c>
      <c r="E159" s="135">
        <v>8</v>
      </c>
      <c r="F159" s="135">
        <v>5000</v>
      </c>
      <c r="G159" s="135">
        <v>5000</v>
      </c>
      <c r="H159" s="135">
        <v>10</v>
      </c>
      <c r="I159" s="135">
        <v>0</v>
      </c>
      <c r="J159" s="135">
        <v>5000</v>
      </c>
      <c r="K159" s="135">
        <v>0</v>
      </c>
    </row>
    <row r="160" spans="1:11" x14ac:dyDescent="0.3">
      <c r="A160" s="135" t="s">
        <v>405</v>
      </c>
      <c r="B160" s="135" t="s">
        <v>33</v>
      </c>
      <c r="C160" s="135" t="s">
        <v>34</v>
      </c>
      <c r="D160" s="135" t="s">
        <v>7</v>
      </c>
      <c r="E160" s="135">
        <v>8</v>
      </c>
      <c r="F160" s="135">
        <v>5000</v>
      </c>
      <c r="G160" s="135">
        <v>5000</v>
      </c>
      <c r="H160" s="135">
        <v>10</v>
      </c>
      <c r="I160" s="135">
        <v>0</v>
      </c>
      <c r="J160" s="135">
        <v>5000</v>
      </c>
      <c r="K160" s="135">
        <v>0</v>
      </c>
    </row>
    <row r="161" spans="1:11" x14ac:dyDescent="0.3">
      <c r="A161" s="135" t="s">
        <v>405</v>
      </c>
      <c r="B161" s="135" t="s">
        <v>438</v>
      </c>
      <c r="C161" s="135" t="s">
        <v>34</v>
      </c>
      <c r="D161" s="135" t="s">
        <v>7</v>
      </c>
      <c r="E161" s="135">
        <v>8</v>
      </c>
      <c r="F161" s="135">
        <v>5000</v>
      </c>
      <c r="G161" s="135">
        <v>5000</v>
      </c>
      <c r="H161" s="135">
        <v>10</v>
      </c>
      <c r="I161" s="135">
        <v>0</v>
      </c>
      <c r="J161" s="135">
        <v>5000</v>
      </c>
      <c r="K161" s="135">
        <v>0</v>
      </c>
    </row>
    <row r="162" spans="1:11" x14ac:dyDescent="0.3">
      <c r="A162" s="135" t="s">
        <v>399</v>
      </c>
      <c r="B162" s="135" t="s">
        <v>550</v>
      </c>
      <c r="C162" s="135" t="s">
        <v>7</v>
      </c>
      <c r="D162" s="135" t="s">
        <v>2305</v>
      </c>
      <c r="E162" s="135">
        <v>26</v>
      </c>
      <c r="F162" s="135">
        <v>2500</v>
      </c>
      <c r="G162" s="135">
        <v>2500</v>
      </c>
      <c r="H162" s="135">
        <v>5</v>
      </c>
      <c r="I162" s="135">
        <v>0</v>
      </c>
      <c r="J162" s="135">
        <v>2500</v>
      </c>
      <c r="K162" s="135">
        <v>0</v>
      </c>
    </row>
    <row r="163" spans="1:11" x14ac:dyDescent="0.3">
      <c r="A163" s="135" t="s">
        <v>399</v>
      </c>
      <c r="B163" s="135" t="s">
        <v>544</v>
      </c>
      <c r="C163" s="135" t="s">
        <v>7</v>
      </c>
      <c r="D163" s="135" t="s">
        <v>2305</v>
      </c>
      <c r="E163" s="135">
        <v>26</v>
      </c>
      <c r="F163" s="135">
        <v>2500</v>
      </c>
      <c r="G163" s="135">
        <v>2500</v>
      </c>
      <c r="H163" s="135">
        <v>5</v>
      </c>
      <c r="I163" s="135">
        <v>0</v>
      </c>
      <c r="J163" s="135">
        <v>2500</v>
      </c>
      <c r="K163" s="135">
        <v>0</v>
      </c>
    </row>
    <row r="164" spans="1:11" x14ac:dyDescent="0.3">
      <c r="A164" s="135" t="s">
        <v>399</v>
      </c>
      <c r="B164" s="135" t="s">
        <v>351</v>
      </c>
      <c r="C164" s="135" t="s">
        <v>7</v>
      </c>
      <c r="D164" s="135" t="s">
        <v>2305</v>
      </c>
      <c r="E164" s="135">
        <v>26</v>
      </c>
      <c r="F164" s="135">
        <v>2700</v>
      </c>
      <c r="G164" s="135">
        <v>2500</v>
      </c>
      <c r="H164" s="135">
        <v>5</v>
      </c>
      <c r="I164" s="135">
        <v>-200</v>
      </c>
      <c r="J164" s="135">
        <v>2500</v>
      </c>
      <c r="K164" s="135">
        <v>0</v>
      </c>
    </row>
    <row r="165" spans="1:11" x14ac:dyDescent="0.3">
      <c r="A165" s="135" t="s">
        <v>396</v>
      </c>
      <c r="B165" s="135" t="s">
        <v>493</v>
      </c>
      <c r="C165" s="135" t="s">
        <v>7</v>
      </c>
      <c r="D165" s="135" t="s">
        <v>2305</v>
      </c>
      <c r="E165" s="135">
        <v>32</v>
      </c>
      <c r="F165" s="135">
        <v>3000</v>
      </c>
      <c r="G165" s="135">
        <v>3000</v>
      </c>
      <c r="H165" s="135">
        <v>6</v>
      </c>
      <c r="I165" s="135">
        <v>0</v>
      </c>
      <c r="J165" s="135">
        <v>3000</v>
      </c>
      <c r="K165" s="135">
        <v>0</v>
      </c>
    </row>
    <row r="166" spans="1:11" x14ac:dyDescent="0.3">
      <c r="A166" s="135" t="s">
        <v>396</v>
      </c>
      <c r="B166" s="135" t="s">
        <v>267</v>
      </c>
      <c r="C166" s="135" t="s">
        <v>7</v>
      </c>
      <c r="D166" s="135" t="s">
        <v>2305</v>
      </c>
      <c r="E166" s="135">
        <v>32</v>
      </c>
      <c r="F166" s="135">
        <v>3000</v>
      </c>
      <c r="G166" s="135">
        <v>3000</v>
      </c>
      <c r="H166" s="135">
        <v>6</v>
      </c>
      <c r="I166" s="135">
        <v>0</v>
      </c>
      <c r="J166" s="135">
        <v>3000</v>
      </c>
      <c r="K166" s="135">
        <v>0</v>
      </c>
    </row>
    <row r="167" spans="1:11" x14ac:dyDescent="0.3">
      <c r="A167" s="135" t="s">
        <v>394</v>
      </c>
      <c r="B167" s="135" t="s">
        <v>472</v>
      </c>
      <c r="C167" s="135" t="s">
        <v>7</v>
      </c>
      <c r="D167" s="135" t="s">
        <v>2305</v>
      </c>
      <c r="E167" s="135">
        <v>2</v>
      </c>
      <c r="F167" s="135">
        <v>3100</v>
      </c>
      <c r="G167" s="135">
        <v>3000</v>
      </c>
      <c r="H167" s="135">
        <v>6</v>
      </c>
      <c r="I167" s="135">
        <v>-100</v>
      </c>
      <c r="J167" s="135">
        <v>3000</v>
      </c>
      <c r="K167" s="135">
        <v>0</v>
      </c>
    </row>
    <row r="168" spans="1:11" x14ac:dyDescent="0.3">
      <c r="A168" s="135" t="s">
        <v>405</v>
      </c>
      <c r="B168" s="135" t="s">
        <v>446</v>
      </c>
      <c r="C168" s="135" t="s">
        <v>7</v>
      </c>
      <c r="D168" s="135" t="s">
        <v>2305</v>
      </c>
      <c r="E168" s="135">
        <v>25</v>
      </c>
      <c r="F168" s="135">
        <v>5000</v>
      </c>
      <c r="G168" s="135">
        <v>5000</v>
      </c>
      <c r="H168" s="135">
        <v>10</v>
      </c>
      <c r="I168" s="135">
        <v>0</v>
      </c>
      <c r="J168" s="135">
        <v>5000</v>
      </c>
      <c r="K168" s="135">
        <v>0</v>
      </c>
    </row>
    <row r="169" spans="1:11" x14ac:dyDescent="0.3">
      <c r="A169" s="135" t="s">
        <v>399</v>
      </c>
      <c r="B169" s="135" t="s">
        <v>545</v>
      </c>
      <c r="C169" s="135" t="s">
        <v>402</v>
      </c>
      <c r="D169" s="135" t="s">
        <v>10</v>
      </c>
      <c r="E169" s="135">
        <v>11</v>
      </c>
      <c r="F169" s="135">
        <v>2500</v>
      </c>
      <c r="G169" s="135">
        <v>2500</v>
      </c>
      <c r="H169" s="135">
        <v>5</v>
      </c>
      <c r="I169" s="135">
        <v>0</v>
      </c>
      <c r="J169" s="135">
        <v>2500</v>
      </c>
      <c r="K169" s="135">
        <v>0</v>
      </c>
    </row>
    <row r="170" spans="1:11" x14ac:dyDescent="0.3">
      <c r="A170" s="135" t="s">
        <v>399</v>
      </c>
      <c r="B170" s="135" t="s">
        <v>363</v>
      </c>
      <c r="C170" s="135" t="s">
        <v>402</v>
      </c>
      <c r="D170" s="135" t="s">
        <v>10</v>
      </c>
      <c r="E170" s="135">
        <v>11</v>
      </c>
      <c r="F170" s="135">
        <v>2500</v>
      </c>
      <c r="G170" s="135">
        <v>2500</v>
      </c>
      <c r="H170" s="135">
        <v>5</v>
      </c>
      <c r="I170" s="135">
        <v>0</v>
      </c>
      <c r="J170" s="135">
        <v>2500</v>
      </c>
      <c r="K170" s="135">
        <v>0</v>
      </c>
    </row>
    <row r="171" spans="1:11" x14ac:dyDescent="0.3">
      <c r="A171" s="135" t="s">
        <v>396</v>
      </c>
      <c r="B171" s="135" t="s">
        <v>498</v>
      </c>
      <c r="C171" s="135" t="s">
        <v>402</v>
      </c>
      <c r="D171" s="135" t="s">
        <v>10</v>
      </c>
      <c r="E171" s="135">
        <v>27</v>
      </c>
      <c r="F171" s="135">
        <v>3000</v>
      </c>
      <c r="G171" s="135">
        <v>3000</v>
      </c>
      <c r="H171" s="135">
        <v>6</v>
      </c>
      <c r="I171" s="135">
        <v>0</v>
      </c>
      <c r="J171" s="135">
        <v>3000</v>
      </c>
      <c r="K171" s="135">
        <v>0</v>
      </c>
    </row>
    <row r="172" spans="1:11" x14ac:dyDescent="0.3">
      <c r="A172" s="135" t="s">
        <v>394</v>
      </c>
      <c r="B172" s="135" t="s">
        <v>508</v>
      </c>
      <c r="C172" s="135" t="s">
        <v>402</v>
      </c>
      <c r="D172" s="135" t="s">
        <v>10</v>
      </c>
      <c r="E172" s="135">
        <v>24</v>
      </c>
      <c r="F172" s="135">
        <v>3000</v>
      </c>
      <c r="G172" s="135">
        <v>3000</v>
      </c>
      <c r="H172" s="135">
        <v>6</v>
      </c>
      <c r="I172" s="135">
        <v>0</v>
      </c>
      <c r="J172" s="135">
        <v>3000</v>
      </c>
      <c r="K172" s="135">
        <v>0</v>
      </c>
    </row>
    <row r="173" spans="1:11" x14ac:dyDescent="0.3">
      <c r="A173" s="135" t="s">
        <v>394</v>
      </c>
      <c r="B173" s="135" t="s">
        <v>140</v>
      </c>
      <c r="C173" s="135" t="s">
        <v>402</v>
      </c>
      <c r="D173" s="135" t="s">
        <v>10</v>
      </c>
      <c r="E173" s="135">
        <v>24</v>
      </c>
      <c r="F173" s="135">
        <v>3000</v>
      </c>
      <c r="G173" s="135">
        <v>3000</v>
      </c>
      <c r="H173" s="135">
        <v>6</v>
      </c>
      <c r="I173" s="135">
        <v>0</v>
      </c>
      <c r="J173" s="135">
        <v>3000</v>
      </c>
      <c r="K173" s="135">
        <v>0</v>
      </c>
    </row>
    <row r="174" spans="1:11" x14ac:dyDescent="0.3">
      <c r="A174" s="135" t="s">
        <v>394</v>
      </c>
      <c r="B174" s="135" t="s">
        <v>475</v>
      </c>
      <c r="C174" s="135" t="s">
        <v>402</v>
      </c>
      <c r="D174" s="135" t="s">
        <v>10</v>
      </c>
      <c r="E174" s="135">
        <v>24</v>
      </c>
      <c r="F174" s="135">
        <v>3000</v>
      </c>
      <c r="G174" s="135">
        <v>3000</v>
      </c>
      <c r="H174" s="135">
        <v>6</v>
      </c>
      <c r="I174" s="135">
        <v>0</v>
      </c>
      <c r="J174" s="135">
        <v>3000</v>
      </c>
      <c r="K174" s="135">
        <v>0</v>
      </c>
    </row>
    <row r="175" spans="1:11" x14ac:dyDescent="0.3">
      <c r="A175" s="135" t="s">
        <v>399</v>
      </c>
      <c r="B175" s="135" t="s">
        <v>369</v>
      </c>
      <c r="C175" s="135" t="s">
        <v>10</v>
      </c>
      <c r="D175" s="135" t="s">
        <v>1992</v>
      </c>
      <c r="E175" s="135">
        <v>27</v>
      </c>
      <c r="F175" s="135">
        <v>2500</v>
      </c>
      <c r="G175" s="135">
        <v>2500</v>
      </c>
      <c r="H175" s="135">
        <v>5</v>
      </c>
      <c r="I175" s="135">
        <v>0</v>
      </c>
      <c r="J175" s="135">
        <v>2500</v>
      </c>
      <c r="K175" s="135">
        <v>0</v>
      </c>
    </row>
    <row r="176" spans="1:11" x14ac:dyDescent="0.3">
      <c r="A176" s="135" t="s">
        <v>399</v>
      </c>
      <c r="B176" s="135" t="s">
        <v>378</v>
      </c>
      <c r="C176" s="135" t="s">
        <v>10</v>
      </c>
      <c r="D176" s="135" t="s">
        <v>1992</v>
      </c>
      <c r="E176" s="135">
        <v>27</v>
      </c>
      <c r="F176" s="135">
        <v>2500</v>
      </c>
      <c r="G176" s="135">
        <v>2500</v>
      </c>
      <c r="H176" s="135">
        <v>5</v>
      </c>
      <c r="I176" s="135">
        <v>0</v>
      </c>
      <c r="J176" s="135">
        <v>2500</v>
      </c>
      <c r="K176" s="135">
        <v>0</v>
      </c>
    </row>
    <row r="177" spans="1:11" x14ac:dyDescent="0.3">
      <c r="A177" s="135" t="s">
        <v>396</v>
      </c>
      <c r="B177" s="135" t="s">
        <v>306</v>
      </c>
      <c r="C177" s="135" t="s">
        <v>10</v>
      </c>
      <c r="D177" s="135" t="s">
        <v>1992</v>
      </c>
      <c r="E177" s="135">
        <v>14</v>
      </c>
      <c r="F177" s="135">
        <v>3000</v>
      </c>
      <c r="G177" s="135">
        <v>3000</v>
      </c>
      <c r="H177" s="135">
        <v>6</v>
      </c>
      <c r="I177" s="135">
        <v>0</v>
      </c>
      <c r="J177" s="135">
        <v>3000</v>
      </c>
      <c r="K177" s="135">
        <v>0</v>
      </c>
    </row>
    <row r="178" spans="1:11" x14ac:dyDescent="0.3">
      <c r="A178" s="135" t="s">
        <v>396</v>
      </c>
      <c r="B178" s="135" t="s">
        <v>474</v>
      </c>
      <c r="C178" s="135" t="s">
        <v>10</v>
      </c>
      <c r="D178" s="135" t="s">
        <v>1992</v>
      </c>
      <c r="E178" s="135">
        <v>14</v>
      </c>
      <c r="F178" s="135">
        <v>3000</v>
      </c>
      <c r="G178" s="135">
        <v>3000</v>
      </c>
      <c r="H178" s="135">
        <v>6</v>
      </c>
      <c r="I178" s="135">
        <v>0</v>
      </c>
      <c r="J178" s="135">
        <v>3000</v>
      </c>
      <c r="K178" s="135">
        <v>0</v>
      </c>
    </row>
    <row r="179" spans="1:11" x14ac:dyDescent="0.3">
      <c r="A179" s="135" t="s">
        <v>396</v>
      </c>
      <c r="B179" s="135" t="s">
        <v>311</v>
      </c>
      <c r="C179" s="135" t="s">
        <v>10</v>
      </c>
      <c r="D179" s="135" t="s">
        <v>1992</v>
      </c>
      <c r="E179" s="135">
        <v>14</v>
      </c>
      <c r="F179" s="135">
        <v>3000</v>
      </c>
      <c r="G179" s="135">
        <v>3000</v>
      </c>
      <c r="H179" s="135">
        <v>6</v>
      </c>
      <c r="I179" s="135">
        <v>0</v>
      </c>
      <c r="J179" s="135">
        <v>3000</v>
      </c>
      <c r="K179" s="135">
        <v>0</v>
      </c>
    </row>
    <row r="180" spans="1:11" x14ac:dyDescent="0.3">
      <c r="A180" s="135" t="s">
        <v>394</v>
      </c>
      <c r="B180" s="135" t="s">
        <v>513</v>
      </c>
      <c r="C180" s="135" t="s">
        <v>10</v>
      </c>
      <c r="D180" s="135" t="s">
        <v>1992</v>
      </c>
      <c r="E180" s="135">
        <v>14</v>
      </c>
      <c r="F180" s="135">
        <v>3000</v>
      </c>
      <c r="G180" s="135">
        <v>3000</v>
      </c>
      <c r="H180" s="135">
        <v>6</v>
      </c>
      <c r="I180" s="135">
        <v>0</v>
      </c>
      <c r="J180" s="135">
        <v>3000</v>
      </c>
      <c r="K180" s="135">
        <v>0</v>
      </c>
    </row>
    <row r="181" spans="1:11" x14ac:dyDescent="0.3">
      <c r="A181" s="135" t="s">
        <v>394</v>
      </c>
      <c r="B181" s="135" t="s">
        <v>183</v>
      </c>
      <c r="C181" s="135" t="s">
        <v>10</v>
      </c>
      <c r="D181" s="135" t="s">
        <v>1992</v>
      </c>
      <c r="E181" s="135">
        <v>14</v>
      </c>
      <c r="F181" s="135">
        <v>3000</v>
      </c>
      <c r="G181" s="135">
        <v>3000</v>
      </c>
      <c r="H181" s="135">
        <v>6</v>
      </c>
      <c r="I181" s="135">
        <v>0</v>
      </c>
      <c r="J181" s="135">
        <v>3000</v>
      </c>
      <c r="K181" s="135">
        <v>0</v>
      </c>
    </row>
    <row r="182" spans="1:11" x14ac:dyDescent="0.3">
      <c r="A182" s="135" t="s">
        <v>405</v>
      </c>
      <c r="B182" s="135" t="s">
        <v>452</v>
      </c>
      <c r="C182" s="135" t="s">
        <v>10</v>
      </c>
      <c r="D182" s="135" t="s">
        <v>1992</v>
      </c>
      <c r="E182" s="135">
        <v>17</v>
      </c>
      <c r="F182" s="135">
        <v>5000</v>
      </c>
      <c r="G182" s="135">
        <v>5000</v>
      </c>
      <c r="H182" s="135">
        <v>10</v>
      </c>
      <c r="I182" s="135">
        <v>0</v>
      </c>
      <c r="J182" s="135">
        <v>5000</v>
      </c>
      <c r="K182" s="135">
        <v>0</v>
      </c>
    </row>
    <row r="183" spans="1:11" x14ac:dyDescent="0.3">
      <c r="A183" s="135" t="s">
        <v>405</v>
      </c>
      <c r="B183" s="135" t="s">
        <v>1242</v>
      </c>
      <c r="C183" s="135" t="s">
        <v>10</v>
      </c>
      <c r="D183" s="135" t="s">
        <v>1992</v>
      </c>
      <c r="E183" s="135">
        <v>17</v>
      </c>
      <c r="F183" s="135">
        <v>5000</v>
      </c>
      <c r="G183" s="135">
        <v>5000</v>
      </c>
      <c r="H183" s="135">
        <v>10</v>
      </c>
      <c r="I183" s="135">
        <v>0</v>
      </c>
      <c r="J183" s="135">
        <v>5000</v>
      </c>
      <c r="K183" s="135">
        <v>0</v>
      </c>
    </row>
    <row r="184" spans="1:11" x14ac:dyDescent="0.3">
      <c r="A184" s="135" t="s">
        <v>399</v>
      </c>
      <c r="B184" s="135" t="s">
        <v>552</v>
      </c>
      <c r="C184" s="135" t="s">
        <v>50</v>
      </c>
      <c r="D184" s="135" t="s">
        <v>22</v>
      </c>
      <c r="E184" s="135">
        <v>24</v>
      </c>
      <c r="F184" s="135">
        <v>2500</v>
      </c>
      <c r="G184" s="135">
        <v>2500</v>
      </c>
      <c r="H184" s="135">
        <v>5</v>
      </c>
      <c r="I184" s="135">
        <v>0</v>
      </c>
      <c r="J184" s="135">
        <v>2500</v>
      </c>
      <c r="K184" s="135">
        <v>0</v>
      </c>
    </row>
    <row r="185" spans="1:11" x14ac:dyDescent="0.3">
      <c r="A185" s="135" t="s">
        <v>399</v>
      </c>
      <c r="B185" s="135" t="s">
        <v>376</v>
      </c>
      <c r="C185" s="135" t="s">
        <v>50</v>
      </c>
      <c r="D185" s="135" t="s">
        <v>22</v>
      </c>
      <c r="E185" s="135">
        <v>24</v>
      </c>
      <c r="F185" s="135">
        <v>2500</v>
      </c>
      <c r="G185" s="135">
        <v>2500</v>
      </c>
      <c r="H185" s="135">
        <v>5</v>
      </c>
      <c r="I185" s="135">
        <v>0</v>
      </c>
      <c r="J185" s="135">
        <v>2500</v>
      </c>
      <c r="K185" s="135">
        <v>0</v>
      </c>
    </row>
    <row r="186" spans="1:11" x14ac:dyDescent="0.3">
      <c r="A186" s="135" t="s">
        <v>396</v>
      </c>
      <c r="B186" s="135" t="s">
        <v>271</v>
      </c>
      <c r="C186" s="135" t="s">
        <v>50</v>
      </c>
      <c r="D186" s="135" t="s">
        <v>22</v>
      </c>
      <c r="E186" s="135">
        <v>3</v>
      </c>
      <c r="F186" s="135">
        <v>3000</v>
      </c>
      <c r="G186" s="135">
        <v>3000</v>
      </c>
      <c r="H186" s="135">
        <v>6</v>
      </c>
      <c r="I186" s="135">
        <v>0</v>
      </c>
      <c r="J186" s="135">
        <v>3000</v>
      </c>
      <c r="K186" s="135">
        <v>0</v>
      </c>
    </row>
    <row r="187" spans="1:11" x14ac:dyDescent="0.3">
      <c r="A187" s="135" t="s">
        <v>396</v>
      </c>
      <c r="B187" s="135" t="s">
        <v>284</v>
      </c>
      <c r="C187" s="135" t="s">
        <v>50</v>
      </c>
      <c r="D187" s="135" t="s">
        <v>22</v>
      </c>
      <c r="E187" s="135">
        <v>3</v>
      </c>
      <c r="F187" s="135">
        <v>3100</v>
      </c>
      <c r="G187" s="135">
        <v>3000</v>
      </c>
      <c r="H187" s="135">
        <v>6</v>
      </c>
      <c r="I187" s="135">
        <v>-100</v>
      </c>
      <c r="J187" s="135">
        <v>3000</v>
      </c>
      <c r="K187" s="135">
        <v>0</v>
      </c>
    </row>
    <row r="188" spans="1:11" x14ac:dyDescent="0.3">
      <c r="A188" s="135" t="s">
        <v>396</v>
      </c>
      <c r="B188" s="135" t="s">
        <v>477</v>
      </c>
      <c r="C188" s="135" t="s">
        <v>50</v>
      </c>
      <c r="D188" s="135" t="s">
        <v>22</v>
      </c>
      <c r="E188" s="135">
        <v>3</v>
      </c>
      <c r="F188" s="135">
        <v>3000</v>
      </c>
      <c r="G188" s="135">
        <v>3000</v>
      </c>
      <c r="H188" s="135">
        <v>6</v>
      </c>
      <c r="I188" s="135">
        <v>0</v>
      </c>
      <c r="J188" s="135">
        <v>3000</v>
      </c>
      <c r="K188" s="135">
        <v>0</v>
      </c>
    </row>
    <row r="189" spans="1:11" x14ac:dyDescent="0.3">
      <c r="A189" s="135" t="s">
        <v>396</v>
      </c>
      <c r="B189" s="135" t="s">
        <v>317</v>
      </c>
      <c r="C189" s="135" t="s">
        <v>50</v>
      </c>
      <c r="D189" s="135" t="s">
        <v>22</v>
      </c>
      <c r="E189" s="135">
        <v>3</v>
      </c>
      <c r="F189" s="135">
        <v>3000</v>
      </c>
      <c r="G189" s="135">
        <v>3000</v>
      </c>
      <c r="H189" s="135">
        <v>6</v>
      </c>
      <c r="I189" s="135">
        <v>0</v>
      </c>
      <c r="J189" s="135">
        <v>3000</v>
      </c>
      <c r="K189" s="135">
        <v>0</v>
      </c>
    </row>
    <row r="190" spans="1:11" x14ac:dyDescent="0.3">
      <c r="A190" s="135" t="s">
        <v>394</v>
      </c>
      <c r="B190" s="135" t="s">
        <v>169</v>
      </c>
      <c r="C190" s="135" t="s">
        <v>50</v>
      </c>
      <c r="D190" s="135" t="s">
        <v>22</v>
      </c>
      <c r="E190" s="135">
        <v>19</v>
      </c>
      <c r="F190" s="135">
        <v>3000</v>
      </c>
      <c r="G190" s="135">
        <v>3000</v>
      </c>
      <c r="H190" s="135">
        <v>6</v>
      </c>
      <c r="I190" s="135">
        <v>0</v>
      </c>
      <c r="J190" s="135">
        <v>3000</v>
      </c>
      <c r="K190" s="135">
        <v>0</v>
      </c>
    </row>
    <row r="191" spans="1:11" x14ac:dyDescent="0.3">
      <c r="A191" s="135" t="s">
        <v>394</v>
      </c>
      <c r="B191" s="135" t="s">
        <v>135</v>
      </c>
      <c r="C191" s="135" t="s">
        <v>50</v>
      </c>
      <c r="D191" s="135" t="s">
        <v>22</v>
      </c>
      <c r="E191" s="135">
        <v>19</v>
      </c>
      <c r="F191" s="135">
        <v>4200</v>
      </c>
      <c r="G191" s="135">
        <v>4500</v>
      </c>
      <c r="H191" s="135">
        <v>9</v>
      </c>
      <c r="I191" s="135">
        <v>300</v>
      </c>
      <c r="J191" s="135">
        <v>4500</v>
      </c>
      <c r="K191" s="135">
        <v>0</v>
      </c>
    </row>
    <row r="192" spans="1:11" x14ac:dyDescent="0.3">
      <c r="A192" s="135" t="s">
        <v>405</v>
      </c>
      <c r="B192" s="135" t="s">
        <v>53</v>
      </c>
      <c r="C192" s="135" t="s">
        <v>50</v>
      </c>
      <c r="D192" s="135" t="s">
        <v>22</v>
      </c>
      <c r="E192" s="135">
        <v>14</v>
      </c>
      <c r="F192" s="135">
        <v>5000</v>
      </c>
      <c r="G192" s="135">
        <v>5000</v>
      </c>
      <c r="H192" s="135">
        <v>10</v>
      </c>
      <c r="I192" s="135">
        <v>0</v>
      </c>
      <c r="J192" s="135">
        <v>5000</v>
      </c>
      <c r="K192" s="135">
        <v>0</v>
      </c>
    </row>
    <row r="193" spans="1:11" x14ac:dyDescent="0.3">
      <c r="A193" s="135" t="s">
        <v>396</v>
      </c>
      <c r="B193" s="135" t="s">
        <v>277</v>
      </c>
      <c r="C193" s="135" t="s">
        <v>50</v>
      </c>
      <c r="D193" s="135" t="s">
        <v>22</v>
      </c>
      <c r="E193" s="135">
        <v>3</v>
      </c>
      <c r="F193" s="135">
        <v>5100</v>
      </c>
      <c r="G193" s="135">
        <v>5700</v>
      </c>
      <c r="H193" s="135">
        <v>11.4</v>
      </c>
      <c r="I193" s="135">
        <v>600</v>
      </c>
      <c r="J193" s="135">
        <v>5700</v>
      </c>
      <c r="K193" s="135">
        <v>0</v>
      </c>
    </row>
    <row r="194" spans="1:11" x14ac:dyDescent="0.3">
      <c r="A194" s="135" t="s">
        <v>399</v>
      </c>
      <c r="B194" s="135" t="s">
        <v>558</v>
      </c>
      <c r="C194" s="135" t="s">
        <v>50</v>
      </c>
      <c r="D194" s="135" t="s">
        <v>22</v>
      </c>
      <c r="E194" s="135">
        <v>24</v>
      </c>
      <c r="F194" s="135">
        <v>2500</v>
      </c>
      <c r="G194" s="135">
        <v>2500</v>
      </c>
      <c r="H194" s="135">
        <v>5</v>
      </c>
      <c r="I194" s="135">
        <v>0</v>
      </c>
      <c r="J194" s="135">
        <v>2500</v>
      </c>
      <c r="K194" s="135">
        <v>0</v>
      </c>
    </row>
    <row r="195" spans="1:11" x14ac:dyDescent="0.3">
      <c r="A195" s="135" t="s">
        <v>399</v>
      </c>
      <c r="B195" s="135" t="s">
        <v>382</v>
      </c>
      <c r="C195" s="135" t="s">
        <v>22</v>
      </c>
      <c r="D195" s="135" t="s">
        <v>2296</v>
      </c>
      <c r="E195" s="135">
        <v>32</v>
      </c>
      <c r="F195" s="135">
        <v>2500</v>
      </c>
      <c r="G195" s="135">
        <v>2500</v>
      </c>
      <c r="H195" s="135">
        <v>5</v>
      </c>
      <c r="I195" s="135">
        <v>0</v>
      </c>
      <c r="J195" s="135">
        <v>2500</v>
      </c>
      <c r="K195" s="135">
        <v>0</v>
      </c>
    </row>
    <row r="196" spans="1:11" x14ac:dyDescent="0.3">
      <c r="A196" s="135" t="s">
        <v>399</v>
      </c>
      <c r="B196" s="135" t="s">
        <v>353</v>
      </c>
      <c r="C196" s="135" t="s">
        <v>22</v>
      </c>
      <c r="D196" s="135" t="s">
        <v>2296</v>
      </c>
      <c r="E196" s="135">
        <v>32</v>
      </c>
      <c r="F196" s="135">
        <v>2500</v>
      </c>
      <c r="G196" s="135">
        <v>2500</v>
      </c>
      <c r="H196" s="135">
        <v>5</v>
      </c>
      <c r="I196" s="135">
        <v>0</v>
      </c>
      <c r="J196" s="135">
        <v>2500</v>
      </c>
      <c r="K196" s="135">
        <v>0</v>
      </c>
    </row>
    <row r="197" spans="1:11" x14ac:dyDescent="0.3">
      <c r="A197" s="135" t="s">
        <v>396</v>
      </c>
      <c r="B197" s="135" t="s">
        <v>1551</v>
      </c>
      <c r="C197" s="135" t="s">
        <v>22</v>
      </c>
      <c r="D197" s="135" t="s">
        <v>2296</v>
      </c>
      <c r="E197" s="135">
        <v>4</v>
      </c>
      <c r="F197" s="135">
        <v>3000</v>
      </c>
      <c r="G197" s="135">
        <v>3000</v>
      </c>
      <c r="H197" s="135">
        <v>6</v>
      </c>
      <c r="I197" s="135">
        <v>0</v>
      </c>
      <c r="J197" s="135">
        <v>3000</v>
      </c>
      <c r="K197" s="135">
        <v>0</v>
      </c>
    </row>
    <row r="198" spans="1:11" x14ac:dyDescent="0.3">
      <c r="A198" s="135" t="s">
        <v>396</v>
      </c>
      <c r="B198" s="135" t="s">
        <v>246</v>
      </c>
      <c r="C198" s="135" t="s">
        <v>22</v>
      </c>
      <c r="D198" s="135" t="s">
        <v>2296</v>
      </c>
      <c r="E198" s="135">
        <v>4</v>
      </c>
      <c r="F198" s="135">
        <v>3000</v>
      </c>
      <c r="G198" s="135">
        <v>3000</v>
      </c>
      <c r="H198" s="135">
        <v>6</v>
      </c>
      <c r="I198" s="135">
        <v>0</v>
      </c>
      <c r="J198" s="135">
        <v>3000</v>
      </c>
      <c r="K198" s="135">
        <v>0</v>
      </c>
    </row>
    <row r="199" spans="1:11" x14ac:dyDescent="0.3">
      <c r="A199" s="135" t="s">
        <v>396</v>
      </c>
      <c r="B199" s="135" t="s">
        <v>297</v>
      </c>
      <c r="C199" s="135" t="s">
        <v>22</v>
      </c>
      <c r="D199" s="135" t="s">
        <v>2296</v>
      </c>
      <c r="E199" s="135">
        <v>4</v>
      </c>
      <c r="F199" s="135">
        <v>3000</v>
      </c>
      <c r="G199" s="135">
        <v>3000</v>
      </c>
      <c r="H199" s="135">
        <v>6</v>
      </c>
      <c r="I199" s="135">
        <v>0</v>
      </c>
      <c r="J199" s="135">
        <v>3000</v>
      </c>
      <c r="K199" s="135">
        <v>0</v>
      </c>
    </row>
    <row r="200" spans="1:11" x14ac:dyDescent="0.3">
      <c r="A200" s="135" t="s">
        <v>394</v>
      </c>
      <c r="B200" s="135" t="s">
        <v>138</v>
      </c>
      <c r="C200" s="135" t="s">
        <v>22</v>
      </c>
      <c r="D200" s="135" t="s">
        <v>2296</v>
      </c>
      <c r="E200" s="135">
        <v>27</v>
      </c>
      <c r="F200" s="135">
        <v>3000</v>
      </c>
      <c r="G200" s="135">
        <v>3000</v>
      </c>
      <c r="H200" s="135">
        <v>6</v>
      </c>
      <c r="I200" s="135">
        <v>0</v>
      </c>
      <c r="J200" s="135">
        <v>3000</v>
      </c>
      <c r="K200" s="135">
        <v>0</v>
      </c>
    </row>
    <row r="201" spans="1:11" x14ac:dyDescent="0.3">
      <c r="A201" s="135" t="s">
        <v>396</v>
      </c>
      <c r="B201" s="135" t="s">
        <v>222</v>
      </c>
      <c r="C201" s="135" t="s">
        <v>22</v>
      </c>
      <c r="D201" s="135" t="s">
        <v>2296</v>
      </c>
      <c r="E201" s="135">
        <v>4</v>
      </c>
      <c r="F201" s="135">
        <v>4100</v>
      </c>
      <c r="G201" s="135">
        <v>3700</v>
      </c>
      <c r="H201" s="135">
        <v>7.4</v>
      </c>
      <c r="I201" s="135">
        <v>-400</v>
      </c>
      <c r="J201" s="135">
        <v>3700</v>
      </c>
      <c r="K201" s="135">
        <v>0</v>
      </c>
    </row>
    <row r="202" spans="1:11" x14ac:dyDescent="0.3">
      <c r="A202" s="135" t="s">
        <v>394</v>
      </c>
      <c r="B202" s="135" t="s">
        <v>90</v>
      </c>
      <c r="C202" s="135" t="s">
        <v>22</v>
      </c>
      <c r="D202" s="135" t="s">
        <v>2296</v>
      </c>
      <c r="E202" s="135">
        <v>27</v>
      </c>
      <c r="F202" s="135">
        <v>5100</v>
      </c>
      <c r="G202" s="135">
        <v>4800</v>
      </c>
      <c r="H202" s="135">
        <v>9.6</v>
      </c>
      <c r="I202" s="135">
        <v>-300</v>
      </c>
      <c r="J202" s="135">
        <v>4800</v>
      </c>
      <c r="K202" s="135">
        <v>0</v>
      </c>
    </row>
    <row r="203" spans="1:11" x14ac:dyDescent="0.3">
      <c r="A203" s="135" t="s">
        <v>405</v>
      </c>
      <c r="B203" s="135" t="s">
        <v>1546</v>
      </c>
      <c r="C203" s="135" t="s">
        <v>22</v>
      </c>
      <c r="D203" s="135" t="s">
        <v>2296</v>
      </c>
      <c r="E203" s="135">
        <v>30</v>
      </c>
      <c r="F203" s="135">
        <v>5000</v>
      </c>
      <c r="G203" s="135">
        <v>5000</v>
      </c>
      <c r="H203" s="135">
        <v>10</v>
      </c>
      <c r="I203" s="135">
        <v>0</v>
      </c>
      <c r="J203" s="135">
        <v>5000</v>
      </c>
      <c r="K203" s="135">
        <v>0</v>
      </c>
    </row>
    <row r="204" spans="1:11" x14ac:dyDescent="0.3">
      <c r="A204" s="135" t="s">
        <v>405</v>
      </c>
      <c r="B204" s="135" t="s">
        <v>80</v>
      </c>
      <c r="C204" s="135" t="s">
        <v>22</v>
      </c>
      <c r="D204" s="135" t="s">
        <v>2296</v>
      </c>
      <c r="E204" s="135">
        <v>30</v>
      </c>
      <c r="F204" s="135">
        <v>5000</v>
      </c>
      <c r="G204" s="135">
        <v>5000</v>
      </c>
      <c r="H204" s="135">
        <v>10</v>
      </c>
      <c r="I204" s="135">
        <v>0</v>
      </c>
      <c r="J204" s="135">
        <v>5000</v>
      </c>
      <c r="K204" s="135">
        <v>0</v>
      </c>
    </row>
    <row r="205" spans="1:11" x14ac:dyDescent="0.3">
      <c r="A205" s="135" t="s">
        <v>405</v>
      </c>
      <c r="B205" s="135" t="s">
        <v>21</v>
      </c>
      <c r="C205" s="135" t="s">
        <v>22</v>
      </c>
      <c r="D205" s="135" t="s">
        <v>2296</v>
      </c>
      <c r="E205" s="135">
        <v>30</v>
      </c>
      <c r="F205" s="135">
        <v>7700</v>
      </c>
      <c r="G205" s="135">
        <v>7800</v>
      </c>
      <c r="H205" s="135">
        <v>15.6</v>
      </c>
      <c r="I205" s="135">
        <v>100</v>
      </c>
      <c r="J205" s="135">
        <v>7800</v>
      </c>
      <c r="K205" s="135">
        <v>0</v>
      </c>
    </row>
    <row r="206" spans="1:11" x14ac:dyDescent="0.3">
      <c r="A206" s="135" t="s">
        <v>399</v>
      </c>
      <c r="B206" s="135" t="s">
        <v>350</v>
      </c>
      <c r="C206" s="135" t="s">
        <v>32</v>
      </c>
      <c r="D206" s="135" t="s">
        <v>4</v>
      </c>
      <c r="E206" s="135">
        <v>20</v>
      </c>
      <c r="F206" s="135">
        <v>2600</v>
      </c>
      <c r="G206" s="135">
        <v>2500</v>
      </c>
      <c r="H206" s="135">
        <v>5</v>
      </c>
      <c r="I206" s="135">
        <v>-100</v>
      </c>
      <c r="J206" s="135">
        <v>2500</v>
      </c>
      <c r="K206" s="135">
        <v>0</v>
      </c>
    </row>
    <row r="207" spans="1:11" x14ac:dyDescent="0.3">
      <c r="A207" s="135" t="s">
        <v>399</v>
      </c>
      <c r="B207" s="135" t="s">
        <v>330</v>
      </c>
      <c r="C207" s="135" t="s">
        <v>32</v>
      </c>
      <c r="D207" s="135" t="s">
        <v>4</v>
      </c>
      <c r="E207" s="135">
        <v>20</v>
      </c>
      <c r="F207" s="135">
        <v>2600</v>
      </c>
      <c r="G207" s="135">
        <v>2500</v>
      </c>
      <c r="H207" s="135">
        <v>5</v>
      </c>
      <c r="I207" s="135">
        <v>-100</v>
      </c>
      <c r="J207" s="135">
        <v>2500</v>
      </c>
      <c r="K207" s="135">
        <v>0</v>
      </c>
    </row>
    <row r="208" spans="1:11" x14ac:dyDescent="0.3">
      <c r="A208" s="135" t="s">
        <v>396</v>
      </c>
      <c r="B208" s="135" t="s">
        <v>462</v>
      </c>
      <c r="C208" s="135" t="s">
        <v>32</v>
      </c>
      <c r="D208" s="135" t="s">
        <v>4</v>
      </c>
      <c r="E208" s="135">
        <v>29</v>
      </c>
      <c r="F208" s="135">
        <v>3700</v>
      </c>
      <c r="G208" s="135">
        <v>3000</v>
      </c>
      <c r="H208" s="135">
        <v>6</v>
      </c>
      <c r="I208" s="135">
        <v>-700</v>
      </c>
      <c r="J208" s="135">
        <v>3000</v>
      </c>
      <c r="K208" s="135">
        <v>0</v>
      </c>
    </row>
    <row r="209" spans="1:11" x14ac:dyDescent="0.3">
      <c r="A209" s="135" t="s">
        <v>396</v>
      </c>
      <c r="B209" s="135" t="s">
        <v>497</v>
      </c>
      <c r="C209" s="135" t="s">
        <v>32</v>
      </c>
      <c r="D209" s="135" t="s">
        <v>4</v>
      </c>
      <c r="E209" s="135">
        <v>29</v>
      </c>
      <c r="F209" s="135">
        <v>3000</v>
      </c>
      <c r="G209" s="135">
        <v>3000</v>
      </c>
      <c r="H209" s="135">
        <v>6</v>
      </c>
      <c r="I209" s="135">
        <v>0</v>
      </c>
      <c r="J209" s="135">
        <v>3000</v>
      </c>
      <c r="K209" s="135">
        <v>0</v>
      </c>
    </row>
    <row r="210" spans="1:11" x14ac:dyDescent="0.3">
      <c r="A210" s="135" t="s">
        <v>394</v>
      </c>
      <c r="B210" s="135" t="s">
        <v>116</v>
      </c>
      <c r="C210" s="135" t="s">
        <v>32</v>
      </c>
      <c r="D210" s="135" t="s">
        <v>4</v>
      </c>
      <c r="E210" s="135">
        <v>5</v>
      </c>
      <c r="F210" s="135">
        <v>3600</v>
      </c>
      <c r="G210" s="135">
        <v>3000</v>
      </c>
      <c r="H210" s="135">
        <v>6</v>
      </c>
      <c r="I210" s="135">
        <v>-600</v>
      </c>
      <c r="J210" s="135">
        <v>3000</v>
      </c>
      <c r="K210" s="135">
        <v>0</v>
      </c>
    </row>
    <row r="211" spans="1:11" x14ac:dyDescent="0.3">
      <c r="A211" s="135" t="s">
        <v>394</v>
      </c>
      <c r="B211" s="135" t="s">
        <v>155</v>
      </c>
      <c r="C211" s="135" t="s">
        <v>32</v>
      </c>
      <c r="D211" s="135" t="s">
        <v>4</v>
      </c>
      <c r="E211" s="135">
        <v>5</v>
      </c>
      <c r="F211" s="135">
        <v>3100</v>
      </c>
      <c r="G211" s="135">
        <v>3000</v>
      </c>
      <c r="H211" s="135">
        <v>6</v>
      </c>
      <c r="I211" s="135">
        <v>-100</v>
      </c>
      <c r="J211" s="135">
        <v>3000</v>
      </c>
      <c r="K211" s="135">
        <v>0</v>
      </c>
    </row>
    <row r="212" spans="1:11" x14ac:dyDescent="0.3">
      <c r="A212" s="135" t="s">
        <v>405</v>
      </c>
      <c r="B212" s="135" t="s">
        <v>61</v>
      </c>
      <c r="C212" s="135" t="s">
        <v>32</v>
      </c>
      <c r="D212" s="135" t="s">
        <v>4</v>
      </c>
      <c r="E212" s="135">
        <v>16</v>
      </c>
      <c r="F212" s="135">
        <v>5000</v>
      </c>
      <c r="G212" s="135">
        <v>5000</v>
      </c>
      <c r="H212" s="135">
        <v>10</v>
      </c>
      <c r="I212" s="135">
        <v>0</v>
      </c>
      <c r="J212" s="135">
        <v>5000</v>
      </c>
      <c r="K212" s="135">
        <v>0</v>
      </c>
    </row>
    <row r="213" spans="1:11" x14ac:dyDescent="0.3">
      <c r="A213" s="135" t="s">
        <v>399</v>
      </c>
      <c r="B213" s="135" t="s">
        <v>347</v>
      </c>
      <c r="C213" s="135" t="s">
        <v>4</v>
      </c>
      <c r="D213" s="135" t="s">
        <v>2297</v>
      </c>
      <c r="E213" s="135">
        <v>9</v>
      </c>
      <c r="F213" s="135">
        <v>2600</v>
      </c>
      <c r="G213" s="135">
        <v>2500</v>
      </c>
      <c r="H213" s="135">
        <v>5</v>
      </c>
      <c r="I213" s="135">
        <v>-100</v>
      </c>
      <c r="J213" s="135">
        <v>2500</v>
      </c>
      <c r="K213" s="135">
        <v>0</v>
      </c>
    </row>
    <row r="214" spans="1:11" x14ac:dyDescent="0.3">
      <c r="A214" s="135" t="s">
        <v>399</v>
      </c>
      <c r="B214" s="135" t="s">
        <v>367</v>
      </c>
      <c r="C214" s="135" t="s">
        <v>4</v>
      </c>
      <c r="D214" s="135" t="s">
        <v>2297</v>
      </c>
      <c r="E214" s="135">
        <v>9</v>
      </c>
      <c r="F214" s="135">
        <v>2500</v>
      </c>
      <c r="G214" s="135">
        <v>2500</v>
      </c>
      <c r="H214" s="135">
        <v>5</v>
      </c>
      <c r="I214" s="135">
        <v>0</v>
      </c>
      <c r="J214" s="135">
        <v>2500</v>
      </c>
      <c r="K214" s="135">
        <v>0</v>
      </c>
    </row>
    <row r="215" spans="1:11" x14ac:dyDescent="0.3">
      <c r="A215" s="135" t="s">
        <v>396</v>
      </c>
      <c r="B215" s="135" t="s">
        <v>526</v>
      </c>
      <c r="C215" s="135" t="s">
        <v>4</v>
      </c>
      <c r="D215" s="135" t="s">
        <v>2297</v>
      </c>
      <c r="E215" s="135">
        <v>17</v>
      </c>
      <c r="F215" s="135">
        <v>3000</v>
      </c>
      <c r="G215" s="135">
        <v>3000</v>
      </c>
      <c r="H215" s="135">
        <v>6</v>
      </c>
      <c r="I215" s="135">
        <v>0</v>
      </c>
      <c r="J215" s="135">
        <v>3000</v>
      </c>
      <c r="K215" s="135">
        <v>0</v>
      </c>
    </row>
    <row r="216" spans="1:11" x14ac:dyDescent="0.3">
      <c r="A216" s="135" t="s">
        <v>396</v>
      </c>
      <c r="B216" s="135" t="s">
        <v>274</v>
      </c>
      <c r="C216" s="135" t="s">
        <v>4</v>
      </c>
      <c r="D216" s="135" t="s">
        <v>2297</v>
      </c>
      <c r="E216" s="135">
        <v>17</v>
      </c>
      <c r="F216" s="135">
        <v>3200</v>
      </c>
      <c r="G216" s="135">
        <v>3000</v>
      </c>
      <c r="H216" s="135">
        <v>6</v>
      </c>
      <c r="I216" s="135">
        <v>-200</v>
      </c>
      <c r="J216" s="135">
        <v>3000</v>
      </c>
      <c r="K216" s="135">
        <v>0</v>
      </c>
    </row>
    <row r="217" spans="1:11" x14ac:dyDescent="0.3">
      <c r="A217" s="135" t="s">
        <v>394</v>
      </c>
      <c r="B217" s="135" t="s">
        <v>154</v>
      </c>
      <c r="C217" s="135" t="s">
        <v>4</v>
      </c>
      <c r="D217" s="135" t="s">
        <v>2297</v>
      </c>
      <c r="E217" s="135">
        <v>8</v>
      </c>
      <c r="F217" s="135">
        <v>3000</v>
      </c>
      <c r="G217" s="135">
        <v>3000</v>
      </c>
      <c r="H217" s="135">
        <v>6</v>
      </c>
      <c r="I217" s="135">
        <v>0</v>
      </c>
      <c r="J217" s="135">
        <v>3000</v>
      </c>
      <c r="K217" s="135">
        <v>0</v>
      </c>
    </row>
    <row r="218" spans="1:11" x14ac:dyDescent="0.3">
      <c r="A218" s="135" t="s">
        <v>394</v>
      </c>
      <c r="B218" s="135" t="s">
        <v>166</v>
      </c>
      <c r="C218" s="135" t="s">
        <v>4</v>
      </c>
      <c r="D218" s="135" t="s">
        <v>2297</v>
      </c>
      <c r="E218" s="135">
        <v>8</v>
      </c>
      <c r="F218" s="135">
        <v>3000</v>
      </c>
      <c r="G218" s="135">
        <v>3000</v>
      </c>
      <c r="H218" s="135">
        <v>6</v>
      </c>
      <c r="I218" s="135">
        <v>0</v>
      </c>
      <c r="J218" s="135">
        <v>3000</v>
      </c>
      <c r="K218" s="135">
        <v>0</v>
      </c>
    </row>
    <row r="219" spans="1:11" x14ac:dyDescent="0.3">
      <c r="A219" s="135" t="s">
        <v>396</v>
      </c>
      <c r="B219" s="135" t="s">
        <v>245</v>
      </c>
      <c r="C219" s="135" t="s">
        <v>4</v>
      </c>
      <c r="D219" s="135" t="s">
        <v>2297</v>
      </c>
      <c r="E219" s="135">
        <v>17</v>
      </c>
      <c r="F219" s="135">
        <v>3800</v>
      </c>
      <c r="G219" s="135">
        <v>3500</v>
      </c>
      <c r="H219" s="135">
        <v>7</v>
      </c>
      <c r="I219" s="135">
        <v>-300</v>
      </c>
      <c r="J219" s="135">
        <v>3500</v>
      </c>
      <c r="K219" s="135">
        <v>0</v>
      </c>
    </row>
    <row r="220" spans="1:11" x14ac:dyDescent="0.3">
      <c r="A220" s="135" t="s">
        <v>405</v>
      </c>
      <c r="B220" s="135" t="s">
        <v>448</v>
      </c>
      <c r="C220" s="135" t="s">
        <v>4</v>
      </c>
      <c r="D220" s="135" t="s">
        <v>2297</v>
      </c>
      <c r="E220" s="135">
        <v>9</v>
      </c>
      <c r="F220" s="135">
        <v>5000</v>
      </c>
      <c r="G220" s="135">
        <v>5000</v>
      </c>
      <c r="H220" s="135">
        <v>10</v>
      </c>
      <c r="I220" s="135">
        <v>0</v>
      </c>
      <c r="J220" s="135">
        <v>5000</v>
      </c>
      <c r="K220" s="135">
        <v>0</v>
      </c>
    </row>
    <row r="221" spans="1:11" x14ac:dyDescent="0.3">
      <c r="A221" s="135" t="s">
        <v>405</v>
      </c>
      <c r="B221" s="135" t="s">
        <v>55</v>
      </c>
      <c r="C221" s="135" t="s">
        <v>4</v>
      </c>
      <c r="D221" s="135" t="s">
        <v>2297</v>
      </c>
      <c r="E221" s="135">
        <v>9</v>
      </c>
      <c r="F221" s="135">
        <v>5000</v>
      </c>
      <c r="G221" s="135">
        <v>5000</v>
      </c>
      <c r="H221" s="135">
        <v>10</v>
      </c>
      <c r="I221" s="135">
        <v>0</v>
      </c>
      <c r="J221" s="135">
        <v>5000</v>
      </c>
      <c r="K221" s="135">
        <v>0</v>
      </c>
    </row>
    <row r="222" spans="1:11" x14ac:dyDescent="0.3">
      <c r="A222" s="135" t="s">
        <v>399</v>
      </c>
      <c r="B222" s="135" t="s">
        <v>539</v>
      </c>
      <c r="C222" s="135" t="s">
        <v>46</v>
      </c>
      <c r="D222" s="135" t="s">
        <v>26</v>
      </c>
      <c r="E222" s="135">
        <v>31</v>
      </c>
      <c r="F222" s="135">
        <v>2500</v>
      </c>
      <c r="G222" s="135">
        <v>2500</v>
      </c>
      <c r="H222" s="135">
        <v>5</v>
      </c>
      <c r="I222" s="135">
        <v>0</v>
      </c>
      <c r="J222" s="135">
        <v>2500</v>
      </c>
      <c r="K222" s="135">
        <v>0</v>
      </c>
    </row>
    <row r="223" spans="1:11" x14ac:dyDescent="0.3">
      <c r="A223" s="135" t="s">
        <v>399</v>
      </c>
      <c r="B223" s="135" t="s">
        <v>1255</v>
      </c>
      <c r="C223" s="135" t="s">
        <v>46</v>
      </c>
      <c r="D223" s="135" t="s">
        <v>26</v>
      </c>
      <c r="E223" s="135">
        <v>31</v>
      </c>
      <c r="F223" s="135">
        <v>2500</v>
      </c>
      <c r="G223" s="135">
        <v>2500</v>
      </c>
      <c r="H223" s="135">
        <v>5</v>
      </c>
      <c r="I223" s="135">
        <v>0</v>
      </c>
      <c r="J223" s="135">
        <v>2500</v>
      </c>
      <c r="K223" s="135">
        <v>0</v>
      </c>
    </row>
    <row r="224" spans="1:11" x14ac:dyDescent="0.3">
      <c r="A224" s="135" t="s">
        <v>396</v>
      </c>
      <c r="B224" s="135" t="s">
        <v>296</v>
      </c>
      <c r="C224" s="135" t="s">
        <v>46</v>
      </c>
      <c r="D224" s="135" t="s">
        <v>26</v>
      </c>
      <c r="E224" s="135">
        <v>25</v>
      </c>
      <c r="F224" s="135">
        <v>3000</v>
      </c>
      <c r="G224" s="135">
        <v>3000</v>
      </c>
      <c r="H224" s="135">
        <v>6</v>
      </c>
      <c r="I224" s="135">
        <v>0</v>
      </c>
      <c r="J224" s="135">
        <v>3000</v>
      </c>
      <c r="K224" s="135">
        <v>0</v>
      </c>
    </row>
    <row r="225" spans="1:11" x14ac:dyDescent="0.3">
      <c r="A225" s="135" t="s">
        <v>396</v>
      </c>
      <c r="B225" s="135" t="s">
        <v>287</v>
      </c>
      <c r="C225" s="135" t="s">
        <v>46</v>
      </c>
      <c r="D225" s="135" t="s">
        <v>26</v>
      </c>
      <c r="E225" s="135">
        <v>25</v>
      </c>
      <c r="F225" s="135">
        <v>3000</v>
      </c>
      <c r="G225" s="135">
        <v>3000</v>
      </c>
      <c r="H225" s="135">
        <v>6</v>
      </c>
      <c r="I225" s="135">
        <v>0</v>
      </c>
      <c r="J225" s="135">
        <v>3000</v>
      </c>
      <c r="K225" s="135">
        <v>0</v>
      </c>
    </row>
    <row r="226" spans="1:11" x14ac:dyDescent="0.3">
      <c r="A226" s="135" t="s">
        <v>396</v>
      </c>
      <c r="B226" s="135" t="s">
        <v>314</v>
      </c>
      <c r="C226" s="135" t="s">
        <v>46</v>
      </c>
      <c r="D226" s="135" t="s">
        <v>26</v>
      </c>
      <c r="E226" s="135">
        <v>25</v>
      </c>
      <c r="F226" s="135">
        <v>3000</v>
      </c>
      <c r="G226" s="135">
        <v>3000</v>
      </c>
      <c r="H226" s="135">
        <v>6</v>
      </c>
      <c r="I226" s="135">
        <v>0</v>
      </c>
      <c r="J226" s="135">
        <v>3000</v>
      </c>
      <c r="K226" s="135">
        <v>0</v>
      </c>
    </row>
    <row r="227" spans="1:11" x14ac:dyDescent="0.3">
      <c r="A227" s="135" t="s">
        <v>394</v>
      </c>
      <c r="B227" s="135" t="s">
        <v>1519</v>
      </c>
      <c r="C227" s="135" t="s">
        <v>46</v>
      </c>
      <c r="D227" s="135" t="s">
        <v>26</v>
      </c>
      <c r="E227" s="135">
        <v>11</v>
      </c>
      <c r="F227" s="135">
        <v>3500</v>
      </c>
      <c r="G227" s="135">
        <v>3100</v>
      </c>
      <c r="H227" s="135">
        <v>6.2</v>
      </c>
      <c r="I227" s="135">
        <v>-400</v>
      </c>
      <c r="J227" s="135">
        <v>3100</v>
      </c>
      <c r="K227" s="135">
        <v>0</v>
      </c>
    </row>
    <row r="228" spans="1:11" x14ac:dyDescent="0.3">
      <c r="A228" s="135" t="s">
        <v>396</v>
      </c>
      <c r="B228" s="135" t="s">
        <v>256</v>
      </c>
      <c r="C228" s="135" t="s">
        <v>46</v>
      </c>
      <c r="D228" s="135" t="s">
        <v>26</v>
      </c>
      <c r="E228" s="135">
        <v>25</v>
      </c>
      <c r="F228" s="135">
        <v>3200</v>
      </c>
      <c r="G228" s="135">
        <v>3500</v>
      </c>
      <c r="H228" s="135">
        <v>7</v>
      </c>
      <c r="I228" s="135">
        <v>300</v>
      </c>
      <c r="J228" s="135">
        <v>3500</v>
      </c>
      <c r="K228" s="135">
        <v>0</v>
      </c>
    </row>
    <row r="229" spans="1:11" x14ac:dyDescent="0.3">
      <c r="A229" s="135" t="s">
        <v>405</v>
      </c>
      <c r="B229" s="135" t="s">
        <v>45</v>
      </c>
      <c r="C229" s="135" t="s">
        <v>46</v>
      </c>
      <c r="D229" s="135" t="s">
        <v>26</v>
      </c>
      <c r="E229" s="135">
        <v>32</v>
      </c>
      <c r="F229" s="135">
        <v>5000</v>
      </c>
      <c r="G229" s="135">
        <v>5000</v>
      </c>
      <c r="H229" s="135">
        <v>10</v>
      </c>
      <c r="I229" s="135">
        <v>0</v>
      </c>
      <c r="J229" s="135">
        <v>5000</v>
      </c>
      <c r="K229" s="135">
        <v>0</v>
      </c>
    </row>
    <row r="230" spans="1:11" x14ac:dyDescent="0.3">
      <c r="A230" s="135" t="s">
        <v>399</v>
      </c>
      <c r="B230" s="135" t="s">
        <v>385</v>
      </c>
      <c r="C230" s="135" t="s">
        <v>26</v>
      </c>
      <c r="D230" s="135" t="s">
        <v>2298</v>
      </c>
      <c r="E230" s="135">
        <v>15</v>
      </c>
      <c r="F230" s="135">
        <v>2500</v>
      </c>
      <c r="G230" s="135">
        <v>2500</v>
      </c>
      <c r="H230" s="135">
        <v>5</v>
      </c>
      <c r="I230" s="135">
        <v>0</v>
      </c>
      <c r="J230" s="135">
        <v>2500</v>
      </c>
      <c r="K230" s="135">
        <v>0</v>
      </c>
    </row>
    <row r="231" spans="1:11" x14ac:dyDescent="0.3">
      <c r="A231" s="135" t="s">
        <v>399</v>
      </c>
      <c r="B231" s="135" t="s">
        <v>557</v>
      </c>
      <c r="C231" s="135" t="s">
        <v>26</v>
      </c>
      <c r="D231" s="135" t="s">
        <v>2298</v>
      </c>
      <c r="E231" s="135">
        <v>15</v>
      </c>
      <c r="F231" s="135">
        <v>2500</v>
      </c>
      <c r="G231" s="135">
        <v>2500</v>
      </c>
      <c r="H231" s="135">
        <v>5</v>
      </c>
      <c r="I231" s="135">
        <v>0</v>
      </c>
      <c r="J231" s="135">
        <v>2500</v>
      </c>
      <c r="K231" s="135">
        <v>0</v>
      </c>
    </row>
    <row r="232" spans="1:11" x14ac:dyDescent="0.3">
      <c r="A232" s="135" t="s">
        <v>399</v>
      </c>
      <c r="B232" s="135" t="s">
        <v>542</v>
      </c>
      <c r="C232" s="135" t="s">
        <v>26</v>
      </c>
      <c r="D232" s="135" t="s">
        <v>2298</v>
      </c>
      <c r="E232" s="135">
        <v>15</v>
      </c>
      <c r="F232" s="135">
        <v>2500</v>
      </c>
      <c r="G232" s="135">
        <v>2500</v>
      </c>
      <c r="H232" s="135">
        <v>5</v>
      </c>
      <c r="I232" s="135">
        <v>0</v>
      </c>
      <c r="J232" s="135">
        <v>2500</v>
      </c>
      <c r="K232" s="135">
        <v>0</v>
      </c>
    </row>
    <row r="233" spans="1:11" x14ac:dyDescent="0.3">
      <c r="A233" s="135" t="s">
        <v>396</v>
      </c>
      <c r="B233" s="135" t="s">
        <v>305</v>
      </c>
      <c r="C233" s="135" t="s">
        <v>26</v>
      </c>
      <c r="D233" s="135" t="s">
        <v>2298</v>
      </c>
      <c r="E233" s="135">
        <v>20</v>
      </c>
      <c r="F233" s="135">
        <v>3000</v>
      </c>
      <c r="G233" s="135">
        <v>3000</v>
      </c>
      <c r="H233" s="135">
        <v>6</v>
      </c>
      <c r="I233" s="135">
        <v>0</v>
      </c>
      <c r="J233" s="135">
        <v>3000</v>
      </c>
      <c r="K233" s="135">
        <v>0</v>
      </c>
    </row>
    <row r="234" spans="1:11" x14ac:dyDescent="0.3">
      <c r="A234" s="135" t="s">
        <v>394</v>
      </c>
      <c r="B234" s="135" t="s">
        <v>165</v>
      </c>
      <c r="C234" s="135" t="s">
        <v>26</v>
      </c>
      <c r="D234" s="135" t="s">
        <v>2298</v>
      </c>
      <c r="E234" s="135">
        <v>17</v>
      </c>
      <c r="F234" s="135">
        <v>3000</v>
      </c>
      <c r="G234" s="135">
        <v>3000</v>
      </c>
      <c r="H234" s="135">
        <v>6</v>
      </c>
      <c r="I234" s="135">
        <v>0</v>
      </c>
      <c r="J234" s="135">
        <v>3000</v>
      </c>
      <c r="K234" s="135">
        <v>0</v>
      </c>
    </row>
    <row r="235" spans="1:11" x14ac:dyDescent="0.3">
      <c r="A235" s="135" t="s">
        <v>394</v>
      </c>
      <c r="B235" s="135" t="s">
        <v>176</v>
      </c>
      <c r="C235" s="135" t="s">
        <v>26</v>
      </c>
      <c r="D235" s="135" t="s">
        <v>2298</v>
      </c>
      <c r="E235" s="135">
        <v>17</v>
      </c>
      <c r="F235" s="135">
        <v>3000</v>
      </c>
      <c r="G235" s="135">
        <v>3000</v>
      </c>
      <c r="H235" s="135">
        <v>6</v>
      </c>
      <c r="I235" s="135">
        <v>0</v>
      </c>
      <c r="J235" s="135">
        <v>3000</v>
      </c>
      <c r="K235" s="135">
        <v>0</v>
      </c>
    </row>
    <row r="236" spans="1:11" x14ac:dyDescent="0.3">
      <c r="A236" s="135" t="s">
        <v>399</v>
      </c>
      <c r="B236" s="135" t="s">
        <v>332</v>
      </c>
      <c r="C236" s="135" t="s">
        <v>26</v>
      </c>
      <c r="D236" s="135" t="s">
        <v>2298</v>
      </c>
      <c r="E236" s="135">
        <v>15</v>
      </c>
      <c r="F236" s="135">
        <v>3900</v>
      </c>
      <c r="G236" s="135">
        <v>3700</v>
      </c>
      <c r="H236" s="135">
        <v>7.4</v>
      </c>
      <c r="I236" s="135">
        <v>-200</v>
      </c>
      <c r="J236" s="135">
        <v>3700</v>
      </c>
      <c r="K236" s="135">
        <v>0</v>
      </c>
    </row>
    <row r="237" spans="1:11" x14ac:dyDescent="0.3">
      <c r="A237" s="135" t="s">
        <v>396</v>
      </c>
      <c r="B237" s="135" t="s">
        <v>410</v>
      </c>
      <c r="C237" s="135" t="s">
        <v>26</v>
      </c>
      <c r="D237" s="135" t="s">
        <v>2298</v>
      </c>
      <c r="E237" s="135">
        <v>20</v>
      </c>
      <c r="F237" s="135">
        <v>4500</v>
      </c>
      <c r="G237" s="135">
        <v>4200</v>
      </c>
      <c r="H237" s="135">
        <v>8.4</v>
      </c>
      <c r="I237" s="135">
        <v>-300</v>
      </c>
      <c r="J237" s="135">
        <v>4200</v>
      </c>
      <c r="K237" s="135">
        <v>0</v>
      </c>
    </row>
    <row r="238" spans="1:11" x14ac:dyDescent="0.3">
      <c r="A238" s="135" t="s">
        <v>405</v>
      </c>
      <c r="B238" s="135" t="s">
        <v>71</v>
      </c>
      <c r="C238" s="135" t="s">
        <v>26</v>
      </c>
      <c r="D238" s="135" t="s">
        <v>2298</v>
      </c>
      <c r="E238" s="135">
        <v>22</v>
      </c>
      <c r="F238" s="135">
        <v>5000</v>
      </c>
      <c r="G238" s="135">
        <v>5000</v>
      </c>
      <c r="H238" s="135">
        <v>10</v>
      </c>
      <c r="I238" s="135">
        <v>0</v>
      </c>
      <c r="J238" s="135">
        <v>5000</v>
      </c>
      <c r="K238" s="135">
        <v>0</v>
      </c>
    </row>
    <row r="239" spans="1:11" x14ac:dyDescent="0.3">
      <c r="A239" s="135" t="s">
        <v>399</v>
      </c>
      <c r="B239" s="135" t="s">
        <v>370</v>
      </c>
      <c r="C239" s="135" t="s">
        <v>401</v>
      </c>
      <c r="D239" s="135" t="s">
        <v>70</v>
      </c>
      <c r="E239" s="135">
        <v>5</v>
      </c>
      <c r="F239" s="135">
        <v>2500</v>
      </c>
      <c r="G239" s="135">
        <v>2500</v>
      </c>
      <c r="H239" s="135">
        <v>5</v>
      </c>
      <c r="I239" s="135">
        <v>0</v>
      </c>
      <c r="J239" s="135">
        <v>2500</v>
      </c>
      <c r="K239" s="135">
        <v>0</v>
      </c>
    </row>
    <row r="240" spans="1:11" x14ac:dyDescent="0.3">
      <c r="A240" s="135" t="s">
        <v>399</v>
      </c>
      <c r="B240" s="135" t="s">
        <v>358</v>
      </c>
      <c r="C240" s="135" t="s">
        <v>401</v>
      </c>
      <c r="D240" s="135" t="s">
        <v>70</v>
      </c>
      <c r="E240" s="135">
        <v>5</v>
      </c>
      <c r="F240" s="135">
        <v>2500</v>
      </c>
      <c r="G240" s="135">
        <v>2500</v>
      </c>
      <c r="H240" s="135">
        <v>5</v>
      </c>
      <c r="I240" s="135">
        <v>0</v>
      </c>
      <c r="J240" s="135">
        <v>2500</v>
      </c>
      <c r="K240" s="135">
        <v>0</v>
      </c>
    </row>
    <row r="241" spans="1:11" x14ac:dyDescent="0.3">
      <c r="A241" s="135" t="s">
        <v>396</v>
      </c>
      <c r="B241" s="135" t="s">
        <v>270</v>
      </c>
      <c r="C241" s="135" t="s">
        <v>401</v>
      </c>
      <c r="D241" s="135" t="s">
        <v>70</v>
      </c>
      <c r="E241" s="135">
        <v>2</v>
      </c>
      <c r="F241" s="135">
        <v>3000</v>
      </c>
      <c r="G241" s="135">
        <v>3000</v>
      </c>
      <c r="H241" s="135">
        <v>6</v>
      </c>
      <c r="I241" s="135">
        <v>0</v>
      </c>
      <c r="J241" s="135">
        <v>3000</v>
      </c>
      <c r="K241" s="135">
        <v>0</v>
      </c>
    </row>
    <row r="242" spans="1:11" x14ac:dyDescent="0.3">
      <c r="A242" s="135" t="s">
        <v>396</v>
      </c>
      <c r="B242" s="135" t="s">
        <v>235</v>
      </c>
      <c r="C242" s="135" t="s">
        <v>401</v>
      </c>
      <c r="D242" s="135" t="s">
        <v>70</v>
      </c>
      <c r="E242" s="135">
        <v>2</v>
      </c>
      <c r="F242" s="135">
        <v>3300</v>
      </c>
      <c r="G242" s="135">
        <v>3000</v>
      </c>
      <c r="H242" s="135">
        <v>6</v>
      </c>
      <c r="I242" s="135">
        <v>-300</v>
      </c>
      <c r="J242" s="135">
        <v>3000</v>
      </c>
      <c r="K242" s="135">
        <v>0</v>
      </c>
    </row>
    <row r="243" spans="1:11" x14ac:dyDescent="0.3">
      <c r="A243" s="135" t="s">
        <v>396</v>
      </c>
      <c r="B243" s="135" t="s">
        <v>312</v>
      </c>
      <c r="C243" s="135" t="s">
        <v>401</v>
      </c>
      <c r="D243" s="135" t="s">
        <v>70</v>
      </c>
      <c r="E243" s="135">
        <v>2</v>
      </c>
      <c r="F243" s="135">
        <v>3000</v>
      </c>
      <c r="G243" s="135">
        <v>3000</v>
      </c>
      <c r="H243" s="135">
        <v>6</v>
      </c>
      <c r="I243" s="135">
        <v>0</v>
      </c>
      <c r="J243" s="135">
        <v>3000</v>
      </c>
      <c r="K243" s="135">
        <v>0</v>
      </c>
    </row>
    <row r="244" spans="1:11" x14ac:dyDescent="0.3">
      <c r="A244" s="135" t="s">
        <v>394</v>
      </c>
      <c r="B244" s="135" t="s">
        <v>525</v>
      </c>
      <c r="C244" s="135" t="s">
        <v>401</v>
      </c>
      <c r="D244" s="135" t="s">
        <v>70</v>
      </c>
      <c r="E244" s="135">
        <v>21</v>
      </c>
      <c r="F244" s="135">
        <v>3000</v>
      </c>
      <c r="G244" s="135">
        <v>3000</v>
      </c>
      <c r="H244" s="135">
        <v>6</v>
      </c>
      <c r="I244" s="135">
        <v>0</v>
      </c>
      <c r="J244" s="135">
        <v>3000</v>
      </c>
      <c r="K244" s="135">
        <v>0</v>
      </c>
    </row>
    <row r="245" spans="1:11" x14ac:dyDescent="0.3">
      <c r="A245" s="135" t="s">
        <v>394</v>
      </c>
      <c r="B245" s="135" t="s">
        <v>171</v>
      </c>
      <c r="C245" s="135" t="s">
        <v>401</v>
      </c>
      <c r="D245" s="135" t="s">
        <v>70</v>
      </c>
      <c r="E245" s="135">
        <v>21</v>
      </c>
      <c r="F245" s="135">
        <v>3100</v>
      </c>
      <c r="G245" s="135">
        <v>3000</v>
      </c>
      <c r="H245" s="135">
        <v>6</v>
      </c>
      <c r="I245" s="135">
        <v>-100</v>
      </c>
      <c r="J245" s="135">
        <v>3000</v>
      </c>
      <c r="K245" s="135">
        <v>0</v>
      </c>
    </row>
    <row r="246" spans="1:11" x14ac:dyDescent="0.3">
      <c r="A246" s="135" t="s">
        <v>405</v>
      </c>
      <c r="B246" s="135" t="s">
        <v>337</v>
      </c>
      <c r="C246" s="135" t="s">
        <v>401</v>
      </c>
      <c r="D246" s="135" t="s">
        <v>70</v>
      </c>
      <c r="E246" s="135">
        <v>6</v>
      </c>
      <c r="F246" s="135">
        <v>5000</v>
      </c>
      <c r="G246" s="135">
        <v>5000</v>
      </c>
      <c r="H246" s="135">
        <v>10</v>
      </c>
      <c r="I246" s="135">
        <v>0</v>
      </c>
      <c r="J246" s="135">
        <v>5000</v>
      </c>
      <c r="K246" s="135">
        <v>0</v>
      </c>
    </row>
    <row r="247" spans="1:11" x14ac:dyDescent="0.3">
      <c r="A247" s="135" t="s">
        <v>405</v>
      </c>
      <c r="B247" s="135" t="s">
        <v>437</v>
      </c>
      <c r="C247" s="135" t="s">
        <v>401</v>
      </c>
      <c r="D247" s="135" t="s">
        <v>70</v>
      </c>
      <c r="E247" s="135">
        <v>6</v>
      </c>
      <c r="F247" s="135">
        <v>5000</v>
      </c>
      <c r="G247" s="135">
        <v>5000</v>
      </c>
      <c r="H247" s="135">
        <v>10</v>
      </c>
      <c r="I247" s="135">
        <v>0</v>
      </c>
      <c r="J247" s="135">
        <v>5000</v>
      </c>
      <c r="K247" s="135">
        <v>0</v>
      </c>
    </row>
    <row r="248" spans="1:11" x14ac:dyDescent="0.3">
      <c r="A248" s="135" t="s">
        <v>399</v>
      </c>
      <c r="B248" s="135" t="s">
        <v>1253</v>
      </c>
      <c r="C248" s="135" t="s">
        <v>70</v>
      </c>
      <c r="D248" s="135" t="s">
        <v>2005</v>
      </c>
      <c r="E248" s="135">
        <v>7</v>
      </c>
      <c r="F248" s="135">
        <v>2500</v>
      </c>
      <c r="G248" s="135">
        <v>2500</v>
      </c>
      <c r="H248" s="135">
        <v>5</v>
      </c>
      <c r="I248" s="135">
        <v>0</v>
      </c>
      <c r="J248" s="135">
        <v>2500</v>
      </c>
      <c r="K248" s="135">
        <v>0</v>
      </c>
    </row>
    <row r="249" spans="1:11" x14ac:dyDescent="0.3">
      <c r="A249" s="135" t="s">
        <v>399</v>
      </c>
      <c r="B249" s="135" t="s">
        <v>1518</v>
      </c>
      <c r="C249" s="135" t="s">
        <v>70</v>
      </c>
      <c r="D249" s="135" t="s">
        <v>2005</v>
      </c>
      <c r="E249" s="135">
        <v>7</v>
      </c>
      <c r="F249" s="135">
        <v>2500</v>
      </c>
      <c r="G249" s="135">
        <v>2500</v>
      </c>
      <c r="H249" s="135">
        <v>5</v>
      </c>
      <c r="I249" s="135">
        <v>0</v>
      </c>
      <c r="J249" s="135">
        <v>2500</v>
      </c>
      <c r="K249" s="135">
        <v>0</v>
      </c>
    </row>
    <row r="250" spans="1:11" x14ac:dyDescent="0.3">
      <c r="A250" s="135" t="s">
        <v>399</v>
      </c>
      <c r="B250" s="135" t="s">
        <v>366</v>
      </c>
      <c r="C250" s="135" t="s">
        <v>70</v>
      </c>
      <c r="D250" s="135" t="s">
        <v>2005</v>
      </c>
      <c r="E250" s="135">
        <v>7</v>
      </c>
      <c r="F250" s="135">
        <v>2900</v>
      </c>
      <c r="G250" s="135">
        <v>3000</v>
      </c>
      <c r="H250" s="135">
        <v>6</v>
      </c>
      <c r="I250" s="135">
        <v>100</v>
      </c>
      <c r="J250" s="135">
        <v>3000</v>
      </c>
      <c r="K250" s="135">
        <v>0</v>
      </c>
    </row>
    <row r="251" spans="1:11" x14ac:dyDescent="0.3">
      <c r="A251" s="135" t="s">
        <v>396</v>
      </c>
      <c r="B251" s="135" t="s">
        <v>304</v>
      </c>
      <c r="C251" s="135" t="s">
        <v>70</v>
      </c>
      <c r="D251" s="135" t="s">
        <v>2005</v>
      </c>
      <c r="E251" s="135">
        <v>24</v>
      </c>
      <c r="F251" s="135">
        <v>3000</v>
      </c>
      <c r="G251" s="135">
        <v>3000</v>
      </c>
      <c r="H251" s="135">
        <v>6</v>
      </c>
      <c r="I251" s="135">
        <v>0</v>
      </c>
      <c r="J251" s="135">
        <v>3000</v>
      </c>
      <c r="K251" s="135">
        <v>0</v>
      </c>
    </row>
    <row r="252" spans="1:11" x14ac:dyDescent="0.3">
      <c r="A252" s="135" t="s">
        <v>396</v>
      </c>
      <c r="B252" s="135" t="s">
        <v>1550</v>
      </c>
      <c r="C252" s="135" t="s">
        <v>70</v>
      </c>
      <c r="D252" s="135" t="s">
        <v>2005</v>
      </c>
      <c r="E252" s="135">
        <v>24</v>
      </c>
      <c r="F252" s="135">
        <v>3000</v>
      </c>
      <c r="G252" s="135">
        <v>3000</v>
      </c>
      <c r="H252" s="135">
        <v>6</v>
      </c>
      <c r="I252" s="135">
        <v>0</v>
      </c>
      <c r="J252" s="135">
        <v>3000</v>
      </c>
      <c r="K252" s="135">
        <v>0</v>
      </c>
    </row>
    <row r="253" spans="1:11" x14ac:dyDescent="0.3">
      <c r="A253" s="135" t="s">
        <v>396</v>
      </c>
      <c r="B253" s="135" t="s">
        <v>290</v>
      </c>
      <c r="C253" s="135" t="s">
        <v>70</v>
      </c>
      <c r="D253" s="135" t="s">
        <v>2005</v>
      </c>
      <c r="E253" s="135">
        <v>24</v>
      </c>
      <c r="F253" s="135">
        <v>3000</v>
      </c>
      <c r="G253" s="135">
        <v>3000</v>
      </c>
      <c r="H253" s="135">
        <v>6</v>
      </c>
      <c r="I253" s="135">
        <v>0</v>
      </c>
      <c r="J253" s="135">
        <v>3000</v>
      </c>
      <c r="K253" s="135">
        <v>0</v>
      </c>
    </row>
    <row r="254" spans="1:11" x14ac:dyDescent="0.3">
      <c r="A254" s="135" t="s">
        <v>396</v>
      </c>
      <c r="B254" s="135" t="s">
        <v>286</v>
      </c>
      <c r="C254" s="135" t="s">
        <v>70</v>
      </c>
      <c r="D254" s="135" t="s">
        <v>2005</v>
      </c>
      <c r="E254" s="135">
        <v>24</v>
      </c>
      <c r="F254" s="135">
        <v>3000</v>
      </c>
      <c r="G254" s="135">
        <v>3000</v>
      </c>
      <c r="H254" s="135">
        <v>6</v>
      </c>
      <c r="I254" s="135">
        <v>0</v>
      </c>
      <c r="J254" s="135">
        <v>3000</v>
      </c>
      <c r="K254" s="135">
        <v>0</v>
      </c>
    </row>
    <row r="255" spans="1:11" x14ac:dyDescent="0.3">
      <c r="A255" s="135" t="s">
        <v>394</v>
      </c>
      <c r="B255" s="135" t="s">
        <v>764</v>
      </c>
      <c r="C255" s="135" t="s">
        <v>70</v>
      </c>
      <c r="D255" s="135" t="s">
        <v>2005</v>
      </c>
      <c r="E255" s="135">
        <v>22</v>
      </c>
      <c r="F255" s="135">
        <v>3300</v>
      </c>
      <c r="G255" s="135">
        <v>3000</v>
      </c>
      <c r="H255" s="135">
        <v>6</v>
      </c>
      <c r="I255" s="135">
        <v>-300</v>
      </c>
      <c r="J255" s="135">
        <v>3000</v>
      </c>
      <c r="K255" s="135">
        <v>0</v>
      </c>
    </row>
    <row r="256" spans="1:11" x14ac:dyDescent="0.3">
      <c r="A256" s="135" t="s">
        <v>394</v>
      </c>
      <c r="B256" s="135" t="s">
        <v>1556</v>
      </c>
      <c r="C256" s="135" t="s">
        <v>70</v>
      </c>
      <c r="D256" s="135" t="s">
        <v>2005</v>
      </c>
      <c r="E256" s="135">
        <v>22</v>
      </c>
      <c r="F256" s="135">
        <v>3000</v>
      </c>
      <c r="G256" s="135">
        <v>3000</v>
      </c>
      <c r="H256" s="135">
        <v>6</v>
      </c>
      <c r="I256" s="135">
        <v>0</v>
      </c>
      <c r="J256" s="135">
        <v>3000</v>
      </c>
      <c r="K256" s="135">
        <v>0</v>
      </c>
    </row>
    <row r="257" spans="1:11" x14ac:dyDescent="0.3">
      <c r="A257" s="135" t="s">
        <v>394</v>
      </c>
      <c r="B257" s="135" t="s">
        <v>1523</v>
      </c>
      <c r="C257" s="135" t="s">
        <v>70</v>
      </c>
      <c r="D257" s="135" t="s">
        <v>2005</v>
      </c>
      <c r="E257" s="135">
        <v>22</v>
      </c>
      <c r="F257" s="135">
        <v>3000</v>
      </c>
      <c r="G257" s="135">
        <v>3000</v>
      </c>
      <c r="H257" s="135">
        <v>6</v>
      </c>
      <c r="I257" s="135">
        <v>0</v>
      </c>
      <c r="J257" s="135">
        <v>3000</v>
      </c>
      <c r="K257" s="135">
        <v>0</v>
      </c>
    </row>
    <row r="258" spans="1:11" x14ac:dyDescent="0.3">
      <c r="A258" s="135" t="s">
        <v>405</v>
      </c>
      <c r="B258" s="135" t="s">
        <v>751</v>
      </c>
      <c r="C258" s="135" t="s">
        <v>70</v>
      </c>
      <c r="D258" s="135" t="s">
        <v>2005</v>
      </c>
      <c r="E258" s="135">
        <v>29</v>
      </c>
      <c r="F258" s="135">
        <v>5000</v>
      </c>
      <c r="G258" s="135">
        <v>5000</v>
      </c>
      <c r="H258" s="135">
        <v>10</v>
      </c>
      <c r="I258" s="135">
        <v>0</v>
      </c>
      <c r="J258" s="135">
        <v>5000</v>
      </c>
      <c r="K258" s="135">
        <v>0</v>
      </c>
    </row>
    <row r="259" spans="1:11" x14ac:dyDescent="0.3">
      <c r="A259" s="135" t="s">
        <v>405</v>
      </c>
      <c r="B259" s="135" t="s">
        <v>59</v>
      </c>
      <c r="C259" s="135" t="s">
        <v>70</v>
      </c>
      <c r="D259" s="135" t="s">
        <v>2005</v>
      </c>
      <c r="E259" s="135">
        <v>29</v>
      </c>
      <c r="F259" s="135">
        <v>5000</v>
      </c>
      <c r="G259" s="135">
        <v>5000</v>
      </c>
      <c r="H259" s="135">
        <v>10</v>
      </c>
      <c r="I259" s="135">
        <v>0</v>
      </c>
      <c r="J259" s="135">
        <v>5000</v>
      </c>
      <c r="K259" s="135">
        <v>0</v>
      </c>
    </row>
    <row r="260" spans="1:11" x14ac:dyDescent="0.3">
      <c r="A260" s="135" t="s">
        <v>399</v>
      </c>
      <c r="B260" s="135" t="s">
        <v>371</v>
      </c>
      <c r="C260" s="135" t="s">
        <v>24</v>
      </c>
      <c r="D260" s="135" t="s">
        <v>409</v>
      </c>
      <c r="E260" s="135">
        <v>18</v>
      </c>
      <c r="F260" s="135">
        <v>2500</v>
      </c>
      <c r="G260" s="135">
        <v>2500</v>
      </c>
      <c r="H260" s="135">
        <v>5</v>
      </c>
      <c r="I260" s="135">
        <v>0</v>
      </c>
      <c r="J260" s="135">
        <v>2500</v>
      </c>
      <c r="K260" s="135">
        <v>0</v>
      </c>
    </row>
    <row r="261" spans="1:11" x14ac:dyDescent="0.3">
      <c r="A261" s="135" t="s">
        <v>399</v>
      </c>
      <c r="B261" s="135" t="s">
        <v>352</v>
      </c>
      <c r="C261" s="135" t="s">
        <v>24</v>
      </c>
      <c r="D261" s="135" t="s">
        <v>409</v>
      </c>
      <c r="E261" s="135">
        <v>18</v>
      </c>
      <c r="F261" s="135">
        <v>2500</v>
      </c>
      <c r="G261" s="135">
        <v>2500</v>
      </c>
      <c r="H261" s="135">
        <v>5</v>
      </c>
      <c r="I261" s="135">
        <v>0</v>
      </c>
      <c r="J261" s="135">
        <v>2500</v>
      </c>
      <c r="K261" s="135">
        <v>0</v>
      </c>
    </row>
    <row r="262" spans="1:11" x14ac:dyDescent="0.3">
      <c r="A262" s="135" t="s">
        <v>399</v>
      </c>
      <c r="B262" s="135" t="s">
        <v>342</v>
      </c>
      <c r="C262" s="135" t="s">
        <v>24</v>
      </c>
      <c r="D262" s="135" t="s">
        <v>409</v>
      </c>
      <c r="E262" s="135">
        <v>18</v>
      </c>
      <c r="F262" s="135">
        <v>2700</v>
      </c>
      <c r="G262" s="135">
        <v>2500</v>
      </c>
      <c r="H262" s="135">
        <v>5</v>
      </c>
      <c r="I262" s="135">
        <v>-200</v>
      </c>
      <c r="J262" s="135">
        <v>2500</v>
      </c>
      <c r="K262" s="135">
        <v>0</v>
      </c>
    </row>
    <row r="263" spans="1:11" x14ac:dyDescent="0.3">
      <c r="A263" s="135" t="s">
        <v>396</v>
      </c>
      <c r="B263" s="135" t="s">
        <v>469</v>
      </c>
      <c r="C263" s="135" t="s">
        <v>24</v>
      </c>
      <c r="D263" s="135" t="s">
        <v>409</v>
      </c>
      <c r="E263" s="135">
        <v>21</v>
      </c>
      <c r="F263" s="135">
        <v>3200</v>
      </c>
      <c r="G263" s="135">
        <v>3000</v>
      </c>
      <c r="H263" s="135">
        <v>6</v>
      </c>
      <c r="I263" s="135">
        <v>-200</v>
      </c>
      <c r="J263" s="135">
        <v>3000</v>
      </c>
      <c r="K263" s="135">
        <v>0</v>
      </c>
    </row>
    <row r="264" spans="1:11" x14ac:dyDescent="0.3">
      <c r="A264" s="135" t="s">
        <v>394</v>
      </c>
      <c r="B264" s="135" t="s">
        <v>175</v>
      </c>
      <c r="C264" s="135" t="s">
        <v>24</v>
      </c>
      <c r="D264" s="135" t="s">
        <v>409</v>
      </c>
      <c r="E264" s="135">
        <v>26</v>
      </c>
      <c r="F264" s="135">
        <v>3000</v>
      </c>
      <c r="G264" s="135">
        <v>3000</v>
      </c>
      <c r="H264" s="135">
        <v>6</v>
      </c>
      <c r="I264" s="135">
        <v>0</v>
      </c>
      <c r="J264" s="135">
        <v>3000</v>
      </c>
      <c r="K264" s="135">
        <v>0</v>
      </c>
    </row>
    <row r="265" spans="1:11" x14ac:dyDescent="0.3">
      <c r="A265" s="135" t="s">
        <v>396</v>
      </c>
      <c r="B265" s="135" t="s">
        <v>291</v>
      </c>
      <c r="C265" s="135" t="s">
        <v>24</v>
      </c>
      <c r="D265" s="135" t="s">
        <v>409</v>
      </c>
      <c r="E265" s="135">
        <v>21</v>
      </c>
      <c r="F265" s="135">
        <v>3400</v>
      </c>
      <c r="G265" s="135">
        <v>3300</v>
      </c>
      <c r="H265" s="135">
        <v>6.6</v>
      </c>
      <c r="I265" s="135">
        <v>-100</v>
      </c>
      <c r="J265" s="135">
        <v>3300</v>
      </c>
      <c r="K265" s="135">
        <v>0</v>
      </c>
    </row>
    <row r="266" spans="1:11" x14ac:dyDescent="0.3">
      <c r="A266" s="135" t="s">
        <v>405</v>
      </c>
      <c r="B266" s="135" t="s">
        <v>78</v>
      </c>
      <c r="C266" s="135" t="s">
        <v>24</v>
      </c>
      <c r="D266" s="135" t="s">
        <v>409</v>
      </c>
      <c r="E266" s="135">
        <v>20</v>
      </c>
      <c r="F266" s="135">
        <v>5000</v>
      </c>
      <c r="G266" s="135">
        <v>5000</v>
      </c>
      <c r="H266" s="135">
        <v>10</v>
      </c>
      <c r="I266" s="135">
        <v>0</v>
      </c>
      <c r="J266" s="135">
        <v>5000</v>
      </c>
      <c r="K266" s="135">
        <v>0</v>
      </c>
    </row>
    <row r="267" spans="1:11" x14ac:dyDescent="0.3">
      <c r="A267" s="135" t="s">
        <v>399</v>
      </c>
      <c r="B267" s="135" t="s">
        <v>1561</v>
      </c>
      <c r="C267" s="135" t="s">
        <v>409</v>
      </c>
      <c r="D267" s="135" t="s">
        <v>2295</v>
      </c>
      <c r="E267" s="135">
        <v>4</v>
      </c>
      <c r="F267" s="135">
        <v>2500</v>
      </c>
      <c r="G267" s="135">
        <v>2500</v>
      </c>
      <c r="H267" s="135">
        <v>5</v>
      </c>
      <c r="I267" s="135">
        <v>0</v>
      </c>
      <c r="J267" s="135">
        <v>2500</v>
      </c>
      <c r="K267" s="135">
        <v>0</v>
      </c>
    </row>
    <row r="268" spans="1:11" x14ac:dyDescent="0.3">
      <c r="A268" s="135" t="s">
        <v>399</v>
      </c>
      <c r="B268" s="135" t="s">
        <v>769</v>
      </c>
      <c r="C268" s="135" t="s">
        <v>409</v>
      </c>
      <c r="D268" s="135" t="s">
        <v>2295</v>
      </c>
      <c r="E268" s="135">
        <v>4</v>
      </c>
      <c r="F268" s="135">
        <v>2500</v>
      </c>
      <c r="G268" s="135">
        <v>2500</v>
      </c>
      <c r="H268" s="135">
        <v>5</v>
      </c>
      <c r="I268" s="135">
        <v>0</v>
      </c>
      <c r="J268" s="135">
        <v>2500</v>
      </c>
      <c r="K268" s="135">
        <v>0</v>
      </c>
    </row>
    <row r="269" spans="1:11" x14ac:dyDescent="0.3">
      <c r="A269" s="135" t="s">
        <v>399</v>
      </c>
      <c r="B269" s="135" t="s">
        <v>379</v>
      </c>
      <c r="C269" s="135" t="s">
        <v>409</v>
      </c>
      <c r="D269" s="135" t="s">
        <v>2295</v>
      </c>
      <c r="E269" s="135">
        <v>4</v>
      </c>
      <c r="F269" s="135">
        <v>2500</v>
      </c>
      <c r="G269" s="135">
        <v>2500</v>
      </c>
      <c r="H269" s="135">
        <v>5</v>
      </c>
      <c r="I269" s="135">
        <v>0</v>
      </c>
      <c r="J269" s="135">
        <v>2500</v>
      </c>
      <c r="K269" s="135">
        <v>0</v>
      </c>
    </row>
    <row r="270" spans="1:11" x14ac:dyDescent="0.3">
      <c r="A270" s="135" t="s">
        <v>396</v>
      </c>
      <c r="B270" s="135" t="s">
        <v>1558</v>
      </c>
      <c r="C270" s="135" t="s">
        <v>409</v>
      </c>
      <c r="D270" s="135" t="s">
        <v>2295</v>
      </c>
      <c r="E270" s="135">
        <v>18</v>
      </c>
      <c r="F270" s="135">
        <v>3000</v>
      </c>
      <c r="G270" s="135">
        <v>3000</v>
      </c>
      <c r="H270" s="135">
        <v>6</v>
      </c>
      <c r="I270" s="135">
        <v>0</v>
      </c>
      <c r="J270" s="135">
        <v>3000</v>
      </c>
      <c r="K270" s="135">
        <v>0</v>
      </c>
    </row>
    <row r="271" spans="1:11" x14ac:dyDescent="0.3">
      <c r="A271" s="135" t="s">
        <v>396</v>
      </c>
      <c r="B271" s="135" t="s">
        <v>765</v>
      </c>
      <c r="C271" s="135" t="s">
        <v>409</v>
      </c>
      <c r="D271" s="135" t="s">
        <v>2295</v>
      </c>
      <c r="E271" s="135">
        <v>18</v>
      </c>
      <c r="F271" s="135">
        <v>3600</v>
      </c>
      <c r="G271" s="135">
        <v>3000</v>
      </c>
      <c r="H271" s="135">
        <v>6</v>
      </c>
      <c r="I271" s="135">
        <v>-600</v>
      </c>
      <c r="J271" s="135">
        <v>3000</v>
      </c>
      <c r="K271" s="135">
        <v>0</v>
      </c>
    </row>
    <row r="272" spans="1:11" x14ac:dyDescent="0.3">
      <c r="A272" s="135" t="s">
        <v>396</v>
      </c>
      <c r="B272" s="135" t="s">
        <v>1553</v>
      </c>
      <c r="C272" s="135" t="s">
        <v>409</v>
      </c>
      <c r="D272" s="135" t="s">
        <v>2295</v>
      </c>
      <c r="E272" s="135">
        <v>18</v>
      </c>
      <c r="F272" s="135">
        <v>3000</v>
      </c>
      <c r="G272" s="135">
        <v>3000</v>
      </c>
      <c r="H272" s="135">
        <v>6</v>
      </c>
      <c r="I272" s="135">
        <v>0</v>
      </c>
      <c r="J272" s="135">
        <v>3000</v>
      </c>
      <c r="K272" s="135">
        <v>0</v>
      </c>
    </row>
    <row r="273" spans="1:11" x14ac:dyDescent="0.3">
      <c r="A273" s="135" t="s">
        <v>396</v>
      </c>
      <c r="B273" s="135" t="s">
        <v>298</v>
      </c>
      <c r="C273" s="135" t="s">
        <v>409</v>
      </c>
      <c r="D273" s="135" t="s">
        <v>2295</v>
      </c>
      <c r="E273" s="135">
        <v>18</v>
      </c>
      <c r="F273" s="135">
        <v>3000</v>
      </c>
      <c r="G273" s="135">
        <v>3000</v>
      </c>
      <c r="H273" s="135">
        <v>6</v>
      </c>
      <c r="I273" s="135">
        <v>0</v>
      </c>
      <c r="J273" s="135">
        <v>3000</v>
      </c>
      <c r="K273" s="135">
        <v>0</v>
      </c>
    </row>
    <row r="274" spans="1:11" x14ac:dyDescent="0.3">
      <c r="A274" s="135" t="s">
        <v>396</v>
      </c>
      <c r="B274" s="135" t="s">
        <v>301</v>
      </c>
      <c r="C274" s="135" t="s">
        <v>409</v>
      </c>
      <c r="D274" s="135" t="s">
        <v>2295</v>
      </c>
      <c r="E274" s="135">
        <v>18</v>
      </c>
      <c r="F274" s="135">
        <v>3500</v>
      </c>
      <c r="G274" s="135">
        <v>3000</v>
      </c>
      <c r="H274" s="135">
        <v>6</v>
      </c>
      <c r="I274" s="135">
        <v>-500</v>
      </c>
      <c r="J274" s="135">
        <v>3000</v>
      </c>
      <c r="K274" s="135">
        <v>0</v>
      </c>
    </row>
    <row r="275" spans="1:11" x14ac:dyDescent="0.3">
      <c r="A275" s="135" t="s">
        <v>394</v>
      </c>
      <c r="B275" s="135" t="s">
        <v>1522</v>
      </c>
      <c r="C275" s="135" t="s">
        <v>409</v>
      </c>
      <c r="D275" s="135" t="s">
        <v>2295</v>
      </c>
      <c r="E275" s="135">
        <v>9</v>
      </c>
      <c r="F275" s="135">
        <v>3000</v>
      </c>
      <c r="G275" s="135">
        <v>3000</v>
      </c>
      <c r="H275" s="135">
        <v>6</v>
      </c>
      <c r="I275" s="135">
        <v>0</v>
      </c>
      <c r="J275" s="135">
        <v>3000</v>
      </c>
      <c r="K275" s="135">
        <v>0</v>
      </c>
    </row>
    <row r="276" spans="1:11" x14ac:dyDescent="0.3">
      <c r="A276" s="135" t="s">
        <v>396</v>
      </c>
      <c r="B276" s="135" t="s">
        <v>237</v>
      </c>
      <c r="C276" s="135" t="s">
        <v>409</v>
      </c>
      <c r="D276" s="135" t="s">
        <v>2295</v>
      </c>
      <c r="E276" s="135">
        <v>18</v>
      </c>
      <c r="F276" s="135">
        <v>3900</v>
      </c>
      <c r="G276" s="135">
        <v>3900</v>
      </c>
      <c r="H276" s="135">
        <v>7.8</v>
      </c>
      <c r="I276" s="135">
        <v>0</v>
      </c>
      <c r="J276" s="135">
        <v>3900</v>
      </c>
      <c r="K276" s="135">
        <v>0</v>
      </c>
    </row>
    <row r="277" spans="1:11" x14ac:dyDescent="0.3">
      <c r="A277" s="135" t="s">
        <v>405</v>
      </c>
      <c r="B277" s="135" t="s">
        <v>755</v>
      </c>
      <c r="C277" s="135" t="s">
        <v>409</v>
      </c>
      <c r="D277" s="135" t="s">
        <v>2295</v>
      </c>
      <c r="E277" s="135">
        <v>1</v>
      </c>
      <c r="F277" s="135">
        <v>5000</v>
      </c>
      <c r="G277" s="135">
        <v>5000</v>
      </c>
      <c r="H277" s="135">
        <v>10</v>
      </c>
      <c r="I277" s="135">
        <v>0</v>
      </c>
      <c r="J277" s="135">
        <v>5000</v>
      </c>
      <c r="K277" s="135">
        <v>0</v>
      </c>
    </row>
    <row r="278" spans="1:11" x14ac:dyDescent="0.3">
      <c r="A278" s="135" t="s">
        <v>405</v>
      </c>
      <c r="B278" s="135" t="s">
        <v>75</v>
      </c>
      <c r="C278" s="135" t="s">
        <v>409</v>
      </c>
      <c r="D278" s="135" t="s">
        <v>2295</v>
      </c>
      <c r="E278" s="135">
        <v>1</v>
      </c>
      <c r="F278" s="135">
        <v>5000</v>
      </c>
      <c r="G278" s="135">
        <v>5000</v>
      </c>
      <c r="H278" s="135">
        <v>10</v>
      </c>
      <c r="I278" s="135">
        <v>0</v>
      </c>
      <c r="J278" s="135">
        <v>5000</v>
      </c>
      <c r="K278" s="135">
        <v>0</v>
      </c>
    </row>
    <row r="279" spans="1:11" x14ac:dyDescent="0.3">
      <c r="A279" s="135" t="s">
        <v>405</v>
      </c>
      <c r="B279" s="135" t="s">
        <v>63</v>
      </c>
      <c r="C279" s="135" t="s">
        <v>409</v>
      </c>
      <c r="D279" s="135" t="s">
        <v>2295</v>
      </c>
      <c r="E279" s="135">
        <v>1</v>
      </c>
      <c r="F279" s="135">
        <v>5400</v>
      </c>
      <c r="G279" s="135">
        <v>5000</v>
      </c>
      <c r="H279" s="135">
        <v>10</v>
      </c>
      <c r="I279" s="135">
        <v>-400</v>
      </c>
      <c r="J279" s="135">
        <v>5000</v>
      </c>
      <c r="K279" s="135">
        <v>0</v>
      </c>
    </row>
    <row r="280" spans="1:11" x14ac:dyDescent="0.3">
      <c r="A280" s="135" t="s">
        <v>399</v>
      </c>
      <c r="B280" s="135" t="s">
        <v>535</v>
      </c>
      <c r="C280" s="135" t="s">
        <v>407</v>
      </c>
      <c r="D280" s="135" t="s">
        <v>404</v>
      </c>
      <c r="E280" s="135">
        <v>3</v>
      </c>
      <c r="F280" s="135">
        <v>2500</v>
      </c>
      <c r="G280" s="135">
        <v>2500</v>
      </c>
      <c r="H280" s="135">
        <v>5</v>
      </c>
      <c r="I280" s="135">
        <v>0</v>
      </c>
      <c r="J280" s="135">
        <v>2500</v>
      </c>
      <c r="K280" s="135">
        <v>0</v>
      </c>
    </row>
    <row r="281" spans="1:11" x14ac:dyDescent="0.3">
      <c r="A281" s="135" t="s">
        <v>394</v>
      </c>
      <c r="B281" s="135" t="s">
        <v>502</v>
      </c>
      <c r="C281" s="135" t="s">
        <v>407</v>
      </c>
      <c r="D281" s="135" t="s">
        <v>404</v>
      </c>
      <c r="E281" s="135">
        <v>32</v>
      </c>
      <c r="F281" s="135">
        <v>3000</v>
      </c>
      <c r="G281" s="135">
        <v>3000</v>
      </c>
      <c r="H281" s="135">
        <v>6</v>
      </c>
      <c r="I281" s="135">
        <v>0</v>
      </c>
      <c r="J281" s="135">
        <v>3000</v>
      </c>
      <c r="K281" s="135">
        <v>0</v>
      </c>
    </row>
    <row r="282" spans="1:11" x14ac:dyDescent="0.3">
      <c r="A282" s="135" t="s">
        <v>394</v>
      </c>
      <c r="B282" s="135" t="s">
        <v>496</v>
      </c>
      <c r="C282" s="135" t="s">
        <v>407</v>
      </c>
      <c r="D282" s="135" t="s">
        <v>404</v>
      </c>
      <c r="E282" s="135">
        <v>32</v>
      </c>
      <c r="F282" s="135">
        <v>3000</v>
      </c>
      <c r="G282" s="135">
        <v>3000</v>
      </c>
      <c r="H282" s="135">
        <v>6</v>
      </c>
      <c r="I282" s="135">
        <v>0</v>
      </c>
      <c r="J282" s="135">
        <v>3000</v>
      </c>
      <c r="K282" s="135">
        <v>0</v>
      </c>
    </row>
    <row r="283" spans="1:11" x14ac:dyDescent="0.3">
      <c r="A283" s="135" t="s">
        <v>399</v>
      </c>
      <c r="B283" s="135" t="s">
        <v>325</v>
      </c>
      <c r="C283" s="135" t="s">
        <v>407</v>
      </c>
      <c r="D283" s="135" t="s">
        <v>404</v>
      </c>
      <c r="E283" s="135">
        <v>3</v>
      </c>
      <c r="F283" s="135">
        <v>4200</v>
      </c>
      <c r="G283" s="135">
        <v>4600</v>
      </c>
      <c r="H283" s="135">
        <v>9.1999999999999993</v>
      </c>
      <c r="I283" s="135">
        <v>400</v>
      </c>
      <c r="J283" s="135">
        <v>4600</v>
      </c>
      <c r="K283" s="135">
        <v>0</v>
      </c>
    </row>
    <row r="284" spans="1:11" x14ac:dyDescent="0.3">
      <c r="A284" s="135" t="s">
        <v>405</v>
      </c>
      <c r="B284" s="135" t="s">
        <v>76</v>
      </c>
      <c r="C284" s="135" t="s">
        <v>407</v>
      </c>
      <c r="D284" s="135" t="s">
        <v>404</v>
      </c>
      <c r="E284" s="135">
        <v>12</v>
      </c>
      <c r="F284" s="135">
        <v>5000</v>
      </c>
      <c r="G284" s="135">
        <v>5000</v>
      </c>
      <c r="H284" s="135">
        <v>10</v>
      </c>
      <c r="I284" s="135">
        <v>0</v>
      </c>
      <c r="J284" s="135">
        <v>5000</v>
      </c>
      <c r="K284" s="135">
        <v>0</v>
      </c>
    </row>
    <row r="285" spans="1:11" x14ac:dyDescent="0.3">
      <c r="A285" s="135" t="s">
        <v>399</v>
      </c>
      <c r="B285" s="135" t="s">
        <v>548</v>
      </c>
      <c r="C285" s="135" t="s">
        <v>404</v>
      </c>
      <c r="D285" s="135" t="s">
        <v>2308</v>
      </c>
      <c r="E285" s="135">
        <v>17</v>
      </c>
      <c r="F285" s="135">
        <v>2500</v>
      </c>
      <c r="G285" s="135">
        <v>2500</v>
      </c>
      <c r="H285" s="135">
        <v>5</v>
      </c>
      <c r="I285" s="135">
        <v>0</v>
      </c>
      <c r="J285" s="135">
        <v>2500</v>
      </c>
      <c r="K285" s="135">
        <v>0</v>
      </c>
    </row>
    <row r="286" spans="1:11" x14ac:dyDescent="0.3">
      <c r="A286" s="135" t="s">
        <v>399</v>
      </c>
      <c r="B286" s="135" t="s">
        <v>355</v>
      </c>
      <c r="C286" s="135" t="s">
        <v>404</v>
      </c>
      <c r="D286" s="135" t="s">
        <v>2308</v>
      </c>
      <c r="E286" s="135">
        <v>17</v>
      </c>
      <c r="F286" s="135">
        <v>2500</v>
      </c>
      <c r="G286" s="135">
        <v>2500</v>
      </c>
      <c r="H286" s="135">
        <v>5</v>
      </c>
      <c r="I286" s="135">
        <v>0</v>
      </c>
      <c r="J286" s="135">
        <v>2500</v>
      </c>
      <c r="K286" s="135">
        <v>0</v>
      </c>
    </row>
    <row r="287" spans="1:11" x14ac:dyDescent="0.3">
      <c r="A287" s="135" t="s">
        <v>396</v>
      </c>
      <c r="B287" s="135" t="s">
        <v>500</v>
      </c>
      <c r="C287" s="135" t="s">
        <v>404</v>
      </c>
      <c r="D287" s="135" t="s">
        <v>2308</v>
      </c>
      <c r="E287" s="135">
        <v>23</v>
      </c>
      <c r="F287" s="135">
        <v>3000</v>
      </c>
      <c r="G287" s="135">
        <v>3000</v>
      </c>
      <c r="H287" s="135">
        <v>6</v>
      </c>
      <c r="I287" s="135">
        <v>0</v>
      </c>
      <c r="J287" s="135">
        <v>3000</v>
      </c>
      <c r="K287" s="135">
        <v>0</v>
      </c>
    </row>
    <row r="288" spans="1:11" x14ac:dyDescent="0.3">
      <c r="A288" s="135" t="s">
        <v>396</v>
      </c>
      <c r="B288" s="135" t="s">
        <v>264</v>
      </c>
      <c r="C288" s="135" t="s">
        <v>404</v>
      </c>
      <c r="D288" s="135" t="s">
        <v>2308</v>
      </c>
      <c r="E288" s="135">
        <v>23</v>
      </c>
      <c r="F288" s="135">
        <v>3000</v>
      </c>
      <c r="G288" s="135">
        <v>3000</v>
      </c>
      <c r="H288" s="135">
        <v>6</v>
      </c>
      <c r="I288" s="135">
        <v>0</v>
      </c>
      <c r="J288" s="135">
        <v>3000</v>
      </c>
      <c r="K288" s="135">
        <v>0</v>
      </c>
    </row>
    <row r="289" spans="1:11" x14ac:dyDescent="0.3">
      <c r="A289" s="135" t="s">
        <v>394</v>
      </c>
      <c r="B289" s="135" t="s">
        <v>499</v>
      </c>
      <c r="C289" s="135" t="s">
        <v>404</v>
      </c>
      <c r="D289" s="135" t="s">
        <v>2308</v>
      </c>
      <c r="E289" s="135">
        <v>31</v>
      </c>
      <c r="F289" s="135">
        <v>3000</v>
      </c>
      <c r="G289" s="135">
        <v>3000</v>
      </c>
      <c r="H289" s="135">
        <v>6</v>
      </c>
      <c r="I289" s="135">
        <v>0</v>
      </c>
      <c r="J289" s="135">
        <v>3000</v>
      </c>
      <c r="K289" s="135">
        <v>0</v>
      </c>
    </row>
    <row r="290" spans="1:11" x14ac:dyDescent="0.3">
      <c r="A290" s="135" t="s">
        <v>394</v>
      </c>
      <c r="B290" s="135" t="s">
        <v>185</v>
      </c>
      <c r="C290" s="135" t="s">
        <v>404</v>
      </c>
      <c r="D290" s="135" t="s">
        <v>2308</v>
      </c>
      <c r="E290" s="135">
        <v>31</v>
      </c>
      <c r="F290" s="135">
        <v>3000</v>
      </c>
      <c r="G290" s="135">
        <v>3000</v>
      </c>
      <c r="H290" s="135">
        <v>6</v>
      </c>
      <c r="I290" s="135">
        <v>0</v>
      </c>
      <c r="J290" s="135">
        <v>3000</v>
      </c>
      <c r="K290" s="135">
        <v>0</v>
      </c>
    </row>
    <row r="291" spans="1:11" x14ac:dyDescent="0.3">
      <c r="A291" s="135" t="s">
        <v>394</v>
      </c>
      <c r="B291" s="135" t="s">
        <v>152</v>
      </c>
      <c r="C291" s="135" t="s">
        <v>404</v>
      </c>
      <c r="D291" s="135" t="s">
        <v>2308</v>
      </c>
      <c r="E291" s="135">
        <v>31</v>
      </c>
      <c r="F291" s="135">
        <v>3000</v>
      </c>
      <c r="G291" s="135">
        <v>3100</v>
      </c>
      <c r="H291" s="135">
        <v>6.2</v>
      </c>
      <c r="I291" s="135">
        <v>100</v>
      </c>
      <c r="J291" s="135">
        <v>3100</v>
      </c>
      <c r="K291" s="135">
        <v>0</v>
      </c>
    </row>
    <row r="292" spans="1:11" x14ac:dyDescent="0.3">
      <c r="A292" s="135" t="s">
        <v>394</v>
      </c>
      <c r="B292" s="135" t="s">
        <v>117</v>
      </c>
      <c r="C292" s="135" t="s">
        <v>404</v>
      </c>
      <c r="D292" s="135" t="s">
        <v>2308</v>
      </c>
      <c r="E292" s="135">
        <v>31</v>
      </c>
      <c r="F292" s="135">
        <v>4300</v>
      </c>
      <c r="G292" s="135">
        <v>3300</v>
      </c>
      <c r="H292" s="135">
        <v>6.6</v>
      </c>
      <c r="I292" s="135">
        <v>-1000</v>
      </c>
      <c r="J292" s="135">
        <v>3300</v>
      </c>
      <c r="K292" s="135">
        <v>0</v>
      </c>
    </row>
    <row r="293" spans="1:11" x14ac:dyDescent="0.3">
      <c r="A293" s="135" t="s">
        <v>405</v>
      </c>
      <c r="B293" s="135" t="s">
        <v>74</v>
      </c>
      <c r="C293" s="135" t="s">
        <v>404</v>
      </c>
      <c r="D293" s="135" t="s">
        <v>2308</v>
      </c>
      <c r="E293" s="135">
        <v>27</v>
      </c>
      <c r="F293" s="135">
        <v>5000</v>
      </c>
      <c r="G293" s="135">
        <v>5000</v>
      </c>
      <c r="H293" s="135">
        <v>10</v>
      </c>
      <c r="I293" s="135">
        <v>0</v>
      </c>
      <c r="J293" s="135">
        <v>5000</v>
      </c>
      <c r="K293" s="135">
        <v>0</v>
      </c>
    </row>
    <row r="294" spans="1:11" x14ac:dyDescent="0.3">
      <c r="A294" s="135" t="s">
        <v>394</v>
      </c>
      <c r="B294" s="135" t="s">
        <v>89</v>
      </c>
      <c r="C294" s="135" t="s">
        <v>404</v>
      </c>
      <c r="D294" s="135" t="s">
        <v>2308</v>
      </c>
      <c r="E294" s="135">
        <v>31</v>
      </c>
      <c r="F294" s="135">
        <v>6600</v>
      </c>
      <c r="G294" s="135">
        <v>5900</v>
      </c>
      <c r="H294" s="135">
        <v>11.8</v>
      </c>
      <c r="I294" s="135">
        <v>-700</v>
      </c>
      <c r="J294" s="135">
        <v>5900</v>
      </c>
      <c r="K294" s="135">
        <v>0</v>
      </c>
    </row>
    <row r="295" spans="1:11" x14ac:dyDescent="0.3">
      <c r="A295" s="135" t="s">
        <v>399</v>
      </c>
      <c r="B295" s="135" t="s">
        <v>356</v>
      </c>
      <c r="C295" s="135" t="s">
        <v>398</v>
      </c>
      <c r="D295" s="135" t="s">
        <v>52</v>
      </c>
      <c r="E295" s="135">
        <v>30</v>
      </c>
      <c r="F295" s="135">
        <v>2500</v>
      </c>
      <c r="G295" s="135">
        <v>2500</v>
      </c>
      <c r="H295" s="135">
        <v>5</v>
      </c>
      <c r="I295" s="135">
        <v>0</v>
      </c>
      <c r="J295" s="135">
        <v>2500</v>
      </c>
      <c r="K295" s="135">
        <v>0</v>
      </c>
    </row>
    <row r="296" spans="1:11" x14ac:dyDescent="0.3">
      <c r="A296" s="135" t="s">
        <v>399</v>
      </c>
      <c r="B296" s="135" t="s">
        <v>345</v>
      </c>
      <c r="C296" s="135" t="s">
        <v>398</v>
      </c>
      <c r="D296" s="135" t="s">
        <v>52</v>
      </c>
      <c r="E296" s="135">
        <v>30</v>
      </c>
      <c r="F296" s="135">
        <v>2700</v>
      </c>
      <c r="G296" s="135">
        <v>2500</v>
      </c>
      <c r="H296" s="135">
        <v>5</v>
      </c>
      <c r="I296" s="135">
        <v>-200</v>
      </c>
      <c r="J296" s="135">
        <v>2500</v>
      </c>
      <c r="K296" s="135">
        <v>0</v>
      </c>
    </row>
    <row r="297" spans="1:11" x14ac:dyDescent="0.3">
      <c r="A297" s="135" t="s">
        <v>396</v>
      </c>
      <c r="B297" s="135" t="s">
        <v>1249</v>
      </c>
      <c r="C297" s="135" t="s">
        <v>398</v>
      </c>
      <c r="D297" s="135" t="s">
        <v>52</v>
      </c>
      <c r="E297" s="135">
        <v>9</v>
      </c>
      <c r="F297" s="135">
        <v>3000</v>
      </c>
      <c r="G297" s="135">
        <v>3000</v>
      </c>
      <c r="H297" s="135">
        <v>6</v>
      </c>
      <c r="I297" s="135">
        <v>0</v>
      </c>
      <c r="J297" s="135">
        <v>3000</v>
      </c>
      <c r="K297" s="135">
        <v>0</v>
      </c>
    </row>
    <row r="298" spans="1:11" x14ac:dyDescent="0.3">
      <c r="A298" s="135" t="s">
        <v>396</v>
      </c>
      <c r="B298" s="135" t="s">
        <v>313</v>
      </c>
      <c r="C298" s="135" t="s">
        <v>398</v>
      </c>
      <c r="D298" s="135" t="s">
        <v>52</v>
      </c>
      <c r="E298" s="135">
        <v>9</v>
      </c>
      <c r="F298" s="135">
        <v>3000</v>
      </c>
      <c r="G298" s="135">
        <v>3000</v>
      </c>
      <c r="H298" s="135">
        <v>6</v>
      </c>
      <c r="I298" s="135">
        <v>0</v>
      </c>
      <c r="J298" s="135">
        <v>3000</v>
      </c>
      <c r="K298" s="135">
        <v>0</v>
      </c>
    </row>
    <row r="299" spans="1:11" x14ac:dyDescent="0.3">
      <c r="A299" s="135" t="s">
        <v>394</v>
      </c>
      <c r="B299" s="135" t="s">
        <v>160</v>
      </c>
      <c r="C299" s="135" t="s">
        <v>398</v>
      </c>
      <c r="D299" s="135" t="s">
        <v>52</v>
      </c>
      <c r="E299" s="135">
        <v>23</v>
      </c>
      <c r="F299" s="135">
        <v>3000</v>
      </c>
      <c r="G299" s="135">
        <v>3000</v>
      </c>
      <c r="H299" s="135">
        <v>6</v>
      </c>
      <c r="I299" s="135">
        <v>0</v>
      </c>
      <c r="J299" s="135">
        <v>3000</v>
      </c>
      <c r="K299" s="135">
        <v>0</v>
      </c>
    </row>
    <row r="300" spans="1:11" x14ac:dyDescent="0.3">
      <c r="A300" s="135" t="s">
        <v>396</v>
      </c>
      <c r="B300" s="135" t="s">
        <v>294</v>
      </c>
      <c r="C300" s="135" t="s">
        <v>398</v>
      </c>
      <c r="D300" s="135" t="s">
        <v>52</v>
      </c>
      <c r="E300" s="135">
        <v>9</v>
      </c>
      <c r="F300" s="135">
        <v>3000</v>
      </c>
      <c r="G300" s="135">
        <v>3400</v>
      </c>
      <c r="H300" s="135">
        <v>6.8</v>
      </c>
      <c r="I300" s="135">
        <v>400</v>
      </c>
      <c r="J300" s="135">
        <v>3400</v>
      </c>
      <c r="K300" s="135">
        <v>0</v>
      </c>
    </row>
    <row r="301" spans="1:11" x14ac:dyDescent="0.3">
      <c r="A301" s="135" t="s">
        <v>405</v>
      </c>
      <c r="B301" s="135" t="s">
        <v>47</v>
      </c>
      <c r="C301" s="135" t="s">
        <v>398</v>
      </c>
      <c r="D301" s="135" t="s">
        <v>52</v>
      </c>
      <c r="E301" s="135">
        <v>28</v>
      </c>
      <c r="F301" s="135">
        <v>5200</v>
      </c>
      <c r="G301" s="135">
        <v>5000</v>
      </c>
      <c r="H301" s="135">
        <v>10</v>
      </c>
      <c r="I301" s="135">
        <v>-200</v>
      </c>
      <c r="J301" s="135">
        <v>5000</v>
      </c>
      <c r="K301" s="135">
        <v>0</v>
      </c>
    </row>
    <row r="302" spans="1:11" x14ac:dyDescent="0.3">
      <c r="A302" s="135" t="s">
        <v>405</v>
      </c>
      <c r="B302" s="135" t="s">
        <v>1547</v>
      </c>
      <c r="C302" s="135" t="s">
        <v>398</v>
      </c>
      <c r="D302" s="135" t="s">
        <v>52</v>
      </c>
      <c r="E302" s="135">
        <v>28</v>
      </c>
      <c r="F302" s="135">
        <v>5000</v>
      </c>
      <c r="G302" s="135">
        <v>5000</v>
      </c>
      <c r="H302" s="135">
        <v>10</v>
      </c>
      <c r="I302" s="135">
        <v>0</v>
      </c>
      <c r="J302" s="135">
        <v>5000</v>
      </c>
      <c r="K302" s="135">
        <v>0</v>
      </c>
    </row>
    <row r="303" spans="1:11" x14ac:dyDescent="0.3">
      <c r="A303" s="135" t="s">
        <v>405</v>
      </c>
      <c r="B303" s="135" t="s">
        <v>58</v>
      </c>
      <c r="C303" s="135" t="s">
        <v>398</v>
      </c>
      <c r="D303" s="135" t="s">
        <v>52</v>
      </c>
      <c r="E303" s="135">
        <v>28</v>
      </c>
      <c r="F303" s="135">
        <v>5000</v>
      </c>
      <c r="G303" s="135">
        <v>5000</v>
      </c>
      <c r="H303" s="135">
        <v>10</v>
      </c>
      <c r="I303" s="135">
        <v>0</v>
      </c>
      <c r="J303" s="135">
        <v>5000</v>
      </c>
      <c r="K303" s="135">
        <v>0</v>
      </c>
    </row>
    <row r="304" spans="1:11" x14ac:dyDescent="0.3">
      <c r="A304" s="135" t="s">
        <v>399</v>
      </c>
      <c r="B304" s="135" t="s">
        <v>386</v>
      </c>
      <c r="C304" s="135" t="s">
        <v>52</v>
      </c>
      <c r="D304" s="135" t="s">
        <v>2309</v>
      </c>
      <c r="E304" s="135">
        <v>28</v>
      </c>
      <c r="F304" s="135">
        <v>2500</v>
      </c>
      <c r="G304" s="135">
        <v>2500</v>
      </c>
      <c r="H304" s="135">
        <v>5</v>
      </c>
      <c r="I304" s="135">
        <v>0</v>
      </c>
      <c r="J304" s="135">
        <v>2500</v>
      </c>
      <c r="K304" s="135">
        <v>0</v>
      </c>
    </row>
    <row r="305" spans="1:11" x14ac:dyDescent="0.3">
      <c r="A305" s="135" t="s">
        <v>399</v>
      </c>
      <c r="B305" s="135" t="s">
        <v>372</v>
      </c>
      <c r="C305" s="135" t="s">
        <v>52</v>
      </c>
      <c r="D305" s="135" t="s">
        <v>2309</v>
      </c>
      <c r="E305" s="135">
        <v>28</v>
      </c>
      <c r="F305" s="135">
        <v>2600</v>
      </c>
      <c r="G305" s="135">
        <v>2500</v>
      </c>
      <c r="H305" s="135">
        <v>5</v>
      </c>
      <c r="I305" s="135">
        <v>-100</v>
      </c>
      <c r="J305" s="135">
        <v>2500</v>
      </c>
      <c r="K305" s="135">
        <v>0</v>
      </c>
    </row>
    <row r="306" spans="1:11" x14ac:dyDescent="0.3">
      <c r="A306" s="135" t="s">
        <v>396</v>
      </c>
      <c r="B306" s="135" t="s">
        <v>307</v>
      </c>
      <c r="C306" s="135" t="s">
        <v>52</v>
      </c>
      <c r="D306" s="135" t="s">
        <v>2309</v>
      </c>
      <c r="E306" s="135">
        <v>19</v>
      </c>
      <c r="F306" s="135">
        <v>3000</v>
      </c>
      <c r="G306" s="135">
        <v>3000</v>
      </c>
      <c r="H306" s="135">
        <v>6</v>
      </c>
      <c r="I306" s="135">
        <v>0</v>
      </c>
      <c r="J306" s="135">
        <v>3000</v>
      </c>
      <c r="K306" s="135">
        <v>0</v>
      </c>
    </row>
    <row r="307" spans="1:11" x14ac:dyDescent="0.3">
      <c r="A307" s="135" t="s">
        <v>396</v>
      </c>
      <c r="B307" s="135" t="s">
        <v>266</v>
      </c>
      <c r="C307" s="135" t="s">
        <v>52</v>
      </c>
      <c r="D307" s="135" t="s">
        <v>2309</v>
      </c>
      <c r="E307" s="135">
        <v>19</v>
      </c>
      <c r="F307" s="135">
        <v>3000</v>
      </c>
      <c r="G307" s="135">
        <v>3000</v>
      </c>
      <c r="H307" s="135">
        <v>6</v>
      </c>
      <c r="I307" s="135">
        <v>0</v>
      </c>
      <c r="J307" s="135">
        <v>3000</v>
      </c>
      <c r="K307" s="135">
        <v>0</v>
      </c>
    </row>
    <row r="308" spans="1:11" x14ac:dyDescent="0.3">
      <c r="A308" s="135" t="s">
        <v>394</v>
      </c>
      <c r="B308" s="135" t="s">
        <v>515</v>
      </c>
      <c r="C308" s="135" t="s">
        <v>52</v>
      </c>
      <c r="D308" s="135" t="s">
        <v>2309</v>
      </c>
      <c r="E308" s="135">
        <v>25</v>
      </c>
      <c r="F308" s="135">
        <v>3000</v>
      </c>
      <c r="G308" s="135">
        <v>3000</v>
      </c>
      <c r="H308" s="135">
        <v>6</v>
      </c>
      <c r="I308" s="135">
        <v>0</v>
      </c>
      <c r="J308" s="135">
        <v>3000</v>
      </c>
      <c r="K308" s="135">
        <v>0</v>
      </c>
    </row>
    <row r="309" spans="1:11" x14ac:dyDescent="0.3">
      <c r="A309" s="135" t="s">
        <v>394</v>
      </c>
      <c r="B309" s="135" t="s">
        <v>184</v>
      </c>
      <c r="C309" s="135" t="s">
        <v>52</v>
      </c>
      <c r="D309" s="135" t="s">
        <v>2309</v>
      </c>
      <c r="E309" s="135">
        <v>25</v>
      </c>
      <c r="F309" s="135">
        <v>3000</v>
      </c>
      <c r="G309" s="135">
        <v>3000</v>
      </c>
      <c r="H309" s="135">
        <v>6</v>
      </c>
      <c r="I309" s="135">
        <v>0</v>
      </c>
      <c r="J309" s="135">
        <v>3000</v>
      </c>
      <c r="K309" s="135">
        <v>0</v>
      </c>
    </row>
    <row r="310" spans="1:11" x14ac:dyDescent="0.3">
      <c r="A310" s="135" t="s">
        <v>394</v>
      </c>
      <c r="B310" s="135" t="s">
        <v>134</v>
      </c>
      <c r="C310" s="135" t="s">
        <v>52</v>
      </c>
      <c r="D310" s="135" t="s">
        <v>2309</v>
      </c>
      <c r="E310" s="135">
        <v>25</v>
      </c>
      <c r="F310" s="135">
        <v>3000</v>
      </c>
      <c r="G310" s="135">
        <v>3000</v>
      </c>
      <c r="H310" s="135">
        <v>6</v>
      </c>
      <c r="I310" s="135">
        <v>0</v>
      </c>
      <c r="J310" s="135">
        <v>3000</v>
      </c>
      <c r="K310" s="135">
        <v>0</v>
      </c>
    </row>
    <row r="311" spans="1:11" x14ac:dyDescent="0.3">
      <c r="A311" s="135" t="s">
        <v>405</v>
      </c>
      <c r="B311" s="135" t="s">
        <v>69</v>
      </c>
      <c r="C311" s="135" t="s">
        <v>52</v>
      </c>
      <c r="D311" s="135" t="s">
        <v>2309</v>
      </c>
      <c r="E311" s="135">
        <v>23</v>
      </c>
      <c r="F311" s="135">
        <v>5000</v>
      </c>
      <c r="G311" s="135">
        <v>5000</v>
      </c>
      <c r="H311" s="135">
        <v>10</v>
      </c>
      <c r="I311" s="135">
        <v>0</v>
      </c>
      <c r="J311" s="135">
        <v>5000</v>
      </c>
      <c r="K311" s="135">
        <v>0</v>
      </c>
    </row>
    <row r="312" spans="1:11" x14ac:dyDescent="0.3">
      <c r="A312" s="135" t="s">
        <v>405</v>
      </c>
      <c r="B312" s="135" t="s">
        <v>444</v>
      </c>
      <c r="C312" s="135" t="s">
        <v>52</v>
      </c>
      <c r="D312" s="135" t="s">
        <v>2309</v>
      </c>
      <c r="E312" s="135">
        <v>23</v>
      </c>
      <c r="F312" s="135">
        <v>5000</v>
      </c>
      <c r="G312" s="135">
        <v>5700</v>
      </c>
      <c r="H312" s="135">
        <v>11.4</v>
      </c>
      <c r="I312" s="135">
        <v>700</v>
      </c>
      <c r="J312" s="135">
        <v>5700</v>
      </c>
      <c r="K312" s="135">
        <v>0</v>
      </c>
    </row>
    <row r="313" spans="1:11" x14ac:dyDescent="0.3">
      <c r="A313" s="135" t="s">
        <v>405</v>
      </c>
      <c r="B313" s="135" t="s">
        <v>51</v>
      </c>
      <c r="C313" s="135" t="s">
        <v>52</v>
      </c>
      <c r="D313" s="135" t="s">
        <v>2309</v>
      </c>
      <c r="E313" s="135">
        <v>23</v>
      </c>
      <c r="F313" s="135">
        <v>6800</v>
      </c>
      <c r="G313" s="135">
        <v>6000</v>
      </c>
      <c r="H313" s="135">
        <v>12</v>
      </c>
      <c r="I313" s="135">
        <v>-800</v>
      </c>
      <c r="J313" s="135">
        <v>6000</v>
      </c>
      <c r="K313" s="135">
        <v>0</v>
      </c>
    </row>
    <row r="314" spans="1:11" x14ac:dyDescent="0.3">
      <c r="A314" s="135" t="s">
        <v>394</v>
      </c>
      <c r="B314" s="135" t="s">
        <v>428</v>
      </c>
      <c r="C314" s="135" t="s">
        <v>52</v>
      </c>
      <c r="D314" s="135" t="s">
        <v>2309</v>
      </c>
      <c r="E314" s="135">
        <v>25</v>
      </c>
      <c r="F314" s="135">
        <v>7300</v>
      </c>
      <c r="G314" s="135">
        <v>6900</v>
      </c>
      <c r="H314" s="135">
        <v>13.8</v>
      </c>
      <c r="I314" s="135">
        <v>-400</v>
      </c>
      <c r="J314" s="135">
        <v>6900</v>
      </c>
      <c r="K314" s="135">
        <v>0</v>
      </c>
    </row>
    <row r="315" spans="1:11" x14ac:dyDescent="0.3">
      <c r="A315" s="135" t="s">
        <v>399</v>
      </c>
      <c r="B315" s="135" t="s">
        <v>1560</v>
      </c>
      <c r="C315" s="135" t="s">
        <v>20</v>
      </c>
      <c r="D315" s="135" t="s">
        <v>397</v>
      </c>
      <c r="E315" s="135">
        <v>12</v>
      </c>
      <c r="F315" s="135">
        <v>2500</v>
      </c>
      <c r="G315" s="135">
        <v>2500</v>
      </c>
      <c r="H315" s="135">
        <v>5</v>
      </c>
      <c r="I315" s="135">
        <v>0</v>
      </c>
      <c r="J315" s="135">
        <v>2500</v>
      </c>
      <c r="K315" s="135">
        <v>0</v>
      </c>
    </row>
    <row r="316" spans="1:11" x14ac:dyDescent="0.3">
      <c r="A316" s="135" t="s">
        <v>399</v>
      </c>
      <c r="B316" s="135" t="s">
        <v>98</v>
      </c>
      <c r="C316" s="135" t="s">
        <v>20</v>
      </c>
      <c r="D316" s="135" t="s">
        <v>397</v>
      </c>
      <c r="E316" s="135">
        <v>12</v>
      </c>
      <c r="F316" s="135">
        <v>2500</v>
      </c>
      <c r="G316" s="135">
        <v>2500</v>
      </c>
      <c r="H316" s="135">
        <v>5</v>
      </c>
      <c r="I316" s="135">
        <v>0</v>
      </c>
      <c r="J316" s="135">
        <v>2500</v>
      </c>
      <c r="K316" s="135">
        <v>0</v>
      </c>
    </row>
    <row r="317" spans="1:11" x14ac:dyDescent="0.3">
      <c r="A317" s="135" t="s">
        <v>394</v>
      </c>
      <c r="B317" s="135" t="s">
        <v>1555</v>
      </c>
      <c r="C317" s="135" t="s">
        <v>20</v>
      </c>
      <c r="D317" s="135" t="s">
        <v>397</v>
      </c>
      <c r="E317" s="135">
        <v>20</v>
      </c>
      <c r="F317" s="135">
        <v>3000</v>
      </c>
      <c r="G317" s="135">
        <v>3000</v>
      </c>
      <c r="H317" s="135">
        <v>6</v>
      </c>
      <c r="I317" s="135">
        <v>0</v>
      </c>
      <c r="J317" s="135">
        <v>3000</v>
      </c>
      <c r="K317" s="135">
        <v>0</v>
      </c>
    </row>
    <row r="318" spans="1:11" x14ac:dyDescent="0.3">
      <c r="A318" s="135" t="s">
        <v>394</v>
      </c>
      <c r="B318" s="135" t="s">
        <v>1520</v>
      </c>
      <c r="C318" s="135" t="s">
        <v>20</v>
      </c>
      <c r="D318" s="135" t="s">
        <v>397</v>
      </c>
      <c r="E318" s="135">
        <v>20</v>
      </c>
      <c r="F318" s="135">
        <v>3000</v>
      </c>
      <c r="G318" s="135">
        <v>3000</v>
      </c>
      <c r="H318" s="135">
        <v>6</v>
      </c>
      <c r="I318" s="135">
        <v>0</v>
      </c>
      <c r="J318" s="135">
        <v>3000</v>
      </c>
      <c r="K318" s="135">
        <v>0</v>
      </c>
    </row>
    <row r="319" spans="1:11" x14ac:dyDescent="0.3">
      <c r="A319" s="135" t="s">
        <v>394</v>
      </c>
      <c r="B319" s="135" t="s">
        <v>159</v>
      </c>
      <c r="C319" s="135" t="s">
        <v>20</v>
      </c>
      <c r="D319" s="135" t="s">
        <v>397</v>
      </c>
      <c r="E319" s="135">
        <v>20</v>
      </c>
      <c r="F319" s="135">
        <v>3500</v>
      </c>
      <c r="G319" s="135">
        <v>3000</v>
      </c>
      <c r="H319" s="135">
        <v>6</v>
      </c>
      <c r="I319" s="135">
        <v>-500</v>
      </c>
      <c r="J319" s="135">
        <v>3000</v>
      </c>
      <c r="K319" s="135">
        <v>0</v>
      </c>
    </row>
    <row r="320" spans="1:11" x14ac:dyDescent="0.3">
      <c r="A320" s="135" t="s">
        <v>405</v>
      </c>
      <c r="B320" s="135" t="s">
        <v>67</v>
      </c>
      <c r="C320" s="135" t="s">
        <v>20</v>
      </c>
      <c r="D320" s="135" t="s">
        <v>397</v>
      </c>
      <c r="E320" s="135">
        <v>4</v>
      </c>
      <c r="F320" s="135">
        <v>5000</v>
      </c>
      <c r="G320" s="135">
        <v>5000</v>
      </c>
      <c r="H320" s="135">
        <v>10</v>
      </c>
      <c r="I320" s="135">
        <v>0</v>
      </c>
      <c r="J320" s="135">
        <v>5000</v>
      </c>
      <c r="K320" s="135">
        <v>0</v>
      </c>
    </row>
    <row r="321" spans="1:11" x14ac:dyDescent="0.3">
      <c r="A321" s="135" t="s">
        <v>405</v>
      </c>
      <c r="B321" s="135" t="s">
        <v>68</v>
      </c>
      <c r="C321" s="135" t="s">
        <v>20</v>
      </c>
      <c r="D321" s="135" t="s">
        <v>397</v>
      </c>
      <c r="E321" s="135">
        <v>4</v>
      </c>
      <c r="F321" s="135">
        <v>5000</v>
      </c>
      <c r="G321" s="135">
        <v>5000</v>
      </c>
      <c r="H321" s="135">
        <v>10</v>
      </c>
      <c r="I321" s="135">
        <v>0</v>
      </c>
      <c r="J321" s="135">
        <v>5000</v>
      </c>
      <c r="K321" s="135">
        <v>0</v>
      </c>
    </row>
    <row r="322" spans="1:11" x14ac:dyDescent="0.3">
      <c r="A322" s="135" t="s">
        <v>399</v>
      </c>
      <c r="B322" s="135" t="s">
        <v>374</v>
      </c>
      <c r="C322" s="135" t="s">
        <v>397</v>
      </c>
      <c r="D322" s="135" t="s">
        <v>2307</v>
      </c>
      <c r="E322" s="135">
        <v>19</v>
      </c>
      <c r="F322" s="135">
        <v>2500</v>
      </c>
      <c r="G322" s="135">
        <v>2500</v>
      </c>
      <c r="H322" s="135">
        <v>5</v>
      </c>
      <c r="I322" s="135">
        <v>0</v>
      </c>
      <c r="J322" s="135">
        <v>2500</v>
      </c>
      <c r="K322" s="135">
        <v>0</v>
      </c>
    </row>
    <row r="323" spans="1:11" x14ac:dyDescent="0.3">
      <c r="A323" s="135" t="s">
        <v>399</v>
      </c>
      <c r="B323" s="135" t="s">
        <v>549</v>
      </c>
      <c r="C323" s="135" t="s">
        <v>397</v>
      </c>
      <c r="D323" s="135" t="s">
        <v>2307</v>
      </c>
      <c r="E323" s="135">
        <v>19</v>
      </c>
      <c r="F323" s="135">
        <v>2500</v>
      </c>
      <c r="G323" s="135">
        <v>2500</v>
      </c>
      <c r="H323" s="135">
        <v>5</v>
      </c>
      <c r="I323" s="135">
        <v>0</v>
      </c>
      <c r="J323" s="135">
        <v>2500</v>
      </c>
      <c r="K323" s="135">
        <v>0</v>
      </c>
    </row>
    <row r="324" spans="1:11" x14ac:dyDescent="0.3">
      <c r="A324" s="135" t="s">
        <v>399</v>
      </c>
      <c r="B324" s="135" t="s">
        <v>365</v>
      </c>
      <c r="C324" s="135" t="s">
        <v>397</v>
      </c>
      <c r="D324" s="135" t="s">
        <v>2307</v>
      </c>
      <c r="E324" s="135">
        <v>19</v>
      </c>
      <c r="F324" s="135">
        <v>2500</v>
      </c>
      <c r="G324" s="135">
        <v>2500</v>
      </c>
      <c r="H324" s="135">
        <v>5</v>
      </c>
      <c r="I324" s="135">
        <v>0</v>
      </c>
      <c r="J324" s="135">
        <v>2500</v>
      </c>
      <c r="K324" s="135">
        <v>0</v>
      </c>
    </row>
    <row r="325" spans="1:11" x14ac:dyDescent="0.3">
      <c r="A325" s="135" t="s">
        <v>396</v>
      </c>
      <c r="B325" s="135" t="s">
        <v>529</v>
      </c>
      <c r="C325" s="135" t="s">
        <v>397</v>
      </c>
      <c r="D325" s="135" t="s">
        <v>2307</v>
      </c>
      <c r="E325" s="135">
        <v>10</v>
      </c>
      <c r="F325" s="135">
        <v>3000</v>
      </c>
      <c r="G325" s="135">
        <v>3000</v>
      </c>
      <c r="H325" s="135">
        <v>6</v>
      </c>
      <c r="I325" s="135">
        <v>0</v>
      </c>
      <c r="J325" s="135">
        <v>3000</v>
      </c>
      <c r="K325" s="135">
        <v>0</v>
      </c>
    </row>
    <row r="326" spans="1:11" x14ac:dyDescent="0.3">
      <c r="A326" s="135" t="s">
        <v>396</v>
      </c>
      <c r="B326" s="135" t="s">
        <v>521</v>
      </c>
      <c r="C326" s="135" t="s">
        <v>397</v>
      </c>
      <c r="D326" s="135" t="s">
        <v>2307</v>
      </c>
      <c r="E326" s="135">
        <v>10</v>
      </c>
      <c r="F326" s="135">
        <v>3000</v>
      </c>
      <c r="G326" s="135">
        <v>3000</v>
      </c>
      <c r="H326" s="135">
        <v>6</v>
      </c>
      <c r="I326" s="135">
        <v>0</v>
      </c>
      <c r="J326" s="135">
        <v>3000</v>
      </c>
      <c r="K326" s="135">
        <v>0</v>
      </c>
    </row>
    <row r="327" spans="1:11" x14ac:dyDescent="0.3">
      <c r="A327" s="135" t="s">
        <v>396</v>
      </c>
      <c r="B327" s="135" t="s">
        <v>403</v>
      </c>
      <c r="C327" s="135" t="s">
        <v>397</v>
      </c>
      <c r="D327" s="135" t="s">
        <v>2307</v>
      </c>
      <c r="E327" s="135">
        <v>10</v>
      </c>
      <c r="F327" s="135">
        <v>3000</v>
      </c>
      <c r="G327" s="135">
        <v>3000</v>
      </c>
      <c r="H327" s="135">
        <v>6</v>
      </c>
      <c r="I327" s="135">
        <v>0</v>
      </c>
      <c r="J327" s="135">
        <v>3000</v>
      </c>
      <c r="K327" s="135">
        <v>0</v>
      </c>
    </row>
    <row r="328" spans="1:11" x14ac:dyDescent="0.3">
      <c r="A328" s="135" t="s">
        <v>396</v>
      </c>
      <c r="B328" s="135" t="s">
        <v>248</v>
      </c>
      <c r="C328" s="135" t="s">
        <v>397</v>
      </c>
      <c r="D328" s="135" t="s">
        <v>2307</v>
      </c>
      <c r="E328" s="135">
        <v>10</v>
      </c>
      <c r="F328" s="135">
        <v>3600</v>
      </c>
      <c r="G328" s="135">
        <v>3000</v>
      </c>
      <c r="H328" s="135">
        <v>6</v>
      </c>
      <c r="I328" s="135">
        <v>-600</v>
      </c>
      <c r="J328" s="135">
        <v>3000</v>
      </c>
      <c r="K328" s="135">
        <v>0</v>
      </c>
    </row>
    <row r="329" spans="1:11" x14ac:dyDescent="0.3">
      <c r="A329" s="135" t="s">
        <v>394</v>
      </c>
      <c r="B329" s="135" t="s">
        <v>157</v>
      </c>
      <c r="C329" s="135" t="s">
        <v>397</v>
      </c>
      <c r="D329" s="135" t="s">
        <v>2307</v>
      </c>
      <c r="E329" s="135">
        <v>29</v>
      </c>
      <c r="F329" s="135">
        <v>3100</v>
      </c>
      <c r="G329" s="135">
        <v>3000</v>
      </c>
      <c r="H329" s="135">
        <v>6</v>
      </c>
      <c r="I329" s="135">
        <v>-100</v>
      </c>
      <c r="J329" s="135">
        <v>3000</v>
      </c>
      <c r="K329" s="135">
        <v>0</v>
      </c>
    </row>
    <row r="330" spans="1:11" x14ac:dyDescent="0.3">
      <c r="A330" s="135" t="s">
        <v>394</v>
      </c>
      <c r="B330" s="135" t="s">
        <v>182</v>
      </c>
      <c r="C330" s="135" t="s">
        <v>397</v>
      </c>
      <c r="D330" s="135" t="s">
        <v>2307</v>
      </c>
      <c r="E330" s="135">
        <v>29</v>
      </c>
      <c r="F330" s="135">
        <v>3000</v>
      </c>
      <c r="G330" s="135">
        <v>3000</v>
      </c>
      <c r="H330" s="135">
        <v>6</v>
      </c>
      <c r="I330" s="135">
        <v>0</v>
      </c>
      <c r="J330" s="135">
        <v>3000</v>
      </c>
      <c r="K330" s="135">
        <v>0</v>
      </c>
    </row>
    <row r="331" spans="1:11" x14ac:dyDescent="0.3">
      <c r="A331" s="135" t="s">
        <v>405</v>
      </c>
      <c r="B331" s="135" t="s">
        <v>441</v>
      </c>
      <c r="C331" s="135" t="s">
        <v>397</v>
      </c>
      <c r="D331" s="135" t="s">
        <v>2307</v>
      </c>
      <c r="E331" s="135">
        <v>15</v>
      </c>
      <c r="F331" s="135">
        <v>5000</v>
      </c>
      <c r="G331" s="135">
        <v>5000</v>
      </c>
      <c r="H331" s="135">
        <v>10</v>
      </c>
      <c r="I331" s="135">
        <v>0</v>
      </c>
      <c r="J331" s="135">
        <v>5000</v>
      </c>
      <c r="K331" s="135">
        <v>0</v>
      </c>
    </row>
    <row r="332" spans="1:11" x14ac:dyDescent="0.3">
      <c r="A332" s="135" t="s">
        <v>405</v>
      </c>
      <c r="B332" s="135" t="s">
        <v>60</v>
      </c>
      <c r="C332" s="135" t="s">
        <v>397</v>
      </c>
      <c r="D332" s="135" t="s">
        <v>2307</v>
      </c>
      <c r="E332" s="135">
        <v>15</v>
      </c>
      <c r="F332" s="135">
        <v>5000</v>
      </c>
      <c r="G332" s="135">
        <v>5000</v>
      </c>
      <c r="H332" s="135">
        <v>10</v>
      </c>
      <c r="I332" s="135">
        <v>0</v>
      </c>
      <c r="J332" s="135">
        <v>5000</v>
      </c>
      <c r="K332" s="135">
        <v>0</v>
      </c>
    </row>
    <row r="333" spans="1:11" x14ac:dyDescent="0.3">
      <c r="A333" s="135" t="s">
        <v>394</v>
      </c>
      <c r="B333" s="135" t="s">
        <v>125</v>
      </c>
      <c r="C333" s="135" t="s">
        <v>397</v>
      </c>
      <c r="D333" s="135" t="s">
        <v>2307</v>
      </c>
      <c r="E333" s="135">
        <v>29</v>
      </c>
      <c r="F333" s="135">
        <v>4400</v>
      </c>
      <c r="G333" s="135">
        <v>5700</v>
      </c>
      <c r="H333" s="135">
        <v>11.4</v>
      </c>
      <c r="I333" s="135">
        <v>1300</v>
      </c>
      <c r="J333" s="135">
        <v>5700</v>
      </c>
      <c r="K333" s="135">
        <v>0</v>
      </c>
    </row>
    <row r="334" spans="1:11" x14ac:dyDescent="0.3">
      <c r="A334" s="135" t="s">
        <v>396</v>
      </c>
      <c r="B334" s="135" t="s">
        <v>201</v>
      </c>
      <c r="C334" s="135" t="s">
        <v>397</v>
      </c>
      <c r="D334" s="135" t="s">
        <v>2307</v>
      </c>
      <c r="E334" s="135">
        <v>10</v>
      </c>
      <c r="F334" s="135">
        <v>6500</v>
      </c>
      <c r="G334" s="135">
        <v>6000</v>
      </c>
      <c r="H334" s="135">
        <v>12</v>
      </c>
      <c r="I334" s="135">
        <v>-500</v>
      </c>
      <c r="J334" s="135">
        <v>6000</v>
      </c>
      <c r="K334" s="135">
        <v>0</v>
      </c>
    </row>
    <row r="335" spans="1:11" x14ac:dyDescent="0.3">
      <c r="A335" s="135" t="s">
        <v>399</v>
      </c>
      <c r="B335" s="135" t="s">
        <v>554</v>
      </c>
      <c r="C335" s="135" t="s">
        <v>41</v>
      </c>
      <c r="D335" s="135" t="s">
        <v>37</v>
      </c>
      <c r="E335" s="135">
        <v>14</v>
      </c>
      <c r="F335" s="135">
        <v>2500</v>
      </c>
      <c r="G335" s="135">
        <v>2500</v>
      </c>
      <c r="H335" s="135">
        <v>5</v>
      </c>
      <c r="I335" s="135">
        <v>0</v>
      </c>
      <c r="J335" s="135">
        <v>2500</v>
      </c>
      <c r="K335" s="135">
        <v>0</v>
      </c>
    </row>
    <row r="336" spans="1:11" x14ac:dyDescent="0.3">
      <c r="A336" s="135" t="s">
        <v>399</v>
      </c>
      <c r="B336" s="135" t="s">
        <v>373</v>
      </c>
      <c r="C336" s="135" t="s">
        <v>41</v>
      </c>
      <c r="D336" s="135" t="s">
        <v>37</v>
      </c>
      <c r="E336" s="135">
        <v>14</v>
      </c>
      <c r="F336" s="135">
        <v>2500</v>
      </c>
      <c r="G336" s="135">
        <v>2500</v>
      </c>
      <c r="H336" s="135">
        <v>5</v>
      </c>
      <c r="I336" s="135">
        <v>0</v>
      </c>
      <c r="J336" s="135">
        <v>2500</v>
      </c>
      <c r="K336" s="135">
        <v>0</v>
      </c>
    </row>
    <row r="337" spans="1:11" x14ac:dyDescent="0.3">
      <c r="A337" s="135" t="s">
        <v>399</v>
      </c>
      <c r="B337" s="135" t="s">
        <v>360</v>
      </c>
      <c r="C337" s="135" t="s">
        <v>41</v>
      </c>
      <c r="D337" s="135" t="s">
        <v>37</v>
      </c>
      <c r="E337" s="135">
        <v>14</v>
      </c>
      <c r="F337" s="135">
        <v>2500</v>
      </c>
      <c r="G337" s="135">
        <v>2500</v>
      </c>
      <c r="H337" s="135">
        <v>5</v>
      </c>
      <c r="I337" s="135">
        <v>0</v>
      </c>
      <c r="J337" s="135">
        <v>2500</v>
      </c>
      <c r="K337" s="135">
        <v>0</v>
      </c>
    </row>
    <row r="338" spans="1:11" x14ac:dyDescent="0.3">
      <c r="A338" s="135" t="s">
        <v>396</v>
      </c>
      <c r="B338" s="135" t="s">
        <v>316</v>
      </c>
      <c r="C338" s="135" t="s">
        <v>41</v>
      </c>
      <c r="D338" s="135" t="s">
        <v>37</v>
      </c>
      <c r="E338" s="135">
        <v>12</v>
      </c>
      <c r="F338" s="135">
        <v>3000</v>
      </c>
      <c r="G338" s="135">
        <v>3000</v>
      </c>
      <c r="H338" s="135">
        <v>6</v>
      </c>
      <c r="I338" s="135">
        <v>0</v>
      </c>
      <c r="J338" s="135">
        <v>3000</v>
      </c>
      <c r="K338" s="135">
        <v>0</v>
      </c>
    </row>
    <row r="339" spans="1:11" x14ac:dyDescent="0.3">
      <c r="A339" s="135" t="s">
        <v>396</v>
      </c>
      <c r="B339" s="135" t="s">
        <v>252</v>
      </c>
      <c r="C339" s="135" t="s">
        <v>41</v>
      </c>
      <c r="D339" s="135" t="s">
        <v>37</v>
      </c>
      <c r="E339" s="135">
        <v>12</v>
      </c>
      <c r="F339" s="135">
        <v>3000</v>
      </c>
      <c r="G339" s="135">
        <v>3000</v>
      </c>
      <c r="H339" s="135">
        <v>6</v>
      </c>
      <c r="I339" s="135">
        <v>0</v>
      </c>
      <c r="J339" s="135">
        <v>3000</v>
      </c>
      <c r="K339" s="135">
        <v>0</v>
      </c>
    </row>
    <row r="340" spans="1:11" x14ac:dyDescent="0.3">
      <c r="A340" s="135" t="s">
        <v>396</v>
      </c>
      <c r="B340" s="135" t="s">
        <v>293</v>
      </c>
      <c r="C340" s="135" t="s">
        <v>41</v>
      </c>
      <c r="D340" s="135" t="s">
        <v>37</v>
      </c>
      <c r="E340" s="135">
        <v>12</v>
      </c>
      <c r="F340" s="135">
        <v>3000</v>
      </c>
      <c r="G340" s="135">
        <v>3000</v>
      </c>
      <c r="H340" s="135">
        <v>6</v>
      </c>
      <c r="I340" s="135">
        <v>0</v>
      </c>
      <c r="J340" s="135">
        <v>3000</v>
      </c>
      <c r="K340" s="135">
        <v>0</v>
      </c>
    </row>
    <row r="341" spans="1:11" x14ac:dyDescent="0.3">
      <c r="A341" s="135" t="s">
        <v>394</v>
      </c>
      <c r="B341" s="135" t="s">
        <v>163</v>
      </c>
      <c r="C341" s="135" t="s">
        <v>41</v>
      </c>
      <c r="D341" s="135" t="s">
        <v>37</v>
      </c>
      <c r="E341" s="135">
        <v>3</v>
      </c>
      <c r="F341" s="135">
        <v>3000</v>
      </c>
      <c r="G341" s="135">
        <v>3000</v>
      </c>
      <c r="H341" s="135">
        <v>6</v>
      </c>
      <c r="I341" s="135">
        <v>0</v>
      </c>
      <c r="J341" s="135">
        <v>3000</v>
      </c>
      <c r="K341" s="135">
        <v>0</v>
      </c>
    </row>
    <row r="342" spans="1:11" x14ac:dyDescent="0.3">
      <c r="A342" s="135" t="s">
        <v>405</v>
      </c>
      <c r="B342" s="135" t="s">
        <v>72</v>
      </c>
      <c r="C342" s="135" t="s">
        <v>41</v>
      </c>
      <c r="D342" s="135" t="s">
        <v>37</v>
      </c>
      <c r="E342" s="135">
        <v>7</v>
      </c>
      <c r="F342" s="135">
        <v>5000</v>
      </c>
      <c r="G342" s="135">
        <v>5000</v>
      </c>
      <c r="H342" s="135">
        <v>10</v>
      </c>
      <c r="I342" s="135">
        <v>0</v>
      </c>
      <c r="J342" s="135">
        <v>5000</v>
      </c>
      <c r="K342" s="135">
        <v>0</v>
      </c>
    </row>
    <row r="343" spans="1:11" x14ac:dyDescent="0.3">
      <c r="A343" s="135" t="s">
        <v>399</v>
      </c>
      <c r="B343" s="135" t="s">
        <v>556</v>
      </c>
      <c r="C343" s="135" t="s">
        <v>37</v>
      </c>
      <c r="D343" s="135" t="s">
        <v>2304</v>
      </c>
      <c r="E343" s="135">
        <v>13</v>
      </c>
      <c r="F343" s="135">
        <v>2500</v>
      </c>
      <c r="G343" s="135">
        <v>2500</v>
      </c>
      <c r="H343" s="135">
        <v>5</v>
      </c>
      <c r="I343" s="135">
        <v>0</v>
      </c>
      <c r="J343" s="135">
        <v>2500</v>
      </c>
      <c r="K343" s="135">
        <v>0</v>
      </c>
    </row>
    <row r="344" spans="1:11" x14ac:dyDescent="0.3">
      <c r="A344" s="135" t="s">
        <v>399</v>
      </c>
      <c r="B344" s="135" t="s">
        <v>244</v>
      </c>
      <c r="C344" s="135" t="s">
        <v>37</v>
      </c>
      <c r="D344" s="135" t="s">
        <v>2304</v>
      </c>
      <c r="E344" s="135">
        <v>13</v>
      </c>
      <c r="F344" s="135">
        <v>3300</v>
      </c>
      <c r="G344" s="135">
        <v>2600</v>
      </c>
      <c r="H344" s="135">
        <v>5.2</v>
      </c>
      <c r="I344" s="135">
        <v>-700</v>
      </c>
      <c r="J344" s="135">
        <v>2600</v>
      </c>
      <c r="K344" s="135">
        <v>0</v>
      </c>
    </row>
    <row r="345" spans="1:11" x14ac:dyDescent="0.3">
      <c r="A345" s="135" t="s">
        <v>396</v>
      </c>
      <c r="B345" s="135" t="s">
        <v>528</v>
      </c>
      <c r="C345" s="135" t="s">
        <v>37</v>
      </c>
      <c r="D345" s="135" t="s">
        <v>2304</v>
      </c>
      <c r="E345" s="135">
        <v>8</v>
      </c>
      <c r="F345" s="135">
        <v>3000</v>
      </c>
      <c r="G345" s="135">
        <v>3000</v>
      </c>
      <c r="H345" s="135">
        <v>6</v>
      </c>
      <c r="I345" s="135">
        <v>0</v>
      </c>
      <c r="J345" s="135">
        <v>3000</v>
      </c>
      <c r="K345" s="135">
        <v>0</v>
      </c>
    </row>
    <row r="346" spans="1:11" x14ac:dyDescent="0.3">
      <c r="A346" s="135" t="s">
        <v>396</v>
      </c>
      <c r="B346" s="135" t="s">
        <v>478</v>
      </c>
      <c r="C346" s="135" t="s">
        <v>37</v>
      </c>
      <c r="D346" s="135" t="s">
        <v>2304</v>
      </c>
      <c r="E346" s="135">
        <v>8</v>
      </c>
      <c r="F346" s="135">
        <v>3000</v>
      </c>
      <c r="G346" s="135">
        <v>3000</v>
      </c>
      <c r="H346" s="135">
        <v>6</v>
      </c>
      <c r="I346" s="135">
        <v>0</v>
      </c>
      <c r="J346" s="135">
        <v>3000</v>
      </c>
      <c r="K346" s="135">
        <v>0</v>
      </c>
    </row>
    <row r="347" spans="1:11" x14ac:dyDescent="0.3">
      <c r="A347" s="135" t="s">
        <v>396</v>
      </c>
      <c r="B347" s="135" t="s">
        <v>251</v>
      </c>
      <c r="C347" s="135" t="s">
        <v>37</v>
      </c>
      <c r="D347" s="135" t="s">
        <v>2304</v>
      </c>
      <c r="E347" s="135">
        <v>8</v>
      </c>
      <c r="F347" s="135">
        <v>3600</v>
      </c>
      <c r="G347" s="135">
        <v>3000</v>
      </c>
      <c r="H347" s="135">
        <v>6</v>
      </c>
      <c r="I347" s="135">
        <v>-600</v>
      </c>
      <c r="J347" s="135">
        <v>3000</v>
      </c>
      <c r="K347" s="135">
        <v>0</v>
      </c>
    </row>
    <row r="348" spans="1:11" x14ac:dyDescent="0.3">
      <c r="A348" s="135" t="s">
        <v>394</v>
      </c>
      <c r="B348" s="135" t="s">
        <v>470</v>
      </c>
      <c r="C348" s="135" t="s">
        <v>37</v>
      </c>
      <c r="D348" s="135" t="s">
        <v>2304</v>
      </c>
      <c r="E348" s="135">
        <v>18</v>
      </c>
      <c r="F348" s="135">
        <v>3200</v>
      </c>
      <c r="G348" s="135">
        <v>3000</v>
      </c>
      <c r="H348" s="135">
        <v>6</v>
      </c>
      <c r="I348" s="135">
        <v>-200</v>
      </c>
      <c r="J348" s="135">
        <v>3000</v>
      </c>
      <c r="K348" s="135">
        <v>0</v>
      </c>
    </row>
    <row r="349" spans="1:11" x14ac:dyDescent="0.3">
      <c r="A349" s="135" t="s">
        <v>394</v>
      </c>
      <c r="B349" s="135" t="s">
        <v>153</v>
      </c>
      <c r="C349" s="135" t="s">
        <v>37</v>
      </c>
      <c r="D349" s="135" t="s">
        <v>2304</v>
      </c>
      <c r="E349" s="135">
        <v>18</v>
      </c>
      <c r="F349" s="135">
        <v>3000</v>
      </c>
      <c r="G349" s="135">
        <v>3000</v>
      </c>
      <c r="H349" s="135">
        <v>6</v>
      </c>
      <c r="I349" s="135">
        <v>0</v>
      </c>
      <c r="J349" s="135">
        <v>3000</v>
      </c>
      <c r="K349" s="135">
        <v>0</v>
      </c>
    </row>
    <row r="350" spans="1:11" x14ac:dyDescent="0.3">
      <c r="A350" s="135" t="s">
        <v>394</v>
      </c>
      <c r="B350" s="135" t="s">
        <v>181</v>
      </c>
      <c r="C350" s="135" t="s">
        <v>37</v>
      </c>
      <c r="D350" s="135" t="s">
        <v>2304</v>
      </c>
      <c r="E350" s="135">
        <v>18</v>
      </c>
      <c r="F350" s="135">
        <v>3000</v>
      </c>
      <c r="G350" s="135">
        <v>3000</v>
      </c>
      <c r="H350" s="135">
        <v>6</v>
      </c>
      <c r="I350" s="135">
        <v>0</v>
      </c>
      <c r="J350" s="135">
        <v>3000</v>
      </c>
      <c r="K350" s="135">
        <v>0</v>
      </c>
    </row>
    <row r="351" spans="1:11" x14ac:dyDescent="0.3">
      <c r="A351" s="135" t="s">
        <v>405</v>
      </c>
      <c r="B351" s="135" t="s">
        <v>66</v>
      </c>
      <c r="C351" s="135" t="s">
        <v>37</v>
      </c>
      <c r="D351" s="135" t="s">
        <v>2304</v>
      </c>
      <c r="E351" s="135">
        <v>10</v>
      </c>
      <c r="F351" s="135">
        <v>5000</v>
      </c>
      <c r="G351" s="135">
        <v>5000</v>
      </c>
      <c r="H351" s="135">
        <v>10</v>
      </c>
      <c r="I351" s="135">
        <v>0</v>
      </c>
      <c r="J351" s="135">
        <v>5000</v>
      </c>
      <c r="K351" s="135">
        <v>0</v>
      </c>
    </row>
    <row r="352" spans="1:11" x14ac:dyDescent="0.3">
      <c r="A352" s="135" t="s">
        <v>405</v>
      </c>
      <c r="B352" s="135" t="s">
        <v>435</v>
      </c>
      <c r="C352" s="135" t="s">
        <v>37</v>
      </c>
      <c r="D352" s="135" t="s">
        <v>2304</v>
      </c>
      <c r="E352" s="135">
        <v>10</v>
      </c>
      <c r="F352" s="135">
        <v>5000</v>
      </c>
      <c r="G352" s="135">
        <v>5000</v>
      </c>
      <c r="H352" s="135">
        <v>10</v>
      </c>
      <c r="I352" s="135">
        <v>0</v>
      </c>
      <c r="J352" s="135">
        <v>5000</v>
      </c>
      <c r="K352" s="135">
        <v>0</v>
      </c>
    </row>
    <row r="353" spans="1:11" x14ac:dyDescent="0.3">
      <c r="A353" s="135" t="s">
        <v>1408</v>
      </c>
      <c r="B353" s="135" t="s">
        <v>832</v>
      </c>
      <c r="C353" s="135" t="s">
        <v>32</v>
      </c>
      <c r="D353" s="135" t="s">
        <v>4</v>
      </c>
      <c r="E353" s="135">
        <v>6</v>
      </c>
      <c r="F353" s="135">
        <v>2700</v>
      </c>
      <c r="G353" s="135">
        <v>2400</v>
      </c>
      <c r="H353" s="135">
        <v>4.8</v>
      </c>
      <c r="I353" s="135">
        <v>-300</v>
      </c>
      <c r="J353" s="135">
        <v>2500</v>
      </c>
      <c r="K353" s="135">
        <v>-100</v>
      </c>
    </row>
    <row r="354" spans="1:11" x14ac:dyDescent="0.3">
      <c r="A354" s="135" t="s">
        <v>1408</v>
      </c>
      <c r="B354" s="135" t="s">
        <v>836</v>
      </c>
      <c r="C354" s="135" t="s">
        <v>30</v>
      </c>
      <c r="D354" s="135" t="s">
        <v>2302</v>
      </c>
      <c r="E354" s="135">
        <v>17</v>
      </c>
      <c r="F354" s="135">
        <v>2600</v>
      </c>
      <c r="G354" s="135">
        <v>2400</v>
      </c>
      <c r="H354" s="135">
        <v>4.8</v>
      </c>
      <c r="I354" s="135">
        <v>-200</v>
      </c>
      <c r="J354" s="135">
        <v>2500</v>
      </c>
      <c r="K354" s="135">
        <v>-100</v>
      </c>
    </row>
    <row r="355" spans="1:11" x14ac:dyDescent="0.3">
      <c r="A355" s="135" t="s">
        <v>1408</v>
      </c>
      <c r="B355" s="135" t="s">
        <v>848</v>
      </c>
      <c r="C355" s="135" t="s">
        <v>10</v>
      </c>
      <c r="D355" s="135" t="s">
        <v>1992</v>
      </c>
      <c r="E355" s="135">
        <v>1</v>
      </c>
      <c r="F355" s="135">
        <v>2900</v>
      </c>
      <c r="G355" s="135">
        <v>2600</v>
      </c>
      <c r="H355" s="135">
        <v>5.2</v>
      </c>
      <c r="I355" s="135">
        <v>-300</v>
      </c>
      <c r="J355" s="135">
        <v>2700</v>
      </c>
      <c r="K355" s="135">
        <v>-100</v>
      </c>
    </row>
    <row r="356" spans="1:11" x14ac:dyDescent="0.3">
      <c r="A356" s="135" t="s">
        <v>1408</v>
      </c>
      <c r="B356" s="135" t="s">
        <v>849</v>
      </c>
      <c r="C356" s="135" t="s">
        <v>20</v>
      </c>
      <c r="D356" s="135" t="s">
        <v>397</v>
      </c>
      <c r="E356" s="135">
        <v>16</v>
      </c>
      <c r="F356" s="135">
        <v>2900</v>
      </c>
      <c r="G356" s="135">
        <v>2800</v>
      </c>
      <c r="H356" s="135">
        <v>5.6</v>
      </c>
      <c r="I356" s="135">
        <v>-100</v>
      </c>
      <c r="J356" s="135">
        <v>2900</v>
      </c>
      <c r="K356" s="135">
        <v>-100</v>
      </c>
    </row>
    <row r="357" spans="1:11" x14ac:dyDescent="0.3">
      <c r="A357" s="135" t="s">
        <v>1408</v>
      </c>
      <c r="B357" s="135" t="s">
        <v>857</v>
      </c>
      <c r="C357" s="135" t="s">
        <v>34</v>
      </c>
      <c r="D357" s="135" t="s">
        <v>7</v>
      </c>
      <c r="E357" s="135">
        <v>23</v>
      </c>
      <c r="F357" s="135">
        <v>3400</v>
      </c>
      <c r="G357" s="135">
        <v>2800</v>
      </c>
      <c r="H357" s="135">
        <v>5.6</v>
      </c>
      <c r="I357" s="135">
        <v>-600</v>
      </c>
      <c r="J357" s="135">
        <v>2900</v>
      </c>
      <c r="K357" s="135">
        <v>-100</v>
      </c>
    </row>
    <row r="358" spans="1:11" x14ac:dyDescent="0.3">
      <c r="A358" s="135" t="s">
        <v>396</v>
      </c>
      <c r="B358" s="135" t="s">
        <v>465</v>
      </c>
      <c r="C358" s="135" t="s">
        <v>28</v>
      </c>
      <c r="D358" s="135" t="s">
        <v>57</v>
      </c>
      <c r="E358" s="135">
        <v>31</v>
      </c>
      <c r="F358" s="135">
        <v>3600</v>
      </c>
      <c r="G358" s="135">
        <v>3400</v>
      </c>
      <c r="H358" s="135">
        <v>6.8</v>
      </c>
      <c r="I358" s="135">
        <v>-200</v>
      </c>
      <c r="J358" s="135">
        <v>3500</v>
      </c>
      <c r="K358" s="135">
        <v>-100</v>
      </c>
    </row>
    <row r="359" spans="1:11" x14ac:dyDescent="0.3">
      <c r="A359" s="135" t="s">
        <v>396</v>
      </c>
      <c r="B359" s="135" t="s">
        <v>258</v>
      </c>
      <c r="C359" s="135" t="s">
        <v>57</v>
      </c>
      <c r="D359" s="135" t="s">
        <v>1999</v>
      </c>
      <c r="E359" s="135">
        <v>16</v>
      </c>
      <c r="F359" s="135">
        <v>3200</v>
      </c>
      <c r="G359" s="135">
        <v>3500</v>
      </c>
      <c r="H359" s="135">
        <v>7</v>
      </c>
      <c r="I359" s="135">
        <v>300</v>
      </c>
      <c r="J359" s="135">
        <v>3600</v>
      </c>
      <c r="K359" s="135">
        <v>-100</v>
      </c>
    </row>
    <row r="360" spans="1:11" x14ac:dyDescent="0.3">
      <c r="A360" s="135" t="s">
        <v>405</v>
      </c>
      <c r="B360" s="135" t="s">
        <v>11</v>
      </c>
      <c r="C360" s="135" t="s">
        <v>12</v>
      </c>
      <c r="D360" s="135" t="s">
        <v>16</v>
      </c>
      <c r="E360" s="135">
        <v>11</v>
      </c>
      <c r="F360" s="135">
        <v>7200</v>
      </c>
      <c r="G360" s="135">
        <v>6400</v>
      </c>
      <c r="H360" s="135">
        <v>12.8</v>
      </c>
      <c r="I360" s="135">
        <v>-800</v>
      </c>
      <c r="J360" s="135">
        <v>6500</v>
      </c>
      <c r="K360" s="135">
        <v>-100</v>
      </c>
    </row>
    <row r="361" spans="1:11" x14ac:dyDescent="0.3">
      <c r="A361" s="135" t="s">
        <v>394</v>
      </c>
      <c r="B361" s="135" t="s">
        <v>124</v>
      </c>
      <c r="C361" s="135" t="s">
        <v>34</v>
      </c>
      <c r="D361" s="135" t="s">
        <v>7</v>
      </c>
      <c r="E361" s="135">
        <v>12</v>
      </c>
      <c r="F361" s="135">
        <v>4300</v>
      </c>
      <c r="G361" s="135">
        <v>3300</v>
      </c>
      <c r="H361" s="135">
        <v>6.6</v>
      </c>
      <c r="I361" s="135">
        <v>-1000</v>
      </c>
      <c r="J361" s="135">
        <v>3400</v>
      </c>
      <c r="K361" s="135">
        <v>-100</v>
      </c>
    </row>
    <row r="362" spans="1:11" x14ac:dyDescent="0.3">
      <c r="A362" s="135" t="s">
        <v>396</v>
      </c>
      <c r="B362" s="135" t="s">
        <v>228</v>
      </c>
      <c r="C362" s="135" t="s">
        <v>402</v>
      </c>
      <c r="D362" s="135" t="s">
        <v>10</v>
      </c>
      <c r="E362" s="135">
        <v>27</v>
      </c>
      <c r="F362" s="135">
        <v>4200</v>
      </c>
      <c r="G362" s="135">
        <v>3600</v>
      </c>
      <c r="H362" s="135">
        <v>7.2</v>
      </c>
      <c r="I362" s="135">
        <v>-600</v>
      </c>
      <c r="J362" s="135">
        <v>3700</v>
      </c>
      <c r="K362" s="135">
        <v>-100</v>
      </c>
    </row>
    <row r="363" spans="1:11" x14ac:dyDescent="0.3">
      <c r="A363" s="135" t="s">
        <v>396</v>
      </c>
      <c r="B363" s="135" t="s">
        <v>768</v>
      </c>
      <c r="C363" s="135" t="s">
        <v>22</v>
      </c>
      <c r="D363" s="135" t="s">
        <v>2296</v>
      </c>
      <c r="E363" s="135">
        <v>4</v>
      </c>
      <c r="F363" s="135">
        <v>5700</v>
      </c>
      <c r="G363" s="135">
        <v>7100</v>
      </c>
      <c r="H363" s="135">
        <v>14.2</v>
      </c>
      <c r="I363" s="135">
        <v>1400</v>
      </c>
      <c r="J363" s="135">
        <v>7200</v>
      </c>
      <c r="K363" s="135">
        <v>-100</v>
      </c>
    </row>
    <row r="364" spans="1:11" x14ac:dyDescent="0.3">
      <c r="A364" s="135" t="s">
        <v>396</v>
      </c>
      <c r="B364" s="135" t="s">
        <v>221</v>
      </c>
      <c r="C364" s="135" t="s">
        <v>32</v>
      </c>
      <c r="D364" s="135" t="s">
        <v>4</v>
      </c>
      <c r="E364" s="135">
        <v>29</v>
      </c>
      <c r="F364" s="135">
        <v>4700</v>
      </c>
      <c r="G364" s="135">
        <v>3000</v>
      </c>
      <c r="H364" s="135">
        <v>6</v>
      </c>
      <c r="I364" s="135">
        <v>-1700</v>
      </c>
      <c r="J364" s="135">
        <v>3100</v>
      </c>
      <c r="K364" s="135">
        <v>-100</v>
      </c>
    </row>
    <row r="365" spans="1:11" x14ac:dyDescent="0.3">
      <c r="A365" s="135" t="s">
        <v>394</v>
      </c>
      <c r="B365" s="135" t="s">
        <v>149</v>
      </c>
      <c r="C365" s="135" t="s">
        <v>32</v>
      </c>
      <c r="D365" s="135" t="s">
        <v>4</v>
      </c>
      <c r="E365" s="135">
        <v>5</v>
      </c>
      <c r="F365" s="135">
        <v>4100</v>
      </c>
      <c r="G365" s="135">
        <v>3400</v>
      </c>
      <c r="H365" s="135">
        <v>6.8</v>
      </c>
      <c r="I365" s="135">
        <v>-700</v>
      </c>
      <c r="J365" s="135">
        <v>3500</v>
      </c>
      <c r="K365" s="135">
        <v>-100</v>
      </c>
    </row>
    <row r="366" spans="1:11" x14ac:dyDescent="0.3">
      <c r="A366" s="135" t="s">
        <v>394</v>
      </c>
      <c r="B366" s="135" t="s">
        <v>99</v>
      </c>
      <c r="C366" s="135" t="s">
        <v>32</v>
      </c>
      <c r="D366" s="135" t="s">
        <v>4</v>
      </c>
      <c r="E366" s="135">
        <v>5</v>
      </c>
      <c r="F366" s="135">
        <v>4600</v>
      </c>
      <c r="G366" s="135">
        <v>3800</v>
      </c>
      <c r="H366" s="135">
        <v>7.6</v>
      </c>
      <c r="I366" s="135">
        <v>-800</v>
      </c>
      <c r="J366" s="135">
        <v>3900</v>
      </c>
      <c r="K366" s="135">
        <v>-100</v>
      </c>
    </row>
    <row r="367" spans="1:11" x14ac:dyDescent="0.3">
      <c r="A367" s="135" t="s">
        <v>399</v>
      </c>
      <c r="B367" s="135" t="s">
        <v>344</v>
      </c>
      <c r="C367" s="135" t="s">
        <v>4</v>
      </c>
      <c r="D367" s="135" t="s">
        <v>2297</v>
      </c>
      <c r="E367" s="135">
        <v>9</v>
      </c>
      <c r="F367" s="135">
        <v>3000</v>
      </c>
      <c r="G367" s="135">
        <v>2700</v>
      </c>
      <c r="H367" s="135">
        <v>5.4</v>
      </c>
      <c r="I367" s="135">
        <v>-300</v>
      </c>
      <c r="J367" s="135">
        <v>2800</v>
      </c>
      <c r="K367" s="135">
        <v>-100</v>
      </c>
    </row>
    <row r="368" spans="1:11" x14ac:dyDescent="0.3">
      <c r="A368" s="135" t="s">
        <v>394</v>
      </c>
      <c r="B368" s="135" t="s">
        <v>461</v>
      </c>
      <c r="C368" s="135" t="s">
        <v>4</v>
      </c>
      <c r="D368" s="135" t="s">
        <v>2297</v>
      </c>
      <c r="E368" s="135">
        <v>8</v>
      </c>
      <c r="F368" s="135">
        <v>3700</v>
      </c>
      <c r="G368" s="135">
        <v>3300</v>
      </c>
      <c r="H368" s="135">
        <v>6.6</v>
      </c>
      <c r="I368" s="135">
        <v>-400</v>
      </c>
      <c r="J368" s="135">
        <v>3400</v>
      </c>
      <c r="K368" s="135">
        <v>-100</v>
      </c>
    </row>
    <row r="369" spans="1:11" x14ac:dyDescent="0.3">
      <c r="A369" s="135" t="s">
        <v>396</v>
      </c>
      <c r="B369" s="135" t="s">
        <v>210</v>
      </c>
      <c r="C369" s="135" t="s">
        <v>4</v>
      </c>
      <c r="D369" s="135" t="s">
        <v>2297</v>
      </c>
      <c r="E369" s="135">
        <v>17</v>
      </c>
      <c r="F369" s="135">
        <v>7200</v>
      </c>
      <c r="G369" s="135">
        <v>7600</v>
      </c>
      <c r="H369" s="135">
        <v>15.2</v>
      </c>
      <c r="I369" s="135">
        <v>400</v>
      </c>
      <c r="J369" s="135">
        <v>7700</v>
      </c>
      <c r="K369" s="135">
        <v>-100</v>
      </c>
    </row>
    <row r="370" spans="1:11" x14ac:dyDescent="0.3">
      <c r="A370" s="135" t="s">
        <v>396</v>
      </c>
      <c r="B370" s="135" t="s">
        <v>212</v>
      </c>
      <c r="C370" s="135" t="s">
        <v>26</v>
      </c>
      <c r="D370" s="135" t="s">
        <v>2298</v>
      </c>
      <c r="E370" s="135">
        <v>20</v>
      </c>
      <c r="F370" s="135">
        <v>7300</v>
      </c>
      <c r="G370" s="135">
        <v>5800</v>
      </c>
      <c r="H370" s="135">
        <v>11.6</v>
      </c>
      <c r="I370" s="135">
        <v>-1500</v>
      </c>
      <c r="J370" s="135">
        <v>5900</v>
      </c>
      <c r="K370" s="135">
        <v>-100</v>
      </c>
    </row>
    <row r="371" spans="1:11" x14ac:dyDescent="0.3">
      <c r="A371" s="135" t="s">
        <v>394</v>
      </c>
      <c r="B371" s="135" t="s">
        <v>103</v>
      </c>
      <c r="C371" s="135" t="s">
        <v>24</v>
      </c>
      <c r="D371" s="135" t="s">
        <v>409</v>
      </c>
      <c r="E371" s="135">
        <v>26</v>
      </c>
      <c r="F371" s="135">
        <v>3700</v>
      </c>
      <c r="G371" s="135">
        <v>3400</v>
      </c>
      <c r="H371" s="135">
        <v>6.8</v>
      </c>
      <c r="I371" s="135">
        <v>-300</v>
      </c>
      <c r="J371" s="135">
        <v>3500</v>
      </c>
      <c r="K371" s="135">
        <v>-100</v>
      </c>
    </row>
    <row r="372" spans="1:11" x14ac:dyDescent="0.3">
      <c r="A372" s="135" t="s">
        <v>399</v>
      </c>
      <c r="B372" s="135" t="s">
        <v>263</v>
      </c>
      <c r="C372" s="135" t="s">
        <v>409</v>
      </c>
      <c r="D372" s="135" t="s">
        <v>2295</v>
      </c>
      <c r="E372" s="135">
        <v>4</v>
      </c>
      <c r="F372" s="135">
        <v>3200</v>
      </c>
      <c r="G372" s="135">
        <v>2600</v>
      </c>
      <c r="H372" s="135">
        <v>5.2</v>
      </c>
      <c r="I372" s="135">
        <v>-600</v>
      </c>
      <c r="J372" s="135">
        <v>2700</v>
      </c>
      <c r="K372" s="135">
        <v>-100</v>
      </c>
    </row>
    <row r="373" spans="1:11" x14ac:dyDescent="0.3">
      <c r="A373" s="135" t="s">
        <v>396</v>
      </c>
      <c r="B373" s="135" t="s">
        <v>214</v>
      </c>
      <c r="C373" s="135" t="s">
        <v>409</v>
      </c>
      <c r="D373" s="135" t="s">
        <v>2295</v>
      </c>
      <c r="E373" s="135">
        <v>18</v>
      </c>
      <c r="F373" s="135">
        <v>5000</v>
      </c>
      <c r="G373" s="135">
        <v>4000</v>
      </c>
      <c r="H373" s="135">
        <v>8</v>
      </c>
      <c r="I373" s="135">
        <v>-1000</v>
      </c>
      <c r="J373" s="135">
        <v>4100</v>
      </c>
      <c r="K373" s="135">
        <v>-100</v>
      </c>
    </row>
    <row r="374" spans="1:11" x14ac:dyDescent="0.3">
      <c r="A374" s="135" t="s">
        <v>399</v>
      </c>
      <c r="B374" s="135" t="s">
        <v>308</v>
      </c>
      <c r="C374" s="135" t="s">
        <v>404</v>
      </c>
      <c r="D374" s="135" t="s">
        <v>2308</v>
      </c>
      <c r="E374" s="135">
        <v>17</v>
      </c>
      <c r="F374" s="135">
        <v>4900</v>
      </c>
      <c r="G374" s="135">
        <v>3200</v>
      </c>
      <c r="H374" s="135">
        <v>6.4</v>
      </c>
      <c r="I374" s="135">
        <v>-1700</v>
      </c>
      <c r="J374" s="135">
        <v>3300</v>
      </c>
      <c r="K374" s="135">
        <v>-100</v>
      </c>
    </row>
    <row r="375" spans="1:11" x14ac:dyDescent="0.3">
      <c r="A375" s="135" t="s">
        <v>396</v>
      </c>
      <c r="B375" s="135" t="s">
        <v>265</v>
      </c>
      <c r="C375" s="135" t="s">
        <v>398</v>
      </c>
      <c r="D375" s="135" t="s">
        <v>52</v>
      </c>
      <c r="E375" s="135">
        <v>9</v>
      </c>
      <c r="F375" s="135">
        <v>4000</v>
      </c>
      <c r="G375" s="135">
        <v>3000</v>
      </c>
      <c r="H375" s="135">
        <v>6</v>
      </c>
      <c r="I375" s="135">
        <v>-1000</v>
      </c>
      <c r="J375" s="135">
        <v>3100</v>
      </c>
      <c r="K375" s="135">
        <v>-100</v>
      </c>
    </row>
    <row r="376" spans="1:11" x14ac:dyDescent="0.3">
      <c r="A376" s="135" t="s">
        <v>394</v>
      </c>
      <c r="B376" s="135" t="s">
        <v>131</v>
      </c>
      <c r="C376" s="135" t="s">
        <v>398</v>
      </c>
      <c r="D376" s="135" t="s">
        <v>52</v>
      </c>
      <c r="E376" s="135">
        <v>23</v>
      </c>
      <c r="F376" s="135">
        <v>3700</v>
      </c>
      <c r="G376" s="135">
        <v>3300</v>
      </c>
      <c r="H376" s="135">
        <v>6.6</v>
      </c>
      <c r="I376" s="135">
        <v>-400</v>
      </c>
      <c r="J376" s="135">
        <v>3400</v>
      </c>
      <c r="K376" s="135">
        <v>-100</v>
      </c>
    </row>
    <row r="377" spans="1:11" x14ac:dyDescent="0.3">
      <c r="A377" s="135" t="s">
        <v>396</v>
      </c>
      <c r="B377" s="135" t="s">
        <v>285</v>
      </c>
      <c r="C377" s="135" t="s">
        <v>397</v>
      </c>
      <c r="D377" s="135" t="s">
        <v>2307</v>
      </c>
      <c r="E377" s="135">
        <v>10</v>
      </c>
      <c r="F377" s="135">
        <v>3700</v>
      </c>
      <c r="G377" s="135">
        <v>3000</v>
      </c>
      <c r="H377" s="135">
        <v>6</v>
      </c>
      <c r="I377" s="135">
        <v>-700</v>
      </c>
      <c r="J377" s="135">
        <v>3100</v>
      </c>
      <c r="K377" s="135">
        <v>-100</v>
      </c>
    </row>
    <row r="378" spans="1:11" x14ac:dyDescent="0.3">
      <c r="A378" s="135" t="s">
        <v>394</v>
      </c>
      <c r="B378" s="135" t="s">
        <v>97</v>
      </c>
      <c r="C378" s="135" t="s">
        <v>397</v>
      </c>
      <c r="D378" s="135" t="s">
        <v>2307</v>
      </c>
      <c r="E378" s="135">
        <v>29</v>
      </c>
      <c r="F378" s="135">
        <v>3500</v>
      </c>
      <c r="G378" s="135">
        <v>3400</v>
      </c>
      <c r="H378" s="135">
        <v>6.8</v>
      </c>
      <c r="I378" s="135">
        <v>-100</v>
      </c>
      <c r="J378" s="135">
        <v>3500</v>
      </c>
      <c r="K378" s="135">
        <v>-100</v>
      </c>
    </row>
    <row r="379" spans="1:11" x14ac:dyDescent="0.3">
      <c r="A379" s="135" t="s">
        <v>396</v>
      </c>
      <c r="B379" s="135" t="s">
        <v>455</v>
      </c>
      <c r="C379" s="135" t="s">
        <v>41</v>
      </c>
      <c r="D379" s="135" t="s">
        <v>37</v>
      </c>
      <c r="E379" s="135">
        <v>12</v>
      </c>
      <c r="F379" s="135">
        <v>4500</v>
      </c>
      <c r="G379" s="135">
        <v>3000</v>
      </c>
      <c r="H379" s="135">
        <v>6</v>
      </c>
      <c r="I379" s="135">
        <v>-1500</v>
      </c>
      <c r="J379" s="135">
        <v>3100</v>
      </c>
      <c r="K379" s="135">
        <v>-100</v>
      </c>
    </row>
    <row r="380" spans="1:11" x14ac:dyDescent="0.3">
      <c r="A380" s="135" t="s">
        <v>396</v>
      </c>
      <c r="B380" s="135" t="s">
        <v>292</v>
      </c>
      <c r="C380" s="135" t="s">
        <v>41</v>
      </c>
      <c r="D380" s="135" t="s">
        <v>37</v>
      </c>
      <c r="E380" s="135">
        <v>12</v>
      </c>
      <c r="F380" s="135">
        <v>3000</v>
      </c>
      <c r="G380" s="135">
        <v>3100</v>
      </c>
      <c r="H380" s="135">
        <v>6.2</v>
      </c>
      <c r="I380" s="135">
        <v>100</v>
      </c>
      <c r="J380" s="135">
        <v>3200</v>
      </c>
      <c r="K380" s="135">
        <v>-100</v>
      </c>
    </row>
    <row r="381" spans="1:11" x14ac:dyDescent="0.3">
      <c r="A381" s="135" t="s">
        <v>399</v>
      </c>
      <c r="B381" s="135" t="s">
        <v>339</v>
      </c>
      <c r="C381" s="135" t="s">
        <v>37</v>
      </c>
      <c r="D381" s="135" t="s">
        <v>2304</v>
      </c>
      <c r="E381" s="135">
        <v>13</v>
      </c>
      <c r="F381" s="135">
        <v>2900</v>
      </c>
      <c r="G381" s="135">
        <v>2600</v>
      </c>
      <c r="H381" s="135">
        <v>5.2</v>
      </c>
      <c r="I381" s="135">
        <v>-300</v>
      </c>
      <c r="J381" s="135">
        <v>2700</v>
      </c>
      <c r="K381" s="135">
        <v>-100</v>
      </c>
    </row>
    <row r="382" spans="1:11" x14ac:dyDescent="0.3">
      <c r="A382" s="135" t="s">
        <v>396</v>
      </c>
      <c r="B382" s="135" t="s">
        <v>456</v>
      </c>
      <c r="C382" s="135" t="s">
        <v>37</v>
      </c>
      <c r="D382" s="135" t="s">
        <v>2304</v>
      </c>
      <c r="E382" s="135">
        <v>8</v>
      </c>
      <c r="F382" s="135">
        <v>4000</v>
      </c>
      <c r="G382" s="135">
        <v>4600</v>
      </c>
      <c r="H382" s="135">
        <v>9.1999999999999993</v>
      </c>
      <c r="I382" s="135">
        <v>600</v>
      </c>
      <c r="J382" s="135">
        <v>4700</v>
      </c>
      <c r="K382" s="135">
        <v>-100</v>
      </c>
    </row>
    <row r="383" spans="1:11" x14ac:dyDescent="0.3">
      <c r="A383" s="135" t="s">
        <v>1408</v>
      </c>
      <c r="B383" s="135" t="s">
        <v>827</v>
      </c>
      <c r="C383" s="135" t="s">
        <v>404</v>
      </c>
      <c r="D383" s="135" t="s">
        <v>2308</v>
      </c>
      <c r="E383" s="135">
        <v>3</v>
      </c>
      <c r="F383" s="135">
        <v>2300</v>
      </c>
      <c r="G383" s="135">
        <v>2000</v>
      </c>
      <c r="H383" s="135">
        <v>4</v>
      </c>
      <c r="I383" s="135">
        <v>-300</v>
      </c>
      <c r="J383" s="135">
        <v>2200</v>
      </c>
      <c r="K383" s="135">
        <v>-200</v>
      </c>
    </row>
    <row r="384" spans="1:11" x14ac:dyDescent="0.3">
      <c r="A384" s="135" t="s">
        <v>1408</v>
      </c>
      <c r="B384" s="135" t="s">
        <v>840</v>
      </c>
      <c r="C384" s="135" t="s">
        <v>16</v>
      </c>
      <c r="D384" s="135" t="s">
        <v>1980</v>
      </c>
      <c r="E384" s="135">
        <v>22</v>
      </c>
      <c r="F384" s="135">
        <v>2700</v>
      </c>
      <c r="G384" s="135">
        <v>2200</v>
      </c>
      <c r="H384" s="135">
        <v>4.4000000000000004</v>
      </c>
      <c r="I384" s="135">
        <v>-500</v>
      </c>
      <c r="J384" s="135">
        <v>2400</v>
      </c>
      <c r="K384" s="135">
        <v>-200</v>
      </c>
    </row>
    <row r="385" spans="1:11" x14ac:dyDescent="0.3">
      <c r="A385" s="135" t="s">
        <v>1408</v>
      </c>
      <c r="B385" s="135" t="s">
        <v>834</v>
      </c>
      <c r="C385" s="135" t="s">
        <v>12</v>
      </c>
      <c r="D385" s="135" t="s">
        <v>16</v>
      </c>
      <c r="E385" s="135">
        <v>28</v>
      </c>
      <c r="F385" s="135">
        <v>2400</v>
      </c>
      <c r="G385" s="135">
        <v>2400</v>
      </c>
      <c r="H385" s="135">
        <v>4.8</v>
      </c>
      <c r="I385" s="135">
        <v>0</v>
      </c>
      <c r="J385" s="135">
        <v>2600</v>
      </c>
      <c r="K385" s="135">
        <v>-200</v>
      </c>
    </row>
    <row r="386" spans="1:11" x14ac:dyDescent="0.3">
      <c r="A386" s="135" t="s">
        <v>1408</v>
      </c>
      <c r="B386" s="135" t="s">
        <v>841</v>
      </c>
      <c r="C386" s="135" t="s">
        <v>46</v>
      </c>
      <c r="D386" s="135" t="s">
        <v>26</v>
      </c>
      <c r="E386" s="135">
        <v>19</v>
      </c>
      <c r="F386" s="135">
        <v>2500</v>
      </c>
      <c r="G386" s="135">
        <v>2500</v>
      </c>
      <c r="H386" s="135">
        <v>5</v>
      </c>
      <c r="I386" s="135">
        <v>0</v>
      </c>
      <c r="J386" s="135">
        <v>2700</v>
      </c>
      <c r="K386" s="135">
        <v>-200</v>
      </c>
    </row>
    <row r="387" spans="1:11" x14ac:dyDescent="0.3">
      <c r="A387" s="135" t="s">
        <v>1408</v>
      </c>
      <c r="B387" s="135" t="s">
        <v>850</v>
      </c>
      <c r="C387" s="135" t="s">
        <v>397</v>
      </c>
      <c r="D387" s="135" t="s">
        <v>2307</v>
      </c>
      <c r="E387" s="135">
        <v>21</v>
      </c>
      <c r="F387" s="135">
        <v>3600</v>
      </c>
      <c r="G387" s="135">
        <v>3000</v>
      </c>
      <c r="H387" s="135">
        <v>6</v>
      </c>
      <c r="I387" s="135">
        <v>-600</v>
      </c>
      <c r="J387" s="135">
        <v>3200</v>
      </c>
      <c r="K387" s="135">
        <v>-200</v>
      </c>
    </row>
    <row r="388" spans="1:11" x14ac:dyDescent="0.3">
      <c r="A388" s="135" t="s">
        <v>396</v>
      </c>
      <c r="B388" s="135" t="s">
        <v>260</v>
      </c>
      <c r="C388" s="135" t="s">
        <v>28</v>
      </c>
      <c r="D388" s="135" t="s">
        <v>57</v>
      </c>
      <c r="E388" s="135">
        <v>31</v>
      </c>
      <c r="F388" s="135">
        <v>3900</v>
      </c>
      <c r="G388" s="135">
        <v>3200</v>
      </c>
      <c r="H388" s="135">
        <v>6.4</v>
      </c>
      <c r="I388" s="135">
        <v>-700</v>
      </c>
      <c r="J388" s="135">
        <v>3400</v>
      </c>
      <c r="K388" s="135">
        <v>-200</v>
      </c>
    </row>
    <row r="389" spans="1:11" x14ac:dyDescent="0.3">
      <c r="A389" s="135" t="s">
        <v>394</v>
      </c>
      <c r="B389" s="135" t="s">
        <v>430</v>
      </c>
      <c r="C389" s="135" t="s">
        <v>57</v>
      </c>
      <c r="D389" s="135" t="s">
        <v>1999</v>
      </c>
      <c r="E389" s="135">
        <v>7</v>
      </c>
      <c r="F389" s="135">
        <v>5800</v>
      </c>
      <c r="G389" s="135">
        <v>5300</v>
      </c>
      <c r="H389" s="135">
        <v>10.6</v>
      </c>
      <c r="I389" s="135">
        <v>-500</v>
      </c>
      <c r="J389" s="135">
        <v>5500</v>
      </c>
      <c r="K389" s="135">
        <v>-200</v>
      </c>
    </row>
    <row r="390" spans="1:11" x14ac:dyDescent="0.3">
      <c r="A390" s="135" t="s">
        <v>394</v>
      </c>
      <c r="B390" s="135" t="s">
        <v>123</v>
      </c>
      <c r="C390" s="135" t="s">
        <v>12</v>
      </c>
      <c r="D390" s="135" t="s">
        <v>16</v>
      </c>
      <c r="E390" s="135">
        <v>28</v>
      </c>
      <c r="F390" s="135">
        <v>4300</v>
      </c>
      <c r="G390" s="135">
        <v>3700</v>
      </c>
      <c r="H390" s="135">
        <v>7.4</v>
      </c>
      <c r="I390" s="135">
        <v>-600</v>
      </c>
      <c r="J390" s="135">
        <v>3900</v>
      </c>
      <c r="K390" s="135">
        <v>-200</v>
      </c>
    </row>
    <row r="391" spans="1:11" x14ac:dyDescent="0.3">
      <c r="A391" s="135" t="s">
        <v>399</v>
      </c>
      <c r="B391" s="135" t="s">
        <v>326</v>
      </c>
      <c r="C391" s="135" t="s">
        <v>12</v>
      </c>
      <c r="D391" s="135" t="s">
        <v>16</v>
      </c>
      <c r="E391" s="135">
        <v>22</v>
      </c>
      <c r="F391" s="135">
        <v>3800</v>
      </c>
      <c r="G391" s="135">
        <v>4400</v>
      </c>
      <c r="H391" s="135">
        <v>8.8000000000000007</v>
      </c>
      <c r="I391" s="135">
        <v>600</v>
      </c>
      <c r="J391" s="135">
        <v>4600</v>
      </c>
      <c r="K391" s="135">
        <v>-200</v>
      </c>
    </row>
    <row r="392" spans="1:11" x14ac:dyDescent="0.3">
      <c r="A392" s="135" t="s">
        <v>405</v>
      </c>
      <c r="B392" s="135" t="s">
        <v>15</v>
      </c>
      <c r="C392" s="135" t="s">
        <v>16</v>
      </c>
      <c r="D392" s="135" t="s">
        <v>1980</v>
      </c>
      <c r="E392" s="135">
        <v>24</v>
      </c>
      <c r="F392" s="135">
        <v>8300</v>
      </c>
      <c r="G392" s="135">
        <v>7400</v>
      </c>
      <c r="H392" s="135">
        <v>14.8</v>
      </c>
      <c r="I392" s="135">
        <v>-900</v>
      </c>
      <c r="J392" s="135">
        <v>7600</v>
      </c>
      <c r="K392" s="135">
        <v>-200</v>
      </c>
    </row>
    <row r="393" spans="1:11" x14ac:dyDescent="0.3">
      <c r="A393" s="135" t="s">
        <v>396</v>
      </c>
      <c r="B393" s="135" t="s">
        <v>268</v>
      </c>
      <c r="C393" s="135" t="s">
        <v>43</v>
      </c>
      <c r="D393" s="135" t="s">
        <v>30</v>
      </c>
      <c r="E393" s="135">
        <v>13</v>
      </c>
      <c r="F393" s="135">
        <v>3800</v>
      </c>
      <c r="G393" s="135">
        <v>3100</v>
      </c>
      <c r="H393" s="135">
        <v>6.2</v>
      </c>
      <c r="I393" s="135">
        <v>-700</v>
      </c>
      <c r="J393" s="135">
        <v>3300</v>
      </c>
      <c r="K393" s="135">
        <v>-200</v>
      </c>
    </row>
    <row r="394" spans="1:11" x14ac:dyDescent="0.3">
      <c r="A394" s="135" t="s">
        <v>405</v>
      </c>
      <c r="B394" s="135" t="s">
        <v>42</v>
      </c>
      <c r="C394" s="135" t="s">
        <v>43</v>
      </c>
      <c r="D394" s="135" t="s">
        <v>30</v>
      </c>
      <c r="E394" s="135">
        <v>2</v>
      </c>
      <c r="F394" s="135">
        <v>6300</v>
      </c>
      <c r="G394" s="135">
        <v>5800</v>
      </c>
      <c r="H394" s="135">
        <v>11.6</v>
      </c>
      <c r="I394" s="135">
        <v>-500</v>
      </c>
      <c r="J394" s="135">
        <v>6000</v>
      </c>
      <c r="K394" s="135">
        <v>-200</v>
      </c>
    </row>
    <row r="395" spans="1:11" x14ac:dyDescent="0.3">
      <c r="A395" s="135" t="s">
        <v>394</v>
      </c>
      <c r="B395" s="135" t="s">
        <v>122</v>
      </c>
      <c r="C395" s="135" t="s">
        <v>43</v>
      </c>
      <c r="D395" s="135" t="s">
        <v>30</v>
      </c>
      <c r="E395" s="135">
        <v>1</v>
      </c>
      <c r="F395" s="135">
        <v>7000</v>
      </c>
      <c r="G395" s="135">
        <v>7000</v>
      </c>
      <c r="H395" s="135">
        <v>14</v>
      </c>
      <c r="I395" s="135">
        <v>0</v>
      </c>
      <c r="J395" s="135">
        <v>7200</v>
      </c>
      <c r="K395" s="135">
        <v>-200</v>
      </c>
    </row>
    <row r="396" spans="1:11" x14ac:dyDescent="0.3">
      <c r="A396" s="135" t="s">
        <v>396</v>
      </c>
      <c r="B396" s="135" t="s">
        <v>189</v>
      </c>
      <c r="C396" s="135" t="s">
        <v>43</v>
      </c>
      <c r="D396" s="135" t="s">
        <v>30</v>
      </c>
      <c r="E396" s="135">
        <v>13</v>
      </c>
      <c r="F396" s="135">
        <v>8800</v>
      </c>
      <c r="G396" s="135">
        <v>8400</v>
      </c>
      <c r="H396" s="135">
        <v>16.8</v>
      </c>
      <c r="I396" s="135">
        <v>-400</v>
      </c>
      <c r="J396" s="135">
        <v>8600</v>
      </c>
      <c r="K396" s="135">
        <v>-200</v>
      </c>
    </row>
    <row r="397" spans="1:11" x14ac:dyDescent="0.3">
      <c r="A397" s="135" t="s">
        <v>396</v>
      </c>
      <c r="B397" s="135" t="s">
        <v>239</v>
      </c>
      <c r="C397" s="135" t="s">
        <v>30</v>
      </c>
      <c r="D397" s="135" t="s">
        <v>2302</v>
      </c>
      <c r="E397" s="135">
        <v>6</v>
      </c>
      <c r="F397" s="135">
        <v>3300</v>
      </c>
      <c r="G397" s="135">
        <v>3100</v>
      </c>
      <c r="H397" s="135">
        <v>6.2</v>
      </c>
      <c r="I397" s="135">
        <v>-200</v>
      </c>
      <c r="J397" s="135">
        <v>3300</v>
      </c>
      <c r="K397" s="135">
        <v>-200</v>
      </c>
    </row>
    <row r="398" spans="1:11" x14ac:dyDescent="0.3">
      <c r="A398" s="135" t="s">
        <v>396</v>
      </c>
      <c r="B398" s="135" t="s">
        <v>408</v>
      </c>
      <c r="C398" s="135" t="s">
        <v>30</v>
      </c>
      <c r="D398" s="135" t="s">
        <v>2302</v>
      </c>
      <c r="E398" s="135">
        <v>6</v>
      </c>
      <c r="F398" s="135">
        <v>3900</v>
      </c>
      <c r="G398" s="135">
        <v>3200</v>
      </c>
      <c r="H398" s="135">
        <v>6.4</v>
      </c>
      <c r="I398" s="135">
        <v>-700</v>
      </c>
      <c r="J398" s="135">
        <v>3400</v>
      </c>
      <c r="K398" s="135">
        <v>-200</v>
      </c>
    </row>
    <row r="399" spans="1:11" x14ac:dyDescent="0.3">
      <c r="A399" s="135" t="s">
        <v>394</v>
      </c>
      <c r="B399" s="135" t="s">
        <v>458</v>
      </c>
      <c r="C399" s="135" t="s">
        <v>30</v>
      </c>
      <c r="D399" s="135" t="s">
        <v>2302</v>
      </c>
      <c r="E399" s="135">
        <v>10</v>
      </c>
      <c r="F399" s="135">
        <v>4000</v>
      </c>
      <c r="G399" s="135">
        <v>3500</v>
      </c>
      <c r="H399" s="135">
        <v>7</v>
      </c>
      <c r="I399" s="135">
        <v>-500</v>
      </c>
      <c r="J399" s="135">
        <v>3700</v>
      </c>
      <c r="K399" s="135">
        <v>-200</v>
      </c>
    </row>
    <row r="400" spans="1:11" x14ac:dyDescent="0.3">
      <c r="A400" s="135" t="s">
        <v>399</v>
      </c>
      <c r="B400" s="135" t="s">
        <v>349</v>
      </c>
      <c r="C400" s="135" t="s">
        <v>18</v>
      </c>
      <c r="D400" s="135" t="s">
        <v>14</v>
      </c>
      <c r="E400" s="135">
        <v>23</v>
      </c>
      <c r="F400" s="135">
        <v>2600</v>
      </c>
      <c r="G400" s="135">
        <v>2500</v>
      </c>
      <c r="H400" s="135">
        <v>5</v>
      </c>
      <c r="I400" s="135">
        <v>-100</v>
      </c>
      <c r="J400" s="135">
        <v>2700</v>
      </c>
      <c r="K400" s="135">
        <v>-200</v>
      </c>
    </row>
    <row r="401" spans="1:11" x14ac:dyDescent="0.3">
      <c r="A401" s="135" t="s">
        <v>399</v>
      </c>
      <c r="B401" s="135" t="s">
        <v>215</v>
      </c>
      <c r="C401" s="135" t="s">
        <v>18</v>
      </c>
      <c r="D401" s="135" t="s">
        <v>14</v>
      </c>
      <c r="E401" s="135">
        <v>23</v>
      </c>
      <c r="F401" s="135">
        <v>6600</v>
      </c>
      <c r="G401" s="135">
        <v>6300</v>
      </c>
      <c r="H401" s="135">
        <v>12.6</v>
      </c>
      <c r="I401" s="135">
        <v>-300</v>
      </c>
      <c r="J401" s="135">
        <v>6500</v>
      </c>
      <c r="K401" s="135">
        <v>-200</v>
      </c>
    </row>
    <row r="402" spans="1:11" x14ac:dyDescent="0.3">
      <c r="A402" s="135" t="s">
        <v>394</v>
      </c>
      <c r="B402" s="135" t="s">
        <v>120</v>
      </c>
      <c r="C402" s="135" t="s">
        <v>14</v>
      </c>
      <c r="D402" s="135" t="s">
        <v>2310</v>
      </c>
      <c r="E402" s="135">
        <v>30</v>
      </c>
      <c r="F402" s="135">
        <v>5100</v>
      </c>
      <c r="G402" s="135">
        <v>4000</v>
      </c>
      <c r="H402" s="135">
        <v>8</v>
      </c>
      <c r="I402" s="135">
        <v>-1100</v>
      </c>
      <c r="J402" s="135">
        <v>4200</v>
      </c>
      <c r="K402" s="135">
        <v>-200</v>
      </c>
    </row>
    <row r="403" spans="1:11" x14ac:dyDescent="0.3">
      <c r="A403" s="135" t="s">
        <v>394</v>
      </c>
      <c r="B403" s="135" t="s">
        <v>460</v>
      </c>
      <c r="C403" s="135" t="s">
        <v>7</v>
      </c>
      <c r="D403" s="135" t="s">
        <v>2305</v>
      </c>
      <c r="E403" s="135">
        <v>2</v>
      </c>
      <c r="F403" s="135">
        <v>3900</v>
      </c>
      <c r="G403" s="135">
        <v>3100</v>
      </c>
      <c r="H403" s="135">
        <v>6.2</v>
      </c>
      <c r="I403" s="135">
        <v>-800</v>
      </c>
      <c r="J403" s="135">
        <v>3300</v>
      </c>
      <c r="K403" s="135">
        <v>-200</v>
      </c>
    </row>
    <row r="404" spans="1:11" x14ac:dyDescent="0.3">
      <c r="A404" s="135" t="s">
        <v>396</v>
      </c>
      <c r="B404" s="135" t="s">
        <v>225</v>
      </c>
      <c r="C404" s="135" t="s">
        <v>7</v>
      </c>
      <c r="D404" s="135" t="s">
        <v>2305</v>
      </c>
      <c r="E404" s="135">
        <v>32</v>
      </c>
      <c r="F404" s="135">
        <v>3500</v>
      </c>
      <c r="G404" s="135">
        <v>3200</v>
      </c>
      <c r="H404" s="135">
        <v>6.4</v>
      </c>
      <c r="I404" s="135">
        <v>-300</v>
      </c>
      <c r="J404" s="135">
        <v>3400</v>
      </c>
      <c r="K404" s="135">
        <v>-200</v>
      </c>
    </row>
    <row r="405" spans="1:11" x14ac:dyDescent="0.3">
      <c r="A405" s="135" t="s">
        <v>396</v>
      </c>
      <c r="B405" s="135" t="s">
        <v>192</v>
      </c>
      <c r="C405" s="135" t="s">
        <v>7</v>
      </c>
      <c r="D405" s="135" t="s">
        <v>2305</v>
      </c>
      <c r="E405" s="135">
        <v>32</v>
      </c>
      <c r="F405" s="135">
        <v>6600</v>
      </c>
      <c r="G405" s="135">
        <v>6100</v>
      </c>
      <c r="H405" s="135">
        <v>12.2</v>
      </c>
      <c r="I405" s="135">
        <v>-500</v>
      </c>
      <c r="J405" s="135">
        <v>6300</v>
      </c>
      <c r="K405" s="135">
        <v>-200</v>
      </c>
    </row>
    <row r="406" spans="1:11" x14ac:dyDescent="0.3">
      <c r="A406" s="135" t="s">
        <v>396</v>
      </c>
      <c r="B406" s="135" t="s">
        <v>276</v>
      </c>
      <c r="C406" s="135" t="s">
        <v>402</v>
      </c>
      <c r="D406" s="135" t="s">
        <v>10</v>
      </c>
      <c r="E406" s="135">
        <v>27</v>
      </c>
      <c r="F406" s="135">
        <v>3600</v>
      </c>
      <c r="G406" s="135">
        <v>3700</v>
      </c>
      <c r="H406" s="135">
        <v>7.4</v>
      </c>
      <c r="I406" s="135">
        <v>100</v>
      </c>
      <c r="J406" s="135">
        <v>3900</v>
      </c>
      <c r="K406" s="135">
        <v>-200</v>
      </c>
    </row>
    <row r="407" spans="1:11" x14ac:dyDescent="0.3">
      <c r="A407" s="135" t="s">
        <v>394</v>
      </c>
      <c r="B407" s="135" t="s">
        <v>400</v>
      </c>
      <c r="C407" s="135" t="s">
        <v>10</v>
      </c>
      <c r="D407" s="135" t="s">
        <v>1992</v>
      </c>
      <c r="E407" s="135">
        <v>14</v>
      </c>
      <c r="F407" s="135">
        <v>3500</v>
      </c>
      <c r="G407" s="135">
        <v>3000</v>
      </c>
      <c r="H407" s="135">
        <v>6</v>
      </c>
      <c r="I407" s="135">
        <v>-500</v>
      </c>
      <c r="J407" s="135">
        <v>3200</v>
      </c>
      <c r="K407" s="135">
        <v>-200</v>
      </c>
    </row>
    <row r="408" spans="1:11" x14ac:dyDescent="0.3">
      <c r="A408" s="135" t="s">
        <v>405</v>
      </c>
      <c r="B408" s="135" t="s">
        <v>31</v>
      </c>
      <c r="C408" s="135" t="s">
        <v>32</v>
      </c>
      <c r="D408" s="135" t="s">
        <v>4</v>
      </c>
      <c r="E408" s="135">
        <v>16</v>
      </c>
      <c r="F408" s="135">
        <v>6700</v>
      </c>
      <c r="G408" s="135">
        <v>5900</v>
      </c>
      <c r="H408" s="135">
        <v>11.8</v>
      </c>
      <c r="I408" s="135">
        <v>-800</v>
      </c>
      <c r="J408" s="135">
        <v>6100</v>
      </c>
      <c r="K408" s="135">
        <v>-200</v>
      </c>
    </row>
    <row r="409" spans="1:11" x14ac:dyDescent="0.3">
      <c r="A409" s="135" t="s">
        <v>394</v>
      </c>
      <c r="B409" s="135" t="s">
        <v>512</v>
      </c>
      <c r="C409" s="135" t="s">
        <v>4</v>
      </c>
      <c r="D409" s="135" t="s">
        <v>2297</v>
      </c>
      <c r="E409" s="135">
        <v>8</v>
      </c>
      <c r="F409" s="135">
        <v>3000</v>
      </c>
      <c r="G409" s="135">
        <v>3400</v>
      </c>
      <c r="H409" s="135">
        <v>6.8</v>
      </c>
      <c r="I409" s="135">
        <v>400</v>
      </c>
      <c r="J409" s="135">
        <v>3600</v>
      </c>
      <c r="K409" s="135">
        <v>-200</v>
      </c>
    </row>
    <row r="410" spans="1:11" x14ac:dyDescent="0.3">
      <c r="A410" s="135" t="s">
        <v>405</v>
      </c>
      <c r="B410" s="135" t="s">
        <v>3</v>
      </c>
      <c r="C410" s="135" t="s">
        <v>4</v>
      </c>
      <c r="D410" s="135" t="s">
        <v>2297</v>
      </c>
      <c r="E410" s="135">
        <v>9</v>
      </c>
      <c r="F410" s="135">
        <v>7300</v>
      </c>
      <c r="G410" s="135">
        <v>6700</v>
      </c>
      <c r="H410" s="135">
        <v>13.4</v>
      </c>
      <c r="I410" s="135">
        <v>-600</v>
      </c>
      <c r="J410" s="135">
        <v>6900</v>
      </c>
      <c r="K410" s="135">
        <v>-200</v>
      </c>
    </row>
    <row r="411" spans="1:11" x14ac:dyDescent="0.3">
      <c r="A411" s="135" t="s">
        <v>399</v>
      </c>
      <c r="B411" s="135" t="s">
        <v>2453</v>
      </c>
      <c r="C411" s="135" t="s">
        <v>46</v>
      </c>
      <c r="D411" s="135" t="s">
        <v>26</v>
      </c>
      <c r="E411" s="135">
        <v>31</v>
      </c>
      <c r="F411" s="135">
        <v>3700</v>
      </c>
      <c r="G411" s="135">
        <v>2700</v>
      </c>
      <c r="H411" s="135">
        <v>5.4</v>
      </c>
      <c r="I411" s="135">
        <v>-1000</v>
      </c>
      <c r="J411" s="135">
        <v>2900</v>
      </c>
      <c r="K411" s="135">
        <v>-200</v>
      </c>
    </row>
    <row r="412" spans="1:11" x14ac:dyDescent="0.3">
      <c r="A412" s="135" t="s">
        <v>394</v>
      </c>
      <c r="B412" s="135" t="s">
        <v>151</v>
      </c>
      <c r="C412" s="135" t="s">
        <v>409</v>
      </c>
      <c r="D412" s="135" t="s">
        <v>2295</v>
      </c>
      <c r="E412" s="135">
        <v>9</v>
      </c>
      <c r="F412" s="135">
        <v>3700</v>
      </c>
      <c r="G412" s="135">
        <v>3200</v>
      </c>
      <c r="H412" s="135">
        <v>6.4</v>
      </c>
      <c r="I412" s="135">
        <v>-500</v>
      </c>
      <c r="J412" s="135">
        <v>3400</v>
      </c>
      <c r="K412" s="135">
        <v>-200</v>
      </c>
    </row>
    <row r="413" spans="1:11" x14ac:dyDescent="0.3">
      <c r="A413" s="135" t="s">
        <v>399</v>
      </c>
      <c r="B413" s="135" t="s">
        <v>338</v>
      </c>
      <c r="C413" s="135" t="s">
        <v>398</v>
      </c>
      <c r="D413" s="135" t="s">
        <v>52</v>
      </c>
      <c r="E413" s="135">
        <v>30</v>
      </c>
      <c r="F413" s="135">
        <v>3100</v>
      </c>
      <c r="G413" s="135">
        <v>2700</v>
      </c>
      <c r="H413" s="135">
        <v>5.4</v>
      </c>
      <c r="I413" s="135">
        <v>-400</v>
      </c>
      <c r="J413" s="135">
        <v>2900</v>
      </c>
      <c r="K413" s="135">
        <v>-200</v>
      </c>
    </row>
    <row r="414" spans="1:11" x14ac:dyDescent="0.3">
      <c r="A414" s="135" t="s">
        <v>394</v>
      </c>
      <c r="B414" s="135" t="s">
        <v>104</v>
      </c>
      <c r="C414" s="135" t="s">
        <v>398</v>
      </c>
      <c r="D414" s="135" t="s">
        <v>52</v>
      </c>
      <c r="E414" s="135">
        <v>23</v>
      </c>
      <c r="F414" s="135">
        <v>5600</v>
      </c>
      <c r="G414" s="135">
        <v>4200</v>
      </c>
      <c r="H414" s="135">
        <v>8.4</v>
      </c>
      <c r="I414" s="135">
        <v>-1400</v>
      </c>
      <c r="J414" s="135">
        <v>4400</v>
      </c>
      <c r="K414" s="135">
        <v>-200</v>
      </c>
    </row>
    <row r="415" spans="1:11" x14ac:dyDescent="0.3">
      <c r="A415" s="135" t="s">
        <v>396</v>
      </c>
      <c r="B415" s="135" t="s">
        <v>230</v>
      </c>
      <c r="C415" s="135" t="s">
        <v>52</v>
      </c>
      <c r="D415" s="135" t="s">
        <v>2309</v>
      </c>
      <c r="E415" s="135">
        <v>19</v>
      </c>
      <c r="F415" s="135">
        <v>3300</v>
      </c>
      <c r="G415" s="135">
        <v>3100</v>
      </c>
      <c r="H415" s="135">
        <v>6.2</v>
      </c>
      <c r="I415" s="135">
        <v>-200</v>
      </c>
      <c r="J415" s="135">
        <v>3300</v>
      </c>
      <c r="K415" s="135">
        <v>-200</v>
      </c>
    </row>
    <row r="416" spans="1:11" x14ac:dyDescent="0.3">
      <c r="A416" s="135" t="s">
        <v>396</v>
      </c>
      <c r="B416" s="135" t="s">
        <v>273</v>
      </c>
      <c r="C416" s="135" t="s">
        <v>20</v>
      </c>
      <c r="D416" s="135" t="s">
        <v>397</v>
      </c>
      <c r="E416" s="135">
        <v>11</v>
      </c>
      <c r="F416" s="135">
        <v>3600</v>
      </c>
      <c r="G416" s="135">
        <v>3000</v>
      </c>
      <c r="H416" s="135">
        <v>6</v>
      </c>
      <c r="I416" s="135">
        <v>-600</v>
      </c>
      <c r="J416" s="135">
        <v>3200</v>
      </c>
      <c r="K416" s="135">
        <v>-200</v>
      </c>
    </row>
    <row r="417" spans="1:11" x14ac:dyDescent="0.3">
      <c r="A417" s="135" t="s">
        <v>396</v>
      </c>
      <c r="B417" s="135" t="s">
        <v>315</v>
      </c>
      <c r="C417" s="135" t="s">
        <v>20</v>
      </c>
      <c r="D417" s="135" t="s">
        <v>397</v>
      </c>
      <c r="E417" s="135">
        <v>11</v>
      </c>
      <c r="F417" s="135">
        <v>3700</v>
      </c>
      <c r="G417" s="135">
        <v>3600</v>
      </c>
      <c r="H417" s="135">
        <v>7.2</v>
      </c>
      <c r="I417" s="135">
        <v>-100</v>
      </c>
      <c r="J417" s="135">
        <v>3800</v>
      </c>
      <c r="K417" s="135">
        <v>-200</v>
      </c>
    </row>
    <row r="418" spans="1:11" x14ac:dyDescent="0.3">
      <c r="A418" s="135" t="s">
        <v>405</v>
      </c>
      <c r="B418" s="135" t="s">
        <v>19</v>
      </c>
      <c r="C418" s="135" t="s">
        <v>20</v>
      </c>
      <c r="D418" s="135" t="s">
        <v>397</v>
      </c>
      <c r="E418" s="135">
        <v>4</v>
      </c>
      <c r="F418" s="135">
        <v>7800</v>
      </c>
      <c r="G418" s="135">
        <v>7100</v>
      </c>
      <c r="H418" s="135">
        <v>14.2</v>
      </c>
      <c r="I418" s="135">
        <v>-700</v>
      </c>
      <c r="J418" s="135">
        <v>7300</v>
      </c>
      <c r="K418" s="135">
        <v>-200</v>
      </c>
    </row>
    <row r="419" spans="1:11" x14ac:dyDescent="0.3">
      <c r="A419" s="135" t="s">
        <v>394</v>
      </c>
      <c r="B419" s="135" t="s">
        <v>91</v>
      </c>
      <c r="C419" s="135" t="s">
        <v>397</v>
      </c>
      <c r="D419" s="135" t="s">
        <v>2307</v>
      </c>
      <c r="E419" s="135">
        <v>29</v>
      </c>
      <c r="F419" s="135">
        <v>7100</v>
      </c>
      <c r="G419" s="135">
        <v>5400</v>
      </c>
      <c r="H419" s="135">
        <v>10.8</v>
      </c>
      <c r="I419" s="135">
        <v>-1700</v>
      </c>
      <c r="J419" s="135">
        <v>5600</v>
      </c>
      <c r="K419" s="135">
        <v>-200</v>
      </c>
    </row>
    <row r="420" spans="1:11" x14ac:dyDescent="0.3">
      <c r="A420" s="135" t="s">
        <v>405</v>
      </c>
      <c r="B420" s="135" t="s">
        <v>35</v>
      </c>
      <c r="C420" s="135" t="s">
        <v>397</v>
      </c>
      <c r="D420" s="135" t="s">
        <v>2307</v>
      </c>
      <c r="E420" s="135">
        <v>15</v>
      </c>
      <c r="F420" s="135">
        <v>6500</v>
      </c>
      <c r="G420" s="135">
        <v>5600</v>
      </c>
      <c r="H420" s="135">
        <v>11.2</v>
      </c>
      <c r="I420" s="135">
        <v>-900</v>
      </c>
      <c r="J420" s="135">
        <v>5800</v>
      </c>
      <c r="K420" s="135">
        <v>-200</v>
      </c>
    </row>
    <row r="421" spans="1:11" x14ac:dyDescent="0.3">
      <c r="A421" s="135" t="s">
        <v>405</v>
      </c>
      <c r="B421" s="135" t="s">
        <v>38</v>
      </c>
      <c r="C421" s="135" t="s">
        <v>41</v>
      </c>
      <c r="D421" s="135" t="s">
        <v>37</v>
      </c>
      <c r="E421" s="135">
        <v>7</v>
      </c>
      <c r="F421" s="135">
        <v>6400</v>
      </c>
      <c r="G421" s="135">
        <v>5100</v>
      </c>
      <c r="H421" s="135">
        <v>10.199999999999999</v>
      </c>
      <c r="I421" s="135">
        <v>-1300</v>
      </c>
      <c r="J421" s="135">
        <v>5300</v>
      </c>
      <c r="K421" s="135">
        <v>-200</v>
      </c>
    </row>
    <row r="422" spans="1:11" x14ac:dyDescent="0.3">
      <c r="A422" s="135" t="s">
        <v>1408</v>
      </c>
      <c r="B422" s="135" t="s">
        <v>859</v>
      </c>
      <c r="C422" s="135" t="s">
        <v>409</v>
      </c>
      <c r="D422" s="135" t="s">
        <v>2295</v>
      </c>
      <c r="E422" s="135">
        <v>13</v>
      </c>
      <c r="F422" s="135">
        <v>3800</v>
      </c>
      <c r="G422" s="135">
        <v>2700</v>
      </c>
      <c r="H422" s="135">
        <v>5.4</v>
      </c>
      <c r="I422" s="135">
        <v>-1100</v>
      </c>
      <c r="J422" s="135">
        <v>3000</v>
      </c>
      <c r="K422" s="135">
        <v>-300</v>
      </c>
    </row>
    <row r="423" spans="1:11" x14ac:dyDescent="0.3">
      <c r="A423" s="135" t="s">
        <v>1408</v>
      </c>
      <c r="B423" s="135" t="s">
        <v>843</v>
      </c>
      <c r="C423" s="135" t="s">
        <v>57</v>
      </c>
      <c r="D423" s="135" t="s">
        <v>1999</v>
      </c>
      <c r="E423" s="135">
        <v>24</v>
      </c>
      <c r="F423" s="135">
        <v>2200</v>
      </c>
      <c r="G423" s="135">
        <v>2700</v>
      </c>
      <c r="H423" s="135">
        <v>5.4</v>
      </c>
      <c r="I423" s="135">
        <v>500</v>
      </c>
      <c r="J423" s="135">
        <v>3000</v>
      </c>
      <c r="K423" s="135">
        <v>-300</v>
      </c>
    </row>
    <row r="424" spans="1:11" x14ac:dyDescent="0.3">
      <c r="A424" s="135" t="s">
        <v>1408</v>
      </c>
      <c r="B424" s="135" t="s">
        <v>847</v>
      </c>
      <c r="C424" s="135" t="s">
        <v>7</v>
      </c>
      <c r="D424" s="135" t="s">
        <v>2305</v>
      </c>
      <c r="E424" s="135">
        <v>32</v>
      </c>
      <c r="F424" s="135">
        <v>3900</v>
      </c>
      <c r="G424" s="135">
        <v>3800</v>
      </c>
      <c r="H424" s="135">
        <v>7.6</v>
      </c>
      <c r="I424" s="135">
        <v>-100</v>
      </c>
      <c r="J424" s="135">
        <v>4100</v>
      </c>
      <c r="K424" s="135">
        <v>-300</v>
      </c>
    </row>
    <row r="425" spans="1:11" x14ac:dyDescent="0.3">
      <c r="A425" s="135" t="s">
        <v>394</v>
      </c>
      <c r="B425" s="135" t="s">
        <v>108</v>
      </c>
      <c r="C425" s="135" t="s">
        <v>43</v>
      </c>
      <c r="D425" s="135" t="s">
        <v>30</v>
      </c>
      <c r="E425" s="135">
        <v>1</v>
      </c>
      <c r="F425" s="135">
        <v>3600</v>
      </c>
      <c r="G425" s="135">
        <v>3100</v>
      </c>
      <c r="H425" s="135">
        <v>6.2</v>
      </c>
      <c r="I425" s="135">
        <v>-500</v>
      </c>
      <c r="J425" s="135">
        <v>3400</v>
      </c>
      <c r="K425" s="135">
        <v>-300</v>
      </c>
    </row>
    <row r="426" spans="1:11" x14ac:dyDescent="0.3">
      <c r="A426" s="135" t="s">
        <v>394</v>
      </c>
      <c r="B426" s="135" t="s">
        <v>95</v>
      </c>
      <c r="C426" s="135" t="s">
        <v>14</v>
      </c>
      <c r="D426" s="135" t="s">
        <v>2310</v>
      </c>
      <c r="E426" s="135">
        <v>30</v>
      </c>
      <c r="F426" s="135">
        <v>4200</v>
      </c>
      <c r="G426" s="135">
        <v>4400</v>
      </c>
      <c r="H426" s="135">
        <v>8.8000000000000007</v>
      </c>
      <c r="I426" s="135">
        <v>200</v>
      </c>
      <c r="J426" s="135">
        <v>4700</v>
      </c>
      <c r="K426" s="135">
        <v>-300</v>
      </c>
    </row>
    <row r="427" spans="1:11" x14ac:dyDescent="0.3">
      <c r="A427" s="135" t="s">
        <v>396</v>
      </c>
      <c r="B427" s="135" t="s">
        <v>190</v>
      </c>
      <c r="C427" s="135" t="s">
        <v>34</v>
      </c>
      <c r="D427" s="135" t="s">
        <v>7</v>
      </c>
      <c r="E427" s="135">
        <v>1</v>
      </c>
      <c r="F427" s="135">
        <v>7800</v>
      </c>
      <c r="G427" s="135">
        <v>7000</v>
      </c>
      <c r="H427" s="135">
        <v>14</v>
      </c>
      <c r="I427" s="135">
        <v>-800</v>
      </c>
      <c r="J427" s="135">
        <v>7300</v>
      </c>
      <c r="K427" s="135">
        <v>-300</v>
      </c>
    </row>
    <row r="428" spans="1:11" x14ac:dyDescent="0.3">
      <c r="A428" s="135" t="s">
        <v>396</v>
      </c>
      <c r="B428" s="135" t="s">
        <v>224</v>
      </c>
      <c r="C428" s="135" t="s">
        <v>7</v>
      </c>
      <c r="D428" s="135" t="s">
        <v>2305</v>
      </c>
      <c r="E428" s="135">
        <v>32</v>
      </c>
      <c r="F428" s="135">
        <v>5000</v>
      </c>
      <c r="G428" s="135">
        <v>3900</v>
      </c>
      <c r="H428" s="135">
        <v>7.8</v>
      </c>
      <c r="I428" s="135">
        <v>-1100</v>
      </c>
      <c r="J428" s="135">
        <v>4200</v>
      </c>
      <c r="K428" s="135">
        <v>-300</v>
      </c>
    </row>
    <row r="429" spans="1:11" x14ac:dyDescent="0.3">
      <c r="A429" s="135" t="s">
        <v>399</v>
      </c>
      <c r="B429" s="135" t="s">
        <v>318</v>
      </c>
      <c r="C429" s="135" t="s">
        <v>402</v>
      </c>
      <c r="D429" s="135" t="s">
        <v>10</v>
      </c>
      <c r="E429" s="135">
        <v>11</v>
      </c>
      <c r="F429" s="135">
        <v>7400</v>
      </c>
      <c r="G429" s="135">
        <v>6500</v>
      </c>
      <c r="H429" s="135">
        <v>13</v>
      </c>
      <c r="I429" s="135">
        <v>-900</v>
      </c>
      <c r="J429" s="135">
        <v>6800</v>
      </c>
      <c r="K429" s="135">
        <v>-300</v>
      </c>
    </row>
    <row r="430" spans="1:11" x14ac:dyDescent="0.3">
      <c r="A430" s="135" t="s">
        <v>399</v>
      </c>
      <c r="B430" s="135" t="s">
        <v>333</v>
      </c>
      <c r="C430" s="135" t="s">
        <v>10</v>
      </c>
      <c r="D430" s="135" t="s">
        <v>1992</v>
      </c>
      <c r="E430" s="135">
        <v>27</v>
      </c>
      <c r="F430" s="135">
        <v>3400</v>
      </c>
      <c r="G430" s="135">
        <v>2600</v>
      </c>
      <c r="H430" s="135">
        <v>5.2</v>
      </c>
      <c r="I430" s="135">
        <v>-800</v>
      </c>
      <c r="J430" s="135">
        <v>2900</v>
      </c>
      <c r="K430" s="135">
        <v>-300</v>
      </c>
    </row>
    <row r="431" spans="1:11" x14ac:dyDescent="0.3">
      <c r="A431" s="135" t="s">
        <v>394</v>
      </c>
      <c r="B431" s="135" t="s">
        <v>118</v>
      </c>
      <c r="C431" s="135" t="s">
        <v>10</v>
      </c>
      <c r="D431" s="135" t="s">
        <v>1992</v>
      </c>
      <c r="E431" s="135">
        <v>14</v>
      </c>
      <c r="F431" s="135">
        <v>3800</v>
      </c>
      <c r="G431" s="135">
        <v>3000</v>
      </c>
      <c r="H431" s="135">
        <v>6</v>
      </c>
      <c r="I431" s="135">
        <v>-800</v>
      </c>
      <c r="J431" s="135">
        <v>3300</v>
      </c>
      <c r="K431" s="135">
        <v>-300</v>
      </c>
    </row>
    <row r="432" spans="1:11" x14ac:dyDescent="0.3">
      <c r="A432" s="135" t="s">
        <v>394</v>
      </c>
      <c r="B432" s="135" t="s">
        <v>84</v>
      </c>
      <c r="C432" s="135" t="s">
        <v>50</v>
      </c>
      <c r="D432" s="135" t="s">
        <v>22</v>
      </c>
      <c r="E432" s="135">
        <v>19</v>
      </c>
      <c r="F432" s="135">
        <v>6900</v>
      </c>
      <c r="G432" s="135">
        <v>5500</v>
      </c>
      <c r="H432" s="135">
        <v>11</v>
      </c>
      <c r="I432" s="135">
        <v>-1400</v>
      </c>
      <c r="J432" s="135">
        <v>5800</v>
      </c>
      <c r="K432" s="135">
        <v>-300</v>
      </c>
    </row>
    <row r="433" spans="1:11" x14ac:dyDescent="0.3">
      <c r="A433" s="135" t="s">
        <v>396</v>
      </c>
      <c r="B433" s="135" t="s">
        <v>188</v>
      </c>
      <c r="C433" s="135" t="s">
        <v>50</v>
      </c>
      <c r="D433" s="135" t="s">
        <v>22</v>
      </c>
      <c r="E433" s="135">
        <v>3</v>
      </c>
      <c r="F433" s="135">
        <v>9400</v>
      </c>
      <c r="G433" s="135">
        <v>9200</v>
      </c>
      <c r="H433" s="135">
        <v>18.399999999999999</v>
      </c>
      <c r="I433" s="135">
        <v>-200</v>
      </c>
      <c r="J433" s="135">
        <v>9500</v>
      </c>
      <c r="K433" s="135">
        <v>-300</v>
      </c>
    </row>
    <row r="434" spans="1:11" x14ac:dyDescent="0.3">
      <c r="A434" s="135" t="s">
        <v>405</v>
      </c>
      <c r="B434" s="135" t="s">
        <v>48</v>
      </c>
      <c r="C434" s="135" t="s">
        <v>46</v>
      </c>
      <c r="D434" s="135" t="s">
        <v>26</v>
      </c>
      <c r="E434" s="135">
        <v>32</v>
      </c>
      <c r="F434" s="135">
        <v>6300</v>
      </c>
      <c r="G434" s="135">
        <v>5300</v>
      </c>
      <c r="H434" s="135">
        <v>10.6</v>
      </c>
      <c r="I434" s="135">
        <v>-1000</v>
      </c>
      <c r="J434" s="135">
        <v>5600</v>
      </c>
      <c r="K434" s="135">
        <v>-300</v>
      </c>
    </row>
    <row r="435" spans="1:11" x14ac:dyDescent="0.3">
      <c r="A435" s="135" t="s">
        <v>396</v>
      </c>
      <c r="B435" s="135" t="s">
        <v>249</v>
      </c>
      <c r="C435" s="135" t="s">
        <v>407</v>
      </c>
      <c r="D435" s="135" t="s">
        <v>404</v>
      </c>
      <c r="E435" s="135">
        <v>15</v>
      </c>
      <c r="F435" s="135">
        <v>3400</v>
      </c>
      <c r="G435" s="135">
        <v>3300</v>
      </c>
      <c r="H435" s="135">
        <v>6.6</v>
      </c>
      <c r="I435" s="135">
        <v>-100</v>
      </c>
      <c r="J435" s="135">
        <v>3600</v>
      </c>
      <c r="K435" s="135">
        <v>-300</v>
      </c>
    </row>
    <row r="436" spans="1:11" x14ac:dyDescent="0.3">
      <c r="A436" s="135" t="s">
        <v>405</v>
      </c>
      <c r="B436" s="135" t="s">
        <v>8</v>
      </c>
      <c r="C436" s="135" t="s">
        <v>404</v>
      </c>
      <c r="D436" s="135" t="s">
        <v>2308</v>
      </c>
      <c r="E436" s="135">
        <v>27</v>
      </c>
      <c r="F436" s="135">
        <v>8100</v>
      </c>
      <c r="G436" s="135">
        <v>7600</v>
      </c>
      <c r="H436" s="135">
        <v>15.2</v>
      </c>
      <c r="I436" s="135">
        <v>-500</v>
      </c>
      <c r="J436" s="135">
        <v>7900</v>
      </c>
      <c r="K436" s="135">
        <v>-300</v>
      </c>
    </row>
    <row r="437" spans="1:11" x14ac:dyDescent="0.3">
      <c r="A437" s="135" t="s">
        <v>1408</v>
      </c>
      <c r="B437" s="135" t="s">
        <v>829</v>
      </c>
      <c r="C437" s="135" t="s">
        <v>37</v>
      </c>
      <c r="D437" s="135" t="s">
        <v>2304</v>
      </c>
      <c r="E437" s="135">
        <v>4</v>
      </c>
      <c r="F437" s="135">
        <v>2700</v>
      </c>
      <c r="G437" s="135">
        <v>2900</v>
      </c>
      <c r="H437" s="135">
        <v>5.8</v>
      </c>
      <c r="I437" s="135">
        <v>200</v>
      </c>
      <c r="J437" s="135">
        <v>3300</v>
      </c>
      <c r="K437" s="135">
        <v>-400</v>
      </c>
    </row>
    <row r="438" spans="1:11" x14ac:dyDescent="0.3">
      <c r="A438" s="135" t="s">
        <v>1408</v>
      </c>
      <c r="B438" s="135" t="s">
        <v>831</v>
      </c>
      <c r="C438" s="135" t="s">
        <v>22</v>
      </c>
      <c r="D438" s="135" t="s">
        <v>2296</v>
      </c>
      <c r="E438" s="135">
        <v>8</v>
      </c>
      <c r="F438" s="135">
        <v>3800</v>
      </c>
      <c r="G438" s="135">
        <v>3400</v>
      </c>
      <c r="H438" s="135">
        <v>6.8</v>
      </c>
      <c r="I438" s="135">
        <v>-400</v>
      </c>
      <c r="J438" s="135">
        <v>3800</v>
      </c>
      <c r="K438" s="135">
        <v>-400</v>
      </c>
    </row>
    <row r="439" spans="1:11" x14ac:dyDescent="0.3">
      <c r="A439" s="135" t="s">
        <v>405</v>
      </c>
      <c r="B439" s="135" t="s">
        <v>56</v>
      </c>
      <c r="C439" s="135" t="s">
        <v>57</v>
      </c>
      <c r="D439" s="135" t="s">
        <v>1999</v>
      </c>
      <c r="E439" s="135">
        <v>31</v>
      </c>
      <c r="F439" s="135">
        <v>5900</v>
      </c>
      <c r="G439" s="135">
        <v>5800</v>
      </c>
      <c r="H439" s="135">
        <v>11.6</v>
      </c>
      <c r="I439" s="135">
        <v>-100</v>
      </c>
      <c r="J439" s="135">
        <v>6200</v>
      </c>
      <c r="K439" s="135">
        <v>-400</v>
      </c>
    </row>
    <row r="440" spans="1:11" x14ac:dyDescent="0.3">
      <c r="A440" s="135" t="s">
        <v>396</v>
      </c>
      <c r="B440" s="135" t="s">
        <v>202</v>
      </c>
      <c r="C440" s="135" t="s">
        <v>12</v>
      </c>
      <c r="D440" s="135" t="s">
        <v>16</v>
      </c>
      <c r="E440" s="135">
        <v>5</v>
      </c>
      <c r="F440" s="135">
        <v>5800</v>
      </c>
      <c r="G440" s="135">
        <v>4800</v>
      </c>
      <c r="H440" s="135">
        <v>9.6</v>
      </c>
      <c r="I440" s="135">
        <v>-1000</v>
      </c>
      <c r="J440" s="135">
        <v>5200</v>
      </c>
      <c r="K440" s="135">
        <v>-400</v>
      </c>
    </row>
    <row r="441" spans="1:11" x14ac:dyDescent="0.3">
      <c r="A441" s="135" t="s">
        <v>405</v>
      </c>
      <c r="B441" s="135" t="s">
        <v>29</v>
      </c>
      <c r="C441" s="135" t="s">
        <v>30</v>
      </c>
      <c r="D441" s="135" t="s">
        <v>2302</v>
      </c>
      <c r="E441" s="135">
        <v>5</v>
      </c>
      <c r="F441" s="135">
        <v>6400</v>
      </c>
      <c r="G441" s="135">
        <v>5500</v>
      </c>
      <c r="H441" s="135">
        <v>11</v>
      </c>
      <c r="I441" s="135">
        <v>-900</v>
      </c>
      <c r="J441" s="135">
        <v>5900</v>
      </c>
      <c r="K441" s="135">
        <v>-400</v>
      </c>
    </row>
    <row r="442" spans="1:11" x14ac:dyDescent="0.3">
      <c r="A442" s="135" t="s">
        <v>399</v>
      </c>
      <c r="B442" s="135" t="s">
        <v>322</v>
      </c>
      <c r="C442" s="135" t="s">
        <v>14</v>
      </c>
      <c r="D442" s="135" t="s">
        <v>2310</v>
      </c>
      <c r="E442" s="135">
        <v>16</v>
      </c>
      <c r="F442" s="135">
        <v>4700</v>
      </c>
      <c r="G442" s="135">
        <v>3600</v>
      </c>
      <c r="H442" s="135">
        <v>7.2</v>
      </c>
      <c r="I442" s="135">
        <v>-1100</v>
      </c>
      <c r="J442" s="135">
        <v>4000</v>
      </c>
      <c r="K442" s="135">
        <v>-400</v>
      </c>
    </row>
    <row r="443" spans="1:11" x14ac:dyDescent="0.3">
      <c r="A443" s="135" t="s">
        <v>396</v>
      </c>
      <c r="B443" s="135" t="s">
        <v>269</v>
      </c>
      <c r="C443" s="135" t="s">
        <v>34</v>
      </c>
      <c r="D443" s="135" t="s">
        <v>7</v>
      </c>
      <c r="E443" s="135">
        <v>1</v>
      </c>
      <c r="F443" s="135">
        <v>3800</v>
      </c>
      <c r="G443" s="135">
        <v>4400</v>
      </c>
      <c r="H443" s="135">
        <v>8.8000000000000007</v>
      </c>
      <c r="I443" s="135">
        <v>600</v>
      </c>
      <c r="J443" s="135">
        <v>4800</v>
      </c>
      <c r="K443" s="135">
        <v>-400</v>
      </c>
    </row>
    <row r="444" spans="1:11" x14ac:dyDescent="0.3">
      <c r="A444" s="135" t="s">
        <v>394</v>
      </c>
      <c r="B444" s="135" t="s">
        <v>115</v>
      </c>
      <c r="C444" s="135" t="s">
        <v>34</v>
      </c>
      <c r="D444" s="135" t="s">
        <v>7</v>
      </c>
      <c r="E444" s="135">
        <v>12</v>
      </c>
      <c r="F444" s="135">
        <v>6100</v>
      </c>
      <c r="G444" s="135">
        <v>6600</v>
      </c>
      <c r="H444" s="135">
        <v>13.2</v>
      </c>
      <c r="I444" s="135">
        <v>500</v>
      </c>
      <c r="J444" s="135">
        <v>7000</v>
      </c>
      <c r="K444" s="135">
        <v>-400</v>
      </c>
    </row>
    <row r="445" spans="1:11" x14ac:dyDescent="0.3">
      <c r="A445" s="135" t="s">
        <v>405</v>
      </c>
      <c r="B445" s="135" t="s">
        <v>429</v>
      </c>
      <c r="C445" s="135" t="s">
        <v>402</v>
      </c>
      <c r="D445" s="135" t="s">
        <v>10</v>
      </c>
      <c r="E445" s="135">
        <v>13</v>
      </c>
      <c r="F445" s="135">
        <v>6200</v>
      </c>
      <c r="G445" s="135">
        <v>5200</v>
      </c>
      <c r="H445" s="135">
        <v>10.4</v>
      </c>
      <c r="I445" s="135">
        <v>-1000</v>
      </c>
      <c r="J445" s="135">
        <v>5600</v>
      </c>
      <c r="K445" s="135">
        <v>-400</v>
      </c>
    </row>
    <row r="446" spans="1:11" x14ac:dyDescent="0.3">
      <c r="A446" s="135" t="s">
        <v>405</v>
      </c>
      <c r="B446" s="135" t="s">
        <v>9</v>
      </c>
      <c r="C446" s="135" t="s">
        <v>10</v>
      </c>
      <c r="D446" s="135" t="s">
        <v>1992</v>
      </c>
      <c r="E446" s="135">
        <v>17</v>
      </c>
      <c r="F446" s="135">
        <v>6900</v>
      </c>
      <c r="G446" s="135">
        <v>5400</v>
      </c>
      <c r="H446" s="135">
        <v>10.8</v>
      </c>
      <c r="I446" s="135">
        <v>-1500</v>
      </c>
      <c r="J446" s="135">
        <v>5800</v>
      </c>
      <c r="K446" s="135">
        <v>-400</v>
      </c>
    </row>
    <row r="447" spans="1:11" x14ac:dyDescent="0.3">
      <c r="A447" s="135" t="s">
        <v>405</v>
      </c>
      <c r="B447" s="135" t="s">
        <v>49</v>
      </c>
      <c r="C447" s="135" t="s">
        <v>50</v>
      </c>
      <c r="D447" s="135" t="s">
        <v>22</v>
      </c>
      <c r="E447" s="135">
        <v>14</v>
      </c>
      <c r="F447" s="135">
        <v>7100</v>
      </c>
      <c r="G447" s="135">
        <v>7000</v>
      </c>
      <c r="H447" s="135">
        <v>14</v>
      </c>
      <c r="I447" s="135">
        <v>-100</v>
      </c>
      <c r="J447" s="135">
        <v>7400</v>
      </c>
      <c r="K447" s="135">
        <v>-400</v>
      </c>
    </row>
    <row r="448" spans="1:11" x14ac:dyDescent="0.3">
      <c r="A448" s="135" t="s">
        <v>394</v>
      </c>
      <c r="B448" s="135" t="s">
        <v>109</v>
      </c>
      <c r="C448" s="135" t="s">
        <v>46</v>
      </c>
      <c r="D448" s="135" t="s">
        <v>26</v>
      </c>
      <c r="E448" s="135">
        <v>11</v>
      </c>
      <c r="F448" s="135">
        <v>4700</v>
      </c>
      <c r="G448" s="135">
        <v>4800</v>
      </c>
      <c r="H448" s="135">
        <v>9.6</v>
      </c>
      <c r="I448" s="135">
        <v>100</v>
      </c>
      <c r="J448" s="135">
        <v>5200</v>
      </c>
      <c r="K448" s="135">
        <v>-400</v>
      </c>
    </row>
    <row r="449" spans="1:11" x14ac:dyDescent="0.3">
      <c r="A449" s="135" t="s">
        <v>394</v>
      </c>
      <c r="B449" s="135" t="s">
        <v>86</v>
      </c>
      <c r="C449" s="135" t="s">
        <v>401</v>
      </c>
      <c r="D449" s="135" t="s">
        <v>70</v>
      </c>
      <c r="E449" s="135">
        <v>21</v>
      </c>
      <c r="F449" s="135">
        <v>6200</v>
      </c>
      <c r="G449" s="135">
        <v>5300</v>
      </c>
      <c r="H449" s="135">
        <v>10.6</v>
      </c>
      <c r="I449" s="135">
        <v>-900</v>
      </c>
      <c r="J449" s="135">
        <v>5700</v>
      </c>
      <c r="K449" s="135">
        <v>-400</v>
      </c>
    </row>
    <row r="450" spans="1:11" x14ac:dyDescent="0.3">
      <c r="A450" s="135" t="s">
        <v>394</v>
      </c>
      <c r="B450" s="135" t="s">
        <v>130</v>
      </c>
      <c r="C450" s="135" t="s">
        <v>24</v>
      </c>
      <c r="D450" s="135" t="s">
        <v>409</v>
      </c>
      <c r="E450" s="135">
        <v>26</v>
      </c>
      <c r="F450" s="135">
        <v>4100</v>
      </c>
      <c r="G450" s="135">
        <v>3200</v>
      </c>
      <c r="H450" s="135">
        <v>6.4</v>
      </c>
      <c r="I450" s="135">
        <v>-900</v>
      </c>
      <c r="J450" s="135">
        <v>3600</v>
      </c>
      <c r="K450" s="135">
        <v>-400</v>
      </c>
    </row>
    <row r="451" spans="1:11" x14ac:dyDescent="0.3">
      <c r="A451" s="135" t="s">
        <v>394</v>
      </c>
      <c r="B451" s="135" t="s">
        <v>83</v>
      </c>
      <c r="C451" s="135" t="s">
        <v>409</v>
      </c>
      <c r="D451" s="135" t="s">
        <v>2295</v>
      </c>
      <c r="E451" s="135">
        <v>9</v>
      </c>
      <c r="F451" s="135">
        <v>7800</v>
      </c>
      <c r="G451" s="135">
        <v>6700</v>
      </c>
      <c r="H451" s="135">
        <v>13.4</v>
      </c>
      <c r="I451" s="135">
        <v>-1100</v>
      </c>
      <c r="J451" s="135">
        <v>7100</v>
      </c>
      <c r="K451" s="135">
        <v>-400</v>
      </c>
    </row>
    <row r="452" spans="1:11" x14ac:dyDescent="0.3">
      <c r="A452" s="135" t="s">
        <v>396</v>
      </c>
      <c r="B452" s="135" t="s">
        <v>457</v>
      </c>
      <c r="C452" s="135" t="s">
        <v>404</v>
      </c>
      <c r="D452" s="135" t="s">
        <v>2308</v>
      </c>
      <c r="E452" s="135">
        <v>23</v>
      </c>
      <c r="F452" s="135">
        <v>4000</v>
      </c>
      <c r="G452" s="135">
        <v>3800</v>
      </c>
      <c r="H452" s="135">
        <v>7.6</v>
      </c>
      <c r="I452" s="135">
        <v>-200</v>
      </c>
      <c r="J452" s="135">
        <v>4200</v>
      </c>
      <c r="K452" s="135">
        <v>-400</v>
      </c>
    </row>
    <row r="453" spans="1:11" x14ac:dyDescent="0.3">
      <c r="A453" s="135" t="s">
        <v>396</v>
      </c>
      <c r="B453" s="135" t="s">
        <v>243</v>
      </c>
      <c r="C453" s="135" t="s">
        <v>398</v>
      </c>
      <c r="D453" s="135" t="s">
        <v>52</v>
      </c>
      <c r="E453" s="135">
        <v>9</v>
      </c>
      <c r="F453" s="135">
        <v>4900</v>
      </c>
      <c r="G453" s="135">
        <v>3900</v>
      </c>
      <c r="H453" s="135">
        <v>7.8</v>
      </c>
      <c r="I453" s="135">
        <v>-1000</v>
      </c>
      <c r="J453" s="135">
        <v>4300</v>
      </c>
      <c r="K453" s="135">
        <v>-400</v>
      </c>
    </row>
    <row r="454" spans="1:11" x14ac:dyDescent="0.3">
      <c r="A454" s="135" t="s">
        <v>399</v>
      </c>
      <c r="B454" s="135" t="s">
        <v>354</v>
      </c>
      <c r="C454" s="135" t="s">
        <v>20</v>
      </c>
      <c r="D454" s="135" t="s">
        <v>397</v>
      </c>
      <c r="E454" s="135">
        <v>12</v>
      </c>
      <c r="F454" s="135">
        <v>3400</v>
      </c>
      <c r="G454" s="135">
        <v>3100</v>
      </c>
      <c r="H454" s="135">
        <v>6.2</v>
      </c>
      <c r="I454" s="135">
        <v>-300</v>
      </c>
      <c r="J454" s="135">
        <v>3500</v>
      </c>
      <c r="K454" s="135">
        <v>-400</v>
      </c>
    </row>
    <row r="455" spans="1:11" x14ac:dyDescent="0.3">
      <c r="A455" s="135" t="s">
        <v>396</v>
      </c>
      <c r="B455" s="135" t="s">
        <v>1248</v>
      </c>
      <c r="C455" s="135" t="s">
        <v>20</v>
      </c>
      <c r="D455" s="135" t="s">
        <v>397</v>
      </c>
      <c r="E455" s="135">
        <v>11</v>
      </c>
      <c r="F455" s="135">
        <v>4200</v>
      </c>
      <c r="G455" s="135">
        <v>3500</v>
      </c>
      <c r="H455" s="135">
        <v>7</v>
      </c>
      <c r="I455" s="135">
        <v>-700</v>
      </c>
      <c r="J455" s="135">
        <v>3900</v>
      </c>
      <c r="K455" s="135">
        <v>-400</v>
      </c>
    </row>
    <row r="456" spans="1:11" x14ac:dyDescent="0.3">
      <c r="A456" s="135" t="s">
        <v>394</v>
      </c>
      <c r="B456" s="135" t="s">
        <v>94</v>
      </c>
      <c r="C456" s="135" t="s">
        <v>37</v>
      </c>
      <c r="D456" s="135" t="s">
        <v>2304</v>
      </c>
      <c r="E456" s="135">
        <v>18</v>
      </c>
      <c r="F456" s="135">
        <v>5400</v>
      </c>
      <c r="G456" s="135">
        <v>4700</v>
      </c>
      <c r="H456" s="135">
        <v>9.4</v>
      </c>
      <c r="I456" s="135">
        <v>-700</v>
      </c>
      <c r="J456" s="135">
        <v>5100</v>
      </c>
      <c r="K456" s="135">
        <v>-400</v>
      </c>
    </row>
    <row r="457" spans="1:11" x14ac:dyDescent="0.3">
      <c r="A457" s="135" t="s">
        <v>396</v>
      </c>
      <c r="B457" s="135" t="s">
        <v>191</v>
      </c>
      <c r="C457" s="135" t="s">
        <v>37</v>
      </c>
      <c r="D457" s="135" t="s">
        <v>2304</v>
      </c>
      <c r="E457" s="135">
        <v>8</v>
      </c>
      <c r="F457" s="135">
        <v>9300</v>
      </c>
      <c r="G457" s="135">
        <v>8700</v>
      </c>
      <c r="H457" s="135">
        <v>17.399999999999999</v>
      </c>
      <c r="I457" s="135">
        <v>-600</v>
      </c>
      <c r="J457" s="135">
        <v>9100</v>
      </c>
      <c r="K457" s="135">
        <v>-400</v>
      </c>
    </row>
    <row r="458" spans="1:11" x14ac:dyDescent="0.3">
      <c r="A458" s="135" t="s">
        <v>1408</v>
      </c>
      <c r="B458" s="135" t="s">
        <v>845</v>
      </c>
      <c r="C458" s="135" t="s">
        <v>401</v>
      </c>
      <c r="D458" s="135" t="s">
        <v>70</v>
      </c>
      <c r="E458" s="135">
        <v>15</v>
      </c>
      <c r="F458" s="135">
        <v>2600</v>
      </c>
      <c r="G458" s="135">
        <v>2600</v>
      </c>
      <c r="H458" s="135">
        <v>5.2</v>
      </c>
      <c r="I458" s="135">
        <v>0</v>
      </c>
      <c r="J458" s="135">
        <v>3100</v>
      </c>
      <c r="K458" s="135">
        <v>-500</v>
      </c>
    </row>
    <row r="459" spans="1:11" x14ac:dyDescent="0.3">
      <c r="A459" s="135" t="s">
        <v>396</v>
      </c>
      <c r="B459" s="135" t="s">
        <v>223</v>
      </c>
      <c r="C459" s="135" t="s">
        <v>16</v>
      </c>
      <c r="D459" s="135" t="s">
        <v>1980</v>
      </c>
      <c r="E459" s="135">
        <v>22</v>
      </c>
      <c r="F459" s="135">
        <v>6000</v>
      </c>
      <c r="G459" s="135">
        <v>6200</v>
      </c>
      <c r="H459" s="135">
        <v>12.4</v>
      </c>
      <c r="I459" s="135">
        <v>200</v>
      </c>
      <c r="J459" s="135">
        <v>6700</v>
      </c>
      <c r="K459" s="135">
        <v>-500</v>
      </c>
    </row>
    <row r="460" spans="1:11" x14ac:dyDescent="0.3">
      <c r="A460" s="135" t="s">
        <v>396</v>
      </c>
      <c r="B460" s="135" t="s">
        <v>433</v>
      </c>
      <c r="C460" s="135" t="s">
        <v>14</v>
      </c>
      <c r="D460" s="135" t="s">
        <v>2310</v>
      </c>
      <c r="E460" s="135">
        <v>26</v>
      </c>
      <c r="F460" s="135">
        <v>5100</v>
      </c>
      <c r="G460" s="135">
        <v>4800</v>
      </c>
      <c r="H460" s="135">
        <v>9.6</v>
      </c>
      <c r="I460" s="135">
        <v>-300</v>
      </c>
      <c r="J460" s="135">
        <v>5300</v>
      </c>
      <c r="K460" s="135">
        <v>-500</v>
      </c>
    </row>
    <row r="461" spans="1:11" x14ac:dyDescent="0.3">
      <c r="A461" s="135" t="s">
        <v>405</v>
      </c>
      <c r="B461" s="135" t="s">
        <v>6</v>
      </c>
      <c r="C461" s="135" t="s">
        <v>7</v>
      </c>
      <c r="D461" s="135" t="s">
        <v>2305</v>
      </c>
      <c r="E461" s="135">
        <v>25</v>
      </c>
      <c r="F461" s="135">
        <v>7900</v>
      </c>
      <c r="G461" s="135">
        <v>6600</v>
      </c>
      <c r="H461" s="135">
        <v>13.2</v>
      </c>
      <c r="I461" s="135">
        <v>-1300</v>
      </c>
      <c r="J461" s="135">
        <v>7100</v>
      </c>
      <c r="K461" s="135">
        <v>-500</v>
      </c>
    </row>
    <row r="462" spans="1:11" x14ac:dyDescent="0.3">
      <c r="A462" s="135" t="s">
        <v>396</v>
      </c>
      <c r="B462" s="135" t="s">
        <v>254</v>
      </c>
      <c r="C462" s="135" t="s">
        <v>22</v>
      </c>
      <c r="D462" s="135" t="s">
        <v>2296</v>
      </c>
      <c r="E462" s="135">
        <v>4</v>
      </c>
      <c r="F462" s="135">
        <v>4800</v>
      </c>
      <c r="G462" s="135">
        <v>3600</v>
      </c>
      <c r="H462" s="135">
        <v>7.2</v>
      </c>
      <c r="I462" s="135">
        <v>-1200</v>
      </c>
      <c r="J462" s="135">
        <v>4100</v>
      </c>
      <c r="K462" s="135">
        <v>-500</v>
      </c>
    </row>
    <row r="463" spans="1:11" x14ac:dyDescent="0.3">
      <c r="A463" s="135" t="s">
        <v>396</v>
      </c>
      <c r="B463" s="135" t="s">
        <v>208</v>
      </c>
      <c r="C463" s="135" t="s">
        <v>46</v>
      </c>
      <c r="D463" s="135" t="s">
        <v>26</v>
      </c>
      <c r="E463" s="135">
        <v>25</v>
      </c>
      <c r="F463" s="135">
        <v>7900</v>
      </c>
      <c r="G463" s="135">
        <v>7500</v>
      </c>
      <c r="H463" s="135">
        <v>15</v>
      </c>
      <c r="I463" s="135">
        <v>-400</v>
      </c>
      <c r="J463" s="135">
        <v>8000</v>
      </c>
      <c r="K463" s="135">
        <v>-500</v>
      </c>
    </row>
    <row r="464" spans="1:11" x14ac:dyDescent="0.3">
      <c r="A464" s="135" t="s">
        <v>396</v>
      </c>
      <c r="B464" s="135" t="s">
        <v>233</v>
      </c>
      <c r="C464" s="135" t="s">
        <v>401</v>
      </c>
      <c r="D464" s="135" t="s">
        <v>70</v>
      </c>
      <c r="E464" s="135">
        <v>2</v>
      </c>
      <c r="F464" s="135">
        <v>4400</v>
      </c>
      <c r="G464" s="135">
        <v>3400</v>
      </c>
      <c r="H464" s="135">
        <v>6.8</v>
      </c>
      <c r="I464" s="135">
        <v>-1000</v>
      </c>
      <c r="J464" s="135">
        <v>3900</v>
      </c>
      <c r="K464" s="135">
        <v>-500</v>
      </c>
    </row>
    <row r="465" spans="1:11" x14ac:dyDescent="0.3">
      <c r="A465" s="135" t="s">
        <v>396</v>
      </c>
      <c r="B465" s="135" t="s">
        <v>217</v>
      </c>
      <c r="C465" s="135" t="s">
        <v>401</v>
      </c>
      <c r="D465" s="135" t="s">
        <v>70</v>
      </c>
      <c r="E465" s="135">
        <v>2</v>
      </c>
      <c r="F465" s="135">
        <v>7400</v>
      </c>
      <c r="G465" s="135">
        <v>6500</v>
      </c>
      <c r="H465" s="135">
        <v>13</v>
      </c>
      <c r="I465" s="135">
        <v>-900</v>
      </c>
      <c r="J465" s="135">
        <v>7000</v>
      </c>
      <c r="K465" s="135">
        <v>-500</v>
      </c>
    </row>
    <row r="466" spans="1:11" x14ac:dyDescent="0.3">
      <c r="A466" s="135" t="s">
        <v>396</v>
      </c>
      <c r="B466" s="135" t="s">
        <v>207</v>
      </c>
      <c r="C466" s="135" t="s">
        <v>24</v>
      </c>
      <c r="D466" s="135" t="s">
        <v>409</v>
      </c>
      <c r="E466" s="135">
        <v>21</v>
      </c>
      <c r="F466" s="135">
        <v>5200</v>
      </c>
      <c r="G466" s="135">
        <v>4300</v>
      </c>
      <c r="H466" s="135">
        <v>8.6</v>
      </c>
      <c r="I466" s="135">
        <v>-900</v>
      </c>
      <c r="J466" s="135">
        <v>4800</v>
      </c>
      <c r="K466" s="135">
        <v>-500</v>
      </c>
    </row>
    <row r="467" spans="1:11" x14ac:dyDescent="0.3">
      <c r="A467" s="135" t="s">
        <v>396</v>
      </c>
      <c r="B467" s="135" t="s">
        <v>206</v>
      </c>
      <c r="C467" s="135" t="s">
        <v>404</v>
      </c>
      <c r="D467" s="135" t="s">
        <v>2308</v>
      </c>
      <c r="E467" s="135">
        <v>23</v>
      </c>
      <c r="F467" s="135">
        <v>7700</v>
      </c>
      <c r="G467" s="135">
        <v>7400</v>
      </c>
      <c r="H467" s="135">
        <v>14.8</v>
      </c>
      <c r="I467" s="135">
        <v>-300</v>
      </c>
      <c r="J467" s="135">
        <v>7900</v>
      </c>
      <c r="K467" s="135">
        <v>-500</v>
      </c>
    </row>
    <row r="468" spans="1:11" x14ac:dyDescent="0.3">
      <c r="A468" s="135" t="s">
        <v>396</v>
      </c>
      <c r="B468" s="135" t="s">
        <v>234</v>
      </c>
      <c r="C468" s="135" t="s">
        <v>52</v>
      </c>
      <c r="D468" s="135" t="s">
        <v>2309</v>
      </c>
      <c r="E468" s="135">
        <v>19</v>
      </c>
      <c r="F468" s="135">
        <v>8500</v>
      </c>
      <c r="G468" s="135">
        <v>7900</v>
      </c>
      <c r="H468" s="135">
        <v>15.8</v>
      </c>
      <c r="I468" s="135">
        <v>-600</v>
      </c>
      <c r="J468" s="135">
        <v>8400</v>
      </c>
      <c r="K468" s="135">
        <v>-500</v>
      </c>
    </row>
    <row r="469" spans="1:11" x14ac:dyDescent="0.3">
      <c r="A469" s="135" t="s">
        <v>396</v>
      </c>
      <c r="B469" s="135" t="s">
        <v>229</v>
      </c>
      <c r="C469" s="135" t="s">
        <v>20</v>
      </c>
      <c r="D469" s="135" t="s">
        <v>397</v>
      </c>
      <c r="E469" s="135">
        <v>11</v>
      </c>
      <c r="F469" s="135">
        <v>5400</v>
      </c>
      <c r="G469" s="135">
        <v>4100</v>
      </c>
      <c r="H469" s="135">
        <v>8.1999999999999993</v>
      </c>
      <c r="I469" s="135">
        <v>-1300</v>
      </c>
      <c r="J469" s="135">
        <v>4600</v>
      </c>
      <c r="K469" s="135">
        <v>-500</v>
      </c>
    </row>
    <row r="470" spans="1:11" x14ac:dyDescent="0.3">
      <c r="A470" s="135" t="s">
        <v>405</v>
      </c>
      <c r="B470" s="135" t="s">
        <v>13</v>
      </c>
      <c r="C470" s="135" t="s">
        <v>14</v>
      </c>
      <c r="D470" s="135" t="s">
        <v>2310</v>
      </c>
      <c r="E470" s="135">
        <v>21</v>
      </c>
      <c r="F470" s="135">
        <v>5000</v>
      </c>
      <c r="G470" s="135">
        <v>5000</v>
      </c>
      <c r="H470" s="135">
        <v>10</v>
      </c>
      <c r="I470" s="135">
        <v>0</v>
      </c>
      <c r="J470" s="135">
        <v>5600</v>
      </c>
      <c r="K470" s="135">
        <v>-600</v>
      </c>
    </row>
    <row r="471" spans="1:11" x14ac:dyDescent="0.3">
      <c r="A471" s="135" t="s">
        <v>405</v>
      </c>
      <c r="B471" s="135" t="s">
        <v>411</v>
      </c>
      <c r="C471" s="135" t="s">
        <v>34</v>
      </c>
      <c r="D471" s="135" t="s">
        <v>7</v>
      </c>
      <c r="E471" s="135">
        <v>8</v>
      </c>
      <c r="F471" s="135">
        <v>6500</v>
      </c>
      <c r="G471" s="135">
        <v>5300</v>
      </c>
      <c r="H471" s="135">
        <v>10.6</v>
      </c>
      <c r="I471" s="135">
        <v>-1200</v>
      </c>
      <c r="J471" s="135">
        <v>5900</v>
      </c>
      <c r="K471" s="135">
        <v>-600</v>
      </c>
    </row>
    <row r="472" spans="1:11" x14ac:dyDescent="0.3">
      <c r="A472" s="135" t="s">
        <v>396</v>
      </c>
      <c r="B472" s="135" t="s">
        <v>197</v>
      </c>
      <c r="C472" s="135" t="s">
        <v>34</v>
      </c>
      <c r="D472" s="135" t="s">
        <v>7</v>
      </c>
      <c r="E472" s="135">
        <v>1</v>
      </c>
      <c r="F472" s="135">
        <v>6600</v>
      </c>
      <c r="G472" s="135">
        <v>6300</v>
      </c>
      <c r="H472" s="135">
        <v>12.6</v>
      </c>
      <c r="I472" s="135">
        <v>-300</v>
      </c>
      <c r="J472" s="135">
        <v>6900</v>
      </c>
      <c r="K472" s="135">
        <v>-600</v>
      </c>
    </row>
    <row r="473" spans="1:11" x14ac:dyDescent="0.3">
      <c r="A473" s="135" t="s">
        <v>394</v>
      </c>
      <c r="B473" s="135" t="s">
        <v>100</v>
      </c>
      <c r="C473" s="135" t="s">
        <v>7</v>
      </c>
      <c r="D473" s="135" t="s">
        <v>2305</v>
      </c>
      <c r="E473" s="135">
        <v>2</v>
      </c>
      <c r="F473" s="135">
        <v>6000</v>
      </c>
      <c r="G473" s="135">
        <v>4900</v>
      </c>
      <c r="H473" s="135">
        <v>9.8000000000000007</v>
      </c>
      <c r="I473" s="135">
        <v>-1100</v>
      </c>
      <c r="J473" s="135">
        <v>5500</v>
      </c>
      <c r="K473" s="135">
        <v>-600</v>
      </c>
    </row>
    <row r="474" spans="1:11" x14ac:dyDescent="0.3">
      <c r="A474" s="135" t="s">
        <v>394</v>
      </c>
      <c r="B474" s="135" t="s">
        <v>137</v>
      </c>
      <c r="C474" s="135" t="s">
        <v>402</v>
      </c>
      <c r="D474" s="135" t="s">
        <v>10</v>
      </c>
      <c r="E474" s="135">
        <v>24</v>
      </c>
      <c r="F474" s="135">
        <v>3600</v>
      </c>
      <c r="G474" s="135">
        <v>3600</v>
      </c>
      <c r="H474" s="135">
        <v>7.2</v>
      </c>
      <c r="I474" s="135">
        <v>0</v>
      </c>
      <c r="J474" s="135">
        <v>4200</v>
      </c>
      <c r="K474" s="135">
        <v>-600</v>
      </c>
    </row>
    <row r="475" spans="1:11" x14ac:dyDescent="0.3">
      <c r="A475" s="135" t="s">
        <v>396</v>
      </c>
      <c r="B475" s="135" t="s">
        <v>198</v>
      </c>
      <c r="C475" s="135" t="s">
        <v>402</v>
      </c>
      <c r="D475" s="135" t="s">
        <v>10</v>
      </c>
      <c r="E475" s="135">
        <v>27</v>
      </c>
      <c r="F475" s="135">
        <v>6100</v>
      </c>
      <c r="G475" s="135">
        <v>5800</v>
      </c>
      <c r="H475" s="135">
        <v>11.6</v>
      </c>
      <c r="I475" s="135">
        <v>-300</v>
      </c>
      <c r="J475" s="135">
        <v>6400</v>
      </c>
      <c r="K475" s="135">
        <v>-600</v>
      </c>
    </row>
    <row r="476" spans="1:11" x14ac:dyDescent="0.3">
      <c r="A476" s="135" t="s">
        <v>396</v>
      </c>
      <c r="B476" s="135" t="s">
        <v>432</v>
      </c>
      <c r="C476" s="135" t="s">
        <v>46</v>
      </c>
      <c r="D476" s="135" t="s">
        <v>26</v>
      </c>
      <c r="E476" s="135">
        <v>25</v>
      </c>
      <c r="F476" s="135">
        <v>5200</v>
      </c>
      <c r="G476" s="135">
        <v>3400</v>
      </c>
      <c r="H476" s="135">
        <v>6.8</v>
      </c>
      <c r="I476" s="135">
        <v>-1800</v>
      </c>
      <c r="J476" s="135">
        <v>4000</v>
      </c>
      <c r="K476" s="135">
        <v>-600</v>
      </c>
    </row>
    <row r="477" spans="1:11" x14ac:dyDescent="0.3">
      <c r="A477" s="135" t="s">
        <v>405</v>
      </c>
      <c r="B477" s="135" t="s">
        <v>44</v>
      </c>
      <c r="C477" s="135" t="s">
        <v>401</v>
      </c>
      <c r="D477" s="135" t="s">
        <v>70</v>
      </c>
      <c r="E477" s="135">
        <v>6</v>
      </c>
      <c r="F477" s="135">
        <v>6600</v>
      </c>
      <c r="G477" s="135">
        <v>5400</v>
      </c>
      <c r="H477" s="135">
        <v>10.8</v>
      </c>
      <c r="I477" s="135">
        <v>-1200</v>
      </c>
      <c r="J477" s="135">
        <v>6000</v>
      </c>
      <c r="K477" s="135">
        <v>-600</v>
      </c>
    </row>
    <row r="478" spans="1:11" x14ac:dyDescent="0.3">
      <c r="A478" s="135" t="s">
        <v>396</v>
      </c>
      <c r="B478" s="135" t="s">
        <v>196</v>
      </c>
      <c r="C478" s="135" t="s">
        <v>10</v>
      </c>
      <c r="D478" s="135" t="s">
        <v>1992</v>
      </c>
      <c r="E478" s="135">
        <v>14</v>
      </c>
      <c r="F478" s="135">
        <v>6900</v>
      </c>
      <c r="G478" s="135">
        <v>5400</v>
      </c>
      <c r="H478" s="135">
        <v>10.8</v>
      </c>
      <c r="I478" s="135">
        <v>-1500</v>
      </c>
      <c r="J478" s="135">
        <v>6100</v>
      </c>
      <c r="K478" s="135">
        <v>-700</v>
      </c>
    </row>
    <row r="479" spans="1:11" x14ac:dyDescent="0.3">
      <c r="A479" s="135" t="s">
        <v>396</v>
      </c>
      <c r="B479" s="135" t="s">
        <v>219</v>
      </c>
      <c r="C479" s="135" t="s">
        <v>24</v>
      </c>
      <c r="D479" s="135" t="s">
        <v>409</v>
      </c>
      <c r="E479" s="135">
        <v>21</v>
      </c>
      <c r="F479" s="135">
        <v>5900</v>
      </c>
      <c r="G479" s="135">
        <v>5100</v>
      </c>
      <c r="H479" s="135">
        <v>10.199999999999999</v>
      </c>
      <c r="I479" s="135">
        <v>-800</v>
      </c>
      <c r="J479" s="135">
        <v>5800</v>
      </c>
      <c r="K479" s="135">
        <v>-700</v>
      </c>
    </row>
    <row r="480" spans="1:11" x14ac:dyDescent="0.3">
      <c r="A480" s="135" t="s">
        <v>394</v>
      </c>
      <c r="B480" s="135" t="s">
        <v>82</v>
      </c>
      <c r="C480" s="135" t="s">
        <v>4</v>
      </c>
      <c r="D480" s="135" t="s">
        <v>2297</v>
      </c>
      <c r="E480" s="135">
        <v>8</v>
      </c>
      <c r="F480" s="135">
        <v>5600</v>
      </c>
      <c r="G480" s="135">
        <v>4900</v>
      </c>
      <c r="H480" s="135">
        <v>9.8000000000000007</v>
      </c>
      <c r="I480" s="135">
        <v>-700</v>
      </c>
      <c r="J480" s="135">
        <v>5700</v>
      </c>
      <c r="K480" s="135">
        <v>-800</v>
      </c>
    </row>
    <row r="481" spans="1:11" x14ac:dyDescent="0.3">
      <c r="A481" s="135" t="s">
        <v>394</v>
      </c>
      <c r="B481" s="135" t="s">
        <v>106</v>
      </c>
      <c r="C481" s="135" t="s">
        <v>70</v>
      </c>
      <c r="D481" s="135" t="s">
        <v>2005</v>
      </c>
      <c r="E481" s="135">
        <v>22</v>
      </c>
      <c r="F481" s="135">
        <v>5900</v>
      </c>
      <c r="G481" s="135">
        <v>6500</v>
      </c>
      <c r="H481" s="135">
        <v>13</v>
      </c>
      <c r="I481" s="135">
        <v>600</v>
      </c>
      <c r="J481" s="135">
        <v>7300</v>
      </c>
      <c r="K481" s="135">
        <v>-800</v>
      </c>
    </row>
    <row r="482" spans="1:11" x14ac:dyDescent="0.3">
      <c r="A482" s="135" t="s">
        <v>405</v>
      </c>
      <c r="B482" s="135" t="s">
        <v>23</v>
      </c>
      <c r="C482" s="135" t="s">
        <v>24</v>
      </c>
      <c r="D482" s="135" t="s">
        <v>409</v>
      </c>
      <c r="E482" s="135">
        <v>20</v>
      </c>
      <c r="F482" s="135">
        <v>7100</v>
      </c>
      <c r="G482" s="135">
        <v>6300</v>
      </c>
      <c r="H482" s="135">
        <v>12.6</v>
      </c>
      <c r="I482" s="135">
        <v>-800</v>
      </c>
      <c r="J482" s="135">
        <v>7200</v>
      </c>
      <c r="K482" s="135">
        <v>-900</v>
      </c>
    </row>
    <row r="483" spans="1:11" x14ac:dyDescent="0.3">
      <c r="A483" s="135" t="s">
        <v>405</v>
      </c>
      <c r="B483" s="135" t="s">
        <v>36</v>
      </c>
      <c r="C483" s="135" t="s">
        <v>37</v>
      </c>
      <c r="D483" s="135" t="s">
        <v>2304</v>
      </c>
      <c r="E483" s="135">
        <v>10</v>
      </c>
      <c r="F483" s="135">
        <v>7500</v>
      </c>
      <c r="G483" s="135">
        <v>6100</v>
      </c>
      <c r="H483" s="135">
        <v>12.2</v>
      </c>
      <c r="I483" s="135">
        <v>-1400</v>
      </c>
      <c r="J483" s="135">
        <v>7000</v>
      </c>
      <c r="K483" s="135">
        <v>-900</v>
      </c>
    </row>
    <row r="484" spans="1:11" x14ac:dyDescent="0.3">
      <c r="A484" s="135" t="s">
        <v>394</v>
      </c>
      <c r="B484" s="135" t="s">
        <v>92</v>
      </c>
      <c r="C484" s="135" t="s">
        <v>12</v>
      </c>
      <c r="D484" s="135" t="s">
        <v>16</v>
      </c>
      <c r="E484" s="135">
        <v>28</v>
      </c>
      <c r="F484" s="135">
        <v>4100</v>
      </c>
      <c r="G484" s="135">
        <v>4600</v>
      </c>
      <c r="H484" s="135">
        <v>9.1999999999999993</v>
      </c>
      <c r="I484" s="135">
        <v>500</v>
      </c>
      <c r="J484" s="135">
        <v>5600</v>
      </c>
      <c r="K484" s="135">
        <v>-1000</v>
      </c>
    </row>
    <row r="485" spans="1:11" x14ac:dyDescent="0.3">
      <c r="A485" s="135" t="s">
        <v>399</v>
      </c>
      <c r="B485" s="135" t="s">
        <v>336</v>
      </c>
      <c r="C485" s="135" t="s">
        <v>402</v>
      </c>
      <c r="D485" s="135" t="s">
        <v>10</v>
      </c>
      <c r="E485" s="135">
        <v>11</v>
      </c>
      <c r="F485" s="135">
        <v>3400</v>
      </c>
      <c r="G485" s="135">
        <v>3500</v>
      </c>
      <c r="H485" s="135">
        <v>7</v>
      </c>
      <c r="I485" s="135">
        <v>100</v>
      </c>
      <c r="J485" s="135">
        <v>4700</v>
      </c>
      <c r="K485" s="135">
        <v>-1200</v>
      </c>
    </row>
    <row r="486" spans="1:11" x14ac:dyDescent="0.3">
      <c r="A486" s="135" t="s">
        <v>394</v>
      </c>
      <c r="B486" s="135" t="s">
        <v>88</v>
      </c>
      <c r="C486" s="135" t="s">
        <v>20</v>
      </c>
      <c r="D486" s="135" t="s">
        <v>397</v>
      </c>
      <c r="E486" s="135">
        <v>20</v>
      </c>
      <c r="F486" s="135">
        <v>7000</v>
      </c>
      <c r="G486" s="135">
        <v>6200</v>
      </c>
      <c r="H486" s="135">
        <v>12.4</v>
      </c>
      <c r="I486" s="135">
        <v>-800</v>
      </c>
      <c r="J486" s="135">
        <v>7500</v>
      </c>
      <c r="K486" s="135">
        <v>-1300</v>
      </c>
    </row>
    <row r="487" spans="1:11" x14ac:dyDescent="0.3">
      <c r="A487" s="135"/>
      <c r="B487" s="135"/>
      <c r="C487" s="135"/>
      <c r="D487" s="135"/>
      <c r="E487" s="135"/>
      <c r="F487" s="135"/>
      <c r="G487" s="135"/>
      <c r="H487" s="135"/>
      <c r="I487" s="135"/>
      <c r="J487" s="135"/>
      <c r="K487" s="135"/>
    </row>
    <row r="488" spans="1:11" x14ac:dyDescent="0.3">
      <c r="A488" s="135"/>
      <c r="B488" s="135"/>
      <c r="C488" s="135"/>
      <c r="D488" s="135"/>
      <c r="E488" s="135"/>
      <c r="F488" s="135"/>
      <c r="G488" s="135"/>
      <c r="H488" s="135"/>
      <c r="I488" s="135"/>
      <c r="J488" s="135"/>
      <c r="K488" s="135"/>
    </row>
    <row r="489" spans="1:11" x14ac:dyDescent="0.3">
      <c r="A489" s="135"/>
      <c r="B489" s="135"/>
      <c r="C489" s="135"/>
      <c r="D489" s="135"/>
      <c r="E489" s="135"/>
      <c r="F489" s="135"/>
      <c r="G489" s="135"/>
      <c r="H489" s="135"/>
      <c r="I489" s="135"/>
      <c r="J489" s="135"/>
      <c r="K489" s="135"/>
    </row>
    <row r="490" spans="1:11" x14ac:dyDescent="0.3">
      <c r="A490" s="135"/>
      <c r="B490" s="135"/>
      <c r="C490" s="135"/>
      <c r="D490" s="135"/>
      <c r="E490" s="135"/>
      <c r="F490" s="135"/>
      <c r="G490" s="135"/>
      <c r="H490" s="135"/>
      <c r="I490" s="135"/>
      <c r="J490" s="135"/>
      <c r="K490" s="135"/>
    </row>
    <row r="491" spans="1:11" x14ac:dyDescent="0.3">
      <c r="A491" s="135"/>
      <c r="B491" s="135"/>
      <c r="C491" s="135"/>
      <c r="D491" s="135"/>
      <c r="E491" s="135"/>
      <c r="F491" s="135"/>
      <c r="G491" s="135"/>
      <c r="H491" s="135"/>
      <c r="I491" s="135"/>
      <c r="J491" s="135"/>
      <c r="K491" s="135"/>
    </row>
    <row r="492" spans="1:11" x14ac:dyDescent="0.3">
      <c r="A492" s="135"/>
      <c r="B492" s="135"/>
      <c r="C492" s="135"/>
      <c r="D492" s="135"/>
      <c r="E492" s="135"/>
      <c r="F492" s="135"/>
      <c r="G492" s="135"/>
      <c r="H492" s="135"/>
      <c r="I492" s="135"/>
      <c r="J492" s="135"/>
      <c r="K492" s="135"/>
    </row>
    <row r="493" spans="1:11" x14ac:dyDescent="0.3">
      <c r="A493" s="135"/>
      <c r="B493" s="135"/>
      <c r="C493" s="135"/>
      <c r="D493" s="135"/>
      <c r="E493" s="135"/>
      <c r="F493" s="135"/>
      <c r="G493" s="135"/>
      <c r="H493" s="135"/>
      <c r="I493" s="135"/>
      <c r="J493" s="135"/>
      <c r="K493" s="135"/>
    </row>
    <row r="494" spans="1:11" x14ac:dyDescent="0.3">
      <c r="A494" s="135"/>
      <c r="B494" s="135"/>
      <c r="C494" s="135"/>
      <c r="D494" s="135"/>
      <c r="E494" s="135"/>
      <c r="F494" s="135"/>
      <c r="G494" s="135"/>
      <c r="H494" s="135"/>
      <c r="I494" s="135"/>
      <c r="J494" s="135"/>
      <c r="K494" s="135"/>
    </row>
    <row r="495" spans="1:11" x14ac:dyDescent="0.3">
      <c r="A495" s="135"/>
      <c r="B495" s="135"/>
      <c r="C495" s="135"/>
      <c r="D495" s="135"/>
      <c r="E495" s="135"/>
      <c r="F495" s="135"/>
      <c r="G495" s="135"/>
      <c r="H495" s="135"/>
      <c r="I495" s="135"/>
      <c r="J495" s="135"/>
      <c r="K495" s="135"/>
    </row>
    <row r="496" spans="1:11" x14ac:dyDescent="0.3">
      <c r="A496" s="135"/>
      <c r="B496" s="135"/>
      <c r="C496" s="135"/>
      <c r="D496" s="135"/>
      <c r="E496" s="135"/>
      <c r="F496" s="135"/>
      <c r="G496" s="135"/>
      <c r="H496" s="135"/>
      <c r="I496" s="135"/>
      <c r="J496" s="135"/>
      <c r="K496" s="135"/>
    </row>
    <row r="497" spans="1:11" x14ac:dyDescent="0.3">
      <c r="A497" s="135"/>
      <c r="B497" s="135"/>
      <c r="C497" s="135"/>
      <c r="D497" s="135"/>
      <c r="E497" s="135"/>
      <c r="F497" s="135"/>
      <c r="G497" s="135"/>
      <c r="H497" s="135"/>
      <c r="I497" s="135"/>
      <c r="J497" s="135"/>
      <c r="K497" s="135"/>
    </row>
    <row r="498" spans="1:11" x14ac:dyDescent="0.3">
      <c r="A498" s="135"/>
      <c r="B498" s="135"/>
      <c r="C498" s="135"/>
      <c r="D498" s="135"/>
      <c r="E498" s="135"/>
      <c r="F498" s="135"/>
      <c r="G498" s="135"/>
      <c r="H498" s="135"/>
      <c r="I498" s="135"/>
      <c r="J498" s="135"/>
      <c r="K498" s="135"/>
    </row>
    <row r="499" spans="1:11" x14ac:dyDescent="0.3">
      <c r="A499" s="135"/>
      <c r="B499" s="135"/>
      <c r="C499" s="135"/>
      <c r="D499" s="135"/>
      <c r="E499" s="135"/>
      <c r="F499" s="135"/>
      <c r="G499" s="135"/>
      <c r="H499" s="135"/>
      <c r="I499" s="135"/>
      <c r="J499" s="135"/>
      <c r="K499" s="135"/>
    </row>
    <row r="500" spans="1:11" x14ac:dyDescent="0.3">
      <c r="A500" s="135"/>
      <c r="B500" s="135"/>
      <c r="C500" s="135"/>
      <c r="D500" s="135"/>
      <c r="E500" s="135"/>
      <c r="F500" s="135"/>
      <c r="G500" s="135"/>
      <c r="H500" s="135"/>
      <c r="I500" s="135"/>
      <c r="J500" s="135"/>
      <c r="K500" s="135"/>
    </row>
    <row r="501" spans="1:11" x14ac:dyDescent="0.3">
      <c r="A501" s="135"/>
      <c r="B501" s="135"/>
      <c r="C501" s="135"/>
      <c r="D501" s="135"/>
      <c r="E501" s="135"/>
      <c r="F501" s="135"/>
      <c r="G501" s="135"/>
      <c r="H501" s="135"/>
      <c r="I501" s="135"/>
      <c r="J501" s="135"/>
      <c r="K501" s="135"/>
    </row>
    <row r="502" spans="1:11" x14ac:dyDescent="0.3">
      <c r="A502" s="135"/>
      <c r="B502" s="135"/>
      <c r="C502" s="135"/>
      <c r="D502" s="135"/>
      <c r="E502" s="135"/>
      <c r="F502" s="135"/>
      <c r="G502" s="135"/>
      <c r="H502" s="135"/>
      <c r="I502" s="135"/>
      <c r="J502" s="135"/>
      <c r="K502" s="135"/>
    </row>
    <row r="503" spans="1:11" x14ac:dyDescent="0.3">
      <c r="A503" s="135"/>
      <c r="B503" s="135"/>
      <c r="C503" s="135"/>
      <c r="D503" s="135"/>
      <c r="E503" s="135"/>
      <c r="F503" s="135"/>
      <c r="G503" s="135"/>
      <c r="H503" s="135"/>
      <c r="I503" s="135"/>
      <c r="J503" s="135"/>
      <c r="K503" s="135"/>
    </row>
    <row r="504" spans="1:11" x14ac:dyDescent="0.3">
      <c r="A504" s="135"/>
      <c r="B504" s="135"/>
      <c r="C504" s="135"/>
      <c r="D504" s="135"/>
      <c r="E504" s="135"/>
      <c r="F504" s="135"/>
      <c r="G504" s="135"/>
      <c r="H504" s="135"/>
      <c r="I504" s="135"/>
      <c r="J504" s="135"/>
      <c r="K504" s="135"/>
    </row>
    <row r="505" spans="1:11" x14ac:dyDescent="0.3">
      <c r="A505" s="135"/>
      <c r="B505" s="135"/>
      <c r="C505" s="135"/>
      <c r="D505" s="135"/>
      <c r="E505" s="135"/>
      <c r="F505" s="135"/>
      <c r="G505" s="135"/>
      <c r="H505" s="135"/>
      <c r="I505" s="135"/>
      <c r="J505" s="135"/>
      <c r="K505" s="135"/>
    </row>
    <row r="506" spans="1:11" x14ac:dyDescent="0.3">
      <c r="A506" s="135"/>
      <c r="B506" s="135"/>
      <c r="C506" s="135"/>
      <c r="D506" s="135"/>
      <c r="E506" s="135"/>
      <c r="F506" s="135"/>
      <c r="G506" s="135"/>
      <c r="H506" s="135"/>
      <c r="I506" s="135"/>
      <c r="J506" s="135"/>
      <c r="K506" s="135"/>
    </row>
    <row r="507" spans="1:11" x14ac:dyDescent="0.3">
      <c r="A507" s="135"/>
      <c r="B507" s="135"/>
      <c r="C507" s="135"/>
      <c r="D507" s="135"/>
      <c r="E507" s="135"/>
      <c r="F507" s="135"/>
      <c r="G507" s="135"/>
      <c r="H507" s="135"/>
      <c r="I507" s="135"/>
      <c r="J507" s="135"/>
      <c r="K507" s="135"/>
    </row>
    <row r="508" spans="1:11" x14ac:dyDescent="0.3">
      <c r="A508" s="135"/>
      <c r="B508" s="135"/>
      <c r="C508" s="135"/>
      <c r="D508" s="135"/>
      <c r="E508" s="135"/>
      <c r="F508" s="135"/>
      <c r="G508" s="135"/>
      <c r="H508" s="135"/>
      <c r="I508" s="135"/>
      <c r="J508" s="135"/>
      <c r="K508" s="135"/>
    </row>
    <row r="509" spans="1:11" x14ac:dyDescent="0.3">
      <c r="A509" s="135"/>
      <c r="B509" s="135"/>
      <c r="C509" s="135"/>
      <c r="D509" s="135"/>
      <c r="E509" s="135"/>
      <c r="F509" s="135"/>
      <c r="G509" s="135"/>
      <c r="H509" s="135"/>
      <c r="I509" s="135"/>
      <c r="J509" s="135"/>
      <c r="K509" s="135"/>
    </row>
    <row r="510" spans="1:11" x14ac:dyDescent="0.3">
      <c r="A510" s="135"/>
      <c r="B510" s="135"/>
      <c r="C510" s="135"/>
      <c r="D510" s="135"/>
      <c r="E510" s="135"/>
      <c r="F510" s="135"/>
      <c r="G510" s="135"/>
      <c r="H510" s="135"/>
      <c r="I510" s="135"/>
      <c r="J510" s="135"/>
      <c r="K510" s="135"/>
    </row>
    <row r="511" spans="1:11" x14ac:dyDescent="0.3">
      <c r="A511" s="135"/>
      <c r="B511" s="135"/>
      <c r="C511" s="135"/>
      <c r="D511" s="135"/>
      <c r="E511" s="135"/>
      <c r="F511" s="135"/>
      <c r="G511" s="135"/>
      <c r="H511" s="135"/>
      <c r="I511" s="135"/>
      <c r="J511" s="135"/>
      <c r="K511" s="135"/>
    </row>
    <row r="512" spans="1:11" x14ac:dyDescent="0.3">
      <c r="A512" s="135"/>
      <c r="B512" s="135"/>
      <c r="C512" s="135"/>
      <c r="D512" s="135"/>
      <c r="E512" s="135"/>
      <c r="F512" s="135"/>
      <c r="G512" s="135"/>
      <c r="H512" s="135"/>
      <c r="I512" s="135"/>
      <c r="J512" s="135"/>
      <c r="K512" s="135"/>
    </row>
    <row r="513" spans="1:11" x14ac:dyDescent="0.3">
      <c r="A513" s="135"/>
      <c r="B513" s="135"/>
      <c r="C513" s="135"/>
      <c r="D513" s="135"/>
      <c r="E513" s="135"/>
      <c r="F513" s="135"/>
      <c r="G513" s="135"/>
      <c r="H513" s="135"/>
      <c r="I513" s="135"/>
      <c r="J513" s="135"/>
      <c r="K513" s="135"/>
    </row>
    <row r="514" spans="1:11" x14ac:dyDescent="0.3">
      <c r="A514" s="135"/>
      <c r="B514" s="135"/>
      <c r="C514" s="135"/>
      <c r="D514" s="135"/>
      <c r="E514" s="135"/>
      <c r="F514" s="135"/>
      <c r="G514" s="135"/>
      <c r="H514" s="135"/>
      <c r="I514" s="135"/>
      <c r="J514" s="135"/>
      <c r="K514" s="135"/>
    </row>
    <row r="515" spans="1:11" x14ac:dyDescent="0.3">
      <c r="A515" s="135"/>
      <c r="B515" s="135"/>
      <c r="C515" s="135"/>
      <c r="D515" s="135"/>
      <c r="E515" s="135"/>
      <c r="F515" s="135"/>
      <c r="G515" s="135"/>
      <c r="H515" s="135"/>
      <c r="I515" s="135"/>
      <c r="J515" s="135"/>
      <c r="K515" s="135"/>
    </row>
    <row r="516" spans="1:11" x14ac:dyDescent="0.3">
      <c r="A516" s="135"/>
      <c r="B516" s="135"/>
      <c r="C516" s="135"/>
      <c r="D516" s="135"/>
      <c r="E516" s="135"/>
      <c r="F516" s="135"/>
      <c r="G516" s="135"/>
      <c r="H516" s="135"/>
      <c r="I516" s="135"/>
      <c r="J516" s="135"/>
      <c r="K516" s="135"/>
    </row>
    <row r="517" spans="1:11" x14ac:dyDescent="0.3">
      <c r="A517" s="135"/>
      <c r="B517" s="135"/>
      <c r="C517" s="135"/>
      <c r="D517" s="135"/>
      <c r="E517" s="135"/>
      <c r="F517" s="135"/>
      <c r="G517" s="135"/>
      <c r="H517" s="135"/>
      <c r="I517" s="135"/>
      <c r="J517" s="135"/>
      <c r="K517" s="135"/>
    </row>
    <row r="518" spans="1:11" x14ac:dyDescent="0.3">
      <c r="A518" s="135"/>
      <c r="B518" s="135"/>
      <c r="C518" s="135"/>
      <c r="D518" s="135"/>
      <c r="E518" s="135"/>
      <c r="F518" s="135"/>
      <c r="G518" s="135"/>
      <c r="H518" s="135"/>
      <c r="I518" s="135"/>
      <c r="J518" s="135"/>
      <c r="K518" s="135"/>
    </row>
    <row r="519" spans="1:11" x14ac:dyDescent="0.3">
      <c r="A519" s="135"/>
      <c r="B519" s="135"/>
      <c r="C519" s="135"/>
      <c r="D519" s="135"/>
      <c r="E519" s="135"/>
      <c r="F519" s="135"/>
      <c r="G519" s="135"/>
      <c r="H519" s="135"/>
      <c r="I519" s="135"/>
      <c r="J519" s="135"/>
      <c r="K519" s="135"/>
    </row>
    <row r="520" spans="1:11" x14ac:dyDescent="0.3">
      <c r="A520" s="135"/>
      <c r="B520" s="135"/>
      <c r="C520" s="135"/>
      <c r="D520" s="135"/>
      <c r="E520" s="135"/>
      <c r="F520" s="135"/>
      <c r="G520" s="135"/>
      <c r="H520" s="135"/>
      <c r="I520" s="135"/>
      <c r="J520" s="135"/>
      <c r="K520" s="135"/>
    </row>
    <row r="521" spans="1:11" x14ac:dyDescent="0.3">
      <c r="A521" s="135"/>
      <c r="B521" s="135"/>
      <c r="C521" s="135"/>
      <c r="D521" s="135"/>
      <c r="E521" s="135"/>
      <c r="F521" s="135"/>
      <c r="G521" s="135"/>
      <c r="H521" s="135"/>
      <c r="I521" s="135"/>
      <c r="J521" s="135"/>
      <c r="K521" s="135"/>
    </row>
    <row r="522" spans="1:11" x14ac:dyDescent="0.3">
      <c r="A522" s="135"/>
      <c r="B522" s="135"/>
      <c r="C522" s="135"/>
      <c r="D522" s="135"/>
      <c r="E522" s="135"/>
      <c r="F522" s="135"/>
      <c r="G522" s="135"/>
      <c r="H522" s="135"/>
      <c r="I522" s="135"/>
      <c r="J522" s="135"/>
      <c r="K522" s="135"/>
    </row>
    <row r="523" spans="1:11" x14ac:dyDescent="0.3">
      <c r="A523" s="135"/>
      <c r="B523" s="135"/>
      <c r="C523" s="135"/>
      <c r="D523" s="135"/>
      <c r="E523" s="135"/>
      <c r="F523" s="135"/>
      <c r="G523" s="135"/>
      <c r="H523" s="135"/>
      <c r="I523" s="135"/>
      <c r="J523" s="135"/>
      <c r="K523" s="135"/>
    </row>
    <row r="524" spans="1:11" x14ac:dyDescent="0.3">
      <c r="A524" s="135"/>
      <c r="B524" s="135"/>
      <c r="C524" s="135"/>
      <c r="D524" s="135"/>
      <c r="E524" s="135"/>
      <c r="F524" s="135"/>
      <c r="G524" s="135"/>
      <c r="H524" s="135"/>
      <c r="I524" s="135"/>
      <c r="J524" s="135"/>
      <c r="K524" s="13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CFA7A"/>
  </sheetPr>
  <dimension ref="A1:CA346"/>
  <sheetViews>
    <sheetView workbookViewId="0"/>
  </sheetViews>
  <sheetFormatPr defaultColWidth="9.109375" defaultRowHeight="14.4" x14ac:dyDescent="0.3"/>
  <cols>
    <col min="1" max="1" width="2.77734375" style="12" customWidth="1"/>
    <col min="2" max="2" width="20" style="1" bestFit="1" customWidth="1"/>
    <col min="3" max="6" width="11.5546875" style="4" customWidth="1"/>
    <col min="7" max="7" width="2.77734375" style="4" customWidth="1"/>
    <col min="8" max="8" width="16.44140625" style="1" bestFit="1" customWidth="1"/>
    <col min="9" max="9" width="11.88671875" style="4" bestFit="1" customWidth="1"/>
    <col min="10" max="12" width="11.88671875" style="4" customWidth="1"/>
    <col min="13" max="13" width="2.77734375" style="4" customWidth="1"/>
    <col min="14" max="14" width="18.21875" style="1" bestFit="1" customWidth="1"/>
    <col min="15" max="15" width="11.88671875" style="4" bestFit="1" customWidth="1"/>
    <col min="16" max="18" width="11.88671875" style="4" customWidth="1"/>
    <col min="19" max="19" width="2.77734375" style="4" customWidth="1"/>
    <col min="20" max="20" width="16.5546875" style="1" bestFit="1" customWidth="1"/>
    <col min="21" max="21" width="11.88671875" style="4" bestFit="1" customWidth="1"/>
    <col min="22" max="24" width="11.88671875" style="4" customWidth="1"/>
    <col min="25" max="25" width="2.77734375" style="4" customWidth="1"/>
    <col min="26" max="26" width="19.77734375" style="108" bestFit="1" customWidth="1"/>
    <col min="27" max="27" width="11.88671875" style="4" bestFit="1" customWidth="1"/>
    <col min="28" max="30" width="11.88671875" style="4" customWidth="1"/>
    <col min="31" max="31" width="2.77734375" style="4" customWidth="1"/>
    <col min="32" max="32" width="20" style="108" bestFit="1" customWidth="1"/>
    <col min="33" max="33" width="11.88671875" style="4" bestFit="1" customWidth="1"/>
    <col min="34" max="36" width="11.88671875" style="4" customWidth="1"/>
    <col min="37" max="37" width="2.77734375" style="4" customWidth="1"/>
    <col min="38" max="16384" width="9.109375" style="4"/>
  </cols>
  <sheetData>
    <row r="1" spans="1:79" x14ac:dyDescent="0.3">
      <c r="B1" s="104"/>
      <c r="C1" s="12"/>
      <c r="D1" s="252"/>
      <c r="E1" s="12"/>
      <c r="F1" s="252"/>
      <c r="G1" s="12"/>
      <c r="H1" s="104"/>
      <c r="I1" s="12"/>
      <c r="J1" s="252"/>
      <c r="K1" s="12"/>
      <c r="L1" s="252"/>
      <c r="M1" s="12"/>
      <c r="N1" s="104"/>
      <c r="O1" s="12"/>
      <c r="P1" s="252"/>
      <c r="Q1" s="12"/>
      <c r="R1" s="252"/>
      <c r="S1" s="12"/>
      <c r="T1" s="104"/>
      <c r="U1" s="12"/>
      <c r="V1" s="252"/>
      <c r="W1" s="12"/>
      <c r="X1" s="252"/>
      <c r="Y1" s="12"/>
      <c r="Z1" s="104"/>
      <c r="AA1" s="12"/>
      <c r="AB1" s="252"/>
      <c r="AC1" s="12"/>
      <c r="AD1" s="252"/>
      <c r="AE1" s="12"/>
      <c r="AF1" s="104"/>
      <c r="AG1" s="12"/>
      <c r="AH1" s="252"/>
      <c r="AI1" s="12"/>
      <c r="AJ1" s="252"/>
      <c r="AK1" s="12"/>
      <c r="AL1" s="104"/>
      <c r="AM1" s="12"/>
      <c r="AN1" s="252"/>
      <c r="AO1" s="12"/>
      <c r="AP1" s="25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row>
    <row r="2" spans="1:79" x14ac:dyDescent="0.3">
      <c r="B2" s="104"/>
      <c r="C2" s="12"/>
      <c r="D2" s="252"/>
      <c r="E2" s="12"/>
      <c r="F2" s="252"/>
      <c r="G2" s="12"/>
      <c r="H2" s="104"/>
      <c r="I2" s="12"/>
      <c r="J2" s="252"/>
      <c r="K2" s="12"/>
      <c r="L2" s="252"/>
      <c r="M2" s="12"/>
      <c r="N2" s="104"/>
      <c r="O2" s="12"/>
      <c r="P2" s="252"/>
      <c r="Q2" s="12"/>
      <c r="R2" s="252"/>
      <c r="S2" s="12"/>
      <c r="T2" s="104"/>
      <c r="U2" s="12"/>
      <c r="V2" s="252"/>
      <c r="W2" s="12"/>
      <c r="X2" s="252"/>
      <c r="Y2" s="12"/>
      <c r="Z2" s="104"/>
      <c r="AA2" s="12"/>
      <c r="AB2" s="252"/>
      <c r="AC2" s="12"/>
      <c r="AD2" s="252"/>
      <c r="AE2" s="12"/>
      <c r="AF2" s="104"/>
      <c r="AG2" s="12"/>
      <c r="AH2" s="252"/>
      <c r="AI2" s="12"/>
      <c r="AJ2" s="252"/>
      <c r="AK2" s="12"/>
      <c r="AL2" s="104"/>
      <c r="AM2" s="12"/>
      <c r="AN2" s="252"/>
      <c r="AO2" s="12"/>
      <c r="AP2" s="25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row>
    <row r="3" spans="1:79" x14ac:dyDescent="0.3">
      <c r="B3" s="104"/>
      <c r="C3" s="12"/>
      <c r="D3" s="252"/>
      <c r="E3" s="12"/>
      <c r="F3" s="252"/>
      <c r="G3" s="12"/>
      <c r="H3" s="104"/>
      <c r="I3" s="12"/>
      <c r="J3" s="252"/>
      <c r="K3" s="12"/>
      <c r="L3" s="252"/>
      <c r="M3" s="12"/>
      <c r="N3" s="104"/>
      <c r="O3" s="12"/>
      <c r="P3" s="252"/>
      <c r="Q3" s="12"/>
      <c r="R3" s="252"/>
      <c r="S3" s="12"/>
      <c r="T3" s="104"/>
      <c r="U3" s="12"/>
      <c r="V3" s="252"/>
      <c r="W3" s="12"/>
      <c r="X3" s="252"/>
      <c r="Y3" s="12"/>
      <c r="Z3" s="104"/>
      <c r="AA3" s="12"/>
      <c r="AB3" s="252"/>
      <c r="AC3" s="12"/>
      <c r="AD3" s="252"/>
      <c r="AE3" s="12"/>
      <c r="AF3" s="104"/>
      <c r="AG3" s="12"/>
      <c r="AH3" s="252"/>
      <c r="AI3" s="12"/>
      <c r="AJ3" s="252"/>
      <c r="AK3" s="12"/>
      <c r="AL3" s="104"/>
      <c r="AM3" s="12"/>
      <c r="AN3" s="252"/>
      <c r="AO3" s="12"/>
      <c r="AP3" s="25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row>
    <row r="4" spans="1:79" x14ac:dyDescent="0.3">
      <c r="B4" s="516" t="s">
        <v>414</v>
      </c>
      <c r="C4" s="516"/>
      <c r="D4" s="516"/>
      <c r="E4" s="12"/>
      <c r="F4" s="252"/>
      <c r="G4" s="12"/>
      <c r="H4" s="104"/>
      <c r="I4" s="12"/>
      <c r="J4" s="252"/>
      <c r="K4" s="12"/>
      <c r="L4" s="252"/>
      <c r="M4" s="12"/>
      <c r="N4" s="104"/>
      <c r="O4" s="12"/>
      <c r="P4" s="252"/>
      <c r="Q4" s="12"/>
      <c r="R4" s="252"/>
      <c r="S4" s="12"/>
      <c r="T4" s="104"/>
      <c r="U4" s="12"/>
      <c r="V4" s="252"/>
      <c r="W4" s="12"/>
      <c r="X4" s="252"/>
      <c r="Y4" s="12"/>
      <c r="Z4" s="104"/>
      <c r="AA4" s="12"/>
      <c r="AB4" s="252"/>
      <c r="AC4" s="12"/>
      <c r="AD4" s="252"/>
      <c r="AE4" s="12"/>
      <c r="AF4" s="104"/>
      <c r="AG4" s="12"/>
      <c r="AH4" s="252"/>
      <c r="AI4" s="12"/>
      <c r="AJ4" s="252"/>
      <c r="AK4" s="12"/>
      <c r="AL4" s="104"/>
      <c r="AM4" s="12"/>
      <c r="AN4" s="252"/>
      <c r="AO4" s="12"/>
      <c r="AP4" s="25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row>
    <row r="5" spans="1:79" x14ac:dyDescent="0.3">
      <c r="B5" s="318"/>
      <c r="C5" s="318"/>
      <c r="D5" s="318"/>
      <c r="E5" s="12"/>
      <c r="F5" s="252"/>
      <c r="G5" s="12"/>
      <c r="H5" s="104"/>
      <c r="I5" s="12"/>
      <c r="J5" s="252"/>
      <c r="K5" s="12"/>
      <c r="L5" s="252"/>
      <c r="M5" s="12"/>
      <c r="N5" s="104"/>
      <c r="O5" s="12"/>
      <c r="P5" s="252"/>
      <c r="Q5" s="12"/>
      <c r="R5" s="252"/>
      <c r="S5" s="12"/>
      <c r="T5" s="104"/>
      <c r="U5" s="12"/>
      <c r="V5" s="252"/>
      <c r="W5" s="12"/>
      <c r="X5" s="252"/>
      <c r="Y5" s="12"/>
      <c r="Z5" s="104"/>
      <c r="AA5" s="12"/>
      <c r="AB5" s="252"/>
      <c r="AC5" s="12"/>
      <c r="AD5" s="252"/>
      <c r="AE5" s="12"/>
      <c r="AF5" s="104"/>
      <c r="AG5" s="12"/>
      <c r="AH5" s="252"/>
      <c r="AI5" s="12"/>
      <c r="AJ5" s="252"/>
      <c r="AK5" s="12"/>
      <c r="AL5" s="104"/>
      <c r="AM5" s="12"/>
      <c r="AN5" s="252"/>
      <c r="AO5" s="12"/>
      <c r="AP5" s="25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row>
    <row r="6" spans="1:79" x14ac:dyDescent="0.3">
      <c r="B6" s="517" t="s">
        <v>2590</v>
      </c>
      <c r="C6" s="517"/>
      <c r="D6" s="517"/>
      <c r="E6" s="12"/>
      <c r="F6" s="252"/>
      <c r="G6" s="12"/>
      <c r="H6" s="104"/>
      <c r="I6" s="12"/>
      <c r="J6" s="252"/>
      <c r="K6" s="12"/>
      <c r="L6" s="252"/>
      <c r="M6" s="12"/>
      <c r="N6" s="104"/>
      <c r="O6" s="12"/>
      <c r="P6" s="252"/>
      <c r="Q6" s="12"/>
      <c r="R6" s="252"/>
      <c r="S6" s="12"/>
      <c r="T6" s="104"/>
      <c r="U6" s="12"/>
      <c r="V6" s="252"/>
      <c r="W6" s="12"/>
      <c r="X6" s="252"/>
      <c r="Y6" s="12"/>
      <c r="Z6" s="104"/>
      <c r="AA6" s="12"/>
      <c r="AB6" s="252"/>
      <c r="AC6" s="12"/>
      <c r="AD6" s="252"/>
      <c r="AE6" s="12"/>
      <c r="AF6" s="104"/>
      <c r="AG6" s="12"/>
      <c r="AH6" s="252"/>
      <c r="AI6" s="12"/>
      <c r="AJ6" s="252"/>
      <c r="AK6" s="12"/>
      <c r="AL6" s="104"/>
      <c r="AM6" s="156"/>
      <c r="AN6" s="339"/>
      <c r="AO6" s="156"/>
      <c r="AP6" s="339"/>
      <c r="AQ6" s="156"/>
      <c r="AR6" s="156"/>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row>
    <row r="7" spans="1:79" x14ac:dyDescent="0.3">
      <c r="B7" s="104"/>
      <c r="C7" s="12"/>
      <c r="D7" s="252"/>
      <c r="E7" s="12"/>
      <c r="F7" s="252"/>
      <c r="G7" s="12"/>
      <c r="H7" s="104"/>
      <c r="I7" s="12"/>
      <c r="J7" s="252"/>
      <c r="K7" s="12"/>
      <c r="L7" s="252"/>
      <c r="M7" s="12"/>
      <c r="N7" s="104"/>
      <c r="O7" s="12"/>
      <c r="P7" s="252"/>
      <c r="Q7" s="12"/>
      <c r="R7" s="252"/>
      <c r="S7" s="12"/>
      <c r="T7" s="104"/>
      <c r="U7" s="12"/>
      <c r="V7" s="252"/>
      <c r="W7" s="12"/>
      <c r="X7" s="252"/>
      <c r="Y7" s="12"/>
      <c r="Z7" s="104"/>
      <c r="AA7" s="12"/>
      <c r="AB7" s="252"/>
      <c r="AC7" s="12"/>
      <c r="AD7" s="252"/>
      <c r="AE7" s="12"/>
      <c r="AF7" s="104"/>
      <c r="AG7" s="12"/>
      <c r="AH7" s="252"/>
      <c r="AI7" s="12"/>
      <c r="AJ7" s="252"/>
      <c r="AK7" s="12"/>
      <c r="AL7" s="104"/>
      <c r="AM7" s="156"/>
      <c r="AN7" s="339"/>
      <c r="AO7" s="156"/>
      <c r="AP7" s="339"/>
      <c r="AQ7" s="156"/>
      <c r="AR7" s="156"/>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row>
    <row r="8" spans="1:79" x14ac:dyDescent="0.3">
      <c r="B8" s="104"/>
      <c r="C8" s="12"/>
      <c r="D8" s="338" t="s">
        <v>1769</v>
      </c>
      <c r="E8" s="132">
        <f>AVERAGE(E11:E15)</f>
        <v>19.943999999999999</v>
      </c>
      <c r="F8" s="132">
        <f>AVERAGE(F11:F15)</f>
        <v>57.5</v>
      </c>
      <c r="G8" s="12"/>
      <c r="H8" s="104"/>
      <c r="I8" s="12"/>
      <c r="J8" s="338" t="s">
        <v>1769</v>
      </c>
      <c r="K8" s="132">
        <f>AVERAGE(K11:K15)</f>
        <v>20.6</v>
      </c>
      <c r="L8" s="132">
        <f>AVERAGE(L11:L15)</f>
        <v>12.5</v>
      </c>
      <c r="M8" s="12"/>
      <c r="N8" s="104"/>
      <c r="O8" s="12"/>
      <c r="P8" s="338" t="s">
        <v>1769</v>
      </c>
      <c r="Q8" s="132">
        <f>AVERAGE(Q11:Q15)</f>
        <v>14.040000000000001</v>
      </c>
      <c r="R8" s="132">
        <f>AVERAGE(R11:R15)</f>
        <v>31.9</v>
      </c>
      <c r="S8" s="12"/>
      <c r="T8" s="104"/>
      <c r="U8" s="12"/>
      <c r="V8" s="338" t="s">
        <v>1769</v>
      </c>
      <c r="W8" s="132">
        <f>AVERAGE(W11:W15)</f>
        <v>14.660000000000002</v>
      </c>
      <c r="X8" s="132">
        <f>AVERAGE(X11:X15)</f>
        <v>42</v>
      </c>
      <c r="Y8" s="12"/>
      <c r="Z8" s="104"/>
      <c r="AA8" s="12"/>
      <c r="AB8" s="338" t="s">
        <v>1769</v>
      </c>
      <c r="AC8" s="132">
        <f>AVERAGE(AC11:AC15)</f>
        <v>5.0600000000000005</v>
      </c>
      <c r="AD8" s="132">
        <f>AVERAGE(AD11:AD15)</f>
        <v>34.1</v>
      </c>
      <c r="AE8" s="12"/>
      <c r="AF8" s="104"/>
      <c r="AG8" s="12"/>
      <c r="AH8" s="338" t="s">
        <v>1769</v>
      </c>
      <c r="AI8" s="132" t="e">
        <f>AVERAGE(AI11:AI15)</f>
        <v>#DIV/0!</v>
      </c>
      <c r="AJ8" s="132" t="e">
        <f>AVERAGE(AJ11:AJ15)</f>
        <v>#VALUE!</v>
      </c>
      <c r="AK8" s="12"/>
      <c r="AL8" s="104"/>
      <c r="AM8" s="156"/>
      <c r="AN8" s="339"/>
      <c r="AO8" s="142"/>
      <c r="AP8" s="339"/>
      <c r="AQ8" s="156"/>
      <c r="AR8" s="156"/>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row>
    <row r="9" spans="1:79" x14ac:dyDescent="0.3">
      <c r="B9" s="518" t="s">
        <v>1542</v>
      </c>
      <c r="C9" s="518"/>
      <c r="D9" s="518"/>
      <c r="E9" s="518"/>
      <c r="F9" s="518"/>
      <c r="H9" s="523" t="s">
        <v>1541</v>
      </c>
      <c r="I9" s="523"/>
      <c r="J9" s="523"/>
      <c r="K9" s="523"/>
      <c r="L9" s="523"/>
      <c r="N9" s="522" t="s">
        <v>394</v>
      </c>
      <c r="O9" s="522"/>
      <c r="P9" s="522"/>
      <c r="Q9" s="522"/>
      <c r="R9" s="522"/>
      <c r="T9" s="521" t="s">
        <v>396</v>
      </c>
      <c r="U9" s="521"/>
      <c r="V9" s="521"/>
      <c r="W9" s="521"/>
      <c r="X9" s="521"/>
      <c r="Z9" s="520" t="s">
        <v>399</v>
      </c>
      <c r="AA9" s="520"/>
      <c r="AB9" s="520"/>
      <c r="AC9" s="520"/>
      <c r="AD9" s="520"/>
      <c r="AF9" s="519" t="s">
        <v>1408</v>
      </c>
      <c r="AG9" s="519"/>
      <c r="AH9" s="519"/>
      <c r="AI9" s="519"/>
      <c r="AJ9" s="519"/>
      <c r="AM9" s="340"/>
      <c r="AN9" s="340"/>
      <c r="AO9" s="340"/>
      <c r="AP9" s="340"/>
      <c r="AQ9" s="340"/>
      <c r="AR9" s="340"/>
    </row>
    <row r="10" spans="1:79" s="108" customFormat="1" x14ac:dyDescent="0.3">
      <c r="A10" s="104"/>
      <c r="B10" s="321" t="s">
        <v>415</v>
      </c>
      <c r="C10" s="319" t="s">
        <v>1738</v>
      </c>
      <c r="D10" s="320" t="s">
        <v>1672</v>
      </c>
      <c r="E10" s="320" t="s">
        <v>1739</v>
      </c>
      <c r="F10" s="320" t="s">
        <v>1740</v>
      </c>
      <c r="H10" s="1" t="s">
        <v>415</v>
      </c>
      <c r="I10" s="319" t="s">
        <v>1738</v>
      </c>
      <c r="J10" s="320" t="s">
        <v>1672</v>
      </c>
      <c r="K10" s="320" t="s">
        <v>1739</v>
      </c>
      <c r="L10" s="320" t="s">
        <v>1740</v>
      </c>
      <c r="N10" s="1" t="s">
        <v>415</v>
      </c>
      <c r="O10" s="319" t="s">
        <v>1738</v>
      </c>
      <c r="P10" s="320" t="s">
        <v>1672</v>
      </c>
      <c r="Q10" s="320" t="s">
        <v>1739</v>
      </c>
      <c r="R10" s="320" t="s">
        <v>1740</v>
      </c>
      <c r="T10" s="1" t="s">
        <v>415</v>
      </c>
      <c r="U10" s="319" t="s">
        <v>1738</v>
      </c>
      <c r="V10" s="320" t="s">
        <v>1672</v>
      </c>
      <c r="W10" s="320" t="s">
        <v>1739</v>
      </c>
      <c r="X10" s="320" t="s">
        <v>1740</v>
      </c>
      <c r="Z10" s="108" t="s">
        <v>415</v>
      </c>
      <c r="AA10" s="319" t="s">
        <v>1738</v>
      </c>
      <c r="AB10" s="320" t="s">
        <v>1672</v>
      </c>
      <c r="AC10" s="320" t="s">
        <v>1739</v>
      </c>
      <c r="AD10" s="320" t="s">
        <v>1740</v>
      </c>
      <c r="AF10" s="108" t="s">
        <v>415</v>
      </c>
      <c r="AG10" s="319" t="s">
        <v>1738</v>
      </c>
      <c r="AH10" s="320" t="s">
        <v>1672</v>
      </c>
      <c r="AI10" s="320" t="s">
        <v>1739</v>
      </c>
      <c r="AJ10" s="320" t="s">
        <v>1740</v>
      </c>
      <c r="AM10" s="341"/>
      <c r="AN10" s="341"/>
      <c r="AO10" s="341"/>
      <c r="AP10" s="341"/>
      <c r="AQ10" s="341"/>
      <c r="AR10" s="341"/>
    </row>
    <row r="11" spans="1:79" x14ac:dyDescent="0.3">
      <c r="B11" s="489" t="s">
        <v>187</v>
      </c>
      <c r="C11" s="60">
        <v>26.246666666666663</v>
      </c>
      <c r="D11" s="58">
        <f>_xlfn.RANK.AVG(Table667986[[#This Row],[Proj]],Table667986[Proj],0)</f>
        <v>1</v>
      </c>
      <c r="E11" s="60">
        <f>IFERROR(INDEX(DK_Last_Week_Results_Data[Actual Score],MATCH(Table667986[[#This Row],[Name]],DK_Last_Week_Results_Data[Player],0)),"")</f>
        <v>29</v>
      </c>
      <c r="F11" s="58">
        <f>_xlfn.RANK.AVG(Table667986[[#This Row],[Actual]],Table667986[Actual],0)</f>
        <v>17</v>
      </c>
      <c r="H11" s="489" t="s">
        <v>8</v>
      </c>
      <c r="I11" s="60">
        <v>25.641979166666665</v>
      </c>
      <c r="J11" s="58">
        <f>_xlfn.RANK.AVG(Table617380[[#This Row],[Proj]],Table617380[Proj],0)</f>
        <v>1</v>
      </c>
      <c r="K11" s="19">
        <f>IFERROR(INDEX(DK_Last_Week_Results_Data[Actual Score],MATCH(Table617380[[#This Row],[Name]],DK_Last_Week_Results_Data[Player],0)),"")</f>
        <v>29.94</v>
      </c>
      <c r="L11" s="58">
        <f>_xlfn.RANK.AVG(Table617380[[#This Row],[Actual]],Table617380[Actual],0)</f>
        <v>4</v>
      </c>
      <c r="N11" s="489" t="s">
        <v>122</v>
      </c>
      <c r="O11" s="60">
        <v>18.920000000000002</v>
      </c>
      <c r="P11" s="58">
        <f>_xlfn.RANK.AVG(Table61627481[[#This Row],[Proj]],Table61627481[Proj],0)</f>
        <v>1</v>
      </c>
      <c r="Q11" s="60">
        <f>IFERROR(INDEX(DK_Last_Week_Results_Data[Actual Score],MATCH(Table61627481[[#This Row],[Name]],DK_Last_Week_Results_Data[Player],0)),"")</f>
        <v>14.7</v>
      </c>
      <c r="R11" s="58">
        <f>_xlfn.RANK.AVG(Table61627481[[#This Row],[Actual]],Table61627481[Actual],0)</f>
        <v>18</v>
      </c>
      <c r="T11" s="489" t="s">
        <v>187</v>
      </c>
      <c r="U11" s="60">
        <v>26.246666666666663</v>
      </c>
      <c r="V11" s="58">
        <f>_xlfn.RANK.AVG(Table61637582[[#This Row],[Proj]],Table61637582[Proj],0)</f>
        <v>1</v>
      </c>
      <c r="W11" s="60">
        <f>IFERROR(INDEX(DK_Last_Week_Results_Data[Actual Score],MATCH(Table61637582[[#This Row],[Name]],DK_Last_Week_Results_Data[Player],0)),"")</f>
        <v>29</v>
      </c>
      <c r="X11" s="58">
        <f>_xlfn.RANK.AVG(Table61637582[[#This Row],[Actual]],Table61637582[Actual],0)</f>
        <v>9</v>
      </c>
      <c r="Z11" s="491" t="s">
        <v>320</v>
      </c>
      <c r="AA11" s="60">
        <v>15.023333333333333</v>
      </c>
      <c r="AB11" s="58">
        <f>_xlfn.RANK.AVG(Table61647683[[#This Row],[Proj]],Table61647683[Proj],0)</f>
        <v>1</v>
      </c>
      <c r="AC11" s="60">
        <f>IFERROR(INDEX(DK_Last_Week_Results_Data[Actual Score],MATCH(Table61647683[[#This Row],[Name]],DK_Last_Week_Results_Data[Player],0)),"")</f>
        <v>0</v>
      </c>
      <c r="AD11" s="58">
        <f>_xlfn.RANK.AVG(Table61647683[[#This Row],[Actual]],Table61647683[Actual],0)</f>
        <v>58</v>
      </c>
      <c r="AF11" s="492" t="s">
        <v>831</v>
      </c>
      <c r="AG11" s="60">
        <v>7.8</v>
      </c>
      <c r="AH11" s="58">
        <f>_xlfn.RANK.AVG(Table61667885[[#This Row],[Proj]],Table61667885[Proj],0)</f>
        <v>1</v>
      </c>
      <c r="AI11" s="19" t="str">
        <f>IFERROR(INDEX(DK_Last_Week_Results_Data[Actual Score],MATCH(Table61667885[[#This Row],[Name]],DK_Last_Week_Results_Data[Player],0)),"")</f>
        <v/>
      </c>
      <c r="AJ11" s="58" t="e">
        <f>_xlfn.RANK.AVG(Table61667885[[#This Row],[Actual]],Table61667885[Actual],0)</f>
        <v>#VALUE!</v>
      </c>
      <c r="AM11" s="340"/>
      <c r="AN11" s="340"/>
      <c r="AO11" s="340"/>
      <c r="AP11" s="340"/>
      <c r="AQ11" s="340"/>
      <c r="AR11" s="340"/>
    </row>
    <row r="12" spans="1:79" x14ac:dyDescent="0.3">
      <c r="B12" s="489" t="s">
        <v>426</v>
      </c>
      <c r="C12" s="60">
        <v>25.875</v>
      </c>
      <c r="D12" s="58">
        <f>_xlfn.RANK.AVG(Table667986[[#This Row],[Proj]],Table667986[Proj],0)</f>
        <v>2</v>
      </c>
      <c r="E12" s="60">
        <f>IFERROR(INDEX(DK_Last_Week_Results_Data[Actual Score],MATCH(Table667986[[#This Row],[Name]],DK_Last_Week_Results_Data[Player],0)),"")</f>
        <v>22.1</v>
      </c>
      <c r="F12" s="58">
        <f>_xlfn.RANK.AVG(Table667986[[#This Row],[Actual]],Table667986[Actual],0)</f>
        <v>32</v>
      </c>
      <c r="H12" s="489" t="s">
        <v>21</v>
      </c>
      <c r="I12" s="60">
        <v>21.345854166666669</v>
      </c>
      <c r="J12" s="58">
        <f>_xlfn.RANK.AVG(Table617380[[#This Row],[Proj]],Table617380[Proj],0)</f>
        <v>2</v>
      </c>
      <c r="K12" s="19">
        <f>IFERROR(INDEX(DK_Last_Week_Results_Data[Actual Score],MATCH(Table617380[[#This Row],[Name]],DK_Last_Week_Results_Data[Player],0)),"")</f>
        <v>16.079999999999998</v>
      </c>
      <c r="L12" s="8">
        <f>_xlfn.RANK.AVG(Table617380[[#This Row],[Actual]],Table617380[Actual],0)</f>
        <v>15</v>
      </c>
      <c r="N12" s="489" t="s">
        <v>88</v>
      </c>
      <c r="O12" s="60">
        <v>18.853333333333335</v>
      </c>
      <c r="P12" s="58">
        <f>_xlfn.RANK.AVG(Table61627481[[#This Row],[Proj]],Table61627481[Proj],0)</f>
        <v>2</v>
      </c>
      <c r="Q12" s="60">
        <f>IFERROR(INDEX(DK_Last_Week_Results_Data[Actual Score],MATCH(Table61627481[[#This Row],[Name]],DK_Last_Week_Results_Data[Player],0)),"")</f>
        <v>8.4</v>
      </c>
      <c r="R12" s="58">
        <f>_xlfn.RANK.AVG(Table61627481[[#This Row],[Actual]],Table61627481[Actual],0)</f>
        <v>36.5</v>
      </c>
      <c r="T12" s="489" t="s">
        <v>426</v>
      </c>
      <c r="U12" s="60">
        <v>25.875</v>
      </c>
      <c r="V12" s="58">
        <f>_xlfn.RANK.AVG(Table61637582[[#This Row],[Proj]],Table61637582[Proj],0)</f>
        <v>2</v>
      </c>
      <c r="W12" s="60">
        <f>IFERROR(INDEX(DK_Last_Week_Results_Data[Actual Score],MATCH(Table61637582[[#This Row],[Name]],DK_Last_Week_Results_Data[Player],0)),"")</f>
        <v>22.1</v>
      </c>
      <c r="X12" s="58">
        <f>_xlfn.RANK.AVG(Table61637582[[#This Row],[Actual]],Table61637582[Actual],0)</f>
        <v>12</v>
      </c>
      <c r="Z12" s="492" t="s">
        <v>215</v>
      </c>
      <c r="AA12" s="60">
        <v>15.003333333333334</v>
      </c>
      <c r="AB12" s="58">
        <f>_xlfn.RANK.AVG(Table61647683[[#This Row],[Proj]],Table61647683[Proj],0)</f>
        <v>2</v>
      </c>
      <c r="AC12" s="60">
        <f>IFERROR(INDEX(DK_Last_Week_Results_Data[Actual Score],MATCH(Table61647683[[#This Row],[Name]],DK_Last_Week_Results_Data[Player],0)),"")</f>
        <v>9.6</v>
      </c>
      <c r="AD12" s="58">
        <f>_xlfn.RANK.AVG(Table61647683[[#This Row],[Actual]],Table61647683[Actual],0)</f>
        <v>13</v>
      </c>
      <c r="AF12" s="492" t="s">
        <v>854</v>
      </c>
      <c r="AG12" s="60">
        <v>7.2</v>
      </c>
      <c r="AH12" s="58">
        <f>_xlfn.RANK.AVG(Table61667885[[#This Row],[Proj]],Table61667885[Proj],0)</f>
        <v>3</v>
      </c>
      <c r="AI12" s="60" t="str">
        <f>IFERROR(INDEX(DK_Last_Week_Results_Data[Actual Score],MATCH(Table61667885[[#This Row],[Name]],DK_Last_Week_Results_Data[Player],0)),"")</f>
        <v/>
      </c>
      <c r="AJ12" s="58" t="e">
        <f>_xlfn.RANK.AVG(Table61667885[[#This Row],[Actual]],Table61667885[Actual],0)</f>
        <v>#VALUE!</v>
      </c>
      <c r="AM12" s="340"/>
      <c r="AN12" s="340"/>
      <c r="AO12" s="340"/>
      <c r="AP12" s="340"/>
      <c r="AQ12" s="340"/>
      <c r="AR12" s="340"/>
    </row>
    <row r="13" spans="1:79" x14ac:dyDescent="0.3">
      <c r="B13" s="489" t="s">
        <v>8</v>
      </c>
      <c r="C13" s="60">
        <v>25.641979166666665</v>
      </c>
      <c r="D13" s="58">
        <f>_xlfn.RANK.AVG(Table667986[[#This Row],[Proj]],Table667986[Proj],0)</f>
        <v>3</v>
      </c>
      <c r="E13" s="60">
        <f>IFERROR(INDEX(DK_Last_Week_Results_Data[Actual Score],MATCH(Table667986[[#This Row],[Name]],DK_Last_Week_Results_Data[Player],0)),"")</f>
        <v>29.94</v>
      </c>
      <c r="F13" s="58">
        <f>_xlfn.RANK.AVG(Table667986[[#This Row],[Actual]],Table667986[Actual],0)</f>
        <v>12</v>
      </c>
      <c r="H13" s="489" t="s">
        <v>36</v>
      </c>
      <c r="I13" s="60">
        <v>21.253999999999998</v>
      </c>
      <c r="J13" s="58">
        <f>_xlfn.RANK.AVG(Table617380[[#This Row],[Proj]],Table617380[Proj],0)</f>
        <v>3</v>
      </c>
      <c r="K13" s="19">
        <f>IFERROR(INDEX(DK_Last_Week_Results_Data[Actual Score],MATCH(Table617380[[#This Row],[Name]],DK_Last_Week_Results_Data[Player],0)),"")</f>
        <v>19</v>
      </c>
      <c r="L13" s="8">
        <f>_xlfn.RANK.AVG(Table617380[[#This Row],[Actual]],Table617380[Actual],0)</f>
        <v>12</v>
      </c>
      <c r="N13" s="489" t="s">
        <v>98</v>
      </c>
      <c r="O13" s="60">
        <v>18.133333333333333</v>
      </c>
      <c r="P13" s="58">
        <f>_xlfn.RANK.AVG(Table61627481[[#This Row],[Proj]],Table61627481[Proj],0)</f>
        <v>3</v>
      </c>
      <c r="Q13" s="60">
        <f>IFERROR(INDEX(DK_Last_Week_Results_Data[Actual Score],MATCH(Table61627481[[#This Row],[Name]],DK_Last_Week_Results_Data[Player],0)),"")</f>
        <v>26.1</v>
      </c>
      <c r="R13" s="58">
        <f>_xlfn.RANK.AVG(Table61627481[[#This Row],[Actual]],Table61627481[Actual],0)</f>
        <v>8</v>
      </c>
      <c r="T13" s="489" t="s">
        <v>188</v>
      </c>
      <c r="U13" s="60">
        <v>24.42</v>
      </c>
      <c r="V13" s="58">
        <f>_xlfn.RANK.AVG(Table61637582[[#This Row],[Proj]],Table61637582[Proj],0)</f>
        <v>3</v>
      </c>
      <c r="W13" s="60">
        <f>IFERROR(INDEX(DK_Last_Week_Results_Data[Actual Score],MATCH(Table61637582[[#This Row],[Name]],DK_Last_Week_Results_Data[Player],0)),"")</f>
        <v>2.6</v>
      </c>
      <c r="X13" s="58">
        <f>_xlfn.RANK.AVG(Table61637582[[#This Row],[Actual]],Table61637582[Actual],0)</f>
        <v>87</v>
      </c>
      <c r="Z13" s="491" t="s">
        <v>319</v>
      </c>
      <c r="AA13" s="60">
        <v>14.453333333333335</v>
      </c>
      <c r="AB13" s="58">
        <f>_xlfn.RANK.AVG(Table61647683[[#This Row],[Proj]],Table61647683[Proj],0)</f>
        <v>3</v>
      </c>
      <c r="AC13" s="60">
        <f>IFERROR(INDEX(DK_Last_Week_Results_Data[Actual Score],MATCH(Table61647683[[#This Row],[Name]],DK_Last_Week_Results_Data[Player],0)),"")</f>
        <v>12.4</v>
      </c>
      <c r="AD13" s="58">
        <f>_xlfn.RANK.AVG(Table61647683[[#This Row],[Actual]],Table61647683[Actual],0)</f>
        <v>9</v>
      </c>
      <c r="AF13" s="492" t="s">
        <v>852</v>
      </c>
      <c r="AG13" s="60">
        <v>7</v>
      </c>
      <c r="AH13" s="58">
        <f>_xlfn.RANK.AVG(Table61667885[[#This Row],[Proj]],Table61667885[Proj],0)</f>
        <v>5</v>
      </c>
      <c r="AI13" s="60" t="str">
        <f>IFERROR(INDEX(DK_Last_Week_Results_Data[Actual Score],MATCH(Table61667885[[#This Row],[Name]],DK_Last_Week_Results_Data[Player],0)),"")</f>
        <v/>
      </c>
      <c r="AJ13" s="58" t="e">
        <f>_xlfn.RANK.AVG(Table61667885[[#This Row],[Actual]],Table61667885[Actual],0)</f>
        <v>#VALUE!</v>
      </c>
      <c r="AM13" s="340"/>
      <c r="AN13" s="340"/>
      <c r="AO13" s="340"/>
      <c r="AP13" s="340"/>
      <c r="AQ13" s="340"/>
      <c r="AR13" s="340"/>
    </row>
    <row r="14" spans="1:79" x14ac:dyDescent="0.3">
      <c r="B14" s="489" t="s">
        <v>188</v>
      </c>
      <c r="C14" s="60">
        <v>24.42</v>
      </c>
      <c r="D14" s="58">
        <f>_xlfn.RANK.AVG(Table667986[[#This Row],[Proj]],Table667986[Proj],0)</f>
        <v>4</v>
      </c>
      <c r="E14" s="60">
        <f>IFERROR(INDEX(DK_Last_Week_Results_Data[Actual Score],MATCH(Table667986[[#This Row],[Name]],DK_Last_Week_Results_Data[Player],0)),"")</f>
        <v>2.6</v>
      </c>
      <c r="F14" s="58">
        <f>_xlfn.RANK.AVG(Table667986[[#This Row],[Actual]],Table667986[Actual],0)</f>
        <v>176.5</v>
      </c>
      <c r="H14" s="489" t="s">
        <v>25</v>
      </c>
      <c r="I14" s="60">
        <v>20.315437499999998</v>
      </c>
      <c r="J14" s="58">
        <f>_xlfn.RANK.AVG(Table617380[[#This Row],[Proj]],Table617380[Proj],0)</f>
        <v>4</v>
      </c>
      <c r="K14" s="19">
        <f>IFERROR(INDEX(DK_Last_Week_Results_Data[Actual Score],MATCH(Table617380[[#This Row],[Name]],DK_Last_Week_Results_Data[Player],0)),"")</f>
        <v>30.5</v>
      </c>
      <c r="L14" s="8">
        <f>_xlfn.RANK.AVG(Table617380[[#This Row],[Actual]],Table617380[Actual],0)</f>
        <v>2.5</v>
      </c>
      <c r="N14" s="489" t="s">
        <v>107</v>
      </c>
      <c r="O14" s="60">
        <v>18.099999999999998</v>
      </c>
      <c r="P14" s="58">
        <f>_xlfn.RANK.AVG(Table61627481[[#This Row],[Proj]],Table61627481[Proj],0)</f>
        <v>4</v>
      </c>
      <c r="Q14" s="60">
        <f>IFERROR(INDEX(DK_Last_Week_Results_Data[Actual Score],MATCH(Table61627481[[#This Row],[Name]],DK_Last_Week_Results_Data[Player],0)),"")</f>
        <v>0</v>
      </c>
      <c r="R14" s="58">
        <f>_xlfn.RANK.AVG(Table61627481[[#This Row],[Actual]],Table61627481[Actual],0)</f>
        <v>83.5</v>
      </c>
      <c r="T14" s="489" t="s">
        <v>195</v>
      </c>
      <c r="U14" s="60">
        <v>19.579999999999998</v>
      </c>
      <c r="V14" s="58">
        <f>_xlfn.RANK.AVG(Table61637582[[#This Row],[Proj]],Table61637582[Proj],0)</f>
        <v>4</v>
      </c>
      <c r="W14" s="60">
        <f>IFERROR(INDEX(DK_Last_Week_Results_Data[Actual Score],MATCH(Table61637582[[#This Row],[Name]],DK_Last_Week_Results_Data[Player],0)),"")</f>
        <v>15.7</v>
      </c>
      <c r="X14" s="58">
        <f>_xlfn.RANK.AVG(Table61637582[[#This Row],[Actual]],Table61637582[Actual],0)</f>
        <v>20</v>
      </c>
      <c r="Z14" s="492" t="s">
        <v>318</v>
      </c>
      <c r="AA14" s="60">
        <v>14.3</v>
      </c>
      <c r="AB14" s="58">
        <f>_xlfn.RANK.AVG(Table61647683[[#This Row],[Proj]],Table61647683[Proj],0)</f>
        <v>4</v>
      </c>
      <c r="AC14" s="60">
        <f>IFERROR(INDEX(DK_Last_Week_Results_Data[Actual Score],MATCH(Table61647683[[#This Row],[Name]],DK_Last_Week_Results_Data[Player],0)),"")</f>
        <v>0</v>
      </c>
      <c r="AD14" s="58">
        <f>_xlfn.RANK.AVG(Table61647683[[#This Row],[Actual]],Table61647683[Actual],0)</f>
        <v>58</v>
      </c>
      <c r="AF14" s="492" t="s">
        <v>850</v>
      </c>
      <c r="AG14" s="60">
        <v>7.3666666666666671</v>
      </c>
      <c r="AH14" s="58">
        <f>_xlfn.RANK.AVG(Table61667885[[#This Row],[Proj]],Table61667885[Proj],0)</f>
        <v>2</v>
      </c>
      <c r="AI14" s="60" t="str">
        <f>IFERROR(INDEX(DK_Last_Week_Results_Data[Actual Score],MATCH(Table61667885[[#This Row],[Name]],DK_Last_Week_Results_Data[Player],0)),"")</f>
        <v/>
      </c>
      <c r="AJ14" s="58" t="e">
        <f>_xlfn.RANK.AVG(Table61667885[[#This Row],[Actual]],Table61667885[Actual],0)</f>
        <v>#VALUE!</v>
      </c>
      <c r="AM14" s="340"/>
      <c r="AN14" s="340"/>
      <c r="AO14" s="340"/>
      <c r="AP14" s="340"/>
      <c r="AQ14" s="340"/>
      <c r="AR14" s="340"/>
    </row>
    <row r="15" spans="1:79" x14ac:dyDescent="0.3">
      <c r="B15" s="489" t="s">
        <v>21</v>
      </c>
      <c r="C15" s="60">
        <v>21.345854166666669</v>
      </c>
      <c r="D15" s="58">
        <f>_xlfn.RANK.AVG(Table667986[[#This Row],[Proj]],Table667986[Proj],0)</f>
        <v>5</v>
      </c>
      <c r="E15" s="60">
        <f>IFERROR(INDEX(DK_Last_Week_Results_Data[Actual Score],MATCH(Table667986[[#This Row],[Name]],DK_Last_Week_Results_Data[Player],0)),"")</f>
        <v>16.079999999999998</v>
      </c>
      <c r="F15" s="58">
        <f>_xlfn.RANK.AVG(Table667986[[#This Row],[Actual]],Table667986[Actual],0)</f>
        <v>50</v>
      </c>
      <c r="H15" s="489" t="s">
        <v>23</v>
      </c>
      <c r="I15" s="60">
        <v>20.019291666666668</v>
      </c>
      <c r="J15" s="58">
        <f>_xlfn.RANK.AVG(Table617380[[#This Row],[Proj]],Table617380[Proj],0)</f>
        <v>5</v>
      </c>
      <c r="K15" s="19">
        <f>IFERROR(INDEX(DK_Last_Week_Results_Data[Actual Score],MATCH(Table617380[[#This Row],[Name]],DK_Last_Week_Results_Data[Player],0)),"")</f>
        <v>7.48</v>
      </c>
      <c r="L15" s="8">
        <f>_xlfn.RANK.AVG(Table617380[[#This Row],[Actual]],Table617380[Actual],0)</f>
        <v>29</v>
      </c>
      <c r="N15" s="489" t="s">
        <v>428</v>
      </c>
      <c r="O15" s="60">
        <v>17.866666666666667</v>
      </c>
      <c r="P15" s="58">
        <f>_xlfn.RANK.AVG(Table61627481[[#This Row],[Proj]],Table61627481[Proj],0)</f>
        <v>5</v>
      </c>
      <c r="Q15" s="60">
        <f>IFERROR(INDEX(DK_Last_Week_Results_Data[Actual Score],MATCH(Table61627481[[#This Row],[Name]],DK_Last_Week_Results_Data[Player],0)),"")</f>
        <v>21</v>
      </c>
      <c r="R15" s="58">
        <f>_xlfn.RANK.AVG(Table61627481[[#This Row],[Actual]],Table61627481[Actual],0)</f>
        <v>13.5</v>
      </c>
      <c r="T15" s="489" t="s">
        <v>206</v>
      </c>
      <c r="U15" s="60">
        <v>18.910000000000004</v>
      </c>
      <c r="V15" s="58">
        <f>_xlfn.RANK.AVG(Table61637582[[#This Row],[Proj]],Table61637582[Proj],0)</f>
        <v>5</v>
      </c>
      <c r="W15" s="60">
        <f>IFERROR(INDEX(DK_Last_Week_Results_Data[Actual Score],MATCH(Table61637582[[#This Row],[Name]],DK_Last_Week_Results_Data[Player],0)),"")</f>
        <v>3.9</v>
      </c>
      <c r="X15" s="58">
        <f>_xlfn.RANK.AVG(Table61637582[[#This Row],[Actual]],Table61637582[Actual],0)</f>
        <v>82</v>
      </c>
      <c r="Z15" s="491" t="s">
        <v>326</v>
      </c>
      <c r="AA15" s="60">
        <v>12.48</v>
      </c>
      <c r="AB15" s="58">
        <f>_xlfn.RANK.AVG(Table61647683[[#This Row],[Proj]],Table61647683[Proj],0)</f>
        <v>5</v>
      </c>
      <c r="AC15" s="60">
        <f>IFERROR(INDEX(DK_Last_Week_Results_Data[Actual Score],MATCH(Table61647683[[#This Row],[Name]],DK_Last_Week_Results_Data[Player],0)),"")</f>
        <v>3.3</v>
      </c>
      <c r="AD15" s="58">
        <f>_xlfn.RANK.AVG(Table61647683[[#This Row],[Actual]],Table61647683[Actual],0)</f>
        <v>32.5</v>
      </c>
      <c r="AF15" s="492" t="s">
        <v>835</v>
      </c>
      <c r="AG15" s="60">
        <v>7.166666666666667</v>
      </c>
      <c r="AH15" s="58">
        <f>_xlfn.RANK.AVG(Table61667885[[#This Row],[Proj]],Table61667885[Proj],0)</f>
        <v>4</v>
      </c>
      <c r="AI15" s="60" t="str">
        <f>IFERROR(INDEX(DK_Last_Week_Results_Data[Actual Score],MATCH(Table61667885[[#This Row],[Name]],DK_Last_Week_Results_Data[Player],0)),"")</f>
        <v/>
      </c>
      <c r="AJ15" s="58" t="e">
        <f>_xlfn.RANK.AVG(Table61667885[[#This Row],[Actual]],Table61667885[Actual],0)</f>
        <v>#VALUE!</v>
      </c>
      <c r="AM15" s="340"/>
      <c r="AN15" s="340"/>
      <c r="AO15" s="340"/>
      <c r="AP15" s="340"/>
      <c r="AQ15" s="340"/>
      <c r="AR15" s="340"/>
    </row>
    <row r="16" spans="1:79" x14ac:dyDescent="0.3">
      <c r="B16" s="489" t="s">
        <v>36</v>
      </c>
      <c r="C16" s="60">
        <v>21.253999999999998</v>
      </c>
      <c r="D16" s="58">
        <f>_xlfn.RANK.AVG(Table667986[[#This Row],[Proj]],Table667986[Proj],0)</f>
        <v>6</v>
      </c>
      <c r="E16" s="19">
        <f>IFERROR(INDEX(DK_Last_Week_Results_Data[Actual Score],MATCH(Table667986[[#This Row],[Name]],DK_Last_Week_Results_Data[Player],0)),"")</f>
        <v>19</v>
      </c>
      <c r="F16" s="58">
        <f>_xlfn.RANK.AVG(Table667986[[#This Row],[Actual]],Table667986[Actual],0)</f>
        <v>43</v>
      </c>
      <c r="H16" s="489" t="s">
        <v>40</v>
      </c>
      <c r="I16" s="60">
        <v>19.110354166666671</v>
      </c>
      <c r="J16" s="58">
        <f>_xlfn.RANK.AVG(Table617380[[#This Row],[Proj]],Table617380[Proj],0)</f>
        <v>6</v>
      </c>
      <c r="K16" s="60">
        <f>IFERROR(INDEX(DK_Last_Week_Results_Data[Actual Score],MATCH(Table617380[[#This Row],[Name]],DK_Last_Week_Results_Data[Player],0)),"")</f>
        <v>15.4</v>
      </c>
      <c r="L16" s="58">
        <f>_xlfn.RANK.AVG(Table617380[[#This Row],[Actual]],Table617380[Actual],0)</f>
        <v>16</v>
      </c>
      <c r="N16" s="489" t="s">
        <v>115</v>
      </c>
      <c r="O16" s="60">
        <v>17.446666666666665</v>
      </c>
      <c r="P16" s="58">
        <f>_xlfn.RANK.AVG(Table61627481[[#This Row],[Proj]],Table61627481[Proj],0)</f>
        <v>6</v>
      </c>
      <c r="Q16" s="60">
        <f>IFERROR(INDEX(DK_Last_Week_Results_Data[Actual Score],MATCH(Table61627481[[#This Row],[Name]],DK_Last_Week_Results_Data[Player],0)),"")</f>
        <v>8.4</v>
      </c>
      <c r="R16" s="58">
        <f>_xlfn.RANK.AVG(Table61627481[[#This Row],[Actual]],Table61627481[Actual],0)</f>
        <v>36.5</v>
      </c>
      <c r="T16" s="489" t="s">
        <v>194</v>
      </c>
      <c r="U16" s="60">
        <v>18.899999999999999</v>
      </c>
      <c r="V16" s="58">
        <f>_xlfn.RANK.AVG(Table61637582[[#This Row],[Proj]],Table61637582[Proj],0)</f>
        <v>6</v>
      </c>
      <c r="W16" s="60">
        <f>IFERROR(INDEX(DK_Last_Week_Results_Data[Actual Score],MATCH(Table61637582[[#This Row],[Name]],DK_Last_Week_Results_Data[Player],0)),"")</f>
        <v>24.7</v>
      </c>
      <c r="X16" s="58">
        <f>_xlfn.RANK.AVG(Table61637582[[#This Row],[Actual]],Table61637582[Actual],0)</f>
        <v>10</v>
      </c>
      <c r="Z16" s="492" t="s">
        <v>323</v>
      </c>
      <c r="AA16" s="60">
        <v>12.366666666666667</v>
      </c>
      <c r="AB16" s="58">
        <f>_xlfn.RANK.AVG(Table61647683[[#This Row],[Proj]],Table61647683[Proj],0)</f>
        <v>6</v>
      </c>
      <c r="AC16" s="60">
        <f>IFERROR(INDEX(DK_Last_Week_Results_Data[Actual Score],MATCH(Table61647683[[#This Row],[Name]],DK_Last_Week_Results_Data[Player],0)),"")</f>
        <v>20.9</v>
      </c>
      <c r="AD16" s="58">
        <f>_xlfn.RANK.AVG(Table61647683[[#This Row],[Actual]],Table61647683[Actual],0)</f>
        <v>5</v>
      </c>
      <c r="AF16" s="492" t="s">
        <v>857</v>
      </c>
      <c r="AG16" s="60">
        <v>6.3666666666666671</v>
      </c>
      <c r="AH16" s="58">
        <f>_xlfn.RANK.AVG(Table61667885[[#This Row],[Proj]],Table61667885[Proj],0)</f>
        <v>9</v>
      </c>
      <c r="AI16" s="60" t="str">
        <f>IFERROR(INDEX(DK_Last_Week_Results_Data[Actual Score],MATCH(Table61667885[[#This Row],[Name]],DK_Last_Week_Results_Data[Player],0)),"")</f>
        <v/>
      </c>
      <c r="AJ16" s="58" t="e">
        <f>_xlfn.RANK.AVG(Table61667885[[#This Row],[Actual]],Table61667885[Actual],0)</f>
        <v>#VALUE!</v>
      </c>
      <c r="AM16" s="340"/>
      <c r="AN16" s="340"/>
      <c r="AO16" s="340"/>
      <c r="AP16" s="340"/>
      <c r="AQ16" s="340"/>
      <c r="AR16" s="340"/>
    </row>
    <row r="17" spans="2:36" x14ac:dyDescent="0.3">
      <c r="B17" s="489" t="s">
        <v>25</v>
      </c>
      <c r="C17" s="60">
        <v>20.315437499999998</v>
      </c>
      <c r="D17" s="58">
        <f>_xlfn.RANK.AVG(Table667986[[#This Row],[Proj]],Table667986[Proj],0)</f>
        <v>7</v>
      </c>
      <c r="E17" s="60">
        <f>IFERROR(INDEX(DK_Last_Week_Results_Data[Actual Score],MATCH(Table667986[[#This Row],[Name]],DK_Last_Week_Results_Data[Player],0)),"")</f>
        <v>30.5</v>
      </c>
      <c r="F17" s="58">
        <f>_xlfn.RANK.AVG(Table667986[[#This Row],[Actual]],Table667986[Actual],0)</f>
        <v>10.5</v>
      </c>
      <c r="H17" s="489" t="s">
        <v>29</v>
      </c>
      <c r="I17" s="60">
        <v>18.677187500000002</v>
      </c>
      <c r="J17" s="58">
        <f>_xlfn.RANK.AVG(Table617380[[#This Row],[Proj]],Table617380[Proj],0)</f>
        <v>7</v>
      </c>
      <c r="K17" s="60">
        <f>IFERROR(INDEX(DK_Last_Week_Results_Data[Actual Score],MATCH(Table617380[[#This Row],[Name]],DK_Last_Week_Results_Data[Player],0)),"")</f>
        <v>7.76</v>
      </c>
      <c r="L17" s="58">
        <f>_xlfn.RANK.AVG(Table617380[[#This Row],[Actual]],Table617380[Actual],0)</f>
        <v>28</v>
      </c>
      <c r="N17" s="489" t="s">
        <v>89</v>
      </c>
      <c r="O17" s="60">
        <v>16.669999999999998</v>
      </c>
      <c r="P17" s="58">
        <f>_xlfn.RANK.AVG(Table61627481[[#This Row],[Proj]],Table61627481[Proj],0)</f>
        <v>7</v>
      </c>
      <c r="Q17" s="60">
        <f>IFERROR(INDEX(DK_Last_Week_Results_Data[Actual Score],MATCH(Table61627481[[#This Row],[Name]],DK_Last_Week_Results_Data[Player],0)),"")</f>
        <v>22.7</v>
      </c>
      <c r="R17" s="58">
        <f>_xlfn.RANK.AVG(Table61627481[[#This Row],[Actual]],Table61627481[Actual],0)</f>
        <v>11</v>
      </c>
      <c r="T17" s="489" t="s">
        <v>210</v>
      </c>
      <c r="U17" s="60">
        <v>18.503333333333334</v>
      </c>
      <c r="V17" s="58">
        <f>_xlfn.RANK.AVG(Table61637582[[#This Row],[Proj]],Table61637582[Proj],0)</f>
        <v>7</v>
      </c>
      <c r="W17" s="60">
        <f>IFERROR(INDEX(DK_Last_Week_Results_Data[Actual Score],MATCH(Table61637582[[#This Row],[Name]],DK_Last_Week_Results_Data[Player],0)),"")</f>
        <v>10.199999999999999</v>
      </c>
      <c r="X17" s="58">
        <f>_xlfn.RANK.AVG(Table61637582[[#This Row],[Actual]],Table61637582[Actual],0)</f>
        <v>41</v>
      </c>
      <c r="Z17" s="492" t="s">
        <v>322</v>
      </c>
      <c r="AA17" s="60">
        <v>11.286666666666667</v>
      </c>
      <c r="AB17" s="58">
        <f>_xlfn.RANK.AVG(Table61647683[[#This Row],[Proj]],Table61647683[Proj],0)</f>
        <v>7</v>
      </c>
      <c r="AC17" s="60">
        <f>IFERROR(INDEX(DK_Last_Week_Results_Data[Actual Score],MATCH(Table61647683[[#This Row],[Name]],DK_Last_Week_Results_Data[Player],0)),"")</f>
        <v>13.6</v>
      </c>
      <c r="AD17" s="58">
        <f>_xlfn.RANK.AVG(Table61647683[[#This Row],[Actual]],Table61647683[Actual],0)</f>
        <v>7</v>
      </c>
      <c r="AF17" s="492" t="s">
        <v>840</v>
      </c>
      <c r="AG17" s="60">
        <v>6.5333333333333341</v>
      </c>
      <c r="AH17" s="58">
        <f>_xlfn.RANK.AVG(Table61667885[[#This Row],[Proj]],Table61667885[Proj],0)</f>
        <v>8</v>
      </c>
      <c r="AI17" s="60" t="str">
        <f>IFERROR(INDEX(DK_Last_Week_Results_Data[Actual Score],MATCH(Table61667885[[#This Row],[Name]],DK_Last_Week_Results_Data[Player],0)),"")</f>
        <v/>
      </c>
      <c r="AJ17" s="58" t="e">
        <f>_xlfn.RANK.AVG(Table61667885[[#This Row],[Actual]],Table61667885[Actual],0)</f>
        <v>#VALUE!</v>
      </c>
    </row>
    <row r="18" spans="2:36" x14ac:dyDescent="0.3">
      <c r="B18" s="489" t="s">
        <v>23</v>
      </c>
      <c r="C18" s="60">
        <v>20.019291666666668</v>
      </c>
      <c r="D18" s="58">
        <f>_xlfn.RANK.AVG(Table667986[[#This Row],[Proj]],Table667986[Proj],0)</f>
        <v>8</v>
      </c>
      <c r="E18" s="60">
        <f>IFERROR(INDEX(DK_Last_Week_Results_Data[Actual Score],MATCH(Table667986[[#This Row],[Name]],DK_Last_Week_Results_Data[Player],0)),"")</f>
        <v>7.48</v>
      </c>
      <c r="F18" s="58">
        <f>_xlfn.RANK.AVG(Table667986[[#This Row],[Actual]],Table667986[Actual],0)</f>
        <v>123</v>
      </c>
      <c r="H18" s="489" t="s">
        <v>5</v>
      </c>
      <c r="I18" s="60">
        <v>18.572812500000001</v>
      </c>
      <c r="J18" s="58">
        <f>_xlfn.RANK.AVG(Table617380[[#This Row],[Proj]],Table617380[Proj],0)</f>
        <v>8</v>
      </c>
      <c r="K18" s="60">
        <f>IFERROR(INDEX(DK_Last_Week_Results_Data[Actual Score],MATCH(Table617380[[#This Row],[Name]],DK_Last_Week_Results_Data[Player],0)),"")</f>
        <v>26.4</v>
      </c>
      <c r="L18" s="58">
        <f>_xlfn.RANK.AVG(Table617380[[#This Row],[Actual]],Table617380[Actual],0)</f>
        <v>5</v>
      </c>
      <c r="N18" s="489" t="s">
        <v>94</v>
      </c>
      <c r="O18" s="60">
        <v>16.593333333333334</v>
      </c>
      <c r="P18" s="58">
        <f>_xlfn.RANK.AVG(Table61627481[[#This Row],[Proj]],Table61627481[Proj],0)</f>
        <v>8</v>
      </c>
      <c r="Q18" s="60">
        <f>IFERROR(INDEX(DK_Last_Week_Results_Data[Actual Score],MATCH(Table61627481[[#This Row],[Name]],DK_Last_Week_Results_Data[Player],0)),"")</f>
        <v>0</v>
      </c>
      <c r="R18" s="58">
        <f>_xlfn.RANK.AVG(Table61627481[[#This Row],[Actual]],Table61627481[Actual],0)</f>
        <v>83.5</v>
      </c>
      <c r="T18" s="489" t="s">
        <v>189</v>
      </c>
      <c r="U18" s="60">
        <v>18.203333333333333</v>
      </c>
      <c r="V18" s="58">
        <f>_xlfn.RANK.AVG(Table61637582[[#This Row],[Proj]],Table61637582[Proj],0)</f>
        <v>8</v>
      </c>
      <c r="W18" s="60">
        <f>IFERROR(INDEX(DK_Last_Week_Results_Data[Actual Score],MATCH(Table61637582[[#This Row],[Name]],DK_Last_Week_Results_Data[Player],0)),"")</f>
        <v>9.6</v>
      </c>
      <c r="X18" s="58">
        <f>_xlfn.RANK.AVG(Table61637582[[#This Row],[Actual]],Table61637582[Actual],0)</f>
        <v>45</v>
      </c>
      <c r="Z18" s="492" t="s">
        <v>325</v>
      </c>
      <c r="AA18" s="60">
        <v>11.120000000000001</v>
      </c>
      <c r="AB18" s="58">
        <f>_xlfn.RANK.AVG(Table61647683[[#This Row],[Proj]],Table61647683[Proj],0)</f>
        <v>8</v>
      </c>
      <c r="AC18" s="60">
        <f>IFERROR(INDEX(DK_Last_Week_Results_Data[Actual Score],MATCH(Table61647683[[#This Row],[Name]],DK_Last_Week_Results_Data[Player],0)),"")</f>
        <v>0</v>
      </c>
      <c r="AD18" s="58">
        <f>_xlfn.RANK.AVG(Table61647683[[#This Row],[Actual]],Table61647683[Actual],0)</f>
        <v>58</v>
      </c>
      <c r="AF18" s="492" t="s">
        <v>847</v>
      </c>
      <c r="AG18" s="60">
        <v>6.9333333333333327</v>
      </c>
      <c r="AH18" s="58">
        <f>_xlfn.RANK.AVG(Table61667885[[#This Row],[Proj]],Table61667885[Proj],0)</f>
        <v>6</v>
      </c>
      <c r="AI18" s="60" t="str">
        <f>IFERROR(INDEX(DK_Last_Week_Results_Data[Actual Score],MATCH(Table61667885[[#This Row],[Name]],DK_Last_Week_Results_Data[Player],0)),"")</f>
        <v/>
      </c>
      <c r="AJ18" s="58" t="e">
        <f>_xlfn.RANK.AVG(Table61667885[[#This Row],[Actual]],Table61667885[Actual],0)</f>
        <v>#VALUE!</v>
      </c>
    </row>
    <row r="19" spans="2:36" x14ac:dyDescent="0.3">
      <c r="B19" s="489" t="s">
        <v>195</v>
      </c>
      <c r="C19" s="60">
        <v>19.579999999999998</v>
      </c>
      <c r="D19" s="58">
        <f>_xlfn.RANK.AVG(Table667986[[#This Row],[Proj]],Table667986[Proj],0)</f>
        <v>9</v>
      </c>
      <c r="E19" s="60">
        <f>IFERROR(INDEX(DK_Last_Week_Results_Data[Actual Score],MATCH(Table667986[[#This Row],[Name]],DK_Last_Week_Results_Data[Player],0)),"")</f>
        <v>15.7</v>
      </c>
      <c r="F19" s="58">
        <f>_xlfn.RANK.AVG(Table667986[[#This Row],[Actual]],Table667986[Actual],0)</f>
        <v>51</v>
      </c>
      <c r="H19" s="489" t="s">
        <v>48</v>
      </c>
      <c r="I19" s="60">
        <v>18.4080625</v>
      </c>
      <c r="J19" s="58">
        <f>_xlfn.RANK.AVG(Table617380[[#This Row],[Proj]],Table617380[Proj],0)</f>
        <v>9</v>
      </c>
      <c r="K19" s="60">
        <f>IFERROR(INDEX(DK_Last_Week_Results_Data[Actual Score],MATCH(Table617380[[#This Row],[Name]],DK_Last_Week_Results_Data[Player],0)),"")</f>
        <v>0</v>
      </c>
      <c r="L19" s="58">
        <f>_xlfn.RANK.AVG(Table617380[[#This Row],[Actual]],Table617380[Actual],0)</f>
        <v>46.5</v>
      </c>
      <c r="N19" s="489" t="s">
        <v>85</v>
      </c>
      <c r="O19" s="60">
        <v>16.453333333333333</v>
      </c>
      <c r="P19" s="58">
        <f>_xlfn.RANK.AVG(Table61627481[[#This Row],[Proj]],Table61627481[Proj],0)</f>
        <v>9</v>
      </c>
      <c r="Q19" s="60">
        <f>IFERROR(INDEX(DK_Last_Week_Results_Data[Actual Score],MATCH(Table61627481[[#This Row],[Name]],DK_Last_Week_Results_Data[Player],0)),"")</f>
        <v>0</v>
      </c>
      <c r="R19" s="58">
        <f>_xlfn.RANK.AVG(Table61627481[[#This Row],[Actual]],Table61627481[Actual],0)</f>
        <v>83.5</v>
      </c>
      <c r="T19" s="489" t="s">
        <v>203</v>
      </c>
      <c r="U19" s="60">
        <v>17.410000000000004</v>
      </c>
      <c r="V19" s="58">
        <f>_xlfn.RANK.AVG(Table61637582[[#This Row],[Proj]],Table61637582[Proj],0)</f>
        <v>9</v>
      </c>
      <c r="W19" s="60">
        <f>IFERROR(INDEX(DK_Last_Week_Results_Data[Actual Score],MATCH(Table61637582[[#This Row],[Name]],DK_Last_Week_Results_Data[Player],0)),"")</f>
        <v>35.700000000000003</v>
      </c>
      <c r="X19" s="58">
        <f>_xlfn.RANK.AVG(Table61637582[[#This Row],[Actual]],Table61637582[Actual],0)</f>
        <v>2</v>
      </c>
      <c r="Z19" s="492" t="s">
        <v>332</v>
      </c>
      <c r="AA19" s="60">
        <v>10.973333333333333</v>
      </c>
      <c r="AB19" s="58">
        <f>_xlfn.RANK.AVG(Table61647683[[#This Row],[Proj]],Table61647683[Proj],0)</f>
        <v>9</v>
      </c>
      <c r="AC19" s="60">
        <f>IFERROR(INDEX(DK_Last_Week_Results_Data[Actual Score],MATCH(Table61647683[[#This Row],[Name]],DK_Last_Week_Results_Data[Player],0)),"")</f>
        <v>11.9</v>
      </c>
      <c r="AD19" s="58">
        <f>_xlfn.RANK.AVG(Table61647683[[#This Row],[Actual]],Table61647683[Actual],0)</f>
        <v>10</v>
      </c>
      <c r="AF19" s="491" t="s">
        <v>858</v>
      </c>
      <c r="AG19" s="60">
        <v>6.0999999999999988</v>
      </c>
      <c r="AH19" s="58">
        <f>_xlfn.RANK.AVG(Table61667885[[#This Row],[Proj]],Table61667885[Proj],0)</f>
        <v>12</v>
      </c>
      <c r="AI19" s="60" t="str">
        <f>IFERROR(INDEX(DK_Last_Week_Results_Data[Actual Score],MATCH(Table61667885[[#This Row],[Name]],DK_Last_Week_Results_Data[Player],0)),"")</f>
        <v/>
      </c>
      <c r="AJ19" s="58" t="e">
        <f>_xlfn.RANK.AVG(Table61667885[[#This Row],[Actual]],Table61667885[Actual],0)</f>
        <v>#VALUE!</v>
      </c>
    </row>
    <row r="20" spans="2:36" x14ac:dyDescent="0.3">
      <c r="B20" s="489" t="s">
        <v>40</v>
      </c>
      <c r="C20" s="60">
        <v>19.110354166666671</v>
      </c>
      <c r="D20" s="58">
        <f>_xlfn.RANK.AVG(Table667986[[#This Row],[Proj]],Table667986[Proj],0)</f>
        <v>10</v>
      </c>
      <c r="E20" s="60">
        <f>IFERROR(INDEX(DK_Last_Week_Results_Data[Actual Score],MATCH(Table667986[[#This Row],[Name]],DK_Last_Week_Results_Data[Player],0)),"")</f>
        <v>15.4</v>
      </c>
      <c r="F20" s="58">
        <f>_xlfn.RANK.AVG(Table667986[[#This Row],[Actual]],Table667986[Actual],0)</f>
        <v>52</v>
      </c>
      <c r="H20" s="489" t="s">
        <v>11</v>
      </c>
      <c r="I20" s="60">
        <v>18.31325</v>
      </c>
      <c r="J20" s="58">
        <f>_xlfn.RANK.AVG(Table617380[[#This Row],[Proj]],Table617380[Proj],0)</f>
        <v>10</v>
      </c>
      <c r="K20" s="60">
        <f>IFERROR(INDEX(DK_Last_Week_Results_Data[Actual Score],MATCH(Table617380[[#This Row],[Name]],DK_Last_Week_Results_Data[Player],0)),"")</f>
        <v>14.46</v>
      </c>
      <c r="L20" s="58">
        <f>_xlfn.RANK.AVG(Table617380[[#This Row],[Actual]],Table617380[Actual],0)</f>
        <v>18</v>
      </c>
      <c r="N20" s="489" t="s">
        <v>106</v>
      </c>
      <c r="O20" s="60">
        <v>16.420000000000002</v>
      </c>
      <c r="P20" s="58">
        <f>_xlfn.RANK.AVG(Table61627481[[#This Row],[Proj]],Table61627481[Proj],0)</f>
        <v>10</v>
      </c>
      <c r="Q20" s="60">
        <f>IFERROR(INDEX(DK_Last_Week_Results_Data[Actual Score],MATCH(Table61627481[[#This Row],[Name]],DK_Last_Week_Results_Data[Player],0)),"")</f>
        <v>5.0999999999999996</v>
      </c>
      <c r="R20" s="58">
        <f>_xlfn.RANK.AVG(Table61627481[[#This Row],[Actual]],Table61627481[Actual],0)</f>
        <v>49.5</v>
      </c>
      <c r="T20" s="489" t="s">
        <v>208</v>
      </c>
      <c r="U20" s="60">
        <v>16.87</v>
      </c>
      <c r="V20" s="58">
        <f>_xlfn.RANK.AVG(Table61637582[[#This Row],[Proj]],Table61637582[Proj],0)</f>
        <v>10</v>
      </c>
      <c r="W20" s="60">
        <f>IFERROR(INDEX(DK_Last_Week_Results_Data[Actual Score],MATCH(Table61637582[[#This Row],[Name]],DK_Last_Week_Results_Data[Player],0)),"")</f>
        <v>12</v>
      </c>
      <c r="X20" s="58">
        <f>_xlfn.RANK.AVG(Table61637582[[#This Row],[Actual]],Table61637582[Actual],0)</f>
        <v>32</v>
      </c>
      <c r="Z20" s="491" t="s">
        <v>329</v>
      </c>
      <c r="AA20" s="60">
        <v>10.386666666666667</v>
      </c>
      <c r="AB20" s="58">
        <f>_xlfn.RANK.AVG(Table61647683[[#This Row],[Proj]],Table61647683[Proj],0)</f>
        <v>10</v>
      </c>
      <c r="AC20" s="60">
        <f>IFERROR(INDEX(DK_Last_Week_Results_Data[Actual Score],MATCH(Table61647683[[#This Row],[Name]],DK_Last_Week_Results_Data[Player],0)),"")</f>
        <v>4.5</v>
      </c>
      <c r="AD20" s="58">
        <f>_xlfn.RANK.AVG(Table61647683[[#This Row],[Actual]],Table61647683[Actual],0)</f>
        <v>24</v>
      </c>
      <c r="AF20" s="491" t="s">
        <v>856</v>
      </c>
      <c r="AG20" s="60">
        <v>6.166666666666667</v>
      </c>
      <c r="AH20" s="58">
        <f>_xlfn.RANK.AVG(Table61667885[[#This Row],[Proj]],Table61667885[Proj],0)</f>
        <v>11</v>
      </c>
      <c r="AI20" s="60" t="str">
        <f>IFERROR(INDEX(DK_Last_Week_Results_Data[Actual Score],MATCH(Table61667885[[#This Row],[Name]],DK_Last_Week_Results_Data[Player],0)),"")</f>
        <v/>
      </c>
      <c r="AJ20" s="58" t="e">
        <f>_xlfn.RANK.AVG(Table61667885[[#This Row],[Actual]],Table61667885[Actual],0)</f>
        <v>#VALUE!</v>
      </c>
    </row>
    <row r="21" spans="2:36" x14ac:dyDescent="0.3">
      <c r="B21" s="489" t="s">
        <v>122</v>
      </c>
      <c r="C21" s="60">
        <v>18.920000000000002</v>
      </c>
      <c r="D21" s="58">
        <f>_xlfn.RANK.AVG(Table667986[[#This Row],[Proj]],Table667986[Proj],0)</f>
        <v>11</v>
      </c>
      <c r="E21" s="60">
        <f>IFERROR(INDEX(DK_Last_Week_Results_Data[Actual Score],MATCH(Table667986[[#This Row],[Name]],DK_Last_Week_Results_Data[Player],0)),"")</f>
        <v>14.7</v>
      </c>
      <c r="F21" s="58">
        <f>_xlfn.RANK.AVG(Table667986[[#This Row],[Actual]],Table667986[Actual],0)</f>
        <v>55.5</v>
      </c>
      <c r="H21" s="489" t="s">
        <v>49</v>
      </c>
      <c r="I21" s="60">
        <v>18.1989375</v>
      </c>
      <c r="J21" s="58">
        <f>_xlfn.RANK.AVG(Table617380[[#This Row],[Proj]],Table617380[Proj],0)</f>
        <v>11</v>
      </c>
      <c r="K21" s="60">
        <f>IFERROR(INDEX(DK_Last_Week_Results_Data[Actual Score],MATCH(Table617380[[#This Row],[Name]],DK_Last_Week_Results_Data[Player],0)),"")</f>
        <v>19.899999999999999</v>
      </c>
      <c r="L21" s="58">
        <f>_xlfn.RANK.AVG(Table617380[[#This Row],[Actual]],Table617380[Actual],0)</f>
        <v>10</v>
      </c>
      <c r="N21" s="489" t="s">
        <v>111</v>
      </c>
      <c r="O21" s="60">
        <v>15.510000000000002</v>
      </c>
      <c r="P21" s="58">
        <f>_xlfn.RANK.AVG(Table61627481[[#This Row],[Proj]],Table61627481[Proj],0)</f>
        <v>11</v>
      </c>
      <c r="Q21" s="60">
        <f>IFERROR(INDEX(DK_Last_Week_Results_Data[Actual Score],MATCH(Table61627481[[#This Row],[Name]],DK_Last_Week_Results_Data[Player],0)),"")</f>
        <v>-0.5</v>
      </c>
      <c r="R21" s="58">
        <f>_xlfn.RANK.AVG(Table61627481[[#This Row],[Actual]],Table61627481[Actual],0)</f>
        <v>100</v>
      </c>
      <c r="T21" s="489" t="s">
        <v>190</v>
      </c>
      <c r="U21" s="60">
        <v>16.856666666666666</v>
      </c>
      <c r="V21" s="58">
        <f>_xlfn.RANK.AVG(Table61637582[[#This Row],[Proj]],Table61637582[Proj],0)</f>
        <v>11</v>
      </c>
      <c r="W21" s="60">
        <f>IFERROR(INDEX(DK_Last_Week_Results_Data[Actual Score],MATCH(Table61637582[[#This Row],[Name]],DK_Last_Week_Results_Data[Player],0)),"")</f>
        <v>5.7</v>
      </c>
      <c r="X21" s="58">
        <f>_xlfn.RANK.AVG(Table61637582[[#This Row],[Actual]],Table61637582[Actual],0)</f>
        <v>67.5</v>
      </c>
      <c r="Z21" s="491" t="s">
        <v>308</v>
      </c>
      <c r="AA21" s="60">
        <v>10.216666666666665</v>
      </c>
      <c r="AB21" s="58">
        <f>_xlfn.RANK.AVG(Table61647683[[#This Row],[Proj]],Table61647683[Proj],0)</f>
        <v>11</v>
      </c>
      <c r="AC21" s="60">
        <f>IFERROR(INDEX(DK_Last_Week_Results_Data[Actual Score],MATCH(Table61647683[[#This Row],[Name]],DK_Last_Week_Results_Data[Player],0)),"")</f>
        <v>26.9</v>
      </c>
      <c r="AD21" s="58">
        <f>_xlfn.RANK.AVG(Table61647683[[#This Row],[Actual]],Table61647683[Actual],0)</f>
        <v>2</v>
      </c>
      <c r="AF21" s="492" t="s">
        <v>851</v>
      </c>
      <c r="AG21" s="60">
        <v>6.833333333333333</v>
      </c>
      <c r="AH21" s="58">
        <f>_xlfn.RANK.AVG(Table61667885[[#This Row],[Proj]],Table61667885[Proj],0)</f>
        <v>7</v>
      </c>
      <c r="AI21" s="60" t="str">
        <f>IFERROR(INDEX(DK_Last_Week_Results_Data[Actual Score],MATCH(Table61667885[[#This Row],[Name]],DK_Last_Week_Results_Data[Player],0)),"")</f>
        <v/>
      </c>
      <c r="AJ21" s="58" t="e">
        <f>_xlfn.RANK.AVG(Table61667885[[#This Row],[Actual]],Table61667885[Actual],0)</f>
        <v>#VALUE!</v>
      </c>
    </row>
    <row r="22" spans="2:36" x14ac:dyDescent="0.3">
      <c r="B22" s="489" t="s">
        <v>206</v>
      </c>
      <c r="C22" s="60">
        <v>18.910000000000004</v>
      </c>
      <c r="D22" s="58">
        <f>_xlfn.RANK.AVG(Table667986[[#This Row],[Proj]],Table667986[Proj],0)</f>
        <v>12</v>
      </c>
      <c r="E22" s="60">
        <f>IFERROR(INDEX(DK_Last_Week_Results_Data[Actual Score],MATCH(Table667986[[#This Row],[Name]],DK_Last_Week_Results_Data[Player],0)),"")</f>
        <v>3.9</v>
      </c>
      <c r="F22" s="58">
        <f>_xlfn.RANK.AVG(Table667986[[#This Row],[Actual]],Table667986[Actual],0)</f>
        <v>168</v>
      </c>
      <c r="H22" s="489" t="s">
        <v>31</v>
      </c>
      <c r="I22" s="60">
        <v>18.192458333333335</v>
      </c>
      <c r="J22" s="58">
        <f>_xlfn.RANK.AVG(Table617380[[#This Row],[Proj]],Table617380[Proj],0)</f>
        <v>12</v>
      </c>
      <c r="K22" s="60">
        <f>IFERROR(INDEX(DK_Last_Week_Results_Data[Actual Score],MATCH(Table617380[[#This Row],[Name]],DK_Last_Week_Results_Data[Player],0)),"")</f>
        <v>13.76</v>
      </c>
      <c r="L22" s="58">
        <f>_xlfn.RANK.AVG(Table617380[[#This Row],[Actual]],Table617380[Actual],0)</f>
        <v>20</v>
      </c>
      <c r="N22" s="489" t="s">
        <v>84</v>
      </c>
      <c r="O22" s="60">
        <v>15.423333333333336</v>
      </c>
      <c r="P22" s="58">
        <f>_xlfn.RANK.AVG(Table61627481[[#This Row],[Proj]],Table61627481[Proj],0)</f>
        <v>12</v>
      </c>
      <c r="Q22" s="60">
        <f>IFERROR(INDEX(DK_Last_Week_Results_Data[Actual Score],MATCH(Table61627481[[#This Row],[Name]],DK_Last_Week_Results_Data[Player],0)),"")</f>
        <v>34.700000000000003</v>
      </c>
      <c r="R22" s="58">
        <f>_xlfn.RANK.AVG(Table61627481[[#This Row],[Actual]],Table61627481[Actual],0)</f>
        <v>1</v>
      </c>
      <c r="T22" s="489" t="s">
        <v>204</v>
      </c>
      <c r="U22" s="60">
        <v>16.75333333333333</v>
      </c>
      <c r="V22" s="58">
        <f>_xlfn.RANK.AVG(Table61637582[[#This Row],[Proj]],Table61637582[Proj],0)</f>
        <v>12</v>
      </c>
      <c r="W22" s="60">
        <f>IFERROR(INDEX(DK_Last_Week_Results_Data[Actual Score],MATCH(Table61637582[[#This Row],[Name]],DK_Last_Week_Results_Data[Player],0)),"")</f>
        <v>21.2</v>
      </c>
      <c r="X22" s="58">
        <f>_xlfn.RANK.AVG(Table61637582[[#This Row],[Actual]],Table61637582[Actual],0)</f>
        <v>15</v>
      </c>
      <c r="Z22" s="491" t="s">
        <v>357</v>
      </c>
      <c r="AA22" s="60">
        <v>9.5066666666666659</v>
      </c>
      <c r="AB22" s="58">
        <f>_xlfn.RANK.AVG(Table61647683[[#This Row],[Proj]],Table61647683[Proj],0)</f>
        <v>12</v>
      </c>
      <c r="AC22" s="60">
        <f>IFERROR(INDEX(DK_Last_Week_Results_Data[Actual Score],MATCH(Table61647683[[#This Row],[Name]],DK_Last_Week_Results_Data[Player],0)),"")</f>
        <v>6.5</v>
      </c>
      <c r="AD22" s="58">
        <f>_xlfn.RANK.AVG(Table61647683[[#This Row],[Actual]],Table61647683[Actual],0)</f>
        <v>18</v>
      </c>
      <c r="AF22" s="491" t="s">
        <v>832</v>
      </c>
      <c r="AG22" s="60">
        <v>5.6333333333333329</v>
      </c>
      <c r="AH22" s="58">
        <f>_xlfn.RANK.AVG(Table61667885[[#This Row],[Proj]],Table61667885[Proj],0)</f>
        <v>15.5</v>
      </c>
      <c r="AI22" s="60" t="str">
        <f>IFERROR(INDEX(DK_Last_Week_Results_Data[Actual Score],MATCH(Table61667885[[#This Row],[Name]],DK_Last_Week_Results_Data[Player],0)),"")</f>
        <v/>
      </c>
      <c r="AJ22" s="58" t="e">
        <f>_xlfn.RANK.AVG(Table61667885[[#This Row],[Actual]],Table61667885[Actual],0)</f>
        <v>#VALUE!</v>
      </c>
    </row>
    <row r="23" spans="2:36" x14ac:dyDescent="0.3">
      <c r="B23" s="489" t="s">
        <v>194</v>
      </c>
      <c r="C23" s="60">
        <v>18.899999999999999</v>
      </c>
      <c r="D23" s="58">
        <f>_xlfn.RANK.AVG(Table667986[[#This Row],[Proj]],Table667986[Proj],0)</f>
        <v>13</v>
      </c>
      <c r="E23" s="60">
        <f>IFERROR(INDEX(DK_Last_Week_Results_Data[Actual Score],MATCH(Table667986[[#This Row],[Name]],DK_Last_Week_Results_Data[Player],0)),"")</f>
        <v>24.7</v>
      </c>
      <c r="F23" s="58">
        <f>_xlfn.RANK.AVG(Table667986[[#This Row],[Actual]],Table667986[Actual],0)</f>
        <v>25</v>
      </c>
      <c r="H23" s="489" t="s">
        <v>6</v>
      </c>
      <c r="I23" s="60">
        <v>17.743916666666667</v>
      </c>
      <c r="J23" s="58">
        <f>_xlfn.RANK.AVG(Table617380[[#This Row],[Proj]],Table617380[Proj],0)</f>
        <v>13</v>
      </c>
      <c r="K23" s="60">
        <f>IFERROR(INDEX(DK_Last_Week_Results_Data[Actual Score],MATCH(Table617380[[#This Row],[Name]],DK_Last_Week_Results_Data[Player],0)),"")</f>
        <v>14.02</v>
      </c>
      <c r="L23" s="58">
        <f>_xlfn.RANK.AVG(Table617380[[#This Row],[Actual]],Table617380[Actual],0)</f>
        <v>19</v>
      </c>
      <c r="N23" s="489" t="s">
        <v>92</v>
      </c>
      <c r="O23" s="60">
        <v>15.193333333333335</v>
      </c>
      <c r="P23" s="58">
        <f>_xlfn.RANK.AVG(Table61627481[[#This Row],[Proj]],Table61627481[Proj],0)</f>
        <v>13</v>
      </c>
      <c r="Q23" s="60">
        <f>IFERROR(INDEX(DK_Last_Week_Results_Data[Actual Score],MATCH(Table61627481[[#This Row],[Name]],DK_Last_Week_Results_Data[Player],0)),"")</f>
        <v>4.8</v>
      </c>
      <c r="R23" s="58">
        <f>_xlfn.RANK.AVG(Table61627481[[#This Row],[Actual]],Table61627481[Actual],0)</f>
        <v>52</v>
      </c>
      <c r="T23" s="489" t="s">
        <v>234</v>
      </c>
      <c r="U23" s="60">
        <v>16.64</v>
      </c>
      <c r="V23" s="58">
        <f>_xlfn.RANK.AVG(Table61637582[[#This Row],[Proj]],Table61637582[Proj],0)</f>
        <v>13</v>
      </c>
      <c r="W23" s="60">
        <f>IFERROR(INDEX(DK_Last_Week_Results_Data[Actual Score],MATCH(Table61637582[[#This Row],[Name]],DK_Last_Week_Results_Data[Player],0)),"")</f>
        <v>13</v>
      </c>
      <c r="X23" s="58">
        <f>_xlfn.RANK.AVG(Table61637582[[#This Row],[Actual]],Table61637582[Actual],0)</f>
        <v>26</v>
      </c>
      <c r="Z23" s="491" t="s">
        <v>366</v>
      </c>
      <c r="AA23" s="60">
        <v>9.01</v>
      </c>
      <c r="AB23" s="58">
        <f>_xlfn.RANK.AVG(Table61647683[[#This Row],[Proj]],Table61647683[Proj],0)</f>
        <v>13</v>
      </c>
      <c r="AC23" s="60">
        <f>IFERROR(INDEX(DK_Last_Week_Results_Data[Actual Score],MATCH(Table61647683[[#This Row],[Name]],DK_Last_Week_Results_Data[Player],0)),"")</f>
        <v>0</v>
      </c>
      <c r="AD23" s="58">
        <f>_xlfn.RANK.AVG(Table61647683[[#This Row],[Actual]],Table61647683[Actual],0)</f>
        <v>58</v>
      </c>
      <c r="AF23" s="492" t="s">
        <v>841</v>
      </c>
      <c r="AG23" s="60">
        <v>5.6333333333333329</v>
      </c>
      <c r="AH23" s="58">
        <f>_xlfn.RANK.AVG(Table61667885[[#This Row],[Proj]],Table61667885[Proj],0)</f>
        <v>15.5</v>
      </c>
      <c r="AI23" s="60" t="str">
        <f>IFERROR(INDEX(DK_Last_Week_Results_Data[Actual Score],MATCH(Table61667885[[#This Row],[Name]],DK_Last_Week_Results_Data[Player],0)),"")</f>
        <v/>
      </c>
      <c r="AJ23" s="58" t="e">
        <f>_xlfn.RANK.AVG(Table61667885[[#This Row],[Actual]],Table61667885[Actual],0)</f>
        <v>#VALUE!</v>
      </c>
    </row>
    <row r="24" spans="2:36" x14ac:dyDescent="0.3">
      <c r="B24" s="489" t="s">
        <v>88</v>
      </c>
      <c r="C24" s="60">
        <v>18.853333333333335</v>
      </c>
      <c r="D24" s="58">
        <f>_xlfn.RANK.AVG(Table667986[[#This Row],[Proj]],Table667986[Proj],0)</f>
        <v>14</v>
      </c>
      <c r="E24" s="60">
        <f>IFERROR(INDEX(DK_Last_Week_Results_Data[Actual Score],MATCH(Table667986[[#This Row],[Name]],DK_Last_Week_Results_Data[Player],0)),"")</f>
        <v>8.4</v>
      </c>
      <c r="F24" s="58">
        <f>_xlfn.RANK.AVG(Table667986[[#This Row],[Actual]],Table667986[Actual],0)</f>
        <v>109.5</v>
      </c>
      <c r="H24" s="489" t="s">
        <v>27</v>
      </c>
      <c r="I24" s="60">
        <v>17.708729166666664</v>
      </c>
      <c r="J24" s="58">
        <f>_xlfn.RANK.AVG(Table617380[[#This Row],[Proj]],Table617380[Proj],0)</f>
        <v>14</v>
      </c>
      <c r="K24" s="60">
        <f>IFERROR(INDEX(DK_Last_Week_Results_Data[Actual Score],MATCH(Table617380[[#This Row],[Name]],DK_Last_Week_Results_Data[Player],0)),"")</f>
        <v>11.24</v>
      </c>
      <c r="L24" s="58">
        <f>_xlfn.RANK.AVG(Table617380[[#This Row],[Actual]],Table617380[Actual],0)</f>
        <v>23</v>
      </c>
      <c r="N24" s="489" t="s">
        <v>128</v>
      </c>
      <c r="O24" s="60">
        <v>15.166666666666666</v>
      </c>
      <c r="P24" s="58">
        <f>_xlfn.RANK.AVG(Table61627481[[#This Row],[Proj]],Table61627481[Proj],0)</f>
        <v>14</v>
      </c>
      <c r="Q24" s="60">
        <f>IFERROR(INDEX(DK_Last_Week_Results_Data[Actual Score],MATCH(Table61627481[[#This Row],[Name]],DK_Last_Week_Results_Data[Player],0)),"")</f>
        <v>29.5</v>
      </c>
      <c r="R24" s="58">
        <f>_xlfn.RANK.AVG(Table61627481[[#This Row],[Actual]],Table61627481[Actual],0)</f>
        <v>4</v>
      </c>
      <c r="T24" s="489" t="s">
        <v>192</v>
      </c>
      <c r="U24" s="60">
        <v>16.53</v>
      </c>
      <c r="V24" s="58">
        <f>_xlfn.RANK.AVG(Table61637582[[#This Row],[Proj]],Table61637582[Proj],0)</f>
        <v>14</v>
      </c>
      <c r="W24" s="60">
        <f>IFERROR(INDEX(DK_Last_Week_Results_Data[Actual Score],MATCH(Table61637582[[#This Row],[Name]],DK_Last_Week_Results_Data[Player],0)),"")</f>
        <v>33</v>
      </c>
      <c r="X24" s="58">
        <f>_xlfn.RANK.AVG(Table61637582[[#This Row],[Actual]],Table61637582[Actual],0)</f>
        <v>5</v>
      </c>
      <c r="Z24" s="491" t="s">
        <v>383</v>
      </c>
      <c r="AA24" s="60">
        <v>8.98</v>
      </c>
      <c r="AB24" s="58">
        <f>_xlfn.RANK.AVG(Table61647683[[#This Row],[Proj]],Table61647683[Proj],0)</f>
        <v>14</v>
      </c>
      <c r="AC24" s="60">
        <f>IFERROR(INDEX(DK_Last_Week_Results_Data[Actual Score],MATCH(Table61647683[[#This Row],[Name]],DK_Last_Week_Results_Data[Player],0)),"")</f>
        <v>5.0999999999999996</v>
      </c>
      <c r="AD24" s="58">
        <f>_xlfn.RANK.AVG(Table61647683[[#This Row],[Actual]],Table61647683[Actual],0)</f>
        <v>21</v>
      </c>
      <c r="AF24" s="491" t="s">
        <v>829</v>
      </c>
      <c r="AG24" s="60">
        <v>5.3666666666666671</v>
      </c>
      <c r="AH24" s="58">
        <f>_xlfn.RANK.AVG(Table61667885[[#This Row],[Proj]],Table61667885[Proj],0)</f>
        <v>20</v>
      </c>
      <c r="AI24" s="60" t="str">
        <f>IFERROR(INDEX(DK_Last_Week_Results_Data[Actual Score],MATCH(Table61667885[[#This Row],[Name]],DK_Last_Week_Results_Data[Player],0)),"")</f>
        <v/>
      </c>
      <c r="AJ24" s="58" t="e">
        <f>_xlfn.RANK.AVG(Table61667885[[#This Row],[Actual]],Table61667885[Actual],0)</f>
        <v>#VALUE!</v>
      </c>
    </row>
    <row r="25" spans="2:36" x14ac:dyDescent="0.3">
      <c r="B25" s="489" t="s">
        <v>29</v>
      </c>
      <c r="C25" s="60">
        <v>18.677187500000002</v>
      </c>
      <c r="D25" s="58">
        <f>_xlfn.RANK.AVG(Table667986[[#This Row],[Proj]],Table667986[Proj],0)</f>
        <v>15</v>
      </c>
      <c r="E25" s="60">
        <f>IFERROR(INDEX(DK_Last_Week_Results_Data[Actual Score],MATCH(Table667986[[#This Row],[Name]],DK_Last_Week_Results_Data[Player],0)),"")</f>
        <v>7.76</v>
      </c>
      <c r="F25" s="58">
        <f>_xlfn.RANK.AVG(Table667986[[#This Row],[Actual]],Table667986[Actual],0)</f>
        <v>119</v>
      </c>
      <c r="H25" s="489" t="s">
        <v>15</v>
      </c>
      <c r="I25" s="60">
        <v>17.588374999999999</v>
      </c>
      <c r="J25" s="58">
        <f>_xlfn.RANK.AVG(Table617380[[#This Row],[Proj]],Table617380[Proj],0)</f>
        <v>15</v>
      </c>
      <c r="K25" s="60">
        <f>IFERROR(INDEX(DK_Last_Week_Results_Data[Actual Score],MATCH(Table617380[[#This Row],[Name]],DK_Last_Week_Results_Data[Player],0)),"")</f>
        <v>18.239999999999998</v>
      </c>
      <c r="L25" s="58">
        <f>_xlfn.RANK.AVG(Table617380[[#This Row],[Actual]],Table617380[Actual],0)</f>
        <v>13</v>
      </c>
      <c r="N25" s="489" t="s">
        <v>104</v>
      </c>
      <c r="O25" s="60">
        <v>14.913333333333332</v>
      </c>
      <c r="P25" s="58">
        <f>_xlfn.RANK.AVG(Table61627481[[#This Row],[Proj]],Table61627481[Proj],0)</f>
        <v>15</v>
      </c>
      <c r="Q25" s="60">
        <f>IFERROR(INDEX(DK_Last_Week_Results_Data[Actual Score],MATCH(Table61627481[[#This Row],[Name]],DK_Last_Week_Results_Data[Player],0)),"")</f>
        <v>28.5</v>
      </c>
      <c r="R25" s="58">
        <f>_xlfn.RANK.AVG(Table61627481[[#This Row],[Actual]],Table61627481[Actual],0)</f>
        <v>5</v>
      </c>
      <c r="T25" s="489" t="s">
        <v>193</v>
      </c>
      <c r="U25" s="60">
        <v>16.466666666666665</v>
      </c>
      <c r="V25" s="58">
        <f>_xlfn.RANK.AVG(Table61637582[[#This Row],[Proj]],Table61637582[Proj],0)</f>
        <v>15</v>
      </c>
      <c r="W25" s="60">
        <f>IFERROR(INDEX(DK_Last_Week_Results_Data[Actual Score],MATCH(Table61637582[[#This Row],[Name]],DK_Last_Week_Results_Data[Player],0)),"")</f>
        <v>13</v>
      </c>
      <c r="X25" s="58">
        <f>_xlfn.RANK.AVG(Table61637582[[#This Row],[Actual]],Table61637582[Actual],0)</f>
        <v>26</v>
      </c>
      <c r="Z25" s="491" t="s">
        <v>331</v>
      </c>
      <c r="AA25" s="60">
        <v>8.8133333333333326</v>
      </c>
      <c r="AB25" s="58">
        <f>_xlfn.RANK.AVG(Table61647683[[#This Row],[Proj]],Table61647683[Proj],0)</f>
        <v>15</v>
      </c>
      <c r="AC25" s="60">
        <f>IFERROR(INDEX(DK_Last_Week_Results_Data[Actual Score],MATCH(Table61647683[[#This Row],[Name]],DK_Last_Week_Results_Data[Player],0)),"")</f>
        <v>20</v>
      </c>
      <c r="AD25" s="58">
        <f>_xlfn.RANK.AVG(Table61647683[[#This Row],[Actual]],Table61647683[Actual],0)</f>
        <v>6</v>
      </c>
      <c r="AF25" s="492" t="s">
        <v>859</v>
      </c>
      <c r="AG25" s="60">
        <v>4.9333333333333336</v>
      </c>
      <c r="AH25" s="58">
        <f>_xlfn.RANK.AVG(Table61667885[[#This Row],[Proj]],Table61667885[Proj],0)</f>
        <v>26.5</v>
      </c>
      <c r="AI25" s="60" t="str">
        <f>IFERROR(INDEX(DK_Last_Week_Results_Data[Actual Score],MATCH(Table61667885[[#This Row],[Name]],DK_Last_Week_Results_Data[Player],0)),"")</f>
        <v/>
      </c>
      <c r="AJ25" s="58" t="e">
        <f>_xlfn.RANK.AVG(Table61667885[[#This Row],[Actual]],Table61667885[Actual],0)</f>
        <v>#VALUE!</v>
      </c>
    </row>
    <row r="26" spans="2:36" x14ac:dyDescent="0.3">
      <c r="B26" s="489" t="s">
        <v>5</v>
      </c>
      <c r="C26" s="60">
        <v>18.572812500000001</v>
      </c>
      <c r="D26" s="58">
        <f>_xlfn.RANK.AVG(Table667986[[#This Row],[Proj]],Table667986[Proj],0)</f>
        <v>16</v>
      </c>
      <c r="E26" s="60">
        <f>IFERROR(INDEX(DK_Last_Week_Results_Data[Actual Score],MATCH(Table667986[[#This Row],[Name]],DK_Last_Week_Results_Data[Player],0)),"")</f>
        <v>26.4</v>
      </c>
      <c r="F26" s="58">
        <f>_xlfn.RANK.AVG(Table667986[[#This Row],[Actual]],Table667986[Actual],0)</f>
        <v>21</v>
      </c>
      <c r="H26" s="489" t="s">
        <v>3</v>
      </c>
      <c r="I26" s="60">
        <v>17.559812499999996</v>
      </c>
      <c r="J26" s="58">
        <f>_xlfn.RANK.AVG(Table617380[[#This Row],[Proj]],Table617380[Proj],0)</f>
        <v>16</v>
      </c>
      <c r="K26" s="60">
        <f>IFERROR(INDEX(DK_Last_Week_Results_Data[Actual Score],MATCH(Table617380[[#This Row],[Name]],DK_Last_Week_Results_Data[Player],0)),"")</f>
        <v>12.86</v>
      </c>
      <c r="L26" s="58">
        <f>_xlfn.RANK.AVG(Table617380[[#This Row],[Actual]],Table617380[Actual],0)</f>
        <v>22</v>
      </c>
      <c r="N26" s="489" t="s">
        <v>86</v>
      </c>
      <c r="O26" s="60">
        <v>14.836666666666668</v>
      </c>
      <c r="P26" s="58">
        <f>_xlfn.RANK.AVG(Table61627481[[#This Row],[Proj]],Table61627481[Proj],0)</f>
        <v>16</v>
      </c>
      <c r="Q26" s="60">
        <f>IFERROR(INDEX(DK_Last_Week_Results_Data[Actual Score],MATCH(Table61627481[[#This Row],[Name]],DK_Last_Week_Results_Data[Player],0)),"")</f>
        <v>0</v>
      </c>
      <c r="R26" s="58">
        <f>_xlfn.RANK.AVG(Table61627481[[#This Row],[Actual]],Table61627481[Actual],0)</f>
        <v>83.5</v>
      </c>
      <c r="T26" s="489" t="s">
        <v>211</v>
      </c>
      <c r="U26" s="60">
        <v>16.446666666666665</v>
      </c>
      <c r="V26" s="58">
        <f>_xlfn.RANK.AVG(Table61637582[[#This Row],[Proj]],Table61637582[Proj],0)</f>
        <v>16</v>
      </c>
      <c r="W26" s="60">
        <f>IFERROR(INDEX(DK_Last_Week_Results_Data[Actual Score],MATCH(Table61637582[[#This Row],[Name]],DK_Last_Week_Results_Data[Player],0)),"")</f>
        <v>9.9</v>
      </c>
      <c r="X26" s="58">
        <f>_xlfn.RANK.AVG(Table61637582[[#This Row],[Actual]],Table61637582[Actual],0)</f>
        <v>43</v>
      </c>
      <c r="Z26" s="491" t="s">
        <v>335</v>
      </c>
      <c r="AA26" s="60">
        <v>8.6266666666666669</v>
      </c>
      <c r="AB26" s="58">
        <f>_xlfn.RANK.AVG(Table61647683[[#This Row],[Proj]],Table61647683[Proj],0)</f>
        <v>16</v>
      </c>
      <c r="AC26" s="60">
        <f>IFERROR(INDEX(DK_Last_Week_Results_Data[Actual Score],MATCH(Table61647683[[#This Row],[Name]],DK_Last_Week_Results_Data[Player],0)),"")</f>
        <v>5.8</v>
      </c>
      <c r="AD26" s="58">
        <f>_xlfn.RANK.AVG(Table61647683[[#This Row],[Actual]],Table61647683[Actual],0)</f>
        <v>19</v>
      </c>
      <c r="AF26" s="492" t="s">
        <v>839</v>
      </c>
      <c r="AG26" s="60">
        <v>5.5</v>
      </c>
      <c r="AH26" s="58">
        <f>_xlfn.RANK.AVG(Table61667885[[#This Row],[Proj]],Table61667885[Proj],0)</f>
        <v>17.5</v>
      </c>
      <c r="AI26" s="60" t="str">
        <f>IFERROR(INDEX(DK_Last_Week_Results_Data[Actual Score],MATCH(Table61667885[[#This Row],[Name]],DK_Last_Week_Results_Data[Player],0)),"")</f>
        <v/>
      </c>
      <c r="AJ26" s="58" t="e">
        <f>_xlfn.RANK.AVG(Table61667885[[#This Row],[Actual]],Table61667885[Actual],0)</f>
        <v>#VALUE!</v>
      </c>
    </row>
    <row r="27" spans="2:36" x14ac:dyDescent="0.3">
      <c r="B27" s="489" t="s">
        <v>210</v>
      </c>
      <c r="C27" s="60">
        <v>18.503333333333334</v>
      </c>
      <c r="D27" s="58">
        <f>_xlfn.RANK.AVG(Table667986[[#This Row],[Proj]],Table667986[Proj],0)</f>
        <v>17</v>
      </c>
      <c r="E27" s="60">
        <f>IFERROR(INDEX(DK_Last_Week_Results_Data[Actual Score],MATCH(Table667986[[#This Row],[Name]],DK_Last_Week_Results_Data[Player],0)),"")</f>
        <v>10.199999999999999</v>
      </c>
      <c r="F27" s="58">
        <f>_xlfn.RANK.AVG(Table667986[[#This Row],[Actual]],Table667986[Actual],0)</f>
        <v>94.5</v>
      </c>
      <c r="H27" s="489" t="s">
        <v>444</v>
      </c>
      <c r="I27" s="60">
        <v>17.413770833333338</v>
      </c>
      <c r="J27" s="58">
        <f>_xlfn.RANK.AVG(Table617380[[#This Row],[Proj]],Table617380[Proj],0)</f>
        <v>17</v>
      </c>
      <c r="K27" s="60">
        <f>IFERROR(INDEX(DK_Last_Week_Results_Data[Actual Score],MATCH(Table617380[[#This Row],[Name]],DK_Last_Week_Results_Data[Player],0)),"")</f>
        <v>23.52</v>
      </c>
      <c r="L27" s="58">
        <f>_xlfn.RANK.AVG(Table617380[[#This Row],[Actual]],Table617380[Actual],0)</f>
        <v>8</v>
      </c>
      <c r="N27" s="489" t="s">
        <v>109</v>
      </c>
      <c r="O27" s="60">
        <v>14.709999999999999</v>
      </c>
      <c r="P27" s="58">
        <f>_xlfn.RANK.AVG(Table61627481[[#This Row],[Proj]],Table61627481[Proj],0)</f>
        <v>17</v>
      </c>
      <c r="Q27" s="60">
        <f>IFERROR(INDEX(DK_Last_Week_Results_Data[Actual Score],MATCH(Table61627481[[#This Row],[Name]],DK_Last_Week_Results_Data[Player],0)),"")</f>
        <v>6.6</v>
      </c>
      <c r="R27" s="58">
        <f>_xlfn.RANK.AVG(Table61627481[[#This Row],[Actual]],Table61627481[Actual],0)</f>
        <v>44</v>
      </c>
      <c r="T27" s="489" t="s">
        <v>427</v>
      </c>
      <c r="U27" s="60">
        <v>16.423333333333336</v>
      </c>
      <c r="V27" s="58">
        <f>_xlfn.RANK.AVG(Table61637582[[#This Row],[Proj]],Table61637582[Proj],0)</f>
        <v>17</v>
      </c>
      <c r="W27" s="60">
        <f>IFERROR(INDEX(DK_Last_Week_Results_Data[Actual Score],MATCH(Table61637582[[#This Row],[Name]],DK_Last_Week_Results_Data[Player],0)),"")</f>
        <v>31.1</v>
      </c>
      <c r="X27" s="58">
        <f>_xlfn.RANK.AVG(Table61637582[[#This Row],[Actual]],Table61637582[Actual],0)</f>
        <v>7</v>
      </c>
      <c r="Z27" s="491" t="s">
        <v>334</v>
      </c>
      <c r="AA27" s="60">
        <v>8.3833333333333329</v>
      </c>
      <c r="AB27" s="58">
        <f>_xlfn.RANK.AVG(Table61647683[[#This Row],[Proj]],Table61647683[Proj],0)</f>
        <v>17</v>
      </c>
      <c r="AC27" s="60">
        <f>IFERROR(INDEX(DK_Last_Week_Results_Data[Actual Score],MATCH(Table61647683[[#This Row],[Name]],DK_Last_Week_Results_Data[Player],0)),"")</f>
        <v>27.8</v>
      </c>
      <c r="AD27" s="58">
        <f>_xlfn.RANK.AVG(Table61647683[[#This Row],[Actual]],Table61647683[Actual],0)</f>
        <v>1</v>
      </c>
      <c r="AF27" s="492" t="s">
        <v>842</v>
      </c>
      <c r="AG27" s="60">
        <v>5.4666666666666659</v>
      </c>
      <c r="AH27" s="58">
        <f>_xlfn.RANK.AVG(Table61667885[[#This Row],[Proj]],Table61667885[Proj],0)</f>
        <v>19</v>
      </c>
      <c r="AI27" s="60" t="str">
        <f>IFERROR(INDEX(DK_Last_Week_Results_Data[Actual Score],MATCH(Table61667885[[#This Row],[Name]],DK_Last_Week_Results_Data[Player],0)),"")</f>
        <v/>
      </c>
      <c r="AJ27" s="58" t="e">
        <f>_xlfn.RANK.AVG(Table61667885[[#This Row],[Actual]],Table61667885[Actual],0)</f>
        <v>#VALUE!</v>
      </c>
    </row>
    <row r="28" spans="2:36" x14ac:dyDescent="0.3">
      <c r="B28" s="489" t="s">
        <v>48</v>
      </c>
      <c r="C28" s="60">
        <v>18.4080625</v>
      </c>
      <c r="D28" s="58">
        <f>_xlfn.RANK.AVG(Table667986[[#This Row],[Proj]],Table667986[Proj],0)</f>
        <v>18</v>
      </c>
      <c r="E28" s="60">
        <f>IFERROR(INDEX(DK_Last_Week_Results_Data[Actual Score],MATCH(Table667986[[#This Row],[Name]],DK_Last_Week_Results_Data[Player],0)),"")</f>
        <v>0</v>
      </c>
      <c r="F28" s="58">
        <f>_xlfn.RANK.AVG(Table667986[[#This Row],[Actual]],Table667986[Actual],0)</f>
        <v>250</v>
      </c>
      <c r="H28" s="489" t="s">
        <v>450</v>
      </c>
      <c r="I28" s="60">
        <v>17.306124999999998</v>
      </c>
      <c r="J28" s="58">
        <f>_xlfn.RANK.AVG(Table617380[[#This Row],[Proj]],Table617380[Proj],0)</f>
        <v>18</v>
      </c>
      <c r="K28" s="60">
        <f>IFERROR(INDEX(DK_Last_Week_Results_Data[Actual Score],MATCH(Table617380[[#This Row],[Name]],DK_Last_Week_Results_Data[Player],0)),"")</f>
        <v>24.04</v>
      </c>
      <c r="L28" s="58">
        <f>_xlfn.RANK.AVG(Table617380[[#This Row],[Actual]],Table617380[Actual],0)</f>
        <v>7</v>
      </c>
      <c r="N28" s="489" t="s">
        <v>90</v>
      </c>
      <c r="O28" s="60">
        <v>14.436666666666667</v>
      </c>
      <c r="P28" s="58">
        <f>_xlfn.RANK.AVG(Table61627481[[#This Row],[Proj]],Table61627481[Proj],0)</f>
        <v>18</v>
      </c>
      <c r="Q28" s="60">
        <f>IFERROR(INDEX(DK_Last_Week_Results_Data[Actual Score],MATCH(Table61627481[[#This Row],[Name]],DK_Last_Week_Results_Data[Player],0)),"")</f>
        <v>0</v>
      </c>
      <c r="R28" s="58">
        <f>_xlfn.RANK.AVG(Table61627481[[#This Row],[Actual]],Table61627481[Actual],0)</f>
        <v>83.5</v>
      </c>
      <c r="T28" s="489" t="s">
        <v>217</v>
      </c>
      <c r="U28" s="60">
        <v>15.993333333333332</v>
      </c>
      <c r="V28" s="58">
        <f>_xlfn.RANK.AVG(Table61637582[[#This Row],[Proj]],Table61637582[Proj],0)</f>
        <v>18</v>
      </c>
      <c r="W28" s="60">
        <f>IFERROR(INDEX(DK_Last_Week_Results_Data[Actual Score],MATCH(Table61637582[[#This Row],[Name]],DK_Last_Week_Results_Data[Player],0)),"")</f>
        <v>32.200000000000003</v>
      </c>
      <c r="X28" s="58">
        <f>_xlfn.RANK.AVG(Table61637582[[#This Row],[Actual]],Table61637582[Actual],0)</f>
        <v>6</v>
      </c>
      <c r="Z28" s="491" t="s">
        <v>336</v>
      </c>
      <c r="AA28" s="60">
        <v>8.0833333333333339</v>
      </c>
      <c r="AB28" s="58">
        <f>_xlfn.RANK.AVG(Table61647683[[#This Row],[Proj]],Table61647683[Proj],0)</f>
        <v>18</v>
      </c>
      <c r="AC28" s="60">
        <f>IFERROR(INDEX(DK_Last_Week_Results_Data[Actual Score],MATCH(Table61647683[[#This Row],[Name]],DK_Last_Week_Results_Data[Player],0)),"")</f>
        <v>3.6</v>
      </c>
      <c r="AD28" s="58">
        <f>_xlfn.RANK.AVG(Table61647683[[#This Row],[Actual]],Table61647683[Actual],0)</f>
        <v>29</v>
      </c>
      <c r="AF28" s="491" t="s">
        <v>845</v>
      </c>
      <c r="AG28" s="60">
        <v>4.5333333333333341</v>
      </c>
      <c r="AH28" s="58">
        <f>_xlfn.RANK.AVG(Table61667885[[#This Row],[Proj]],Table61667885[Proj],0)</f>
        <v>29</v>
      </c>
      <c r="AI28" s="60" t="str">
        <f>IFERROR(INDEX(DK_Last_Week_Results_Data[Actual Score],MATCH(Table61667885[[#This Row],[Name]],DK_Last_Week_Results_Data[Player],0)),"")</f>
        <v/>
      </c>
      <c r="AJ28" s="58" t="e">
        <f>_xlfn.RANK.AVG(Table61667885[[#This Row],[Actual]],Table61667885[Actual],0)</f>
        <v>#VALUE!</v>
      </c>
    </row>
    <row r="29" spans="2:36" x14ac:dyDescent="0.3">
      <c r="B29" s="489" t="s">
        <v>11</v>
      </c>
      <c r="C29" s="60">
        <v>18.31325</v>
      </c>
      <c r="D29" s="58">
        <f>_xlfn.RANK.AVG(Table667986[[#This Row],[Proj]],Table667986[Proj],0)</f>
        <v>19</v>
      </c>
      <c r="E29" s="60">
        <f>IFERROR(INDEX(DK_Last_Week_Results_Data[Actual Score],MATCH(Table667986[[#This Row],[Name]],DK_Last_Week_Results_Data[Player],0)),"")</f>
        <v>14.46</v>
      </c>
      <c r="F29" s="58">
        <f>_xlfn.RANK.AVG(Table667986[[#This Row],[Actual]],Table667986[Actual],0)</f>
        <v>58</v>
      </c>
      <c r="H29" s="489" t="s">
        <v>19</v>
      </c>
      <c r="I29" s="60">
        <v>17.245999999999999</v>
      </c>
      <c r="J29" s="58">
        <f>_xlfn.RANK.AVG(Table617380[[#This Row],[Proj]],Table617380[Proj],0)</f>
        <v>19</v>
      </c>
      <c r="K29" s="60">
        <f>IFERROR(INDEX(DK_Last_Week_Results_Data[Actual Score],MATCH(Table617380[[#This Row],[Name]],DK_Last_Week_Results_Data[Player],0)),"")</f>
        <v>8.98</v>
      </c>
      <c r="L29" s="58">
        <f>_xlfn.RANK.AVG(Table617380[[#This Row],[Actual]],Table617380[Actual],0)</f>
        <v>26</v>
      </c>
      <c r="N29" s="489" t="s">
        <v>93</v>
      </c>
      <c r="O29" s="60">
        <v>14.433333333333334</v>
      </c>
      <c r="P29" s="58">
        <f>_xlfn.RANK.AVG(Table61627481[[#This Row],[Proj]],Table61627481[Proj],0)</f>
        <v>19</v>
      </c>
      <c r="Q29" s="60">
        <f>IFERROR(INDEX(DK_Last_Week_Results_Data[Actual Score],MATCH(Table61627481[[#This Row],[Name]],DK_Last_Week_Results_Data[Player],0)),"")</f>
        <v>29.6</v>
      </c>
      <c r="R29" s="58">
        <f>_xlfn.RANK.AVG(Table61627481[[#This Row],[Actual]],Table61627481[Actual],0)</f>
        <v>3</v>
      </c>
      <c r="T29" s="489" t="s">
        <v>198</v>
      </c>
      <c r="U29" s="60">
        <v>15.466666666666669</v>
      </c>
      <c r="V29" s="58">
        <f>_xlfn.RANK.AVG(Table61637582[[#This Row],[Proj]],Table61637582[Proj],0)</f>
        <v>19</v>
      </c>
      <c r="W29" s="60">
        <f>IFERROR(INDEX(DK_Last_Week_Results_Data[Actual Score],MATCH(Table61637582[[#This Row],[Name]],DK_Last_Week_Results_Data[Player],0)),"")</f>
        <v>9.1999999999999993</v>
      </c>
      <c r="X29" s="58">
        <f>_xlfn.RANK.AVG(Table61637582[[#This Row],[Actual]],Table61637582[Actual],0)</f>
        <v>47</v>
      </c>
      <c r="Z29" s="491" t="s">
        <v>532</v>
      </c>
      <c r="AA29" s="60">
        <v>7.7666666666666675</v>
      </c>
      <c r="AB29" s="58">
        <f>_xlfn.RANK.AVG(Table61647683[[#This Row],[Proj]],Table61647683[Proj],0)</f>
        <v>19</v>
      </c>
      <c r="AC29" s="60">
        <f>IFERROR(INDEX(DK_Last_Week_Results_Data[Actual Score],MATCH(Table61647683[[#This Row],[Name]],DK_Last_Week_Results_Data[Player],0)),"")</f>
        <v>10.199999999999999</v>
      </c>
      <c r="AD29" s="58">
        <f>_xlfn.RANK.AVG(Table61647683[[#This Row],[Actual]],Table61647683[Actual],0)</f>
        <v>12</v>
      </c>
      <c r="AF29" s="491" t="s">
        <v>849</v>
      </c>
      <c r="AG29" s="60">
        <v>5.2333333333333334</v>
      </c>
      <c r="AH29" s="58">
        <f>_xlfn.RANK.AVG(Table61667885[[#This Row],[Proj]],Table61667885[Proj],0)</f>
        <v>22</v>
      </c>
      <c r="AI29" s="60" t="str">
        <f>IFERROR(INDEX(DK_Last_Week_Results_Data[Actual Score],MATCH(Table61667885[[#This Row],[Name]],DK_Last_Week_Results_Data[Player],0)),"")</f>
        <v/>
      </c>
      <c r="AJ29" s="58" t="e">
        <f>_xlfn.RANK.AVG(Table61667885[[#This Row],[Actual]],Table61667885[Actual],0)</f>
        <v>#VALUE!</v>
      </c>
    </row>
    <row r="30" spans="2:36" x14ac:dyDescent="0.3">
      <c r="B30" s="489" t="s">
        <v>189</v>
      </c>
      <c r="C30" s="60">
        <v>18.203333333333333</v>
      </c>
      <c r="D30" s="58">
        <f>_xlfn.RANK.AVG(Table667986[[#This Row],[Proj]],Table667986[Proj],0)</f>
        <v>20</v>
      </c>
      <c r="E30" s="60">
        <f>IFERROR(INDEX(DK_Last_Week_Results_Data[Actual Score],MATCH(Table667986[[#This Row],[Name]],DK_Last_Week_Results_Data[Player],0)),"")</f>
        <v>9.6</v>
      </c>
      <c r="F30" s="58">
        <f>_xlfn.RANK.AVG(Table667986[[#This Row],[Actual]],Table667986[Actual],0)</f>
        <v>100</v>
      </c>
      <c r="H30" s="489" t="s">
        <v>411</v>
      </c>
      <c r="I30" s="60">
        <v>17.175104166666664</v>
      </c>
      <c r="J30" s="58">
        <f>_xlfn.RANK.AVG(Table617380[[#This Row],[Proj]],Table617380[Proj],0)</f>
        <v>20</v>
      </c>
      <c r="K30" s="60">
        <f>IFERROR(INDEX(DK_Last_Week_Results_Data[Actual Score],MATCH(Table617380[[#This Row],[Name]],DK_Last_Week_Results_Data[Player],0)),"")</f>
        <v>3.72</v>
      </c>
      <c r="L30" s="58">
        <f>_xlfn.RANK.AVG(Table617380[[#This Row],[Actual]],Table617380[Actual],0)</f>
        <v>32</v>
      </c>
      <c r="N30" s="489" t="s">
        <v>121</v>
      </c>
      <c r="O30" s="60">
        <v>14.32</v>
      </c>
      <c r="P30" s="58">
        <f>_xlfn.RANK.AVG(Table61627481[[#This Row],[Proj]],Table61627481[Proj],0)</f>
        <v>20</v>
      </c>
      <c r="Q30" s="60">
        <f>IFERROR(INDEX(DK_Last_Week_Results_Data[Actual Score],MATCH(Table61627481[[#This Row],[Name]],DK_Last_Week_Results_Data[Player],0)),"")</f>
        <v>9.9</v>
      </c>
      <c r="R30" s="58">
        <f>_xlfn.RANK.AVG(Table61627481[[#This Row],[Actual]],Table61627481[Actual],0)</f>
        <v>30</v>
      </c>
      <c r="T30" s="489" t="s">
        <v>768</v>
      </c>
      <c r="U30" s="60">
        <v>15.293333333333333</v>
      </c>
      <c r="V30" s="58">
        <f>_xlfn.RANK.AVG(Table61637582[[#This Row],[Proj]],Table61637582[Proj],0)</f>
        <v>20</v>
      </c>
      <c r="W30" s="60">
        <f>IFERROR(INDEX(DK_Last_Week_Results_Data[Actual Score],MATCH(Table61637582[[#This Row],[Name]],DK_Last_Week_Results_Data[Player],0)),"")</f>
        <v>0</v>
      </c>
      <c r="X30" s="58">
        <f>_xlfn.RANK.AVG(Table61637582[[#This Row],[Actual]],Table61637582[Actual],0)</f>
        <v>121</v>
      </c>
      <c r="Z30" s="492" t="s">
        <v>354</v>
      </c>
      <c r="AA30" s="60">
        <v>7.6950000000000003</v>
      </c>
      <c r="AB30" s="58">
        <f>_xlfn.RANK.AVG(Table61647683[[#This Row],[Proj]],Table61647683[Proj],0)</f>
        <v>20</v>
      </c>
      <c r="AC30" s="60">
        <f>IFERROR(INDEX(DK_Last_Week_Results_Data[Actual Score],MATCH(Table61647683[[#This Row],[Name]],DK_Last_Week_Results_Data[Player],0)),"")</f>
        <v>3</v>
      </c>
      <c r="AD30" s="58">
        <f>_xlfn.RANK.AVG(Table61647683[[#This Row],[Actual]],Table61647683[Actual],0)</f>
        <v>34</v>
      </c>
      <c r="AF30" s="491" t="s">
        <v>830</v>
      </c>
      <c r="AG30" s="60">
        <v>5.7</v>
      </c>
      <c r="AH30" s="58">
        <f>_xlfn.RANK.AVG(Table61667885[[#This Row],[Proj]],Table61667885[Proj],0)</f>
        <v>13</v>
      </c>
      <c r="AI30" s="60" t="str">
        <f>IFERROR(INDEX(DK_Last_Week_Results_Data[Actual Score],MATCH(Table61667885[[#This Row],[Name]],DK_Last_Week_Results_Data[Player],0)),"")</f>
        <v/>
      </c>
      <c r="AJ30" s="58" t="e">
        <f>_xlfn.RANK.AVG(Table61667885[[#This Row],[Actual]],Table61667885[Actual],0)</f>
        <v>#VALUE!</v>
      </c>
    </row>
    <row r="31" spans="2:36" x14ac:dyDescent="0.3">
      <c r="B31" s="489" t="s">
        <v>49</v>
      </c>
      <c r="C31" s="60">
        <v>18.1989375</v>
      </c>
      <c r="D31" s="58">
        <f>_xlfn.RANK.AVG(Table667986[[#This Row],[Proj]],Table667986[Proj],0)</f>
        <v>21</v>
      </c>
      <c r="E31" s="60">
        <f>IFERROR(INDEX(DK_Last_Week_Results_Data[Actual Score],MATCH(Table667986[[#This Row],[Name]],DK_Last_Week_Results_Data[Player],0)),"")</f>
        <v>19.899999999999999</v>
      </c>
      <c r="F31" s="58">
        <f>_xlfn.RANK.AVG(Table667986[[#This Row],[Actual]],Table667986[Actual],0)</f>
        <v>41</v>
      </c>
      <c r="H31" s="489" t="s">
        <v>429</v>
      </c>
      <c r="I31" s="60">
        <v>16.985270833333331</v>
      </c>
      <c r="J31" s="58">
        <f>_xlfn.RANK.AVG(Table617380[[#This Row],[Proj]],Table617380[Proj],0)</f>
        <v>21</v>
      </c>
      <c r="K31" s="60">
        <f>IFERROR(INDEX(DK_Last_Week_Results_Data[Actual Score],MATCH(Table617380[[#This Row],[Name]],DK_Last_Week_Results_Data[Player],0)),"")</f>
        <v>0</v>
      </c>
      <c r="L31" s="58">
        <f>_xlfn.RANK.AVG(Table617380[[#This Row],[Actual]],Table617380[Actual],0)</f>
        <v>46.5</v>
      </c>
      <c r="N31" s="489" t="s">
        <v>82</v>
      </c>
      <c r="O31" s="60">
        <v>14.303333333333336</v>
      </c>
      <c r="P31" s="58">
        <f>_xlfn.RANK.AVG(Table61627481[[#This Row],[Proj]],Table61627481[Proj],0)</f>
        <v>21</v>
      </c>
      <c r="Q31" s="60">
        <f>IFERROR(INDEX(DK_Last_Week_Results_Data[Actual Score],MATCH(Table61627481[[#This Row],[Name]],DK_Last_Week_Results_Data[Player],0)),"")</f>
        <v>10.8</v>
      </c>
      <c r="R31" s="58">
        <f>_xlfn.RANK.AVG(Table61627481[[#This Row],[Actual]],Table61627481[Actual],0)</f>
        <v>27</v>
      </c>
      <c r="T31" s="489" t="s">
        <v>205</v>
      </c>
      <c r="U31" s="60">
        <v>15.05</v>
      </c>
      <c r="V31" s="58">
        <f>_xlfn.RANK.AVG(Table61637582[[#This Row],[Proj]],Table61637582[Proj],0)</f>
        <v>21</v>
      </c>
      <c r="W31" s="60">
        <f>IFERROR(INDEX(DK_Last_Week_Results_Data[Actual Score],MATCH(Table61637582[[#This Row],[Name]],DK_Last_Week_Results_Data[Player],0)),"")</f>
        <v>29.6</v>
      </c>
      <c r="X31" s="58">
        <f>_xlfn.RANK.AVG(Table61637582[[#This Row],[Actual]],Table61637582[Actual],0)</f>
        <v>8</v>
      </c>
      <c r="Z31" s="491" t="s">
        <v>333</v>
      </c>
      <c r="AA31" s="60">
        <v>7.3899999999999988</v>
      </c>
      <c r="AB31" s="58">
        <f>_xlfn.RANK.AVG(Table61647683[[#This Row],[Proj]],Table61647683[Proj],0)</f>
        <v>21</v>
      </c>
      <c r="AC31" s="60">
        <f>IFERROR(INDEX(DK_Last_Week_Results_Data[Actual Score],MATCH(Table61647683[[#This Row],[Name]],DK_Last_Week_Results_Data[Player],0)),"")</f>
        <v>0</v>
      </c>
      <c r="AD31" s="58">
        <f>_xlfn.RANK.AVG(Table61647683[[#This Row],[Actual]],Table61647683[Actual],0)</f>
        <v>58</v>
      </c>
      <c r="AF31" s="491" t="s">
        <v>827</v>
      </c>
      <c r="AG31" s="60">
        <v>4.9333333333333336</v>
      </c>
      <c r="AH31" s="58">
        <f>_xlfn.RANK.AVG(Table61667885[[#This Row],[Proj]],Table61667885[Proj],0)</f>
        <v>26.5</v>
      </c>
      <c r="AI31" s="60" t="str">
        <f>IFERROR(INDEX(DK_Last_Week_Results_Data[Actual Score],MATCH(Table61667885[[#This Row],[Name]],DK_Last_Week_Results_Data[Player],0)),"")</f>
        <v/>
      </c>
      <c r="AJ31" s="58" t="e">
        <f>_xlfn.RANK.AVG(Table61667885[[#This Row],[Actual]],Table61667885[Actual],0)</f>
        <v>#VALUE!</v>
      </c>
    </row>
    <row r="32" spans="2:36" x14ac:dyDescent="0.3">
      <c r="B32" s="489" t="s">
        <v>31</v>
      </c>
      <c r="C32" s="60">
        <v>18.192458333333335</v>
      </c>
      <c r="D32" s="58">
        <f>_xlfn.RANK.AVG(Table667986[[#This Row],[Proj]],Table667986[Proj],0)</f>
        <v>22</v>
      </c>
      <c r="E32" s="60">
        <f>IFERROR(INDEX(DK_Last_Week_Results_Data[Actual Score],MATCH(Table667986[[#This Row],[Name]],DK_Last_Week_Results_Data[Player],0)),"")</f>
        <v>13.76</v>
      </c>
      <c r="F32" s="58">
        <f>_xlfn.RANK.AVG(Table667986[[#This Row],[Actual]],Table667986[Actual],0)</f>
        <v>63</v>
      </c>
      <c r="H32" s="489" t="s">
        <v>56</v>
      </c>
      <c r="I32" s="60">
        <v>16.964437499999999</v>
      </c>
      <c r="J32" s="58">
        <f>_xlfn.RANK.AVG(Table617380[[#This Row],[Proj]],Table617380[Proj],0)</f>
        <v>22</v>
      </c>
      <c r="K32" s="60">
        <f>IFERROR(INDEX(DK_Last_Week_Results_Data[Actual Score],MATCH(Table617380[[#This Row],[Name]],DK_Last_Week_Results_Data[Player],0)),"")</f>
        <v>24.96</v>
      </c>
      <c r="L32" s="58">
        <f>_xlfn.RANK.AVG(Table617380[[#This Row],[Actual]],Table617380[Actual],0)</f>
        <v>6</v>
      </c>
      <c r="N32" s="489" t="s">
        <v>125</v>
      </c>
      <c r="O32" s="60">
        <v>14.246666666666666</v>
      </c>
      <c r="P32" s="58">
        <f>_xlfn.RANK.AVG(Table61627481[[#This Row],[Proj]],Table61627481[Proj],0)</f>
        <v>22</v>
      </c>
      <c r="Q32" s="60">
        <f>IFERROR(INDEX(DK_Last_Week_Results_Data[Actual Score],MATCH(Table61627481[[#This Row],[Name]],DK_Last_Week_Results_Data[Player],0)),"")</f>
        <v>8.3000000000000007</v>
      </c>
      <c r="R32" s="58">
        <f>_xlfn.RANK.AVG(Table61627481[[#This Row],[Actual]],Table61627481[Actual],0)</f>
        <v>38</v>
      </c>
      <c r="T32" s="489" t="s">
        <v>216</v>
      </c>
      <c r="U32" s="60">
        <v>14.98</v>
      </c>
      <c r="V32" s="58">
        <f>_xlfn.RANK.AVG(Table61637582[[#This Row],[Proj]],Table61637582[Proj],0)</f>
        <v>22</v>
      </c>
      <c r="W32" s="60">
        <f>IFERROR(INDEX(DK_Last_Week_Results_Data[Actual Score],MATCH(Table61637582[[#This Row],[Name]],DK_Last_Week_Results_Data[Player],0)),"")</f>
        <v>4.3</v>
      </c>
      <c r="X32" s="58">
        <f>_xlfn.RANK.AVG(Table61637582[[#This Row],[Actual]],Table61637582[Actual],0)</f>
        <v>78.5</v>
      </c>
      <c r="Z32" s="491" t="s">
        <v>341</v>
      </c>
      <c r="AA32" s="60">
        <v>7.3333333333333339</v>
      </c>
      <c r="AB32" s="58">
        <f>_xlfn.RANK.AVG(Table61647683[[#This Row],[Proj]],Table61647683[Proj],0)</f>
        <v>22</v>
      </c>
      <c r="AC32" s="60">
        <f>IFERROR(INDEX(DK_Last_Week_Results_Data[Actual Score],MATCH(Table61647683[[#This Row],[Name]],DK_Last_Week_Results_Data[Player],0)),"")</f>
        <v>1.5</v>
      </c>
      <c r="AD32" s="58">
        <f>_xlfn.RANK.AVG(Table61647683[[#This Row],[Actual]],Table61647683[Actual],0)</f>
        <v>40</v>
      </c>
      <c r="AF32" s="491" t="s">
        <v>833</v>
      </c>
      <c r="AG32" s="60">
        <v>5.5</v>
      </c>
      <c r="AH32" s="58">
        <f>_xlfn.RANK.AVG(Table61667885[[#This Row],[Proj]],Table61667885[Proj],0)</f>
        <v>17.5</v>
      </c>
      <c r="AI32" s="60" t="str">
        <f>IFERROR(INDEX(DK_Last_Week_Results_Data[Actual Score],MATCH(Table61667885[[#This Row],[Name]],DK_Last_Week_Results_Data[Player],0)),"")</f>
        <v/>
      </c>
      <c r="AJ32" s="58" t="e">
        <f>_xlfn.RANK.AVG(Table61667885[[#This Row],[Actual]],Table61667885[Actual],0)</f>
        <v>#VALUE!</v>
      </c>
    </row>
    <row r="33" spans="2:36" x14ac:dyDescent="0.3">
      <c r="B33" s="489" t="s">
        <v>98</v>
      </c>
      <c r="C33" s="60">
        <v>18.133333333333333</v>
      </c>
      <c r="D33" s="58">
        <f>_xlfn.RANK.AVG(Table667986[[#This Row],[Proj]],Table667986[Proj],0)</f>
        <v>23</v>
      </c>
      <c r="E33" s="60">
        <f>IFERROR(INDEX(DK_Last_Week_Results_Data[Actual Score],MATCH(Table667986[[#This Row],[Name]],DK_Last_Week_Results_Data[Player],0)),"")</f>
        <v>26.1</v>
      </c>
      <c r="F33" s="58">
        <f>_xlfn.RANK.AVG(Table667986[[#This Row],[Actual]],Table667986[Actual],0)</f>
        <v>22</v>
      </c>
      <c r="H33" s="489" t="s">
        <v>17</v>
      </c>
      <c r="I33" s="60">
        <v>16.8798125</v>
      </c>
      <c r="J33" s="58">
        <f>_xlfn.RANK.AVG(Table617380[[#This Row],[Proj]],Table617380[Proj],0)</f>
        <v>23</v>
      </c>
      <c r="K33" s="60">
        <f>IFERROR(INDEX(DK_Last_Week_Results_Data[Actual Score],MATCH(Table617380[[#This Row],[Name]],DK_Last_Week_Results_Data[Player],0)),"")</f>
        <v>19.34</v>
      </c>
      <c r="L33" s="58">
        <f>_xlfn.RANK.AVG(Table617380[[#This Row],[Actual]],Table617380[Actual],0)</f>
        <v>11</v>
      </c>
      <c r="N33" s="489" t="s">
        <v>96</v>
      </c>
      <c r="O33" s="60">
        <v>14.09</v>
      </c>
      <c r="P33" s="58">
        <f>_xlfn.RANK.AVG(Table61627481[[#This Row],[Proj]],Table61627481[Proj],0)</f>
        <v>23</v>
      </c>
      <c r="Q33" s="60">
        <f>IFERROR(INDEX(DK_Last_Week_Results_Data[Actual Score],MATCH(Table61627481[[#This Row],[Name]],DK_Last_Week_Results_Data[Player],0)),"")</f>
        <v>14.5</v>
      </c>
      <c r="R33" s="58">
        <f>_xlfn.RANK.AVG(Table61627481[[#This Row],[Actual]],Table61627481[Actual],0)</f>
        <v>19</v>
      </c>
      <c r="T33" s="489" t="s">
        <v>212</v>
      </c>
      <c r="U33" s="60">
        <v>14.913333333333334</v>
      </c>
      <c r="V33" s="58">
        <f>_xlfn.RANK.AVG(Table61637582[[#This Row],[Proj]],Table61637582[Proj],0)</f>
        <v>23</v>
      </c>
      <c r="W33" s="60">
        <f>IFERROR(INDEX(DK_Last_Week_Results_Data[Actual Score],MATCH(Table61637582[[#This Row],[Name]],DK_Last_Week_Results_Data[Player],0)),"")</f>
        <v>7.2</v>
      </c>
      <c r="X33" s="58">
        <f>_xlfn.RANK.AVG(Table61637582[[#This Row],[Actual]],Table61637582[Actual],0)</f>
        <v>55</v>
      </c>
      <c r="Z33" s="491" t="s">
        <v>338</v>
      </c>
      <c r="AA33" s="60">
        <v>7.080000000000001</v>
      </c>
      <c r="AB33" s="58">
        <f>_xlfn.RANK.AVG(Table61647683[[#This Row],[Proj]],Table61647683[Proj],0)</f>
        <v>23</v>
      </c>
      <c r="AC33" s="60">
        <f>IFERROR(INDEX(DK_Last_Week_Results_Data[Actual Score],MATCH(Table61647683[[#This Row],[Name]],DK_Last_Week_Results_Data[Player],0)),"")</f>
        <v>2.4</v>
      </c>
      <c r="AD33" s="58">
        <f>_xlfn.RANK.AVG(Table61647683[[#This Row],[Actual]],Table61647683[Actual],0)</f>
        <v>38</v>
      </c>
      <c r="AF33" s="491" t="s">
        <v>836</v>
      </c>
      <c r="AG33" s="60">
        <v>5.333333333333333</v>
      </c>
      <c r="AH33" s="58">
        <f>_xlfn.RANK.AVG(Table61667885[[#This Row],[Proj]],Table61667885[Proj],0)</f>
        <v>21</v>
      </c>
      <c r="AI33" s="60" t="str">
        <f>IFERROR(INDEX(DK_Last_Week_Results_Data[Actual Score],MATCH(Table61667885[[#This Row],[Name]],DK_Last_Week_Results_Data[Player],0)),"")</f>
        <v/>
      </c>
      <c r="AJ33" s="58" t="e">
        <f>_xlfn.RANK.AVG(Table61667885[[#This Row],[Actual]],Table61667885[Actual],0)</f>
        <v>#VALUE!</v>
      </c>
    </row>
    <row r="34" spans="2:36" x14ac:dyDescent="0.3">
      <c r="B34" s="489" t="s">
        <v>107</v>
      </c>
      <c r="C34" s="60">
        <v>18.099999999999998</v>
      </c>
      <c r="D34" s="58">
        <f>_xlfn.RANK.AVG(Table667986[[#This Row],[Proj]],Table667986[Proj],0)</f>
        <v>24</v>
      </c>
      <c r="E34" s="60">
        <f>IFERROR(INDEX(DK_Last_Week_Results_Data[Actual Score],MATCH(Table667986[[#This Row],[Name]],DK_Last_Week_Results_Data[Player],0)),"")</f>
        <v>0</v>
      </c>
      <c r="F34" s="58">
        <f>_xlfn.RANK.AVG(Table667986[[#This Row],[Actual]],Table667986[Actual],0)</f>
        <v>250</v>
      </c>
      <c r="H34" s="489" t="s">
        <v>9</v>
      </c>
      <c r="I34" s="60">
        <v>16.276708333333335</v>
      </c>
      <c r="J34" s="58">
        <f>_xlfn.RANK.AVG(Table617380[[#This Row],[Proj]],Table617380[Proj],0)</f>
        <v>24</v>
      </c>
      <c r="K34" s="60">
        <f>IFERROR(INDEX(DK_Last_Week_Results_Data[Actual Score],MATCH(Table617380[[#This Row],[Name]],DK_Last_Week_Results_Data[Player],0)),"")</f>
        <v>17.36</v>
      </c>
      <c r="L34" s="58">
        <f>_xlfn.RANK.AVG(Table617380[[#This Row],[Actual]],Table617380[Actual],0)</f>
        <v>14</v>
      </c>
      <c r="N34" s="489" t="s">
        <v>83</v>
      </c>
      <c r="O34" s="60">
        <v>14.036666666666665</v>
      </c>
      <c r="P34" s="58">
        <f>_xlfn.RANK.AVG(Table61627481[[#This Row],[Proj]],Table61627481[Proj],0)</f>
        <v>24</v>
      </c>
      <c r="Q34" s="60">
        <f>IFERROR(INDEX(DK_Last_Week_Results_Data[Actual Score],MATCH(Table61627481[[#This Row],[Name]],DK_Last_Week_Results_Data[Player],0)),"")</f>
        <v>21</v>
      </c>
      <c r="R34" s="58">
        <f>_xlfn.RANK.AVG(Table61627481[[#This Row],[Actual]],Table61627481[Actual],0)</f>
        <v>13.5</v>
      </c>
      <c r="T34" s="489" t="s">
        <v>227</v>
      </c>
      <c r="U34" s="60">
        <v>14.776666666666667</v>
      </c>
      <c r="V34" s="58">
        <f>_xlfn.RANK.AVG(Table61637582[[#This Row],[Proj]],Table61637582[Proj],0)</f>
        <v>24</v>
      </c>
      <c r="W34" s="60">
        <f>IFERROR(INDEX(DK_Last_Week_Results_Data[Actual Score],MATCH(Table61637582[[#This Row],[Name]],DK_Last_Week_Results_Data[Player],0)),"")</f>
        <v>0</v>
      </c>
      <c r="X34" s="58">
        <f>_xlfn.RANK.AVG(Table61637582[[#This Row],[Actual]],Table61637582[Actual],0)</f>
        <v>121</v>
      </c>
      <c r="Z34" s="492" t="s">
        <v>244</v>
      </c>
      <c r="AA34" s="60">
        <v>6.9300000000000006</v>
      </c>
      <c r="AB34" s="58">
        <f>_xlfn.RANK.AVG(Table61647683[[#This Row],[Proj]],Table61647683[Proj],0)</f>
        <v>24</v>
      </c>
      <c r="AC34" s="60">
        <f>IFERROR(INDEX(DK_Last_Week_Results_Data[Actual Score],MATCH(Table61647683[[#This Row],[Name]],DK_Last_Week_Results_Data[Player],0)),"")</f>
        <v>4.4000000000000004</v>
      </c>
      <c r="AD34" s="58">
        <f>_xlfn.RANK.AVG(Table61647683[[#This Row],[Actual]],Table61647683[Actual],0)</f>
        <v>25</v>
      </c>
      <c r="AF34" s="491" t="s">
        <v>853</v>
      </c>
      <c r="AG34" s="60">
        <v>5.666666666666667</v>
      </c>
      <c r="AH34" s="58">
        <f>_xlfn.RANK.AVG(Table61667885[[#This Row],[Proj]],Table61667885[Proj],0)</f>
        <v>14</v>
      </c>
      <c r="AI34" s="60" t="str">
        <f>IFERROR(INDEX(DK_Last_Week_Results_Data[Actual Score],MATCH(Table61667885[[#This Row],[Name]],DK_Last_Week_Results_Data[Player],0)),"")</f>
        <v/>
      </c>
      <c r="AJ34" s="58" t="e">
        <f>_xlfn.RANK.AVG(Table61667885[[#This Row],[Actual]],Table61667885[Actual],0)</f>
        <v>#VALUE!</v>
      </c>
    </row>
    <row r="35" spans="2:36" x14ac:dyDescent="0.3">
      <c r="B35" s="489" t="s">
        <v>428</v>
      </c>
      <c r="C35" s="60">
        <v>17.866666666666667</v>
      </c>
      <c r="D35" s="58">
        <f>_xlfn.RANK.AVG(Table667986[[#This Row],[Proj]],Table667986[Proj],0)</f>
        <v>25</v>
      </c>
      <c r="E35" s="60">
        <f>IFERROR(INDEX(DK_Last_Week_Results_Data[Actual Score],MATCH(Table667986[[#This Row],[Name]],DK_Last_Week_Results_Data[Player],0)),"")</f>
        <v>21</v>
      </c>
      <c r="F35" s="58">
        <f>_xlfn.RANK.AVG(Table667986[[#This Row],[Actual]],Table667986[Actual],0)</f>
        <v>37.5</v>
      </c>
      <c r="H35" s="489" t="s">
        <v>13</v>
      </c>
      <c r="I35" s="60">
        <v>16.151583333333335</v>
      </c>
      <c r="J35" s="58">
        <f>_xlfn.RANK.AVG(Table617380[[#This Row],[Proj]],Table617380[Proj],0)</f>
        <v>25</v>
      </c>
      <c r="K35" s="60">
        <f>IFERROR(INDEX(DK_Last_Week_Results_Data[Actual Score],MATCH(Table617380[[#This Row],[Name]],DK_Last_Week_Results_Data[Player],0)),"")</f>
        <v>0</v>
      </c>
      <c r="L35" s="58">
        <f>_xlfn.RANK.AVG(Table617380[[#This Row],[Actual]],Table617380[Actual],0)</f>
        <v>46.5</v>
      </c>
      <c r="N35" s="489" t="s">
        <v>101</v>
      </c>
      <c r="O35" s="60">
        <v>13.973333333333333</v>
      </c>
      <c r="P35" s="58">
        <f>_xlfn.RANK.AVG(Table61627481[[#This Row],[Proj]],Table61627481[Proj],0)</f>
        <v>25</v>
      </c>
      <c r="Q35" s="60">
        <f>IFERROR(INDEX(DK_Last_Week_Results_Data[Actual Score],MATCH(Table61627481[[#This Row],[Name]],DK_Last_Week_Results_Data[Player],0)),"")</f>
        <v>25.5</v>
      </c>
      <c r="R35" s="58">
        <f>_xlfn.RANK.AVG(Table61627481[[#This Row],[Actual]],Table61627481[Actual],0)</f>
        <v>9</v>
      </c>
      <c r="T35" s="489" t="s">
        <v>173</v>
      </c>
      <c r="U35" s="60">
        <v>14.746666666666666</v>
      </c>
      <c r="V35" s="58">
        <f>_xlfn.RANK.AVG(Table61637582[[#This Row],[Proj]],Table61637582[Proj],0)</f>
        <v>25</v>
      </c>
      <c r="W35" s="60">
        <f>IFERROR(INDEX(DK_Last_Week_Results_Data[Actual Score],MATCH(Table61637582[[#This Row],[Name]],DK_Last_Week_Results_Data[Player],0)),"")</f>
        <v>41.5</v>
      </c>
      <c r="X35" s="58">
        <f>_xlfn.RANK.AVG(Table61637582[[#This Row],[Actual]],Table61637582[Actual],0)</f>
        <v>1</v>
      </c>
      <c r="Z35" s="491" t="s">
        <v>343</v>
      </c>
      <c r="AA35" s="60">
        <v>6.7033333333333331</v>
      </c>
      <c r="AB35" s="58">
        <f>_xlfn.RANK.AVG(Table61647683[[#This Row],[Proj]],Table61647683[Proj],0)</f>
        <v>25</v>
      </c>
      <c r="AC35" s="60">
        <f>IFERROR(INDEX(DK_Last_Week_Results_Data[Actual Score],MATCH(Table61647683[[#This Row],[Name]],DK_Last_Week_Results_Data[Player],0)),"")</f>
        <v>9.1</v>
      </c>
      <c r="AD35" s="58">
        <f>_xlfn.RANK.AVG(Table61647683[[#This Row],[Actual]],Table61647683[Actual],0)</f>
        <v>14</v>
      </c>
      <c r="AF35" s="491" t="s">
        <v>838</v>
      </c>
      <c r="AG35" s="60">
        <v>5.2</v>
      </c>
      <c r="AH35" s="58">
        <f>_xlfn.RANK.AVG(Table61667885[[#This Row],[Proj]],Table61667885[Proj],0)</f>
        <v>23.5</v>
      </c>
      <c r="AI35" s="60" t="str">
        <f>IFERROR(INDEX(DK_Last_Week_Results_Data[Actual Score],MATCH(Table61667885[[#This Row],[Name]],DK_Last_Week_Results_Data[Player],0)),"")</f>
        <v/>
      </c>
      <c r="AJ35" s="58" t="e">
        <f>_xlfn.RANK.AVG(Table61667885[[#This Row],[Actual]],Table61667885[Actual],0)</f>
        <v>#VALUE!</v>
      </c>
    </row>
    <row r="36" spans="2:36" x14ac:dyDescent="0.3">
      <c r="B36" s="489" t="s">
        <v>6</v>
      </c>
      <c r="C36" s="60">
        <v>17.743916666666667</v>
      </c>
      <c r="D36" s="58">
        <f>_xlfn.RANK.AVG(Table667986[[#This Row],[Proj]],Table667986[Proj],0)</f>
        <v>26</v>
      </c>
      <c r="E36" s="60">
        <f>IFERROR(INDEX(DK_Last_Week_Results_Data[Actual Score],MATCH(Table667986[[#This Row],[Name]],DK_Last_Week_Results_Data[Player],0)),"")</f>
        <v>14.02</v>
      </c>
      <c r="F36" s="58">
        <f>_xlfn.RANK.AVG(Table667986[[#This Row],[Actual]],Table667986[Actual],0)</f>
        <v>61</v>
      </c>
      <c r="H36" s="489" t="s">
        <v>44</v>
      </c>
      <c r="I36" s="60">
        <v>16.142874999999997</v>
      </c>
      <c r="J36" s="58">
        <f>_xlfn.RANK.AVG(Table617380[[#This Row],[Proj]],Table617380[Proj],0)</f>
        <v>26</v>
      </c>
      <c r="K36" s="60">
        <f>IFERROR(INDEX(DK_Last_Week_Results_Data[Actual Score],MATCH(Table617380[[#This Row],[Name]],DK_Last_Week_Results_Data[Player],0)),"")</f>
        <v>30.5</v>
      </c>
      <c r="L36" s="58">
        <f>_xlfn.RANK.AVG(Table617380[[#This Row],[Actual]],Table617380[Actual],0)</f>
        <v>2.5</v>
      </c>
      <c r="N36" s="489" t="s">
        <v>129</v>
      </c>
      <c r="O36" s="60">
        <v>13.353333333333332</v>
      </c>
      <c r="P36" s="58">
        <f>_xlfn.RANK.AVG(Table61627481[[#This Row],[Proj]],Table61627481[Proj],0)</f>
        <v>26</v>
      </c>
      <c r="Q36" s="60">
        <f>IFERROR(INDEX(DK_Last_Week_Results_Data[Actual Score],MATCH(Table61627481[[#This Row],[Name]],DK_Last_Week_Results_Data[Player],0)),"")</f>
        <v>11.8</v>
      </c>
      <c r="R36" s="58">
        <f>_xlfn.RANK.AVG(Table61627481[[#This Row],[Actual]],Table61627481[Actual],0)</f>
        <v>25</v>
      </c>
      <c r="T36" s="490" t="s">
        <v>199</v>
      </c>
      <c r="U36" s="60">
        <v>14.420000000000002</v>
      </c>
      <c r="V36" s="58">
        <f>_xlfn.RANK.AVG(Table61637582[[#This Row],[Proj]],Table61637582[Proj],0)</f>
        <v>26</v>
      </c>
      <c r="W36" s="60">
        <f>IFERROR(INDEX(DK_Last_Week_Results_Data[Actual Score],MATCH(Table61637582[[#This Row],[Name]],DK_Last_Week_Results_Data[Player],0)),"")</f>
        <v>24</v>
      </c>
      <c r="X36" s="58">
        <f>_xlfn.RANK.AVG(Table61637582[[#This Row],[Actual]],Table61637582[Actual],0)</f>
        <v>11</v>
      </c>
      <c r="Z36" s="491" t="s">
        <v>344</v>
      </c>
      <c r="AA36" s="60">
        <v>6.5600000000000005</v>
      </c>
      <c r="AB36" s="58">
        <f>_xlfn.RANK.AVG(Table61647683[[#This Row],[Proj]],Table61647683[Proj],0)</f>
        <v>26</v>
      </c>
      <c r="AC36" s="60">
        <f>IFERROR(INDEX(DK_Last_Week_Results_Data[Actual Score],MATCH(Table61647683[[#This Row],[Name]],DK_Last_Week_Results_Data[Player],0)),"")</f>
        <v>4.7</v>
      </c>
      <c r="AD36" s="58">
        <f>_xlfn.RANK.AVG(Table61647683[[#This Row],[Actual]],Table61647683[Actual],0)</f>
        <v>23</v>
      </c>
      <c r="AF36" s="491" t="s">
        <v>834</v>
      </c>
      <c r="AG36" s="60">
        <v>6.25</v>
      </c>
      <c r="AH36" s="58">
        <f>_xlfn.RANK.AVG(Table61667885[[#This Row],[Proj]],Table61667885[Proj],0)</f>
        <v>10</v>
      </c>
      <c r="AI36" s="60" t="str">
        <f>IFERROR(INDEX(DK_Last_Week_Results_Data[Actual Score],MATCH(Table61667885[[#This Row],[Name]],DK_Last_Week_Results_Data[Player],0)),"")</f>
        <v/>
      </c>
      <c r="AJ36" s="58" t="e">
        <f>_xlfn.RANK.AVG(Table61667885[[#This Row],[Actual]],Table61667885[Actual],0)</f>
        <v>#VALUE!</v>
      </c>
    </row>
    <row r="37" spans="2:36" x14ac:dyDescent="0.3">
      <c r="B37" s="489" t="s">
        <v>27</v>
      </c>
      <c r="C37" s="60">
        <v>17.708729166666664</v>
      </c>
      <c r="D37" s="58">
        <f>_xlfn.RANK.AVG(Table667986[[#This Row],[Proj]],Table667986[Proj],0)</f>
        <v>27</v>
      </c>
      <c r="E37" s="60">
        <f>IFERROR(INDEX(DK_Last_Week_Results_Data[Actual Score],MATCH(Table667986[[#This Row],[Name]],DK_Last_Week_Results_Data[Player],0)),"")</f>
        <v>11.24</v>
      </c>
      <c r="F37" s="58">
        <f>_xlfn.RANK.AVG(Table667986[[#This Row],[Actual]],Table667986[Actual],0)</f>
        <v>82</v>
      </c>
      <c r="H37" s="489" t="s">
        <v>42</v>
      </c>
      <c r="I37" s="60">
        <v>15.642729166666665</v>
      </c>
      <c r="J37" s="58">
        <f>_xlfn.RANK.AVG(Table617380[[#This Row],[Proj]],Table617380[Proj],0)</f>
        <v>27</v>
      </c>
      <c r="K37" s="60">
        <f>IFERROR(INDEX(DK_Last_Week_Results_Data[Actual Score],MATCH(Table617380[[#This Row],[Name]],DK_Last_Week_Results_Data[Player],0)),"")</f>
        <v>8.14</v>
      </c>
      <c r="L37" s="58">
        <f>_xlfn.RANK.AVG(Table617380[[#This Row],[Actual]],Table617380[Actual],0)</f>
        <v>27</v>
      </c>
      <c r="N37" s="489" t="s">
        <v>110</v>
      </c>
      <c r="O37" s="60">
        <v>13.303333333333333</v>
      </c>
      <c r="P37" s="58">
        <f>_xlfn.RANK.AVG(Table61627481[[#This Row],[Proj]],Table61627481[Proj],0)</f>
        <v>27</v>
      </c>
      <c r="Q37" s="60">
        <f>IFERROR(INDEX(DK_Last_Week_Results_Data[Actual Score],MATCH(Table61627481[[#This Row],[Name]],DK_Last_Week_Results_Data[Player],0)),"")</f>
        <v>0</v>
      </c>
      <c r="R37" s="58">
        <f>_xlfn.RANK.AVG(Table61627481[[#This Row],[Actual]],Table61627481[Actual],0)</f>
        <v>83.5</v>
      </c>
      <c r="T37" s="489" t="s">
        <v>201</v>
      </c>
      <c r="U37" s="60">
        <v>14.310000000000002</v>
      </c>
      <c r="V37" s="58">
        <f>_xlfn.RANK.AVG(Table61637582[[#This Row],[Proj]],Table61637582[Proj],0)</f>
        <v>27</v>
      </c>
      <c r="W37" s="60">
        <f>IFERROR(INDEX(DK_Last_Week_Results_Data[Actual Score],MATCH(Table61637582[[#This Row],[Name]],DK_Last_Week_Results_Data[Player],0)),"")</f>
        <v>7.5</v>
      </c>
      <c r="X37" s="58">
        <f>_xlfn.RANK.AVG(Table61637582[[#This Row],[Actual]],Table61637582[Actual],0)</f>
        <v>54</v>
      </c>
      <c r="Z37" s="491" t="s">
        <v>348</v>
      </c>
      <c r="AA37" s="60">
        <v>6.3633333333333333</v>
      </c>
      <c r="AB37" s="58">
        <f>_xlfn.RANK.AVG(Table61647683[[#This Row],[Proj]],Table61647683[Proj],0)</f>
        <v>27</v>
      </c>
      <c r="AC37" s="60">
        <f>IFERROR(INDEX(DK_Last_Week_Results_Data[Actual Score],MATCH(Table61647683[[#This Row],[Name]],DK_Last_Week_Results_Data[Player],0)),"")</f>
        <v>2.5</v>
      </c>
      <c r="AD37" s="58">
        <f>_xlfn.RANK.AVG(Table61647683[[#This Row],[Actual]],Table61647683[Actual],0)</f>
        <v>37</v>
      </c>
      <c r="AF37" s="491" t="s">
        <v>855</v>
      </c>
      <c r="AG37" s="60">
        <v>5.2</v>
      </c>
      <c r="AH37" s="58">
        <f>_xlfn.RANK.AVG(Table61667885[[#This Row],[Proj]],Table61667885[Proj],0)</f>
        <v>23.5</v>
      </c>
      <c r="AI37" s="60" t="str">
        <f>IFERROR(INDEX(DK_Last_Week_Results_Data[Actual Score],MATCH(Table61667885[[#This Row],[Name]],DK_Last_Week_Results_Data[Player],0)),"")</f>
        <v/>
      </c>
      <c r="AJ37" s="58" t="e">
        <f>_xlfn.RANK.AVG(Table61667885[[#This Row],[Actual]],Table61667885[Actual],0)</f>
        <v>#VALUE!</v>
      </c>
    </row>
    <row r="38" spans="2:36" x14ac:dyDescent="0.3">
      <c r="B38" s="489" t="s">
        <v>15</v>
      </c>
      <c r="C38" s="60">
        <v>17.588374999999999</v>
      </c>
      <c r="D38" s="58">
        <f>_xlfn.RANK.AVG(Table667986[[#This Row],[Proj]],Table667986[Proj],0)</f>
        <v>28</v>
      </c>
      <c r="E38" s="60">
        <f>IFERROR(INDEX(DK_Last_Week_Results_Data[Actual Score],MATCH(Table667986[[#This Row],[Name]],DK_Last_Week_Results_Data[Player],0)),"")</f>
        <v>18.239999999999998</v>
      </c>
      <c r="F38" s="58">
        <f>_xlfn.RANK.AVG(Table667986[[#This Row],[Actual]],Table667986[Actual],0)</f>
        <v>45</v>
      </c>
      <c r="H38" s="489" t="s">
        <v>1240</v>
      </c>
      <c r="I38" s="60">
        <v>15.398604166666665</v>
      </c>
      <c r="J38" s="58">
        <f>_xlfn.RANK.AVG(Table617380[[#This Row],[Proj]],Table617380[Proj],0)</f>
        <v>28</v>
      </c>
      <c r="K38" s="60">
        <f>IFERROR(INDEX(DK_Last_Week_Results_Data[Actual Score],MATCH(Table617380[[#This Row],[Name]],DK_Last_Week_Results_Data[Player],0)),"")</f>
        <v>31.98</v>
      </c>
      <c r="L38" s="58">
        <f>_xlfn.RANK.AVG(Table617380[[#This Row],[Actual]],Table617380[Actual],0)</f>
        <v>1</v>
      </c>
      <c r="N38" s="489" t="s">
        <v>430</v>
      </c>
      <c r="O38" s="60">
        <v>12.93</v>
      </c>
      <c r="P38" s="58">
        <f>_xlfn.RANK.AVG(Table61627481[[#This Row],[Proj]],Table61627481[Proj],0)</f>
        <v>28</v>
      </c>
      <c r="Q38" s="60">
        <f>IFERROR(INDEX(DK_Last_Week_Results_Data[Actual Score],MATCH(Table61627481[[#This Row],[Name]],DK_Last_Week_Results_Data[Player],0)),"")</f>
        <v>0</v>
      </c>
      <c r="R38" s="58">
        <f>_xlfn.RANK.AVG(Table61627481[[#This Row],[Actual]],Table61627481[Actual],0)</f>
        <v>83.5</v>
      </c>
      <c r="T38" s="489" t="s">
        <v>241</v>
      </c>
      <c r="U38" s="60">
        <v>14.063333333333333</v>
      </c>
      <c r="V38" s="58">
        <f>_xlfn.RANK.AVG(Table61637582[[#This Row],[Proj]],Table61637582[Proj],0)</f>
        <v>28</v>
      </c>
      <c r="W38" s="60">
        <f>IFERROR(INDEX(DK_Last_Week_Results_Data[Actual Score],MATCH(Table61637582[[#This Row],[Name]],DK_Last_Week_Results_Data[Player],0)),"")</f>
        <v>11.2</v>
      </c>
      <c r="X38" s="58">
        <f>_xlfn.RANK.AVG(Table61637582[[#This Row],[Actual]],Table61637582[Actual],0)</f>
        <v>34</v>
      </c>
      <c r="Z38" s="491" t="s">
        <v>328</v>
      </c>
      <c r="AA38" s="60">
        <v>6.0066666666666668</v>
      </c>
      <c r="AB38" s="58">
        <f>_xlfn.RANK.AVG(Table61647683[[#This Row],[Proj]],Table61647683[Proj],0)</f>
        <v>28</v>
      </c>
      <c r="AC38" s="60">
        <f>IFERROR(INDEX(DK_Last_Week_Results_Data[Actual Score],MATCH(Table61647683[[#This Row],[Name]],DK_Last_Week_Results_Data[Player],0)),"")</f>
        <v>24</v>
      </c>
      <c r="AD38" s="58">
        <f>_xlfn.RANK.AVG(Table61647683[[#This Row],[Actual]],Table61647683[Actual],0)</f>
        <v>3</v>
      </c>
      <c r="AF38" s="491" t="s">
        <v>848</v>
      </c>
      <c r="AG38" s="60">
        <v>4.8666666666666663</v>
      </c>
      <c r="AH38" s="58">
        <f>_xlfn.RANK.AVG(Table61667885[[#This Row],[Proj]],Table61667885[Proj],0)</f>
        <v>28</v>
      </c>
      <c r="AI38" s="60" t="str">
        <f>IFERROR(INDEX(DK_Last_Week_Results_Data[Actual Score],MATCH(Table61667885[[#This Row],[Name]],DK_Last_Week_Results_Data[Player],0)),"")</f>
        <v/>
      </c>
      <c r="AJ38" s="58" t="e">
        <f>_xlfn.RANK.AVG(Table61667885[[#This Row],[Actual]],Table61667885[Actual],0)</f>
        <v>#VALUE!</v>
      </c>
    </row>
    <row r="39" spans="2:36" x14ac:dyDescent="0.3">
      <c r="B39" s="489" t="s">
        <v>3</v>
      </c>
      <c r="C39" s="60">
        <v>17.559812499999996</v>
      </c>
      <c r="D39" s="58">
        <f>_xlfn.RANK.AVG(Table667986[[#This Row],[Proj]],Table667986[Proj],0)</f>
        <v>29</v>
      </c>
      <c r="E39" s="60">
        <f>IFERROR(INDEX(DK_Last_Week_Results_Data[Actual Score],MATCH(Table667986[[#This Row],[Name]],DK_Last_Week_Results_Data[Player],0)),"")</f>
        <v>12.86</v>
      </c>
      <c r="F39" s="58">
        <f>_xlfn.RANK.AVG(Table667986[[#This Row],[Actual]],Table667986[Actual],0)</f>
        <v>73</v>
      </c>
      <c r="H39" s="489" t="s">
        <v>35</v>
      </c>
      <c r="I39" s="60">
        <v>15.162333333333335</v>
      </c>
      <c r="J39" s="58">
        <f>_xlfn.RANK.AVG(Table617380[[#This Row],[Proj]],Table617380[Proj],0)</f>
        <v>29</v>
      </c>
      <c r="K39" s="60">
        <f>IFERROR(INDEX(DK_Last_Week_Results_Data[Actual Score],MATCH(Table617380[[#This Row],[Name]],DK_Last_Week_Results_Data[Player],0)),"")</f>
        <v>13.18</v>
      </c>
      <c r="L39" s="58">
        <f>_xlfn.RANK.AVG(Table617380[[#This Row],[Actual]],Table617380[Actual],0)</f>
        <v>21</v>
      </c>
      <c r="N39" s="489" t="s">
        <v>113</v>
      </c>
      <c r="O39" s="60">
        <v>12.556666666666667</v>
      </c>
      <c r="P39" s="58">
        <f>_xlfn.RANK.AVG(Table61627481[[#This Row],[Proj]],Table61627481[Proj],0)</f>
        <v>29</v>
      </c>
      <c r="Q39" s="60">
        <f>IFERROR(INDEX(DK_Last_Week_Results_Data[Actual Score],MATCH(Table61627481[[#This Row],[Name]],DK_Last_Week_Results_Data[Player],0)),"")</f>
        <v>9.4</v>
      </c>
      <c r="R39" s="58">
        <f>_xlfn.RANK.AVG(Table61627481[[#This Row],[Actual]],Table61627481[Actual],0)</f>
        <v>31</v>
      </c>
      <c r="T39" s="489" t="s">
        <v>209</v>
      </c>
      <c r="U39" s="60">
        <v>13.913333333333334</v>
      </c>
      <c r="V39" s="58">
        <f>_xlfn.RANK.AVG(Table61637582[[#This Row],[Proj]],Table61637582[Proj],0)</f>
        <v>29</v>
      </c>
      <c r="W39" s="60" t="str">
        <f>IFERROR(INDEX(DK_Last_Week_Results_Data[Actual Score],MATCH(Table61637582[[#This Row],[Name]],DK_Last_Week_Results_Data[Player],0)),"")</f>
        <v/>
      </c>
      <c r="X39" s="58" t="e">
        <f>_xlfn.RANK.AVG(Table61637582[[#This Row],[Actual]],Table61637582[Actual],0)</f>
        <v>#VALUE!</v>
      </c>
      <c r="Z39" s="491" t="s">
        <v>377</v>
      </c>
      <c r="AA39" s="60">
        <v>5.3900000000000006</v>
      </c>
      <c r="AB39" s="58">
        <f>_xlfn.RANK.AVG(Table61647683[[#This Row],[Proj]],Table61647683[Proj],0)</f>
        <v>29</v>
      </c>
      <c r="AC39" s="60">
        <f>IFERROR(INDEX(DK_Last_Week_Results_Data[Actual Score],MATCH(Table61647683[[#This Row],[Name]],DK_Last_Week_Results_Data[Player],0)),"")</f>
        <v>3.9</v>
      </c>
      <c r="AD39" s="58">
        <f>_xlfn.RANK.AVG(Table61647683[[#This Row],[Actual]],Table61647683[Actual],0)</f>
        <v>27.5</v>
      </c>
      <c r="AF39" s="491" t="s">
        <v>846</v>
      </c>
      <c r="AG39" s="60">
        <v>4.3999999999999995</v>
      </c>
      <c r="AH39" s="58">
        <f>_xlfn.RANK.AVG(Table61667885[[#This Row],[Proj]],Table61667885[Proj],0)</f>
        <v>30.5</v>
      </c>
      <c r="AI39" s="60" t="str">
        <f>IFERROR(INDEX(DK_Last_Week_Results_Data[Actual Score],MATCH(Table61667885[[#This Row],[Name]],DK_Last_Week_Results_Data[Player],0)),"")</f>
        <v/>
      </c>
      <c r="AJ39" s="58" t="e">
        <f>_xlfn.RANK.AVG(Table61667885[[#This Row],[Actual]],Table61667885[Actual],0)</f>
        <v>#VALUE!</v>
      </c>
    </row>
    <row r="40" spans="2:36" x14ac:dyDescent="0.3">
      <c r="B40" s="489" t="s">
        <v>115</v>
      </c>
      <c r="C40" s="60">
        <v>17.446666666666665</v>
      </c>
      <c r="D40" s="58">
        <f>_xlfn.RANK.AVG(Table667986[[#This Row],[Proj]],Table667986[Proj],0)</f>
        <v>30</v>
      </c>
      <c r="E40" s="60">
        <f>IFERROR(INDEX(DK_Last_Week_Results_Data[Actual Score],MATCH(Table667986[[#This Row],[Name]],DK_Last_Week_Results_Data[Player],0)),"")</f>
        <v>8.4</v>
      </c>
      <c r="F40" s="58">
        <f>_xlfn.RANK.AVG(Table667986[[#This Row],[Actual]],Table667986[Actual],0)</f>
        <v>109.5</v>
      </c>
      <c r="H40" s="489" t="s">
        <v>38</v>
      </c>
      <c r="I40" s="60">
        <v>14.088250000000002</v>
      </c>
      <c r="J40" s="58">
        <f>_xlfn.RANK.AVG(Table617380[[#This Row],[Proj]],Table617380[Proj],0)</f>
        <v>30</v>
      </c>
      <c r="K40" s="60">
        <f>IFERROR(INDEX(DK_Last_Week_Results_Data[Actual Score],MATCH(Table617380[[#This Row],[Name]],DK_Last_Week_Results_Data[Player],0)),"")</f>
        <v>10.64</v>
      </c>
      <c r="L40" s="58">
        <f>_xlfn.RANK.AVG(Table617380[[#This Row],[Actual]],Table617380[Actual],0)</f>
        <v>25</v>
      </c>
      <c r="N40" s="489" t="s">
        <v>87</v>
      </c>
      <c r="O40" s="60">
        <v>12.540000000000001</v>
      </c>
      <c r="P40" s="58">
        <f>_xlfn.RANK.AVG(Table61627481[[#This Row],[Proj]],Table61627481[Proj],0)</f>
        <v>30</v>
      </c>
      <c r="Q40" s="60">
        <f>IFERROR(INDEX(DK_Last_Week_Results_Data[Actual Score],MATCH(Table61627481[[#This Row],[Name]],DK_Last_Week_Results_Data[Player],0)),"")</f>
        <v>15.3</v>
      </c>
      <c r="R40" s="58">
        <f>_xlfn.RANK.AVG(Table61627481[[#This Row],[Actual]],Table61627481[Actual],0)</f>
        <v>17</v>
      </c>
      <c r="T40" s="489" t="s">
        <v>197</v>
      </c>
      <c r="U40" s="60">
        <v>13.69</v>
      </c>
      <c r="V40" s="58">
        <f>_xlfn.RANK.AVG(Table61637582[[#This Row],[Proj]],Table61637582[Proj],0)</f>
        <v>30</v>
      </c>
      <c r="W40" s="60">
        <f>IFERROR(INDEX(DK_Last_Week_Results_Data[Actual Score],MATCH(Table61637582[[#This Row],[Name]],DK_Last_Week_Results_Data[Player],0)),"")</f>
        <v>4.0999999999999996</v>
      </c>
      <c r="X40" s="58">
        <f>_xlfn.RANK.AVG(Table61637582[[#This Row],[Actual]],Table61637582[Actual],0)</f>
        <v>80</v>
      </c>
      <c r="Z40" s="491" t="s">
        <v>327</v>
      </c>
      <c r="AA40" s="60">
        <v>5.2249999999999996</v>
      </c>
      <c r="AB40" s="58">
        <f>_xlfn.RANK.AVG(Table61647683[[#This Row],[Proj]],Table61647683[Proj],0)</f>
        <v>30</v>
      </c>
      <c r="AC40" s="60">
        <f>IFERROR(INDEX(DK_Last_Week_Results_Data[Actual Score],MATCH(Table61647683[[#This Row],[Name]],DK_Last_Week_Results_Data[Player],0)),"")</f>
        <v>8.9</v>
      </c>
      <c r="AD40" s="58">
        <f>_xlfn.RANK.AVG(Table61647683[[#This Row],[Actual]],Table61647683[Actual],0)</f>
        <v>15.5</v>
      </c>
      <c r="AF40" s="491" t="s">
        <v>828</v>
      </c>
      <c r="AG40" s="60">
        <v>4.9666666666666668</v>
      </c>
      <c r="AH40" s="58">
        <f>_xlfn.RANK.AVG(Table61667885[[#This Row],[Proj]],Table61667885[Proj],0)</f>
        <v>25</v>
      </c>
      <c r="AI40" s="60" t="str">
        <f>IFERROR(INDEX(DK_Last_Week_Results_Data[Actual Score],MATCH(Table61667885[[#This Row],[Name]],DK_Last_Week_Results_Data[Player],0)),"")</f>
        <v/>
      </c>
      <c r="AJ40" s="58" t="e">
        <f>_xlfn.RANK.AVG(Table61667885[[#This Row],[Actual]],Table61667885[Actual],0)</f>
        <v>#VALUE!</v>
      </c>
    </row>
    <row r="41" spans="2:36" x14ac:dyDescent="0.3">
      <c r="B41" s="489" t="s">
        <v>444</v>
      </c>
      <c r="C41" s="60">
        <v>17.413770833333338</v>
      </c>
      <c r="D41" s="58">
        <f>_xlfn.RANK.AVG(Table667986[[#This Row],[Proj]],Table667986[Proj],0)</f>
        <v>31</v>
      </c>
      <c r="E41" s="60">
        <f>IFERROR(INDEX(DK_Last_Week_Results_Data[Actual Score],MATCH(Table667986[[#This Row],[Name]],DK_Last_Week_Results_Data[Player],0)),"")</f>
        <v>23.52</v>
      </c>
      <c r="F41" s="58">
        <f>_xlfn.RANK.AVG(Table667986[[#This Row],[Actual]],Table667986[Actual],0)</f>
        <v>29</v>
      </c>
      <c r="H41" s="489" t="s">
        <v>47</v>
      </c>
      <c r="I41" s="60">
        <v>13.378187499999997</v>
      </c>
      <c r="J41" s="58">
        <f>_xlfn.RANK.AVG(Table617380[[#This Row],[Proj]],Table617380[Proj],0)</f>
        <v>31</v>
      </c>
      <c r="K41" s="60">
        <f>IFERROR(INDEX(DK_Last_Week_Results_Data[Actual Score],MATCH(Table617380[[#This Row],[Name]],DK_Last_Week_Results_Data[Player],0)),"")</f>
        <v>5.96</v>
      </c>
      <c r="L41" s="58">
        <f>_xlfn.RANK.AVG(Table617380[[#This Row],[Actual]],Table617380[Actual],0)</f>
        <v>30</v>
      </c>
      <c r="N41" s="489" t="s">
        <v>119</v>
      </c>
      <c r="O41" s="60">
        <v>12.256666666666668</v>
      </c>
      <c r="P41" s="58">
        <f>_xlfn.RANK.AVG(Table61627481[[#This Row],[Proj]],Table61627481[Proj],0)</f>
        <v>31</v>
      </c>
      <c r="Q41" s="60">
        <f>IFERROR(INDEX(DK_Last_Week_Results_Data[Actual Score],MATCH(Table61627481[[#This Row],[Name]],DK_Last_Week_Results_Data[Player],0)),"")</f>
        <v>17.8</v>
      </c>
      <c r="R41" s="58">
        <f>_xlfn.RANK.AVG(Table61627481[[#This Row],[Actual]],Table61627481[Actual],0)</f>
        <v>15</v>
      </c>
      <c r="T41" s="489" t="s">
        <v>196</v>
      </c>
      <c r="U41" s="60">
        <v>13.636666666666668</v>
      </c>
      <c r="V41" s="58">
        <f>_xlfn.RANK.AVG(Table61637582[[#This Row],[Proj]],Table61637582[Proj],0)</f>
        <v>31</v>
      </c>
      <c r="W41" s="60">
        <f>IFERROR(INDEX(DK_Last_Week_Results_Data[Actual Score],MATCH(Table61637582[[#This Row],[Name]],DK_Last_Week_Results_Data[Player],0)),"")</f>
        <v>0</v>
      </c>
      <c r="X41" s="58">
        <f>_xlfn.RANK.AVG(Table61637582[[#This Row],[Actual]],Table61637582[Actual],0)</f>
        <v>121</v>
      </c>
      <c r="Z41" s="491" t="s">
        <v>263</v>
      </c>
      <c r="AA41" s="60">
        <v>5.0449999999999999</v>
      </c>
      <c r="AB41" s="58">
        <f>_xlfn.RANK.AVG(Table61647683[[#This Row],[Proj]],Table61647683[Proj],0)</f>
        <v>31</v>
      </c>
      <c r="AC41" s="60">
        <f>IFERROR(INDEX(DK_Last_Week_Results_Data[Actual Score],MATCH(Table61647683[[#This Row],[Name]],DK_Last_Week_Results_Data[Player],0)),"")</f>
        <v>0</v>
      </c>
      <c r="AD41" s="58">
        <f>_xlfn.RANK.AVG(Table61647683[[#This Row],[Actual]],Table61647683[Actual],0)</f>
        <v>58</v>
      </c>
      <c r="AF41" s="491" t="s">
        <v>843</v>
      </c>
      <c r="AG41" s="60">
        <v>4.3999999999999995</v>
      </c>
      <c r="AH41" s="58">
        <f>_xlfn.RANK.AVG(Table61667885[[#This Row],[Proj]],Table61667885[Proj],0)</f>
        <v>30.5</v>
      </c>
      <c r="AI41" s="60" t="str">
        <f>IFERROR(INDEX(DK_Last_Week_Results_Data[Actual Score],MATCH(Table61667885[[#This Row],[Name]],DK_Last_Week_Results_Data[Player],0)),"")</f>
        <v/>
      </c>
      <c r="AJ41" s="58" t="e">
        <f>_xlfn.RANK.AVG(Table61667885[[#This Row],[Actual]],Table61667885[Actual],0)</f>
        <v>#VALUE!</v>
      </c>
    </row>
    <row r="42" spans="2:36" x14ac:dyDescent="0.3">
      <c r="B42" s="489" t="s">
        <v>203</v>
      </c>
      <c r="C42" s="60">
        <v>17.410000000000004</v>
      </c>
      <c r="D42" s="58">
        <f>_xlfn.RANK.AVG(Table667986[[#This Row],[Proj]],Table667986[Proj],0)</f>
        <v>32</v>
      </c>
      <c r="E42" s="60">
        <f>IFERROR(INDEX(DK_Last_Week_Results_Data[Actual Score],MATCH(Table667986[[#This Row],[Name]],DK_Last_Week_Results_Data[Player],0)),"")</f>
        <v>35.700000000000003</v>
      </c>
      <c r="F42" s="58">
        <f>_xlfn.RANK.AVG(Table667986[[#This Row],[Actual]],Table667986[Actual],0)</f>
        <v>2</v>
      </c>
      <c r="H42" s="489" t="s">
        <v>66</v>
      </c>
      <c r="I42" s="60">
        <v>12.344749999999999</v>
      </c>
      <c r="J42" s="58">
        <f>_xlfn.RANK.AVG(Table617380[[#This Row],[Proj]],Table617380[Proj],0)</f>
        <v>32</v>
      </c>
      <c r="K42" s="60">
        <f>IFERROR(INDEX(DK_Last_Week_Results_Data[Actual Score],MATCH(Table617380[[#This Row],[Name]],DK_Last_Week_Results_Data[Player],0)),"")</f>
        <v>0</v>
      </c>
      <c r="L42" s="58">
        <f>_xlfn.RANK.AVG(Table617380[[#This Row],[Actual]],Table617380[Actual],0)</f>
        <v>46.5</v>
      </c>
      <c r="N42" s="489" t="s">
        <v>120</v>
      </c>
      <c r="O42" s="60">
        <v>12.126666666666667</v>
      </c>
      <c r="P42" s="58">
        <f>_xlfn.RANK.AVG(Table61627481[[#This Row],[Proj]],Table61627481[Proj],0)</f>
        <v>32</v>
      </c>
      <c r="Q42" s="60">
        <f>IFERROR(INDEX(DK_Last_Week_Results_Data[Actual Score],MATCH(Table61627481[[#This Row],[Name]],DK_Last_Week_Results_Data[Player],0)),"")</f>
        <v>13.1</v>
      </c>
      <c r="R42" s="58">
        <f>_xlfn.RANK.AVG(Table61627481[[#This Row],[Actual]],Table61627481[Actual],0)</f>
        <v>23</v>
      </c>
      <c r="T42" s="489" t="s">
        <v>213</v>
      </c>
      <c r="U42" s="60">
        <v>13.07</v>
      </c>
      <c r="V42" s="58">
        <f>_xlfn.RANK.AVG(Table61637582[[#This Row],[Proj]],Table61637582[Proj],0)</f>
        <v>32</v>
      </c>
      <c r="W42" s="60">
        <f>IFERROR(INDEX(DK_Last_Week_Results_Data[Actual Score],MATCH(Table61637582[[#This Row],[Name]],DK_Last_Week_Results_Data[Player],0)),"")</f>
        <v>34.4</v>
      </c>
      <c r="X42" s="58">
        <f>_xlfn.RANK.AVG(Table61637582[[#This Row],[Actual]],Table61637582[Actual],0)</f>
        <v>4</v>
      </c>
      <c r="Z42" s="491" t="s">
        <v>364</v>
      </c>
      <c r="AA42" s="60">
        <v>5.03</v>
      </c>
      <c r="AB42" s="58">
        <f>_xlfn.RANK.AVG(Table61647683[[#This Row],[Proj]],Table61647683[Proj],0)</f>
        <v>32</v>
      </c>
      <c r="AC42" s="60">
        <f>IFERROR(INDEX(DK_Last_Week_Results_Data[Actual Score],MATCH(Table61647683[[#This Row],[Name]],DK_Last_Week_Results_Data[Player],0)),"")</f>
        <v>0</v>
      </c>
      <c r="AD42" s="58">
        <f>_xlfn.RANK.AVG(Table61647683[[#This Row],[Actual]],Table61647683[Actual],0)</f>
        <v>58</v>
      </c>
    </row>
    <row r="43" spans="2:36" x14ac:dyDescent="0.3">
      <c r="B43" s="489" t="s">
        <v>450</v>
      </c>
      <c r="C43" s="60">
        <v>17.306124999999998</v>
      </c>
      <c r="D43" s="58">
        <f>_xlfn.RANK.AVG(Table667986[[#This Row],[Proj]],Table667986[Proj],0)</f>
        <v>33</v>
      </c>
      <c r="E43" s="60">
        <f>IFERROR(INDEX(DK_Last_Week_Results_Data[Actual Score],MATCH(Table667986[[#This Row],[Name]],DK_Last_Week_Results_Data[Player],0)),"")</f>
        <v>24.04</v>
      </c>
      <c r="F43" s="58">
        <f>_xlfn.RANK.AVG(Table667986[[#This Row],[Actual]],Table667986[Actual],0)</f>
        <v>27</v>
      </c>
      <c r="H43" s="489" t="s">
        <v>63</v>
      </c>
      <c r="I43" s="60">
        <v>11.935937499999998</v>
      </c>
      <c r="J43" s="58">
        <f>_xlfn.RANK.AVG(Table617380[[#This Row],[Proj]],Table617380[Proj],0)</f>
        <v>33</v>
      </c>
      <c r="K43" s="60">
        <f>IFERROR(INDEX(DK_Last_Week_Results_Data[Actual Score],MATCH(Table617380[[#This Row],[Name]],DK_Last_Week_Results_Data[Player],0)),"")</f>
        <v>14.7</v>
      </c>
      <c r="L43" s="58">
        <f>_xlfn.RANK.AVG(Table617380[[#This Row],[Actual]],Table617380[Actual],0)</f>
        <v>17</v>
      </c>
      <c r="N43" s="489" t="s">
        <v>100</v>
      </c>
      <c r="O43" s="60">
        <v>11.793333333333335</v>
      </c>
      <c r="P43" s="58">
        <f>_xlfn.RANK.AVG(Table61627481[[#This Row],[Proj]],Table61627481[Proj],0)</f>
        <v>33</v>
      </c>
      <c r="Q43" s="60">
        <f>IFERROR(INDEX(DK_Last_Week_Results_Data[Actual Score],MATCH(Table61627481[[#This Row],[Name]],DK_Last_Week_Results_Data[Player],0)),"")</f>
        <v>0</v>
      </c>
      <c r="R43" s="58">
        <f>_xlfn.RANK.AVG(Table61627481[[#This Row],[Actual]],Table61627481[Actual],0)</f>
        <v>83.5</v>
      </c>
      <c r="T43" s="489" t="s">
        <v>223</v>
      </c>
      <c r="U43" s="60">
        <v>12.833333333333336</v>
      </c>
      <c r="V43" s="58">
        <f>_xlfn.RANK.AVG(Table61637582[[#This Row],[Proj]],Table61637582[Proj],0)</f>
        <v>33</v>
      </c>
      <c r="W43" s="60">
        <f>IFERROR(INDEX(DK_Last_Week_Results_Data[Actual Score],MATCH(Table61637582[[#This Row],[Name]],DK_Last_Week_Results_Data[Player],0)),"")</f>
        <v>0</v>
      </c>
      <c r="X43" s="58">
        <f>_xlfn.RANK.AVG(Table61637582[[#This Row],[Actual]],Table61637582[Actual],0)</f>
        <v>121</v>
      </c>
      <c r="Z43" s="491" t="s">
        <v>342</v>
      </c>
      <c r="AA43" s="60">
        <v>4.9933333333333341</v>
      </c>
      <c r="AB43" s="58">
        <f>_xlfn.RANK.AVG(Table61647683[[#This Row],[Proj]],Table61647683[Proj],0)</f>
        <v>33</v>
      </c>
      <c r="AC43" s="60">
        <f>IFERROR(INDEX(DK_Last_Week_Results_Data[Actual Score],MATCH(Table61647683[[#This Row],[Name]],DK_Last_Week_Results_Data[Player],0)),"")</f>
        <v>3.5</v>
      </c>
      <c r="AD43" s="58">
        <f>_xlfn.RANK.AVG(Table61647683[[#This Row],[Actual]],Table61647683[Actual],0)</f>
        <v>30</v>
      </c>
    </row>
    <row r="44" spans="2:36" x14ac:dyDescent="0.3">
      <c r="B44" s="489" t="s">
        <v>19</v>
      </c>
      <c r="C44" s="60">
        <v>17.245999999999999</v>
      </c>
      <c r="D44" s="58">
        <f>_xlfn.RANK.AVG(Table667986[[#This Row],[Proj]],Table667986[Proj],0)</f>
        <v>34</v>
      </c>
      <c r="E44" s="60">
        <f>IFERROR(INDEX(DK_Last_Week_Results_Data[Actual Score],MATCH(Table667986[[#This Row],[Name]],DK_Last_Week_Results_Data[Player],0)),"")</f>
        <v>8.98</v>
      </c>
      <c r="F44" s="58">
        <f>_xlfn.RANK.AVG(Table667986[[#This Row],[Actual]],Table667986[Actual],0)</f>
        <v>107</v>
      </c>
      <c r="H44" s="489" t="s">
        <v>751</v>
      </c>
      <c r="I44" s="60">
        <v>10.883624999999999</v>
      </c>
      <c r="J44" s="58">
        <f>_xlfn.RANK.AVG(Table617380[[#This Row],[Proj]],Table617380[Proj],0)</f>
        <v>34</v>
      </c>
      <c r="K44" s="60">
        <f>IFERROR(INDEX(DK_Last_Week_Results_Data[Actual Score],MATCH(Table617380[[#This Row],[Name]],DK_Last_Week_Results_Data[Player],0)),"")</f>
        <v>0</v>
      </c>
      <c r="L44" s="58">
        <f>_xlfn.RANK.AVG(Table617380[[#This Row],[Actual]],Table617380[Actual],0)</f>
        <v>46.5</v>
      </c>
      <c r="N44" s="489" t="s">
        <v>135</v>
      </c>
      <c r="O44" s="60">
        <v>11.573333333333334</v>
      </c>
      <c r="P44" s="58">
        <f>_xlfn.RANK.AVG(Table61627481[[#This Row],[Proj]],Table61627481[Proj],0)</f>
        <v>34</v>
      </c>
      <c r="Q44" s="60">
        <f>IFERROR(INDEX(DK_Last_Week_Results_Data[Actual Score],MATCH(Table61627481[[#This Row],[Name]],DK_Last_Week_Results_Data[Player],0)),"")</f>
        <v>29.9</v>
      </c>
      <c r="R44" s="58">
        <f>_xlfn.RANK.AVG(Table61627481[[#This Row],[Actual]],Table61627481[Actual],0)</f>
        <v>2</v>
      </c>
      <c r="T44" s="489" t="s">
        <v>218</v>
      </c>
      <c r="U44" s="60">
        <v>12.77</v>
      </c>
      <c r="V44" s="58">
        <f>_xlfn.RANK.AVG(Table61637582[[#This Row],[Proj]],Table61637582[Proj],0)</f>
        <v>34</v>
      </c>
      <c r="W44" s="60">
        <f>IFERROR(INDEX(DK_Last_Week_Results_Data[Actual Score],MATCH(Table61637582[[#This Row],[Name]],DK_Last_Week_Results_Data[Player],0)),"")</f>
        <v>8</v>
      </c>
      <c r="X44" s="58">
        <f>_xlfn.RANK.AVG(Table61637582[[#This Row],[Actual]],Table61637582[Actual],0)</f>
        <v>49</v>
      </c>
      <c r="Z44" s="491" t="s">
        <v>339</v>
      </c>
      <c r="AA44" s="60">
        <v>4.9400000000000004</v>
      </c>
      <c r="AB44" s="58">
        <f>_xlfn.RANK.AVG(Table61647683[[#This Row],[Proj]],Table61647683[Proj],0)</f>
        <v>34</v>
      </c>
      <c r="AC44" s="60">
        <f>IFERROR(INDEX(DK_Last_Week_Results_Data[Actual Score],MATCH(Table61647683[[#This Row],[Name]],DK_Last_Week_Results_Data[Player],0)),"")</f>
        <v>4.0999999999999996</v>
      </c>
      <c r="AD44" s="58">
        <f>_xlfn.RANK.AVG(Table61647683[[#This Row],[Actual]],Table61647683[Actual],0)</f>
        <v>26</v>
      </c>
    </row>
    <row r="45" spans="2:36" x14ac:dyDescent="0.3">
      <c r="B45" s="489" t="s">
        <v>411</v>
      </c>
      <c r="C45" s="60">
        <v>17.175104166666664</v>
      </c>
      <c r="D45" s="58">
        <f>_xlfn.RANK.AVG(Table667986[[#This Row],[Proj]],Table667986[Proj],0)</f>
        <v>35</v>
      </c>
      <c r="E45" s="60">
        <f>IFERROR(INDEX(DK_Last_Week_Results_Data[Actual Score],MATCH(Table667986[[#This Row],[Name]],DK_Last_Week_Results_Data[Player],0)),"")</f>
        <v>3.72</v>
      </c>
      <c r="F45" s="58">
        <f>_xlfn.RANK.AVG(Table667986[[#This Row],[Actual]],Table667986[Actual],0)</f>
        <v>169</v>
      </c>
      <c r="H45" s="489" t="s">
        <v>45</v>
      </c>
      <c r="I45" s="60">
        <v>10.823625</v>
      </c>
      <c r="J45" s="58">
        <f>_xlfn.RANK.AVG(Table617380[[#This Row],[Proj]],Table617380[Proj],0)</f>
        <v>35</v>
      </c>
      <c r="K45" s="60">
        <f>IFERROR(INDEX(DK_Last_Week_Results_Data[Actual Score],MATCH(Table617380[[#This Row],[Name]],DK_Last_Week_Results_Data[Player],0)),"")</f>
        <v>22.38</v>
      </c>
      <c r="L45" s="58">
        <f>_xlfn.RANK.AVG(Table617380[[#This Row],[Actual]],Table617380[Actual],0)</f>
        <v>9</v>
      </c>
      <c r="N45" s="489" t="s">
        <v>99</v>
      </c>
      <c r="O45" s="60">
        <v>11.133333333333335</v>
      </c>
      <c r="P45" s="58">
        <f>_xlfn.RANK.AVG(Table61627481[[#This Row],[Proj]],Table61627481[Proj],0)</f>
        <v>35</v>
      </c>
      <c r="Q45" s="60">
        <f>IFERROR(INDEX(DK_Last_Week_Results_Data[Actual Score],MATCH(Table61627481[[#This Row],[Name]],DK_Last_Week_Results_Data[Player],0)),"")</f>
        <v>9.1999999999999993</v>
      </c>
      <c r="R45" s="58">
        <f>_xlfn.RANK.AVG(Table61627481[[#This Row],[Actual]],Table61627481[Actual],0)</f>
        <v>32.5</v>
      </c>
      <c r="T45" s="489" t="s">
        <v>202</v>
      </c>
      <c r="U45" s="60">
        <v>12.713333333333335</v>
      </c>
      <c r="V45" s="58">
        <f>_xlfn.RANK.AVG(Table61637582[[#This Row],[Proj]],Table61637582[Proj],0)</f>
        <v>35</v>
      </c>
      <c r="W45" s="60">
        <f>IFERROR(INDEX(DK_Last_Week_Results_Data[Actual Score],MATCH(Table61637582[[#This Row],[Name]],DK_Last_Week_Results_Data[Player],0)),"")</f>
        <v>8</v>
      </c>
      <c r="X45" s="58">
        <f>_xlfn.RANK.AVG(Table61637582[[#This Row],[Actual]],Table61637582[Actual],0)</f>
        <v>49</v>
      </c>
      <c r="Z45" s="491" t="s">
        <v>351</v>
      </c>
      <c r="AA45" s="60">
        <v>4.4466666666666672</v>
      </c>
      <c r="AB45" s="58">
        <f>_xlfn.RANK.AVG(Table61647683[[#This Row],[Proj]],Table61647683[Proj],0)</f>
        <v>35</v>
      </c>
      <c r="AC45" s="60">
        <f>IFERROR(INDEX(DK_Last_Week_Results_Data[Actual Score],MATCH(Table61647683[[#This Row],[Name]],DK_Last_Week_Results_Data[Player],0)),"")</f>
        <v>2.9</v>
      </c>
      <c r="AD45" s="58">
        <f>_xlfn.RANK.AVG(Table61647683[[#This Row],[Actual]],Table61647683[Actual],0)</f>
        <v>35</v>
      </c>
    </row>
    <row r="46" spans="2:36" x14ac:dyDescent="0.3">
      <c r="B46" s="489" t="s">
        <v>429</v>
      </c>
      <c r="C46" s="60">
        <v>16.985270833333331</v>
      </c>
      <c r="D46" s="58">
        <f>_xlfn.RANK.AVG(Table667986[[#This Row],[Proj]],Table667986[Proj],0)</f>
        <v>36</v>
      </c>
      <c r="E46" s="60">
        <f>IFERROR(INDEX(DK_Last_Week_Results_Data[Actual Score],MATCH(Table667986[[#This Row],[Name]],DK_Last_Week_Results_Data[Player],0)),"")</f>
        <v>0</v>
      </c>
      <c r="F46" s="58">
        <f>_xlfn.RANK.AVG(Table667986[[#This Row],[Actual]],Table667986[Actual],0)</f>
        <v>250</v>
      </c>
      <c r="H46" s="489" t="s">
        <v>74</v>
      </c>
      <c r="I46" s="60">
        <v>10.756124999999999</v>
      </c>
      <c r="J46" s="58">
        <f>_xlfn.RANK.AVG(Table617380[[#This Row],[Proj]],Table617380[Proj],0)</f>
        <v>36</v>
      </c>
      <c r="K46" s="60">
        <f>IFERROR(INDEX(DK_Last_Week_Results_Data[Actual Score],MATCH(Table617380[[#This Row],[Name]],DK_Last_Week_Results_Data[Player],0)),"")</f>
        <v>0</v>
      </c>
      <c r="L46" s="58">
        <f>_xlfn.RANK.AVG(Table617380[[#This Row],[Actual]],Table617380[Actual],0)</f>
        <v>46.5</v>
      </c>
      <c r="N46" s="489" t="s">
        <v>127</v>
      </c>
      <c r="O46" s="60">
        <v>10.693333333333333</v>
      </c>
      <c r="P46" s="58">
        <f>_xlfn.RANK.AVG(Table61627481[[#This Row],[Proj]],Table61627481[Proj],0)</f>
        <v>36</v>
      </c>
      <c r="Q46" s="60">
        <f>IFERROR(INDEX(DK_Last_Week_Results_Data[Actual Score],MATCH(Table61627481[[#This Row],[Name]],DK_Last_Week_Results_Data[Player],0)),"")</f>
        <v>16.5</v>
      </c>
      <c r="R46" s="58">
        <f>_xlfn.RANK.AVG(Table61627481[[#This Row],[Actual]],Table61627481[Actual],0)</f>
        <v>16</v>
      </c>
      <c r="T46" s="489" t="s">
        <v>519</v>
      </c>
      <c r="U46" s="60">
        <v>12.416666666666668</v>
      </c>
      <c r="V46" s="58">
        <f>_xlfn.RANK.AVG(Table61637582[[#This Row],[Proj]],Table61637582[Proj],0)</f>
        <v>36</v>
      </c>
      <c r="W46" s="60">
        <f>IFERROR(INDEX(DK_Last_Week_Results_Data[Actual Score],MATCH(Table61637582[[#This Row],[Name]],DK_Last_Week_Results_Data[Player],0)),"")</f>
        <v>7.8</v>
      </c>
      <c r="X46" s="58">
        <f>_xlfn.RANK.AVG(Table61637582[[#This Row],[Actual]],Table61637582[Actual],0)</f>
        <v>52</v>
      </c>
      <c r="Z46" s="491" t="s">
        <v>340</v>
      </c>
      <c r="AA46" s="60">
        <v>4.416666666666667</v>
      </c>
      <c r="AB46" s="58">
        <f>_xlfn.RANK.AVG(Table61647683[[#This Row],[Proj]],Table61647683[Proj],0)</f>
        <v>36</v>
      </c>
      <c r="AC46" s="60">
        <f>IFERROR(INDEX(DK_Last_Week_Results_Data[Actual Score],MATCH(Table61647683[[#This Row],[Name]],DK_Last_Week_Results_Data[Player],0)),"")</f>
        <v>21.6</v>
      </c>
      <c r="AD46" s="58">
        <f>_xlfn.RANK.AVG(Table61647683[[#This Row],[Actual]],Table61647683[Actual],0)</f>
        <v>4</v>
      </c>
    </row>
    <row r="47" spans="2:36" x14ac:dyDescent="0.3">
      <c r="B47" s="489" t="s">
        <v>56</v>
      </c>
      <c r="C47" s="60">
        <v>16.964437499999999</v>
      </c>
      <c r="D47" s="58">
        <f>_xlfn.RANK.AVG(Table667986[[#This Row],[Proj]],Table667986[Proj],0)</f>
        <v>37</v>
      </c>
      <c r="E47" s="60">
        <f>IFERROR(INDEX(DK_Last_Week_Results_Data[Actual Score],MATCH(Table667986[[#This Row],[Name]],DK_Last_Week_Results_Data[Player],0)),"")</f>
        <v>24.96</v>
      </c>
      <c r="F47" s="58">
        <f>_xlfn.RANK.AVG(Table667986[[#This Row],[Actual]],Table667986[Actual],0)</f>
        <v>24</v>
      </c>
      <c r="H47" s="489" t="s">
        <v>73</v>
      </c>
      <c r="I47" s="60">
        <v>10.56875</v>
      </c>
      <c r="J47" s="58">
        <f>_xlfn.RANK.AVG(Table617380[[#This Row],[Proj]],Table617380[Proj],0)</f>
        <v>37</v>
      </c>
      <c r="K47" s="60">
        <f>IFERROR(INDEX(DK_Last_Week_Results_Data[Actual Score],MATCH(Table617380[[#This Row],[Name]],DK_Last_Week_Results_Data[Player],0)),"")</f>
        <v>0</v>
      </c>
      <c r="L47" s="58">
        <f>_xlfn.RANK.AVG(Table617380[[#This Row],[Actual]],Table617380[Actual],0)</f>
        <v>46.5</v>
      </c>
      <c r="N47" s="489" t="s">
        <v>102</v>
      </c>
      <c r="O47" s="60">
        <v>10.28</v>
      </c>
      <c r="P47" s="58">
        <f>_xlfn.RANK.AVG(Table61627481[[#This Row],[Proj]],Table61627481[Proj],0)</f>
        <v>37</v>
      </c>
      <c r="Q47" s="60">
        <f>IFERROR(INDEX(DK_Last_Week_Results_Data[Actual Score],MATCH(Table61627481[[#This Row],[Name]],DK_Last_Week_Results_Data[Player],0)),"")</f>
        <v>21.7</v>
      </c>
      <c r="R47" s="58">
        <f>_xlfn.RANK.AVG(Table61627481[[#This Row],[Actual]],Table61627481[Actual],0)</f>
        <v>12</v>
      </c>
      <c r="T47" s="489" t="s">
        <v>454</v>
      </c>
      <c r="U47" s="60">
        <v>12.186666666666667</v>
      </c>
      <c r="V47" s="58">
        <f>_xlfn.RANK.AVG(Table61637582[[#This Row],[Proj]],Table61637582[Proj],0)</f>
        <v>37</v>
      </c>
      <c r="W47" s="60">
        <f>IFERROR(INDEX(DK_Last_Week_Results_Data[Actual Score],MATCH(Table61637582[[#This Row],[Name]],DK_Last_Week_Results_Data[Player],0)),"")</f>
        <v>18.3</v>
      </c>
      <c r="X47" s="58">
        <f>_xlfn.RANK.AVG(Table61637582[[#This Row],[Actual]],Table61637582[Actual],0)</f>
        <v>18</v>
      </c>
      <c r="Z47" s="491" t="s">
        <v>337</v>
      </c>
      <c r="AA47" s="60">
        <v>4.3833333333333337</v>
      </c>
      <c r="AB47" s="58">
        <f>_xlfn.RANK.AVG(Table61647683[[#This Row],[Proj]],Table61647683[Proj],0)</f>
        <v>37</v>
      </c>
      <c r="AC47" s="60">
        <f>IFERROR(INDEX(DK_Last_Week_Results_Data[Actual Score],MATCH(Table61647683[[#This Row],[Name]],DK_Last_Week_Results_Data[Player],0)),"")</f>
        <v>0</v>
      </c>
      <c r="AD47" s="58">
        <f>_xlfn.RANK.AVG(Table61647683[[#This Row],[Actual]],Table61647683[Actual],0)</f>
        <v>58</v>
      </c>
    </row>
    <row r="48" spans="2:36" x14ac:dyDescent="0.3">
      <c r="B48" s="489" t="s">
        <v>17</v>
      </c>
      <c r="C48" s="60">
        <v>16.8798125</v>
      </c>
      <c r="D48" s="58">
        <f>_xlfn.RANK.AVG(Table667986[[#This Row],[Proj]],Table667986[Proj],0)</f>
        <v>38</v>
      </c>
      <c r="E48" s="60">
        <f>IFERROR(INDEX(DK_Last_Week_Results_Data[Actual Score],MATCH(Table667986[[#This Row],[Name]],DK_Last_Week_Results_Data[Player],0)),"")</f>
        <v>19.34</v>
      </c>
      <c r="F48" s="58">
        <f>_xlfn.RANK.AVG(Table667986[[#This Row],[Actual]],Table667986[Actual],0)</f>
        <v>42</v>
      </c>
      <c r="H48" s="489" t="s">
        <v>69</v>
      </c>
      <c r="I48" s="60">
        <v>10.472625000000001</v>
      </c>
      <c r="J48" s="58">
        <f>_xlfn.RANK.AVG(Table617380[[#This Row],[Proj]],Table617380[Proj],0)</f>
        <v>38</v>
      </c>
      <c r="K48" s="60">
        <f>IFERROR(INDEX(DK_Last_Week_Results_Data[Actual Score],MATCH(Table617380[[#This Row],[Name]],DK_Last_Week_Results_Data[Player],0)),"")</f>
        <v>0</v>
      </c>
      <c r="L48" s="58">
        <f>_xlfn.RANK.AVG(Table617380[[#This Row],[Actual]],Table617380[Actual],0)</f>
        <v>46.5</v>
      </c>
      <c r="N48" s="489" t="s">
        <v>95</v>
      </c>
      <c r="O48" s="60">
        <v>10.190000000000001</v>
      </c>
      <c r="P48" s="58">
        <f>_xlfn.RANK.AVG(Table61627481[[#This Row],[Proj]],Table61627481[Proj],0)</f>
        <v>38</v>
      </c>
      <c r="Q48" s="60">
        <f>IFERROR(INDEX(DK_Last_Week_Results_Data[Actual Score],MATCH(Table61627481[[#This Row],[Name]],DK_Last_Week_Results_Data[Player],0)),"")</f>
        <v>7.9</v>
      </c>
      <c r="R48" s="58">
        <f>_xlfn.RANK.AVG(Table61627481[[#This Row],[Actual]],Table61627481[Actual],0)</f>
        <v>39</v>
      </c>
      <c r="T48" s="489" t="s">
        <v>219</v>
      </c>
      <c r="U48" s="60">
        <v>11.493333333333334</v>
      </c>
      <c r="V48" s="58">
        <f>_xlfn.RANK.AVG(Table61637582[[#This Row],[Proj]],Table61637582[Proj],0)</f>
        <v>38</v>
      </c>
      <c r="W48" s="60">
        <f>IFERROR(INDEX(DK_Last_Week_Results_Data[Actual Score],MATCH(Table61637582[[#This Row],[Name]],DK_Last_Week_Results_Data[Player],0)),"")</f>
        <v>10.5</v>
      </c>
      <c r="X48" s="58">
        <f>_xlfn.RANK.AVG(Table61637582[[#This Row],[Actual]],Table61637582[Actual],0)</f>
        <v>39</v>
      </c>
      <c r="Z48" s="491" t="s">
        <v>347</v>
      </c>
      <c r="AA48" s="60">
        <v>4.2249999999999996</v>
      </c>
      <c r="AB48" s="58">
        <f>_xlfn.RANK.AVG(Table61647683[[#This Row],[Proj]],Table61647683[Proj],0)</f>
        <v>38</v>
      </c>
      <c r="AC48" s="60">
        <f>IFERROR(INDEX(DK_Last_Week_Results_Data[Actual Score],MATCH(Table61647683[[#This Row],[Name]],DK_Last_Week_Results_Data[Player],0)),"")</f>
        <v>0</v>
      </c>
      <c r="AD48" s="58">
        <f>_xlfn.RANK.AVG(Table61647683[[#This Row],[Actual]],Table61647683[Actual],0)</f>
        <v>58</v>
      </c>
    </row>
    <row r="49" spans="2:30" x14ac:dyDescent="0.3">
      <c r="B49" s="489" t="s">
        <v>208</v>
      </c>
      <c r="C49" s="60">
        <v>16.87</v>
      </c>
      <c r="D49" s="58">
        <f>_xlfn.RANK.AVG(Table667986[[#This Row],[Proj]],Table667986[Proj],0)</f>
        <v>39</v>
      </c>
      <c r="E49" s="60">
        <f>IFERROR(INDEX(DK_Last_Week_Results_Data[Actual Score],MATCH(Table667986[[#This Row],[Name]],DK_Last_Week_Results_Data[Player],0)),"")</f>
        <v>12</v>
      </c>
      <c r="F49" s="58">
        <f>_xlfn.RANK.AVG(Table667986[[#This Row],[Actual]],Table667986[Actual],0)</f>
        <v>78</v>
      </c>
      <c r="H49" s="489" t="s">
        <v>76</v>
      </c>
      <c r="I49" s="60">
        <v>10.361124999999999</v>
      </c>
      <c r="J49" s="58">
        <f>_xlfn.RANK.AVG(Table617380[[#This Row],[Proj]],Table617380[Proj],0)</f>
        <v>39</v>
      </c>
      <c r="K49" s="60">
        <f>IFERROR(INDEX(DK_Last_Week_Results_Data[Actual Score],MATCH(Table617380[[#This Row],[Name]],DK_Last_Week_Results_Data[Player],0)),"")</f>
        <v>0</v>
      </c>
      <c r="L49" s="58">
        <f>_xlfn.RANK.AVG(Table617380[[#This Row],[Actual]],Table617380[Actual],0)</f>
        <v>46.5</v>
      </c>
      <c r="N49" s="489" t="s">
        <v>137</v>
      </c>
      <c r="O49" s="60">
        <v>10.07</v>
      </c>
      <c r="P49" s="58">
        <f>_xlfn.RANK.AVG(Table61627481[[#This Row],[Proj]],Table61627481[Proj],0)</f>
        <v>39</v>
      </c>
      <c r="Q49" s="60">
        <f>IFERROR(INDEX(DK_Last_Week_Results_Data[Actual Score],MATCH(Table61627481[[#This Row],[Name]],DK_Last_Week_Results_Data[Player],0)),"")</f>
        <v>2.4</v>
      </c>
      <c r="R49" s="58">
        <f>_xlfn.RANK.AVG(Table61627481[[#This Row],[Actual]],Table61627481[Actual],0)</f>
        <v>59</v>
      </c>
      <c r="T49" s="489" t="s">
        <v>224</v>
      </c>
      <c r="U49" s="60">
        <v>11.396666666666668</v>
      </c>
      <c r="V49" s="58">
        <f>_xlfn.RANK.AVG(Table61637582[[#This Row],[Proj]],Table61637582[Proj],0)</f>
        <v>39</v>
      </c>
      <c r="W49" s="60">
        <f>IFERROR(INDEX(DK_Last_Week_Results_Data[Actual Score],MATCH(Table61637582[[#This Row],[Name]],DK_Last_Week_Results_Data[Player],0)),"")</f>
        <v>0</v>
      </c>
      <c r="X49" s="58">
        <f>_xlfn.RANK.AVG(Table61637582[[#This Row],[Actual]],Table61637582[Actual],0)</f>
        <v>121</v>
      </c>
      <c r="Z49" s="491" t="s">
        <v>324</v>
      </c>
      <c r="AA49" s="60">
        <v>3.9633333333333334</v>
      </c>
      <c r="AB49" s="58">
        <f>_xlfn.RANK.AVG(Table61647683[[#This Row],[Proj]],Table61647683[Proj],0)</f>
        <v>39</v>
      </c>
      <c r="AC49" s="60">
        <f>IFERROR(INDEX(DK_Last_Week_Results_Data[Actual Score],MATCH(Table61647683[[#This Row],[Name]],DK_Last_Week_Results_Data[Player],0)),"")</f>
        <v>0</v>
      </c>
      <c r="AD49" s="58">
        <f>_xlfn.RANK.AVG(Table61647683[[#This Row],[Actual]],Table61647683[Actual],0)</f>
        <v>58</v>
      </c>
    </row>
    <row r="50" spans="2:30" x14ac:dyDescent="0.3">
      <c r="B50" s="489" t="s">
        <v>190</v>
      </c>
      <c r="C50" s="60">
        <v>16.856666666666666</v>
      </c>
      <c r="D50" s="58">
        <f>_xlfn.RANK.AVG(Table667986[[#This Row],[Proj]],Table667986[Proj],0)</f>
        <v>40</v>
      </c>
      <c r="E50" s="60">
        <f>IFERROR(INDEX(DK_Last_Week_Results_Data[Actual Score],MATCH(Table667986[[#This Row],[Name]],DK_Last_Week_Results_Data[Player],0)),"")</f>
        <v>5.7</v>
      </c>
      <c r="F50" s="58">
        <f>_xlfn.RANK.AVG(Table667986[[#This Row],[Actual]],Table667986[Actual],0)</f>
        <v>145.5</v>
      </c>
      <c r="H50" s="489" t="s">
        <v>71</v>
      </c>
      <c r="I50" s="60">
        <v>10.349125000000001</v>
      </c>
      <c r="J50" s="58">
        <f>_xlfn.RANK.AVG(Table617380[[#This Row],[Proj]],Table617380[Proj],0)</f>
        <v>40</v>
      </c>
      <c r="K50" s="60">
        <f>IFERROR(INDEX(DK_Last_Week_Results_Data[Actual Score],MATCH(Table617380[[#This Row],[Name]],DK_Last_Week_Results_Data[Player],0)),"")</f>
        <v>0</v>
      </c>
      <c r="L50" s="58">
        <f>_xlfn.RANK.AVG(Table617380[[#This Row],[Actual]],Table617380[Actual],0)</f>
        <v>46.5</v>
      </c>
      <c r="N50" s="489" t="s">
        <v>114</v>
      </c>
      <c r="O50" s="60">
        <v>9.86</v>
      </c>
      <c r="P50" s="58">
        <f>_xlfn.RANK.AVG(Table61627481[[#This Row],[Proj]],Table61627481[Proj],0)</f>
        <v>40</v>
      </c>
      <c r="Q50" s="60">
        <f>IFERROR(INDEX(DK_Last_Week_Results_Data[Actual Score],MATCH(Table61627481[[#This Row],[Name]],DK_Last_Week_Results_Data[Player],0)),"")</f>
        <v>24.4</v>
      </c>
      <c r="R50" s="58">
        <f>_xlfn.RANK.AVG(Table61627481[[#This Row],[Actual]],Table61627481[Actual],0)</f>
        <v>10</v>
      </c>
      <c r="T50" s="489" t="s">
        <v>433</v>
      </c>
      <c r="U50" s="60">
        <v>11.303333333333333</v>
      </c>
      <c r="V50" s="58">
        <f>_xlfn.RANK.AVG(Table61637582[[#This Row],[Proj]],Table61637582[Proj],0)</f>
        <v>40</v>
      </c>
      <c r="W50" s="60">
        <f>IFERROR(INDEX(DK_Last_Week_Results_Data[Actual Score],MATCH(Table61637582[[#This Row],[Name]],DK_Last_Week_Results_Data[Player],0)),"")</f>
        <v>0</v>
      </c>
      <c r="X50" s="58">
        <f>_xlfn.RANK.AVG(Table61637582[[#This Row],[Actual]],Table61637582[Actual],0)</f>
        <v>121</v>
      </c>
      <c r="Z50" s="491" t="s">
        <v>330</v>
      </c>
      <c r="AA50" s="60">
        <v>3.8833333333333337</v>
      </c>
      <c r="AB50" s="58">
        <f>_xlfn.RANK.AVG(Table61647683[[#This Row],[Proj]],Table61647683[Proj],0)</f>
        <v>40</v>
      </c>
      <c r="AC50" s="60">
        <f>IFERROR(INDEX(DK_Last_Week_Results_Data[Actual Score],MATCH(Table61647683[[#This Row],[Name]],DK_Last_Week_Results_Data[Player],0)),"")</f>
        <v>0</v>
      </c>
      <c r="AD50" s="58">
        <f>_xlfn.RANK.AVG(Table61647683[[#This Row],[Actual]],Table61647683[Actual],0)</f>
        <v>58</v>
      </c>
    </row>
    <row r="51" spans="2:30" x14ac:dyDescent="0.3">
      <c r="B51" s="489" t="s">
        <v>204</v>
      </c>
      <c r="C51" s="60">
        <v>16.75333333333333</v>
      </c>
      <c r="D51" s="58">
        <f>_xlfn.RANK.AVG(Table667986[[#This Row],[Proj]],Table667986[Proj],0)</f>
        <v>41</v>
      </c>
      <c r="E51" s="60">
        <f>IFERROR(INDEX(DK_Last_Week_Results_Data[Actual Score],MATCH(Table667986[[#This Row],[Name]],DK_Last_Week_Results_Data[Player],0)),"")</f>
        <v>21.2</v>
      </c>
      <c r="F51" s="58">
        <f>_xlfn.RANK.AVG(Table667986[[#This Row],[Actual]],Table667986[Actual],0)</f>
        <v>36</v>
      </c>
      <c r="H51" s="489" t="s">
        <v>61</v>
      </c>
      <c r="I51" s="60">
        <v>10.242000000000001</v>
      </c>
      <c r="J51" s="58">
        <f>_xlfn.RANK.AVG(Table617380[[#This Row],[Proj]],Table617380[Proj],0)</f>
        <v>41</v>
      </c>
      <c r="K51" s="60">
        <f>IFERROR(INDEX(DK_Last_Week_Results_Data[Actual Score],MATCH(Table617380[[#This Row],[Name]],DK_Last_Week_Results_Data[Player],0)),"")</f>
        <v>0</v>
      </c>
      <c r="L51" s="58">
        <f>_xlfn.RANK.AVG(Table617380[[#This Row],[Actual]],Table617380[Actual],0)</f>
        <v>46.5</v>
      </c>
      <c r="N51" s="489" t="s">
        <v>126</v>
      </c>
      <c r="O51" s="60">
        <v>9.0366666666666671</v>
      </c>
      <c r="P51" s="58">
        <f>_xlfn.RANK.AVG(Table61627481[[#This Row],[Proj]],Table61627481[Proj],0)</f>
        <v>41</v>
      </c>
      <c r="Q51" s="60">
        <f>IFERROR(INDEX(DK_Last_Week_Results_Data[Actual Score],MATCH(Table61627481[[#This Row],[Name]],DK_Last_Week_Results_Data[Player],0)),"")</f>
        <v>27.7</v>
      </c>
      <c r="R51" s="58">
        <f>_xlfn.RANK.AVG(Table61627481[[#This Row],[Actual]],Table61627481[Actual],0)</f>
        <v>7</v>
      </c>
      <c r="T51" s="489" t="s">
        <v>220</v>
      </c>
      <c r="U51" s="60">
        <v>11.173333333333334</v>
      </c>
      <c r="V51" s="58">
        <f>_xlfn.RANK.AVG(Table61637582[[#This Row],[Proj]],Table61637582[Proj],0)</f>
        <v>41</v>
      </c>
      <c r="W51" s="60">
        <f>IFERROR(INDEX(DK_Last_Week_Results_Data[Actual Score],MATCH(Table61637582[[#This Row],[Name]],DK_Last_Week_Results_Data[Player],0)),"")</f>
        <v>10.9</v>
      </c>
      <c r="X51" s="58">
        <f>_xlfn.RANK.AVG(Table61637582[[#This Row],[Actual]],Table61637582[Actual],0)</f>
        <v>36</v>
      </c>
      <c r="Z51" s="491" t="s">
        <v>368</v>
      </c>
      <c r="AA51" s="60">
        <v>3.753333333333333</v>
      </c>
      <c r="AB51" s="58">
        <f>_xlfn.RANK.AVG(Table61647683[[#This Row],[Proj]],Table61647683[Proj],0)</f>
        <v>41</v>
      </c>
      <c r="AC51" s="60">
        <f>IFERROR(INDEX(DK_Last_Week_Results_Data[Actual Score],MATCH(Table61647683[[#This Row],[Name]],DK_Last_Week_Results_Data[Player],0)),"")</f>
        <v>12.5</v>
      </c>
      <c r="AD51" s="58">
        <f>_xlfn.RANK.AVG(Table61647683[[#This Row],[Actual]],Table61647683[Actual],0)</f>
        <v>8</v>
      </c>
    </row>
    <row r="52" spans="2:30" x14ac:dyDescent="0.3">
      <c r="B52" s="489" t="s">
        <v>89</v>
      </c>
      <c r="C52" s="60">
        <v>16.669999999999998</v>
      </c>
      <c r="D52" s="58">
        <f>_xlfn.RANK.AVG(Table667986[[#This Row],[Proj]],Table667986[Proj],0)</f>
        <v>42</v>
      </c>
      <c r="E52" s="60">
        <f>IFERROR(INDEX(DK_Last_Week_Results_Data[Actual Score],MATCH(Table667986[[#This Row],[Name]],DK_Last_Week_Results_Data[Player],0)),"")</f>
        <v>22.7</v>
      </c>
      <c r="F52" s="58">
        <f>_xlfn.RANK.AVG(Table667986[[#This Row],[Actual]],Table667986[Actual],0)</f>
        <v>30</v>
      </c>
      <c r="H52" s="489" t="s">
        <v>72</v>
      </c>
      <c r="I52" s="60">
        <v>9.9130833333333328</v>
      </c>
      <c r="J52" s="58">
        <f>_xlfn.RANK.AVG(Table617380[[#This Row],[Proj]],Table617380[Proj],0)</f>
        <v>42</v>
      </c>
      <c r="K52" s="60">
        <f>IFERROR(INDEX(DK_Last_Week_Results_Data[Actual Score],MATCH(Table617380[[#This Row],[Name]],DK_Last_Week_Results_Data[Player],0)),"")</f>
        <v>0</v>
      </c>
      <c r="L52" s="58">
        <f>_xlfn.RANK.AVG(Table617380[[#This Row],[Actual]],Table617380[Actual],0)</f>
        <v>46.5</v>
      </c>
      <c r="N52" s="489" t="s">
        <v>145</v>
      </c>
      <c r="O52" s="60">
        <v>8.8633333333333333</v>
      </c>
      <c r="P52" s="58">
        <f>_xlfn.RANK.AVG(Table61627481[[#This Row],[Proj]],Table61627481[Proj],0)</f>
        <v>42</v>
      </c>
      <c r="Q52" s="60">
        <f>IFERROR(INDEX(DK_Last_Week_Results_Data[Actual Score],MATCH(Table61627481[[#This Row],[Name]],DK_Last_Week_Results_Data[Player],0)),"")</f>
        <v>28.1</v>
      </c>
      <c r="R52" s="58">
        <f>_xlfn.RANK.AVG(Table61627481[[#This Row],[Actual]],Table61627481[Actual],0)</f>
        <v>6</v>
      </c>
      <c r="T52" s="489" t="s">
        <v>226</v>
      </c>
      <c r="U52" s="60">
        <v>11.163333333333334</v>
      </c>
      <c r="V52" s="58">
        <f>_xlfn.RANK.AVG(Table61637582[[#This Row],[Proj]],Table61637582[Proj],0)</f>
        <v>42</v>
      </c>
      <c r="W52" s="60">
        <f>IFERROR(INDEX(DK_Last_Week_Results_Data[Actual Score],MATCH(Table61637582[[#This Row],[Name]],DK_Last_Week_Results_Data[Player],0)),"")</f>
        <v>20.6</v>
      </c>
      <c r="X52" s="58">
        <f>_xlfn.RANK.AVG(Table61637582[[#This Row],[Actual]],Table61637582[Actual],0)</f>
        <v>16</v>
      </c>
      <c r="Z52" s="491" t="s">
        <v>355</v>
      </c>
      <c r="AA52" s="60">
        <v>3.6150000000000002</v>
      </c>
      <c r="AB52" s="58">
        <f>_xlfn.RANK.AVG(Table61647683[[#This Row],[Proj]],Table61647683[Proj],0)</f>
        <v>42</v>
      </c>
      <c r="AC52" s="60">
        <f>IFERROR(INDEX(DK_Last_Week_Results_Data[Actual Score],MATCH(Table61647683[[#This Row],[Name]],DK_Last_Week_Results_Data[Player],0)),"")</f>
        <v>0</v>
      </c>
      <c r="AD52" s="58">
        <f>_xlfn.RANK.AVG(Table61647683[[#This Row],[Actual]],Table61647683[Actual],0)</f>
        <v>58</v>
      </c>
    </row>
    <row r="53" spans="2:30" x14ac:dyDescent="0.3">
      <c r="B53" s="489" t="s">
        <v>234</v>
      </c>
      <c r="C53" s="60">
        <v>16.64</v>
      </c>
      <c r="D53" s="58">
        <f>_xlfn.RANK.AVG(Table667986[[#This Row],[Proj]],Table667986[Proj],0)</f>
        <v>43</v>
      </c>
      <c r="E53" s="60">
        <f>IFERROR(INDEX(DK_Last_Week_Results_Data[Actual Score],MATCH(Table667986[[#This Row],[Name]],DK_Last_Week_Results_Data[Player],0)),"")</f>
        <v>13</v>
      </c>
      <c r="F53" s="58">
        <f>_xlfn.RANK.AVG(Table667986[[#This Row],[Actual]],Table667986[Actual],0)</f>
        <v>70</v>
      </c>
      <c r="H53" s="489" t="s">
        <v>78</v>
      </c>
      <c r="I53" s="60">
        <v>9.64</v>
      </c>
      <c r="J53" s="58">
        <f>_xlfn.RANK.AVG(Table617380[[#This Row],[Proj]],Table617380[Proj],0)</f>
        <v>43</v>
      </c>
      <c r="K53" s="60">
        <f>IFERROR(INDEX(DK_Last_Week_Results_Data[Actual Score],MATCH(Table617380[[#This Row],[Name]],DK_Last_Week_Results_Data[Player],0)),"")</f>
        <v>0</v>
      </c>
      <c r="L53" s="58">
        <f>_xlfn.RANK.AVG(Table617380[[#This Row],[Actual]],Table617380[Actual],0)</f>
        <v>46.5</v>
      </c>
      <c r="N53" s="489" t="s">
        <v>149</v>
      </c>
      <c r="O53" s="60">
        <v>8.8566666666666656</v>
      </c>
      <c r="P53" s="58">
        <f>_xlfn.RANK.AVG(Table61627481[[#This Row],[Proj]],Table61627481[Proj],0)</f>
        <v>43</v>
      </c>
      <c r="Q53" s="60">
        <f>IFERROR(INDEX(DK_Last_Week_Results_Data[Actual Score],MATCH(Table61627481[[#This Row],[Name]],DK_Last_Week_Results_Data[Player],0)),"")</f>
        <v>6.3</v>
      </c>
      <c r="R53" s="58">
        <f>_xlfn.RANK.AVG(Table61627481[[#This Row],[Actual]],Table61627481[Actual],0)</f>
        <v>45</v>
      </c>
      <c r="T53" s="489" t="s">
        <v>463</v>
      </c>
      <c r="U53" s="60">
        <v>10.936666666666667</v>
      </c>
      <c r="V53" s="58">
        <f>_xlfn.RANK.AVG(Table61637582[[#This Row],[Proj]],Table61637582[Proj],0)</f>
        <v>43</v>
      </c>
      <c r="W53" s="60">
        <f>IFERROR(INDEX(DK_Last_Week_Results_Data[Actual Score],MATCH(Table61637582[[#This Row],[Name]],DK_Last_Week_Results_Data[Player],0)),"")</f>
        <v>6.1</v>
      </c>
      <c r="X53" s="58">
        <f>_xlfn.RANK.AVG(Table61637582[[#This Row],[Actual]],Table61637582[Actual],0)</f>
        <v>64.5</v>
      </c>
      <c r="Z53" s="491" t="s">
        <v>559</v>
      </c>
      <c r="AA53" s="60">
        <v>3.41</v>
      </c>
      <c r="AB53" s="58">
        <f>_xlfn.RANK.AVG(Table61647683[[#This Row],[Proj]],Table61647683[Proj],0)</f>
        <v>43</v>
      </c>
      <c r="AC53" s="60">
        <f>IFERROR(INDEX(DK_Last_Week_Results_Data[Actual Score],MATCH(Table61647683[[#This Row],[Name]],DK_Last_Week_Results_Data[Player],0)),"")</f>
        <v>11.6</v>
      </c>
      <c r="AD53" s="58">
        <f>_xlfn.RANK.AVG(Table61647683[[#This Row],[Actual]],Table61647683[Actual],0)</f>
        <v>11</v>
      </c>
    </row>
    <row r="54" spans="2:30" x14ac:dyDescent="0.3">
      <c r="B54" s="489" t="s">
        <v>94</v>
      </c>
      <c r="C54" s="60">
        <v>16.593333333333334</v>
      </c>
      <c r="D54" s="58">
        <f>_xlfn.RANK.AVG(Table667986[[#This Row],[Proj]],Table667986[Proj],0)</f>
        <v>44</v>
      </c>
      <c r="E54" s="60">
        <f>IFERROR(INDEX(DK_Last_Week_Results_Data[Actual Score],MATCH(Table667986[[#This Row],[Name]],DK_Last_Week_Results_Data[Player],0)),"")</f>
        <v>0</v>
      </c>
      <c r="F54" s="58">
        <f>_xlfn.RANK.AVG(Table667986[[#This Row],[Actual]],Table667986[Actual],0)</f>
        <v>250</v>
      </c>
      <c r="H54" s="489" t="s">
        <v>445</v>
      </c>
      <c r="I54" s="60">
        <v>9.5200000000000014</v>
      </c>
      <c r="J54" s="58">
        <f>_xlfn.RANK.AVG(Table617380[[#This Row],[Proj]],Table617380[Proj],0)</f>
        <v>44</v>
      </c>
      <c r="K54" s="60">
        <f>IFERROR(INDEX(DK_Last_Week_Results_Data[Actual Score],MATCH(Table617380[[#This Row],[Name]],DK_Last_Week_Results_Data[Player],0)),"")</f>
        <v>10.66</v>
      </c>
      <c r="L54" s="58">
        <f>_xlfn.RANK.AVG(Table617380[[#This Row],[Actual]],Table617380[Actual],0)</f>
        <v>24</v>
      </c>
      <c r="N54" s="489" t="s">
        <v>124</v>
      </c>
      <c r="O54" s="60">
        <v>8.7433333333333323</v>
      </c>
      <c r="P54" s="58">
        <f>_xlfn.RANK.AVG(Table61627481[[#This Row],[Proj]],Table61627481[Proj],0)</f>
        <v>44</v>
      </c>
      <c r="Q54" s="60">
        <f>IFERROR(INDEX(DK_Last_Week_Results_Data[Actual Score],MATCH(Table61627481[[#This Row],[Name]],DK_Last_Week_Results_Data[Player],0)),"")</f>
        <v>12.1</v>
      </c>
      <c r="R54" s="58">
        <f>_xlfn.RANK.AVG(Table61627481[[#This Row],[Actual]],Table61627481[Actual],0)</f>
        <v>24</v>
      </c>
      <c r="T54" s="490" t="s">
        <v>479</v>
      </c>
      <c r="U54" s="60">
        <v>10.886666666666667</v>
      </c>
      <c r="V54" s="58">
        <f>_xlfn.RANK.AVG(Table61637582[[#This Row],[Proj]],Table61637582[Proj],0)</f>
        <v>44</v>
      </c>
      <c r="W54" s="60">
        <f>IFERROR(INDEX(DK_Last_Week_Results_Data[Actual Score],MATCH(Table61637582[[#This Row],[Name]],DK_Last_Week_Results_Data[Player],0)),"")</f>
        <v>34.9</v>
      </c>
      <c r="X54" s="58">
        <f>_xlfn.RANK.AVG(Table61637582[[#This Row],[Actual]],Table61637582[Actual],0)</f>
        <v>3</v>
      </c>
      <c r="Z54" s="491" t="s">
        <v>345</v>
      </c>
      <c r="AA54" s="60">
        <v>3.2350000000000003</v>
      </c>
      <c r="AB54" s="58">
        <f>_xlfn.RANK.AVG(Table61647683[[#This Row],[Proj]],Table61647683[Proj],0)</f>
        <v>44</v>
      </c>
      <c r="AC54" s="60">
        <f>IFERROR(INDEX(DK_Last_Week_Results_Data[Actual Score],MATCH(Table61647683[[#This Row],[Name]],DK_Last_Week_Results_Data[Player],0)),"")</f>
        <v>5.5</v>
      </c>
      <c r="AD54" s="58">
        <f>_xlfn.RANK.AVG(Table61647683[[#This Row],[Actual]],Table61647683[Actual],0)</f>
        <v>20</v>
      </c>
    </row>
    <row r="55" spans="2:30" x14ac:dyDescent="0.3">
      <c r="B55" s="489" t="s">
        <v>192</v>
      </c>
      <c r="C55" s="60">
        <v>16.53</v>
      </c>
      <c r="D55" s="58">
        <f>_xlfn.RANK.AVG(Table667986[[#This Row],[Proj]],Table667986[Proj],0)</f>
        <v>45</v>
      </c>
      <c r="E55" s="60">
        <f>IFERROR(INDEX(DK_Last_Week_Results_Data[Actual Score],MATCH(Table667986[[#This Row],[Name]],DK_Last_Week_Results_Data[Player],0)),"")</f>
        <v>33</v>
      </c>
      <c r="F55" s="58">
        <f>_xlfn.RANK.AVG(Table667986[[#This Row],[Actual]],Table667986[Actual],0)</f>
        <v>6</v>
      </c>
      <c r="H55" s="489" t="s">
        <v>53</v>
      </c>
      <c r="I55" s="60">
        <v>9.2308750000000011</v>
      </c>
      <c r="J55" s="58">
        <f>_xlfn.RANK.AVG(Table617380[[#This Row],[Proj]],Table617380[Proj],0)</f>
        <v>45</v>
      </c>
      <c r="K55" s="60">
        <f>IFERROR(INDEX(DK_Last_Week_Results_Data[Actual Score],MATCH(Table617380[[#This Row],[Name]],DK_Last_Week_Results_Data[Player],0)),"")</f>
        <v>0</v>
      </c>
      <c r="L55" s="58">
        <f>_xlfn.RANK.AVG(Table617380[[#This Row],[Actual]],Table617380[Actual],0)</f>
        <v>46.5</v>
      </c>
      <c r="N55" s="489" t="s">
        <v>458</v>
      </c>
      <c r="O55" s="60">
        <v>7.6566666666666663</v>
      </c>
      <c r="P55" s="58">
        <f>_xlfn.RANK.AVG(Table61627481[[#This Row],[Proj]],Table61627481[Proj],0)</f>
        <v>45</v>
      </c>
      <c r="Q55" s="60">
        <f>IFERROR(INDEX(DK_Last_Week_Results_Data[Actual Score],MATCH(Table61627481[[#This Row],[Name]],DK_Last_Week_Results_Data[Player],0)),"")</f>
        <v>4.5</v>
      </c>
      <c r="R55" s="58">
        <f>_xlfn.RANK.AVG(Table61627481[[#This Row],[Actual]],Table61627481[Actual],0)</f>
        <v>53.5</v>
      </c>
      <c r="T55" s="489" t="s">
        <v>233</v>
      </c>
      <c r="U55" s="60">
        <v>10.54</v>
      </c>
      <c r="V55" s="58">
        <f>_xlfn.RANK.AVG(Table61637582[[#This Row],[Proj]],Table61637582[Proj],0)</f>
        <v>45</v>
      </c>
      <c r="W55" s="60">
        <f>IFERROR(INDEX(DK_Last_Week_Results_Data[Actual Score],MATCH(Table61637582[[#This Row],[Name]],DK_Last_Week_Results_Data[Player],0)),"")</f>
        <v>6.7</v>
      </c>
      <c r="X55" s="58">
        <f>_xlfn.RANK.AVG(Table61637582[[#This Row],[Actual]],Table61637582[Actual],0)</f>
        <v>59</v>
      </c>
      <c r="Z55" s="492" t="s">
        <v>1253</v>
      </c>
      <c r="AA55" s="60">
        <v>3.2</v>
      </c>
      <c r="AB55" s="58">
        <f>_xlfn.RANK.AVG(Table61647683[[#This Row],[Proj]],Table61647683[Proj],0)</f>
        <v>45</v>
      </c>
      <c r="AC55" s="60">
        <f>IFERROR(INDEX(DK_Last_Week_Results_Data[Actual Score],MATCH(Table61647683[[#This Row],[Name]],DK_Last_Week_Results_Data[Player],0)),"")</f>
        <v>3.9</v>
      </c>
      <c r="AD55" s="58">
        <f>_xlfn.RANK.AVG(Table61647683[[#This Row],[Actual]],Table61647683[Actual],0)</f>
        <v>27.5</v>
      </c>
    </row>
    <row r="56" spans="2:30" x14ac:dyDescent="0.3">
      <c r="B56" s="489" t="s">
        <v>193</v>
      </c>
      <c r="C56" s="60">
        <v>16.466666666666665</v>
      </c>
      <c r="D56" s="58">
        <f>_xlfn.RANK.AVG(Table667986[[#This Row],[Proj]],Table667986[Proj],0)</f>
        <v>46</v>
      </c>
      <c r="E56" s="60">
        <f>IFERROR(INDEX(DK_Last_Week_Results_Data[Actual Score],MATCH(Table667986[[#This Row],[Name]],DK_Last_Week_Results_Data[Player],0)),"")</f>
        <v>13</v>
      </c>
      <c r="F56" s="58">
        <f>_xlfn.RANK.AVG(Table667986[[#This Row],[Actual]],Table667986[Actual],0)</f>
        <v>70</v>
      </c>
      <c r="H56" s="489" t="s">
        <v>33</v>
      </c>
      <c r="I56" s="60">
        <v>9.2011249999999993</v>
      </c>
      <c r="J56" s="58">
        <f>_xlfn.RANK.AVG(Table617380[[#This Row],[Proj]],Table617380[Proj],0)</f>
        <v>46</v>
      </c>
      <c r="K56" s="60">
        <f>IFERROR(INDEX(DK_Last_Week_Results_Data[Actual Score],MATCH(Table617380[[#This Row],[Name]],DK_Last_Week_Results_Data[Player],0)),"")</f>
        <v>0</v>
      </c>
      <c r="L56" s="58">
        <f>_xlfn.RANK.AVG(Table617380[[#This Row],[Actual]],Table617380[Actual],0)</f>
        <v>46.5</v>
      </c>
      <c r="N56" s="489" t="s">
        <v>141</v>
      </c>
      <c r="O56" s="60">
        <v>7.5066666666666659</v>
      </c>
      <c r="P56" s="58">
        <f>_xlfn.RANK.AVG(Table61627481[[#This Row],[Proj]],Table61627481[Proj],0)</f>
        <v>46</v>
      </c>
      <c r="Q56" s="60">
        <f>IFERROR(INDEX(DK_Last_Week_Results_Data[Actual Score],MATCH(Table61627481[[#This Row],[Name]],DK_Last_Week_Results_Data[Player],0)),"")</f>
        <v>2.6</v>
      </c>
      <c r="R56" s="58">
        <f>_xlfn.RANK.AVG(Table61627481[[#This Row],[Actual]],Table61627481[Actual],0)</f>
        <v>58</v>
      </c>
      <c r="T56" s="490" t="s">
        <v>505</v>
      </c>
      <c r="U56" s="60">
        <v>10.326666666666668</v>
      </c>
      <c r="V56" s="58">
        <f>_xlfn.RANK.AVG(Table61637582[[#This Row],[Proj]],Table61637582[Proj],0)</f>
        <v>46</v>
      </c>
      <c r="W56" s="60">
        <f>IFERROR(INDEX(DK_Last_Week_Results_Data[Actual Score],MATCH(Table61637582[[#This Row],[Name]],DK_Last_Week_Results_Data[Player],0)),"")</f>
        <v>12.9</v>
      </c>
      <c r="X56" s="58">
        <f>_xlfn.RANK.AVG(Table61637582[[#This Row],[Actual]],Table61637582[Actual],0)</f>
        <v>28</v>
      </c>
      <c r="Z56" s="491" t="s">
        <v>352</v>
      </c>
      <c r="AA56" s="60">
        <v>3.15</v>
      </c>
      <c r="AB56" s="58">
        <f>_xlfn.RANK.AVG(Table61647683[[#This Row],[Proj]],Table61647683[Proj],0)</f>
        <v>46</v>
      </c>
      <c r="AC56" s="60">
        <f>IFERROR(INDEX(DK_Last_Week_Results_Data[Actual Score],MATCH(Table61647683[[#This Row],[Name]],DK_Last_Week_Results_Data[Player],0)),"")</f>
        <v>0</v>
      </c>
      <c r="AD56" s="58">
        <f>_xlfn.RANK.AVG(Table61647683[[#This Row],[Actual]],Table61647683[Actual],0)</f>
        <v>58</v>
      </c>
    </row>
    <row r="57" spans="2:30" x14ac:dyDescent="0.3">
      <c r="B57" s="489" t="s">
        <v>85</v>
      </c>
      <c r="C57" s="60">
        <v>16.453333333333333</v>
      </c>
      <c r="D57" s="58">
        <f>_xlfn.RANK.AVG(Table667986[[#This Row],[Proj]],Table667986[Proj],0)</f>
        <v>47</v>
      </c>
      <c r="E57" s="60">
        <f>IFERROR(INDEX(DK_Last_Week_Results_Data[Actual Score],MATCH(Table667986[[#This Row],[Name]],DK_Last_Week_Results_Data[Player],0)),"")</f>
        <v>0</v>
      </c>
      <c r="F57" s="58">
        <f>_xlfn.RANK.AVG(Table667986[[#This Row],[Actual]],Table667986[Actual],0)</f>
        <v>250</v>
      </c>
      <c r="H57" s="489" t="s">
        <v>446</v>
      </c>
      <c r="I57" s="60">
        <v>9.1687500000000011</v>
      </c>
      <c r="J57" s="58">
        <f>_xlfn.RANK.AVG(Table617380[[#This Row],[Proj]],Table617380[Proj],0)</f>
        <v>47</v>
      </c>
      <c r="K57" s="60">
        <f>IFERROR(INDEX(DK_Last_Week_Results_Data[Actual Score],MATCH(Table617380[[#This Row],[Name]],DK_Last_Week_Results_Data[Player],0)),"")</f>
        <v>5.4</v>
      </c>
      <c r="L57" s="58">
        <f>_xlfn.RANK.AVG(Table617380[[#This Row],[Actual]],Table617380[Actual],0)</f>
        <v>31</v>
      </c>
      <c r="N57" s="489" t="s">
        <v>123</v>
      </c>
      <c r="O57" s="60">
        <v>7.3449999999999998</v>
      </c>
      <c r="P57" s="58">
        <f>_xlfn.RANK.AVG(Table61627481[[#This Row],[Proj]],Table61627481[Proj],0)</f>
        <v>47</v>
      </c>
      <c r="Q57" s="60">
        <f>IFERROR(INDEX(DK_Last_Week_Results_Data[Actual Score],MATCH(Table61627481[[#This Row],[Name]],DK_Last_Week_Results_Data[Player],0)),"")</f>
        <v>3.3</v>
      </c>
      <c r="R57" s="58">
        <f>_xlfn.RANK.AVG(Table61627481[[#This Row],[Actual]],Table61627481[Actual],0)</f>
        <v>57</v>
      </c>
      <c r="T57" s="489" t="s">
        <v>457</v>
      </c>
      <c r="U57" s="60">
        <v>9.74</v>
      </c>
      <c r="V57" s="58">
        <f>_xlfn.RANK.AVG(Table61637582[[#This Row],[Proj]],Table61637582[Proj],0)</f>
        <v>47</v>
      </c>
      <c r="W57" s="60">
        <f>IFERROR(INDEX(DK_Last_Week_Results_Data[Actual Score],MATCH(Table61637582[[#This Row],[Name]],DK_Last_Week_Results_Data[Player],0)),"")</f>
        <v>20.100000000000001</v>
      </c>
      <c r="X57" s="58">
        <f>_xlfn.RANK.AVG(Table61637582[[#This Row],[Actual]],Table61637582[Actual],0)</f>
        <v>17</v>
      </c>
      <c r="Z57" s="491" t="s">
        <v>558</v>
      </c>
      <c r="AA57" s="60">
        <v>2.9950000000000001</v>
      </c>
      <c r="AB57" s="58">
        <f>_xlfn.RANK.AVG(Table61647683[[#This Row],[Proj]],Table61647683[Proj],0)</f>
        <v>47</v>
      </c>
      <c r="AC57" s="60">
        <f>IFERROR(INDEX(DK_Last_Week_Results_Data[Actual Score],MATCH(Table61647683[[#This Row],[Name]],DK_Last_Week_Results_Data[Player],0)),"")</f>
        <v>0</v>
      </c>
      <c r="AD57" s="58">
        <f>_xlfn.RANK.AVG(Table61647683[[#This Row],[Actual]],Table61647683[Actual],0)</f>
        <v>58</v>
      </c>
    </row>
    <row r="58" spans="2:30" x14ac:dyDescent="0.3">
      <c r="B58" s="489" t="s">
        <v>211</v>
      </c>
      <c r="C58" s="60">
        <v>16.446666666666665</v>
      </c>
      <c r="D58" s="58">
        <f>_xlfn.RANK.AVG(Table667986[[#This Row],[Proj]],Table667986[Proj],0)</f>
        <v>48</v>
      </c>
      <c r="E58" s="60">
        <f>IFERROR(INDEX(DK_Last_Week_Results_Data[Actual Score],MATCH(Table667986[[#This Row],[Name]],DK_Last_Week_Results_Data[Player],0)),"")</f>
        <v>9.9</v>
      </c>
      <c r="F58" s="58">
        <f>_xlfn.RANK.AVG(Table667986[[#This Row],[Actual]],Table667986[Actual],0)</f>
        <v>97.5</v>
      </c>
      <c r="H58" s="489" t="s">
        <v>58</v>
      </c>
      <c r="I58" s="60">
        <v>8.9013749999999998</v>
      </c>
      <c r="J58" s="58">
        <f>_xlfn.RANK.AVG(Table617380[[#This Row],[Proj]],Table617380[Proj],0)</f>
        <v>48</v>
      </c>
      <c r="K58" s="60">
        <f>IFERROR(INDEX(DK_Last_Week_Results_Data[Actual Score],MATCH(Table617380[[#This Row],[Name]],DK_Last_Week_Results_Data[Player],0)),"")</f>
        <v>0</v>
      </c>
      <c r="L58" s="58">
        <f>_xlfn.RANK.AVG(Table617380[[#This Row],[Actual]],Table617380[Actual],0)</f>
        <v>46.5</v>
      </c>
      <c r="N58" s="489" t="s">
        <v>97</v>
      </c>
      <c r="O58" s="60">
        <v>7.3033333333333337</v>
      </c>
      <c r="P58" s="58">
        <f>_xlfn.RANK.AVG(Table61627481[[#This Row],[Proj]],Table61627481[Proj],0)</f>
        <v>48</v>
      </c>
      <c r="Q58" s="60">
        <f>IFERROR(INDEX(DK_Last_Week_Results_Data[Actual Score],MATCH(Table61627481[[#This Row],[Name]],DK_Last_Week_Results_Data[Player],0)),"")</f>
        <v>4.0999999999999996</v>
      </c>
      <c r="R58" s="58">
        <f>_xlfn.RANK.AVG(Table61627481[[#This Row],[Actual]],Table61627481[Actual],0)</f>
        <v>55</v>
      </c>
      <c r="T58" s="490" t="s">
        <v>207</v>
      </c>
      <c r="U58" s="60">
        <v>9.6533333333333342</v>
      </c>
      <c r="V58" s="58">
        <f>_xlfn.RANK.AVG(Table61637582[[#This Row],[Proj]],Table61637582[Proj],0)</f>
        <v>48</v>
      </c>
      <c r="W58" s="60">
        <f>IFERROR(INDEX(DK_Last_Week_Results_Data[Actual Score],MATCH(Table61637582[[#This Row],[Name]],DK_Last_Week_Results_Data[Player],0)),"")</f>
        <v>13</v>
      </c>
      <c r="X58" s="58">
        <f>_xlfn.RANK.AVG(Table61637582[[#This Row],[Actual]],Table61637582[Actual],0)</f>
        <v>26</v>
      </c>
      <c r="Z58" s="491" t="s">
        <v>346</v>
      </c>
      <c r="AA58" s="60">
        <v>2.95</v>
      </c>
      <c r="AB58" s="58">
        <f>_xlfn.RANK.AVG(Table61647683[[#This Row],[Proj]],Table61647683[Proj],0)</f>
        <v>48</v>
      </c>
      <c r="AC58" s="60">
        <f>IFERROR(INDEX(DK_Last_Week_Results_Data[Actual Score],MATCH(Table61647683[[#This Row],[Name]],DK_Last_Week_Results_Data[Player],0)),"")</f>
        <v>0</v>
      </c>
      <c r="AD58" s="58">
        <f>_xlfn.RANK.AVG(Table61647683[[#This Row],[Actual]],Table61647683[Actual],0)</f>
        <v>58</v>
      </c>
    </row>
    <row r="59" spans="2:30" x14ac:dyDescent="0.3">
      <c r="B59" s="489" t="s">
        <v>427</v>
      </c>
      <c r="C59" s="60">
        <v>16.423333333333336</v>
      </c>
      <c r="D59" s="58">
        <f>_xlfn.RANK.AVG(Table667986[[#This Row],[Proj]],Table667986[Proj],0)</f>
        <v>49</v>
      </c>
      <c r="E59" s="60">
        <f>IFERROR(INDEX(DK_Last_Week_Results_Data[Actual Score],MATCH(Table667986[[#This Row],[Name]],DK_Last_Week_Results_Data[Player],0)),"")</f>
        <v>31.1</v>
      </c>
      <c r="F59" s="58">
        <f>_xlfn.RANK.AVG(Table667986[[#This Row],[Actual]],Table667986[Actual],0)</f>
        <v>9</v>
      </c>
      <c r="H59" s="489" t="s">
        <v>79</v>
      </c>
      <c r="I59" s="60">
        <v>8.7283749999999998</v>
      </c>
      <c r="J59" s="58">
        <f>_xlfn.RANK.AVG(Table617380[[#This Row],[Proj]],Table617380[Proj],0)</f>
        <v>49</v>
      </c>
      <c r="K59" s="60">
        <f>IFERROR(INDEX(DK_Last_Week_Results_Data[Actual Score],MATCH(Table617380[[#This Row],[Name]],DK_Last_Week_Results_Data[Player],0)),"")</f>
        <v>0</v>
      </c>
      <c r="L59" s="58">
        <f>_xlfn.RANK.AVG(Table617380[[#This Row],[Actual]],Table617380[Actual],0)</f>
        <v>46.5</v>
      </c>
      <c r="N59" s="489" t="s">
        <v>91</v>
      </c>
      <c r="O59" s="60">
        <v>6.97</v>
      </c>
      <c r="P59" s="58">
        <f>_xlfn.RANK.AVG(Table61627481[[#This Row],[Proj]],Table61627481[Proj],0)</f>
        <v>49</v>
      </c>
      <c r="Q59" s="60">
        <f>IFERROR(INDEX(DK_Last_Week_Results_Data[Actual Score],MATCH(Table61627481[[#This Row],[Name]],DK_Last_Week_Results_Data[Player],0)),"")</f>
        <v>0</v>
      </c>
      <c r="R59" s="58">
        <f>_xlfn.RANK.AVG(Table61627481[[#This Row],[Actual]],Table61627481[Actual],0)</f>
        <v>83.5</v>
      </c>
      <c r="T59" s="489" t="s">
        <v>432</v>
      </c>
      <c r="U59" s="60">
        <v>9.629999999999999</v>
      </c>
      <c r="V59" s="58">
        <f>_xlfn.RANK.AVG(Table61637582[[#This Row],[Proj]],Table61637582[Proj],0)</f>
        <v>49</v>
      </c>
      <c r="W59" s="60">
        <f>IFERROR(INDEX(DK_Last_Week_Results_Data[Actual Score],MATCH(Table61637582[[#This Row],[Name]],DK_Last_Week_Results_Data[Player],0)),"")</f>
        <v>12.2</v>
      </c>
      <c r="X59" s="58">
        <f>_xlfn.RANK.AVG(Table61637582[[#This Row],[Actual]],Table61637582[Actual],0)</f>
        <v>30.5</v>
      </c>
      <c r="Z59" s="491" t="s">
        <v>353</v>
      </c>
      <c r="AA59" s="60">
        <v>2.7750000000000004</v>
      </c>
      <c r="AB59" s="58">
        <f>_xlfn.RANK.AVG(Table61647683[[#This Row],[Proj]],Table61647683[Proj],0)</f>
        <v>49</v>
      </c>
      <c r="AC59" s="60">
        <f>IFERROR(INDEX(DK_Last_Week_Results_Data[Actual Score],MATCH(Table61647683[[#This Row],[Name]],DK_Last_Week_Results_Data[Player],0)),"")</f>
        <v>3.3</v>
      </c>
      <c r="AD59" s="58">
        <f>_xlfn.RANK.AVG(Table61647683[[#This Row],[Actual]],Table61647683[Actual],0)</f>
        <v>32.5</v>
      </c>
    </row>
    <row r="60" spans="2:30" x14ac:dyDescent="0.3">
      <c r="B60" s="489" t="s">
        <v>106</v>
      </c>
      <c r="C60" s="60">
        <v>16.420000000000002</v>
      </c>
      <c r="D60" s="58">
        <f>_xlfn.RANK.AVG(Table667986[[#This Row],[Proj]],Table667986[Proj],0)</f>
        <v>50</v>
      </c>
      <c r="E60" s="60">
        <f>IFERROR(INDEX(DK_Last_Week_Results_Data[Actual Score],MATCH(Table667986[[#This Row],[Name]],DK_Last_Week_Results_Data[Player],0)),"")</f>
        <v>5.0999999999999996</v>
      </c>
      <c r="F60" s="58">
        <f>_xlfn.RANK.AVG(Table667986[[#This Row],[Actual]],Table667986[Actual],0)</f>
        <v>153.5</v>
      </c>
      <c r="H60" s="489" t="s">
        <v>443</v>
      </c>
      <c r="I60" s="60">
        <v>8.5953750000000007</v>
      </c>
      <c r="J60" s="58">
        <f>_xlfn.RANK.AVG(Table617380[[#This Row],[Proj]],Table617380[Proj],0)</f>
        <v>50</v>
      </c>
      <c r="K60" s="60">
        <f>IFERROR(INDEX(DK_Last_Week_Results_Data[Actual Score],MATCH(Table617380[[#This Row],[Name]],DK_Last_Week_Results_Data[Player],0)),"")</f>
        <v>0</v>
      </c>
      <c r="L60" s="58">
        <f>_xlfn.RANK.AVG(Table617380[[#This Row],[Actual]],Table617380[Actual],0)</f>
        <v>46.5</v>
      </c>
      <c r="N60" s="489" t="s">
        <v>131</v>
      </c>
      <c r="O60" s="60">
        <v>6.69</v>
      </c>
      <c r="P60" s="58">
        <f>_xlfn.RANK.AVG(Table61627481[[#This Row],[Proj]],Table61627481[Proj],0)</f>
        <v>50</v>
      </c>
      <c r="Q60" s="60">
        <f>IFERROR(INDEX(DK_Last_Week_Results_Data[Actual Score],MATCH(Table61627481[[#This Row],[Name]],DK_Last_Week_Results_Data[Player],0)),"")</f>
        <v>2.2000000000000002</v>
      </c>
      <c r="R60" s="58">
        <f>_xlfn.RANK.AVG(Table61627481[[#This Row],[Actual]],Table61627481[Actual],0)</f>
        <v>60</v>
      </c>
      <c r="T60" s="490" t="s">
        <v>275</v>
      </c>
      <c r="U60" s="60">
        <v>9.6266666666666669</v>
      </c>
      <c r="V60" s="58">
        <f>_xlfn.RANK.AVG(Table61637582[[#This Row],[Proj]],Table61637582[Proj],0)</f>
        <v>50</v>
      </c>
      <c r="W60" s="60">
        <f>IFERROR(INDEX(DK_Last_Week_Results_Data[Actual Score],MATCH(Table61637582[[#This Row],[Name]],DK_Last_Week_Results_Data[Player],0)),"")</f>
        <v>6.9</v>
      </c>
      <c r="X60" s="58">
        <f>_xlfn.RANK.AVG(Table61637582[[#This Row],[Actual]],Table61637582[Actual],0)</f>
        <v>57</v>
      </c>
      <c r="Z60" s="491" t="s">
        <v>372</v>
      </c>
      <c r="AA60" s="60">
        <v>2.7350000000000003</v>
      </c>
      <c r="AB60" s="58">
        <f>_xlfn.RANK.AVG(Table61647683[[#This Row],[Proj]],Table61647683[Proj],0)</f>
        <v>50</v>
      </c>
      <c r="AC60" s="60">
        <f>IFERROR(INDEX(DK_Last_Week_Results_Data[Actual Score],MATCH(Table61647683[[#This Row],[Name]],DK_Last_Week_Results_Data[Player],0)),"")</f>
        <v>0</v>
      </c>
      <c r="AD60" s="58">
        <f>_xlfn.RANK.AVG(Table61647683[[#This Row],[Actual]],Table61647683[Actual],0)</f>
        <v>58</v>
      </c>
    </row>
    <row r="61" spans="2:30" x14ac:dyDescent="0.3">
      <c r="B61" s="489" t="s">
        <v>9</v>
      </c>
      <c r="C61" s="60">
        <v>16.276708333333335</v>
      </c>
      <c r="D61" s="58">
        <f>_xlfn.RANK.AVG(Table667986[[#This Row],[Proj]],Table667986[Proj],0)</f>
        <v>51</v>
      </c>
      <c r="E61" s="60">
        <f>IFERROR(INDEX(DK_Last_Week_Results_Data[Actual Score],MATCH(Table667986[[#This Row],[Name]],DK_Last_Week_Results_Data[Player],0)),"")</f>
        <v>17.36</v>
      </c>
      <c r="F61" s="58">
        <f>_xlfn.RANK.AVG(Table667986[[#This Row],[Actual]],Table667986[Actual],0)</f>
        <v>48</v>
      </c>
      <c r="H61" s="489" t="s">
        <v>451</v>
      </c>
      <c r="I61" s="60">
        <v>8.5493749999999995</v>
      </c>
      <c r="J61" s="58">
        <f>_xlfn.RANK.AVG(Table617380[[#This Row],[Proj]],Table617380[Proj],0)</f>
        <v>51</v>
      </c>
      <c r="K61" s="60">
        <f>IFERROR(INDEX(DK_Last_Week_Results_Data[Actual Score],MATCH(Table617380[[#This Row],[Name]],DK_Last_Week_Results_Data[Player],0)),"")</f>
        <v>0</v>
      </c>
      <c r="L61" s="58">
        <f>_xlfn.RANK.AVG(Table617380[[#This Row],[Actual]],Table617380[Actual],0)</f>
        <v>46.5</v>
      </c>
      <c r="N61" s="489" t="s">
        <v>764</v>
      </c>
      <c r="O61" s="60">
        <v>6.6833333333333327</v>
      </c>
      <c r="P61" s="58">
        <f>_xlfn.RANK.AVG(Table61627481[[#This Row],[Proj]],Table61627481[Proj],0)</f>
        <v>51</v>
      </c>
      <c r="Q61" s="60">
        <f>IFERROR(INDEX(DK_Last_Week_Results_Data[Actual Score],MATCH(Table61627481[[#This Row],[Name]],DK_Last_Week_Results_Data[Player],0)),"")</f>
        <v>3.5</v>
      </c>
      <c r="R61" s="58">
        <f>_xlfn.RANK.AVG(Table61627481[[#This Row],[Actual]],Table61627481[Actual],0)</f>
        <v>56</v>
      </c>
      <c r="T61" s="489" t="s">
        <v>230</v>
      </c>
      <c r="U61" s="60">
        <v>9.5633333333333326</v>
      </c>
      <c r="V61" s="58">
        <f>_xlfn.RANK.AVG(Table61637582[[#This Row],[Proj]],Table61637582[Proj],0)</f>
        <v>51</v>
      </c>
      <c r="W61" s="60">
        <f>IFERROR(INDEX(DK_Last_Week_Results_Data[Actual Score],MATCH(Table61637582[[#This Row],[Name]],DK_Last_Week_Results_Data[Player],0)),"")</f>
        <v>11.8</v>
      </c>
      <c r="X61" s="58">
        <f>_xlfn.RANK.AVG(Table61637582[[#This Row],[Actual]],Table61637582[Actual],0)</f>
        <v>33</v>
      </c>
      <c r="Z61" s="491" t="s">
        <v>356</v>
      </c>
      <c r="AA61" s="60">
        <v>2.6100000000000003</v>
      </c>
      <c r="AB61" s="58">
        <f>_xlfn.RANK.AVG(Table61647683[[#This Row],[Proj]],Table61647683[Proj],0)</f>
        <v>51</v>
      </c>
      <c r="AC61" s="60">
        <f>IFERROR(INDEX(DK_Last_Week_Results_Data[Actual Score],MATCH(Table61647683[[#This Row],[Name]],DK_Last_Week_Results_Data[Player],0)),"")</f>
        <v>0</v>
      </c>
      <c r="AD61" s="58">
        <f>_xlfn.RANK.AVG(Table61647683[[#This Row],[Actual]],Table61647683[Actual],0)</f>
        <v>58</v>
      </c>
    </row>
    <row r="62" spans="2:30" x14ac:dyDescent="0.3">
      <c r="B62" s="489" t="s">
        <v>13</v>
      </c>
      <c r="C62" s="60">
        <v>16.151583333333335</v>
      </c>
      <c r="D62" s="58">
        <f>_xlfn.RANK.AVG(Table667986[[#This Row],[Proj]],Table667986[Proj],0)</f>
        <v>52</v>
      </c>
      <c r="E62" s="60">
        <f>IFERROR(INDEX(DK_Last_Week_Results_Data[Actual Score],MATCH(Table667986[[#This Row],[Name]],DK_Last_Week_Results_Data[Player],0)),"")</f>
        <v>0</v>
      </c>
      <c r="F62" s="58">
        <f>_xlfn.RANK.AVG(Table667986[[#This Row],[Actual]],Table667986[Actual],0)</f>
        <v>250</v>
      </c>
      <c r="H62" s="489" t="s">
        <v>80</v>
      </c>
      <c r="I62" s="60">
        <v>8.5176249999999989</v>
      </c>
      <c r="J62" s="58">
        <f>_xlfn.RANK.AVG(Table617380[[#This Row],[Proj]],Table617380[Proj],0)</f>
        <v>52</v>
      </c>
      <c r="K62" s="60">
        <f>IFERROR(INDEX(DK_Last_Week_Results_Data[Actual Score],MATCH(Table617380[[#This Row],[Name]],DK_Last_Week_Results_Data[Player],0)),"")</f>
        <v>0.12</v>
      </c>
      <c r="L62" s="58">
        <f>_xlfn.RANK.AVG(Table617380[[#This Row],[Actual]],Table617380[Actual],0)</f>
        <v>33</v>
      </c>
      <c r="N62" s="489" t="s">
        <v>461</v>
      </c>
      <c r="O62" s="60">
        <v>6.4466666666666672</v>
      </c>
      <c r="P62" s="58">
        <f>_xlfn.RANK.AVG(Table61627481[[#This Row],[Proj]],Table61627481[Proj],0)</f>
        <v>52</v>
      </c>
      <c r="Q62" s="60">
        <f>IFERROR(INDEX(DK_Last_Week_Results_Data[Actual Score],MATCH(Table61627481[[#This Row],[Name]],DK_Last_Week_Results_Data[Player],0)),"")</f>
        <v>7.2</v>
      </c>
      <c r="R62" s="58">
        <f>_xlfn.RANK.AVG(Table61627481[[#This Row],[Actual]],Table61627481[Actual],0)</f>
        <v>41</v>
      </c>
      <c r="T62" s="489" t="s">
        <v>214</v>
      </c>
      <c r="U62" s="60">
        <v>9.4500000000000011</v>
      </c>
      <c r="V62" s="58">
        <f>_xlfn.RANK.AVG(Table61637582[[#This Row],[Proj]],Table61637582[Proj],0)</f>
        <v>52</v>
      </c>
      <c r="W62" s="60">
        <f>IFERROR(INDEX(DK_Last_Week_Results_Data[Actual Score],MATCH(Table61637582[[#This Row],[Name]],DK_Last_Week_Results_Data[Player],0)),"")</f>
        <v>21.4</v>
      </c>
      <c r="X62" s="58">
        <f>_xlfn.RANK.AVG(Table61637582[[#This Row],[Actual]],Table61637582[Actual],0)</f>
        <v>14</v>
      </c>
      <c r="Z62" s="491" t="s">
        <v>359</v>
      </c>
      <c r="AA62" s="60">
        <v>2.5500000000000003</v>
      </c>
      <c r="AB62" s="58">
        <f>_xlfn.RANK.AVG(Table61647683[[#This Row],[Proj]],Table61647683[Proj],0)</f>
        <v>52</v>
      </c>
      <c r="AC62" s="60">
        <f>IFERROR(INDEX(DK_Last_Week_Results_Data[Actual Score],MATCH(Table61647683[[#This Row],[Name]],DK_Last_Week_Results_Data[Player],0)),"")</f>
        <v>0</v>
      </c>
      <c r="AD62" s="58">
        <f>_xlfn.RANK.AVG(Table61647683[[#This Row],[Actual]],Table61647683[Actual],0)</f>
        <v>58</v>
      </c>
    </row>
    <row r="63" spans="2:30" x14ac:dyDescent="0.3">
      <c r="B63" s="489" t="s">
        <v>44</v>
      </c>
      <c r="C63" s="60">
        <v>16.142874999999997</v>
      </c>
      <c r="D63" s="58">
        <f>_xlfn.RANK.AVG(Table667986[[#This Row],[Proj]],Table667986[Proj],0)</f>
        <v>53</v>
      </c>
      <c r="E63" s="60">
        <f>IFERROR(INDEX(DK_Last_Week_Results_Data[Actual Score],MATCH(Table667986[[#This Row],[Name]],DK_Last_Week_Results_Data[Player],0)),"")</f>
        <v>30.5</v>
      </c>
      <c r="F63" s="58">
        <f>_xlfn.RANK.AVG(Table667986[[#This Row],[Actual]],Table667986[Actual],0)</f>
        <v>10.5</v>
      </c>
      <c r="H63" s="489" t="s">
        <v>434</v>
      </c>
      <c r="I63" s="60">
        <v>8.4667499999999993</v>
      </c>
      <c r="J63" s="58">
        <f>_xlfn.RANK.AVG(Table617380[[#This Row],[Proj]],Table617380[Proj],0)</f>
        <v>53</v>
      </c>
      <c r="K63" s="60">
        <f>IFERROR(INDEX(DK_Last_Week_Results_Data[Actual Score],MATCH(Table617380[[#This Row],[Name]],DK_Last_Week_Results_Data[Player],0)),"")</f>
        <v>0</v>
      </c>
      <c r="L63" s="58">
        <f>_xlfn.RANK.AVG(Table617380[[#This Row],[Actual]],Table617380[Actual],0)</f>
        <v>46.5</v>
      </c>
      <c r="N63" s="489" t="s">
        <v>105</v>
      </c>
      <c r="O63" s="60">
        <v>6.1733333333333338</v>
      </c>
      <c r="P63" s="58">
        <f>_xlfn.RANK.AVG(Table61627481[[#This Row],[Proj]],Table61627481[Proj],0)</f>
        <v>53</v>
      </c>
      <c r="Q63" s="60">
        <f>IFERROR(INDEX(DK_Last_Week_Results_Data[Actual Score],MATCH(Table61627481[[#This Row],[Name]],DK_Last_Week_Results_Data[Player],0)),"")</f>
        <v>1.8</v>
      </c>
      <c r="R63" s="58">
        <f>_xlfn.RANK.AVG(Table61627481[[#This Row],[Actual]],Table61627481[Actual],0)</f>
        <v>63</v>
      </c>
      <c r="T63" s="490" t="s">
        <v>277</v>
      </c>
      <c r="U63" s="60">
        <v>9.0066666666666677</v>
      </c>
      <c r="V63" s="58">
        <f>_xlfn.RANK.AVG(Table61637582[[#This Row],[Proj]],Table61637582[Proj],0)</f>
        <v>53</v>
      </c>
      <c r="W63" s="60">
        <f>IFERROR(INDEX(DK_Last_Week_Results_Data[Actual Score],MATCH(Table61637582[[#This Row],[Name]],DK_Last_Week_Results_Data[Player],0)),"")</f>
        <v>6.1</v>
      </c>
      <c r="X63" s="58">
        <f>_xlfn.RANK.AVG(Table61637582[[#This Row],[Actual]],Table61637582[Actual],0)</f>
        <v>64.5</v>
      </c>
      <c r="Z63" s="491" t="s">
        <v>361</v>
      </c>
      <c r="AA63" s="60">
        <v>2.42</v>
      </c>
      <c r="AB63" s="58">
        <f>_xlfn.RANK.AVG(Table61647683[[#This Row],[Proj]],Table61647683[Proj],0)</f>
        <v>53</v>
      </c>
      <c r="AC63" s="60">
        <f>IFERROR(INDEX(DK_Last_Week_Results_Data[Actual Score],MATCH(Table61647683[[#This Row],[Name]],DK_Last_Week_Results_Data[Player],0)),"")</f>
        <v>5</v>
      </c>
      <c r="AD63" s="58">
        <f>_xlfn.RANK.AVG(Table61647683[[#This Row],[Actual]],Table61647683[Actual],0)</f>
        <v>22</v>
      </c>
    </row>
    <row r="64" spans="2:30" x14ac:dyDescent="0.3">
      <c r="B64" s="489" t="s">
        <v>217</v>
      </c>
      <c r="C64" s="60">
        <v>15.993333333333332</v>
      </c>
      <c r="D64" s="58">
        <f>_xlfn.RANK.AVG(Table667986[[#This Row],[Proj]],Table667986[Proj],0)</f>
        <v>54</v>
      </c>
      <c r="E64" s="60">
        <f>IFERROR(INDEX(DK_Last_Week_Results_Data[Actual Score],MATCH(Table667986[[#This Row],[Name]],DK_Last_Week_Results_Data[Player],0)),"")</f>
        <v>32.200000000000003</v>
      </c>
      <c r="F64" s="58">
        <f>_xlfn.RANK.AVG(Table667986[[#This Row],[Actual]],Table667986[Actual],0)</f>
        <v>7</v>
      </c>
      <c r="H64" s="489" t="s">
        <v>437</v>
      </c>
      <c r="I64" s="60">
        <v>8.4482499999999998</v>
      </c>
      <c r="J64" s="58">
        <f>_xlfn.RANK.AVG(Table617380[[#This Row],[Proj]],Table617380[Proj],0)</f>
        <v>54</v>
      </c>
      <c r="K64" s="60">
        <f>IFERROR(INDEX(DK_Last_Week_Results_Data[Actual Score],MATCH(Table617380[[#This Row],[Name]],DK_Last_Week_Results_Data[Player],0)),"")</f>
        <v>0</v>
      </c>
      <c r="L64" s="58">
        <f>_xlfn.RANK.AVG(Table617380[[#This Row],[Actual]],Table617380[Actual],0)</f>
        <v>46.5</v>
      </c>
      <c r="N64" s="489" t="s">
        <v>152</v>
      </c>
      <c r="O64" s="60">
        <v>6.1000000000000005</v>
      </c>
      <c r="P64" s="58">
        <f>_xlfn.RANK.AVG(Table61627481[[#This Row],[Proj]],Table61627481[Proj],0)</f>
        <v>54</v>
      </c>
      <c r="Q64" s="60">
        <f>IFERROR(INDEX(DK_Last_Week_Results_Data[Actual Score],MATCH(Table61627481[[#This Row],[Name]],DK_Last_Week_Results_Data[Player],0)),"")</f>
        <v>9.1999999999999993</v>
      </c>
      <c r="R64" s="58">
        <f>_xlfn.RANK.AVG(Table61627481[[#This Row],[Actual]],Table61627481[Actual],0)</f>
        <v>32.5</v>
      </c>
      <c r="T64" s="490" t="s">
        <v>243</v>
      </c>
      <c r="U64" s="60">
        <v>8.9733333333333327</v>
      </c>
      <c r="V64" s="58">
        <f>_xlfn.RANK.AVG(Table61637582[[#This Row],[Proj]],Table61637582[Proj],0)</f>
        <v>54</v>
      </c>
      <c r="W64" s="60">
        <f>IFERROR(INDEX(DK_Last_Week_Results_Data[Actual Score],MATCH(Table61637582[[#This Row],[Name]],DK_Last_Week_Results_Data[Player],0)),"")</f>
        <v>6.5</v>
      </c>
      <c r="X64" s="58">
        <f>_xlfn.RANK.AVG(Table61637582[[#This Row],[Actual]],Table61637582[Actual],0)</f>
        <v>60</v>
      </c>
      <c r="Z64" s="491" t="s">
        <v>350</v>
      </c>
      <c r="AA64" s="60">
        <v>2.2000000000000002</v>
      </c>
      <c r="AB64" s="58">
        <f>_xlfn.RANK.AVG(Table61647683[[#This Row],[Proj]],Table61647683[Proj],0)</f>
        <v>54</v>
      </c>
      <c r="AC64" s="60">
        <f>IFERROR(INDEX(DK_Last_Week_Results_Data[Actual Score],MATCH(Table61647683[[#This Row],[Name]],DK_Last_Week_Results_Data[Player],0)),"")</f>
        <v>0</v>
      </c>
      <c r="AD64" s="58">
        <f>_xlfn.RANK.AVG(Table61647683[[#This Row],[Actual]],Table61647683[Actual],0)</f>
        <v>58</v>
      </c>
    </row>
    <row r="65" spans="2:30" x14ac:dyDescent="0.3">
      <c r="B65" s="489" t="s">
        <v>42</v>
      </c>
      <c r="C65" s="60">
        <v>15.642729166666665</v>
      </c>
      <c r="D65" s="58">
        <f>_xlfn.RANK.AVG(Table667986[[#This Row],[Proj]],Table667986[Proj],0)</f>
        <v>55</v>
      </c>
      <c r="E65" s="60">
        <f>IFERROR(INDEX(DK_Last_Week_Results_Data[Actual Score],MATCH(Table667986[[#This Row],[Name]],DK_Last_Week_Results_Data[Player],0)),"")</f>
        <v>8.14</v>
      </c>
      <c r="F65" s="58">
        <f>_xlfn.RANK.AVG(Table667986[[#This Row],[Actual]],Table667986[Actual],0)</f>
        <v>112</v>
      </c>
      <c r="H65" s="489" t="s">
        <v>1241</v>
      </c>
      <c r="I65" s="60">
        <v>8.3241250000000004</v>
      </c>
      <c r="J65" s="58">
        <f>_xlfn.RANK.AVG(Table617380[[#This Row],[Proj]],Table617380[Proj],0)</f>
        <v>55</v>
      </c>
      <c r="K65" s="60">
        <f>IFERROR(INDEX(DK_Last_Week_Results_Data[Actual Score],MATCH(Table617380[[#This Row],[Name]],DK_Last_Week_Results_Data[Player],0)),"")</f>
        <v>0</v>
      </c>
      <c r="L65" s="58">
        <f>_xlfn.RANK.AVG(Table617380[[#This Row],[Actual]],Table617380[Actual],0)</f>
        <v>46.5</v>
      </c>
      <c r="N65" s="489" t="s">
        <v>143</v>
      </c>
      <c r="O65" s="60">
        <v>5.9166666666666679</v>
      </c>
      <c r="P65" s="58">
        <f>_xlfn.RANK.AVG(Table61627481[[#This Row],[Proj]],Table61627481[Proj],0)</f>
        <v>55</v>
      </c>
      <c r="Q65" s="60">
        <f>IFERROR(INDEX(DK_Last_Week_Results_Data[Actual Score],MATCH(Table61627481[[#This Row],[Name]],DK_Last_Week_Results_Data[Player],0)),"")</f>
        <v>7.7</v>
      </c>
      <c r="R65" s="58">
        <f>_xlfn.RANK.AVG(Table61627481[[#This Row],[Actual]],Table61627481[Actual],0)</f>
        <v>40</v>
      </c>
      <c r="T65" s="490" t="s">
        <v>239</v>
      </c>
      <c r="U65" s="60">
        <v>8.7833333333333332</v>
      </c>
      <c r="V65" s="58">
        <f>_xlfn.RANK.AVG(Table61637582[[#This Row],[Proj]],Table61637582[Proj],0)</f>
        <v>55</v>
      </c>
      <c r="W65" s="60">
        <f>IFERROR(INDEX(DK_Last_Week_Results_Data[Actual Score],MATCH(Table61637582[[#This Row],[Name]],DK_Last_Week_Results_Data[Player],0)),"")</f>
        <v>6.2</v>
      </c>
      <c r="X65" s="58">
        <f>_xlfn.RANK.AVG(Table61637582[[#This Row],[Actual]],Table61637582[Actual],0)</f>
        <v>62.5</v>
      </c>
      <c r="Z65" s="491" t="s">
        <v>769</v>
      </c>
      <c r="AA65" s="60">
        <v>2.1500000000000004</v>
      </c>
      <c r="AB65" s="58">
        <f>_xlfn.RANK.AVG(Table61647683[[#This Row],[Proj]],Table61647683[Proj],0)</f>
        <v>55</v>
      </c>
      <c r="AC65" s="60">
        <f>IFERROR(INDEX(DK_Last_Week_Results_Data[Actual Score],MATCH(Table61647683[[#This Row],[Name]],DK_Last_Week_Results_Data[Player],0)),"")</f>
        <v>0</v>
      </c>
      <c r="AD65" s="58">
        <f>_xlfn.RANK.AVG(Table61647683[[#This Row],[Actual]],Table61647683[Actual],0)</f>
        <v>58</v>
      </c>
    </row>
    <row r="66" spans="2:30" x14ac:dyDescent="0.3">
      <c r="B66" s="489" t="s">
        <v>111</v>
      </c>
      <c r="C66" s="60">
        <v>15.510000000000002</v>
      </c>
      <c r="D66" s="58">
        <f>_xlfn.RANK.AVG(Table667986[[#This Row],[Proj]],Table667986[Proj],0)</f>
        <v>56</v>
      </c>
      <c r="E66" s="60">
        <f>IFERROR(INDEX(DK_Last_Week_Results_Data[Actual Score],MATCH(Table667986[[#This Row],[Name]],DK_Last_Week_Results_Data[Player],0)),"")</f>
        <v>-0.5</v>
      </c>
      <c r="F66" s="58">
        <f>_xlfn.RANK.AVG(Table667986[[#This Row],[Actual]],Table667986[Actual],0)</f>
        <v>300</v>
      </c>
      <c r="H66" s="489" t="s">
        <v>55</v>
      </c>
      <c r="I66" s="60">
        <v>8.2956249999999994</v>
      </c>
      <c r="J66" s="58">
        <f>_xlfn.RANK.AVG(Table617380[[#This Row],[Proj]],Table617380[Proj],0)</f>
        <v>56</v>
      </c>
      <c r="K66" s="60">
        <f>IFERROR(INDEX(DK_Last_Week_Results_Data[Actual Score],MATCH(Table617380[[#This Row],[Name]],DK_Last_Week_Results_Data[Player],0)),"")</f>
        <v>0</v>
      </c>
      <c r="L66" s="58">
        <f>_xlfn.RANK.AVG(Table617380[[#This Row],[Actual]],Table617380[Actual],0)</f>
        <v>46.5</v>
      </c>
      <c r="N66" s="489" t="s">
        <v>148</v>
      </c>
      <c r="O66" s="60">
        <v>5.5</v>
      </c>
      <c r="P66" s="58">
        <f>_xlfn.RANK.AVG(Table61627481[[#This Row],[Proj]],Table61627481[Proj],0)</f>
        <v>56</v>
      </c>
      <c r="Q66" s="60">
        <f>IFERROR(INDEX(DK_Last_Week_Results_Data[Actual Score],MATCH(Table61627481[[#This Row],[Name]],DK_Last_Week_Results_Data[Player],0)),"")</f>
        <v>9.1</v>
      </c>
      <c r="R66" s="58">
        <f>_xlfn.RANK.AVG(Table61627481[[#This Row],[Actual]],Table61627481[Actual],0)</f>
        <v>34</v>
      </c>
      <c r="T66" s="489" t="s">
        <v>258</v>
      </c>
      <c r="U66" s="60">
        <v>8.7600000000000016</v>
      </c>
      <c r="V66" s="58">
        <f>_xlfn.RANK.AVG(Table61637582[[#This Row],[Proj]],Table61637582[Proj],0)</f>
        <v>56</v>
      </c>
      <c r="W66" s="60">
        <f>IFERROR(INDEX(DK_Last_Week_Results_Data[Actual Score],MATCH(Table61637582[[#This Row],[Name]],DK_Last_Week_Results_Data[Player],0)),"")</f>
        <v>12.6</v>
      </c>
      <c r="X66" s="58">
        <f>_xlfn.RANK.AVG(Table61637582[[#This Row],[Actual]],Table61637582[Actual],0)</f>
        <v>29</v>
      </c>
      <c r="Z66" s="491" t="s">
        <v>385</v>
      </c>
      <c r="AA66" s="60">
        <v>2.15</v>
      </c>
      <c r="AB66" s="58">
        <f>_xlfn.RANK.AVG(Table61647683[[#This Row],[Proj]],Table61647683[Proj],0)</f>
        <v>56</v>
      </c>
      <c r="AC66" s="60">
        <f>IFERROR(INDEX(DK_Last_Week_Results_Data[Actual Score],MATCH(Table61647683[[#This Row],[Name]],DK_Last_Week_Results_Data[Player],0)),"")</f>
        <v>0</v>
      </c>
      <c r="AD66" s="58">
        <f>_xlfn.RANK.AVG(Table61647683[[#This Row],[Actual]],Table61647683[Actual],0)</f>
        <v>58</v>
      </c>
    </row>
    <row r="67" spans="2:30" x14ac:dyDescent="0.3">
      <c r="B67" s="489" t="s">
        <v>198</v>
      </c>
      <c r="C67" s="60">
        <v>15.466666666666669</v>
      </c>
      <c r="D67" s="58">
        <f>_xlfn.RANK.AVG(Table667986[[#This Row],[Proj]],Table667986[Proj],0)</f>
        <v>57</v>
      </c>
      <c r="E67" s="60">
        <f>IFERROR(INDEX(DK_Last_Week_Results_Data[Actual Score],MATCH(Table667986[[#This Row],[Name]],DK_Last_Week_Results_Data[Player],0)),"")</f>
        <v>9.1999999999999993</v>
      </c>
      <c r="F67" s="58">
        <f>_xlfn.RANK.AVG(Table667986[[#This Row],[Actual]],Table667986[Actual],0)</f>
        <v>104</v>
      </c>
      <c r="H67" s="489" t="s">
        <v>68</v>
      </c>
      <c r="I67" s="60">
        <v>7.9625000000000004</v>
      </c>
      <c r="J67" s="58">
        <f>_xlfn.RANK.AVG(Table617380[[#This Row],[Proj]],Table617380[Proj],0)</f>
        <v>57</v>
      </c>
      <c r="K67" s="60">
        <f>IFERROR(INDEX(DK_Last_Week_Results_Data[Actual Score],MATCH(Table617380[[#This Row],[Name]],DK_Last_Week_Results_Data[Player],0)),"")</f>
        <v>0</v>
      </c>
      <c r="L67" s="58">
        <f>_xlfn.RANK.AVG(Table617380[[#This Row],[Actual]],Table617380[Actual],0)</f>
        <v>46.5</v>
      </c>
      <c r="N67" s="489" t="s">
        <v>103</v>
      </c>
      <c r="O67" s="60">
        <v>4.7533333333333339</v>
      </c>
      <c r="P67" s="58">
        <f>_xlfn.RANK.AVG(Table61627481[[#This Row],[Proj]],Table61627481[Proj],0)</f>
        <v>57</v>
      </c>
      <c r="Q67" s="60">
        <f>IFERROR(INDEX(DK_Last_Week_Results_Data[Actual Score],MATCH(Table61627481[[#This Row],[Name]],DK_Last_Week_Results_Data[Player],0)),"")</f>
        <v>0.5</v>
      </c>
      <c r="R67" s="58">
        <f>_xlfn.RANK.AVG(Table61627481[[#This Row],[Actual]],Table61627481[Actual],0)</f>
        <v>66</v>
      </c>
      <c r="T67" s="489" t="s">
        <v>254</v>
      </c>
      <c r="U67" s="60">
        <v>8.673333333333332</v>
      </c>
      <c r="V67" s="58">
        <f>_xlfn.RANK.AVG(Table61637582[[#This Row],[Proj]],Table61637582[Proj],0)</f>
        <v>57</v>
      </c>
      <c r="W67" s="60">
        <f>IFERROR(INDEX(DK_Last_Week_Results_Data[Actual Score],MATCH(Table61637582[[#This Row],[Name]],DK_Last_Week_Results_Data[Player],0)),"")</f>
        <v>0</v>
      </c>
      <c r="X67" s="58">
        <f>_xlfn.RANK.AVG(Table61637582[[#This Row],[Actual]],Table61637582[Actual],0)</f>
        <v>121</v>
      </c>
      <c r="Z67" s="491" t="s">
        <v>362</v>
      </c>
      <c r="AA67" s="60">
        <v>1.9350000000000003</v>
      </c>
      <c r="AB67" s="58">
        <f>_xlfn.RANK.AVG(Table61647683[[#This Row],[Proj]],Table61647683[Proj],0)</f>
        <v>57</v>
      </c>
      <c r="AC67" s="60">
        <f>IFERROR(INDEX(DK_Last_Week_Results_Data[Actual Score],MATCH(Table61647683[[#This Row],[Name]],DK_Last_Week_Results_Data[Player],0)),"")</f>
        <v>8.6</v>
      </c>
      <c r="AD67" s="58">
        <f>_xlfn.RANK.AVG(Table61647683[[#This Row],[Actual]],Table61647683[Actual],0)</f>
        <v>17</v>
      </c>
    </row>
    <row r="68" spans="2:30" x14ac:dyDescent="0.3">
      <c r="B68" s="489" t="s">
        <v>84</v>
      </c>
      <c r="C68" s="60">
        <v>15.423333333333336</v>
      </c>
      <c r="D68" s="58">
        <f>_xlfn.RANK.AVG(Table667986[[#This Row],[Proj]],Table667986[Proj],0)</f>
        <v>58</v>
      </c>
      <c r="E68" s="60">
        <f>IFERROR(INDEX(DK_Last_Week_Results_Data[Actual Score],MATCH(Table667986[[#This Row],[Name]],DK_Last_Week_Results_Data[Player],0)),"")</f>
        <v>34.700000000000003</v>
      </c>
      <c r="F68" s="58">
        <f>_xlfn.RANK.AVG(Table667986[[#This Row],[Actual]],Table667986[Actual],0)</f>
        <v>4</v>
      </c>
      <c r="H68" s="489" t="s">
        <v>75</v>
      </c>
      <c r="I68" s="60">
        <v>7.1683749999999993</v>
      </c>
      <c r="J68" s="58">
        <f>_xlfn.RANK.AVG(Table617380[[#This Row],[Proj]],Table617380[Proj],0)</f>
        <v>58</v>
      </c>
      <c r="K68" s="60">
        <f>IFERROR(INDEX(DK_Last_Week_Results_Data[Actual Score],MATCH(Table617380[[#This Row],[Name]],DK_Last_Week_Results_Data[Player],0)),"")</f>
        <v>0</v>
      </c>
      <c r="L68" s="58">
        <f>_xlfn.RANK.AVG(Table617380[[#This Row],[Actual]],Table617380[Actual],0)</f>
        <v>46.5</v>
      </c>
      <c r="N68" s="489" t="s">
        <v>464</v>
      </c>
      <c r="O68" s="60">
        <v>4.586666666666666</v>
      </c>
      <c r="P68" s="58">
        <f>_xlfn.RANK.AVG(Table61627481[[#This Row],[Proj]],Table61627481[Proj],0)</f>
        <v>58</v>
      </c>
      <c r="Q68" s="60">
        <f>IFERROR(INDEX(DK_Last_Week_Results_Data[Actual Score],MATCH(Table61627481[[#This Row],[Name]],DK_Last_Week_Results_Data[Player],0)),"")</f>
        <v>13.2</v>
      </c>
      <c r="R68" s="58">
        <f>_xlfn.RANK.AVG(Table61627481[[#This Row],[Actual]],Table61627481[Actual],0)</f>
        <v>21.5</v>
      </c>
      <c r="T68" s="490" t="s">
        <v>256</v>
      </c>
      <c r="U68" s="60">
        <v>8.5033333333333321</v>
      </c>
      <c r="V68" s="58">
        <f>_xlfn.RANK.AVG(Table61637582[[#This Row],[Proj]],Table61637582[Proj],0)</f>
        <v>58</v>
      </c>
      <c r="W68" s="60">
        <f>IFERROR(INDEX(DK_Last_Week_Results_Data[Actual Score],MATCH(Table61637582[[#This Row],[Name]],DK_Last_Week_Results_Data[Player],0)),"")</f>
        <v>5.0999999999999996</v>
      </c>
      <c r="X68" s="58">
        <f>_xlfn.RANK.AVG(Table61637582[[#This Row],[Actual]],Table61637582[Actual],0)</f>
        <v>73.5</v>
      </c>
      <c r="Z68" s="491" t="s">
        <v>381</v>
      </c>
      <c r="AA68" s="60">
        <v>1.88</v>
      </c>
      <c r="AB68" s="58">
        <f>_xlfn.RANK.AVG(Table61647683[[#This Row],[Proj]],Table61647683[Proj],0)</f>
        <v>58</v>
      </c>
      <c r="AC68" s="60">
        <f>IFERROR(INDEX(DK_Last_Week_Results_Data[Actual Score],MATCH(Table61647683[[#This Row],[Name]],DK_Last_Week_Results_Data[Player],0)),"")</f>
        <v>0</v>
      </c>
      <c r="AD68" s="58">
        <f>_xlfn.RANK.AVG(Table61647683[[#This Row],[Actual]],Table61647683[Actual],0)</f>
        <v>58</v>
      </c>
    </row>
    <row r="69" spans="2:30" x14ac:dyDescent="0.3">
      <c r="B69" s="489" t="s">
        <v>1240</v>
      </c>
      <c r="C69" s="60">
        <v>15.398604166666665</v>
      </c>
      <c r="D69" s="58">
        <f>_xlfn.RANK.AVG(Table667986[[#This Row],[Proj]],Table667986[Proj],0)</f>
        <v>59</v>
      </c>
      <c r="E69" s="60">
        <f>IFERROR(INDEX(DK_Last_Week_Results_Data[Actual Score],MATCH(Table667986[[#This Row],[Name]],DK_Last_Week_Results_Data[Player],0)),"")</f>
        <v>31.98</v>
      </c>
      <c r="F69" s="58">
        <f>_xlfn.RANK.AVG(Table667986[[#This Row],[Actual]],Table667986[Actual],0)</f>
        <v>8</v>
      </c>
      <c r="H69" s="489" t="s">
        <v>755</v>
      </c>
      <c r="I69" s="60">
        <v>7.165375</v>
      </c>
      <c r="J69" s="58">
        <f>_xlfn.RANK.AVG(Table617380[[#This Row],[Proj]],Table617380[Proj],0)</f>
        <v>59</v>
      </c>
      <c r="K69" s="60">
        <f>IFERROR(INDEX(DK_Last_Week_Results_Data[Actual Score],MATCH(Table617380[[#This Row],[Name]],DK_Last_Week_Results_Data[Player],0)),"")</f>
        <v>0</v>
      </c>
      <c r="L69" s="58">
        <f>_xlfn.RANK.AVG(Table617380[[#This Row],[Actual]],Table617380[Actual],0)</f>
        <v>46.5</v>
      </c>
      <c r="N69" s="489" t="s">
        <v>492</v>
      </c>
      <c r="O69" s="60">
        <v>4.22</v>
      </c>
      <c r="P69" s="58">
        <f>_xlfn.RANK.AVG(Table61627481[[#This Row],[Proj]],Table61627481[Proj],0)</f>
        <v>59</v>
      </c>
      <c r="Q69" s="60">
        <f>IFERROR(INDEX(DK_Last_Week_Results_Data[Actual Score],MATCH(Table61627481[[#This Row],[Name]],DK_Last_Week_Results_Data[Player],0)),"")</f>
        <v>-1</v>
      </c>
      <c r="R69" s="58">
        <f>_xlfn.RANK.AVG(Table61627481[[#This Row],[Actual]],Table61627481[Actual],0)</f>
        <v>101</v>
      </c>
      <c r="T69" s="490" t="s">
        <v>1248</v>
      </c>
      <c r="U69" s="60">
        <v>8.370000000000001</v>
      </c>
      <c r="V69" s="58">
        <f>_xlfn.RANK.AVG(Table61637582[[#This Row],[Proj]],Table61637582[Proj],0)</f>
        <v>59</v>
      </c>
      <c r="W69" s="60">
        <f>IFERROR(INDEX(DK_Last_Week_Results_Data[Actual Score],MATCH(Table61637582[[#This Row],[Name]],DK_Last_Week_Results_Data[Player],0)),"")</f>
        <v>5.2</v>
      </c>
      <c r="X69" s="58">
        <f>_xlfn.RANK.AVG(Table61637582[[#This Row],[Actual]],Table61637582[Actual],0)</f>
        <v>71.5</v>
      </c>
      <c r="Z69" s="491" t="s">
        <v>378</v>
      </c>
      <c r="AA69" s="60">
        <v>1.85</v>
      </c>
      <c r="AB69" s="58">
        <f>_xlfn.RANK.AVG(Table61647683[[#This Row],[Proj]],Table61647683[Proj],0)</f>
        <v>59</v>
      </c>
      <c r="AC69" s="60">
        <f>IFERROR(INDEX(DK_Last_Week_Results_Data[Actual Score],MATCH(Table61647683[[#This Row],[Name]],DK_Last_Week_Results_Data[Player],0)),"")</f>
        <v>0</v>
      </c>
      <c r="AD69" s="58">
        <f>_xlfn.RANK.AVG(Table61647683[[#This Row],[Actual]],Table61647683[Actual],0)</f>
        <v>58</v>
      </c>
    </row>
    <row r="70" spans="2:30" x14ac:dyDescent="0.3">
      <c r="B70" s="489" t="s">
        <v>768</v>
      </c>
      <c r="C70" s="60">
        <v>15.293333333333333</v>
      </c>
      <c r="D70" s="58">
        <f>_xlfn.RANK.AVG(Table667986[[#This Row],[Proj]],Table667986[Proj],0)</f>
        <v>60</v>
      </c>
      <c r="E70" s="60">
        <f>IFERROR(INDEX(DK_Last_Week_Results_Data[Actual Score],MATCH(Table667986[[#This Row],[Name]],DK_Last_Week_Results_Data[Player],0)),"")</f>
        <v>0</v>
      </c>
      <c r="F70" s="58">
        <f>_xlfn.RANK.AVG(Table667986[[#This Row],[Actual]],Table667986[Actual],0)</f>
        <v>250</v>
      </c>
      <c r="N70" s="489" t="s">
        <v>460</v>
      </c>
      <c r="O70" s="60">
        <v>4.2166666666666668</v>
      </c>
      <c r="P70" s="58">
        <f>_xlfn.RANK.AVG(Table61627481[[#This Row],[Proj]],Table61627481[Proj],0)</f>
        <v>60</v>
      </c>
      <c r="Q70" s="60">
        <f>IFERROR(INDEX(DK_Last_Week_Results_Data[Actual Score],MATCH(Table61627481[[#This Row],[Name]],DK_Last_Week_Results_Data[Player],0)),"")</f>
        <v>0</v>
      </c>
      <c r="R70" s="58">
        <f>_xlfn.RANK.AVG(Table61627481[[#This Row],[Actual]],Table61627481[Actual],0)</f>
        <v>83.5</v>
      </c>
      <c r="T70" s="490" t="s">
        <v>242</v>
      </c>
      <c r="U70" s="60">
        <v>8.3650000000000002</v>
      </c>
      <c r="V70" s="58">
        <f>_xlfn.RANK.AVG(Table61637582[[#This Row],[Proj]],Table61637582[Proj],0)</f>
        <v>60</v>
      </c>
      <c r="W70" s="60">
        <f>IFERROR(INDEX(DK_Last_Week_Results_Data[Actual Score],MATCH(Table61637582[[#This Row],[Name]],DK_Last_Week_Results_Data[Player],0)),"")</f>
        <v>10.3</v>
      </c>
      <c r="X70" s="58">
        <f>_xlfn.RANK.AVG(Table61637582[[#This Row],[Actual]],Table61637582[Actual],0)</f>
        <v>40</v>
      </c>
      <c r="Z70" s="491" t="s">
        <v>374</v>
      </c>
      <c r="AA70" s="60">
        <v>1.73</v>
      </c>
      <c r="AB70" s="58">
        <f>_xlfn.RANK.AVG(Table61647683[[#This Row],[Proj]],Table61647683[Proj],0)</f>
        <v>60</v>
      </c>
      <c r="AC70" s="60">
        <f>IFERROR(INDEX(DK_Last_Week_Results_Data[Actual Score],MATCH(Table61647683[[#This Row],[Name]],DK_Last_Week_Results_Data[Player],0)),"")</f>
        <v>3.4</v>
      </c>
      <c r="AD70" s="58">
        <f>_xlfn.RANK.AVG(Table61647683[[#This Row],[Actual]],Table61647683[Actual],0)</f>
        <v>31</v>
      </c>
    </row>
    <row r="71" spans="2:30" x14ac:dyDescent="0.3">
      <c r="B71" s="489" t="s">
        <v>92</v>
      </c>
      <c r="C71" s="60">
        <v>15.193333333333335</v>
      </c>
      <c r="D71" s="58">
        <f>_xlfn.RANK.AVG(Table667986[[#This Row],[Proj]],Table667986[Proj],0)</f>
        <v>61</v>
      </c>
      <c r="E71" s="60">
        <f>IFERROR(INDEX(DK_Last_Week_Results_Data[Actual Score],MATCH(Table667986[[#This Row],[Name]],DK_Last_Week_Results_Data[Player],0)),"")</f>
        <v>4.8</v>
      </c>
      <c r="F71" s="58">
        <f>_xlfn.RANK.AVG(Table667986[[#This Row],[Actual]],Table667986[Actual],0)</f>
        <v>157.5</v>
      </c>
      <c r="N71" s="489" t="s">
        <v>117</v>
      </c>
      <c r="O71" s="60">
        <v>4.1833333333333336</v>
      </c>
      <c r="P71" s="58">
        <f>_xlfn.RANK.AVG(Table61627481[[#This Row],[Proj]],Table61627481[Proj],0)</f>
        <v>61</v>
      </c>
      <c r="Q71" s="60">
        <f>IFERROR(INDEX(DK_Last_Week_Results_Data[Actual Score],MATCH(Table61627481[[#This Row],[Name]],DK_Last_Week_Results_Data[Player],0)),"")</f>
        <v>1.9</v>
      </c>
      <c r="R71" s="58">
        <f>_xlfn.RANK.AVG(Table61627481[[#This Row],[Actual]],Table61627481[Actual],0)</f>
        <v>62</v>
      </c>
      <c r="T71" s="490" t="s">
        <v>260</v>
      </c>
      <c r="U71" s="60">
        <v>8.35</v>
      </c>
      <c r="V71" s="58">
        <f>_xlfn.RANK.AVG(Table61637582[[#This Row],[Proj]],Table61637582[Proj],0)</f>
        <v>61</v>
      </c>
      <c r="W71" s="60">
        <f>IFERROR(INDEX(DK_Last_Week_Results_Data[Actual Score],MATCH(Table61637582[[#This Row],[Name]],DK_Last_Week_Results_Data[Player],0)),"")</f>
        <v>5.2</v>
      </c>
      <c r="X71" s="58">
        <f>_xlfn.RANK.AVG(Table61637582[[#This Row],[Actual]],Table61637582[Actual],0)</f>
        <v>71.5</v>
      </c>
      <c r="Z71" s="491" t="s">
        <v>1254</v>
      </c>
      <c r="AA71" s="60">
        <v>1.6800000000000002</v>
      </c>
      <c r="AB71" s="58">
        <f>_xlfn.RANK.AVG(Table61647683[[#This Row],[Proj]],Table61647683[Proj],0)</f>
        <v>61</v>
      </c>
      <c r="AC71" s="60">
        <f>IFERROR(INDEX(DK_Last_Week_Results_Data[Actual Score],MATCH(Table61647683[[#This Row],[Name]],DK_Last_Week_Results_Data[Player],0)),"")</f>
        <v>0</v>
      </c>
      <c r="AD71" s="58">
        <f>_xlfn.RANK.AVG(Table61647683[[#This Row],[Actual]],Table61647683[Actual],0)</f>
        <v>58</v>
      </c>
    </row>
    <row r="72" spans="2:30" x14ac:dyDescent="0.3">
      <c r="B72" s="489" t="s">
        <v>128</v>
      </c>
      <c r="C72" s="60">
        <v>15.166666666666666</v>
      </c>
      <c r="D72" s="58">
        <f>_xlfn.RANK.AVG(Table667986[[#This Row],[Proj]],Table667986[Proj],0)</f>
        <v>62</v>
      </c>
      <c r="E72" s="60">
        <f>IFERROR(INDEX(DK_Last_Week_Results_Data[Actual Score],MATCH(Table667986[[#This Row],[Name]],DK_Last_Week_Results_Data[Player],0)),"")</f>
        <v>29.5</v>
      </c>
      <c r="F72" s="58">
        <f>_xlfn.RANK.AVG(Table667986[[#This Row],[Actual]],Table667986[Actual],0)</f>
        <v>16</v>
      </c>
      <c r="N72" s="489" t="s">
        <v>151</v>
      </c>
      <c r="O72" s="60">
        <v>4.1466666666666665</v>
      </c>
      <c r="P72" s="58">
        <f>_xlfn.RANK.AVG(Table61627481[[#This Row],[Proj]],Table61627481[Proj],0)</f>
        <v>62</v>
      </c>
      <c r="Q72" s="60">
        <f>IFERROR(INDEX(DK_Last_Week_Results_Data[Actual Score],MATCH(Table61627481[[#This Row],[Name]],DK_Last_Week_Results_Data[Player],0)),"")</f>
        <v>4.9000000000000004</v>
      </c>
      <c r="R72" s="58">
        <f>_xlfn.RANK.AVG(Table61627481[[#This Row],[Actual]],Table61627481[Actual],0)</f>
        <v>51</v>
      </c>
      <c r="T72" s="490" t="s">
        <v>240</v>
      </c>
      <c r="U72" s="60">
        <v>8.2666666666666675</v>
      </c>
      <c r="V72" s="58">
        <f>_xlfn.RANK.AVG(Table61637582[[#This Row],[Proj]],Table61637582[Proj],0)</f>
        <v>62</v>
      </c>
      <c r="W72" s="60">
        <f>IFERROR(INDEX(DK_Last_Week_Results_Data[Actual Score],MATCH(Table61637582[[#This Row],[Name]],DK_Last_Week_Results_Data[Player],0)),"")</f>
        <v>14.3</v>
      </c>
      <c r="X72" s="58">
        <f>_xlfn.RANK.AVG(Table61637582[[#This Row],[Actual]],Table61637582[Actual],0)</f>
        <v>22</v>
      </c>
      <c r="Z72" s="491" t="s">
        <v>543</v>
      </c>
      <c r="AA72" s="60">
        <v>1.625</v>
      </c>
      <c r="AB72" s="58">
        <f>_xlfn.RANK.AVG(Table61647683[[#This Row],[Proj]],Table61647683[Proj],0)</f>
        <v>62</v>
      </c>
      <c r="AC72" s="60">
        <f>IFERROR(INDEX(DK_Last_Week_Results_Data[Actual Score],MATCH(Table61647683[[#This Row],[Name]],DK_Last_Week_Results_Data[Player],0)),"")</f>
        <v>0</v>
      </c>
      <c r="AD72" s="58">
        <f>_xlfn.RANK.AVG(Table61647683[[#This Row],[Actual]],Table61647683[Actual],0)</f>
        <v>58</v>
      </c>
    </row>
    <row r="73" spans="2:30" x14ac:dyDescent="0.3">
      <c r="B73" s="489" t="s">
        <v>35</v>
      </c>
      <c r="C73" s="60">
        <v>15.162333333333335</v>
      </c>
      <c r="D73" s="58">
        <f>_xlfn.RANK.AVG(Table667986[[#This Row],[Proj]],Table667986[Proj],0)</f>
        <v>63</v>
      </c>
      <c r="E73" s="60">
        <f>IFERROR(INDEX(DK_Last_Week_Results_Data[Actual Score],MATCH(Table667986[[#This Row],[Name]],DK_Last_Week_Results_Data[Player],0)),"")</f>
        <v>13.18</v>
      </c>
      <c r="F73" s="58">
        <f>_xlfn.RANK.AVG(Table667986[[#This Row],[Actual]],Table667986[Actual],0)</f>
        <v>67</v>
      </c>
      <c r="N73" s="489" t="s">
        <v>146</v>
      </c>
      <c r="O73" s="60">
        <v>4.07</v>
      </c>
      <c r="P73" s="58">
        <f>_xlfn.RANK.AVG(Table61627481[[#This Row],[Proj]],Table61627481[Proj],0)</f>
        <v>63</v>
      </c>
      <c r="Q73" s="60">
        <f>IFERROR(INDEX(DK_Last_Week_Results_Data[Actual Score],MATCH(Table61627481[[#This Row],[Name]],DK_Last_Week_Results_Data[Player],0)),"")</f>
        <v>0</v>
      </c>
      <c r="R73" s="58">
        <f>_xlfn.RANK.AVG(Table61627481[[#This Row],[Actual]],Table61627481[Actual],0)</f>
        <v>83.5</v>
      </c>
      <c r="T73" s="490" t="s">
        <v>283</v>
      </c>
      <c r="U73" s="60">
        <v>8.206666666666667</v>
      </c>
      <c r="V73" s="58">
        <f>_xlfn.RANK.AVG(Table61637582[[#This Row],[Proj]],Table61637582[Proj],0)</f>
        <v>63</v>
      </c>
      <c r="W73" s="60">
        <f>IFERROR(INDEX(DK_Last_Week_Results_Data[Actual Score],MATCH(Table61637582[[#This Row],[Name]],DK_Last_Week_Results_Data[Player],0)),"")</f>
        <v>5.7</v>
      </c>
      <c r="X73" s="58">
        <f>_xlfn.RANK.AVG(Table61637582[[#This Row],[Actual]],Table61637582[Actual],0)</f>
        <v>67.5</v>
      </c>
      <c r="Z73" s="491" t="s">
        <v>360</v>
      </c>
      <c r="AA73" s="60">
        <v>1.6050000000000002</v>
      </c>
      <c r="AB73" s="58">
        <f>_xlfn.RANK.AVG(Table61647683[[#This Row],[Proj]],Table61647683[Proj],0)</f>
        <v>63</v>
      </c>
      <c r="AC73" s="60">
        <f>IFERROR(INDEX(DK_Last_Week_Results_Data[Actual Score],MATCH(Table61647683[[#This Row],[Name]],DK_Last_Week_Results_Data[Player],0)),"")</f>
        <v>2.8</v>
      </c>
      <c r="AD73" s="58">
        <f>_xlfn.RANK.AVG(Table61647683[[#This Row],[Actual]],Table61647683[Actual],0)</f>
        <v>36</v>
      </c>
    </row>
    <row r="74" spans="2:30" x14ac:dyDescent="0.3">
      <c r="B74" s="489" t="s">
        <v>205</v>
      </c>
      <c r="C74" s="60">
        <v>15.05</v>
      </c>
      <c r="D74" s="58">
        <f>_xlfn.RANK.AVG(Table667986[[#This Row],[Proj]],Table667986[Proj],0)</f>
        <v>64</v>
      </c>
      <c r="E74" s="60">
        <f>IFERROR(INDEX(DK_Last_Week_Results_Data[Actual Score],MATCH(Table667986[[#This Row],[Name]],DK_Last_Week_Results_Data[Player],0)),"")</f>
        <v>29.6</v>
      </c>
      <c r="F74" s="58">
        <f>_xlfn.RANK.AVG(Table667986[[#This Row],[Actual]],Table667986[Actual],0)</f>
        <v>14.5</v>
      </c>
      <c r="N74" s="489" t="s">
        <v>470</v>
      </c>
      <c r="O74" s="60">
        <v>4.0049999999999999</v>
      </c>
      <c r="P74" s="58">
        <f>_xlfn.RANK.AVG(Table61627481[[#This Row],[Proj]],Table61627481[Proj],0)</f>
        <v>64</v>
      </c>
      <c r="Q74" s="60">
        <f>IFERROR(INDEX(DK_Last_Week_Results_Data[Actual Score],MATCH(Table61627481[[#This Row],[Name]],DK_Last_Week_Results_Data[Player],0)),"")</f>
        <v>0</v>
      </c>
      <c r="R74" s="58">
        <f>_xlfn.RANK.AVG(Table61627481[[#This Row],[Actual]],Table61627481[Actual],0)</f>
        <v>83.5</v>
      </c>
      <c r="T74" s="490" t="s">
        <v>294</v>
      </c>
      <c r="U74" s="60">
        <v>8.1850000000000005</v>
      </c>
      <c r="V74" s="58">
        <f>_xlfn.RANK.AVG(Table61637582[[#This Row],[Proj]],Table61637582[Proj],0)</f>
        <v>64</v>
      </c>
      <c r="W74" s="60">
        <f>IFERROR(INDEX(DK_Last_Week_Results_Data[Actual Score],MATCH(Table61637582[[#This Row],[Name]],DK_Last_Week_Results_Data[Player],0)),"")</f>
        <v>4.4000000000000004</v>
      </c>
      <c r="X74" s="58">
        <f>_xlfn.RANK.AVG(Table61637582[[#This Row],[Actual]],Table61637582[Actual],0)</f>
        <v>76.5</v>
      </c>
      <c r="Z74" s="491" t="s">
        <v>373</v>
      </c>
      <c r="AA74" s="60">
        <v>1.56</v>
      </c>
      <c r="AB74" s="58">
        <f>_xlfn.RANK.AVG(Table61647683[[#This Row],[Proj]],Table61647683[Proj],0)</f>
        <v>64</v>
      </c>
      <c r="AC74" s="60">
        <f>IFERROR(INDEX(DK_Last_Week_Results_Data[Actual Score],MATCH(Table61647683[[#This Row],[Name]],DK_Last_Week_Results_Data[Player],0)),"")</f>
        <v>0</v>
      </c>
      <c r="AD74" s="58">
        <f>_xlfn.RANK.AVG(Table61647683[[#This Row],[Actual]],Table61647683[Actual],0)</f>
        <v>58</v>
      </c>
    </row>
    <row r="75" spans="2:30" x14ac:dyDescent="0.3">
      <c r="B75" s="489" t="s">
        <v>216</v>
      </c>
      <c r="C75" s="60">
        <v>14.98</v>
      </c>
      <c r="D75" s="58">
        <f>_xlfn.RANK.AVG(Table667986[[#This Row],[Proj]],Table667986[Proj],0)</f>
        <v>65</v>
      </c>
      <c r="E75" s="60">
        <f>IFERROR(INDEX(DK_Last_Week_Results_Data[Actual Score],MATCH(Table667986[[#This Row],[Name]],DK_Last_Week_Results_Data[Player],0)),"")</f>
        <v>4.3</v>
      </c>
      <c r="F75" s="58">
        <f>_xlfn.RANK.AVG(Table667986[[#This Row],[Actual]],Table667986[Actual],0)</f>
        <v>163.5</v>
      </c>
      <c r="N75" s="489" t="s">
        <v>130</v>
      </c>
      <c r="O75" s="60">
        <v>4.0033333333333339</v>
      </c>
      <c r="P75" s="58">
        <f>_xlfn.RANK.AVG(Table61627481[[#This Row],[Proj]],Table61627481[Proj],0)</f>
        <v>65</v>
      </c>
      <c r="Q75" s="60">
        <f>IFERROR(INDEX(DK_Last_Week_Results_Data[Actual Score],MATCH(Table61627481[[#This Row],[Name]],DK_Last_Week_Results_Data[Player],0)),"")</f>
        <v>0</v>
      </c>
      <c r="R75" s="58">
        <f>_xlfn.RANK.AVG(Table61627481[[#This Row],[Actual]],Table61627481[Actual],0)</f>
        <v>83.5</v>
      </c>
      <c r="T75" s="490" t="s">
        <v>225</v>
      </c>
      <c r="U75" s="60">
        <v>8.076666666666668</v>
      </c>
      <c r="V75" s="58">
        <f>_xlfn.RANK.AVG(Table61637582[[#This Row],[Proj]],Table61637582[Proj],0)</f>
        <v>65</v>
      </c>
      <c r="W75" s="60">
        <f>IFERROR(INDEX(DK_Last_Week_Results_Data[Actual Score],MATCH(Table61637582[[#This Row],[Name]],DK_Last_Week_Results_Data[Player],0)),"")</f>
        <v>3.1</v>
      </c>
      <c r="X75" s="58">
        <f>_xlfn.RANK.AVG(Table61637582[[#This Row],[Actual]],Table61637582[Actual],0)</f>
        <v>85</v>
      </c>
      <c r="Z75" s="491" t="s">
        <v>349</v>
      </c>
      <c r="AA75" s="60">
        <v>0.97</v>
      </c>
      <c r="AB75" s="58">
        <f>_xlfn.RANK.AVG(Table61647683[[#This Row],[Proj]],Table61647683[Proj],0)</f>
        <v>65</v>
      </c>
      <c r="AC75" s="60">
        <f>IFERROR(INDEX(DK_Last_Week_Results_Data[Actual Score],MATCH(Table61647683[[#This Row],[Name]],DK_Last_Week_Results_Data[Player],0)),"")</f>
        <v>0</v>
      </c>
      <c r="AD75" s="58">
        <f>_xlfn.RANK.AVG(Table61647683[[#This Row],[Actual]],Table61647683[Actual],0)</f>
        <v>58</v>
      </c>
    </row>
    <row r="76" spans="2:30" x14ac:dyDescent="0.3">
      <c r="B76" s="489" t="s">
        <v>212</v>
      </c>
      <c r="C76" s="60">
        <v>14.913333333333334</v>
      </c>
      <c r="D76" s="58">
        <f>_xlfn.RANK.AVG(Table667986[[#This Row],[Proj]],Table667986[Proj],0)</f>
        <v>66</v>
      </c>
      <c r="E76" s="60">
        <f>IFERROR(INDEX(DK_Last_Week_Results_Data[Actual Score],MATCH(Table667986[[#This Row],[Name]],DK_Last_Week_Results_Data[Player],0)),"")</f>
        <v>7.2</v>
      </c>
      <c r="F76" s="58">
        <f>_xlfn.RANK.AVG(Table667986[[#This Row],[Actual]],Table667986[Actual],0)</f>
        <v>124.5</v>
      </c>
      <c r="N76" s="489" t="s">
        <v>138</v>
      </c>
      <c r="O76" s="60">
        <v>3.9800000000000004</v>
      </c>
      <c r="P76" s="58">
        <f>_xlfn.RANK.AVG(Table61627481[[#This Row],[Proj]],Table61627481[Proj],0)</f>
        <v>66</v>
      </c>
      <c r="Q76" s="60">
        <f>IFERROR(INDEX(DK_Last_Week_Results_Data[Actual Score],MATCH(Table61627481[[#This Row],[Name]],DK_Last_Week_Results_Data[Player],0)),"")</f>
        <v>0</v>
      </c>
      <c r="R76" s="58">
        <f>_xlfn.RANK.AVG(Table61627481[[#This Row],[Actual]],Table61627481[Actual],0)</f>
        <v>83.5</v>
      </c>
      <c r="T76" s="490" t="s">
        <v>221</v>
      </c>
      <c r="U76" s="60">
        <v>8.0500000000000007</v>
      </c>
      <c r="V76" s="58">
        <f>_xlfn.RANK.AVG(Table61637582[[#This Row],[Proj]],Table61637582[Proj],0)</f>
        <v>66</v>
      </c>
      <c r="W76" s="60">
        <f>IFERROR(INDEX(DK_Last_Week_Results_Data[Actual Score],MATCH(Table61637582[[#This Row],[Name]],DK_Last_Week_Results_Data[Player],0)),"")</f>
        <v>1.5</v>
      </c>
      <c r="X76" s="58">
        <f>_xlfn.RANK.AVG(Table61637582[[#This Row],[Actual]],Table61637582[Actual],0)</f>
        <v>97</v>
      </c>
      <c r="Z76" s="491" t="s">
        <v>406</v>
      </c>
      <c r="AA76" s="60">
        <v>0.85000000000000009</v>
      </c>
      <c r="AB76" s="58">
        <f>_xlfn.RANK.AVG(Table61647683[[#This Row],[Proj]],Table61647683[Proj],0)</f>
        <v>66</v>
      </c>
      <c r="AC76" s="60">
        <f>IFERROR(INDEX(DK_Last_Week_Results_Data[Actual Score],MATCH(Table61647683[[#This Row],[Name]],DK_Last_Week_Results_Data[Player],0)),"")</f>
        <v>0</v>
      </c>
      <c r="AD76" s="58">
        <f>_xlfn.RANK.AVG(Table61647683[[#This Row],[Actual]],Table61647683[Actual],0)</f>
        <v>58</v>
      </c>
    </row>
    <row r="77" spans="2:30" x14ac:dyDescent="0.3">
      <c r="B77" s="489" t="s">
        <v>104</v>
      </c>
      <c r="C77" s="60">
        <v>14.913333333333332</v>
      </c>
      <c r="D77" s="58">
        <f>_xlfn.RANK.AVG(Table667986[[#This Row],[Proj]],Table667986[Proj],0)</f>
        <v>67</v>
      </c>
      <c r="E77" s="60">
        <f>IFERROR(INDEX(DK_Last_Week_Results_Data[Actual Score],MATCH(Table667986[[#This Row],[Name]],DK_Last_Week_Results_Data[Player],0)),"")</f>
        <v>28.5</v>
      </c>
      <c r="F77" s="58">
        <f>_xlfn.RANK.AVG(Table667986[[#This Row],[Actual]],Table667986[Actual],0)</f>
        <v>18</v>
      </c>
      <c r="N77" s="489" t="s">
        <v>153</v>
      </c>
      <c r="O77" s="60">
        <v>3.746666666666667</v>
      </c>
      <c r="P77" s="58">
        <f>_xlfn.RANK.AVG(Table61627481[[#This Row],[Proj]],Table61627481[Proj],0)</f>
        <v>67</v>
      </c>
      <c r="Q77" s="60">
        <f>IFERROR(INDEX(DK_Last_Week_Results_Data[Actual Score],MATCH(Table61627481[[#This Row],[Name]],DK_Last_Week_Results_Data[Player],0)),"")</f>
        <v>13.2</v>
      </c>
      <c r="R77" s="58">
        <f>_xlfn.RANK.AVG(Table61627481[[#This Row],[Actual]],Table61627481[Actual],0)</f>
        <v>21.5</v>
      </c>
      <c r="T77" s="490" t="s">
        <v>238</v>
      </c>
      <c r="U77" s="60">
        <v>7.8966666666666665</v>
      </c>
      <c r="V77" s="58">
        <f>_xlfn.RANK.AVG(Table61637582[[#This Row],[Proj]],Table61637582[Proj],0)</f>
        <v>67</v>
      </c>
      <c r="W77" s="60">
        <f>IFERROR(INDEX(DK_Last_Week_Results_Data[Actual Score],MATCH(Table61637582[[#This Row],[Name]],DK_Last_Week_Results_Data[Player],0)),"")</f>
        <v>17.8</v>
      </c>
      <c r="X77" s="58">
        <f>_xlfn.RANK.AVG(Table61637582[[#This Row],[Actual]],Table61637582[Actual],0)</f>
        <v>19</v>
      </c>
      <c r="Z77" s="491" t="s">
        <v>1560</v>
      </c>
      <c r="AA77" s="60">
        <v>0.83000000000000007</v>
      </c>
      <c r="AB77" s="58">
        <f>_xlfn.RANK.AVG(Table61647683[[#This Row],[Proj]],Table61647683[Proj],0)</f>
        <v>67</v>
      </c>
      <c r="AC77" s="60">
        <f>IFERROR(INDEX(DK_Last_Week_Results_Data[Actual Score],MATCH(Table61647683[[#This Row],[Name]],DK_Last_Week_Results_Data[Player],0)),"")</f>
        <v>0</v>
      </c>
      <c r="AD77" s="58">
        <f>_xlfn.RANK.AVG(Table61647683[[#This Row],[Actual]],Table61647683[Actual],0)</f>
        <v>58</v>
      </c>
    </row>
    <row r="78" spans="2:30" x14ac:dyDescent="0.3">
      <c r="B78" s="489" t="s">
        <v>86</v>
      </c>
      <c r="C78" s="60">
        <v>14.836666666666668</v>
      </c>
      <c r="D78" s="58">
        <f>_xlfn.RANK.AVG(Table667986[[#This Row],[Proj]],Table667986[Proj],0)</f>
        <v>68</v>
      </c>
      <c r="E78" s="60">
        <f>IFERROR(INDEX(DK_Last_Week_Results_Data[Actual Score],MATCH(Table667986[[#This Row],[Name]],DK_Last_Week_Results_Data[Player],0)),"")</f>
        <v>0</v>
      </c>
      <c r="F78" s="58">
        <f>_xlfn.RANK.AVG(Table667986[[#This Row],[Actual]],Table667986[Actual],0)</f>
        <v>250</v>
      </c>
      <c r="N78" s="489" t="s">
        <v>167</v>
      </c>
      <c r="O78" s="60">
        <v>3.7033333333333331</v>
      </c>
      <c r="P78" s="58">
        <f>_xlfn.RANK.AVG(Table61627481[[#This Row],[Proj]],Table61627481[Proj],0)</f>
        <v>68</v>
      </c>
      <c r="Q78" s="60">
        <f>IFERROR(INDEX(DK_Last_Week_Results_Data[Actual Score],MATCH(Table61627481[[#This Row],[Name]],DK_Last_Week_Results_Data[Player],0)),"")</f>
        <v>11.5</v>
      </c>
      <c r="R78" s="58">
        <f>_xlfn.RANK.AVG(Table61627481[[#This Row],[Actual]],Table61627481[Actual],0)</f>
        <v>26</v>
      </c>
      <c r="T78" s="490" t="s">
        <v>231</v>
      </c>
      <c r="U78" s="60">
        <v>7.8333333333333339</v>
      </c>
      <c r="V78" s="58">
        <f>_xlfn.RANK.AVG(Table61637582[[#This Row],[Proj]],Table61637582[Proj],0)</f>
        <v>68</v>
      </c>
      <c r="W78" s="60">
        <f>IFERROR(INDEX(DK_Last_Week_Results_Data[Actual Score],MATCH(Table61637582[[#This Row],[Name]],DK_Last_Week_Results_Data[Player],0)),"")</f>
        <v>11.1</v>
      </c>
      <c r="X78" s="58">
        <f>_xlfn.RANK.AVG(Table61637582[[#This Row],[Actual]],Table61637582[Actual],0)</f>
        <v>35</v>
      </c>
      <c r="Z78" s="491" t="s">
        <v>550</v>
      </c>
      <c r="AA78" s="60">
        <v>0.79</v>
      </c>
      <c r="AB78" s="58">
        <f>_xlfn.RANK.AVG(Table61647683[[#This Row],[Proj]],Table61647683[Proj],0)</f>
        <v>68</v>
      </c>
      <c r="AC78" s="60">
        <f>IFERROR(INDEX(DK_Last_Week_Results_Data[Actual Score],MATCH(Table61647683[[#This Row],[Name]],DK_Last_Week_Results_Data[Player],0)),"")</f>
        <v>0</v>
      </c>
      <c r="AD78" s="58">
        <f>_xlfn.RANK.AVG(Table61647683[[#This Row],[Actual]],Table61647683[Actual],0)</f>
        <v>58</v>
      </c>
    </row>
    <row r="79" spans="2:30" x14ac:dyDescent="0.3">
      <c r="B79" s="489" t="s">
        <v>227</v>
      </c>
      <c r="C79" s="60">
        <v>14.776666666666667</v>
      </c>
      <c r="D79" s="58">
        <f>_xlfn.RANK.AVG(Table667986[[#This Row],[Proj]],Table667986[Proj],0)</f>
        <v>69</v>
      </c>
      <c r="E79" s="60">
        <f>IFERROR(INDEX(DK_Last_Week_Results_Data[Actual Score],MATCH(Table667986[[#This Row],[Name]],DK_Last_Week_Results_Data[Player],0)),"")</f>
        <v>0</v>
      </c>
      <c r="F79" s="58">
        <f>_xlfn.RANK.AVG(Table667986[[#This Row],[Actual]],Table667986[Actual],0)</f>
        <v>250</v>
      </c>
      <c r="N79" s="490" t="s">
        <v>466</v>
      </c>
      <c r="O79" s="60">
        <v>3.6300000000000003</v>
      </c>
      <c r="P79" s="58">
        <f>_xlfn.RANK.AVG(Table61627481[[#This Row],[Proj]],Table61627481[Proj],0)</f>
        <v>69</v>
      </c>
      <c r="Q79" s="60">
        <f>IFERROR(INDEX(DK_Last_Week_Results_Data[Actual Score],MATCH(Table61627481[[#This Row],[Name]],DK_Last_Week_Results_Data[Player],0)),"")</f>
        <v>6.1</v>
      </c>
      <c r="R79" s="58">
        <f>_xlfn.RANK.AVG(Table61627481[[#This Row],[Actual]],Table61627481[Actual],0)</f>
        <v>46.5</v>
      </c>
      <c r="T79" s="490" t="s">
        <v>410</v>
      </c>
      <c r="U79" s="60">
        <v>7.7433333333333341</v>
      </c>
      <c r="V79" s="58">
        <f>_xlfn.RANK.AVG(Table61637582[[#This Row],[Proj]],Table61637582[Proj],0)</f>
        <v>69</v>
      </c>
      <c r="W79" s="60">
        <f>IFERROR(INDEX(DK_Last_Week_Results_Data[Actual Score],MATCH(Table61637582[[#This Row],[Name]],DK_Last_Week_Results_Data[Player],0)),"")</f>
        <v>12.2</v>
      </c>
      <c r="X79" s="58">
        <f>_xlfn.RANK.AVG(Table61637582[[#This Row],[Actual]],Table61637582[Actual],0)</f>
        <v>30.5</v>
      </c>
      <c r="Z79" s="491" t="s">
        <v>310</v>
      </c>
      <c r="AA79" s="60">
        <v>0.63</v>
      </c>
      <c r="AB79" s="58">
        <f>_xlfn.RANK.AVG(Table61647683[[#This Row],[Proj]],Table61647683[Proj],0)</f>
        <v>69</v>
      </c>
      <c r="AC79" s="60">
        <f>IFERROR(INDEX(DK_Last_Week_Results_Data[Actual Score],MATCH(Table61647683[[#This Row],[Name]],DK_Last_Week_Results_Data[Player],0)),"")</f>
        <v>2.2999999999999998</v>
      </c>
      <c r="AD79" s="58">
        <f>_xlfn.RANK.AVG(Table61647683[[#This Row],[Actual]],Table61647683[Actual],0)</f>
        <v>39</v>
      </c>
    </row>
    <row r="80" spans="2:30" x14ac:dyDescent="0.3">
      <c r="B80" s="489" t="s">
        <v>173</v>
      </c>
      <c r="C80" s="60">
        <v>14.746666666666666</v>
      </c>
      <c r="D80" s="58">
        <f>_xlfn.RANK.AVG(Table667986[[#This Row],[Proj]],Table667986[Proj],0)</f>
        <v>70</v>
      </c>
      <c r="E80" s="60">
        <f>IFERROR(INDEX(DK_Last_Week_Results_Data[Actual Score],MATCH(Table667986[[#This Row],[Name]],DK_Last_Week_Results_Data[Player],0)),"")</f>
        <v>41.5</v>
      </c>
      <c r="F80" s="58">
        <f>_xlfn.RANK.AVG(Table667986[[#This Row],[Actual]],Table667986[Actual],0)</f>
        <v>1</v>
      </c>
      <c r="N80" s="489" t="s">
        <v>164</v>
      </c>
      <c r="O80" s="60">
        <v>3.62</v>
      </c>
      <c r="P80" s="58">
        <f>_xlfn.RANK.AVG(Table61627481[[#This Row],[Proj]],Table61627481[Proj],0)</f>
        <v>70</v>
      </c>
      <c r="Q80" s="60">
        <f>IFERROR(INDEX(DK_Last_Week_Results_Data[Actual Score],MATCH(Table61627481[[#This Row],[Name]],DK_Last_Week_Results_Data[Player],0)),"")</f>
        <v>10.199999999999999</v>
      </c>
      <c r="R80" s="58">
        <f>_xlfn.RANK.AVG(Table61627481[[#This Row],[Actual]],Table61627481[Actual],0)</f>
        <v>29</v>
      </c>
      <c r="T80" s="490" t="s">
        <v>456</v>
      </c>
      <c r="U80" s="60">
        <v>7.6433333333333344</v>
      </c>
      <c r="V80" s="58">
        <f>_xlfn.RANK.AVG(Table61637582[[#This Row],[Proj]],Table61637582[Proj],0)</f>
        <v>70</v>
      </c>
      <c r="W80" s="60">
        <f>IFERROR(INDEX(DK_Last_Week_Results_Data[Actual Score],MATCH(Table61637582[[#This Row],[Name]],DK_Last_Week_Results_Data[Player],0)),"")</f>
        <v>10</v>
      </c>
      <c r="X80" s="58">
        <f>_xlfn.RANK.AVG(Table61637582[[#This Row],[Actual]],Table61637582[Actual],0)</f>
        <v>42</v>
      </c>
      <c r="Z80" s="491" t="s">
        <v>367</v>
      </c>
      <c r="AA80" s="60">
        <v>0.57000000000000006</v>
      </c>
      <c r="AB80" s="58">
        <f>_xlfn.RANK.AVG(Table61647683[[#This Row],[Proj]],Table61647683[Proj],0)</f>
        <v>70</v>
      </c>
      <c r="AC80" s="60">
        <f>IFERROR(INDEX(DK_Last_Week_Results_Data[Actual Score],MATCH(Table61647683[[#This Row],[Name]],DK_Last_Week_Results_Data[Player],0)),"")</f>
        <v>1.4</v>
      </c>
      <c r="AD80" s="58">
        <f>_xlfn.RANK.AVG(Table61647683[[#This Row],[Actual]],Table61647683[Actual],0)</f>
        <v>41</v>
      </c>
    </row>
    <row r="81" spans="2:30" x14ac:dyDescent="0.3">
      <c r="B81" s="489" t="s">
        <v>109</v>
      </c>
      <c r="C81" s="60">
        <v>14.709999999999999</v>
      </c>
      <c r="D81" s="58">
        <f>_xlfn.RANK.AVG(Table667986[[#This Row],[Proj]],Table667986[Proj],0)</f>
        <v>71</v>
      </c>
      <c r="E81" s="60">
        <f>IFERROR(INDEX(DK_Last_Week_Results_Data[Actual Score],MATCH(Table667986[[#This Row],[Name]],DK_Last_Week_Results_Data[Player],0)),"")</f>
        <v>6.6</v>
      </c>
      <c r="F81" s="58">
        <f>_xlfn.RANK.AVG(Table667986[[#This Row],[Actual]],Table667986[Actual],0)</f>
        <v>132</v>
      </c>
      <c r="N81" s="490" t="s">
        <v>116</v>
      </c>
      <c r="O81" s="60">
        <v>3.6100000000000003</v>
      </c>
      <c r="P81" s="58">
        <f>_xlfn.RANK.AVG(Table61627481[[#This Row],[Proj]],Table61627481[Proj],0)</f>
        <v>71</v>
      </c>
      <c r="Q81" s="60">
        <f>IFERROR(INDEX(DK_Last_Week_Results_Data[Actual Score],MATCH(Table61627481[[#This Row],[Name]],DK_Last_Week_Results_Data[Player],0)),"")</f>
        <v>0</v>
      </c>
      <c r="R81" s="58">
        <f>_xlfn.RANK.AVG(Table61627481[[#This Row],[Actual]],Table61627481[Actual],0)</f>
        <v>83.5</v>
      </c>
      <c r="T81" s="490" t="s">
        <v>269</v>
      </c>
      <c r="U81" s="60">
        <v>7.55</v>
      </c>
      <c r="V81" s="58">
        <f>_xlfn.RANK.AVG(Table61637582[[#This Row],[Proj]],Table61637582[Proj],0)</f>
        <v>71</v>
      </c>
      <c r="W81" s="60">
        <f>IFERROR(INDEX(DK_Last_Week_Results_Data[Actual Score],MATCH(Table61637582[[#This Row],[Name]],DK_Last_Week_Results_Data[Player],0)),"")</f>
        <v>7.7</v>
      </c>
      <c r="X81" s="58">
        <f>_xlfn.RANK.AVG(Table61637582[[#This Row],[Actual]],Table61637582[Actual],0)</f>
        <v>53</v>
      </c>
      <c r="Z81" s="491" t="s">
        <v>545</v>
      </c>
      <c r="AA81" s="60">
        <v>0.53</v>
      </c>
      <c r="AB81" s="58">
        <f>_xlfn.RANK.AVG(Table61647683[[#This Row],[Proj]],Table61647683[Proj],0)</f>
        <v>71</v>
      </c>
      <c r="AC81" s="60">
        <f>IFERROR(INDEX(DK_Last_Week_Results_Data[Actual Score],MATCH(Table61647683[[#This Row],[Name]],DK_Last_Week_Results_Data[Player],0)),"")</f>
        <v>0</v>
      </c>
      <c r="AD81" s="58">
        <f>_xlfn.RANK.AVG(Table61647683[[#This Row],[Actual]],Table61647683[Actual],0)</f>
        <v>58</v>
      </c>
    </row>
    <row r="82" spans="2:30" x14ac:dyDescent="0.3">
      <c r="B82" s="489" t="s">
        <v>90</v>
      </c>
      <c r="C82" s="60">
        <v>14.436666666666667</v>
      </c>
      <c r="D82" s="58">
        <f>_xlfn.RANK.AVG(Table667986[[#This Row],[Proj]],Table667986[Proj],0)</f>
        <v>72</v>
      </c>
      <c r="E82" s="60">
        <f>IFERROR(INDEX(DK_Last_Week_Results_Data[Actual Score],MATCH(Table667986[[#This Row],[Name]],DK_Last_Week_Results_Data[Player],0)),"")</f>
        <v>0</v>
      </c>
      <c r="F82" s="58">
        <f>_xlfn.RANK.AVG(Table667986[[#This Row],[Actual]],Table667986[Actual],0)</f>
        <v>250</v>
      </c>
      <c r="N82" s="490" t="s">
        <v>139</v>
      </c>
      <c r="O82" s="60">
        <v>3.5266666666666664</v>
      </c>
      <c r="P82" s="58">
        <f>_xlfn.RANK.AVG(Table61627481[[#This Row],[Proj]],Table61627481[Proj],0)</f>
        <v>72</v>
      </c>
      <c r="Q82" s="60">
        <f>IFERROR(INDEX(DK_Last_Week_Results_Data[Actual Score],MATCH(Table61627481[[#This Row],[Name]],DK_Last_Week_Results_Data[Player],0)),"")</f>
        <v>8.8000000000000007</v>
      </c>
      <c r="R82" s="58">
        <f>_xlfn.RANK.AVG(Table61627481[[#This Row],[Actual]],Table61627481[Actual],0)</f>
        <v>35</v>
      </c>
      <c r="T82" s="490" t="s">
        <v>249</v>
      </c>
      <c r="U82" s="60">
        <v>7.52</v>
      </c>
      <c r="V82" s="58">
        <f>_xlfn.RANK.AVG(Table61637582[[#This Row],[Proj]],Table61637582[Proj],0)</f>
        <v>72</v>
      </c>
      <c r="W82" s="60">
        <f>IFERROR(INDEX(DK_Last_Week_Results_Data[Actual Score],MATCH(Table61637582[[#This Row],[Name]],DK_Last_Week_Results_Data[Player],0)),"")</f>
        <v>6.2</v>
      </c>
      <c r="X82" s="58">
        <f>_xlfn.RANK.AVG(Table61637582[[#This Row],[Actual]],Table61637582[Actual],0)</f>
        <v>62.5</v>
      </c>
      <c r="Z82" s="491" t="s">
        <v>531</v>
      </c>
      <c r="AA82" s="60">
        <v>0.42000000000000004</v>
      </c>
      <c r="AB82" s="58">
        <f>_xlfn.RANK.AVG(Table61647683[[#This Row],[Proj]],Table61647683[Proj],0)</f>
        <v>72</v>
      </c>
      <c r="AC82" s="60">
        <f>IFERROR(INDEX(DK_Last_Week_Results_Data[Actual Score],MATCH(Table61647683[[#This Row],[Name]],DK_Last_Week_Results_Data[Player],0)),"")</f>
        <v>8.9</v>
      </c>
      <c r="AD82" s="58">
        <f>_xlfn.RANK.AVG(Table61647683[[#This Row],[Actual]],Table61647683[Actual],0)</f>
        <v>15.5</v>
      </c>
    </row>
    <row r="83" spans="2:30" x14ac:dyDescent="0.3">
      <c r="B83" s="489" t="s">
        <v>93</v>
      </c>
      <c r="C83" s="60">
        <v>14.433333333333334</v>
      </c>
      <c r="D83" s="58">
        <f>_xlfn.RANK.AVG(Table667986[[#This Row],[Proj]],Table667986[Proj],0)</f>
        <v>73</v>
      </c>
      <c r="E83" s="60">
        <f>IFERROR(INDEX(DK_Last_Week_Results_Data[Actual Score],MATCH(Table667986[[#This Row],[Name]],DK_Last_Week_Results_Data[Player],0)),"")</f>
        <v>29.6</v>
      </c>
      <c r="F83" s="58">
        <f>_xlfn.RANK.AVG(Table667986[[#This Row],[Actual]],Table667986[Actual],0)</f>
        <v>14.5</v>
      </c>
      <c r="N83" s="490" t="s">
        <v>159</v>
      </c>
      <c r="O83" s="60">
        <v>3.3149999999999999</v>
      </c>
      <c r="P83" s="58">
        <f>_xlfn.RANK.AVG(Table61627481[[#This Row],[Proj]],Table61627481[Proj],0)</f>
        <v>73</v>
      </c>
      <c r="Q83" s="60">
        <f>IFERROR(INDEX(DK_Last_Week_Results_Data[Actual Score],MATCH(Table61627481[[#This Row],[Name]],DK_Last_Week_Results_Data[Player],0)),"")</f>
        <v>0</v>
      </c>
      <c r="R83" s="58">
        <f>_xlfn.RANK.AVG(Table61627481[[#This Row],[Actual]],Table61627481[Actual],0)</f>
        <v>83.5</v>
      </c>
      <c r="T83" s="490" t="s">
        <v>265</v>
      </c>
      <c r="U83" s="60">
        <v>7.5000000000000009</v>
      </c>
      <c r="V83" s="58">
        <f>_xlfn.RANK.AVG(Table61637582[[#This Row],[Proj]],Table61637582[Proj],0)</f>
        <v>73</v>
      </c>
      <c r="W83" s="60">
        <f>IFERROR(INDEX(DK_Last_Week_Results_Data[Actual Score],MATCH(Table61637582[[#This Row],[Name]],DK_Last_Week_Results_Data[Player],0)),"")</f>
        <v>1.8</v>
      </c>
      <c r="X83" s="58">
        <f>_xlfn.RANK.AVG(Table61637582[[#This Row],[Actual]],Table61637582[Actual],0)</f>
        <v>93</v>
      </c>
      <c r="Z83" s="491" t="s">
        <v>370</v>
      </c>
      <c r="AA83" s="60">
        <v>0.39</v>
      </c>
      <c r="AB83" s="58">
        <f>_xlfn.RANK.AVG(Table61647683[[#This Row],[Proj]],Table61647683[Proj],0)</f>
        <v>73</v>
      </c>
      <c r="AC83" s="60">
        <f>IFERROR(INDEX(DK_Last_Week_Results_Data[Actual Score],MATCH(Table61647683[[#This Row],[Name]],DK_Last_Week_Results_Data[Player],0)),"")</f>
        <v>0</v>
      </c>
      <c r="AD83" s="58">
        <f>_xlfn.RANK.AVG(Table61647683[[#This Row],[Actual]],Table61647683[Actual],0)</f>
        <v>58</v>
      </c>
    </row>
    <row r="84" spans="2:30" x14ac:dyDescent="0.3">
      <c r="B84" s="489" t="s">
        <v>199</v>
      </c>
      <c r="C84" s="60">
        <v>14.420000000000002</v>
      </c>
      <c r="D84" s="58">
        <f>_xlfn.RANK.AVG(Table667986[[#This Row],[Proj]],Table667986[Proj],0)</f>
        <v>74</v>
      </c>
      <c r="E84" s="60">
        <f>IFERROR(INDEX(DK_Last_Week_Results_Data[Actual Score],MATCH(Table667986[[#This Row],[Name]],DK_Last_Week_Results_Data[Player],0)),"")</f>
        <v>24</v>
      </c>
      <c r="F84" s="58">
        <f>_xlfn.RANK.AVG(Table667986[[#This Row],[Actual]],Table667986[Actual],0)</f>
        <v>28</v>
      </c>
      <c r="N84" s="489" t="s">
        <v>108</v>
      </c>
      <c r="O84" s="60">
        <v>3.0866666666666664</v>
      </c>
      <c r="P84" s="58">
        <f>_xlfn.RANK.AVG(Table61627481[[#This Row],[Proj]],Table61627481[Proj],0)</f>
        <v>74</v>
      </c>
      <c r="Q84" s="60">
        <f>IFERROR(INDEX(DK_Last_Week_Results_Data[Actual Score],MATCH(Table61627481[[#This Row],[Name]],DK_Last_Week_Results_Data[Player],0)),"")</f>
        <v>1.2</v>
      </c>
      <c r="R84" s="58">
        <f>_xlfn.RANK.AVG(Table61627481[[#This Row],[Actual]],Table61627481[Actual],0)</f>
        <v>65</v>
      </c>
      <c r="T84" s="490" t="s">
        <v>236</v>
      </c>
      <c r="U84" s="60">
        <v>7.4700000000000006</v>
      </c>
      <c r="V84" s="58">
        <f>_xlfn.RANK.AVG(Table61637582[[#This Row],[Proj]],Table61637582[Proj],0)</f>
        <v>74</v>
      </c>
      <c r="W84" s="60">
        <f>IFERROR(INDEX(DK_Last_Week_Results_Data[Actual Score],MATCH(Table61637582[[#This Row],[Name]],DK_Last_Week_Results_Data[Player],0)),"")</f>
        <v>0</v>
      </c>
      <c r="X84" s="58">
        <f>_xlfn.RANK.AVG(Table61637582[[#This Row],[Actual]],Table61637582[Actual],0)</f>
        <v>121</v>
      </c>
      <c r="Z84" s="491" t="s">
        <v>546</v>
      </c>
      <c r="AA84" s="60">
        <v>0.36000000000000004</v>
      </c>
      <c r="AB84" s="58">
        <f>_xlfn.RANK.AVG(Table61647683[[#This Row],[Proj]],Table61647683[Proj],0)</f>
        <v>74</v>
      </c>
      <c r="AC84" s="60">
        <f>IFERROR(INDEX(DK_Last_Week_Results_Data[Actual Score],MATCH(Table61647683[[#This Row],[Name]],DK_Last_Week_Results_Data[Player],0)),"")</f>
        <v>0</v>
      </c>
      <c r="AD84" s="58">
        <f>_xlfn.RANK.AVG(Table61647683[[#This Row],[Actual]],Table61647683[Actual],0)</f>
        <v>58</v>
      </c>
    </row>
    <row r="85" spans="2:30" x14ac:dyDescent="0.3">
      <c r="B85" s="489" t="s">
        <v>121</v>
      </c>
      <c r="C85" s="60">
        <v>14.32</v>
      </c>
      <c r="D85" s="58">
        <f>_xlfn.RANK.AVG(Table667986[[#This Row],[Proj]],Table667986[Proj],0)</f>
        <v>75</v>
      </c>
      <c r="E85" s="60">
        <f>IFERROR(INDEX(DK_Last_Week_Results_Data[Actual Score],MATCH(Table667986[[#This Row],[Name]],DK_Last_Week_Results_Data[Player],0)),"")</f>
        <v>9.9</v>
      </c>
      <c r="F85" s="58">
        <f>_xlfn.RANK.AVG(Table667986[[#This Row],[Actual]],Table667986[Actual],0)</f>
        <v>97.5</v>
      </c>
      <c r="N85" s="490" t="s">
        <v>162</v>
      </c>
      <c r="O85" s="60">
        <v>3.0500000000000003</v>
      </c>
      <c r="P85" s="58">
        <f>_xlfn.RANK.AVG(Table61627481[[#This Row],[Proj]],Table61627481[Proj],0)</f>
        <v>75</v>
      </c>
      <c r="Q85" s="60">
        <f>IFERROR(INDEX(DK_Last_Week_Results_Data[Actual Score],MATCH(Table61627481[[#This Row],[Name]],DK_Last_Week_Results_Data[Player],0)),"")</f>
        <v>10.6</v>
      </c>
      <c r="R85" s="58">
        <f>_xlfn.RANK.AVG(Table61627481[[#This Row],[Actual]],Table61627481[Actual],0)</f>
        <v>28</v>
      </c>
      <c r="T85" s="490" t="s">
        <v>229</v>
      </c>
      <c r="U85" s="60">
        <v>7.4433333333333334</v>
      </c>
      <c r="V85" s="58">
        <f>_xlfn.RANK.AVG(Table61637582[[#This Row],[Proj]],Table61637582[Proj],0)</f>
        <v>75</v>
      </c>
      <c r="W85" s="60">
        <f>IFERROR(INDEX(DK_Last_Week_Results_Data[Actual Score],MATCH(Table61637582[[#This Row],[Name]],DK_Last_Week_Results_Data[Player],0)),"")</f>
        <v>1.2</v>
      </c>
      <c r="X85" s="58">
        <f>_xlfn.RANK.AVG(Table61637582[[#This Row],[Actual]],Table61637582[Actual],0)</f>
        <v>99.5</v>
      </c>
    </row>
    <row r="86" spans="2:30" x14ac:dyDescent="0.3">
      <c r="B86" s="489" t="s">
        <v>201</v>
      </c>
      <c r="C86" s="60">
        <v>14.310000000000002</v>
      </c>
      <c r="D86" s="58">
        <f>_xlfn.RANK.AVG(Table667986[[#This Row],[Proj]],Table667986[Proj],0)</f>
        <v>76</v>
      </c>
      <c r="E86" s="60">
        <f>IFERROR(INDEX(DK_Last_Week_Results_Data[Actual Score],MATCH(Table667986[[#This Row],[Name]],DK_Last_Week_Results_Data[Player],0)),"")</f>
        <v>7.5</v>
      </c>
      <c r="F86" s="58">
        <f>_xlfn.RANK.AVG(Table667986[[#This Row],[Actual]],Table667986[Actual],0)</f>
        <v>122</v>
      </c>
      <c r="N86" s="490" t="s">
        <v>134</v>
      </c>
      <c r="O86" s="60">
        <v>2.9950000000000001</v>
      </c>
      <c r="P86" s="58">
        <f>_xlfn.RANK.AVG(Table61627481[[#This Row],[Proj]],Table61627481[Proj],0)</f>
        <v>76</v>
      </c>
      <c r="Q86" s="60">
        <f>IFERROR(INDEX(DK_Last_Week_Results_Data[Actual Score],MATCH(Table61627481[[#This Row],[Name]],DK_Last_Week_Results_Data[Player],0)),"")</f>
        <v>6.1</v>
      </c>
      <c r="R86" s="58">
        <f>_xlfn.RANK.AVG(Table61627481[[#This Row],[Actual]],Table61627481[Actual],0)</f>
        <v>46.5</v>
      </c>
      <c r="T86" s="490" t="s">
        <v>272</v>
      </c>
      <c r="U86" s="60">
        <v>7.2900000000000009</v>
      </c>
      <c r="V86" s="58">
        <f>_xlfn.RANK.AVG(Table61637582[[#This Row],[Proj]],Table61637582[Proj],0)</f>
        <v>76</v>
      </c>
      <c r="W86" s="60">
        <f>IFERROR(INDEX(DK_Last_Week_Results_Data[Actual Score],MATCH(Table61637582[[#This Row],[Name]],DK_Last_Week_Results_Data[Player],0)),"")</f>
        <v>5.0999999999999996</v>
      </c>
      <c r="X86" s="58">
        <f>_xlfn.RANK.AVG(Table61637582[[#This Row],[Actual]],Table61637582[Actual],0)</f>
        <v>73.5</v>
      </c>
    </row>
    <row r="87" spans="2:30" x14ac:dyDescent="0.3">
      <c r="B87" s="489" t="s">
        <v>82</v>
      </c>
      <c r="C87" s="60">
        <v>14.303333333333336</v>
      </c>
      <c r="D87" s="58">
        <f>_xlfn.RANK.AVG(Table667986[[#This Row],[Proj]],Table667986[Proj],0)</f>
        <v>77</v>
      </c>
      <c r="E87" s="60">
        <f>IFERROR(INDEX(DK_Last_Week_Results_Data[Actual Score],MATCH(Table667986[[#This Row],[Name]],DK_Last_Week_Results_Data[Player],0)),"")</f>
        <v>10.8</v>
      </c>
      <c r="F87" s="58">
        <f>_xlfn.RANK.AVG(Table667986[[#This Row],[Actual]],Table667986[Actual],0)</f>
        <v>86</v>
      </c>
      <c r="N87" s="490" t="s">
        <v>520</v>
      </c>
      <c r="O87" s="60">
        <v>2.9600000000000004</v>
      </c>
      <c r="P87" s="58">
        <f>_xlfn.RANK.AVG(Table61627481[[#This Row],[Proj]],Table61627481[Proj],0)</f>
        <v>77</v>
      </c>
      <c r="Q87" s="60">
        <f>IFERROR(INDEX(DK_Last_Week_Results_Data[Actual Score],MATCH(Table61627481[[#This Row],[Name]],DK_Last_Week_Results_Data[Player],0)),"")</f>
        <v>4.5</v>
      </c>
      <c r="R87" s="58">
        <f>_xlfn.RANK.AVG(Table61627481[[#This Row],[Actual]],Table61627481[Actual],0)</f>
        <v>53.5</v>
      </c>
      <c r="T87" s="490" t="s">
        <v>276</v>
      </c>
      <c r="U87" s="60">
        <v>7.0500000000000007</v>
      </c>
      <c r="V87" s="58">
        <f>_xlfn.RANK.AVG(Table61637582[[#This Row],[Proj]],Table61637582[Proj],0)</f>
        <v>77</v>
      </c>
      <c r="W87" s="60">
        <f>IFERROR(INDEX(DK_Last_Week_Results_Data[Actual Score],MATCH(Table61637582[[#This Row],[Name]],DK_Last_Week_Results_Data[Player],0)),"")</f>
        <v>1.3</v>
      </c>
      <c r="X87" s="58">
        <f>_xlfn.RANK.AVG(Table61637582[[#This Row],[Actual]],Table61637582[Actual],0)</f>
        <v>98</v>
      </c>
    </row>
    <row r="88" spans="2:30" x14ac:dyDescent="0.3">
      <c r="B88" s="489" t="s">
        <v>125</v>
      </c>
      <c r="C88" s="60">
        <v>14.246666666666666</v>
      </c>
      <c r="D88" s="58">
        <f>_xlfn.RANK.AVG(Table667986[[#This Row],[Proj]],Table667986[Proj],0)</f>
        <v>78</v>
      </c>
      <c r="E88" s="60">
        <f>IFERROR(INDEX(DK_Last_Week_Results_Data[Actual Score],MATCH(Table667986[[#This Row],[Name]],DK_Last_Week_Results_Data[Player],0)),"")</f>
        <v>8.3000000000000007</v>
      </c>
      <c r="F88" s="58">
        <f>_xlfn.RANK.AVG(Table667986[[#This Row],[Actual]],Table667986[Actual],0)</f>
        <v>111</v>
      </c>
      <c r="N88" s="489" t="s">
        <v>118</v>
      </c>
      <c r="O88" s="60">
        <v>2.915</v>
      </c>
      <c r="P88" s="58">
        <f>_xlfn.RANK.AVG(Table61627481[[#This Row],[Proj]],Table61627481[Proj],0)</f>
        <v>78</v>
      </c>
      <c r="Q88" s="60">
        <f>IFERROR(INDEX(DK_Last_Week_Results_Data[Actual Score],MATCH(Table61627481[[#This Row],[Name]],DK_Last_Week_Results_Data[Player],0)),"")</f>
        <v>2</v>
      </c>
      <c r="R88" s="58">
        <f>_xlfn.RANK.AVG(Table61627481[[#This Row],[Actual]],Table61627481[Actual],0)</f>
        <v>61</v>
      </c>
      <c r="T88" s="490" t="s">
        <v>237</v>
      </c>
      <c r="U88" s="60">
        <v>6.8566666666666674</v>
      </c>
      <c r="V88" s="58">
        <f>_xlfn.RANK.AVG(Table61637582[[#This Row],[Proj]],Table61637582[Proj],0)</f>
        <v>78</v>
      </c>
      <c r="W88" s="60">
        <f>IFERROR(INDEX(DK_Last_Week_Results_Data[Actual Score],MATCH(Table61637582[[#This Row],[Name]],DK_Last_Week_Results_Data[Player],0)),"")</f>
        <v>6.8</v>
      </c>
      <c r="X88" s="58">
        <f>_xlfn.RANK.AVG(Table61637582[[#This Row],[Actual]],Table61637582[Actual],0)</f>
        <v>58</v>
      </c>
    </row>
    <row r="89" spans="2:30" x14ac:dyDescent="0.3">
      <c r="B89" s="489" t="s">
        <v>96</v>
      </c>
      <c r="C89" s="60">
        <v>14.09</v>
      </c>
      <c r="D89" s="58">
        <f>_xlfn.RANK.AVG(Table667986[[#This Row],[Proj]],Table667986[Proj],0)</f>
        <v>79</v>
      </c>
      <c r="E89" s="60">
        <f>IFERROR(INDEX(DK_Last_Week_Results_Data[Actual Score],MATCH(Table667986[[#This Row],[Name]],DK_Last_Week_Results_Data[Player],0)),"")</f>
        <v>14.5</v>
      </c>
      <c r="F89" s="58">
        <f>_xlfn.RANK.AVG(Table667986[[#This Row],[Actual]],Table667986[Actual],0)</f>
        <v>57</v>
      </c>
      <c r="N89" s="490" t="s">
        <v>150</v>
      </c>
      <c r="O89" s="60">
        <v>2.8250000000000002</v>
      </c>
      <c r="P89" s="58">
        <f>_xlfn.RANK.AVG(Table61627481[[#This Row],[Proj]],Table61627481[Proj],0)</f>
        <v>79</v>
      </c>
      <c r="Q89" s="60">
        <f>IFERROR(INDEX(DK_Last_Week_Results_Data[Actual Score],MATCH(Table61627481[[#This Row],[Name]],DK_Last_Week_Results_Data[Player],0)),"")</f>
        <v>6.8</v>
      </c>
      <c r="R89" s="58">
        <f>_xlfn.RANK.AVG(Table61627481[[#This Row],[Actual]],Table61627481[Actual],0)</f>
        <v>42.5</v>
      </c>
      <c r="T89" s="490" t="s">
        <v>262</v>
      </c>
      <c r="U89" s="60">
        <v>6.75</v>
      </c>
      <c r="V89" s="58">
        <f>_xlfn.RANK.AVG(Table61637582[[#This Row],[Proj]],Table61637582[Proj],0)</f>
        <v>79</v>
      </c>
      <c r="W89" s="60">
        <f>IFERROR(INDEX(DK_Last_Week_Results_Data[Actual Score],MATCH(Table61637582[[#This Row],[Name]],DK_Last_Week_Results_Data[Player],0)),"")</f>
        <v>14.1</v>
      </c>
      <c r="X89" s="58">
        <f>_xlfn.RANK.AVG(Table61637582[[#This Row],[Actual]],Table61637582[Actual],0)</f>
        <v>23</v>
      </c>
    </row>
    <row r="90" spans="2:30" x14ac:dyDescent="0.3">
      <c r="B90" s="489" t="s">
        <v>38</v>
      </c>
      <c r="C90" s="60">
        <v>14.088250000000002</v>
      </c>
      <c r="D90" s="58">
        <f>_xlfn.RANK.AVG(Table667986[[#This Row],[Proj]],Table667986[Proj],0)</f>
        <v>80</v>
      </c>
      <c r="E90" s="60">
        <f>IFERROR(INDEX(DK_Last_Week_Results_Data[Actual Score],MATCH(Table667986[[#This Row],[Name]],DK_Last_Week_Results_Data[Player],0)),"")</f>
        <v>10.64</v>
      </c>
      <c r="F90" s="58">
        <f>_xlfn.RANK.AVG(Table667986[[#This Row],[Actual]],Table667986[Actual],0)</f>
        <v>89</v>
      </c>
      <c r="N90" s="490" t="s">
        <v>516</v>
      </c>
      <c r="O90" s="60">
        <v>1.97</v>
      </c>
      <c r="P90" s="58">
        <f>_xlfn.RANK.AVG(Table61627481[[#This Row],[Proj]],Table61627481[Proj],0)</f>
        <v>80</v>
      </c>
      <c r="Q90" s="60">
        <f>IFERROR(INDEX(DK_Last_Week_Results_Data[Actual Score],MATCH(Table61627481[[#This Row],[Name]],DK_Last_Week_Results_Data[Player],0)),"")</f>
        <v>6.8</v>
      </c>
      <c r="R90" s="58">
        <f>_xlfn.RANK.AVG(Table61627481[[#This Row],[Actual]],Table61627481[Actual],0)</f>
        <v>42.5</v>
      </c>
      <c r="T90" s="490" t="s">
        <v>228</v>
      </c>
      <c r="U90" s="60">
        <v>6.5366666666666671</v>
      </c>
      <c r="V90" s="58">
        <f>_xlfn.RANK.AVG(Table61637582[[#This Row],[Proj]],Table61637582[Proj],0)</f>
        <v>80</v>
      </c>
      <c r="W90" s="60">
        <f>IFERROR(INDEX(DK_Last_Week_Results_Data[Actual Score],MATCH(Table61637582[[#This Row],[Name]],DK_Last_Week_Results_Data[Player],0)),"")</f>
        <v>4.3</v>
      </c>
      <c r="X90" s="58">
        <f>_xlfn.RANK.AVG(Table61637582[[#This Row],[Actual]],Table61637582[Actual],0)</f>
        <v>78.5</v>
      </c>
    </row>
    <row r="91" spans="2:30" x14ac:dyDescent="0.3">
      <c r="B91" s="489" t="s">
        <v>241</v>
      </c>
      <c r="C91" s="60">
        <v>14.063333333333333</v>
      </c>
      <c r="D91" s="58">
        <f>_xlfn.RANK.AVG(Table667986[[#This Row],[Proj]],Table667986[Proj],0)</f>
        <v>81</v>
      </c>
      <c r="E91" s="60">
        <f>IFERROR(INDEX(DK_Last_Week_Results_Data[Actual Score],MATCH(Table667986[[#This Row],[Name]],DK_Last_Week_Results_Data[Player],0)),"")</f>
        <v>11.2</v>
      </c>
      <c r="F91" s="58">
        <f>_xlfn.RANK.AVG(Table667986[[#This Row],[Actual]],Table667986[Actual],0)</f>
        <v>83</v>
      </c>
      <c r="N91" s="490" t="s">
        <v>155</v>
      </c>
      <c r="O91" s="60">
        <v>1.96</v>
      </c>
      <c r="P91" s="58">
        <f>_xlfn.RANK.AVG(Table61627481[[#This Row],[Proj]],Table61627481[Proj],0)</f>
        <v>81</v>
      </c>
      <c r="Q91" s="60">
        <f>IFERROR(INDEX(DK_Last_Week_Results_Data[Actual Score],MATCH(Table61627481[[#This Row],[Name]],DK_Last_Week_Results_Data[Player],0)),"")</f>
        <v>0</v>
      </c>
      <c r="R91" s="58">
        <f>_xlfn.RANK.AVG(Table61627481[[#This Row],[Actual]],Table61627481[Actual],0)</f>
        <v>83.5</v>
      </c>
      <c r="T91" s="490" t="s">
        <v>408</v>
      </c>
      <c r="U91" s="60">
        <v>6.53</v>
      </c>
      <c r="V91" s="58">
        <f>_xlfn.RANK.AVG(Table61637582[[#This Row],[Proj]],Table61637582[Proj],0)</f>
        <v>81</v>
      </c>
      <c r="W91" s="60">
        <f>IFERROR(INDEX(DK_Last_Week_Results_Data[Actual Score],MATCH(Table61637582[[#This Row],[Name]],DK_Last_Week_Results_Data[Player],0)),"")</f>
        <v>0</v>
      </c>
      <c r="X91" s="58">
        <f>_xlfn.RANK.AVG(Table61637582[[#This Row],[Actual]],Table61637582[Actual],0)</f>
        <v>121</v>
      </c>
    </row>
    <row r="92" spans="2:30" x14ac:dyDescent="0.3">
      <c r="B92" s="489" t="s">
        <v>83</v>
      </c>
      <c r="C92" s="60">
        <v>14.036666666666665</v>
      </c>
      <c r="D92" s="58">
        <f>_xlfn.RANK.AVG(Table667986[[#This Row],[Proj]],Table667986[Proj],0)</f>
        <v>82</v>
      </c>
      <c r="E92" s="60">
        <f>IFERROR(INDEX(DK_Last_Week_Results_Data[Actual Score],MATCH(Table667986[[#This Row],[Name]],DK_Last_Week_Results_Data[Player],0)),"")</f>
        <v>21</v>
      </c>
      <c r="F92" s="58">
        <f>_xlfn.RANK.AVG(Table667986[[#This Row],[Actual]],Table667986[Actual],0)</f>
        <v>37.5</v>
      </c>
      <c r="N92" s="490" t="s">
        <v>1523</v>
      </c>
      <c r="O92" s="60">
        <v>1.7900000000000003</v>
      </c>
      <c r="P92" s="58">
        <f>_xlfn.RANK.AVG(Table61627481[[#This Row],[Proj]],Table61627481[Proj],0)</f>
        <v>82</v>
      </c>
      <c r="Q92" s="60">
        <f>IFERROR(INDEX(DK_Last_Week_Results_Data[Actual Score],MATCH(Table61627481[[#This Row],[Name]],DK_Last_Week_Results_Data[Player],0)),"")</f>
        <v>0</v>
      </c>
      <c r="R92" s="58">
        <f>_xlfn.RANK.AVG(Table61627481[[#This Row],[Actual]],Table61627481[Actual],0)</f>
        <v>83.5</v>
      </c>
      <c r="T92" s="490" t="s">
        <v>465</v>
      </c>
      <c r="U92" s="60">
        <v>6.4933333333333341</v>
      </c>
      <c r="V92" s="58">
        <f>_xlfn.RANK.AVG(Table61637582[[#This Row],[Proj]],Table61637582[Proj],0)</f>
        <v>82</v>
      </c>
      <c r="W92" s="60">
        <f>IFERROR(INDEX(DK_Last_Week_Results_Data[Actual Score],MATCH(Table61637582[[#This Row],[Name]],DK_Last_Week_Results_Data[Player],0)),"")</f>
        <v>4.8</v>
      </c>
      <c r="X92" s="58">
        <f>_xlfn.RANK.AVG(Table61637582[[#This Row],[Actual]],Table61637582[Actual],0)</f>
        <v>75</v>
      </c>
    </row>
    <row r="93" spans="2:30" x14ac:dyDescent="0.3">
      <c r="B93" s="489" t="s">
        <v>101</v>
      </c>
      <c r="C93" s="60">
        <v>13.973333333333333</v>
      </c>
      <c r="D93" s="58">
        <f>_xlfn.RANK.AVG(Table667986[[#This Row],[Proj]],Table667986[Proj],0)</f>
        <v>83</v>
      </c>
      <c r="E93" s="60">
        <f>IFERROR(INDEX(DK_Last_Week_Results_Data[Actual Score],MATCH(Table667986[[#This Row],[Name]],DK_Last_Week_Results_Data[Player],0)),"")</f>
        <v>25.5</v>
      </c>
      <c r="F93" s="58">
        <f>_xlfn.RANK.AVG(Table667986[[#This Row],[Actual]],Table667986[Actual],0)</f>
        <v>23</v>
      </c>
      <c r="N93" s="490" t="s">
        <v>144</v>
      </c>
      <c r="O93" s="60">
        <v>1.3</v>
      </c>
      <c r="P93" s="58">
        <f>_xlfn.RANK.AVG(Table61627481[[#This Row],[Proj]],Table61627481[Proj],0)</f>
        <v>83</v>
      </c>
      <c r="Q93" s="60" t="str">
        <f>IFERROR(INDEX(DK_Last_Week_Results_Data[Actual Score],MATCH(Table61627481[[#This Row],[Name]],DK_Last_Week_Results_Data[Player],0)),"")</f>
        <v/>
      </c>
      <c r="R93" s="58" t="e">
        <f>_xlfn.RANK.AVG(Table61627481[[#This Row],[Actual]],Table61627481[Actual],0)</f>
        <v>#VALUE!</v>
      </c>
      <c r="T93" s="490" t="s">
        <v>306</v>
      </c>
      <c r="U93" s="60">
        <v>5.9850000000000003</v>
      </c>
      <c r="V93" s="58">
        <f>_xlfn.RANK.AVG(Table61637582[[#This Row],[Proj]],Table61637582[Proj],0)</f>
        <v>83</v>
      </c>
      <c r="W93" s="60">
        <f>IFERROR(INDEX(DK_Last_Week_Results_Data[Actual Score],MATCH(Table61637582[[#This Row],[Name]],DK_Last_Week_Results_Data[Player],0)),"")</f>
        <v>1.6</v>
      </c>
      <c r="X93" s="58">
        <f>_xlfn.RANK.AVG(Table61637582[[#This Row],[Actual]],Table61637582[Actual],0)</f>
        <v>95.5</v>
      </c>
    </row>
    <row r="94" spans="2:30" x14ac:dyDescent="0.3">
      <c r="B94" s="489" t="s">
        <v>209</v>
      </c>
      <c r="C94" s="60">
        <v>13.913333333333334</v>
      </c>
      <c r="D94" s="58">
        <f>_xlfn.RANK.AVG(Table667986[[#This Row],[Proj]],Table667986[Proj],0)</f>
        <v>84</v>
      </c>
      <c r="E94" s="60" t="str">
        <f>IFERROR(INDEX(DK_Last_Week_Results_Data[Actual Score],MATCH(Table667986[[#This Row],[Name]],DK_Last_Week_Results_Data[Player],0)),"")</f>
        <v/>
      </c>
      <c r="F94" s="58" t="e">
        <f>_xlfn.RANK.AVG(Table667986[[#This Row],[Actual]],Table667986[Actual],0)</f>
        <v>#VALUE!</v>
      </c>
      <c r="N94" s="490" t="s">
        <v>522</v>
      </c>
      <c r="O94" s="60">
        <v>1.2350000000000001</v>
      </c>
      <c r="P94" s="58">
        <f>_xlfn.RANK.AVG(Table61627481[[#This Row],[Proj]],Table61627481[Proj],0)</f>
        <v>84</v>
      </c>
      <c r="Q94" s="60">
        <f>IFERROR(INDEX(DK_Last_Week_Results_Data[Actual Score],MATCH(Table61627481[[#This Row],[Name]],DK_Last_Week_Results_Data[Player],0)),"")</f>
        <v>13.9</v>
      </c>
      <c r="R94" s="58">
        <f>_xlfn.RANK.AVG(Table61627481[[#This Row],[Actual]],Table61627481[Actual],0)</f>
        <v>20</v>
      </c>
      <c r="T94" s="490" t="s">
        <v>293</v>
      </c>
      <c r="U94" s="60">
        <v>5.9599999999999991</v>
      </c>
      <c r="V94" s="58">
        <f>_xlfn.RANK.AVG(Table61637582[[#This Row],[Proj]],Table61637582[Proj],0)</f>
        <v>84</v>
      </c>
      <c r="W94" s="60">
        <f>IFERROR(INDEX(DK_Last_Week_Results_Data[Actual Score],MATCH(Table61637582[[#This Row],[Name]],DK_Last_Week_Results_Data[Player],0)),"")</f>
        <v>0</v>
      </c>
      <c r="X94" s="58">
        <f>_xlfn.RANK.AVG(Table61637582[[#This Row],[Actual]],Table61637582[Actual],0)</f>
        <v>121</v>
      </c>
    </row>
    <row r="95" spans="2:30" x14ac:dyDescent="0.3">
      <c r="B95" s="489" t="s">
        <v>197</v>
      </c>
      <c r="C95" s="60">
        <v>13.69</v>
      </c>
      <c r="D95" s="58">
        <f>_xlfn.RANK.AVG(Table667986[[#This Row],[Proj]],Table667986[Proj],0)</f>
        <v>85</v>
      </c>
      <c r="E95" s="60">
        <f>IFERROR(INDEX(DK_Last_Week_Results_Data[Actual Score],MATCH(Table667986[[#This Row],[Name]],DK_Last_Week_Results_Data[Player],0)),"")</f>
        <v>4.0999999999999996</v>
      </c>
      <c r="F95" s="58">
        <f>_xlfn.RANK.AVG(Table667986[[#This Row],[Actual]],Table667986[Actual],0)</f>
        <v>165.5</v>
      </c>
      <c r="N95" s="490" t="s">
        <v>502</v>
      </c>
      <c r="O95" s="60">
        <v>1.2300000000000002</v>
      </c>
      <c r="P95" s="58">
        <f>_xlfn.RANK.AVG(Table61627481[[#This Row],[Proj]],Table61627481[Proj],0)</f>
        <v>85</v>
      </c>
      <c r="Q95" s="60">
        <f>IFERROR(INDEX(DK_Last_Week_Results_Data[Actual Score],MATCH(Table61627481[[#This Row],[Name]],DK_Last_Week_Results_Data[Player],0)),"")</f>
        <v>0</v>
      </c>
      <c r="R95" s="58">
        <f>_xlfn.RANK.AVG(Table61627481[[#This Row],[Actual]],Table61627481[Actual],0)</f>
        <v>83.5</v>
      </c>
      <c r="T95" s="490" t="s">
        <v>767</v>
      </c>
      <c r="U95" s="60">
        <v>5.6833333333333336</v>
      </c>
      <c r="V95" s="58">
        <f>_xlfn.RANK.AVG(Table61637582[[#This Row],[Proj]],Table61637582[Proj],0)</f>
        <v>85</v>
      </c>
      <c r="W95" s="60">
        <f>IFERROR(INDEX(DK_Last_Week_Results_Data[Actual Score],MATCH(Table61637582[[#This Row],[Name]],DK_Last_Week_Results_Data[Player],0)),"")</f>
        <v>0</v>
      </c>
      <c r="X95" s="58">
        <f>_xlfn.RANK.AVG(Table61637582[[#This Row],[Actual]],Table61637582[Actual],0)</f>
        <v>121</v>
      </c>
    </row>
    <row r="96" spans="2:30" x14ac:dyDescent="0.3">
      <c r="B96" s="489" t="s">
        <v>196</v>
      </c>
      <c r="C96" s="60">
        <v>13.636666666666668</v>
      </c>
      <c r="D96" s="58">
        <f>_xlfn.RANK.AVG(Table667986[[#This Row],[Proj]],Table667986[Proj],0)</f>
        <v>86</v>
      </c>
      <c r="E96" s="60">
        <f>IFERROR(INDEX(DK_Last_Week_Results_Data[Actual Score],MATCH(Table667986[[#This Row],[Name]],DK_Last_Week_Results_Data[Player],0)),"")</f>
        <v>0</v>
      </c>
      <c r="F96" s="58">
        <f>_xlfn.RANK.AVG(Table667986[[#This Row],[Actual]],Table667986[Actual],0)</f>
        <v>250</v>
      </c>
      <c r="N96" s="490" t="s">
        <v>165</v>
      </c>
      <c r="O96" s="60">
        <v>1.1000000000000001</v>
      </c>
      <c r="P96" s="58">
        <f>_xlfn.RANK.AVG(Table61627481[[#This Row],[Proj]],Table61627481[Proj],0)</f>
        <v>86</v>
      </c>
      <c r="Q96" s="60">
        <f>IFERROR(INDEX(DK_Last_Week_Results_Data[Actual Score],MATCH(Table61627481[[#This Row],[Name]],DK_Last_Week_Results_Data[Player],0)),"")</f>
        <v>0</v>
      </c>
      <c r="R96" s="58">
        <f>_xlfn.RANK.AVG(Table61627481[[#This Row],[Actual]],Table61627481[Actual],0)</f>
        <v>83.5</v>
      </c>
      <c r="T96" s="490" t="s">
        <v>462</v>
      </c>
      <c r="U96" s="60">
        <v>5.6066666666666665</v>
      </c>
      <c r="V96" s="58">
        <f>_xlfn.RANK.AVG(Table61637582[[#This Row],[Proj]],Table61637582[Proj],0)</f>
        <v>86</v>
      </c>
      <c r="W96" s="60">
        <f>IFERROR(INDEX(DK_Last_Week_Results_Data[Actual Score],MATCH(Table61637582[[#This Row],[Name]],DK_Last_Week_Results_Data[Player],0)),"")</f>
        <v>4.4000000000000004</v>
      </c>
      <c r="X96" s="58">
        <f>_xlfn.RANK.AVG(Table61637582[[#This Row],[Actual]],Table61637582[Actual],0)</f>
        <v>76.5</v>
      </c>
    </row>
    <row r="97" spans="2:24" x14ac:dyDescent="0.3">
      <c r="B97" s="489" t="s">
        <v>47</v>
      </c>
      <c r="C97" s="60">
        <v>13.378187499999997</v>
      </c>
      <c r="D97" s="58">
        <f>_xlfn.RANK.AVG(Table667986[[#This Row],[Proj]],Table667986[Proj],0)</f>
        <v>87</v>
      </c>
      <c r="E97" s="60">
        <f>IFERROR(INDEX(DK_Last_Week_Results_Data[Actual Score],MATCH(Table667986[[#This Row],[Name]],DK_Last_Week_Results_Data[Player],0)),"")</f>
        <v>5.96</v>
      </c>
      <c r="F97" s="58">
        <f>_xlfn.RANK.AVG(Table667986[[#This Row],[Actual]],Table667986[Actual],0)</f>
        <v>142</v>
      </c>
      <c r="N97" s="490" t="s">
        <v>158</v>
      </c>
      <c r="O97" s="60">
        <v>1.06</v>
      </c>
      <c r="P97" s="58">
        <f>_xlfn.RANK.AVG(Table61627481[[#This Row],[Proj]],Table61627481[Proj],0)</f>
        <v>87</v>
      </c>
      <c r="Q97" s="60">
        <f>IFERROR(INDEX(DK_Last_Week_Results_Data[Actual Score],MATCH(Table61627481[[#This Row],[Name]],DK_Last_Week_Results_Data[Player],0)),"")</f>
        <v>0</v>
      </c>
      <c r="R97" s="58">
        <f>_xlfn.RANK.AVG(Table61627481[[#This Row],[Actual]],Table61627481[Actual],0)</f>
        <v>83.5</v>
      </c>
      <c r="T97" s="490" t="s">
        <v>315</v>
      </c>
      <c r="U97" s="60">
        <v>5.45</v>
      </c>
      <c r="V97" s="58">
        <f>_xlfn.RANK.AVG(Table61637582[[#This Row],[Proj]],Table61637582[Proj],0)</f>
        <v>87</v>
      </c>
      <c r="W97" s="60">
        <f>IFERROR(INDEX(DK_Last_Week_Results_Data[Actual Score],MATCH(Table61637582[[#This Row],[Name]],DK_Last_Week_Results_Data[Player],0)),"")</f>
        <v>8</v>
      </c>
      <c r="X97" s="58">
        <f>_xlfn.RANK.AVG(Table61637582[[#This Row],[Actual]],Table61637582[Actual],0)</f>
        <v>49</v>
      </c>
    </row>
    <row r="98" spans="2:24" x14ac:dyDescent="0.3">
      <c r="B98" s="489" t="s">
        <v>129</v>
      </c>
      <c r="C98" s="60">
        <v>13.353333333333332</v>
      </c>
      <c r="D98" s="58">
        <f>_xlfn.RANK.AVG(Table667986[[#This Row],[Proj]],Table667986[Proj],0)</f>
        <v>88</v>
      </c>
      <c r="E98" s="60">
        <f>IFERROR(INDEX(DK_Last_Week_Results_Data[Actual Score],MATCH(Table667986[[#This Row],[Name]],DK_Last_Week_Results_Data[Player],0)),"")</f>
        <v>11.8</v>
      </c>
      <c r="F98" s="58">
        <f>_xlfn.RANK.AVG(Table667986[[#This Row],[Actual]],Table667986[Actual],0)</f>
        <v>79.5</v>
      </c>
      <c r="N98" s="490" t="s">
        <v>176</v>
      </c>
      <c r="O98" s="60">
        <v>0.97000000000000008</v>
      </c>
      <c r="P98" s="58">
        <f>_xlfn.RANK.AVG(Table61627481[[#This Row],[Proj]],Table61627481[Proj],0)</f>
        <v>88</v>
      </c>
      <c r="Q98" s="60">
        <f>IFERROR(INDEX(DK_Last_Week_Results_Data[Actual Score],MATCH(Table61627481[[#This Row],[Name]],DK_Last_Week_Results_Data[Player],0)),"")</f>
        <v>0</v>
      </c>
      <c r="R98" s="58">
        <f>_xlfn.RANK.AVG(Table61627481[[#This Row],[Actual]],Table61627481[Actual],0)</f>
        <v>83.5</v>
      </c>
      <c r="T98" s="490" t="s">
        <v>1350</v>
      </c>
      <c r="U98" s="60">
        <v>5.24</v>
      </c>
      <c r="V98" s="58">
        <f>_xlfn.RANK.AVG(Table61637582[[#This Row],[Proj]],Table61637582[Proj],0)</f>
        <v>88</v>
      </c>
      <c r="W98" s="60">
        <f>IFERROR(INDEX(DK_Last_Week_Results_Data[Actual Score],MATCH(Table61637582[[#This Row],[Name]],DK_Last_Week_Results_Data[Player],0)),"")</f>
        <v>9.6999999999999993</v>
      </c>
      <c r="X98" s="58">
        <f>_xlfn.RANK.AVG(Table61637582[[#This Row],[Actual]],Table61637582[Actual],0)</f>
        <v>44</v>
      </c>
    </row>
    <row r="99" spans="2:24" x14ac:dyDescent="0.3">
      <c r="B99" s="489" t="s">
        <v>110</v>
      </c>
      <c r="C99" s="60">
        <v>13.303333333333333</v>
      </c>
      <c r="D99" s="58">
        <f>_xlfn.RANK.AVG(Table667986[[#This Row],[Proj]],Table667986[Proj],0)</f>
        <v>89</v>
      </c>
      <c r="E99" s="60">
        <f>IFERROR(INDEX(DK_Last_Week_Results_Data[Actual Score],MATCH(Table667986[[#This Row],[Name]],DK_Last_Week_Results_Data[Player],0)),"")</f>
        <v>0</v>
      </c>
      <c r="F99" s="58">
        <f>_xlfn.RANK.AVG(Table667986[[#This Row],[Actual]],Table667986[Actual],0)</f>
        <v>250</v>
      </c>
      <c r="N99" s="490" t="s">
        <v>515</v>
      </c>
      <c r="O99" s="60">
        <v>0.97</v>
      </c>
      <c r="P99" s="58">
        <f>_xlfn.RANK.AVG(Table61627481[[#This Row],[Proj]],Table61627481[Proj],0)</f>
        <v>89</v>
      </c>
      <c r="Q99" s="60">
        <f>IFERROR(INDEX(DK_Last_Week_Results_Data[Actual Score],MATCH(Table61627481[[#This Row],[Name]],DK_Last_Week_Results_Data[Player],0)),"")</f>
        <v>0</v>
      </c>
      <c r="R99" s="58">
        <f>_xlfn.RANK.AVG(Table61627481[[#This Row],[Actual]],Table61627481[Actual],0)</f>
        <v>83.5</v>
      </c>
      <c r="T99" s="490" t="s">
        <v>257</v>
      </c>
      <c r="U99" s="60">
        <v>4.8233333333333333</v>
      </c>
      <c r="V99" s="58">
        <f>_xlfn.RANK.AVG(Table61637582[[#This Row],[Proj]],Table61637582[Proj],0)</f>
        <v>89</v>
      </c>
      <c r="W99" s="60">
        <f>IFERROR(INDEX(DK_Last_Week_Results_Data[Actual Score],MATCH(Table61637582[[#This Row],[Name]],DK_Last_Week_Results_Data[Player],0)),"")</f>
        <v>3.5</v>
      </c>
      <c r="X99" s="58">
        <f>_xlfn.RANK.AVG(Table61637582[[#This Row],[Actual]],Table61637582[Actual],0)</f>
        <v>84</v>
      </c>
    </row>
    <row r="100" spans="2:24" x14ac:dyDescent="0.3">
      <c r="B100" s="489" t="s">
        <v>213</v>
      </c>
      <c r="C100" s="60">
        <v>13.07</v>
      </c>
      <c r="D100" s="58">
        <f>_xlfn.RANK.AVG(Table667986[[#This Row],[Proj]],Table667986[Proj],0)</f>
        <v>90</v>
      </c>
      <c r="E100" s="60">
        <f>IFERROR(INDEX(DK_Last_Week_Results_Data[Actual Score],MATCH(Table667986[[#This Row],[Name]],DK_Last_Week_Results_Data[Player],0)),"")</f>
        <v>34.4</v>
      </c>
      <c r="F100" s="58">
        <f>_xlfn.RANK.AVG(Table667986[[#This Row],[Actual]],Table667986[Actual],0)</f>
        <v>5</v>
      </c>
      <c r="N100" s="490" t="s">
        <v>174</v>
      </c>
      <c r="O100" s="60">
        <v>0.91</v>
      </c>
      <c r="P100" s="58">
        <f>_xlfn.RANK.AVG(Table61627481[[#This Row],[Proj]],Table61627481[Proj],0)</f>
        <v>90</v>
      </c>
      <c r="Q100" s="60">
        <f>IFERROR(INDEX(DK_Last_Week_Results_Data[Actual Score],MATCH(Table61627481[[#This Row],[Name]],DK_Last_Week_Results_Data[Player],0)),"")</f>
        <v>0</v>
      </c>
      <c r="R100" s="58">
        <f>_xlfn.RANK.AVG(Table61627481[[#This Row],[Actual]],Table61627481[Actual],0)</f>
        <v>83.5</v>
      </c>
      <c r="T100" s="490" t="s">
        <v>291</v>
      </c>
      <c r="U100" s="60">
        <v>4.8100000000000005</v>
      </c>
      <c r="V100" s="58">
        <f>_xlfn.RANK.AVG(Table61637582[[#This Row],[Proj]],Table61637582[Proj],0)</f>
        <v>90</v>
      </c>
      <c r="W100" s="60">
        <f>IFERROR(INDEX(DK_Last_Week_Results_Data[Actual Score],MATCH(Table61637582[[#This Row],[Name]],DK_Last_Week_Results_Data[Player],0)),"")</f>
        <v>7.9</v>
      </c>
      <c r="X100" s="58">
        <f>_xlfn.RANK.AVG(Table61637582[[#This Row],[Actual]],Table61637582[Actual],0)</f>
        <v>51</v>
      </c>
    </row>
    <row r="101" spans="2:24" x14ac:dyDescent="0.3">
      <c r="B101" s="489" t="s">
        <v>430</v>
      </c>
      <c r="C101" s="60">
        <v>12.93</v>
      </c>
      <c r="D101" s="58">
        <f>_xlfn.RANK.AVG(Table667986[[#This Row],[Proj]],Table667986[Proj],0)</f>
        <v>91</v>
      </c>
      <c r="E101" s="60">
        <f>IFERROR(INDEX(DK_Last_Week_Results_Data[Actual Score],MATCH(Table667986[[#This Row],[Name]],DK_Last_Week_Results_Data[Player],0)),"")</f>
        <v>0</v>
      </c>
      <c r="F101" s="58">
        <f>_xlfn.RANK.AVG(Table667986[[#This Row],[Actual]],Table667986[Actual],0)</f>
        <v>250</v>
      </c>
      <c r="N101" s="490" t="s">
        <v>499</v>
      </c>
      <c r="O101" s="60">
        <v>0.90999999999999992</v>
      </c>
      <c r="P101" s="58">
        <f>_xlfn.RANK.AVG(Table61627481[[#This Row],[Proj]],Table61627481[Proj],0)</f>
        <v>91</v>
      </c>
      <c r="Q101" s="60">
        <f>IFERROR(INDEX(DK_Last_Week_Results_Data[Actual Score],MATCH(Table61627481[[#This Row],[Name]],DK_Last_Week_Results_Data[Player],0)),"")</f>
        <v>0</v>
      </c>
      <c r="R101" s="58">
        <f>_xlfn.RANK.AVG(Table61627481[[#This Row],[Actual]],Table61627481[Actual],0)</f>
        <v>83.5</v>
      </c>
      <c r="T101" s="490" t="s">
        <v>292</v>
      </c>
      <c r="U101" s="60">
        <v>4.79</v>
      </c>
      <c r="V101" s="58">
        <f>_xlfn.RANK.AVG(Table61637582[[#This Row],[Proj]],Table61637582[Proj],0)</f>
        <v>91</v>
      </c>
      <c r="W101" s="60">
        <f>IFERROR(INDEX(DK_Last_Week_Results_Data[Actual Score],MATCH(Table61637582[[#This Row],[Name]],DK_Last_Week_Results_Data[Player],0)),"")</f>
        <v>5.9</v>
      </c>
      <c r="X101" s="58">
        <f>_xlfn.RANK.AVG(Table61637582[[#This Row],[Actual]],Table61637582[Actual],0)</f>
        <v>66</v>
      </c>
    </row>
    <row r="102" spans="2:24" x14ac:dyDescent="0.3">
      <c r="B102" s="489" t="s">
        <v>223</v>
      </c>
      <c r="C102" s="60">
        <v>12.833333333333336</v>
      </c>
      <c r="D102" s="58">
        <f>_xlfn.RANK.AVG(Table667986[[#This Row],[Proj]],Table667986[Proj],0)</f>
        <v>92</v>
      </c>
      <c r="E102" s="60">
        <f>IFERROR(INDEX(DK_Last_Week_Results_Data[Actual Score],MATCH(Table667986[[#This Row],[Name]],DK_Last_Week_Results_Data[Player],0)),"")</f>
        <v>0</v>
      </c>
      <c r="F102" s="58">
        <f>_xlfn.RANK.AVG(Table667986[[#This Row],[Actual]],Table667986[Actual],0)</f>
        <v>250</v>
      </c>
      <c r="N102" s="490" t="s">
        <v>513</v>
      </c>
      <c r="O102" s="60">
        <v>0.83000000000000007</v>
      </c>
      <c r="P102" s="58">
        <f>_xlfn.RANK.AVG(Table61627481[[#This Row],[Proj]],Table61627481[Proj],0)</f>
        <v>92</v>
      </c>
      <c r="Q102" s="60">
        <f>IFERROR(INDEX(DK_Last_Week_Results_Data[Actual Score],MATCH(Table61627481[[#This Row],[Name]],DK_Last_Week_Results_Data[Player],0)),"")</f>
        <v>0.2</v>
      </c>
      <c r="R102" s="58">
        <f>_xlfn.RANK.AVG(Table61627481[[#This Row],[Actual]],Table61627481[Actual],0)</f>
        <v>67</v>
      </c>
      <c r="T102" s="490" t="s">
        <v>469</v>
      </c>
      <c r="U102" s="60">
        <v>4.7766666666666664</v>
      </c>
      <c r="V102" s="58">
        <f>_xlfn.RANK.AVG(Table61637582[[#This Row],[Proj]],Table61637582[Proj],0)</f>
        <v>92</v>
      </c>
      <c r="W102" s="60">
        <f>IFERROR(INDEX(DK_Last_Week_Results_Data[Actual Score],MATCH(Table61637582[[#This Row],[Name]],DK_Last_Week_Results_Data[Player],0)),"")</f>
        <v>0</v>
      </c>
      <c r="X102" s="58">
        <f>_xlfn.RANK.AVG(Table61637582[[#This Row],[Actual]],Table61637582[Actual],0)</f>
        <v>121</v>
      </c>
    </row>
    <row r="103" spans="2:24" x14ac:dyDescent="0.3">
      <c r="B103" s="489" t="s">
        <v>218</v>
      </c>
      <c r="C103" s="60">
        <v>12.77</v>
      </c>
      <c r="D103" s="58">
        <f>_xlfn.RANK.AVG(Table667986[[#This Row],[Proj]],Table667986[Proj],0)</f>
        <v>93</v>
      </c>
      <c r="E103" s="60">
        <f>IFERROR(INDEX(DK_Last_Week_Results_Data[Actual Score],MATCH(Table667986[[#This Row],[Name]],DK_Last_Week_Results_Data[Player],0)),"")</f>
        <v>8</v>
      </c>
      <c r="F103" s="58">
        <f>_xlfn.RANK.AVG(Table667986[[#This Row],[Actual]],Table667986[Actual],0)</f>
        <v>114</v>
      </c>
      <c r="N103" s="490" t="s">
        <v>494</v>
      </c>
      <c r="O103" s="60">
        <v>0.74</v>
      </c>
      <c r="P103" s="58">
        <f>_xlfn.RANK.AVG(Table61627481[[#This Row],[Proj]],Table61627481[Proj],0)</f>
        <v>93</v>
      </c>
      <c r="Q103" s="60">
        <f>IFERROR(INDEX(DK_Last_Week_Results_Data[Actual Score],MATCH(Table61627481[[#This Row],[Name]],DK_Last_Week_Results_Data[Player],0)),"")</f>
        <v>0</v>
      </c>
      <c r="R103" s="58">
        <f>_xlfn.RANK.AVG(Table61627481[[#This Row],[Actual]],Table61627481[Actual],0)</f>
        <v>83.5</v>
      </c>
      <c r="T103" s="490" t="s">
        <v>284</v>
      </c>
      <c r="U103" s="60">
        <v>4.76</v>
      </c>
      <c r="V103" s="58">
        <f>_xlfn.RANK.AVG(Table61637582[[#This Row],[Proj]],Table61637582[Proj],0)</f>
        <v>93</v>
      </c>
      <c r="W103" s="60">
        <f>IFERROR(INDEX(DK_Last_Week_Results_Data[Actual Score],MATCH(Table61637582[[#This Row],[Name]],DK_Last_Week_Results_Data[Player],0)),"")</f>
        <v>10.6</v>
      </c>
      <c r="X103" s="58">
        <f>_xlfn.RANK.AVG(Table61637582[[#This Row],[Actual]],Table61637582[Actual],0)</f>
        <v>38</v>
      </c>
    </row>
    <row r="104" spans="2:24" x14ac:dyDescent="0.3">
      <c r="B104" s="489" t="s">
        <v>202</v>
      </c>
      <c r="C104" s="60">
        <v>12.713333333333335</v>
      </c>
      <c r="D104" s="58">
        <f>_xlfn.RANK.AVG(Table667986[[#This Row],[Proj]],Table667986[Proj],0)</f>
        <v>94</v>
      </c>
      <c r="E104" s="60">
        <f>IFERROR(INDEX(DK_Last_Week_Results_Data[Actual Score],MATCH(Table667986[[#This Row],[Name]],DK_Last_Week_Results_Data[Player],0)),"")</f>
        <v>8</v>
      </c>
      <c r="F104" s="58">
        <f>_xlfn.RANK.AVG(Table667986[[#This Row],[Actual]],Table667986[Actual],0)</f>
        <v>114</v>
      </c>
      <c r="N104" s="490" t="s">
        <v>186</v>
      </c>
      <c r="O104" s="60">
        <v>0.7</v>
      </c>
      <c r="P104" s="58">
        <f>_xlfn.RANK.AVG(Table61627481[[#This Row],[Proj]],Table61627481[Proj],0)</f>
        <v>94</v>
      </c>
      <c r="Q104" s="60">
        <f>IFERROR(INDEX(DK_Last_Week_Results_Data[Actual Score],MATCH(Table61627481[[#This Row],[Name]],DK_Last_Week_Results_Data[Player],0)),"")</f>
        <v>1.7</v>
      </c>
      <c r="R104" s="58">
        <f>_xlfn.RANK.AVG(Table61627481[[#This Row],[Actual]],Table61627481[Actual],0)</f>
        <v>64</v>
      </c>
      <c r="T104" s="490" t="s">
        <v>245</v>
      </c>
      <c r="U104" s="60">
        <v>4.7300000000000004</v>
      </c>
      <c r="V104" s="58">
        <f>_xlfn.RANK.AVG(Table61637582[[#This Row],[Proj]],Table61637582[Proj],0)</f>
        <v>94</v>
      </c>
      <c r="W104" s="60">
        <f>IFERROR(INDEX(DK_Last_Week_Results_Data[Actual Score],MATCH(Table61637582[[#This Row],[Name]],DK_Last_Week_Results_Data[Player],0)),"")</f>
        <v>10.7</v>
      </c>
      <c r="X104" s="58">
        <f>_xlfn.RANK.AVG(Table61637582[[#This Row],[Actual]],Table61637582[Actual],0)</f>
        <v>37</v>
      </c>
    </row>
    <row r="105" spans="2:24" x14ac:dyDescent="0.3">
      <c r="B105" s="489" t="s">
        <v>113</v>
      </c>
      <c r="C105" s="60">
        <v>12.556666666666667</v>
      </c>
      <c r="D105" s="58">
        <f>_xlfn.RANK.AVG(Table667986[[#This Row],[Proj]],Table667986[Proj],0)</f>
        <v>95</v>
      </c>
      <c r="E105" s="60">
        <f>IFERROR(INDEX(DK_Last_Week_Results_Data[Actual Score],MATCH(Table667986[[#This Row],[Name]],DK_Last_Week_Results_Data[Player],0)),"")</f>
        <v>9.4</v>
      </c>
      <c r="F105" s="58">
        <f>_xlfn.RANK.AVG(Table667986[[#This Row],[Actual]],Table667986[Actual],0)</f>
        <v>101.5</v>
      </c>
      <c r="N105" s="490" t="s">
        <v>142</v>
      </c>
      <c r="O105" s="60">
        <v>0.60499999999999998</v>
      </c>
      <c r="P105" s="58">
        <f>_xlfn.RANK.AVG(Table61627481[[#This Row],[Proj]],Table61627481[Proj],0)</f>
        <v>95</v>
      </c>
      <c r="Q105" s="60">
        <f>IFERROR(INDEX(DK_Last_Week_Results_Data[Actual Score],MATCH(Table61627481[[#This Row],[Name]],DK_Last_Week_Results_Data[Player],0)),"")</f>
        <v>5.9</v>
      </c>
      <c r="R105" s="58">
        <f>_xlfn.RANK.AVG(Table61627481[[#This Row],[Actual]],Table61627481[Actual],0)</f>
        <v>48</v>
      </c>
      <c r="T105" s="490" t="s">
        <v>247</v>
      </c>
      <c r="U105" s="60">
        <v>4.6433333333333335</v>
      </c>
      <c r="V105" s="58">
        <f>_xlfn.RANK.AVG(Table61637582[[#This Row],[Proj]],Table61637582[Proj],0)</f>
        <v>95</v>
      </c>
      <c r="W105" s="60">
        <f>IFERROR(INDEX(DK_Last_Week_Results_Data[Actual Score],MATCH(Table61637582[[#This Row],[Name]],DK_Last_Week_Results_Data[Player],0)),"")</f>
        <v>6.3</v>
      </c>
      <c r="X105" s="58">
        <f>_xlfn.RANK.AVG(Table61637582[[#This Row],[Actual]],Table61637582[Actual],0)</f>
        <v>61</v>
      </c>
    </row>
    <row r="106" spans="2:24" x14ac:dyDescent="0.3">
      <c r="B106" s="489" t="s">
        <v>87</v>
      </c>
      <c r="C106" s="60">
        <v>12.540000000000001</v>
      </c>
      <c r="D106" s="58">
        <f>_xlfn.RANK.AVG(Table667986[[#This Row],[Proj]],Table667986[Proj],0)</f>
        <v>96</v>
      </c>
      <c r="E106" s="60">
        <f>IFERROR(INDEX(DK_Last_Week_Results_Data[Actual Score],MATCH(Table667986[[#This Row],[Name]],DK_Last_Week_Results_Data[Player],0)),"")</f>
        <v>15.3</v>
      </c>
      <c r="F106" s="58">
        <f>_xlfn.RANK.AVG(Table667986[[#This Row],[Actual]],Table667986[Actual],0)</f>
        <v>53</v>
      </c>
      <c r="N106" s="490" t="s">
        <v>172</v>
      </c>
      <c r="O106" s="60">
        <v>0.55000000000000004</v>
      </c>
      <c r="P106" s="58">
        <f>_xlfn.RANK.AVG(Table61627481[[#This Row],[Proj]],Table61627481[Proj],0)</f>
        <v>96</v>
      </c>
      <c r="Q106" s="60">
        <f>IFERROR(INDEX(DK_Last_Week_Results_Data[Actual Score],MATCH(Table61627481[[#This Row],[Name]],DK_Last_Week_Results_Data[Player],0)),"")</f>
        <v>0</v>
      </c>
      <c r="R106" s="58">
        <f>_xlfn.RANK.AVG(Table61627481[[#This Row],[Actual]],Table61627481[Actual],0)</f>
        <v>83.5</v>
      </c>
      <c r="T106" s="490" t="s">
        <v>250</v>
      </c>
      <c r="U106" s="60">
        <v>4.2</v>
      </c>
      <c r="V106" s="58">
        <f>_xlfn.RANK.AVG(Table61637582[[#This Row],[Proj]],Table61637582[Proj],0)</f>
        <v>96</v>
      </c>
      <c r="W106" s="60">
        <f>IFERROR(INDEX(DK_Last_Week_Results_Data[Actual Score],MATCH(Table61637582[[#This Row],[Name]],DK_Last_Week_Results_Data[Player],0)),"")</f>
        <v>4</v>
      </c>
      <c r="X106" s="58">
        <f>_xlfn.RANK.AVG(Table61637582[[#This Row],[Actual]],Table61637582[Actual],0)</f>
        <v>81</v>
      </c>
    </row>
    <row r="107" spans="2:24" x14ac:dyDescent="0.3">
      <c r="B107" s="489" t="s">
        <v>519</v>
      </c>
      <c r="C107" s="60">
        <v>12.416666666666668</v>
      </c>
      <c r="D107" s="58">
        <f>_xlfn.RANK.AVG(Table667986[[#This Row],[Proj]],Table667986[Proj],0)</f>
        <v>97</v>
      </c>
      <c r="E107" s="60">
        <f>IFERROR(INDEX(DK_Last_Week_Results_Data[Actual Score],MATCH(Table667986[[#This Row],[Name]],DK_Last_Week_Results_Data[Player],0)),"")</f>
        <v>7.8</v>
      </c>
      <c r="F107" s="58">
        <f>_xlfn.RANK.AVG(Table667986[[#This Row],[Actual]],Table667986[Actual],0)</f>
        <v>118</v>
      </c>
      <c r="N107" s="490" t="s">
        <v>163</v>
      </c>
      <c r="O107" s="60">
        <v>0.49</v>
      </c>
      <c r="P107" s="58">
        <f>_xlfn.RANK.AVG(Table61627481[[#This Row],[Proj]],Table61627481[Proj],0)</f>
        <v>97</v>
      </c>
      <c r="Q107" s="60">
        <f>IFERROR(INDEX(DK_Last_Week_Results_Data[Actual Score],MATCH(Table61627481[[#This Row],[Name]],DK_Last_Week_Results_Data[Player],0)),"")</f>
        <v>0</v>
      </c>
      <c r="R107" s="58">
        <f>_xlfn.RANK.AVG(Table61627481[[#This Row],[Actual]],Table61627481[Actual],0)</f>
        <v>83.5</v>
      </c>
      <c r="T107" s="490" t="s">
        <v>251</v>
      </c>
      <c r="U107" s="60">
        <v>4.1933333333333334</v>
      </c>
      <c r="V107" s="58">
        <f>_xlfn.RANK.AVG(Table61637582[[#This Row],[Proj]],Table61637582[Proj],0)</f>
        <v>97</v>
      </c>
      <c r="W107" s="60">
        <f>IFERROR(INDEX(DK_Last_Week_Results_Data[Actual Score],MATCH(Table61637582[[#This Row],[Name]],DK_Last_Week_Results_Data[Player],0)),"")</f>
        <v>0</v>
      </c>
      <c r="X107" s="58">
        <f>_xlfn.RANK.AVG(Table61637582[[#This Row],[Actual]],Table61637582[Actual],0)</f>
        <v>121</v>
      </c>
    </row>
    <row r="108" spans="2:24" x14ac:dyDescent="0.3">
      <c r="B108" s="489" t="s">
        <v>66</v>
      </c>
      <c r="C108" s="60">
        <v>12.344749999999999</v>
      </c>
      <c r="D108" s="58">
        <f>_xlfn.RANK.AVG(Table667986[[#This Row],[Proj]],Table667986[Proj],0)</f>
        <v>98</v>
      </c>
      <c r="E108" s="60">
        <f>IFERROR(INDEX(DK_Last_Week_Results_Data[Actual Score],MATCH(Table667986[[#This Row],[Name]],DK_Last_Week_Results_Data[Player],0)),"")</f>
        <v>0</v>
      </c>
      <c r="F108" s="58">
        <f>_xlfn.RANK.AVG(Table667986[[#This Row],[Actual]],Table667986[Actual],0)</f>
        <v>250</v>
      </c>
      <c r="N108" s="490" t="s">
        <v>472</v>
      </c>
      <c r="O108" s="60">
        <v>0.43</v>
      </c>
      <c r="P108" s="58">
        <f>_xlfn.RANK.AVG(Table61627481[[#This Row],[Proj]],Table61627481[Proj],0)</f>
        <v>98.5</v>
      </c>
      <c r="Q108" s="60">
        <f>IFERROR(INDEX(DK_Last_Week_Results_Data[Actual Score],MATCH(Table61627481[[#This Row],[Name]],DK_Last_Week_Results_Data[Player],0)),"")</f>
        <v>5.0999999999999996</v>
      </c>
      <c r="R108" s="58">
        <f>_xlfn.RANK.AVG(Table61627481[[#This Row],[Actual]],Table61627481[Actual],0)</f>
        <v>49.5</v>
      </c>
      <c r="T108" s="490" t="s">
        <v>765</v>
      </c>
      <c r="U108" s="60">
        <v>4.17</v>
      </c>
      <c r="V108" s="58">
        <f>_xlfn.RANK.AVG(Table61637582[[#This Row],[Proj]],Table61637582[Proj],0)</f>
        <v>98</v>
      </c>
      <c r="W108" s="60">
        <f>IFERROR(INDEX(DK_Last_Week_Results_Data[Actual Score],MATCH(Table61637582[[#This Row],[Name]],DK_Last_Week_Results_Data[Player],0)),"")</f>
        <v>0</v>
      </c>
      <c r="X108" s="58">
        <f>_xlfn.RANK.AVG(Table61637582[[#This Row],[Actual]],Table61637582[Actual],0)</f>
        <v>121</v>
      </c>
    </row>
    <row r="109" spans="2:24" x14ac:dyDescent="0.3">
      <c r="B109" s="489" t="s">
        <v>119</v>
      </c>
      <c r="C109" s="60">
        <v>12.256666666666668</v>
      </c>
      <c r="D109" s="58">
        <f>_xlfn.RANK.AVG(Table667986[[#This Row],[Proj]],Table667986[Proj],0)</f>
        <v>99</v>
      </c>
      <c r="E109" s="60">
        <f>IFERROR(INDEX(DK_Last_Week_Results_Data[Actual Score],MATCH(Table667986[[#This Row],[Name]],DK_Last_Week_Results_Data[Player],0)),"")</f>
        <v>17.8</v>
      </c>
      <c r="F109" s="58">
        <f>_xlfn.RANK.AVG(Table667986[[#This Row],[Actual]],Table667986[Actual],0)</f>
        <v>46.5</v>
      </c>
      <c r="N109" s="490" t="s">
        <v>175</v>
      </c>
      <c r="O109" s="60">
        <v>0.43</v>
      </c>
      <c r="P109" s="58">
        <f>_xlfn.RANK.AVG(Table61627481[[#This Row],[Proj]],Table61627481[Proj],0)</f>
        <v>98.5</v>
      </c>
      <c r="Q109" s="60">
        <f>IFERROR(INDEX(DK_Last_Week_Results_Data[Actual Score],MATCH(Table61627481[[#This Row],[Name]],DK_Last_Week_Results_Data[Player],0)),"")</f>
        <v>0</v>
      </c>
      <c r="R109" s="58">
        <f>_xlfn.RANK.AVG(Table61627481[[#This Row],[Actual]],Table61627481[Actual],0)</f>
        <v>83.5</v>
      </c>
      <c r="T109" s="490" t="s">
        <v>490</v>
      </c>
      <c r="U109" s="60">
        <v>4.1033333333333335</v>
      </c>
      <c r="V109" s="58">
        <f>_xlfn.RANK.AVG(Table61637582[[#This Row],[Proj]],Table61637582[Proj],0)</f>
        <v>99</v>
      </c>
      <c r="W109" s="60">
        <f>IFERROR(INDEX(DK_Last_Week_Results_Data[Actual Score],MATCH(Table61637582[[#This Row],[Name]],DK_Last_Week_Results_Data[Player],0)),"")</f>
        <v>0</v>
      </c>
      <c r="X109" s="58">
        <f>_xlfn.RANK.AVG(Table61637582[[#This Row],[Actual]],Table61637582[Actual],0)</f>
        <v>121</v>
      </c>
    </row>
    <row r="110" spans="2:24" x14ac:dyDescent="0.3">
      <c r="B110" s="489" t="s">
        <v>454</v>
      </c>
      <c r="C110" s="60">
        <v>12.186666666666667</v>
      </c>
      <c r="D110" s="58">
        <f>_xlfn.RANK.AVG(Table667986[[#This Row],[Proj]],Table667986[Proj],0)</f>
        <v>100</v>
      </c>
      <c r="E110" s="60">
        <f>IFERROR(INDEX(DK_Last_Week_Results_Data[Actual Score],MATCH(Table667986[[#This Row],[Name]],DK_Last_Week_Results_Data[Player],0)),"")</f>
        <v>18.3</v>
      </c>
      <c r="F110" s="58">
        <f>_xlfn.RANK.AVG(Table667986[[#This Row],[Actual]],Table667986[Actual],0)</f>
        <v>44</v>
      </c>
      <c r="N110" s="490" t="s">
        <v>541</v>
      </c>
      <c r="O110" s="60">
        <v>0.4</v>
      </c>
      <c r="P110" s="58">
        <f>_xlfn.RANK.AVG(Table61627481[[#This Row],[Proj]],Table61627481[Proj],0)</f>
        <v>100</v>
      </c>
      <c r="Q110" s="60">
        <f>IFERROR(INDEX(DK_Last_Week_Results_Data[Actual Score],MATCH(Table61627481[[#This Row],[Name]],DK_Last_Week_Results_Data[Player],0)),"")</f>
        <v>0</v>
      </c>
      <c r="R110" s="58">
        <f>_xlfn.RANK.AVG(Table61627481[[#This Row],[Actual]],Table61627481[Actual],0)</f>
        <v>83.5</v>
      </c>
      <c r="T110" s="490" t="s">
        <v>248</v>
      </c>
      <c r="U110" s="60">
        <v>3.95</v>
      </c>
      <c r="V110" s="58">
        <f>_xlfn.RANK.AVG(Table61637582[[#This Row],[Proj]],Table61637582[Proj],0)</f>
        <v>100</v>
      </c>
      <c r="W110" s="60">
        <f>IFERROR(INDEX(DK_Last_Week_Results_Data[Actual Score],MATCH(Table61637582[[#This Row],[Name]],DK_Last_Week_Results_Data[Player],0)),"")</f>
        <v>0</v>
      </c>
      <c r="X110" s="58">
        <f>_xlfn.RANK.AVG(Table61637582[[#This Row],[Actual]],Table61637582[Actual],0)</f>
        <v>121</v>
      </c>
    </row>
    <row r="111" spans="2:24" x14ac:dyDescent="0.3">
      <c r="B111" s="489" t="s">
        <v>120</v>
      </c>
      <c r="C111" s="60">
        <v>12.126666666666667</v>
      </c>
      <c r="D111" s="58">
        <f>_xlfn.RANK.AVG(Table667986[[#This Row],[Proj]],Table667986[Proj],0)</f>
        <v>101</v>
      </c>
      <c r="E111" s="60">
        <f>IFERROR(INDEX(DK_Last_Week_Results_Data[Actual Score],MATCH(Table667986[[#This Row],[Name]],DK_Last_Week_Results_Data[Player],0)),"")</f>
        <v>13.1</v>
      </c>
      <c r="F111" s="58">
        <f>_xlfn.RANK.AVG(Table667986[[#This Row],[Actual]],Table667986[Actual],0)</f>
        <v>68</v>
      </c>
      <c r="N111" s="490" t="s">
        <v>178</v>
      </c>
      <c r="O111" s="60">
        <v>0.11000000000000001</v>
      </c>
      <c r="P111" s="58">
        <f>_xlfn.RANK.AVG(Table61627481[[#This Row],[Proj]],Table61627481[Proj],0)</f>
        <v>101.5</v>
      </c>
      <c r="Q111" s="60">
        <f>IFERROR(INDEX(DK_Last_Week_Results_Data[Actual Score],MATCH(Table61627481[[#This Row],[Name]],DK_Last_Week_Results_Data[Player],0)),"")</f>
        <v>0</v>
      </c>
      <c r="R111" s="58">
        <f>_xlfn.RANK.AVG(Table61627481[[#This Row],[Actual]],Table61627481[Actual],0)</f>
        <v>83.5</v>
      </c>
      <c r="T111" s="490" t="s">
        <v>246</v>
      </c>
      <c r="U111" s="60">
        <v>3.74</v>
      </c>
      <c r="V111" s="58">
        <f>_xlfn.RANK.AVG(Table61637582[[#This Row],[Proj]],Table61637582[Proj],0)</f>
        <v>101</v>
      </c>
      <c r="W111" s="60" t="str">
        <f>IFERROR(INDEX(DK_Last_Week_Results_Data[Actual Score],MATCH(Table61637582[[#This Row],[Name]],DK_Last_Week_Results_Data[Player],0)),"")</f>
        <v/>
      </c>
      <c r="X111" s="58" t="e">
        <f>_xlfn.RANK.AVG(Table61637582[[#This Row],[Actual]],Table61637582[Actual],0)</f>
        <v>#VALUE!</v>
      </c>
    </row>
    <row r="112" spans="2:24" x14ac:dyDescent="0.3">
      <c r="B112" s="489" t="s">
        <v>63</v>
      </c>
      <c r="C112" s="60">
        <v>11.935937499999998</v>
      </c>
      <c r="D112" s="58">
        <f>_xlfn.RANK.AVG(Table667986[[#This Row],[Proj]],Table667986[Proj],0)</f>
        <v>102</v>
      </c>
      <c r="E112" s="60">
        <f>IFERROR(INDEX(DK_Last_Week_Results_Data[Actual Score],MATCH(Table667986[[#This Row],[Name]],DK_Last_Week_Results_Data[Player],0)),"")</f>
        <v>14.7</v>
      </c>
      <c r="F112" s="58">
        <f>_xlfn.RANK.AVG(Table667986[[#This Row],[Actual]],Table667986[Actual],0)</f>
        <v>55.5</v>
      </c>
      <c r="N112" s="490" t="s">
        <v>112</v>
      </c>
      <c r="O112" s="60">
        <v>0.11000000000000001</v>
      </c>
      <c r="P112" s="58">
        <f>_xlfn.RANK.AVG(Table61627481[[#This Row],[Proj]],Table61627481[Proj],0)</f>
        <v>101.5</v>
      </c>
      <c r="Q112" s="60">
        <f>IFERROR(INDEX(DK_Last_Week_Results_Data[Actual Score],MATCH(Table61627481[[#This Row],[Name]],DK_Last_Week_Results_Data[Player],0)),"")</f>
        <v>0</v>
      </c>
      <c r="R112" s="58">
        <f>_xlfn.RANK.AVG(Table61627481[[#This Row],[Actual]],Table61627481[Actual],0)</f>
        <v>83.5</v>
      </c>
      <c r="T112" s="490" t="s">
        <v>268</v>
      </c>
      <c r="U112" s="60">
        <v>3.7333333333333334</v>
      </c>
      <c r="V112" s="58">
        <f>_xlfn.RANK.AVG(Table61637582[[#This Row],[Proj]],Table61637582[Proj],0)</f>
        <v>102</v>
      </c>
      <c r="W112" s="60">
        <f>IFERROR(INDEX(DK_Last_Week_Results_Data[Actual Score],MATCH(Table61637582[[#This Row],[Name]],DK_Last_Week_Results_Data[Player],0)),"")</f>
        <v>2.5</v>
      </c>
      <c r="X112" s="58">
        <f>_xlfn.RANK.AVG(Table61637582[[#This Row],[Actual]],Table61637582[Actual],0)</f>
        <v>88</v>
      </c>
    </row>
    <row r="113" spans="2:24" x14ac:dyDescent="0.3">
      <c r="B113" s="489" t="s">
        <v>100</v>
      </c>
      <c r="C113" s="60">
        <v>11.793333333333335</v>
      </c>
      <c r="D113" s="58">
        <f>_xlfn.RANK.AVG(Table667986[[#This Row],[Proj]],Table667986[Proj],0)</f>
        <v>103</v>
      </c>
      <c r="E113" s="60">
        <f>IFERROR(INDEX(DK_Last_Week_Results_Data[Actual Score],MATCH(Table667986[[#This Row],[Name]],DK_Last_Week_Results_Data[Player],0)),"")</f>
        <v>0</v>
      </c>
      <c r="F113" s="58">
        <f>_xlfn.RANK.AVG(Table667986[[#This Row],[Actual]],Table667986[Actual],0)</f>
        <v>250</v>
      </c>
      <c r="T113" s="490" t="s">
        <v>274</v>
      </c>
      <c r="U113" s="60">
        <v>3.6500000000000004</v>
      </c>
      <c r="V113" s="58">
        <f>_xlfn.RANK.AVG(Table61637582[[#This Row],[Proj]],Table61637582[Proj],0)</f>
        <v>103</v>
      </c>
      <c r="W113" s="60">
        <f>IFERROR(INDEX(DK_Last_Week_Results_Data[Actual Score],MATCH(Table61637582[[#This Row],[Name]],DK_Last_Week_Results_Data[Player],0)),"")</f>
        <v>1.8</v>
      </c>
      <c r="X113" s="58">
        <f>_xlfn.RANK.AVG(Table61637582[[#This Row],[Actual]],Table61637582[Actual],0)</f>
        <v>93</v>
      </c>
    </row>
    <row r="114" spans="2:24" x14ac:dyDescent="0.3">
      <c r="B114" s="489" t="s">
        <v>135</v>
      </c>
      <c r="C114" s="60">
        <v>11.573333333333334</v>
      </c>
      <c r="D114" s="58">
        <f>_xlfn.RANK.AVG(Table667986[[#This Row],[Proj]],Table667986[Proj],0)</f>
        <v>104</v>
      </c>
      <c r="E114" s="60">
        <f>IFERROR(INDEX(DK_Last_Week_Results_Data[Actual Score],MATCH(Table667986[[#This Row],[Name]],DK_Last_Week_Results_Data[Player],0)),"")</f>
        <v>29.9</v>
      </c>
      <c r="F114" s="58">
        <f>_xlfn.RANK.AVG(Table667986[[#This Row],[Actual]],Table667986[Actual],0)</f>
        <v>13</v>
      </c>
      <c r="T114" s="490" t="s">
        <v>270</v>
      </c>
      <c r="U114" s="60">
        <v>3.4699999999999998</v>
      </c>
      <c r="V114" s="58">
        <f>_xlfn.RANK.AVG(Table61637582[[#This Row],[Proj]],Table61637582[Proj],0)</f>
        <v>104</v>
      </c>
      <c r="W114" s="60">
        <f>IFERROR(INDEX(DK_Last_Week_Results_Data[Actual Score],MATCH(Table61637582[[#This Row],[Name]],DK_Last_Week_Results_Data[Player],0)),"")</f>
        <v>22</v>
      </c>
      <c r="X114" s="58">
        <f>_xlfn.RANK.AVG(Table61637582[[#This Row],[Actual]],Table61637582[Actual],0)</f>
        <v>13</v>
      </c>
    </row>
    <row r="115" spans="2:24" x14ac:dyDescent="0.3">
      <c r="B115" s="489" t="s">
        <v>219</v>
      </c>
      <c r="C115" s="60">
        <v>11.493333333333334</v>
      </c>
      <c r="D115" s="58">
        <f>_xlfn.RANK.AVG(Table667986[[#This Row],[Proj]],Table667986[Proj],0)</f>
        <v>105</v>
      </c>
      <c r="E115" s="60">
        <f>IFERROR(INDEX(DK_Last_Week_Results_Data[Actual Score],MATCH(Table667986[[#This Row],[Name]],DK_Last_Week_Results_Data[Player],0)),"")</f>
        <v>10.5</v>
      </c>
      <c r="F115" s="58">
        <f>_xlfn.RANK.AVG(Table667986[[#This Row],[Actual]],Table667986[Actual],0)</f>
        <v>92</v>
      </c>
      <c r="T115" s="490" t="s">
        <v>524</v>
      </c>
      <c r="U115" s="60">
        <v>3.4000000000000004</v>
      </c>
      <c r="V115" s="58">
        <f>_xlfn.RANK.AVG(Table61637582[[#This Row],[Proj]],Table61637582[Proj],0)</f>
        <v>105</v>
      </c>
      <c r="W115" s="60">
        <f>IFERROR(INDEX(DK_Last_Week_Results_Data[Actual Score],MATCH(Table61637582[[#This Row],[Name]],DK_Last_Week_Results_Data[Player],0)),"")</f>
        <v>0</v>
      </c>
      <c r="X115" s="58">
        <f>_xlfn.RANK.AVG(Table61637582[[#This Row],[Actual]],Table61637582[Actual],0)</f>
        <v>121</v>
      </c>
    </row>
    <row r="116" spans="2:24" x14ac:dyDescent="0.3">
      <c r="B116" s="489" t="s">
        <v>224</v>
      </c>
      <c r="C116" s="60">
        <v>11.396666666666668</v>
      </c>
      <c r="D116" s="58">
        <f>_xlfn.RANK.AVG(Table667986[[#This Row],[Proj]],Table667986[Proj],0)</f>
        <v>106</v>
      </c>
      <c r="E116" s="60">
        <f>IFERROR(INDEX(DK_Last_Week_Results_Data[Actual Score],MATCH(Table667986[[#This Row],[Name]],DK_Last_Week_Results_Data[Player],0)),"")</f>
        <v>0</v>
      </c>
      <c r="F116" s="58">
        <f>_xlfn.RANK.AVG(Table667986[[#This Row],[Actual]],Table667986[Actual],0)</f>
        <v>250</v>
      </c>
      <c r="T116" s="490" t="s">
        <v>267</v>
      </c>
      <c r="U116" s="60">
        <v>3.3433333333333337</v>
      </c>
      <c r="V116" s="58">
        <f>_xlfn.RANK.AVG(Table61637582[[#This Row],[Proj]],Table61637582[Proj],0)</f>
        <v>106</v>
      </c>
      <c r="W116" s="60">
        <f>IFERROR(INDEX(DK_Last_Week_Results_Data[Actual Score],MATCH(Table61637582[[#This Row],[Name]],DK_Last_Week_Results_Data[Player],0)),"")</f>
        <v>0</v>
      </c>
      <c r="X116" s="58">
        <f>_xlfn.RANK.AVG(Table61637582[[#This Row],[Actual]],Table61637582[Actual],0)</f>
        <v>121</v>
      </c>
    </row>
    <row r="117" spans="2:24" x14ac:dyDescent="0.3">
      <c r="B117" s="489" t="s">
        <v>433</v>
      </c>
      <c r="C117" s="60">
        <v>11.303333333333333</v>
      </c>
      <c r="D117" s="58">
        <f>_xlfn.RANK.AVG(Table667986[[#This Row],[Proj]],Table667986[Proj],0)</f>
        <v>107</v>
      </c>
      <c r="E117" s="60">
        <f>IFERROR(INDEX(DK_Last_Week_Results_Data[Actual Score],MATCH(Table667986[[#This Row],[Name]],DK_Last_Week_Results_Data[Player],0)),"")</f>
        <v>0</v>
      </c>
      <c r="F117" s="58">
        <f>_xlfn.RANK.AVG(Table667986[[#This Row],[Actual]],Table667986[Actual],0)</f>
        <v>250</v>
      </c>
      <c r="T117" s="490" t="s">
        <v>471</v>
      </c>
      <c r="U117" s="60">
        <v>3.17</v>
      </c>
      <c r="V117" s="58">
        <f>_xlfn.RANK.AVG(Table61637582[[#This Row],[Proj]],Table61637582[Proj],0)</f>
        <v>107</v>
      </c>
      <c r="W117" s="60">
        <f>IFERROR(INDEX(DK_Last_Week_Results_Data[Actual Score],MATCH(Table61637582[[#This Row],[Name]],DK_Last_Week_Results_Data[Player],0)),"")</f>
        <v>0</v>
      </c>
      <c r="X117" s="58">
        <f>_xlfn.RANK.AVG(Table61637582[[#This Row],[Actual]],Table61637582[Actual],0)</f>
        <v>121</v>
      </c>
    </row>
    <row r="118" spans="2:24" x14ac:dyDescent="0.3">
      <c r="B118" s="489" t="s">
        <v>220</v>
      </c>
      <c r="C118" s="60">
        <v>11.173333333333334</v>
      </c>
      <c r="D118" s="58">
        <f>_xlfn.RANK.AVG(Table667986[[#This Row],[Proj]],Table667986[Proj],0)</f>
        <v>108</v>
      </c>
      <c r="E118" s="60">
        <f>IFERROR(INDEX(DK_Last_Week_Results_Data[Actual Score],MATCH(Table667986[[#This Row],[Name]],DK_Last_Week_Results_Data[Player],0)),"")</f>
        <v>10.9</v>
      </c>
      <c r="F118" s="58">
        <f>_xlfn.RANK.AVG(Table667986[[#This Row],[Actual]],Table667986[Actual],0)</f>
        <v>85</v>
      </c>
      <c r="T118" s="490" t="s">
        <v>305</v>
      </c>
      <c r="U118" s="60">
        <v>3.0600000000000005</v>
      </c>
      <c r="V118" s="58">
        <f>_xlfn.RANK.AVG(Table61637582[[#This Row],[Proj]],Table61637582[Proj],0)</f>
        <v>108</v>
      </c>
      <c r="W118" s="60">
        <f>IFERROR(INDEX(DK_Last_Week_Results_Data[Actual Score],MATCH(Table61637582[[#This Row],[Name]],DK_Last_Week_Results_Data[Player],0)),"")</f>
        <v>0</v>
      </c>
      <c r="X118" s="58">
        <f>_xlfn.RANK.AVG(Table61637582[[#This Row],[Actual]],Table61637582[Actual],0)</f>
        <v>121</v>
      </c>
    </row>
    <row r="119" spans="2:24" x14ac:dyDescent="0.3">
      <c r="B119" s="489" t="s">
        <v>226</v>
      </c>
      <c r="C119" s="60">
        <v>11.163333333333334</v>
      </c>
      <c r="D119" s="58">
        <f>_xlfn.RANK.AVG(Table667986[[#This Row],[Proj]],Table667986[Proj],0)</f>
        <v>109</v>
      </c>
      <c r="E119" s="60">
        <f>IFERROR(INDEX(DK_Last_Week_Results_Data[Actual Score],MATCH(Table667986[[#This Row],[Name]],DK_Last_Week_Results_Data[Player],0)),"")</f>
        <v>20.6</v>
      </c>
      <c r="F119" s="58">
        <f>_xlfn.RANK.AVG(Table667986[[#This Row],[Actual]],Table667986[Actual],0)</f>
        <v>39</v>
      </c>
      <c r="T119" s="490" t="s">
        <v>278</v>
      </c>
      <c r="U119" s="60">
        <v>3.0250000000000004</v>
      </c>
      <c r="V119" s="58">
        <f>_xlfn.RANK.AVG(Table61637582[[#This Row],[Proj]],Table61637582[Proj],0)</f>
        <v>109</v>
      </c>
      <c r="W119" s="60">
        <f>IFERROR(INDEX(DK_Last_Week_Results_Data[Actual Score],MATCH(Table61637582[[#This Row],[Name]],DK_Last_Week_Results_Data[Player],0)),"")</f>
        <v>9.4</v>
      </c>
      <c r="X119" s="58">
        <f>_xlfn.RANK.AVG(Table61637582[[#This Row],[Actual]],Table61637582[Actual],0)</f>
        <v>46</v>
      </c>
    </row>
    <row r="120" spans="2:24" x14ac:dyDescent="0.3">
      <c r="B120" s="489" t="s">
        <v>99</v>
      </c>
      <c r="C120" s="60">
        <v>11.133333333333335</v>
      </c>
      <c r="D120" s="58">
        <f>_xlfn.RANK.AVG(Table667986[[#This Row],[Proj]],Table667986[Proj],0)</f>
        <v>110</v>
      </c>
      <c r="E120" s="60">
        <f>IFERROR(INDEX(DK_Last_Week_Results_Data[Actual Score],MATCH(Table667986[[#This Row],[Name]],DK_Last_Week_Results_Data[Player],0)),"")</f>
        <v>9.1999999999999993</v>
      </c>
      <c r="F120" s="58">
        <f>_xlfn.RANK.AVG(Table667986[[#This Row],[Actual]],Table667986[Actual],0)</f>
        <v>104</v>
      </c>
      <c r="T120" s="490" t="s">
        <v>280</v>
      </c>
      <c r="U120" s="60">
        <v>2.92</v>
      </c>
      <c r="V120" s="58">
        <f>_xlfn.RANK.AVG(Table61637582[[#This Row],[Proj]],Table61637582[Proj],0)</f>
        <v>110</v>
      </c>
      <c r="W120" s="60">
        <f>IFERROR(INDEX(DK_Last_Week_Results_Data[Actual Score],MATCH(Table61637582[[#This Row],[Name]],DK_Last_Week_Results_Data[Player],0)),"")</f>
        <v>0</v>
      </c>
      <c r="X120" s="58">
        <f>_xlfn.RANK.AVG(Table61637582[[#This Row],[Actual]],Table61637582[Actual],0)</f>
        <v>121</v>
      </c>
    </row>
    <row r="121" spans="2:24" x14ac:dyDescent="0.3">
      <c r="B121" s="489" t="s">
        <v>463</v>
      </c>
      <c r="C121" s="60">
        <v>10.936666666666667</v>
      </c>
      <c r="D121" s="58">
        <f>_xlfn.RANK.AVG(Table667986[[#This Row],[Proj]],Table667986[Proj],0)</f>
        <v>111</v>
      </c>
      <c r="E121" s="60">
        <f>IFERROR(INDEX(DK_Last_Week_Results_Data[Actual Score],MATCH(Table667986[[#This Row],[Name]],DK_Last_Week_Results_Data[Player],0)),"")</f>
        <v>6.1</v>
      </c>
      <c r="F121" s="58">
        <f>_xlfn.RANK.AVG(Table667986[[#This Row],[Actual]],Table667986[Actual],0)</f>
        <v>139.5</v>
      </c>
      <c r="T121" s="490" t="s">
        <v>489</v>
      </c>
      <c r="U121" s="60">
        <v>2.91</v>
      </c>
      <c r="V121" s="58">
        <f>_xlfn.RANK.AVG(Table61637582[[#This Row],[Proj]],Table61637582[Proj],0)</f>
        <v>111.5</v>
      </c>
      <c r="W121" s="60">
        <f>IFERROR(INDEX(DK_Last_Week_Results_Data[Actual Score],MATCH(Table61637582[[#This Row],[Name]],DK_Last_Week_Results_Data[Player],0)),"")</f>
        <v>0</v>
      </c>
      <c r="X121" s="58">
        <f>_xlfn.RANK.AVG(Table61637582[[#This Row],[Actual]],Table61637582[Actual],0)</f>
        <v>121</v>
      </c>
    </row>
    <row r="122" spans="2:24" x14ac:dyDescent="0.3">
      <c r="B122" s="489" t="s">
        <v>479</v>
      </c>
      <c r="C122" s="60">
        <v>10.886666666666667</v>
      </c>
      <c r="D122" s="58">
        <f>_xlfn.RANK.AVG(Table667986[[#This Row],[Proj]],Table667986[Proj],0)</f>
        <v>112</v>
      </c>
      <c r="E122" s="60">
        <f>IFERROR(INDEX(DK_Last_Week_Results_Data[Actual Score],MATCH(Table667986[[#This Row],[Name]],DK_Last_Week_Results_Data[Player],0)),"")</f>
        <v>34.9</v>
      </c>
      <c r="F122" s="58">
        <f>_xlfn.RANK.AVG(Table667986[[#This Row],[Actual]],Table667986[Actual],0)</f>
        <v>3</v>
      </c>
      <c r="T122" s="490" t="s">
        <v>235</v>
      </c>
      <c r="U122" s="60">
        <v>2.91</v>
      </c>
      <c r="V122" s="58">
        <f>_xlfn.RANK.AVG(Table61637582[[#This Row],[Proj]],Table61637582[Proj],0)</f>
        <v>111.5</v>
      </c>
      <c r="W122" s="60" t="str">
        <f>IFERROR(INDEX(DK_Last_Week_Results_Data[Actual Score],MATCH(Table61637582[[#This Row],[Name]],DK_Last_Week_Results_Data[Player],0)),"")</f>
        <v/>
      </c>
      <c r="X122" s="58" t="e">
        <f>_xlfn.RANK.AVG(Table61637582[[#This Row],[Actual]],Table61637582[Actual],0)</f>
        <v>#VALUE!</v>
      </c>
    </row>
    <row r="123" spans="2:24" x14ac:dyDescent="0.3">
      <c r="B123" s="489" t="s">
        <v>751</v>
      </c>
      <c r="C123" s="60">
        <v>10.883624999999999</v>
      </c>
      <c r="D123" s="58">
        <f>_xlfn.RANK.AVG(Table667986[[#This Row],[Proj]],Table667986[Proj],0)</f>
        <v>113</v>
      </c>
      <c r="E123" s="60">
        <f>IFERROR(INDEX(DK_Last_Week_Results_Data[Actual Score],MATCH(Table667986[[#This Row],[Name]],DK_Last_Week_Results_Data[Player],0)),"")</f>
        <v>0</v>
      </c>
      <c r="F123" s="58">
        <f>_xlfn.RANK.AVG(Table667986[[#This Row],[Actual]],Table667986[Actual],0)</f>
        <v>250</v>
      </c>
      <c r="T123" s="490" t="s">
        <v>301</v>
      </c>
      <c r="U123" s="60">
        <v>2.8650000000000002</v>
      </c>
      <c r="V123" s="58">
        <f>_xlfn.RANK.AVG(Table61637582[[#This Row],[Proj]],Table61637582[Proj],0)</f>
        <v>113</v>
      </c>
      <c r="W123" s="60">
        <f>IFERROR(INDEX(DK_Last_Week_Results_Data[Actual Score],MATCH(Table61637582[[#This Row],[Name]],DK_Last_Week_Results_Data[Player],0)),"")</f>
        <v>13.3</v>
      </c>
      <c r="X123" s="58">
        <f>_xlfn.RANK.AVG(Table61637582[[#This Row],[Actual]],Table61637582[Actual],0)</f>
        <v>24</v>
      </c>
    </row>
    <row r="124" spans="2:24" x14ac:dyDescent="0.3">
      <c r="B124" s="489" t="s">
        <v>45</v>
      </c>
      <c r="C124" s="60">
        <v>10.823625</v>
      </c>
      <c r="D124" s="58">
        <f>_xlfn.RANK.AVG(Table667986[[#This Row],[Proj]],Table667986[Proj],0)</f>
        <v>114</v>
      </c>
      <c r="E124" s="60">
        <f>IFERROR(INDEX(DK_Last_Week_Results_Data[Actual Score],MATCH(Table667986[[#This Row],[Name]],DK_Last_Week_Results_Data[Player],0)),"")</f>
        <v>22.38</v>
      </c>
      <c r="F124" s="58">
        <f>_xlfn.RANK.AVG(Table667986[[#This Row],[Actual]],Table667986[Actual],0)</f>
        <v>31</v>
      </c>
      <c r="T124" s="490" t="s">
        <v>313</v>
      </c>
      <c r="U124" s="60">
        <v>2.8500000000000005</v>
      </c>
      <c r="V124" s="58">
        <f>_xlfn.RANK.AVG(Table61637582[[#This Row],[Proj]],Table61637582[Proj],0)</f>
        <v>114</v>
      </c>
      <c r="W124" s="60">
        <f>IFERROR(INDEX(DK_Last_Week_Results_Data[Actual Score],MATCH(Table61637582[[#This Row],[Name]],DK_Last_Week_Results_Data[Player],0)),"")</f>
        <v>2.9</v>
      </c>
      <c r="X124" s="58">
        <f>_xlfn.RANK.AVG(Table61637582[[#This Row],[Actual]],Table61637582[Actual],0)</f>
        <v>86</v>
      </c>
    </row>
    <row r="125" spans="2:24" x14ac:dyDescent="0.3">
      <c r="B125" s="489" t="s">
        <v>74</v>
      </c>
      <c r="C125" s="60">
        <v>10.756124999999999</v>
      </c>
      <c r="D125" s="58">
        <f>_xlfn.RANK.AVG(Table667986[[#This Row],[Proj]],Table667986[Proj],0)</f>
        <v>115</v>
      </c>
      <c r="E125" s="60">
        <f>IFERROR(INDEX(DK_Last_Week_Results_Data[Actual Score],MATCH(Table667986[[#This Row],[Name]],DK_Last_Week_Results_Data[Player],0)),"")</f>
        <v>0</v>
      </c>
      <c r="F125" s="58">
        <f>_xlfn.RANK.AVG(Table667986[[#This Row],[Actual]],Table667986[Actual],0)</f>
        <v>250</v>
      </c>
      <c r="T125" s="490" t="s">
        <v>273</v>
      </c>
      <c r="U125" s="60">
        <v>2.6500000000000004</v>
      </c>
      <c r="V125" s="58">
        <f>_xlfn.RANK.AVG(Table61637582[[#This Row],[Proj]],Table61637582[Proj],0)</f>
        <v>115</v>
      </c>
      <c r="W125" s="60">
        <f>IFERROR(INDEX(DK_Last_Week_Results_Data[Actual Score],MATCH(Table61637582[[#This Row],[Name]],DK_Last_Week_Results_Data[Player],0)),"")</f>
        <v>0</v>
      </c>
      <c r="X125" s="58">
        <f>_xlfn.RANK.AVG(Table61637582[[#This Row],[Actual]],Table61637582[Actual],0)</f>
        <v>121</v>
      </c>
    </row>
    <row r="126" spans="2:24" x14ac:dyDescent="0.3">
      <c r="B126" s="489" t="s">
        <v>127</v>
      </c>
      <c r="C126" s="60">
        <v>10.693333333333333</v>
      </c>
      <c r="D126" s="58">
        <f>_xlfn.RANK.AVG(Table667986[[#This Row],[Proj]],Table667986[Proj],0)</f>
        <v>116</v>
      </c>
      <c r="E126" s="60">
        <f>IFERROR(INDEX(DK_Last_Week_Results_Data[Actual Score],MATCH(Table667986[[#This Row],[Name]],DK_Last_Week_Results_Data[Player],0)),"")</f>
        <v>16.5</v>
      </c>
      <c r="F126" s="58">
        <f>_xlfn.RANK.AVG(Table667986[[#This Row],[Actual]],Table667986[Actual],0)</f>
        <v>49</v>
      </c>
      <c r="T126" s="490" t="s">
        <v>266</v>
      </c>
      <c r="U126" s="60">
        <v>2.6033333333333335</v>
      </c>
      <c r="V126" s="58">
        <f>_xlfn.RANK.AVG(Table61637582[[#This Row],[Proj]],Table61637582[Proj],0)</f>
        <v>116</v>
      </c>
      <c r="W126" s="60">
        <f>IFERROR(INDEX(DK_Last_Week_Results_Data[Actual Score],MATCH(Table61637582[[#This Row],[Name]],DK_Last_Week_Results_Data[Player],0)),"")</f>
        <v>0</v>
      </c>
      <c r="X126" s="58">
        <f>_xlfn.RANK.AVG(Table61637582[[#This Row],[Actual]],Table61637582[Actual],0)</f>
        <v>121</v>
      </c>
    </row>
    <row r="127" spans="2:24" x14ac:dyDescent="0.3">
      <c r="B127" s="489" t="s">
        <v>73</v>
      </c>
      <c r="C127" s="60">
        <v>10.56875</v>
      </c>
      <c r="D127" s="58">
        <f>_xlfn.RANK.AVG(Table667986[[#This Row],[Proj]],Table667986[Proj],0)</f>
        <v>117</v>
      </c>
      <c r="E127" s="60">
        <f>IFERROR(INDEX(DK_Last_Week_Results_Data[Actual Score],MATCH(Table667986[[#This Row],[Name]],DK_Last_Week_Results_Data[Player],0)),"")</f>
        <v>0</v>
      </c>
      <c r="F127" s="58">
        <f>_xlfn.RANK.AVG(Table667986[[#This Row],[Actual]],Table667986[Actual],0)</f>
        <v>250</v>
      </c>
      <c r="T127" s="490" t="s">
        <v>498</v>
      </c>
      <c r="U127" s="60">
        <v>2.5500000000000003</v>
      </c>
      <c r="V127" s="58">
        <f>_xlfn.RANK.AVG(Table61637582[[#This Row],[Proj]],Table61637582[Proj],0)</f>
        <v>117</v>
      </c>
      <c r="W127" s="60">
        <f>IFERROR(INDEX(DK_Last_Week_Results_Data[Actual Score],MATCH(Table61637582[[#This Row],[Name]],DK_Last_Week_Results_Data[Player],0)),"")</f>
        <v>3.7</v>
      </c>
      <c r="X127" s="58">
        <f>_xlfn.RANK.AVG(Table61637582[[#This Row],[Actual]],Table61637582[Actual],0)</f>
        <v>83</v>
      </c>
    </row>
    <row r="128" spans="2:24" x14ac:dyDescent="0.3">
      <c r="B128" s="489" t="s">
        <v>233</v>
      </c>
      <c r="C128" s="60">
        <v>10.54</v>
      </c>
      <c r="D128" s="58">
        <f>_xlfn.RANK.AVG(Table667986[[#This Row],[Proj]],Table667986[Proj],0)</f>
        <v>118</v>
      </c>
      <c r="E128" s="60">
        <f>IFERROR(INDEX(DK_Last_Week_Results_Data[Actual Score],MATCH(Table667986[[#This Row],[Name]],DK_Last_Week_Results_Data[Player],0)),"")</f>
        <v>6.7</v>
      </c>
      <c r="F128" s="58">
        <f>_xlfn.RANK.AVG(Table667986[[#This Row],[Actual]],Table667986[Actual],0)</f>
        <v>131</v>
      </c>
      <c r="T128" s="490" t="s">
        <v>289</v>
      </c>
      <c r="U128" s="60">
        <v>2.5499999999999998</v>
      </c>
      <c r="V128" s="58">
        <f>_xlfn.RANK.AVG(Table61637582[[#This Row],[Proj]],Table61637582[Proj],0)</f>
        <v>118</v>
      </c>
      <c r="W128" s="60">
        <f>IFERROR(INDEX(DK_Last_Week_Results_Data[Actual Score],MATCH(Table61637582[[#This Row],[Name]],DK_Last_Week_Results_Data[Player],0)),"")</f>
        <v>0</v>
      </c>
      <c r="X128" s="58">
        <f>_xlfn.RANK.AVG(Table61637582[[#This Row],[Actual]],Table61637582[Actual],0)</f>
        <v>121</v>
      </c>
    </row>
    <row r="129" spans="2:24" x14ac:dyDescent="0.3">
      <c r="B129" s="489" t="s">
        <v>69</v>
      </c>
      <c r="C129" s="60">
        <v>10.472625000000001</v>
      </c>
      <c r="D129" s="58">
        <f>_xlfn.RANK.AVG(Table667986[[#This Row],[Proj]],Table667986[Proj],0)</f>
        <v>119</v>
      </c>
      <c r="E129" s="60">
        <f>IFERROR(INDEX(DK_Last_Week_Results_Data[Actual Score],MATCH(Table667986[[#This Row],[Name]],DK_Last_Week_Results_Data[Player],0)),"")</f>
        <v>0</v>
      </c>
      <c r="F129" s="58">
        <f>_xlfn.RANK.AVG(Table667986[[#This Row],[Actual]],Table667986[Actual],0)</f>
        <v>250</v>
      </c>
      <c r="T129" s="490" t="s">
        <v>298</v>
      </c>
      <c r="U129" s="60">
        <v>2.3650000000000002</v>
      </c>
      <c r="V129" s="58">
        <f>_xlfn.RANK.AVG(Table61637582[[#This Row],[Proj]],Table61637582[Proj],0)</f>
        <v>119</v>
      </c>
      <c r="W129" s="60">
        <f>IFERROR(INDEX(DK_Last_Week_Results_Data[Actual Score],MATCH(Table61637582[[#This Row],[Name]],DK_Last_Week_Results_Data[Player],0)),"")</f>
        <v>2.2000000000000002</v>
      </c>
      <c r="X129" s="58">
        <f>_xlfn.RANK.AVG(Table61637582[[#This Row],[Actual]],Table61637582[Actual],0)</f>
        <v>90</v>
      </c>
    </row>
    <row r="130" spans="2:24" x14ac:dyDescent="0.3">
      <c r="B130" s="489" t="s">
        <v>76</v>
      </c>
      <c r="C130" s="60">
        <v>10.361124999999999</v>
      </c>
      <c r="D130" s="58">
        <f>_xlfn.RANK.AVG(Table667986[[#This Row],[Proj]],Table667986[Proj],0)</f>
        <v>120</v>
      </c>
      <c r="E130" s="60">
        <f>IFERROR(INDEX(DK_Last_Week_Results_Data[Actual Score],MATCH(Table667986[[#This Row],[Name]],DK_Last_Week_Results_Data[Player],0)),"")</f>
        <v>0</v>
      </c>
      <c r="F130" s="58">
        <f>_xlfn.RANK.AVG(Table667986[[#This Row],[Actual]],Table667986[Actual],0)</f>
        <v>250</v>
      </c>
      <c r="T130" s="490" t="s">
        <v>255</v>
      </c>
      <c r="U130" s="60">
        <v>2.3150000000000004</v>
      </c>
      <c r="V130" s="58">
        <f>_xlfn.RANK.AVG(Table61637582[[#This Row],[Proj]],Table61637582[Proj],0)</f>
        <v>120</v>
      </c>
      <c r="W130" s="60">
        <f>IFERROR(INDEX(DK_Last_Week_Results_Data[Actual Score],MATCH(Table61637582[[#This Row],[Name]],DK_Last_Week_Results_Data[Player],0)),"")</f>
        <v>-0.1</v>
      </c>
      <c r="X130" s="58">
        <f>_xlfn.RANK.AVG(Table61637582[[#This Row],[Actual]],Table61637582[Actual],0)</f>
        <v>141</v>
      </c>
    </row>
    <row r="131" spans="2:24" x14ac:dyDescent="0.3">
      <c r="B131" s="489" t="s">
        <v>71</v>
      </c>
      <c r="C131" s="60">
        <v>10.349125000000001</v>
      </c>
      <c r="D131" s="58">
        <f>_xlfn.RANK.AVG(Table667986[[#This Row],[Proj]],Table667986[Proj],0)</f>
        <v>121</v>
      </c>
      <c r="E131" s="60">
        <f>IFERROR(INDEX(DK_Last_Week_Results_Data[Actual Score],MATCH(Table667986[[#This Row],[Name]],DK_Last_Week_Results_Data[Player],0)),"")</f>
        <v>0</v>
      </c>
      <c r="F131" s="58">
        <f>_xlfn.RANK.AVG(Table667986[[#This Row],[Actual]],Table667986[Actual],0)</f>
        <v>250</v>
      </c>
      <c r="T131" s="490" t="s">
        <v>290</v>
      </c>
      <c r="U131" s="60">
        <v>2.06</v>
      </c>
      <c r="V131" s="58">
        <f>_xlfn.RANK.AVG(Table61637582[[#This Row],[Proj]],Table61637582[Proj],0)</f>
        <v>121</v>
      </c>
      <c r="W131" s="60">
        <f>IFERROR(INDEX(DK_Last_Week_Results_Data[Actual Score],MATCH(Table61637582[[#This Row],[Name]],DK_Last_Week_Results_Data[Player],0)),"")</f>
        <v>2.2999999999999998</v>
      </c>
      <c r="X131" s="58">
        <f>_xlfn.RANK.AVG(Table61637582[[#This Row],[Actual]],Table61637582[Actual],0)</f>
        <v>89</v>
      </c>
    </row>
    <row r="132" spans="2:24" x14ac:dyDescent="0.3">
      <c r="B132" s="489" t="s">
        <v>505</v>
      </c>
      <c r="C132" s="60">
        <v>10.326666666666668</v>
      </c>
      <c r="D132" s="58">
        <f>_xlfn.RANK.AVG(Table667986[[#This Row],[Proj]],Table667986[Proj],0)</f>
        <v>122</v>
      </c>
      <c r="E132" s="60">
        <f>IFERROR(INDEX(DK_Last_Week_Results_Data[Actual Score],MATCH(Table667986[[#This Row],[Name]],DK_Last_Week_Results_Data[Player],0)),"")</f>
        <v>12.9</v>
      </c>
      <c r="F132" s="58">
        <f>_xlfn.RANK.AVG(Table667986[[#This Row],[Actual]],Table667986[Actual],0)</f>
        <v>72</v>
      </c>
      <c r="T132" s="490" t="s">
        <v>316</v>
      </c>
      <c r="U132" s="60">
        <v>1.9650000000000001</v>
      </c>
      <c r="V132" s="58">
        <f>_xlfn.RANK.AVG(Table61637582[[#This Row],[Proj]],Table61637582[Proj],0)</f>
        <v>122</v>
      </c>
      <c r="W132" s="60">
        <f>IFERROR(INDEX(DK_Last_Week_Results_Data[Actual Score],MATCH(Table61637582[[#This Row],[Name]],DK_Last_Week_Results_Data[Player],0)),"")</f>
        <v>1.8</v>
      </c>
      <c r="X132" s="58">
        <f>_xlfn.RANK.AVG(Table61637582[[#This Row],[Actual]],Table61637582[Actual],0)</f>
        <v>93</v>
      </c>
    </row>
    <row r="133" spans="2:24" x14ac:dyDescent="0.3">
      <c r="B133" s="489" t="s">
        <v>102</v>
      </c>
      <c r="C133" s="60">
        <v>10.28</v>
      </c>
      <c r="D133" s="58">
        <f>_xlfn.RANK.AVG(Table667986[[#This Row],[Proj]],Table667986[Proj],0)</f>
        <v>123</v>
      </c>
      <c r="E133" s="60">
        <f>IFERROR(INDEX(DK_Last_Week_Results_Data[Actual Score],MATCH(Table667986[[#This Row],[Name]],DK_Last_Week_Results_Data[Player],0)),"")</f>
        <v>21.7</v>
      </c>
      <c r="F133" s="58">
        <f>_xlfn.RANK.AVG(Table667986[[#This Row],[Actual]],Table667986[Actual],0)</f>
        <v>34</v>
      </c>
      <c r="T133" s="490" t="s">
        <v>286</v>
      </c>
      <c r="U133" s="60">
        <v>1.94</v>
      </c>
      <c r="V133" s="58">
        <f>_xlfn.RANK.AVG(Table61637582[[#This Row],[Proj]],Table61637582[Proj],0)</f>
        <v>123</v>
      </c>
      <c r="W133" s="60">
        <f>IFERROR(INDEX(DK_Last_Week_Results_Data[Actual Score],MATCH(Table61637582[[#This Row],[Name]],DK_Last_Week_Results_Data[Player],0)),"")</f>
        <v>0</v>
      </c>
      <c r="X133" s="58">
        <f>_xlfn.RANK.AVG(Table61637582[[#This Row],[Actual]],Table61637582[Actual],0)</f>
        <v>121</v>
      </c>
    </row>
    <row r="134" spans="2:24" x14ac:dyDescent="0.3">
      <c r="B134" s="489" t="s">
        <v>61</v>
      </c>
      <c r="C134" s="60">
        <v>10.242000000000001</v>
      </c>
      <c r="D134" s="58">
        <f>_xlfn.RANK.AVG(Table667986[[#This Row],[Proj]],Table667986[Proj],0)</f>
        <v>124</v>
      </c>
      <c r="E134" s="60">
        <f>IFERROR(INDEX(DK_Last_Week_Results_Data[Actual Score],MATCH(Table667986[[#This Row],[Name]],DK_Last_Week_Results_Data[Player],0)),"")</f>
        <v>0</v>
      </c>
      <c r="F134" s="58">
        <f>_xlfn.RANK.AVG(Table667986[[#This Row],[Actual]],Table667986[Actual],0)</f>
        <v>250</v>
      </c>
      <c r="T134" s="490" t="s">
        <v>264</v>
      </c>
      <c r="U134" s="60">
        <v>1.8566666666666667</v>
      </c>
      <c r="V134" s="58">
        <f>_xlfn.RANK.AVG(Table61637582[[#This Row],[Proj]],Table61637582[Proj],0)</f>
        <v>124</v>
      </c>
      <c r="W134" s="60">
        <f>IFERROR(INDEX(DK_Last_Week_Results_Data[Actual Score],MATCH(Table61637582[[#This Row],[Name]],DK_Last_Week_Results_Data[Player],0)),"")</f>
        <v>14.8</v>
      </c>
      <c r="X134" s="58">
        <f>_xlfn.RANK.AVG(Table61637582[[#This Row],[Actual]],Table61637582[Actual],0)</f>
        <v>21</v>
      </c>
    </row>
    <row r="135" spans="2:24" x14ac:dyDescent="0.3">
      <c r="B135" s="489" t="s">
        <v>95</v>
      </c>
      <c r="C135" s="60">
        <v>10.190000000000001</v>
      </c>
      <c r="D135" s="58">
        <f>_xlfn.RANK.AVG(Table667986[[#This Row],[Proj]],Table667986[Proj],0)</f>
        <v>125</v>
      </c>
      <c r="E135" s="60">
        <f>IFERROR(INDEX(DK_Last_Week_Results_Data[Actual Score],MATCH(Table667986[[#This Row],[Name]],DK_Last_Week_Results_Data[Player],0)),"")</f>
        <v>7.9</v>
      </c>
      <c r="F135" s="58">
        <f>_xlfn.RANK.AVG(Table667986[[#This Row],[Actual]],Table667986[Actual],0)</f>
        <v>116.5</v>
      </c>
      <c r="T135" s="490" t="s">
        <v>529</v>
      </c>
      <c r="U135" s="60">
        <v>1.8200000000000003</v>
      </c>
      <c r="V135" s="58">
        <f>_xlfn.RANK.AVG(Table61637582[[#This Row],[Proj]],Table61637582[Proj],0)</f>
        <v>125</v>
      </c>
      <c r="W135" s="60">
        <f>IFERROR(INDEX(DK_Last_Week_Results_Data[Actual Score],MATCH(Table61637582[[#This Row],[Name]],DK_Last_Week_Results_Data[Player],0)),"")</f>
        <v>5.3</v>
      </c>
      <c r="X135" s="58">
        <f>_xlfn.RANK.AVG(Table61637582[[#This Row],[Actual]],Table61637582[Actual],0)</f>
        <v>70</v>
      </c>
    </row>
    <row r="136" spans="2:24" x14ac:dyDescent="0.3">
      <c r="B136" s="489" t="s">
        <v>137</v>
      </c>
      <c r="C136" s="60">
        <v>10.07</v>
      </c>
      <c r="D136" s="58">
        <f>_xlfn.RANK.AVG(Table667986[[#This Row],[Proj]],Table667986[Proj],0)</f>
        <v>126</v>
      </c>
      <c r="E136" s="60">
        <f>IFERROR(INDEX(DK_Last_Week_Results_Data[Actual Score],MATCH(Table667986[[#This Row],[Name]],DK_Last_Week_Results_Data[Player],0)),"")</f>
        <v>2.4</v>
      </c>
      <c r="F136" s="58">
        <f>_xlfn.RANK.AVG(Table667986[[#This Row],[Actual]],Table667986[Actual],0)</f>
        <v>179</v>
      </c>
      <c r="T136" s="490" t="s">
        <v>261</v>
      </c>
      <c r="U136" s="60">
        <v>1.67</v>
      </c>
      <c r="V136" s="58">
        <f>_xlfn.RANK.AVG(Table61637582[[#This Row],[Proj]],Table61637582[Proj],0)</f>
        <v>126</v>
      </c>
      <c r="W136" s="60">
        <f>IFERROR(INDEX(DK_Last_Week_Results_Data[Actual Score],MATCH(Table61637582[[#This Row],[Name]],DK_Last_Week_Results_Data[Player],0)),"")</f>
        <v>0</v>
      </c>
      <c r="X136" s="58">
        <f>_xlfn.RANK.AVG(Table61637582[[#This Row],[Actual]],Table61637582[Actual],0)</f>
        <v>121</v>
      </c>
    </row>
    <row r="137" spans="2:24" x14ac:dyDescent="0.3">
      <c r="B137" s="489" t="s">
        <v>72</v>
      </c>
      <c r="C137" s="60">
        <v>9.9130833333333328</v>
      </c>
      <c r="D137" s="58">
        <f>_xlfn.RANK.AVG(Table667986[[#This Row],[Proj]],Table667986[Proj],0)</f>
        <v>127</v>
      </c>
      <c r="E137" s="60">
        <f>IFERROR(INDEX(DK_Last_Week_Results_Data[Actual Score],MATCH(Table667986[[#This Row],[Name]],DK_Last_Week_Results_Data[Player],0)),"")</f>
        <v>0</v>
      </c>
      <c r="F137" s="58">
        <f>_xlfn.RANK.AVG(Table667986[[#This Row],[Actual]],Table667986[Actual],0)</f>
        <v>250</v>
      </c>
      <c r="T137" s="490" t="s">
        <v>295</v>
      </c>
      <c r="U137" s="60">
        <v>1.55</v>
      </c>
      <c r="V137" s="58">
        <f>_xlfn.RANK.AVG(Table61637582[[#This Row],[Proj]],Table61637582[Proj],0)</f>
        <v>127</v>
      </c>
      <c r="W137" s="60">
        <f>IFERROR(INDEX(DK_Last_Week_Results_Data[Actual Score],MATCH(Table61637582[[#This Row],[Name]],DK_Last_Week_Results_Data[Player],0)),"")</f>
        <v>0</v>
      </c>
      <c r="X137" s="58">
        <f>_xlfn.RANK.AVG(Table61637582[[#This Row],[Actual]],Table61637582[Actual],0)</f>
        <v>121</v>
      </c>
    </row>
    <row r="138" spans="2:24" x14ac:dyDescent="0.3">
      <c r="B138" s="489" t="s">
        <v>114</v>
      </c>
      <c r="C138" s="60">
        <v>9.86</v>
      </c>
      <c r="D138" s="58">
        <f>_xlfn.RANK.AVG(Table667986[[#This Row],[Proj]],Table667986[Proj],0)</f>
        <v>128</v>
      </c>
      <c r="E138" s="60">
        <f>IFERROR(INDEX(DK_Last_Week_Results_Data[Actual Score],MATCH(Table667986[[#This Row],[Name]],DK_Last_Week_Results_Data[Player],0)),"")</f>
        <v>24.4</v>
      </c>
      <c r="F138" s="58">
        <f>_xlfn.RANK.AVG(Table667986[[#This Row],[Actual]],Table667986[Actual],0)</f>
        <v>26</v>
      </c>
      <c r="T138" s="490" t="s">
        <v>501</v>
      </c>
      <c r="U138" s="60">
        <v>1.31</v>
      </c>
      <c r="V138" s="58">
        <f>_xlfn.RANK.AVG(Table61637582[[#This Row],[Proj]],Table61637582[Proj],0)</f>
        <v>128</v>
      </c>
      <c r="W138" s="60">
        <f>IFERROR(INDEX(DK_Last_Week_Results_Data[Actual Score],MATCH(Table61637582[[#This Row],[Name]],DK_Last_Week_Results_Data[Player],0)),"")</f>
        <v>5.4</v>
      </c>
      <c r="X138" s="58">
        <f>_xlfn.RANK.AVG(Table61637582[[#This Row],[Actual]],Table61637582[Actual],0)</f>
        <v>69</v>
      </c>
    </row>
    <row r="139" spans="2:24" x14ac:dyDescent="0.3">
      <c r="B139" s="489" t="s">
        <v>457</v>
      </c>
      <c r="C139" s="60">
        <v>9.74</v>
      </c>
      <c r="D139" s="58">
        <f>_xlfn.RANK.AVG(Table667986[[#This Row],[Proj]],Table667986[Proj],0)</f>
        <v>129</v>
      </c>
      <c r="E139" s="60">
        <f>IFERROR(INDEX(DK_Last_Week_Results_Data[Actual Score],MATCH(Table667986[[#This Row],[Name]],DK_Last_Week_Results_Data[Player],0)),"")</f>
        <v>20.100000000000001</v>
      </c>
      <c r="F139" s="58">
        <f>_xlfn.RANK.AVG(Table667986[[#This Row],[Actual]],Table667986[Actual],0)</f>
        <v>40</v>
      </c>
      <c r="T139" s="490" t="s">
        <v>253</v>
      </c>
      <c r="U139" s="60">
        <v>1.29</v>
      </c>
      <c r="V139" s="58">
        <f>_xlfn.RANK.AVG(Table61637582[[#This Row],[Proj]],Table61637582[Proj],0)</f>
        <v>129</v>
      </c>
      <c r="W139" s="60">
        <f>IFERROR(INDEX(DK_Last_Week_Results_Data[Actual Score],MATCH(Table61637582[[#This Row],[Name]],DK_Last_Week_Results_Data[Player],0)),"")</f>
        <v>0</v>
      </c>
      <c r="X139" s="58">
        <f>_xlfn.RANK.AVG(Table61637582[[#This Row],[Actual]],Table61637582[Actual],0)</f>
        <v>121</v>
      </c>
    </row>
    <row r="140" spans="2:24" x14ac:dyDescent="0.3">
      <c r="B140" s="489" t="s">
        <v>207</v>
      </c>
      <c r="C140" s="60">
        <v>9.6533333333333342</v>
      </c>
      <c r="D140" s="58">
        <f>_xlfn.RANK.AVG(Table667986[[#This Row],[Proj]],Table667986[Proj],0)</f>
        <v>130</v>
      </c>
      <c r="E140" s="60">
        <f>IFERROR(INDEX(DK_Last_Week_Results_Data[Actual Score],MATCH(Table667986[[#This Row],[Name]],DK_Last_Week_Results_Data[Player],0)),"")</f>
        <v>13</v>
      </c>
      <c r="F140" s="58">
        <f>_xlfn.RANK.AVG(Table667986[[#This Row],[Actual]],Table667986[Actual],0)</f>
        <v>70</v>
      </c>
      <c r="T140" s="490" t="s">
        <v>1249</v>
      </c>
      <c r="U140" s="60">
        <v>1.27</v>
      </c>
      <c r="V140" s="58">
        <f>_xlfn.RANK.AVG(Table61637582[[#This Row],[Proj]],Table61637582[Proj],0)</f>
        <v>130</v>
      </c>
      <c r="W140" s="60">
        <f>IFERROR(INDEX(DK_Last_Week_Results_Data[Actual Score],MATCH(Table61637582[[#This Row],[Name]],DK_Last_Week_Results_Data[Player],0)),"")</f>
        <v>0</v>
      </c>
      <c r="X140" s="58">
        <f>_xlfn.RANK.AVG(Table61637582[[#This Row],[Actual]],Table61637582[Actual],0)</f>
        <v>121</v>
      </c>
    </row>
    <row r="141" spans="2:24" x14ac:dyDescent="0.3">
      <c r="B141" s="489" t="s">
        <v>78</v>
      </c>
      <c r="C141" s="60">
        <v>9.64</v>
      </c>
      <c r="D141" s="58">
        <f>_xlfn.RANK.AVG(Table667986[[#This Row],[Proj]],Table667986[Proj],0)</f>
        <v>131</v>
      </c>
      <c r="E141" s="60">
        <f>IFERROR(INDEX(DK_Last_Week_Results_Data[Actual Score],MATCH(Table667986[[#This Row],[Name]],DK_Last_Week_Results_Data[Player],0)),"")</f>
        <v>0</v>
      </c>
      <c r="F141" s="58">
        <f>_xlfn.RANK.AVG(Table667986[[#This Row],[Actual]],Table667986[Actual],0)</f>
        <v>250</v>
      </c>
      <c r="T141" s="490" t="s">
        <v>304</v>
      </c>
      <c r="U141" s="60">
        <v>1.0900000000000001</v>
      </c>
      <c r="V141" s="58">
        <f>_xlfn.RANK.AVG(Table61637582[[#This Row],[Proj]],Table61637582[Proj],0)</f>
        <v>131</v>
      </c>
      <c r="W141" s="60">
        <f>IFERROR(INDEX(DK_Last_Week_Results_Data[Actual Score],MATCH(Table61637582[[#This Row],[Name]],DK_Last_Week_Results_Data[Player],0)),"")</f>
        <v>2</v>
      </c>
      <c r="X141" s="58">
        <f>_xlfn.RANK.AVG(Table61637582[[#This Row],[Actual]],Table61637582[Actual],0)</f>
        <v>91</v>
      </c>
    </row>
    <row r="142" spans="2:24" x14ac:dyDescent="0.3">
      <c r="B142" s="489" t="s">
        <v>432</v>
      </c>
      <c r="C142" s="60">
        <v>9.629999999999999</v>
      </c>
      <c r="D142" s="58">
        <f>_xlfn.RANK.AVG(Table667986[[#This Row],[Proj]],Table667986[Proj],0)</f>
        <v>132</v>
      </c>
      <c r="E142" s="60">
        <f>IFERROR(INDEX(DK_Last_Week_Results_Data[Actual Score],MATCH(Table667986[[#This Row],[Name]],DK_Last_Week_Results_Data[Player],0)),"")</f>
        <v>12.2</v>
      </c>
      <c r="F142" s="58">
        <f>_xlfn.RANK.AVG(Table667986[[#This Row],[Actual]],Table667986[Actual],0)</f>
        <v>75.5</v>
      </c>
      <c r="T142" s="490" t="s">
        <v>497</v>
      </c>
      <c r="U142" s="60">
        <v>1</v>
      </c>
      <c r="V142" s="58">
        <f>_xlfn.RANK.AVG(Table61637582[[#This Row],[Proj]],Table61637582[Proj],0)</f>
        <v>132</v>
      </c>
      <c r="W142" s="60">
        <f>IFERROR(INDEX(DK_Last_Week_Results_Data[Actual Score],MATCH(Table61637582[[#This Row],[Name]],DK_Last_Week_Results_Data[Player],0)),"")</f>
        <v>1.2</v>
      </c>
      <c r="X142" s="58">
        <f>_xlfn.RANK.AVG(Table61637582[[#This Row],[Actual]],Table61637582[Actual],0)</f>
        <v>99.5</v>
      </c>
    </row>
    <row r="143" spans="2:24" x14ac:dyDescent="0.3">
      <c r="B143" s="489" t="s">
        <v>275</v>
      </c>
      <c r="C143" s="60">
        <v>9.6266666666666669</v>
      </c>
      <c r="D143" s="58">
        <f>_xlfn.RANK.AVG(Table667986[[#This Row],[Proj]],Table667986[Proj],0)</f>
        <v>133</v>
      </c>
      <c r="E143" s="60">
        <f>IFERROR(INDEX(DK_Last_Week_Results_Data[Actual Score],MATCH(Table667986[[#This Row],[Name]],DK_Last_Week_Results_Data[Player],0)),"")</f>
        <v>6.9</v>
      </c>
      <c r="F143" s="58">
        <f>_xlfn.RANK.AVG(Table667986[[#This Row],[Actual]],Table667986[Actual],0)</f>
        <v>127</v>
      </c>
      <c r="T143" s="490" t="s">
        <v>309</v>
      </c>
      <c r="U143" s="60">
        <v>0.94000000000000006</v>
      </c>
      <c r="V143" s="58">
        <f>_xlfn.RANK.AVG(Table61637582[[#This Row],[Proj]],Table61637582[Proj],0)</f>
        <v>133</v>
      </c>
      <c r="W143" s="60">
        <f>IFERROR(INDEX(DK_Last_Week_Results_Data[Actual Score],MATCH(Table61637582[[#This Row],[Name]],DK_Last_Week_Results_Data[Player],0)),"")</f>
        <v>0</v>
      </c>
      <c r="X143" s="58">
        <f>_xlfn.RANK.AVG(Table61637582[[#This Row],[Actual]],Table61637582[Actual],0)</f>
        <v>121</v>
      </c>
    </row>
    <row r="144" spans="2:24" x14ac:dyDescent="0.3">
      <c r="B144" s="489" t="s">
        <v>230</v>
      </c>
      <c r="C144" s="60">
        <v>9.5633333333333326</v>
      </c>
      <c r="D144" s="58">
        <f>_xlfn.RANK.AVG(Table667986[[#This Row],[Proj]],Table667986[Proj],0)</f>
        <v>134</v>
      </c>
      <c r="E144" s="60">
        <f>IFERROR(INDEX(DK_Last_Week_Results_Data[Actual Score],MATCH(Table667986[[#This Row],[Name]],DK_Last_Week_Results_Data[Player],0)),"")</f>
        <v>11.8</v>
      </c>
      <c r="F144" s="58">
        <f>_xlfn.RANK.AVG(Table667986[[#This Row],[Actual]],Table667986[Actual],0)</f>
        <v>79.5</v>
      </c>
      <c r="T144" s="490" t="s">
        <v>279</v>
      </c>
      <c r="U144" s="60">
        <v>0.88</v>
      </c>
      <c r="V144" s="58">
        <f>_xlfn.RANK.AVG(Table61637582[[#This Row],[Proj]],Table61637582[Proj],0)</f>
        <v>134</v>
      </c>
      <c r="W144" s="60">
        <f>IFERROR(INDEX(DK_Last_Week_Results_Data[Actual Score],MATCH(Table61637582[[#This Row],[Name]],DK_Last_Week_Results_Data[Player],0)),"")</f>
        <v>0</v>
      </c>
      <c r="X144" s="58">
        <f>_xlfn.RANK.AVG(Table61637582[[#This Row],[Actual]],Table61637582[Actual],0)</f>
        <v>121</v>
      </c>
    </row>
    <row r="145" spans="2:24" x14ac:dyDescent="0.3">
      <c r="B145" s="489" t="s">
        <v>445</v>
      </c>
      <c r="C145" s="60">
        <v>9.5200000000000014</v>
      </c>
      <c r="D145" s="58">
        <f>_xlfn.RANK.AVG(Table667986[[#This Row],[Proj]],Table667986[Proj],0)</f>
        <v>135</v>
      </c>
      <c r="E145" s="60">
        <f>IFERROR(INDEX(DK_Last_Week_Results_Data[Actual Score],MATCH(Table667986[[#This Row],[Name]],DK_Last_Week_Results_Data[Player],0)),"")</f>
        <v>10.66</v>
      </c>
      <c r="F145" s="58">
        <f>_xlfn.RANK.AVG(Table667986[[#This Row],[Actual]],Table667986[Actual],0)</f>
        <v>88</v>
      </c>
      <c r="T145" s="490" t="s">
        <v>521</v>
      </c>
      <c r="U145" s="60">
        <v>0.71</v>
      </c>
      <c r="V145" s="58">
        <f>_xlfn.RANK.AVG(Table61637582[[#This Row],[Proj]],Table61637582[Proj],0)</f>
        <v>135</v>
      </c>
      <c r="W145" s="60">
        <f>IFERROR(INDEX(DK_Last_Week_Results_Data[Actual Score],MATCH(Table61637582[[#This Row],[Name]],DK_Last_Week_Results_Data[Player],0)),"")</f>
        <v>0</v>
      </c>
      <c r="X145" s="58">
        <f>_xlfn.RANK.AVG(Table61637582[[#This Row],[Actual]],Table61637582[Actual],0)</f>
        <v>121</v>
      </c>
    </row>
    <row r="146" spans="2:24" x14ac:dyDescent="0.3">
      <c r="B146" s="489" t="s">
        <v>214</v>
      </c>
      <c r="C146" s="60">
        <v>9.4500000000000011</v>
      </c>
      <c r="D146" s="58">
        <f>_xlfn.RANK.AVG(Table667986[[#This Row],[Proj]],Table667986[Proj],0)</f>
        <v>136</v>
      </c>
      <c r="E146" s="60">
        <f>IFERROR(INDEX(DK_Last_Week_Results_Data[Actual Score],MATCH(Table667986[[#This Row],[Name]],DK_Last_Week_Results_Data[Player],0)),"")</f>
        <v>21.4</v>
      </c>
      <c r="F146" s="58">
        <f>_xlfn.RANK.AVG(Table667986[[#This Row],[Actual]],Table667986[Actual],0)</f>
        <v>35</v>
      </c>
      <c r="T146" s="490" t="s">
        <v>514</v>
      </c>
      <c r="U146" s="60">
        <v>0.7</v>
      </c>
      <c r="V146" s="58">
        <f>_xlfn.RANK.AVG(Table61637582[[#This Row],[Proj]],Table61637582[Proj],0)</f>
        <v>136.5</v>
      </c>
      <c r="W146" s="60">
        <f>IFERROR(INDEX(DK_Last_Week_Results_Data[Actual Score],MATCH(Table61637582[[#This Row],[Name]],DK_Last_Week_Results_Data[Player],0)),"")</f>
        <v>7</v>
      </c>
      <c r="X146" s="58">
        <f>_xlfn.RANK.AVG(Table61637582[[#This Row],[Actual]],Table61637582[Actual],0)</f>
        <v>56</v>
      </c>
    </row>
    <row r="147" spans="2:24" x14ac:dyDescent="0.3">
      <c r="B147" s="489" t="s">
        <v>53</v>
      </c>
      <c r="C147" s="60">
        <v>9.2308750000000011</v>
      </c>
      <c r="D147" s="58">
        <f>_xlfn.RANK.AVG(Table667986[[#This Row],[Proj]],Table667986[Proj],0)</f>
        <v>137</v>
      </c>
      <c r="E147" s="60">
        <f>IFERROR(INDEX(DK_Last_Week_Results_Data[Actual Score],MATCH(Table667986[[#This Row],[Name]],DK_Last_Week_Results_Data[Player],0)),"")</f>
        <v>0</v>
      </c>
      <c r="F147" s="58">
        <f>_xlfn.RANK.AVG(Table667986[[#This Row],[Actual]],Table667986[Actual],0)</f>
        <v>250</v>
      </c>
      <c r="T147" s="490" t="s">
        <v>510</v>
      </c>
      <c r="U147" s="60">
        <v>0.7</v>
      </c>
      <c r="V147" s="58">
        <f>_xlfn.RANK.AVG(Table61637582[[#This Row],[Proj]],Table61637582[Proj],0)</f>
        <v>136.5</v>
      </c>
      <c r="W147" s="60">
        <f>IFERROR(INDEX(DK_Last_Week_Results_Data[Actual Score],MATCH(Table61637582[[#This Row],[Name]],DK_Last_Week_Results_Data[Player],0)),"")</f>
        <v>0</v>
      </c>
      <c r="X147" s="58">
        <f>_xlfn.RANK.AVG(Table61637582[[#This Row],[Actual]],Table61637582[Actual],0)</f>
        <v>121</v>
      </c>
    </row>
    <row r="148" spans="2:24" x14ac:dyDescent="0.3">
      <c r="B148" s="489" t="s">
        <v>33</v>
      </c>
      <c r="C148" s="60">
        <v>9.2011249999999993</v>
      </c>
      <c r="D148" s="58">
        <f>_xlfn.RANK.AVG(Table667986[[#This Row],[Proj]],Table667986[Proj],0)</f>
        <v>138</v>
      </c>
      <c r="E148" s="60">
        <f>IFERROR(INDEX(DK_Last_Week_Results_Data[Actual Score],MATCH(Table667986[[#This Row],[Name]],DK_Last_Week_Results_Data[Player],0)),"")</f>
        <v>0</v>
      </c>
      <c r="F148" s="58">
        <f>_xlfn.RANK.AVG(Table667986[[#This Row],[Actual]],Table667986[Actual],0)</f>
        <v>250</v>
      </c>
      <c r="T148" s="490" t="s">
        <v>528</v>
      </c>
      <c r="U148" s="60">
        <v>0.51</v>
      </c>
      <c r="V148" s="58">
        <f>_xlfn.RANK.AVG(Table61637582[[#This Row],[Proj]],Table61637582[Proj],0)</f>
        <v>138</v>
      </c>
      <c r="W148" s="60">
        <f>IFERROR(INDEX(DK_Last_Week_Results_Data[Actual Score],MATCH(Table61637582[[#This Row],[Name]],DK_Last_Week_Results_Data[Player],0)),"")</f>
        <v>0</v>
      </c>
      <c r="X148" s="58">
        <f>_xlfn.RANK.AVG(Table61637582[[#This Row],[Actual]],Table61637582[Actual],0)</f>
        <v>121</v>
      </c>
    </row>
    <row r="149" spans="2:24" x14ac:dyDescent="0.3">
      <c r="B149" s="489" t="s">
        <v>446</v>
      </c>
      <c r="C149" s="60">
        <v>9.1687500000000011</v>
      </c>
      <c r="D149" s="58">
        <f>_xlfn.RANK.AVG(Table667986[[#This Row],[Proj]],Table667986[Proj],0)</f>
        <v>139</v>
      </c>
      <c r="E149" s="60">
        <f>IFERROR(INDEX(DK_Last_Week_Results_Data[Actual Score],MATCH(Table667986[[#This Row],[Name]],DK_Last_Week_Results_Data[Player],0)),"")</f>
        <v>5.4</v>
      </c>
      <c r="F149" s="58">
        <f>_xlfn.RANK.AVG(Table667986[[#This Row],[Actual]],Table667986[Actual],0)</f>
        <v>147.5</v>
      </c>
      <c r="T149" s="490" t="s">
        <v>491</v>
      </c>
      <c r="U149" s="60">
        <v>0.48</v>
      </c>
      <c r="V149" s="58">
        <f>_xlfn.RANK.AVG(Table61637582[[#This Row],[Proj]],Table61637582[Proj],0)</f>
        <v>139</v>
      </c>
      <c r="W149" s="60">
        <f>IFERROR(INDEX(DK_Last_Week_Results_Data[Actual Score],MATCH(Table61637582[[#This Row],[Name]],DK_Last_Week_Results_Data[Player],0)),"")</f>
        <v>0</v>
      </c>
      <c r="X149" s="58">
        <f>_xlfn.RANK.AVG(Table61637582[[#This Row],[Actual]],Table61637582[Actual],0)</f>
        <v>121</v>
      </c>
    </row>
    <row r="150" spans="2:24" x14ac:dyDescent="0.3">
      <c r="B150" s="489" t="s">
        <v>126</v>
      </c>
      <c r="C150" s="60">
        <v>9.0366666666666671</v>
      </c>
      <c r="D150" s="58">
        <f>_xlfn.RANK.AVG(Table667986[[#This Row],[Proj]],Table667986[Proj],0)</f>
        <v>140</v>
      </c>
      <c r="E150" s="60">
        <f>IFERROR(INDEX(DK_Last_Week_Results_Data[Actual Score],MATCH(Table667986[[#This Row],[Name]],DK_Last_Week_Results_Data[Player],0)),"")</f>
        <v>27.7</v>
      </c>
      <c r="F150" s="58">
        <f>_xlfn.RANK.AVG(Table667986[[#This Row],[Actual]],Table667986[Actual],0)</f>
        <v>20</v>
      </c>
      <c r="T150" s="490" t="s">
        <v>504</v>
      </c>
      <c r="U150" s="60">
        <v>0.47000000000000003</v>
      </c>
      <c r="V150" s="58">
        <f>_xlfn.RANK.AVG(Table61637582[[#This Row],[Proj]],Table61637582[Proj],0)</f>
        <v>140.5</v>
      </c>
      <c r="W150" s="60">
        <f>IFERROR(INDEX(DK_Last_Week_Results_Data[Actual Score],MATCH(Table61637582[[#This Row],[Name]],DK_Last_Week_Results_Data[Player],0)),"")</f>
        <v>0</v>
      </c>
      <c r="X150" s="58">
        <f>_xlfn.RANK.AVG(Table61637582[[#This Row],[Actual]],Table61637582[Actual],0)</f>
        <v>121</v>
      </c>
    </row>
    <row r="151" spans="2:24" x14ac:dyDescent="0.3">
      <c r="B151" s="489" t="s">
        <v>277</v>
      </c>
      <c r="C151" s="60">
        <v>9.0066666666666677</v>
      </c>
      <c r="D151" s="58">
        <f>_xlfn.RANK.AVG(Table667986[[#This Row],[Proj]],Table667986[Proj],0)</f>
        <v>141</v>
      </c>
      <c r="E151" s="60">
        <f>IFERROR(INDEX(DK_Last_Week_Results_Data[Actual Score],MATCH(Table667986[[#This Row],[Name]],DK_Last_Week_Results_Data[Player],0)),"")</f>
        <v>6.1</v>
      </c>
      <c r="F151" s="58">
        <f>_xlfn.RANK.AVG(Table667986[[#This Row],[Actual]],Table667986[Actual],0)</f>
        <v>139.5</v>
      </c>
      <c r="T151" s="490" t="s">
        <v>517</v>
      </c>
      <c r="U151" s="60">
        <v>0.47000000000000003</v>
      </c>
      <c r="V151" s="58">
        <f>_xlfn.RANK.AVG(Table61637582[[#This Row],[Proj]],Table61637582[Proj],0)</f>
        <v>140.5</v>
      </c>
      <c r="W151" s="60">
        <f>IFERROR(INDEX(DK_Last_Week_Results_Data[Actual Score],MATCH(Table61637582[[#This Row],[Name]],DK_Last_Week_Results_Data[Player],0)),"")</f>
        <v>0</v>
      </c>
      <c r="X151" s="58">
        <f>_xlfn.RANK.AVG(Table61637582[[#This Row],[Actual]],Table61637582[Actual],0)</f>
        <v>121</v>
      </c>
    </row>
    <row r="152" spans="2:24" x14ac:dyDescent="0.3">
      <c r="B152" s="489" t="s">
        <v>243</v>
      </c>
      <c r="C152" s="60">
        <v>8.9733333333333327</v>
      </c>
      <c r="D152" s="58">
        <f>_xlfn.RANK.AVG(Table667986[[#This Row],[Proj]],Table667986[Proj],0)</f>
        <v>142</v>
      </c>
      <c r="E152" s="60">
        <f>IFERROR(INDEX(DK_Last_Week_Results_Data[Actual Score],MATCH(Table667986[[#This Row],[Name]],DK_Last_Week_Results_Data[Player],0)),"")</f>
        <v>6.5</v>
      </c>
      <c r="F152" s="58">
        <f>_xlfn.RANK.AVG(Table667986[[#This Row],[Actual]],Table667986[Actual],0)</f>
        <v>133</v>
      </c>
      <c r="T152" s="490" t="s">
        <v>312</v>
      </c>
      <c r="U152" s="60">
        <v>0.33999999999999997</v>
      </c>
      <c r="V152" s="58">
        <f>_xlfn.RANK.AVG(Table61637582[[#This Row],[Proj]],Table61637582[Proj],0)</f>
        <v>142</v>
      </c>
      <c r="W152" s="60">
        <f>IFERROR(INDEX(DK_Last_Week_Results_Data[Actual Score],MATCH(Table61637582[[#This Row],[Name]],DK_Last_Week_Results_Data[Player],0)),"")</f>
        <v>1.6</v>
      </c>
      <c r="X152" s="58">
        <f>_xlfn.RANK.AVG(Table61637582[[#This Row],[Actual]],Table61637582[Actual],0)</f>
        <v>95.5</v>
      </c>
    </row>
    <row r="153" spans="2:24" x14ac:dyDescent="0.3">
      <c r="B153" s="489" t="s">
        <v>58</v>
      </c>
      <c r="C153" s="60">
        <v>8.9013749999999998</v>
      </c>
      <c r="D153" s="58">
        <f>_xlfn.RANK.AVG(Table667986[[#This Row],[Proj]],Table667986[Proj],0)</f>
        <v>143</v>
      </c>
      <c r="E153" s="60">
        <f>IFERROR(INDEX(DK_Last_Week_Results_Data[Actual Score],MATCH(Table667986[[#This Row],[Name]],DK_Last_Week_Results_Data[Player],0)),"")</f>
        <v>0</v>
      </c>
      <c r="F153" s="58">
        <f>_xlfn.RANK.AVG(Table667986[[#This Row],[Actual]],Table667986[Actual],0)</f>
        <v>250</v>
      </c>
      <c r="T153" s="490" t="s">
        <v>307</v>
      </c>
      <c r="U153" s="60">
        <v>0.23499999999999999</v>
      </c>
      <c r="V153" s="58">
        <f>_xlfn.RANK.AVG(Table61637582[[#This Row],[Proj]],Table61637582[Proj],0)</f>
        <v>143</v>
      </c>
      <c r="W153" s="60">
        <f>IFERROR(INDEX(DK_Last_Week_Results_Data[Actual Score],MATCH(Table61637582[[#This Row],[Name]],DK_Last_Week_Results_Data[Player],0)),"")</f>
        <v>0.3</v>
      </c>
      <c r="X153" s="58">
        <f>_xlfn.RANK.AVG(Table61637582[[#This Row],[Actual]],Table61637582[Actual],0)</f>
        <v>101</v>
      </c>
    </row>
    <row r="154" spans="2:24" x14ac:dyDescent="0.3">
      <c r="B154" s="489" t="s">
        <v>145</v>
      </c>
      <c r="C154" s="60">
        <v>8.8633333333333333</v>
      </c>
      <c r="D154" s="58">
        <f>_xlfn.RANK.AVG(Table667986[[#This Row],[Proj]],Table667986[Proj],0)</f>
        <v>144</v>
      </c>
      <c r="E154" s="60">
        <f>IFERROR(INDEX(DK_Last_Week_Results_Data[Actual Score],MATCH(Table667986[[#This Row],[Name]],DK_Last_Week_Results_Data[Player],0)),"")</f>
        <v>28.1</v>
      </c>
      <c r="F154" s="58">
        <f>_xlfn.RANK.AVG(Table667986[[#This Row],[Actual]],Table667986[Actual],0)</f>
        <v>19</v>
      </c>
      <c r="T154" s="490" t="s">
        <v>281</v>
      </c>
      <c r="U154" s="60">
        <v>0.23</v>
      </c>
      <c r="V154" s="58">
        <f>_xlfn.RANK.AVG(Table61637582[[#This Row],[Proj]],Table61637582[Proj],0)</f>
        <v>144</v>
      </c>
      <c r="W154" s="60">
        <f>IFERROR(INDEX(DK_Last_Week_Results_Data[Actual Score],MATCH(Table61637582[[#This Row],[Name]],DK_Last_Week_Results_Data[Player],0)),"")</f>
        <v>0</v>
      </c>
      <c r="X154" s="58">
        <f>_xlfn.RANK.AVG(Table61637582[[#This Row],[Actual]],Table61637582[Actual],0)</f>
        <v>121</v>
      </c>
    </row>
    <row r="155" spans="2:24" x14ac:dyDescent="0.3">
      <c r="B155" s="489" t="s">
        <v>149</v>
      </c>
      <c r="C155" s="60">
        <v>8.8566666666666656</v>
      </c>
      <c r="D155" s="58">
        <f>_xlfn.RANK.AVG(Table667986[[#This Row],[Proj]],Table667986[Proj],0)</f>
        <v>145</v>
      </c>
      <c r="E155" s="60">
        <f>IFERROR(INDEX(DK_Last_Week_Results_Data[Actual Score],MATCH(Table667986[[#This Row],[Name]],DK_Last_Week_Results_Data[Player],0)),"")</f>
        <v>6.3</v>
      </c>
      <c r="F155" s="58">
        <f>_xlfn.RANK.AVG(Table667986[[#This Row],[Actual]],Table667986[Actual],0)</f>
        <v>134.5</v>
      </c>
    </row>
    <row r="156" spans="2:24" x14ac:dyDescent="0.3">
      <c r="B156" s="489" t="s">
        <v>239</v>
      </c>
      <c r="C156" s="60">
        <v>8.7833333333333332</v>
      </c>
      <c r="D156" s="58">
        <f>_xlfn.RANK.AVG(Table667986[[#This Row],[Proj]],Table667986[Proj],0)</f>
        <v>146</v>
      </c>
      <c r="E156" s="60">
        <f>IFERROR(INDEX(DK_Last_Week_Results_Data[Actual Score],MATCH(Table667986[[#This Row],[Name]],DK_Last_Week_Results_Data[Player],0)),"")</f>
        <v>6.2</v>
      </c>
      <c r="F156" s="58">
        <f>_xlfn.RANK.AVG(Table667986[[#This Row],[Actual]],Table667986[Actual],0)</f>
        <v>136.5</v>
      </c>
    </row>
    <row r="157" spans="2:24" x14ac:dyDescent="0.3">
      <c r="B157" s="489" t="s">
        <v>258</v>
      </c>
      <c r="C157" s="60">
        <v>8.7600000000000016</v>
      </c>
      <c r="D157" s="58">
        <f>_xlfn.RANK.AVG(Table667986[[#This Row],[Proj]],Table667986[Proj],0)</f>
        <v>147</v>
      </c>
      <c r="E157" s="60">
        <f>IFERROR(INDEX(DK_Last_Week_Results_Data[Actual Score],MATCH(Table667986[[#This Row],[Name]],DK_Last_Week_Results_Data[Player],0)),"")</f>
        <v>12.6</v>
      </c>
      <c r="F157" s="58">
        <f>_xlfn.RANK.AVG(Table667986[[#This Row],[Actual]],Table667986[Actual],0)</f>
        <v>74</v>
      </c>
    </row>
    <row r="158" spans="2:24" x14ac:dyDescent="0.3">
      <c r="B158" s="489" t="s">
        <v>124</v>
      </c>
      <c r="C158" s="60">
        <v>8.7433333333333323</v>
      </c>
      <c r="D158" s="58">
        <f>_xlfn.RANK.AVG(Table667986[[#This Row],[Proj]],Table667986[Proj],0)</f>
        <v>148</v>
      </c>
      <c r="E158" s="60">
        <f>IFERROR(INDEX(DK_Last_Week_Results_Data[Actual Score],MATCH(Table667986[[#This Row],[Name]],DK_Last_Week_Results_Data[Player],0)),"")</f>
        <v>12.1</v>
      </c>
      <c r="F158" s="58">
        <f>_xlfn.RANK.AVG(Table667986[[#This Row],[Actual]],Table667986[Actual],0)</f>
        <v>77</v>
      </c>
    </row>
    <row r="159" spans="2:24" x14ac:dyDescent="0.3">
      <c r="B159" s="489" t="s">
        <v>79</v>
      </c>
      <c r="C159" s="60">
        <v>8.7283749999999998</v>
      </c>
      <c r="D159" s="58">
        <f>_xlfn.RANK.AVG(Table667986[[#This Row],[Proj]],Table667986[Proj],0)</f>
        <v>149</v>
      </c>
      <c r="E159" s="60">
        <f>IFERROR(INDEX(DK_Last_Week_Results_Data[Actual Score],MATCH(Table667986[[#This Row],[Name]],DK_Last_Week_Results_Data[Player],0)),"")</f>
        <v>0</v>
      </c>
      <c r="F159" s="58">
        <f>_xlfn.RANK.AVG(Table667986[[#This Row],[Actual]],Table667986[Actual],0)</f>
        <v>250</v>
      </c>
    </row>
    <row r="160" spans="2:24" x14ac:dyDescent="0.3">
      <c r="B160" s="489" t="s">
        <v>254</v>
      </c>
      <c r="C160" s="60">
        <v>8.673333333333332</v>
      </c>
      <c r="D160" s="58">
        <f>_xlfn.RANK.AVG(Table667986[[#This Row],[Proj]],Table667986[Proj],0)</f>
        <v>150</v>
      </c>
      <c r="E160" s="60">
        <f>IFERROR(INDEX(DK_Last_Week_Results_Data[Actual Score],MATCH(Table667986[[#This Row],[Name]],DK_Last_Week_Results_Data[Player],0)),"")</f>
        <v>0</v>
      </c>
      <c r="F160" s="58">
        <f>_xlfn.RANK.AVG(Table667986[[#This Row],[Actual]],Table667986[Actual],0)</f>
        <v>250</v>
      </c>
    </row>
    <row r="161" spans="2:6" x14ac:dyDescent="0.3">
      <c r="B161" s="489" t="s">
        <v>443</v>
      </c>
      <c r="C161" s="60">
        <v>8.5953750000000007</v>
      </c>
      <c r="D161" s="58">
        <f>_xlfn.RANK.AVG(Table667986[[#This Row],[Proj]],Table667986[Proj],0)</f>
        <v>151</v>
      </c>
      <c r="E161" s="60">
        <f>IFERROR(INDEX(DK_Last_Week_Results_Data[Actual Score],MATCH(Table667986[[#This Row],[Name]],DK_Last_Week_Results_Data[Player],0)),"")</f>
        <v>0</v>
      </c>
      <c r="F161" s="58">
        <f>_xlfn.RANK.AVG(Table667986[[#This Row],[Actual]],Table667986[Actual],0)</f>
        <v>250</v>
      </c>
    </row>
    <row r="162" spans="2:6" x14ac:dyDescent="0.3">
      <c r="B162" s="489" t="s">
        <v>451</v>
      </c>
      <c r="C162" s="60">
        <v>8.5493749999999995</v>
      </c>
      <c r="D162" s="58">
        <f>_xlfn.RANK.AVG(Table667986[[#This Row],[Proj]],Table667986[Proj],0)</f>
        <v>152</v>
      </c>
      <c r="E162" s="60">
        <f>IFERROR(INDEX(DK_Last_Week_Results_Data[Actual Score],MATCH(Table667986[[#This Row],[Name]],DK_Last_Week_Results_Data[Player],0)),"")</f>
        <v>0</v>
      </c>
      <c r="F162" s="58">
        <f>_xlfn.RANK.AVG(Table667986[[#This Row],[Actual]],Table667986[Actual],0)</f>
        <v>250</v>
      </c>
    </row>
    <row r="163" spans="2:6" x14ac:dyDescent="0.3">
      <c r="B163" s="489" t="s">
        <v>80</v>
      </c>
      <c r="C163" s="60">
        <v>8.5176249999999989</v>
      </c>
      <c r="D163" s="58">
        <f>_xlfn.RANK.AVG(Table667986[[#This Row],[Proj]],Table667986[Proj],0)</f>
        <v>153</v>
      </c>
      <c r="E163" s="60">
        <f>IFERROR(INDEX(DK_Last_Week_Results_Data[Actual Score],MATCH(Table667986[[#This Row],[Name]],DK_Last_Week_Results_Data[Player],0)),"")</f>
        <v>0.12</v>
      </c>
      <c r="F163" s="58">
        <f>_xlfn.RANK.AVG(Table667986[[#This Row],[Actual]],Table667986[Actual],0)</f>
        <v>201</v>
      </c>
    </row>
    <row r="164" spans="2:6" x14ac:dyDescent="0.3">
      <c r="B164" s="489" t="s">
        <v>256</v>
      </c>
      <c r="C164" s="60">
        <v>8.5033333333333321</v>
      </c>
      <c r="D164" s="58">
        <f>_xlfn.RANK.AVG(Table667986[[#This Row],[Proj]],Table667986[Proj],0)</f>
        <v>154</v>
      </c>
      <c r="E164" s="60">
        <f>IFERROR(INDEX(DK_Last_Week_Results_Data[Actual Score],MATCH(Table667986[[#This Row],[Name]],DK_Last_Week_Results_Data[Player],0)),"")</f>
        <v>5.0999999999999996</v>
      </c>
      <c r="F164" s="58">
        <f>_xlfn.RANK.AVG(Table667986[[#This Row],[Actual]],Table667986[Actual],0)</f>
        <v>153.5</v>
      </c>
    </row>
    <row r="165" spans="2:6" x14ac:dyDescent="0.3">
      <c r="B165" s="489" t="s">
        <v>434</v>
      </c>
      <c r="C165" s="60">
        <v>8.4667499999999993</v>
      </c>
      <c r="D165" s="58">
        <f>_xlfn.RANK.AVG(Table667986[[#This Row],[Proj]],Table667986[Proj],0)</f>
        <v>155</v>
      </c>
      <c r="E165" s="60">
        <f>IFERROR(INDEX(DK_Last_Week_Results_Data[Actual Score],MATCH(Table667986[[#This Row],[Name]],DK_Last_Week_Results_Data[Player],0)),"")</f>
        <v>0</v>
      </c>
      <c r="F165" s="58">
        <f>_xlfn.RANK.AVG(Table667986[[#This Row],[Actual]],Table667986[Actual],0)</f>
        <v>250</v>
      </c>
    </row>
    <row r="166" spans="2:6" x14ac:dyDescent="0.3">
      <c r="B166" s="489" t="s">
        <v>437</v>
      </c>
      <c r="C166" s="60">
        <v>8.4482499999999998</v>
      </c>
      <c r="D166" s="58">
        <f>_xlfn.RANK.AVG(Table667986[[#This Row],[Proj]],Table667986[Proj],0)</f>
        <v>156</v>
      </c>
      <c r="E166" s="60">
        <f>IFERROR(INDEX(DK_Last_Week_Results_Data[Actual Score],MATCH(Table667986[[#This Row],[Name]],DK_Last_Week_Results_Data[Player],0)),"")</f>
        <v>0</v>
      </c>
      <c r="F166" s="58">
        <f>_xlfn.RANK.AVG(Table667986[[#This Row],[Actual]],Table667986[Actual],0)</f>
        <v>250</v>
      </c>
    </row>
    <row r="167" spans="2:6" x14ac:dyDescent="0.3">
      <c r="B167" s="489" t="s">
        <v>1248</v>
      </c>
      <c r="C167" s="60">
        <v>8.370000000000001</v>
      </c>
      <c r="D167" s="58">
        <f>_xlfn.RANK.AVG(Table667986[[#This Row],[Proj]],Table667986[Proj],0)</f>
        <v>157</v>
      </c>
      <c r="E167" s="60">
        <f>IFERROR(INDEX(DK_Last_Week_Results_Data[Actual Score],MATCH(Table667986[[#This Row],[Name]],DK_Last_Week_Results_Data[Player],0)),"")</f>
        <v>5.2</v>
      </c>
      <c r="F167" s="58">
        <f>_xlfn.RANK.AVG(Table667986[[#This Row],[Actual]],Table667986[Actual],0)</f>
        <v>150.5</v>
      </c>
    </row>
    <row r="168" spans="2:6" x14ac:dyDescent="0.3">
      <c r="B168" s="489" t="s">
        <v>242</v>
      </c>
      <c r="C168" s="60">
        <v>8.3650000000000002</v>
      </c>
      <c r="D168" s="58">
        <f>_xlfn.RANK.AVG(Table667986[[#This Row],[Proj]],Table667986[Proj],0)</f>
        <v>158</v>
      </c>
      <c r="E168" s="60">
        <f>IFERROR(INDEX(DK_Last_Week_Results_Data[Actual Score],MATCH(Table667986[[#This Row],[Name]],DK_Last_Week_Results_Data[Player],0)),"")</f>
        <v>10.3</v>
      </c>
      <c r="F168" s="58">
        <f>_xlfn.RANK.AVG(Table667986[[#This Row],[Actual]],Table667986[Actual],0)</f>
        <v>93</v>
      </c>
    </row>
    <row r="169" spans="2:6" x14ac:dyDescent="0.3">
      <c r="B169" s="489" t="s">
        <v>260</v>
      </c>
      <c r="C169" s="60">
        <v>8.35</v>
      </c>
      <c r="D169" s="58">
        <f>_xlfn.RANK.AVG(Table667986[[#This Row],[Proj]],Table667986[Proj],0)</f>
        <v>159</v>
      </c>
      <c r="E169" s="60">
        <f>IFERROR(INDEX(DK_Last_Week_Results_Data[Actual Score],MATCH(Table667986[[#This Row],[Name]],DK_Last_Week_Results_Data[Player],0)),"")</f>
        <v>5.2</v>
      </c>
      <c r="F169" s="58">
        <f>_xlfn.RANK.AVG(Table667986[[#This Row],[Actual]],Table667986[Actual],0)</f>
        <v>150.5</v>
      </c>
    </row>
    <row r="170" spans="2:6" x14ac:dyDescent="0.3">
      <c r="B170" s="489" t="s">
        <v>1241</v>
      </c>
      <c r="C170" s="60">
        <v>8.3241250000000004</v>
      </c>
      <c r="D170" s="58">
        <f>_xlfn.RANK.AVG(Table667986[[#This Row],[Proj]],Table667986[Proj],0)</f>
        <v>160</v>
      </c>
      <c r="E170" s="60">
        <f>IFERROR(INDEX(DK_Last_Week_Results_Data[Actual Score],MATCH(Table667986[[#This Row],[Name]],DK_Last_Week_Results_Data[Player],0)),"")</f>
        <v>0</v>
      </c>
      <c r="F170" s="58">
        <f>_xlfn.RANK.AVG(Table667986[[#This Row],[Actual]],Table667986[Actual],0)</f>
        <v>250</v>
      </c>
    </row>
    <row r="171" spans="2:6" x14ac:dyDescent="0.3">
      <c r="B171" s="489" t="s">
        <v>55</v>
      </c>
      <c r="C171" s="60">
        <v>8.2956249999999994</v>
      </c>
      <c r="D171" s="58">
        <f>_xlfn.RANK.AVG(Table667986[[#This Row],[Proj]],Table667986[Proj],0)</f>
        <v>161</v>
      </c>
      <c r="E171" s="60">
        <f>IFERROR(INDEX(DK_Last_Week_Results_Data[Actual Score],MATCH(Table667986[[#This Row],[Name]],DK_Last_Week_Results_Data[Player],0)),"")</f>
        <v>0</v>
      </c>
      <c r="F171" s="58">
        <f>_xlfn.RANK.AVG(Table667986[[#This Row],[Actual]],Table667986[Actual],0)</f>
        <v>250</v>
      </c>
    </row>
    <row r="172" spans="2:6" x14ac:dyDescent="0.3">
      <c r="B172" s="489" t="s">
        <v>240</v>
      </c>
      <c r="C172" s="60">
        <v>8.2666666666666675</v>
      </c>
      <c r="D172" s="58">
        <f>_xlfn.RANK.AVG(Table667986[[#This Row],[Proj]],Table667986[Proj],0)</f>
        <v>162</v>
      </c>
      <c r="E172" s="60">
        <f>IFERROR(INDEX(DK_Last_Week_Results_Data[Actual Score],MATCH(Table667986[[#This Row],[Name]],DK_Last_Week_Results_Data[Player],0)),"")</f>
        <v>14.3</v>
      </c>
      <c r="F172" s="58">
        <f>_xlfn.RANK.AVG(Table667986[[#This Row],[Actual]],Table667986[Actual],0)</f>
        <v>59</v>
      </c>
    </row>
    <row r="173" spans="2:6" x14ac:dyDescent="0.3">
      <c r="B173" s="489" t="s">
        <v>283</v>
      </c>
      <c r="C173" s="60">
        <v>8.206666666666667</v>
      </c>
      <c r="D173" s="58">
        <f>_xlfn.RANK.AVG(Table667986[[#This Row],[Proj]],Table667986[Proj],0)</f>
        <v>163</v>
      </c>
      <c r="E173" s="60">
        <f>IFERROR(INDEX(DK_Last_Week_Results_Data[Actual Score],MATCH(Table667986[[#This Row],[Name]],DK_Last_Week_Results_Data[Player],0)),"")</f>
        <v>5.7</v>
      </c>
      <c r="F173" s="58">
        <f>_xlfn.RANK.AVG(Table667986[[#This Row],[Actual]],Table667986[Actual],0)</f>
        <v>145.5</v>
      </c>
    </row>
    <row r="174" spans="2:6" x14ac:dyDescent="0.3">
      <c r="B174" s="489" t="s">
        <v>294</v>
      </c>
      <c r="C174" s="60">
        <v>8.1850000000000005</v>
      </c>
      <c r="D174" s="58">
        <f>_xlfn.RANK.AVG(Table667986[[#This Row],[Proj]],Table667986[Proj],0)</f>
        <v>164</v>
      </c>
      <c r="E174" s="60">
        <f>IFERROR(INDEX(DK_Last_Week_Results_Data[Actual Score],MATCH(Table667986[[#This Row],[Name]],DK_Last_Week_Results_Data[Player],0)),"")</f>
        <v>4.4000000000000004</v>
      </c>
      <c r="F174" s="58">
        <f>_xlfn.RANK.AVG(Table667986[[#This Row],[Actual]],Table667986[Actual],0)</f>
        <v>161.5</v>
      </c>
    </row>
    <row r="175" spans="2:6" x14ac:dyDescent="0.3">
      <c r="B175" s="489" t="s">
        <v>225</v>
      </c>
      <c r="C175" s="60">
        <v>8.076666666666668</v>
      </c>
      <c r="D175" s="58">
        <f>_xlfn.RANK.AVG(Table667986[[#This Row],[Proj]],Table667986[Proj],0)</f>
        <v>165</v>
      </c>
      <c r="E175" s="60">
        <f>IFERROR(INDEX(DK_Last_Week_Results_Data[Actual Score],MATCH(Table667986[[#This Row],[Name]],DK_Last_Week_Results_Data[Player],0)),"")</f>
        <v>3.1</v>
      </c>
      <c r="F175" s="58">
        <f>_xlfn.RANK.AVG(Table667986[[#This Row],[Actual]],Table667986[Actual],0)</f>
        <v>174</v>
      </c>
    </row>
    <row r="176" spans="2:6" x14ac:dyDescent="0.3">
      <c r="B176" s="489" t="s">
        <v>221</v>
      </c>
      <c r="C176" s="60">
        <v>8.0500000000000007</v>
      </c>
      <c r="D176" s="58">
        <f>_xlfn.RANK.AVG(Table667986[[#This Row],[Proj]],Table667986[Proj],0)</f>
        <v>166</v>
      </c>
      <c r="E176" s="60">
        <f>IFERROR(INDEX(DK_Last_Week_Results_Data[Actual Score],MATCH(Table667986[[#This Row],[Name]],DK_Last_Week_Results_Data[Player],0)),"")</f>
        <v>1.5</v>
      </c>
      <c r="F176" s="58">
        <f>_xlfn.RANK.AVG(Table667986[[#This Row],[Actual]],Table667986[Actual],0)</f>
        <v>193</v>
      </c>
    </row>
    <row r="177" spans="2:6" x14ac:dyDescent="0.3">
      <c r="B177" s="489" t="s">
        <v>68</v>
      </c>
      <c r="C177" s="60">
        <v>7.9625000000000004</v>
      </c>
      <c r="D177" s="58">
        <f>_xlfn.RANK.AVG(Table667986[[#This Row],[Proj]],Table667986[Proj],0)</f>
        <v>167</v>
      </c>
      <c r="E177" s="60">
        <f>IFERROR(INDEX(DK_Last_Week_Results_Data[Actual Score],MATCH(Table667986[[#This Row],[Name]],DK_Last_Week_Results_Data[Player],0)),"")</f>
        <v>0</v>
      </c>
      <c r="F177" s="58">
        <f>_xlfn.RANK.AVG(Table667986[[#This Row],[Actual]],Table667986[Actual],0)</f>
        <v>250</v>
      </c>
    </row>
    <row r="178" spans="2:6" x14ac:dyDescent="0.3">
      <c r="B178" s="489" t="s">
        <v>238</v>
      </c>
      <c r="C178" s="60">
        <v>7.8966666666666665</v>
      </c>
      <c r="D178" s="58">
        <f>_xlfn.RANK.AVG(Table667986[[#This Row],[Proj]],Table667986[Proj],0)</f>
        <v>168</v>
      </c>
      <c r="E178" s="60">
        <f>IFERROR(INDEX(DK_Last_Week_Results_Data[Actual Score],MATCH(Table667986[[#This Row],[Name]],DK_Last_Week_Results_Data[Player],0)),"")</f>
        <v>17.8</v>
      </c>
      <c r="F178" s="58">
        <f>_xlfn.RANK.AVG(Table667986[[#This Row],[Actual]],Table667986[Actual],0)</f>
        <v>46.5</v>
      </c>
    </row>
    <row r="179" spans="2:6" x14ac:dyDescent="0.3">
      <c r="B179" s="489" t="s">
        <v>231</v>
      </c>
      <c r="C179" s="60">
        <v>7.8333333333333339</v>
      </c>
      <c r="D179" s="58">
        <f>_xlfn.RANK.AVG(Table667986[[#This Row],[Proj]],Table667986[Proj],0)</f>
        <v>169</v>
      </c>
      <c r="E179" s="60">
        <f>IFERROR(INDEX(DK_Last_Week_Results_Data[Actual Score],MATCH(Table667986[[#This Row],[Name]],DK_Last_Week_Results_Data[Player],0)),"")</f>
        <v>11.1</v>
      </c>
      <c r="F179" s="58">
        <f>_xlfn.RANK.AVG(Table667986[[#This Row],[Actual]],Table667986[Actual],0)</f>
        <v>84</v>
      </c>
    </row>
    <row r="180" spans="2:6" x14ac:dyDescent="0.3">
      <c r="B180" s="489" t="s">
        <v>410</v>
      </c>
      <c r="C180" s="60">
        <v>7.7433333333333341</v>
      </c>
      <c r="D180" s="58">
        <f>_xlfn.RANK.AVG(Table667986[[#This Row],[Proj]],Table667986[Proj],0)</f>
        <v>170</v>
      </c>
      <c r="E180" s="60">
        <f>IFERROR(INDEX(DK_Last_Week_Results_Data[Actual Score],MATCH(Table667986[[#This Row],[Name]],DK_Last_Week_Results_Data[Player],0)),"")</f>
        <v>12.2</v>
      </c>
      <c r="F180" s="58">
        <f>_xlfn.RANK.AVG(Table667986[[#This Row],[Actual]],Table667986[Actual],0)</f>
        <v>75.5</v>
      </c>
    </row>
    <row r="181" spans="2:6" x14ac:dyDescent="0.3">
      <c r="B181" s="489" t="s">
        <v>458</v>
      </c>
      <c r="C181" s="60">
        <v>7.6566666666666663</v>
      </c>
      <c r="D181" s="58">
        <f>_xlfn.RANK.AVG(Table667986[[#This Row],[Proj]],Table667986[Proj],0)</f>
        <v>171</v>
      </c>
      <c r="E181" s="60">
        <f>IFERROR(INDEX(DK_Last_Week_Results_Data[Actual Score],MATCH(Table667986[[#This Row],[Name]],DK_Last_Week_Results_Data[Player],0)),"")</f>
        <v>4.5</v>
      </c>
      <c r="F181" s="58">
        <f>_xlfn.RANK.AVG(Table667986[[#This Row],[Actual]],Table667986[Actual],0)</f>
        <v>159.5</v>
      </c>
    </row>
    <row r="182" spans="2:6" x14ac:dyDescent="0.3">
      <c r="B182" s="489" t="s">
        <v>456</v>
      </c>
      <c r="C182" s="60">
        <v>7.6433333333333344</v>
      </c>
      <c r="D182" s="58">
        <f>_xlfn.RANK.AVG(Table667986[[#This Row],[Proj]],Table667986[Proj],0)</f>
        <v>172</v>
      </c>
      <c r="E182" s="60">
        <f>IFERROR(INDEX(DK_Last_Week_Results_Data[Actual Score],MATCH(Table667986[[#This Row],[Name]],DK_Last_Week_Results_Data[Player],0)),"")</f>
        <v>10</v>
      </c>
      <c r="F182" s="58">
        <f>_xlfn.RANK.AVG(Table667986[[#This Row],[Actual]],Table667986[Actual],0)</f>
        <v>96</v>
      </c>
    </row>
    <row r="183" spans="2:6" x14ac:dyDescent="0.3">
      <c r="B183" s="489" t="s">
        <v>269</v>
      </c>
      <c r="C183" s="60">
        <v>7.55</v>
      </c>
      <c r="D183" s="58">
        <f>_xlfn.RANK.AVG(Table667986[[#This Row],[Proj]],Table667986[Proj],0)</f>
        <v>173</v>
      </c>
      <c r="E183" s="60">
        <f>IFERROR(INDEX(DK_Last_Week_Results_Data[Actual Score],MATCH(Table667986[[#This Row],[Name]],DK_Last_Week_Results_Data[Player],0)),"")</f>
        <v>7.7</v>
      </c>
      <c r="F183" s="58">
        <f>_xlfn.RANK.AVG(Table667986[[#This Row],[Actual]],Table667986[Actual],0)</f>
        <v>120.5</v>
      </c>
    </row>
    <row r="184" spans="2:6" x14ac:dyDescent="0.3">
      <c r="B184" s="489" t="s">
        <v>249</v>
      </c>
      <c r="C184" s="60">
        <v>7.52</v>
      </c>
      <c r="D184" s="58">
        <f>_xlfn.RANK.AVG(Table667986[[#This Row],[Proj]],Table667986[Proj],0)</f>
        <v>174</v>
      </c>
      <c r="E184" s="60">
        <f>IFERROR(INDEX(DK_Last_Week_Results_Data[Actual Score],MATCH(Table667986[[#This Row],[Name]],DK_Last_Week_Results_Data[Player],0)),"")</f>
        <v>6.2</v>
      </c>
      <c r="F184" s="58">
        <f>_xlfn.RANK.AVG(Table667986[[#This Row],[Actual]],Table667986[Actual],0)</f>
        <v>136.5</v>
      </c>
    </row>
    <row r="185" spans="2:6" x14ac:dyDescent="0.3">
      <c r="B185" s="489" t="s">
        <v>141</v>
      </c>
      <c r="C185" s="60">
        <v>7.5066666666666659</v>
      </c>
      <c r="D185" s="58">
        <f>_xlfn.RANK.AVG(Table667986[[#This Row],[Proj]],Table667986[Proj],0)</f>
        <v>175</v>
      </c>
      <c r="E185" s="60">
        <f>IFERROR(INDEX(DK_Last_Week_Results_Data[Actual Score],MATCH(Table667986[[#This Row],[Name]],DK_Last_Week_Results_Data[Player],0)),"")</f>
        <v>2.6</v>
      </c>
      <c r="F185" s="58">
        <f>_xlfn.RANK.AVG(Table667986[[#This Row],[Actual]],Table667986[Actual],0)</f>
        <v>176.5</v>
      </c>
    </row>
    <row r="186" spans="2:6" x14ac:dyDescent="0.3">
      <c r="B186" s="489" t="s">
        <v>265</v>
      </c>
      <c r="C186" s="60">
        <v>7.5000000000000009</v>
      </c>
      <c r="D186" s="58">
        <f>_xlfn.RANK.AVG(Table667986[[#This Row],[Proj]],Table667986[Proj],0)</f>
        <v>176</v>
      </c>
      <c r="E186" s="60">
        <f>IFERROR(INDEX(DK_Last_Week_Results_Data[Actual Score],MATCH(Table667986[[#This Row],[Name]],DK_Last_Week_Results_Data[Player],0)),"")</f>
        <v>1.8</v>
      </c>
      <c r="F186" s="58">
        <f>_xlfn.RANK.AVG(Table667986[[#This Row],[Actual]],Table667986[Actual],0)</f>
        <v>187.5</v>
      </c>
    </row>
    <row r="187" spans="2:6" x14ac:dyDescent="0.3">
      <c r="B187" s="489" t="s">
        <v>236</v>
      </c>
      <c r="C187" s="60">
        <v>7.4700000000000006</v>
      </c>
      <c r="D187" s="58">
        <f>_xlfn.RANK.AVG(Table667986[[#This Row],[Proj]],Table667986[Proj],0)</f>
        <v>177</v>
      </c>
      <c r="E187" s="60">
        <f>IFERROR(INDEX(DK_Last_Week_Results_Data[Actual Score],MATCH(Table667986[[#This Row],[Name]],DK_Last_Week_Results_Data[Player],0)),"")</f>
        <v>0</v>
      </c>
      <c r="F187" s="58">
        <f>_xlfn.RANK.AVG(Table667986[[#This Row],[Actual]],Table667986[Actual],0)</f>
        <v>250</v>
      </c>
    </row>
    <row r="188" spans="2:6" x14ac:dyDescent="0.3">
      <c r="B188" s="489" t="s">
        <v>229</v>
      </c>
      <c r="C188" s="60">
        <v>7.4433333333333334</v>
      </c>
      <c r="D188" s="58">
        <f>_xlfn.RANK.AVG(Table667986[[#This Row],[Proj]],Table667986[Proj],0)</f>
        <v>178</v>
      </c>
      <c r="E188" s="60">
        <f>IFERROR(INDEX(DK_Last_Week_Results_Data[Actual Score],MATCH(Table667986[[#This Row],[Name]],DK_Last_Week_Results_Data[Player],0)),"")</f>
        <v>1.2</v>
      </c>
      <c r="F188" s="58">
        <f>_xlfn.RANK.AVG(Table667986[[#This Row],[Actual]],Table667986[Actual],0)</f>
        <v>196</v>
      </c>
    </row>
    <row r="189" spans="2:6" x14ac:dyDescent="0.3">
      <c r="B189" s="490" t="s">
        <v>850</v>
      </c>
      <c r="C189" s="60">
        <v>7.3666666666666671</v>
      </c>
      <c r="D189" s="58">
        <f>_xlfn.RANK.AVG(Table667986[[#This Row],[Proj]],Table667986[Proj],0)</f>
        <v>179</v>
      </c>
      <c r="E189" s="60" t="str">
        <f>IFERROR(INDEX(DK_Last_Week_Results_Data[Actual Score],MATCH(Table667986[[#This Row],[Name]],DK_Last_Week_Results_Data[Player],0)),"")</f>
        <v/>
      </c>
      <c r="F189" s="58" t="e">
        <f>_xlfn.RANK.AVG(Table667986[[#This Row],[Actual]],Table667986[Actual],0)</f>
        <v>#VALUE!</v>
      </c>
    </row>
    <row r="190" spans="2:6" x14ac:dyDescent="0.3">
      <c r="B190" s="489" t="s">
        <v>123</v>
      </c>
      <c r="C190" s="60">
        <v>7.3449999999999998</v>
      </c>
      <c r="D190" s="58">
        <f>_xlfn.RANK.AVG(Table667986[[#This Row],[Proj]],Table667986[Proj],0)</f>
        <v>180</v>
      </c>
      <c r="E190" s="60">
        <f>IFERROR(INDEX(DK_Last_Week_Results_Data[Actual Score],MATCH(Table667986[[#This Row],[Name]],DK_Last_Week_Results_Data[Player],0)),"")</f>
        <v>3.3</v>
      </c>
      <c r="F190" s="58">
        <f>_xlfn.RANK.AVG(Table667986[[#This Row],[Actual]],Table667986[Actual],0)</f>
        <v>173</v>
      </c>
    </row>
    <row r="191" spans="2:6" x14ac:dyDescent="0.3">
      <c r="B191" s="489" t="s">
        <v>97</v>
      </c>
      <c r="C191" s="60">
        <v>7.3033333333333337</v>
      </c>
      <c r="D191" s="58">
        <f>_xlfn.RANK.AVG(Table667986[[#This Row],[Proj]],Table667986[Proj],0)</f>
        <v>181</v>
      </c>
      <c r="E191" s="60">
        <f>IFERROR(INDEX(DK_Last_Week_Results_Data[Actual Score],MATCH(Table667986[[#This Row],[Name]],DK_Last_Week_Results_Data[Player],0)),"")</f>
        <v>4.0999999999999996</v>
      </c>
      <c r="F191" s="58">
        <f>_xlfn.RANK.AVG(Table667986[[#This Row],[Actual]],Table667986[Actual],0)</f>
        <v>165.5</v>
      </c>
    </row>
    <row r="192" spans="2:6" x14ac:dyDescent="0.3">
      <c r="B192" s="489" t="s">
        <v>272</v>
      </c>
      <c r="C192" s="60">
        <v>7.2900000000000009</v>
      </c>
      <c r="D192" s="58">
        <f>_xlfn.RANK.AVG(Table667986[[#This Row],[Proj]],Table667986[Proj],0)</f>
        <v>182</v>
      </c>
      <c r="E192" s="60">
        <f>IFERROR(INDEX(DK_Last_Week_Results_Data[Actual Score],MATCH(Table667986[[#This Row],[Name]],DK_Last_Week_Results_Data[Player],0)),"")</f>
        <v>5.0999999999999996</v>
      </c>
      <c r="F192" s="58">
        <f>_xlfn.RANK.AVG(Table667986[[#This Row],[Actual]],Table667986[Actual],0)</f>
        <v>153.5</v>
      </c>
    </row>
    <row r="193" spans="2:6" x14ac:dyDescent="0.3">
      <c r="B193" s="490" t="s">
        <v>854</v>
      </c>
      <c r="C193" s="60">
        <v>7.2</v>
      </c>
      <c r="D193" s="58">
        <f>_xlfn.RANK.AVG(Table667986[[#This Row],[Proj]],Table667986[Proj],0)</f>
        <v>183</v>
      </c>
      <c r="E193" s="60" t="str">
        <f>IFERROR(INDEX(DK_Last_Week_Results_Data[Actual Score],MATCH(Table667986[[#This Row],[Name]],DK_Last_Week_Results_Data[Player],0)),"")</f>
        <v/>
      </c>
      <c r="F193" s="58" t="e">
        <f>_xlfn.RANK.AVG(Table667986[[#This Row],[Actual]],Table667986[Actual],0)</f>
        <v>#VALUE!</v>
      </c>
    </row>
    <row r="194" spans="2:6" x14ac:dyDescent="0.3">
      <c r="B194" s="489" t="s">
        <v>75</v>
      </c>
      <c r="C194" s="60">
        <v>7.1683749999999993</v>
      </c>
      <c r="D194" s="58">
        <f>_xlfn.RANK.AVG(Table667986[[#This Row],[Proj]],Table667986[Proj],0)</f>
        <v>184</v>
      </c>
      <c r="E194" s="60">
        <f>IFERROR(INDEX(DK_Last_Week_Results_Data[Actual Score],MATCH(Table667986[[#This Row],[Name]],DK_Last_Week_Results_Data[Player],0)),"")</f>
        <v>0</v>
      </c>
      <c r="F194" s="58">
        <f>_xlfn.RANK.AVG(Table667986[[#This Row],[Actual]],Table667986[Actual],0)</f>
        <v>250</v>
      </c>
    </row>
    <row r="195" spans="2:6" x14ac:dyDescent="0.3">
      <c r="B195" s="490" t="s">
        <v>835</v>
      </c>
      <c r="C195" s="60">
        <v>7.166666666666667</v>
      </c>
      <c r="D195" s="58">
        <f>_xlfn.RANK.AVG(Table667986[[#This Row],[Proj]],Table667986[Proj],0)</f>
        <v>185</v>
      </c>
      <c r="E195" s="60" t="str">
        <f>IFERROR(INDEX(DK_Last_Week_Results_Data[Actual Score],MATCH(Table667986[[#This Row],[Name]],DK_Last_Week_Results_Data[Player],0)),"")</f>
        <v/>
      </c>
      <c r="F195" s="58" t="e">
        <f>_xlfn.RANK.AVG(Table667986[[#This Row],[Actual]],Table667986[Actual],0)</f>
        <v>#VALUE!</v>
      </c>
    </row>
    <row r="196" spans="2:6" x14ac:dyDescent="0.3">
      <c r="B196" s="489" t="s">
        <v>755</v>
      </c>
      <c r="C196" s="60">
        <v>7.165375</v>
      </c>
      <c r="D196" s="58">
        <f>_xlfn.RANK.AVG(Table667986[[#This Row],[Proj]],Table667986[Proj],0)</f>
        <v>186</v>
      </c>
      <c r="E196" s="60">
        <f>IFERROR(INDEX(DK_Last_Week_Results_Data[Actual Score],MATCH(Table667986[[#This Row],[Name]],DK_Last_Week_Results_Data[Player],0)),"")</f>
        <v>0</v>
      </c>
      <c r="F196" s="58">
        <f>_xlfn.RANK.AVG(Table667986[[#This Row],[Actual]],Table667986[Actual],0)</f>
        <v>250</v>
      </c>
    </row>
    <row r="197" spans="2:6" x14ac:dyDescent="0.3">
      <c r="B197" s="489" t="s">
        <v>276</v>
      </c>
      <c r="C197" s="60">
        <v>7.0500000000000007</v>
      </c>
      <c r="D197" s="58">
        <f>_xlfn.RANK.AVG(Table667986[[#This Row],[Proj]],Table667986[Proj],0)</f>
        <v>187</v>
      </c>
      <c r="E197" s="60">
        <f>IFERROR(INDEX(DK_Last_Week_Results_Data[Actual Score],MATCH(Table667986[[#This Row],[Name]],DK_Last_Week_Results_Data[Player],0)),"")</f>
        <v>1.3</v>
      </c>
      <c r="F197" s="58">
        <f>_xlfn.RANK.AVG(Table667986[[#This Row],[Actual]],Table667986[Actual],0)</f>
        <v>194</v>
      </c>
    </row>
    <row r="198" spans="2:6" x14ac:dyDescent="0.3">
      <c r="B198" s="490" t="s">
        <v>852</v>
      </c>
      <c r="C198" s="60">
        <v>7</v>
      </c>
      <c r="D198" s="58">
        <f>_xlfn.RANK.AVG(Table667986[[#This Row],[Proj]],Table667986[Proj],0)</f>
        <v>188</v>
      </c>
      <c r="E198" s="60" t="str">
        <f>IFERROR(INDEX(DK_Last_Week_Results_Data[Actual Score],MATCH(Table667986[[#This Row],[Name]],DK_Last_Week_Results_Data[Player],0)),"")</f>
        <v/>
      </c>
      <c r="F198" s="58" t="e">
        <f>_xlfn.RANK.AVG(Table667986[[#This Row],[Actual]],Table667986[Actual],0)</f>
        <v>#VALUE!</v>
      </c>
    </row>
    <row r="199" spans="2:6" x14ac:dyDescent="0.3">
      <c r="B199" s="489" t="s">
        <v>91</v>
      </c>
      <c r="C199" s="60">
        <v>6.97</v>
      </c>
      <c r="D199" s="58">
        <f>_xlfn.RANK.AVG(Table667986[[#This Row],[Proj]],Table667986[Proj],0)</f>
        <v>189</v>
      </c>
      <c r="E199" s="60">
        <f>IFERROR(INDEX(DK_Last_Week_Results_Data[Actual Score],MATCH(Table667986[[#This Row],[Name]],DK_Last_Week_Results_Data[Player],0)),"")</f>
        <v>0</v>
      </c>
      <c r="F199" s="58">
        <f>_xlfn.RANK.AVG(Table667986[[#This Row],[Actual]],Table667986[Actual],0)</f>
        <v>250</v>
      </c>
    </row>
    <row r="200" spans="2:6" x14ac:dyDescent="0.3">
      <c r="B200" s="490" t="s">
        <v>847</v>
      </c>
      <c r="C200" s="60">
        <v>6.9333333333333327</v>
      </c>
      <c r="D200" s="58">
        <f>_xlfn.RANK.AVG(Table667986[[#This Row],[Proj]],Table667986[Proj],0)</f>
        <v>190</v>
      </c>
      <c r="E200" s="60" t="str">
        <f>IFERROR(INDEX(DK_Last_Week_Results_Data[Actual Score],MATCH(Table667986[[#This Row],[Name]],DK_Last_Week_Results_Data[Player],0)),"")</f>
        <v/>
      </c>
      <c r="F200" s="58" t="e">
        <f>_xlfn.RANK.AVG(Table667986[[#This Row],[Actual]],Table667986[Actual],0)</f>
        <v>#VALUE!</v>
      </c>
    </row>
    <row r="201" spans="2:6" x14ac:dyDescent="0.3">
      <c r="B201" s="489" t="s">
        <v>237</v>
      </c>
      <c r="C201" s="60">
        <v>6.8566666666666674</v>
      </c>
      <c r="D201" s="58">
        <f>_xlfn.RANK.AVG(Table667986[[#This Row],[Proj]],Table667986[Proj],0)</f>
        <v>191</v>
      </c>
      <c r="E201" s="60">
        <f>IFERROR(INDEX(DK_Last_Week_Results_Data[Actual Score],MATCH(Table667986[[#This Row],[Name]],DK_Last_Week_Results_Data[Player],0)),"")</f>
        <v>6.8</v>
      </c>
      <c r="F201" s="58">
        <f>_xlfn.RANK.AVG(Table667986[[#This Row],[Actual]],Table667986[Actual],0)</f>
        <v>129</v>
      </c>
    </row>
    <row r="202" spans="2:6" x14ac:dyDescent="0.3">
      <c r="B202" s="490" t="s">
        <v>851</v>
      </c>
      <c r="C202" s="60">
        <v>6.833333333333333</v>
      </c>
      <c r="D202" s="58">
        <f>_xlfn.RANK.AVG(Table667986[[#This Row],[Proj]],Table667986[Proj],0)</f>
        <v>192</v>
      </c>
      <c r="E202" s="60" t="str">
        <f>IFERROR(INDEX(DK_Last_Week_Results_Data[Actual Score],MATCH(Table667986[[#This Row],[Name]],DK_Last_Week_Results_Data[Player],0)),"")</f>
        <v/>
      </c>
      <c r="F202" s="58" t="e">
        <f>_xlfn.RANK.AVG(Table667986[[#This Row],[Actual]],Table667986[Actual],0)</f>
        <v>#VALUE!</v>
      </c>
    </row>
    <row r="203" spans="2:6" x14ac:dyDescent="0.3">
      <c r="B203" s="489" t="s">
        <v>262</v>
      </c>
      <c r="C203" s="60">
        <v>6.75</v>
      </c>
      <c r="D203" s="58">
        <f>_xlfn.RANK.AVG(Table667986[[#This Row],[Proj]],Table667986[Proj],0)</f>
        <v>193</v>
      </c>
      <c r="E203" s="60">
        <f>IFERROR(INDEX(DK_Last_Week_Results_Data[Actual Score],MATCH(Table667986[[#This Row],[Name]],DK_Last_Week_Results_Data[Player],0)),"")</f>
        <v>14.1</v>
      </c>
      <c r="F203" s="58">
        <f>_xlfn.RANK.AVG(Table667986[[#This Row],[Actual]],Table667986[Actual],0)</f>
        <v>60</v>
      </c>
    </row>
    <row r="204" spans="2:6" x14ac:dyDescent="0.3">
      <c r="B204" s="489" t="s">
        <v>131</v>
      </c>
      <c r="C204" s="60">
        <v>6.69</v>
      </c>
      <c r="D204" s="58">
        <f>_xlfn.RANK.AVG(Table667986[[#This Row],[Proj]],Table667986[Proj],0)</f>
        <v>194</v>
      </c>
      <c r="E204" s="60">
        <f>IFERROR(INDEX(DK_Last_Week_Results_Data[Actual Score],MATCH(Table667986[[#This Row],[Name]],DK_Last_Week_Results_Data[Player],0)),"")</f>
        <v>2.2000000000000002</v>
      </c>
      <c r="F204" s="58">
        <f>_xlfn.RANK.AVG(Table667986[[#This Row],[Actual]],Table667986[Actual],0)</f>
        <v>181.5</v>
      </c>
    </row>
    <row r="205" spans="2:6" x14ac:dyDescent="0.3">
      <c r="B205" s="489" t="s">
        <v>764</v>
      </c>
      <c r="C205" s="60">
        <v>6.6833333333333327</v>
      </c>
      <c r="D205" s="58">
        <f>_xlfn.RANK.AVG(Table667986[[#This Row],[Proj]],Table667986[Proj],0)</f>
        <v>195</v>
      </c>
      <c r="E205" s="60">
        <f>IFERROR(INDEX(DK_Last_Week_Results_Data[Actual Score],MATCH(Table667986[[#This Row],[Name]],DK_Last_Week_Results_Data[Player],0)),"")</f>
        <v>3.5</v>
      </c>
      <c r="F205" s="58">
        <f>_xlfn.RANK.AVG(Table667986[[#This Row],[Actual]],Table667986[Actual],0)</f>
        <v>171.5</v>
      </c>
    </row>
    <row r="206" spans="2:6" x14ac:dyDescent="0.3">
      <c r="B206" s="489" t="s">
        <v>228</v>
      </c>
      <c r="C206" s="60">
        <v>6.5366666666666671</v>
      </c>
      <c r="D206" s="58">
        <f>_xlfn.RANK.AVG(Table667986[[#This Row],[Proj]],Table667986[Proj],0)</f>
        <v>196</v>
      </c>
      <c r="E206" s="60">
        <f>IFERROR(INDEX(DK_Last_Week_Results_Data[Actual Score],MATCH(Table667986[[#This Row],[Name]],DK_Last_Week_Results_Data[Player],0)),"")</f>
        <v>4.3</v>
      </c>
      <c r="F206" s="58">
        <f>_xlfn.RANK.AVG(Table667986[[#This Row],[Actual]],Table667986[Actual],0)</f>
        <v>163.5</v>
      </c>
    </row>
    <row r="207" spans="2:6" x14ac:dyDescent="0.3">
      <c r="B207" s="490" t="s">
        <v>840</v>
      </c>
      <c r="C207" s="60">
        <v>6.5333333333333341</v>
      </c>
      <c r="D207" s="58">
        <f>_xlfn.RANK.AVG(Table667986[[#This Row],[Proj]],Table667986[Proj],0)</f>
        <v>197</v>
      </c>
      <c r="E207" s="60" t="str">
        <f>IFERROR(INDEX(DK_Last_Week_Results_Data[Actual Score],MATCH(Table667986[[#This Row],[Name]],DK_Last_Week_Results_Data[Player],0)),"")</f>
        <v/>
      </c>
      <c r="F207" s="58" t="e">
        <f>_xlfn.RANK.AVG(Table667986[[#This Row],[Actual]],Table667986[Actual],0)</f>
        <v>#VALUE!</v>
      </c>
    </row>
    <row r="208" spans="2:6" x14ac:dyDescent="0.3">
      <c r="B208" s="489" t="s">
        <v>408</v>
      </c>
      <c r="C208" s="60">
        <v>6.53</v>
      </c>
      <c r="D208" s="58">
        <f>_xlfn.RANK.AVG(Table667986[[#This Row],[Proj]],Table667986[Proj],0)</f>
        <v>198</v>
      </c>
      <c r="E208" s="60">
        <f>IFERROR(INDEX(DK_Last_Week_Results_Data[Actual Score],MATCH(Table667986[[#This Row],[Name]],DK_Last_Week_Results_Data[Player],0)),"")</f>
        <v>0</v>
      </c>
      <c r="F208" s="58">
        <f>_xlfn.RANK.AVG(Table667986[[#This Row],[Actual]],Table667986[Actual],0)</f>
        <v>250</v>
      </c>
    </row>
    <row r="209" spans="2:6" x14ac:dyDescent="0.3">
      <c r="B209" s="489" t="s">
        <v>465</v>
      </c>
      <c r="C209" s="60">
        <v>6.4933333333333341</v>
      </c>
      <c r="D209" s="58">
        <f>_xlfn.RANK.AVG(Table667986[[#This Row],[Proj]],Table667986[Proj],0)</f>
        <v>199</v>
      </c>
      <c r="E209" s="60">
        <f>IFERROR(INDEX(DK_Last_Week_Results_Data[Actual Score],MATCH(Table667986[[#This Row],[Name]],DK_Last_Week_Results_Data[Player],0)),"")</f>
        <v>4.8</v>
      </c>
      <c r="F209" s="58">
        <f>_xlfn.RANK.AVG(Table667986[[#This Row],[Actual]],Table667986[Actual],0)</f>
        <v>157.5</v>
      </c>
    </row>
    <row r="210" spans="2:6" x14ac:dyDescent="0.3">
      <c r="B210" s="489" t="s">
        <v>461</v>
      </c>
      <c r="C210" s="60">
        <v>6.4466666666666672</v>
      </c>
      <c r="D210" s="58">
        <f>_xlfn.RANK.AVG(Table667986[[#This Row],[Proj]],Table667986[Proj],0)</f>
        <v>200</v>
      </c>
      <c r="E210" s="60">
        <f>IFERROR(INDEX(DK_Last_Week_Results_Data[Actual Score],MATCH(Table667986[[#This Row],[Name]],DK_Last_Week_Results_Data[Player],0)),"")</f>
        <v>7.2</v>
      </c>
      <c r="F210" s="58">
        <f>_xlfn.RANK.AVG(Table667986[[#This Row],[Actual]],Table667986[Actual],0)</f>
        <v>124.5</v>
      </c>
    </row>
    <row r="211" spans="2:6" x14ac:dyDescent="0.3">
      <c r="B211" s="490" t="s">
        <v>857</v>
      </c>
      <c r="C211" s="60">
        <v>6.3666666666666671</v>
      </c>
      <c r="D211" s="58">
        <f>_xlfn.RANK.AVG(Table667986[[#This Row],[Proj]],Table667986[Proj],0)</f>
        <v>201</v>
      </c>
      <c r="E211" s="60" t="str">
        <f>IFERROR(INDEX(DK_Last_Week_Results_Data[Actual Score],MATCH(Table667986[[#This Row],[Name]],DK_Last_Week_Results_Data[Player],0)),"")</f>
        <v/>
      </c>
      <c r="F211" s="58" t="e">
        <f>_xlfn.RANK.AVG(Table667986[[#This Row],[Actual]],Table667986[Actual],0)</f>
        <v>#VALUE!</v>
      </c>
    </row>
    <row r="212" spans="2:6" x14ac:dyDescent="0.3">
      <c r="B212" s="490" t="s">
        <v>834</v>
      </c>
      <c r="C212" s="60">
        <v>6.25</v>
      </c>
      <c r="D212" s="58">
        <f>_xlfn.RANK.AVG(Table667986[[#This Row],[Proj]],Table667986[Proj],0)</f>
        <v>202</v>
      </c>
      <c r="E212" s="60" t="str">
        <f>IFERROR(INDEX(DK_Last_Week_Results_Data[Actual Score],MATCH(Table667986[[#This Row],[Name]],DK_Last_Week_Results_Data[Player],0)),"")</f>
        <v/>
      </c>
      <c r="F212" s="58" t="e">
        <f>_xlfn.RANK.AVG(Table667986[[#This Row],[Actual]],Table667986[Actual],0)</f>
        <v>#VALUE!</v>
      </c>
    </row>
    <row r="213" spans="2:6" x14ac:dyDescent="0.3">
      <c r="B213" s="489" t="s">
        <v>105</v>
      </c>
      <c r="C213" s="60">
        <v>6.1733333333333338</v>
      </c>
      <c r="D213" s="58">
        <f>_xlfn.RANK.AVG(Table667986[[#This Row],[Proj]],Table667986[Proj],0)</f>
        <v>203</v>
      </c>
      <c r="E213" s="60">
        <f>IFERROR(INDEX(DK_Last_Week_Results_Data[Actual Score],MATCH(Table667986[[#This Row],[Name]],DK_Last_Week_Results_Data[Player],0)),"")</f>
        <v>1.8</v>
      </c>
      <c r="F213" s="58">
        <f>_xlfn.RANK.AVG(Table667986[[#This Row],[Actual]],Table667986[Actual],0)</f>
        <v>187.5</v>
      </c>
    </row>
    <row r="214" spans="2:6" x14ac:dyDescent="0.3">
      <c r="B214" s="490" t="s">
        <v>856</v>
      </c>
      <c r="C214" s="60">
        <v>6.166666666666667</v>
      </c>
      <c r="D214" s="58">
        <f>_xlfn.RANK.AVG(Table667986[[#This Row],[Proj]],Table667986[Proj],0)</f>
        <v>204</v>
      </c>
      <c r="E214" s="60" t="str">
        <f>IFERROR(INDEX(DK_Last_Week_Results_Data[Actual Score],MATCH(Table667986[[#This Row],[Name]],DK_Last_Week_Results_Data[Player],0)),"")</f>
        <v/>
      </c>
      <c r="F214" s="58" t="e">
        <f>_xlfn.RANK.AVG(Table667986[[#This Row],[Actual]],Table667986[Actual],0)</f>
        <v>#VALUE!</v>
      </c>
    </row>
    <row r="215" spans="2:6" x14ac:dyDescent="0.3">
      <c r="B215" s="489" t="s">
        <v>152</v>
      </c>
      <c r="C215" s="60">
        <v>6.1000000000000005</v>
      </c>
      <c r="D215" s="58">
        <f>_xlfn.RANK.AVG(Table667986[[#This Row],[Proj]],Table667986[Proj],0)</f>
        <v>205</v>
      </c>
      <c r="E215" s="60">
        <f>IFERROR(INDEX(DK_Last_Week_Results_Data[Actual Score],MATCH(Table667986[[#This Row],[Name]],DK_Last_Week_Results_Data[Player],0)),"")</f>
        <v>9.1999999999999993</v>
      </c>
      <c r="F215" s="58">
        <f>_xlfn.RANK.AVG(Table667986[[#This Row],[Actual]],Table667986[Actual],0)</f>
        <v>104</v>
      </c>
    </row>
    <row r="216" spans="2:6" x14ac:dyDescent="0.3">
      <c r="B216" s="490" t="s">
        <v>858</v>
      </c>
      <c r="C216" s="60">
        <v>6.0999999999999988</v>
      </c>
      <c r="D216" s="58">
        <f>_xlfn.RANK.AVG(Table667986[[#This Row],[Proj]],Table667986[Proj],0)</f>
        <v>206</v>
      </c>
      <c r="E216" s="60" t="str">
        <f>IFERROR(INDEX(DK_Last_Week_Results_Data[Actual Score],MATCH(Table667986[[#This Row],[Name]],DK_Last_Week_Results_Data[Player],0)),"")</f>
        <v/>
      </c>
      <c r="F216" s="58" t="e">
        <f>_xlfn.RANK.AVG(Table667986[[#This Row],[Actual]],Table667986[Actual],0)</f>
        <v>#VALUE!</v>
      </c>
    </row>
    <row r="217" spans="2:6" x14ac:dyDescent="0.3">
      <c r="B217" s="489" t="s">
        <v>306</v>
      </c>
      <c r="C217" s="60">
        <v>5.9850000000000003</v>
      </c>
      <c r="D217" s="58">
        <f>_xlfn.RANK.AVG(Table667986[[#This Row],[Proj]],Table667986[Proj],0)</f>
        <v>207</v>
      </c>
      <c r="E217" s="60">
        <f>IFERROR(INDEX(DK_Last_Week_Results_Data[Actual Score],MATCH(Table667986[[#This Row],[Name]],DK_Last_Week_Results_Data[Player],0)),"")</f>
        <v>1.6</v>
      </c>
      <c r="F217" s="58">
        <f>_xlfn.RANK.AVG(Table667986[[#This Row],[Actual]],Table667986[Actual],0)</f>
        <v>191.5</v>
      </c>
    </row>
    <row r="218" spans="2:6" x14ac:dyDescent="0.3">
      <c r="B218" s="489" t="s">
        <v>293</v>
      </c>
      <c r="C218" s="60">
        <v>5.9599999999999991</v>
      </c>
      <c r="D218" s="58">
        <f>_xlfn.RANK.AVG(Table667986[[#This Row],[Proj]],Table667986[Proj],0)</f>
        <v>208</v>
      </c>
      <c r="E218" s="60">
        <f>IFERROR(INDEX(DK_Last_Week_Results_Data[Actual Score],MATCH(Table667986[[#This Row],[Name]],DK_Last_Week_Results_Data[Player],0)),"")</f>
        <v>0</v>
      </c>
      <c r="F218" s="58">
        <f>_xlfn.RANK.AVG(Table667986[[#This Row],[Actual]],Table667986[Actual],0)</f>
        <v>250</v>
      </c>
    </row>
    <row r="219" spans="2:6" x14ac:dyDescent="0.3">
      <c r="B219" s="489" t="s">
        <v>143</v>
      </c>
      <c r="C219" s="60">
        <v>5.9166666666666679</v>
      </c>
      <c r="D219" s="58">
        <f>_xlfn.RANK.AVG(Table667986[[#This Row],[Proj]],Table667986[Proj],0)</f>
        <v>209</v>
      </c>
      <c r="E219" s="60">
        <f>IFERROR(INDEX(DK_Last_Week_Results_Data[Actual Score],MATCH(Table667986[[#This Row],[Name]],DK_Last_Week_Results_Data[Player],0)),"")</f>
        <v>7.7</v>
      </c>
      <c r="F219" s="58">
        <f>_xlfn.RANK.AVG(Table667986[[#This Row],[Actual]],Table667986[Actual],0)</f>
        <v>120.5</v>
      </c>
    </row>
    <row r="220" spans="2:6" x14ac:dyDescent="0.3">
      <c r="B220" s="490" t="s">
        <v>830</v>
      </c>
      <c r="C220" s="60">
        <v>5.7</v>
      </c>
      <c r="D220" s="58">
        <f>_xlfn.RANK.AVG(Table667986[[#This Row],[Proj]],Table667986[Proj],0)</f>
        <v>210</v>
      </c>
      <c r="E220" s="60" t="str">
        <f>IFERROR(INDEX(DK_Last_Week_Results_Data[Actual Score],MATCH(Table667986[[#This Row],[Name]],DK_Last_Week_Results_Data[Player],0)),"")</f>
        <v/>
      </c>
      <c r="F220" s="58" t="e">
        <f>_xlfn.RANK.AVG(Table667986[[#This Row],[Actual]],Table667986[Actual],0)</f>
        <v>#VALUE!</v>
      </c>
    </row>
    <row r="221" spans="2:6" x14ac:dyDescent="0.3">
      <c r="B221" s="489" t="s">
        <v>767</v>
      </c>
      <c r="C221" s="60">
        <v>5.6833333333333336</v>
      </c>
      <c r="D221" s="58">
        <f>_xlfn.RANK.AVG(Table667986[[#This Row],[Proj]],Table667986[Proj],0)</f>
        <v>211</v>
      </c>
      <c r="E221" s="60">
        <f>IFERROR(INDEX(DK_Last_Week_Results_Data[Actual Score],MATCH(Table667986[[#This Row],[Name]],DK_Last_Week_Results_Data[Player],0)),"")</f>
        <v>0</v>
      </c>
      <c r="F221" s="58">
        <f>_xlfn.RANK.AVG(Table667986[[#This Row],[Actual]],Table667986[Actual],0)</f>
        <v>250</v>
      </c>
    </row>
    <row r="222" spans="2:6" x14ac:dyDescent="0.3">
      <c r="B222" s="490" t="s">
        <v>853</v>
      </c>
      <c r="C222" s="60">
        <v>5.666666666666667</v>
      </c>
      <c r="D222" s="58">
        <f>_xlfn.RANK.AVG(Table667986[[#This Row],[Proj]],Table667986[Proj],0)</f>
        <v>212</v>
      </c>
      <c r="E222" s="60" t="str">
        <f>IFERROR(INDEX(DK_Last_Week_Results_Data[Actual Score],MATCH(Table667986[[#This Row],[Name]],DK_Last_Week_Results_Data[Player],0)),"")</f>
        <v/>
      </c>
      <c r="F222" s="58" t="e">
        <f>_xlfn.RANK.AVG(Table667986[[#This Row],[Actual]],Table667986[Actual],0)</f>
        <v>#VALUE!</v>
      </c>
    </row>
    <row r="223" spans="2:6" x14ac:dyDescent="0.3">
      <c r="B223" s="490" t="s">
        <v>832</v>
      </c>
      <c r="C223" s="60">
        <v>5.6333333333333329</v>
      </c>
      <c r="D223" s="58">
        <f>_xlfn.RANK.AVG(Table667986[[#This Row],[Proj]],Table667986[Proj],0)</f>
        <v>213.5</v>
      </c>
      <c r="E223" s="60" t="str">
        <f>IFERROR(INDEX(DK_Last_Week_Results_Data[Actual Score],MATCH(Table667986[[#This Row],[Name]],DK_Last_Week_Results_Data[Player],0)),"")</f>
        <v/>
      </c>
      <c r="F223" s="58" t="e">
        <f>_xlfn.RANK.AVG(Table667986[[#This Row],[Actual]],Table667986[Actual],0)</f>
        <v>#VALUE!</v>
      </c>
    </row>
    <row r="224" spans="2:6" x14ac:dyDescent="0.3">
      <c r="B224" s="490" t="s">
        <v>841</v>
      </c>
      <c r="C224" s="60">
        <v>5.6333333333333329</v>
      </c>
      <c r="D224" s="58">
        <f>_xlfn.RANK.AVG(Table667986[[#This Row],[Proj]],Table667986[Proj],0)</f>
        <v>213.5</v>
      </c>
      <c r="E224" s="60" t="str">
        <f>IFERROR(INDEX(DK_Last_Week_Results_Data[Actual Score],MATCH(Table667986[[#This Row],[Name]],DK_Last_Week_Results_Data[Player],0)),"")</f>
        <v/>
      </c>
      <c r="F224" s="58" t="e">
        <f>_xlfn.RANK.AVG(Table667986[[#This Row],[Actual]],Table667986[Actual],0)</f>
        <v>#VALUE!</v>
      </c>
    </row>
    <row r="225" spans="2:6" x14ac:dyDescent="0.3">
      <c r="B225" s="489" t="s">
        <v>462</v>
      </c>
      <c r="C225" s="60">
        <v>5.6066666666666665</v>
      </c>
      <c r="D225" s="58">
        <f>_xlfn.RANK.AVG(Table667986[[#This Row],[Proj]],Table667986[Proj],0)</f>
        <v>215</v>
      </c>
      <c r="E225" s="60">
        <f>IFERROR(INDEX(DK_Last_Week_Results_Data[Actual Score],MATCH(Table667986[[#This Row],[Name]],DK_Last_Week_Results_Data[Player],0)),"")</f>
        <v>4.4000000000000004</v>
      </c>
      <c r="F225" s="58">
        <f>_xlfn.RANK.AVG(Table667986[[#This Row],[Actual]],Table667986[Actual],0)</f>
        <v>161.5</v>
      </c>
    </row>
    <row r="226" spans="2:6" x14ac:dyDescent="0.3">
      <c r="B226" s="489" t="s">
        <v>148</v>
      </c>
      <c r="C226" s="60">
        <v>5.5</v>
      </c>
      <c r="D226" s="58">
        <f>_xlfn.RANK.AVG(Table667986[[#This Row],[Proj]],Table667986[Proj],0)</f>
        <v>217</v>
      </c>
      <c r="E226" s="60">
        <f>IFERROR(INDEX(DK_Last_Week_Results_Data[Actual Score],MATCH(Table667986[[#This Row],[Name]],DK_Last_Week_Results_Data[Player],0)),"")</f>
        <v>9.1</v>
      </c>
      <c r="F226" s="58">
        <f>_xlfn.RANK.AVG(Table667986[[#This Row],[Actual]],Table667986[Actual],0)</f>
        <v>106</v>
      </c>
    </row>
    <row r="227" spans="2:6" x14ac:dyDescent="0.3">
      <c r="B227" s="490" t="s">
        <v>839</v>
      </c>
      <c r="C227" s="60">
        <v>5.5</v>
      </c>
      <c r="D227" s="58">
        <f>_xlfn.RANK.AVG(Table667986[[#This Row],[Proj]],Table667986[Proj],0)</f>
        <v>217</v>
      </c>
      <c r="E227" s="60" t="str">
        <f>IFERROR(INDEX(DK_Last_Week_Results_Data[Actual Score],MATCH(Table667986[[#This Row],[Name]],DK_Last_Week_Results_Data[Player],0)),"")</f>
        <v/>
      </c>
      <c r="F227" s="58" t="e">
        <f>_xlfn.RANK.AVG(Table667986[[#This Row],[Actual]],Table667986[Actual],0)</f>
        <v>#VALUE!</v>
      </c>
    </row>
    <row r="228" spans="2:6" x14ac:dyDescent="0.3">
      <c r="B228" s="490" t="s">
        <v>833</v>
      </c>
      <c r="C228" s="60">
        <v>5.5</v>
      </c>
      <c r="D228" s="58">
        <f>_xlfn.RANK.AVG(Table667986[[#This Row],[Proj]],Table667986[Proj],0)</f>
        <v>217</v>
      </c>
      <c r="E228" s="60" t="str">
        <f>IFERROR(INDEX(DK_Last_Week_Results_Data[Actual Score],MATCH(Table667986[[#This Row],[Name]],DK_Last_Week_Results_Data[Player],0)),"")</f>
        <v/>
      </c>
      <c r="F228" s="58" t="e">
        <f>_xlfn.RANK.AVG(Table667986[[#This Row],[Actual]],Table667986[Actual],0)</f>
        <v>#VALUE!</v>
      </c>
    </row>
    <row r="229" spans="2:6" x14ac:dyDescent="0.3">
      <c r="B229" s="490" t="s">
        <v>842</v>
      </c>
      <c r="C229" s="60">
        <v>5.4666666666666659</v>
      </c>
      <c r="D229" s="58">
        <f>_xlfn.RANK.AVG(Table667986[[#This Row],[Proj]],Table667986[Proj],0)</f>
        <v>219</v>
      </c>
      <c r="E229" s="60" t="str">
        <f>IFERROR(INDEX(DK_Last_Week_Results_Data[Actual Score],MATCH(Table667986[[#This Row],[Name]],DK_Last_Week_Results_Data[Player],0)),"")</f>
        <v/>
      </c>
      <c r="F229" s="58" t="e">
        <f>_xlfn.RANK.AVG(Table667986[[#This Row],[Actual]],Table667986[Actual],0)</f>
        <v>#VALUE!</v>
      </c>
    </row>
    <row r="230" spans="2:6" x14ac:dyDescent="0.3">
      <c r="B230" s="489" t="s">
        <v>315</v>
      </c>
      <c r="C230" s="60">
        <v>5.45</v>
      </c>
      <c r="D230" s="58">
        <f>_xlfn.RANK.AVG(Table667986[[#This Row],[Proj]],Table667986[Proj],0)</f>
        <v>220</v>
      </c>
      <c r="E230" s="60">
        <f>IFERROR(INDEX(DK_Last_Week_Results_Data[Actual Score],MATCH(Table667986[[#This Row],[Name]],DK_Last_Week_Results_Data[Player],0)),"")</f>
        <v>8</v>
      </c>
      <c r="F230" s="58">
        <f>_xlfn.RANK.AVG(Table667986[[#This Row],[Actual]],Table667986[Actual],0)</f>
        <v>114</v>
      </c>
    </row>
    <row r="231" spans="2:6" x14ac:dyDescent="0.3">
      <c r="B231" s="490" t="s">
        <v>829</v>
      </c>
      <c r="C231" s="60">
        <v>5.3666666666666671</v>
      </c>
      <c r="D231" s="58">
        <f>_xlfn.RANK.AVG(Table667986[[#This Row],[Proj]],Table667986[Proj],0)</f>
        <v>221</v>
      </c>
      <c r="E231" s="60" t="str">
        <f>IFERROR(INDEX(DK_Last_Week_Results_Data[Actual Score],MATCH(Table667986[[#This Row],[Name]],DK_Last_Week_Results_Data[Player],0)),"")</f>
        <v/>
      </c>
      <c r="F231" s="58" t="e">
        <f>_xlfn.RANK.AVG(Table667986[[#This Row],[Actual]],Table667986[Actual],0)</f>
        <v>#VALUE!</v>
      </c>
    </row>
    <row r="232" spans="2:6" x14ac:dyDescent="0.3">
      <c r="B232" s="490" t="s">
        <v>836</v>
      </c>
      <c r="C232" s="60">
        <v>5.333333333333333</v>
      </c>
      <c r="D232" s="58">
        <f>_xlfn.RANK.AVG(Table667986[[#This Row],[Proj]],Table667986[Proj],0)</f>
        <v>222</v>
      </c>
      <c r="E232" s="60" t="str">
        <f>IFERROR(INDEX(DK_Last_Week_Results_Data[Actual Score],MATCH(Table667986[[#This Row],[Name]],DK_Last_Week_Results_Data[Player],0)),"")</f>
        <v/>
      </c>
      <c r="F232" s="58" t="e">
        <f>_xlfn.RANK.AVG(Table667986[[#This Row],[Actual]],Table667986[Actual],0)</f>
        <v>#VALUE!</v>
      </c>
    </row>
    <row r="233" spans="2:6" x14ac:dyDescent="0.3">
      <c r="B233" s="489" t="s">
        <v>1350</v>
      </c>
      <c r="C233" s="60">
        <v>5.24</v>
      </c>
      <c r="D233" s="58">
        <f>_xlfn.RANK.AVG(Table667986[[#This Row],[Proj]],Table667986[Proj],0)</f>
        <v>223</v>
      </c>
      <c r="E233" s="60">
        <f>IFERROR(INDEX(DK_Last_Week_Results_Data[Actual Score],MATCH(Table667986[[#This Row],[Name]],DK_Last_Week_Results_Data[Player],0)),"")</f>
        <v>9.6999999999999993</v>
      </c>
      <c r="F233" s="58">
        <f>_xlfn.RANK.AVG(Table667986[[#This Row],[Actual]],Table667986[Actual],0)</f>
        <v>99</v>
      </c>
    </row>
    <row r="234" spans="2:6" x14ac:dyDescent="0.3">
      <c r="B234" s="490" t="s">
        <v>849</v>
      </c>
      <c r="C234" s="60">
        <v>5.2333333333333334</v>
      </c>
      <c r="D234" s="58">
        <f>_xlfn.RANK.AVG(Table667986[[#This Row],[Proj]],Table667986[Proj],0)</f>
        <v>224</v>
      </c>
      <c r="E234" s="60" t="str">
        <f>IFERROR(INDEX(DK_Last_Week_Results_Data[Actual Score],MATCH(Table667986[[#This Row],[Name]],DK_Last_Week_Results_Data[Player],0)),"")</f>
        <v/>
      </c>
      <c r="F234" s="58" t="e">
        <f>_xlfn.RANK.AVG(Table667986[[#This Row],[Actual]],Table667986[Actual],0)</f>
        <v>#VALUE!</v>
      </c>
    </row>
    <row r="235" spans="2:6" x14ac:dyDescent="0.3">
      <c r="B235" s="490" t="s">
        <v>838</v>
      </c>
      <c r="C235" s="60">
        <v>5.2</v>
      </c>
      <c r="D235" s="58">
        <f>_xlfn.RANK.AVG(Table667986[[#This Row],[Proj]],Table667986[Proj],0)</f>
        <v>225.5</v>
      </c>
      <c r="E235" s="60" t="str">
        <f>IFERROR(INDEX(DK_Last_Week_Results_Data[Actual Score],MATCH(Table667986[[#This Row],[Name]],DK_Last_Week_Results_Data[Player],0)),"")</f>
        <v/>
      </c>
      <c r="F235" s="58" t="e">
        <f>_xlfn.RANK.AVG(Table667986[[#This Row],[Actual]],Table667986[Actual],0)</f>
        <v>#VALUE!</v>
      </c>
    </row>
    <row r="236" spans="2:6" x14ac:dyDescent="0.3">
      <c r="B236" s="490" t="s">
        <v>855</v>
      </c>
      <c r="C236" s="60">
        <v>5.2</v>
      </c>
      <c r="D236" s="58">
        <f>_xlfn.RANK.AVG(Table667986[[#This Row],[Proj]],Table667986[Proj],0)</f>
        <v>225.5</v>
      </c>
      <c r="E236" s="60" t="str">
        <f>IFERROR(INDEX(DK_Last_Week_Results_Data[Actual Score],MATCH(Table667986[[#This Row],[Name]],DK_Last_Week_Results_Data[Player],0)),"")</f>
        <v/>
      </c>
      <c r="F236" s="58" t="e">
        <f>_xlfn.RANK.AVG(Table667986[[#This Row],[Actual]],Table667986[Actual],0)</f>
        <v>#VALUE!</v>
      </c>
    </row>
    <row r="237" spans="2:6" x14ac:dyDescent="0.3">
      <c r="B237" s="490" t="s">
        <v>828</v>
      </c>
      <c r="C237" s="60">
        <v>4.9666666666666668</v>
      </c>
      <c r="D237" s="58">
        <f>_xlfn.RANK.AVG(Table667986[[#This Row],[Proj]],Table667986[Proj],0)</f>
        <v>227</v>
      </c>
      <c r="E237" s="60" t="str">
        <f>IFERROR(INDEX(DK_Last_Week_Results_Data[Actual Score],MATCH(Table667986[[#This Row],[Name]],DK_Last_Week_Results_Data[Player],0)),"")</f>
        <v/>
      </c>
      <c r="F237" s="58" t="e">
        <f>_xlfn.RANK.AVG(Table667986[[#This Row],[Actual]],Table667986[Actual],0)</f>
        <v>#VALUE!</v>
      </c>
    </row>
    <row r="238" spans="2:6" x14ac:dyDescent="0.3">
      <c r="B238" s="490" t="s">
        <v>859</v>
      </c>
      <c r="C238" s="60">
        <v>4.9333333333333336</v>
      </c>
      <c r="D238" s="58">
        <f>_xlfn.RANK.AVG(Table667986[[#This Row],[Proj]],Table667986[Proj],0)</f>
        <v>228.5</v>
      </c>
      <c r="E238" s="60" t="str">
        <f>IFERROR(INDEX(DK_Last_Week_Results_Data[Actual Score],MATCH(Table667986[[#This Row],[Name]],DK_Last_Week_Results_Data[Player],0)),"")</f>
        <v/>
      </c>
      <c r="F238" s="58" t="e">
        <f>_xlfn.RANK.AVG(Table667986[[#This Row],[Actual]],Table667986[Actual],0)</f>
        <v>#VALUE!</v>
      </c>
    </row>
    <row r="239" spans="2:6" x14ac:dyDescent="0.3">
      <c r="B239" s="490" t="s">
        <v>827</v>
      </c>
      <c r="C239" s="60">
        <v>4.9333333333333336</v>
      </c>
      <c r="D239" s="58">
        <f>_xlfn.RANK.AVG(Table667986[[#This Row],[Proj]],Table667986[Proj],0)</f>
        <v>228.5</v>
      </c>
      <c r="E239" s="60" t="str">
        <f>IFERROR(INDEX(DK_Last_Week_Results_Data[Actual Score],MATCH(Table667986[[#This Row],[Name]],DK_Last_Week_Results_Data[Player],0)),"")</f>
        <v/>
      </c>
      <c r="F239" s="58" t="e">
        <f>_xlfn.RANK.AVG(Table667986[[#This Row],[Actual]],Table667986[Actual],0)</f>
        <v>#VALUE!</v>
      </c>
    </row>
    <row r="240" spans="2:6" x14ac:dyDescent="0.3">
      <c r="B240" s="490" t="s">
        <v>848</v>
      </c>
      <c r="C240" s="60">
        <v>4.8666666666666663</v>
      </c>
      <c r="D240" s="58">
        <f>_xlfn.RANK.AVG(Table667986[[#This Row],[Proj]],Table667986[Proj],0)</f>
        <v>230</v>
      </c>
      <c r="E240" s="60" t="str">
        <f>IFERROR(INDEX(DK_Last_Week_Results_Data[Actual Score],MATCH(Table667986[[#This Row],[Name]],DK_Last_Week_Results_Data[Player],0)),"")</f>
        <v/>
      </c>
      <c r="F240" s="58" t="e">
        <f>_xlfn.RANK.AVG(Table667986[[#This Row],[Actual]],Table667986[Actual],0)</f>
        <v>#VALUE!</v>
      </c>
    </row>
    <row r="241" spans="2:6" x14ac:dyDescent="0.3">
      <c r="B241" s="489" t="s">
        <v>257</v>
      </c>
      <c r="C241" s="60">
        <v>4.8233333333333333</v>
      </c>
      <c r="D241" s="58">
        <f>_xlfn.RANK.AVG(Table667986[[#This Row],[Proj]],Table667986[Proj],0)</f>
        <v>231</v>
      </c>
      <c r="E241" s="60">
        <f>IFERROR(INDEX(DK_Last_Week_Results_Data[Actual Score],MATCH(Table667986[[#This Row],[Name]],DK_Last_Week_Results_Data[Player],0)),"")</f>
        <v>3.5</v>
      </c>
      <c r="F241" s="58">
        <f>_xlfn.RANK.AVG(Table667986[[#This Row],[Actual]],Table667986[Actual],0)</f>
        <v>171.5</v>
      </c>
    </row>
    <row r="242" spans="2:6" x14ac:dyDescent="0.3">
      <c r="B242" s="489" t="s">
        <v>291</v>
      </c>
      <c r="C242" s="60">
        <v>4.8100000000000005</v>
      </c>
      <c r="D242" s="58">
        <f>_xlfn.RANK.AVG(Table667986[[#This Row],[Proj]],Table667986[Proj],0)</f>
        <v>232</v>
      </c>
      <c r="E242" s="60">
        <f>IFERROR(INDEX(DK_Last_Week_Results_Data[Actual Score],MATCH(Table667986[[#This Row],[Name]],DK_Last_Week_Results_Data[Player],0)),"")</f>
        <v>7.9</v>
      </c>
      <c r="F242" s="58">
        <f>_xlfn.RANK.AVG(Table667986[[#This Row],[Actual]],Table667986[Actual],0)</f>
        <v>116.5</v>
      </c>
    </row>
    <row r="243" spans="2:6" x14ac:dyDescent="0.3">
      <c r="B243" s="489" t="s">
        <v>292</v>
      </c>
      <c r="C243" s="60">
        <v>4.79</v>
      </c>
      <c r="D243" s="58">
        <f>_xlfn.RANK.AVG(Table667986[[#This Row],[Proj]],Table667986[Proj],0)</f>
        <v>233</v>
      </c>
      <c r="E243" s="60">
        <f>IFERROR(INDEX(DK_Last_Week_Results_Data[Actual Score],MATCH(Table667986[[#This Row],[Name]],DK_Last_Week_Results_Data[Player],0)),"")</f>
        <v>5.9</v>
      </c>
      <c r="F243" s="58">
        <f>_xlfn.RANK.AVG(Table667986[[#This Row],[Actual]],Table667986[Actual],0)</f>
        <v>143.5</v>
      </c>
    </row>
    <row r="244" spans="2:6" x14ac:dyDescent="0.3">
      <c r="B244" s="489" t="s">
        <v>469</v>
      </c>
      <c r="C244" s="60">
        <v>4.7766666666666664</v>
      </c>
      <c r="D244" s="58">
        <f>_xlfn.RANK.AVG(Table667986[[#This Row],[Proj]],Table667986[Proj],0)</f>
        <v>234</v>
      </c>
      <c r="E244" s="60">
        <f>IFERROR(INDEX(DK_Last_Week_Results_Data[Actual Score],MATCH(Table667986[[#This Row],[Name]],DK_Last_Week_Results_Data[Player],0)),"")</f>
        <v>0</v>
      </c>
      <c r="F244" s="58">
        <f>_xlfn.RANK.AVG(Table667986[[#This Row],[Actual]],Table667986[Actual],0)</f>
        <v>250</v>
      </c>
    </row>
    <row r="245" spans="2:6" x14ac:dyDescent="0.3">
      <c r="B245" s="489" t="s">
        <v>284</v>
      </c>
      <c r="C245" s="60">
        <v>4.76</v>
      </c>
      <c r="D245" s="58">
        <f>_xlfn.RANK.AVG(Table667986[[#This Row],[Proj]],Table667986[Proj],0)</f>
        <v>235</v>
      </c>
      <c r="E245" s="60">
        <f>IFERROR(INDEX(DK_Last_Week_Results_Data[Actual Score],MATCH(Table667986[[#This Row],[Name]],DK_Last_Week_Results_Data[Player],0)),"")</f>
        <v>10.6</v>
      </c>
      <c r="F245" s="58">
        <f>_xlfn.RANK.AVG(Table667986[[#This Row],[Actual]],Table667986[Actual],0)</f>
        <v>90.5</v>
      </c>
    </row>
    <row r="246" spans="2:6" x14ac:dyDescent="0.3">
      <c r="B246" s="489" t="s">
        <v>103</v>
      </c>
      <c r="C246" s="60">
        <v>4.7533333333333339</v>
      </c>
      <c r="D246" s="58">
        <f>_xlfn.RANK.AVG(Table667986[[#This Row],[Proj]],Table667986[Proj],0)</f>
        <v>236</v>
      </c>
      <c r="E246" s="60">
        <f>IFERROR(INDEX(DK_Last_Week_Results_Data[Actual Score],MATCH(Table667986[[#This Row],[Name]],DK_Last_Week_Results_Data[Player],0)),"")</f>
        <v>0.5</v>
      </c>
      <c r="F246" s="58">
        <f>_xlfn.RANK.AVG(Table667986[[#This Row],[Actual]],Table667986[Actual],0)</f>
        <v>198</v>
      </c>
    </row>
    <row r="247" spans="2:6" x14ac:dyDescent="0.3">
      <c r="B247" s="489" t="s">
        <v>245</v>
      </c>
      <c r="C247" s="60">
        <v>4.7300000000000004</v>
      </c>
      <c r="D247" s="58">
        <f>_xlfn.RANK.AVG(Table667986[[#This Row],[Proj]],Table667986[Proj],0)</f>
        <v>237</v>
      </c>
      <c r="E247" s="60">
        <f>IFERROR(INDEX(DK_Last_Week_Results_Data[Actual Score],MATCH(Table667986[[#This Row],[Name]],DK_Last_Week_Results_Data[Player],0)),"")</f>
        <v>10.7</v>
      </c>
      <c r="F247" s="58">
        <f>_xlfn.RANK.AVG(Table667986[[#This Row],[Actual]],Table667986[Actual],0)</f>
        <v>87</v>
      </c>
    </row>
    <row r="248" spans="2:6" x14ac:dyDescent="0.3">
      <c r="B248" s="489" t="s">
        <v>247</v>
      </c>
      <c r="C248" s="60">
        <v>4.6433333333333335</v>
      </c>
      <c r="D248" s="58">
        <f>_xlfn.RANK.AVG(Table667986[[#This Row],[Proj]],Table667986[Proj],0)</f>
        <v>238</v>
      </c>
      <c r="E248" s="60">
        <f>IFERROR(INDEX(DK_Last_Week_Results_Data[Actual Score],MATCH(Table667986[[#This Row],[Name]],DK_Last_Week_Results_Data[Player],0)),"")</f>
        <v>6.3</v>
      </c>
      <c r="F248" s="58">
        <f>_xlfn.RANK.AVG(Table667986[[#This Row],[Actual]],Table667986[Actual],0)</f>
        <v>134.5</v>
      </c>
    </row>
    <row r="249" spans="2:6" x14ac:dyDescent="0.3">
      <c r="B249" s="489" t="s">
        <v>464</v>
      </c>
      <c r="C249" s="60">
        <v>4.586666666666666</v>
      </c>
      <c r="D249" s="58">
        <f>_xlfn.RANK.AVG(Table667986[[#This Row],[Proj]],Table667986[Proj],0)</f>
        <v>239</v>
      </c>
      <c r="E249" s="60">
        <f>IFERROR(INDEX(DK_Last_Week_Results_Data[Actual Score],MATCH(Table667986[[#This Row],[Name]],DK_Last_Week_Results_Data[Player],0)),"")</f>
        <v>13.2</v>
      </c>
      <c r="F249" s="58">
        <f>_xlfn.RANK.AVG(Table667986[[#This Row],[Actual]],Table667986[Actual],0)</f>
        <v>65.5</v>
      </c>
    </row>
    <row r="250" spans="2:6" x14ac:dyDescent="0.3">
      <c r="B250" s="490" t="s">
        <v>845</v>
      </c>
      <c r="C250" s="60">
        <v>4.5333333333333341</v>
      </c>
      <c r="D250" s="58">
        <f>_xlfn.RANK.AVG(Table667986[[#This Row],[Proj]],Table667986[Proj],0)</f>
        <v>240</v>
      </c>
      <c r="E250" s="60" t="str">
        <f>IFERROR(INDEX(DK_Last_Week_Results_Data[Actual Score],MATCH(Table667986[[#This Row],[Name]],DK_Last_Week_Results_Data[Player],0)),"")</f>
        <v/>
      </c>
      <c r="F250" s="58" t="e">
        <f>_xlfn.RANK.AVG(Table667986[[#This Row],[Actual]],Table667986[Actual],0)</f>
        <v>#VALUE!</v>
      </c>
    </row>
    <row r="251" spans="2:6" x14ac:dyDescent="0.3">
      <c r="B251" s="490" t="s">
        <v>846</v>
      </c>
      <c r="C251" s="60">
        <v>4.3999999999999995</v>
      </c>
      <c r="D251" s="58">
        <f>_xlfn.RANK.AVG(Table667986[[#This Row],[Proj]],Table667986[Proj],0)</f>
        <v>241.5</v>
      </c>
      <c r="E251" s="60" t="str">
        <f>IFERROR(INDEX(DK_Last_Week_Results_Data[Actual Score],MATCH(Table667986[[#This Row],[Name]],DK_Last_Week_Results_Data[Player],0)),"")</f>
        <v/>
      </c>
      <c r="F251" s="58" t="e">
        <f>_xlfn.RANK.AVG(Table667986[[#This Row],[Actual]],Table667986[Actual],0)</f>
        <v>#VALUE!</v>
      </c>
    </row>
    <row r="252" spans="2:6" x14ac:dyDescent="0.3">
      <c r="B252" s="490" t="s">
        <v>843</v>
      </c>
      <c r="C252" s="60">
        <v>4.3999999999999995</v>
      </c>
      <c r="D252" s="58">
        <f>_xlfn.RANK.AVG(Table667986[[#This Row],[Proj]],Table667986[Proj],0)</f>
        <v>241.5</v>
      </c>
      <c r="E252" s="60" t="str">
        <f>IFERROR(INDEX(DK_Last_Week_Results_Data[Actual Score],MATCH(Table667986[[#This Row],[Name]],DK_Last_Week_Results_Data[Player],0)),"")</f>
        <v/>
      </c>
      <c r="F252" s="58" t="e">
        <f>_xlfn.RANK.AVG(Table667986[[#This Row],[Actual]],Table667986[Actual],0)</f>
        <v>#VALUE!</v>
      </c>
    </row>
    <row r="253" spans="2:6" x14ac:dyDescent="0.3">
      <c r="B253" s="489" t="s">
        <v>492</v>
      </c>
      <c r="C253" s="60">
        <v>4.22</v>
      </c>
      <c r="D253" s="58">
        <f>_xlfn.RANK.AVG(Table667986[[#This Row],[Proj]],Table667986[Proj],0)</f>
        <v>243</v>
      </c>
      <c r="E253" s="60">
        <f>IFERROR(INDEX(DK_Last_Week_Results_Data[Actual Score],MATCH(Table667986[[#This Row],[Name]],DK_Last_Week_Results_Data[Player],0)),"")</f>
        <v>-1</v>
      </c>
      <c r="F253" s="58">
        <f>_xlfn.RANK.AVG(Table667986[[#This Row],[Actual]],Table667986[Actual],0)</f>
        <v>301</v>
      </c>
    </row>
    <row r="254" spans="2:6" x14ac:dyDescent="0.3">
      <c r="B254" s="489" t="s">
        <v>460</v>
      </c>
      <c r="C254" s="60">
        <v>4.2166666666666668</v>
      </c>
      <c r="D254" s="58">
        <f>_xlfn.RANK.AVG(Table667986[[#This Row],[Proj]],Table667986[Proj],0)</f>
        <v>244</v>
      </c>
      <c r="E254" s="60">
        <f>IFERROR(INDEX(DK_Last_Week_Results_Data[Actual Score],MATCH(Table667986[[#This Row],[Name]],DK_Last_Week_Results_Data[Player],0)),"")</f>
        <v>0</v>
      </c>
      <c r="F254" s="58">
        <f>_xlfn.RANK.AVG(Table667986[[#This Row],[Actual]],Table667986[Actual],0)</f>
        <v>250</v>
      </c>
    </row>
    <row r="255" spans="2:6" x14ac:dyDescent="0.3">
      <c r="B255" s="489" t="s">
        <v>250</v>
      </c>
      <c r="C255" s="60">
        <v>4.2</v>
      </c>
      <c r="D255" s="58">
        <f>_xlfn.RANK.AVG(Table667986[[#This Row],[Proj]],Table667986[Proj],0)</f>
        <v>245</v>
      </c>
      <c r="E255" s="60">
        <f>IFERROR(INDEX(DK_Last_Week_Results_Data[Actual Score],MATCH(Table667986[[#This Row],[Name]],DK_Last_Week_Results_Data[Player],0)),"")</f>
        <v>4</v>
      </c>
      <c r="F255" s="58">
        <f>_xlfn.RANK.AVG(Table667986[[#This Row],[Actual]],Table667986[Actual],0)</f>
        <v>167</v>
      </c>
    </row>
    <row r="256" spans="2:6" x14ac:dyDescent="0.3">
      <c r="B256" s="489" t="s">
        <v>251</v>
      </c>
      <c r="C256" s="60">
        <v>4.1933333333333334</v>
      </c>
      <c r="D256" s="58">
        <f>_xlfn.RANK.AVG(Table667986[[#This Row],[Proj]],Table667986[Proj],0)</f>
        <v>246</v>
      </c>
      <c r="E256" s="60">
        <f>IFERROR(INDEX(DK_Last_Week_Results_Data[Actual Score],MATCH(Table667986[[#This Row],[Name]],DK_Last_Week_Results_Data[Player],0)),"")</f>
        <v>0</v>
      </c>
      <c r="F256" s="58">
        <f>_xlfn.RANK.AVG(Table667986[[#This Row],[Actual]],Table667986[Actual],0)</f>
        <v>250</v>
      </c>
    </row>
    <row r="257" spans="2:6" x14ac:dyDescent="0.3">
      <c r="B257" s="489" t="s">
        <v>117</v>
      </c>
      <c r="C257" s="60">
        <v>4.1833333333333336</v>
      </c>
      <c r="D257" s="58">
        <f>_xlfn.RANK.AVG(Table667986[[#This Row],[Proj]],Table667986[Proj],0)</f>
        <v>247</v>
      </c>
      <c r="E257" s="60">
        <f>IFERROR(INDEX(DK_Last_Week_Results_Data[Actual Score],MATCH(Table667986[[#This Row],[Name]],DK_Last_Week_Results_Data[Player],0)),"")</f>
        <v>1.9</v>
      </c>
      <c r="F257" s="58">
        <f>_xlfn.RANK.AVG(Table667986[[#This Row],[Actual]],Table667986[Actual],0)</f>
        <v>185</v>
      </c>
    </row>
    <row r="258" spans="2:6" x14ac:dyDescent="0.3">
      <c r="B258" s="489" t="s">
        <v>765</v>
      </c>
      <c r="C258" s="60">
        <v>4.17</v>
      </c>
      <c r="D258" s="58">
        <f>_xlfn.RANK.AVG(Table667986[[#This Row],[Proj]],Table667986[Proj],0)</f>
        <v>248</v>
      </c>
      <c r="E258" s="60">
        <f>IFERROR(INDEX(DK_Last_Week_Results_Data[Actual Score],MATCH(Table667986[[#This Row],[Name]],DK_Last_Week_Results_Data[Player],0)),"")</f>
        <v>0</v>
      </c>
      <c r="F258" s="58">
        <f>_xlfn.RANK.AVG(Table667986[[#This Row],[Actual]],Table667986[Actual],0)</f>
        <v>250</v>
      </c>
    </row>
    <row r="259" spans="2:6" x14ac:dyDescent="0.3">
      <c r="B259" s="489" t="s">
        <v>151</v>
      </c>
      <c r="C259" s="60">
        <v>4.1466666666666665</v>
      </c>
      <c r="D259" s="58">
        <f>_xlfn.RANK.AVG(Table667986[[#This Row],[Proj]],Table667986[Proj],0)</f>
        <v>249</v>
      </c>
      <c r="E259" s="60">
        <f>IFERROR(INDEX(DK_Last_Week_Results_Data[Actual Score],MATCH(Table667986[[#This Row],[Name]],DK_Last_Week_Results_Data[Player],0)),"")</f>
        <v>4.9000000000000004</v>
      </c>
      <c r="F259" s="58">
        <f>_xlfn.RANK.AVG(Table667986[[#This Row],[Actual]],Table667986[Actual],0)</f>
        <v>156</v>
      </c>
    </row>
    <row r="260" spans="2:6" x14ac:dyDescent="0.3">
      <c r="B260" s="489" t="s">
        <v>490</v>
      </c>
      <c r="C260" s="60">
        <v>4.1033333333333335</v>
      </c>
      <c r="D260" s="58">
        <f>_xlfn.RANK.AVG(Table667986[[#This Row],[Proj]],Table667986[Proj],0)</f>
        <v>250</v>
      </c>
      <c r="E260" s="60">
        <f>IFERROR(INDEX(DK_Last_Week_Results_Data[Actual Score],MATCH(Table667986[[#This Row],[Name]],DK_Last_Week_Results_Data[Player],0)),"")</f>
        <v>0</v>
      </c>
      <c r="F260" s="58">
        <f>_xlfn.RANK.AVG(Table667986[[#This Row],[Actual]],Table667986[Actual],0)</f>
        <v>250</v>
      </c>
    </row>
    <row r="261" spans="2:6" x14ac:dyDescent="0.3">
      <c r="B261" s="489" t="s">
        <v>146</v>
      </c>
      <c r="C261" s="60">
        <v>4.07</v>
      </c>
      <c r="D261" s="58">
        <f>_xlfn.RANK.AVG(Table667986[[#This Row],[Proj]],Table667986[Proj],0)</f>
        <v>251</v>
      </c>
      <c r="E261" s="60">
        <f>IFERROR(INDEX(DK_Last_Week_Results_Data[Actual Score],MATCH(Table667986[[#This Row],[Name]],DK_Last_Week_Results_Data[Player],0)),"")</f>
        <v>0</v>
      </c>
      <c r="F261" s="58">
        <f>_xlfn.RANK.AVG(Table667986[[#This Row],[Actual]],Table667986[Actual],0)</f>
        <v>250</v>
      </c>
    </row>
    <row r="262" spans="2:6" x14ac:dyDescent="0.3">
      <c r="B262" s="489" t="s">
        <v>470</v>
      </c>
      <c r="C262" s="60">
        <v>4.0049999999999999</v>
      </c>
      <c r="D262" s="58">
        <f>_xlfn.RANK.AVG(Table667986[[#This Row],[Proj]],Table667986[Proj],0)</f>
        <v>252</v>
      </c>
      <c r="E262" s="60">
        <f>IFERROR(INDEX(DK_Last_Week_Results_Data[Actual Score],MATCH(Table667986[[#This Row],[Name]],DK_Last_Week_Results_Data[Player],0)),"")</f>
        <v>0</v>
      </c>
      <c r="F262" s="58">
        <f>_xlfn.RANK.AVG(Table667986[[#This Row],[Actual]],Table667986[Actual],0)</f>
        <v>250</v>
      </c>
    </row>
    <row r="263" spans="2:6" x14ac:dyDescent="0.3">
      <c r="B263" s="489" t="s">
        <v>130</v>
      </c>
      <c r="C263" s="60">
        <v>4.0033333333333339</v>
      </c>
      <c r="D263" s="58">
        <f>_xlfn.RANK.AVG(Table667986[[#This Row],[Proj]],Table667986[Proj],0)</f>
        <v>253</v>
      </c>
      <c r="E263" s="60">
        <f>IFERROR(INDEX(DK_Last_Week_Results_Data[Actual Score],MATCH(Table667986[[#This Row],[Name]],DK_Last_Week_Results_Data[Player],0)),"")</f>
        <v>0</v>
      </c>
      <c r="F263" s="58">
        <f>_xlfn.RANK.AVG(Table667986[[#This Row],[Actual]],Table667986[Actual],0)</f>
        <v>250</v>
      </c>
    </row>
    <row r="264" spans="2:6" x14ac:dyDescent="0.3">
      <c r="B264" s="489" t="s">
        <v>138</v>
      </c>
      <c r="C264" s="60">
        <v>3.9800000000000004</v>
      </c>
      <c r="D264" s="58">
        <f>_xlfn.RANK.AVG(Table667986[[#This Row],[Proj]],Table667986[Proj],0)</f>
        <v>254</v>
      </c>
      <c r="E264" s="60">
        <f>IFERROR(INDEX(DK_Last_Week_Results_Data[Actual Score],MATCH(Table667986[[#This Row],[Name]],DK_Last_Week_Results_Data[Player],0)),"")</f>
        <v>0</v>
      </c>
      <c r="F264" s="58">
        <f>_xlfn.RANK.AVG(Table667986[[#This Row],[Actual]],Table667986[Actual],0)</f>
        <v>250</v>
      </c>
    </row>
    <row r="265" spans="2:6" x14ac:dyDescent="0.3">
      <c r="B265" s="489" t="s">
        <v>248</v>
      </c>
      <c r="C265" s="60">
        <v>3.95</v>
      </c>
      <c r="D265" s="58">
        <f>_xlfn.RANK.AVG(Table667986[[#This Row],[Proj]],Table667986[Proj],0)</f>
        <v>255</v>
      </c>
      <c r="E265" s="60">
        <f>IFERROR(INDEX(DK_Last_Week_Results_Data[Actual Score],MATCH(Table667986[[#This Row],[Name]],DK_Last_Week_Results_Data[Player],0)),"")</f>
        <v>0</v>
      </c>
      <c r="F265" s="58">
        <f>_xlfn.RANK.AVG(Table667986[[#This Row],[Actual]],Table667986[Actual],0)</f>
        <v>250</v>
      </c>
    </row>
    <row r="266" spans="2:6" x14ac:dyDescent="0.3">
      <c r="B266" s="490" t="s">
        <v>844</v>
      </c>
      <c r="C266" s="60">
        <v>3.8333333333333335</v>
      </c>
      <c r="D266" s="58">
        <f>_xlfn.RANK.AVG(Table667986[[#This Row],[Proj]],Table667986[Proj],0)</f>
        <v>256</v>
      </c>
      <c r="E266" s="60" t="str">
        <f>IFERROR(INDEX(DK_Last_Week_Results_Data[Actual Score],MATCH(Table667986[[#This Row],[Name]],DK_Last_Week_Results_Data[Player],0)),"")</f>
        <v/>
      </c>
      <c r="F266" s="58" t="e">
        <f>_xlfn.RANK.AVG(Table667986[[#This Row],[Actual]],Table667986[Actual],0)</f>
        <v>#VALUE!</v>
      </c>
    </row>
    <row r="267" spans="2:6" x14ac:dyDescent="0.3">
      <c r="B267" s="489" t="s">
        <v>153</v>
      </c>
      <c r="C267" s="60">
        <v>3.746666666666667</v>
      </c>
      <c r="D267" s="58">
        <f>_xlfn.RANK.AVG(Table667986[[#This Row],[Proj]],Table667986[Proj],0)</f>
        <v>257</v>
      </c>
      <c r="E267" s="60">
        <f>IFERROR(INDEX(DK_Last_Week_Results_Data[Actual Score],MATCH(Table667986[[#This Row],[Name]],DK_Last_Week_Results_Data[Player],0)),"")</f>
        <v>13.2</v>
      </c>
      <c r="F267" s="58">
        <f>_xlfn.RANK.AVG(Table667986[[#This Row],[Actual]],Table667986[Actual],0)</f>
        <v>65.5</v>
      </c>
    </row>
    <row r="268" spans="2:6" x14ac:dyDescent="0.3">
      <c r="B268" s="489" t="s">
        <v>246</v>
      </c>
      <c r="C268" s="60">
        <v>3.74</v>
      </c>
      <c r="D268" s="58">
        <f>_xlfn.RANK.AVG(Table667986[[#This Row],[Proj]],Table667986[Proj],0)</f>
        <v>258</v>
      </c>
      <c r="E268" s="60" t="str">
        <f>IFERROR(INDEX(DK_Last_Week_Results_Data[Actual Score],MATCH(Table667986[[#This Row],[Name]],DK_Last_Week_Results_Data[Player],0)),"")</f>
        <v/>
      </c>
      <c r="F268" s="58" t="e">
        <f>_xlfn.RANK.AVG(Table667986[[#This Row],[Actual]],Table667986[Actual],0)</f>
        <v>#VALUE!</v>
      </c>
    </row>
    <row r="269" spans="2:6" x14ac:dyDescent="0.3">
      <c r="B269" s="489" t="s">
        <v>268</v>
      </c>
      <c r="C269" s="60">
        <v>3.7333333333333334</v>
      </c>
      <c r="D269" s="58">
        <f>_xlfn.RANK.AVG(Table667986[[#This Row],[Proj]],Table667986[Proj],0)</f>
        <v>259</v>
      </c>
      <c r="E269" s="60">
        <f>IFERROR(INDEX(DK_Last_Week_Results_Data[Actual Score],MATCH(Table667986[[#This Row],[Name]],DK_Last_Week_Results_Data[Player],0)),"")</f>
        <v>2.5</v>
      </c>
      <c r="F269" s="58">
        <f>_xlfn.RANK.AVG(Table667986[[#This Row],[Actual]],Table667986[Actual],0)</f>
        <v>178</v>
      </c>
    </row>
    <row r="270" spans="2:6" x14ac:dyDescent="0.3">
      <c r="B270" s="489" t="s">
        <v>167</v>
      </c>
      <c r="C270" s="60">
        <v>3.7033333333333331</v>
      </c>
      <c r="D270" s="58">
        <f>_xlfn.RANK.AVG(Table667986[[#This Row],[Proj]],Table667986[Proj],0)</f>
        <v>260</v>
      </c>
      <c r="E270" s="60">
        <f>IFERROR(INDEX(DK_Last_Week_Results_Data[Actual Score],MATCH(Table667986[[#This Row],[Name]],DK_Last_Week_Results_Data[Player],0)),"")</f>
        <v>11.5</v>
      </c>
      <c r="F270" s="58">
        <f>_xlfn.RANK.AVG(Table667986[[#This Row],[Actual]],Table667986[Actual],0)</f>
        <v>81</v>
      </c>
    </row>
    <row r="271" spans="2:6" x14ac:dyDescent="0.3">
      <c r="B271" s="489" t="s">
        <v>274</v>
      </c>
      <c r="C271" s="60">
        <v>3.6500000000000004</v>
      </c>
      <c r="D271" s="58">
        <f>_xlfn.RANK.AVG(Table667986[[#This Row],[Proj]],Table667986[Proj],0)</f>
        <v>261</v>
      </c>
      <c r="E271" s="60">
        <f>IFERROR(INDEX(DK_Last_Week_Results_Data[Actual Score],MATCH(Table667986[[#This Row],[Name]],DK_Last_Week_Results_Data[Player],0)),"")</f>
        <v>1.8</v>
      </c>
      <c r="F271" s="58">
        <f>_xlfn.RANK.AVG(Table667986[[#This Row],[Actual]],Table667986[Actual],0)</f>
        <v>187.5</v>
      </c>
    </row>
    <row r="272" spans="2:6" x14ac:dyDescent="0.3">
      <c r="B272" s="489" t="s">
        <v>466</v>
      </c>
      <c r="C272" s="60">
        <v>3.6300000000000003</v>
      </c>
      <c r="D272" s="58">
        <f>_xlfn.RANK.AVG(Table667986[[#This Row],[Proj]],Table667986[Proj],0)</f>
        <v>262</v>
      </c>
      <c r="E272" s="60">
        <f>IFERROR(INDEX(DK_Last_Week_Results_Data[Actual Score],MATCH(Table667986[[#This Row],[Name]],DK_Last_Week_Results_Data[Player],0)),"")</f>
        <v>6.1</v>
      </c>
      <c r="F272" s="58">
        <f>_xlfn.RANK.AVG(Table667986[[#This Row],[Actual]],Table667986[Actual],0)</f>
        <v>139.5</v>
      </c>
    </row>
    <row r="273" spans="2:6" x14ac:dyDescent="0.3">
      <c r="B273" s="489" t="s">
        <v>164</v>
      </c>
      <c r="C273" s="60">
        <v>3.62</v>
      </c>
      <c r="D273" s="58">
        <f>_xlfn.RANK.AVG(Table667986[[#This Row],[Proj]],Table667986[Proj],0)</f>
        <v>263</v>
      </c>
      <c r="E273" s="60">
        <f>IFERROR(INDEX(DK_Last_Week_Results_Data[Actual Score],MATCH(Table667986[[#This Row],[Name]],DK_Last_Week_Results_Data[Player],0)),"")</f>
        <v>10.199999999999999</v>
      </c>
      <c r="F273" s="58">
        <f>_xlfn.RANK.AVG(Table667986[[#This Row],[Actual]],Table667986[Actual],0)</f>
        <v>94.5</v>
      </c>
    </row>
    <row r="274" spans="2:6" x14ac:dyDescent="0.3">
      <c r="B274" s="489" t="s">
        <v>116</v>
      </c>
      <c r="C274" s="60">
        <v>3.6100000000000003</v>
      </c>
      <c r="D274" s="58">
        <f>_xlfn.RANK.AVG(Table667986[[#This Row],[Proj]],Table667986[Proj],0)</f>
        <v>264</v>
      </c>
      <c r="E274" s="60">
        <f>IFERROR(INDEX(DK_Last_Week_Results_Data[Actual Score],MATCH(Table667986[[#This Row],[Name]],DK_Last_Week_Results_Data[Player],0)),"")</f>
        <v>0</v>
      </c>
      <c r="F274" s="58">
        <f>_xlfn.RANK.AVG(Table667986[[#This Row],[Actual]],Table667986[Actual],0)</f>
        <v>250</v>
      </c>
    </row>
    <row r="275" spans="2:6" x14ac:dyDescent="0.3">
      <c r="B275" s="489" t="s">
        <v>139</v>
      </c>
      <c r="C275" s="60">
        <v>3.5266666666666664</v>
      </c>
      <c r="D275" s="58">
        <f>_xlfn.RANK.AVG(Table667986[[#This Row],[Proj]],Table667986[Proj],0)</f>
        <v>265</v>
      </c>
      <c r="E275" s="60">
        <f>IFERROR(INDEX(DK_Last_Week_Results_Data[Actual Score],MATCH(Table667986[[#This Row],[Name]],DK_Last_Week_Results_Data[Player],0)),"")</f>
        <v>8.8000000000000007</v>
      </c>
      <c r="F275" s="58">
        <f>_xlfn.RANK.AVG(Table667986[[#This Row],[Actual]],Table667986[Actual],0)</f>
        <v>108</v>
      </c>
    </row>
    <row r="276" spans="2:6" x14ac:dyDescent="0.3">
      <c r="B276" s="489" t="s">
        <v>270</v>
      </c>
      <c r="C276" s="60">
        <v>3.4699999999999998</v>
      </c>
      <c r="D276" s="58">
        <f>_xlfn.RANK.AVG(Table667986[[#This Row],[Proj]],Table667986[Proj],0)</f>
        <v>266</v>
      </c>
      <c r="E276" s="60">
        <f>IFERROR(INDEX(DK_Last_Week_Results_Data[Actual Score],MATCH(Table667986[[#This Row],[Name]],DK_Last_Week_Results_Data[Player],0)),"")</f>
        <v>22</v>
      </c>
      <c r="F276" s="58">
        <f>_xlfn.RANK.AVG(Table667986[[#This Row],[Actual]],Table667986[Actual],0)</f>
        <v>33</v>
      </c>
    </row>
    <row r="277" spans="2:6" x14ac:dyDescent="0.3">
      <c r="B277" s="489" t="s">
        <v>524</v>
      </c>
      <c r="C277" s="60">
        <v>3.4000000000000004</v>
      </c>
      <c r="D277" s="58">
        <f>_xlfn.RANK.AVG(Table667986[[#This Row],[Proj]],Table667986[Proj],0)</f>
        <v>267</v>
      </c>
      <c r="E277" s="60">
        <f>IFERROR(INDEX(DK_Last_Week_Results_Data[Actual Score],MATCH(Table667986[[#This Row],[Name]],DK_Last_Week_Results_Data[Player],0)),"")</f>
        <v>0</v>
      </c>
      <c r="F277" s="58">
        <f>_xlfn.RANK.AVG(Table667986[[#This Row],[Actual]],Table667986[Actual],0)</f>
        <v>250</v>
      </c>
    </row>
    <row r="278" spans="2:6" x14ac:dyDescent="0.3">
      <c r="B278" s="489" t="s">
        <v>267</v>
      </c>
      <c r="C278" s="60">
        <v>3.3433333333333337</v>
      </c>
      <c r="D278" s="58">
        <f>_xlfn.RANK.AVG(Table667986[[#This Row],[Proj]],Table667986[Proj],0)</f>
        <v>268</v>
      </c>
      <c r="E278" s="60">
        <f>IFERROR(INDEX(DK_Last_Week_Results_Data[Actual Score],MATCH(Table667986[[#This Row],[Name]],DK_Last_Week_Results_Data[Player],0)),"")</f>
        <v>0</v>
      </c>
      <c r="F278" s="58">
        <f>_xlfn.RANK.AVG(Table667986[[#This Row],[Actual]],Table667986[Actual],0)</f>
        <v>250</v>
      </c>
    </row>
    <row r="279" spans="2:6" x14ac:dyDescent="0.3">
      <c r="B279" s="489" t="s">
        <v>159</v>
      </c>
      <c r="C279" s="60">
        <v>3.3149999999999999</v>
      </c>
      <c r="D279" s="58">
        <f>_xlfn.RANK.AVG(Table667986[[#This Row],[Proj]],Table667986[Proj],0)</f>
        <v>269</v>
      </c>
      <c r="E279" s="60">
        <f>IFERROR(INDEX(DK_Last_Week_Results_Data[Actual Score],MATCH(Table667986[[#This Row],[Name]],DK_Last_Week_Results_Data[Player],0)),"")</f>
        <v>0</v>
      </c>
      <c r="F279" s="58">
        <f>_xlfn.RANK.AVG(Table667986[[#This Row],[Actual]],Table667986[Actual],0)</f>
        <v>250</v>
      </c>
    </row>
    <row r="280" spans="2:6" x14ac:dyDescent="0.3">
      <c r="B280" s="489" t="s">
        <v>471</v>
      </c>
      <c r="C280" s="60">
        <v>3.17</v>
      </c>
      <c r="D280" s="58">
        <f>_xlfn.RANK.AVG(Table667986[[#This Row],[Proj]],Table667986[Proj],0)</f>
        <v>270</v>
      </c>
      <c r="E280" s="60">
        <f>IFERROR(INDEX(DK_Last_Week_Results_Data[Actual Score],MATCH(Table667986[[#This Row],[Name]],DK_Last_Week_Results_Data[Player],0)),"")</f>
        <v>0</v>
      </c>
      <c r="F280" s="58">
        <f>_xlfn.RANK.AVG(Table667986[[#This Row],[Actual]],Table667986[Actual],0)</f>
        <v>250</v>
      </c>
    </row>
    <row r="281" spans="2:6" x14ac:dyDescent="0.3">
      <c r="B281" s="489" t="s">
        <v>108</v>
      </c>
      <c r="C281" s="60">
        <v>3.0866666666666664</v>
      </c>
      <c r="D281" s="58">
        <f>_xlfn.RANK.AVG(Table667986[[#This Row],[Proj]],Table667986[Proj],0)</f>
        <v>271</v>
      </c>
      <c r="E281" s="60">
        <f>IFERROR(INDEX(DK_Last_Week_Results_Data[Actual Score],MATCH(Table667986[[#This Row],[Name]],DK_Last_Week_Results_Data[Player],0)),"")</f>
        <v>1.2</v>
      </c>
      <c r="F281" s="58">
        <f>_xlfn.RANK.AVG(Table667986[[#This Row],[Actual]],Table667986[Actual],0)</f>
        <v>196</v>
      </c>
    </row>
    <row r="282" spans="2:6" x14ac:dyDescent="0.3">
      <c r="B282" s="489" t="s">
        <v>305</v>
      </c>
      <c r="C282" s="60">
        <v>3.0600000000000005</v>
      </c>
      <c r="D282" s="58">
        <f>_xlfn.RANK.AVG(Table667986[[#This Row],[Proj]],Table667986[Proj],0)</f>
        <v>272</v>
      </c>
      <c r="E282" s="60">
        <f>IFERROR(INDEX(DK_Last_Week_Results_Data[Actual Score],MATCH(Table667986[[#This Row],[Name]],DK_Last_Week_Results_Data[Player],0)),"")</f>
        <v>0</v>
      </c>
      <c r="F282" s="58">
        <f>_xlfn.RANK.AVG(Table667986[[#This Row],[Actual]],Table667986[Actual],0)</f>
        <v>250</v>
      </c>
    </row>
    <row r="283" spans="2:6" x14ac:dyDescent="0.3">
      <c r="B283" s="489" t="s">
        <v>162</v>
      </c>
      <c r="C283" s="60">
        <v>3.0500000000000003</v>
      </c>
      <c r="D283" s="58">
        <f>_xlfn.RANK.AVG(Table667986[[#This Row],[Proj]],Table667986[Proj],0)</f>
        <v>273</v>
      </c>
      <c r="E283" s="60">
        <f>IFERROR(INDEX(DK_Last_Week_Results_Data[Actual Score],MATCH(Table667986[[#This Row],[Name]],DK_Last_Week_Results_Data[Player],0)),"")</f>
        <v>10.6</v>
      </c>
      <c r="F283" s="58">
        <f>_xlfn.RANK.AVG(Table667986[[#This Row],[Actual]],Table667986[Actual],0)</f>
        <v>90.5</v>
      </c>
    </row>
    <row r="284" spans="2:6" x14ac:dyDescent="0.3">
      <c r="B284" s="489" t="s">
        <v>278</v>
      </c>
      <c r="C284" s="60">
        <v>3.0250000000000004</v>
      </c>
      <c r="D284" s="58">
        <f>_xlfn.RANK.AVG(Table667986[[#This Row],[Proj]],Table667986[Proj],0)</f>
        <v>274</v>
      </c>
      <c r="E284" s="60">
        <f>IFERROR(INDEX(DK_Last_Week_Results_Data[Actual Score],MATCH(Table667986[[#This Row],[Name]],DK_Last_Week_Results_Data[Player],0)),"")</f>
        <v>9.4</v>
      </c>
      <c r="F284" s="58">
        <f>_xlfn.RANK.AVG(Table667986[[#This Row],[Actual]],Table667986[Actual],0)</f>
        <v>101.5</v>
      </c>
    </row>
    <row r="285" spans="2:6" x14ac:dyDescent="0.3">
      <c r="B285" s="489" t="s">
        <v>134</v>
      </c>
      <c r="C285" s="60">
        <v>2.9950000000000001</v>
      </c>
      <c r="D285" s="58">
        <f>_xlfn.RANK.AVG(Table667986[[#This Row],[Proj]],Table667986[Proj],0)</f>
        <v>275</v>
      </c>
      <c r="E285" s="60">
        <f>IFERROR(INDEX(DK_Last_Week_Results_Data[Actual Score],MATCH(Table667986[[#This Row],[Name]],DK_Last_Week_Results_Data[Player],0)),"")</f>
        <v>6.1</v>
      </c>
      <c r="F285" s="58">
        <f>_xlfn.RANK.AVG(Table667986[[#This Row],[Actual]],Table667986[Actual],0)</f>
        <v>139.5</v>
      </c>
    </row>
    <row r="286" spans="2:6" x14ac:dyDescent="0.3">
      <c r="B286" s="489" t="s">
        <v>520</v>
      </c>
      <c r="C286" s="60">
        <v>2.9600000000000004</v>
      </c>
      <c r="D286" s="58">
        <f>_xlfn.RANK.AVG(Table667986[[#This Row],[Proj]],Table667986[Proj],0)</f>
        <v>276</v>
      </c>
      <c r="E286" s="60">
        <f>IFERROR(INDEX(DK_Last_Week_Results_Data[Actual Score],MATCH(Table667986[[#This Row],[Name]],DK_Last_Week_Results_Data[Player],0)),"")</f>
        <v>4.5</v>
      </c>
      <c r="F286" s="58">
        <f>_xlfn.RANK.AVG(Table667986[[#This Row],[Actual]],Table667986[Actual],0)</f>
        <v>159.5</v>
      </c>
    </row>
    <row r="287" spans="2:6" x14ac:dyDescent="0.3">
      <c r="B287" s="489" t="s">
        <v>280</v>
      </c>
      <c r="C287" s="60">
        <v>2.92</v>
      </c>
      <c r="D287" s="58">
        <f>_xlfn.RANK.AVG(Table667986[[#This Row],[Proj]],Table667986[Proj],0)</f>
        <v>277</v>
      </c>
      <c r="E287" s="60">
        <f>IFERROR(INDEX(DK_Last_Week_Results_Data[Actual Score],MATCH(Table667986[[#This Row],[Name]],DK_Last_Week_Results_Data[Player],0)),"")</f>
        <v>0</v>
      </c>
      <c r="F287" s="58">
        <f>_xlfn.RANK.AVG(Table667986[[#This Row],[Actual]],Table667986[Actual],0)</f>
        <v>250</v>
      </c>
    </row>
    <row r="288" spans="2:6" x14ac:dyDescent="0.3">
      <c r="B288" s="489" t="s">
        <v>118</v>
      </c>
      <c r="C288" s="60">
        <v>2.915</v>
      </c>
      <c r="D288" s="58">
        <f>_xlfn.RANK.AVG(Table667986[[#This Row],[Proj]],Table667986[Proj],0)</f>
        <v>278</v>
      </c>
      <c r="E288" s="60">
        <f>IFERROR(INDEX(DK_Last_Week_Results_Data[Actual Score],MATCH(Table667986[[#This Row],[Name]],DK_Last_Week_Results_Data[Player],0)),"")</f>
        <v>2</v>
      </c>
      <c r="F288" s="58">
        <f>_xlfn.RANK.AVG(Table667986[[#This Row],[Actual]],Table667986[Actual],0)</f>
        <v>183.5</v>
      </c>
    </row>
    <row r="289" spans="2:6" x14ac:dyDescent="0.3">
      <c r="B289" s="489" t="s">
        <v>235</v>
      </c>
      <c r="C289" s="60">
        <v>2.91</v>
      </c>
      <c r="D289" s="58">
        <f>_xlfn.RANK.AVG(Table667986[[#This Row],[Proj]],Table667986[Proj],0)</f>
        <v>279.5</v>
      </c>
      <c r="E289" s="60" t="str">
        <f>IFERROR(INDEX(DK_Last_Week_Results_Data[Actual Score],MATCH(Table667986[[#This Row],[Name]],DK_Last_Week_Results_Data[Player],0)),"")</f>
        <v/>
      </c>
      <c r="F289" s="58" t="e">
        <f>_xlfn.RANK.AVG(Table667986[[#This Row],[Actual]],Table667986[Actual],0)</f>
        <v>#VALUE!</v>
      </c>
    </row>
    <row r="290" spans="2:6" x14ac:dyDescent="0.3">
      <c r="B290" s="489" t="s">
        <v>489</v>
      </c>
      <c r="C290" s="60">
        <v>2.91</v>
      </c>
      <c r="D290" s="58">
        <f>_xlfn.RANK.AVG(Table667986[[#This Row],[Proj]],Table667986[Proj],0)</f>
        <v>279.5</v>
      </c>
      <c r="E290" s="60">
        <f>IFERROR(INDEX(DK_Last_Week_Results_Data[Actual Score],MATCH(Table667986[[#This Row],[Name]],DK_Last_Week_Results_Data[Player],0)),"")</f>
        <v>0</v>
      </c>
      <c r="F290" s="58">
        <f>_xlfn.RANK.AVG(Table667986[[#This Row],[Actual]],Table667986[Actual],0)</f>
        <v>250</v>
      </c>
    </row>
    <row r="291" spans="2:6" x14ac:dyDescent="0.3">
      <c r="B291" s="489" t="s">
        <v>301</v>
      </c>
      <c r="C291" s="60">
        <v>2.8650000000000002</v>
      </c>
      <c r="D291" s="58">
        <f>_xlfn.RANK.AVG(Table667986[[#This Row],[Proj]],Table667986[Proj],0)</f>
        <v>281</v>
      </c>
      <c r="E291" s="60">
        <f>IFERROR(INDEX(DK_Last_Week_Results_Data[Actual Score],MATCH(Table667986[[#This Row],[Name]],DK_Last_Week_Results_Data[Player],0)),"")</f>
        <v>13.3</v>
      </c>
      <c r="F291" s="58">
        <f>_xlfn.RANK.AVG(Table667986[[#This Row],[Actual]],Table667986[Actual],0)</f>
        <v>64</v>
      </c>
    </row>
    <row r="292" spans="2:6" x14ac:dyDescent="0.3">
      <c r="B292" s="489" t="s">
        <v>313</v>
      </c>
      <c r="C292" s="60">
        <v>2.8500000000000005</v>
      </c>
      <c r="D292" s="58">
        <f>_xlfn.RANK.AVG(Table667986[[#This Row],[Proj]],Table667986[Proj],0)</f>
        <v>282</v>
      </c>
      <c r="E292" s="60">
        <f>IFERROR(INDEX(DK_Last_Week_Results_Data[Actual Score],MATCH(Table667986[[#This Row],[Name]],DK_Last_Week_Results_Data[Player],0)),"")</f>
        <v>2.9</v>
      </c>
      <c r="F292" s="58">
        <f>_xlfn.RANK.AVG(Table667986[[#This Row],[Actual]],Table667986[Actual],0)</f>
        <v>175</v>
      </c>
    </row>
    <row r="293" spans="2:6" x14ac:dyDescent="0.3">
      <c r="B293" s="489" t="s">
        <v>150</v>
      </c>
      <c r="C293" s="60">
        <v>2.8250000000000002</v>
      </c>
      <c r="D293" s="58">
        <f>_xlfn.RANK.AVG(Table667986[[#This Row],[Proj]],Table667986[Proj],0)</f>
        <v>283</v>
      </c>
      <c r="E293" s="60">
        <f>IFERROR(INDEX(DK_Last_Week_Results_Data[Actual Score],MATCH(Table667986[[#This Row],[Name]],DK_Last_Week_Results_Data[Player],0)),"")</f>
        <v>6.8</v>
      </c>
      <c r="F293" s="58">
        <f>_xlfn.RANK.AVG(Table667986[[#This Row],[Actual]],Table667986[Actual],0)</f>
        <v>129</v>
      </c>
    </row>
    <row r="294" spans="2:6" x14ac:dyDescent="0.3">
      <c r="B294" s="489" t="s">
        <v>273</v>
      </c>
      <c r="C294" s="60">
        <v>2.6500000000000004</v>
      </c>
      <c r="D294" s="58">
        <f>_xlfn.RANK.AVG(Table667986[[#This Row],[Proj]],Table667986[Proj],0)</f>
        <v>284</v>
      </c>
      <c r="E294" s="60">
        <f>IFERROR(INDEX(DK_Last_Week_Results_Data[Actual Score],MATCH(Table667986[[#This Row],[Name]],DK_Last_Week_Results_Data[Player],0)),"")</f>
        <v>0</v>
      </c>
      <c r="F294" s="58">
        <f>_xlfn.RANK.AVG(Table667986[[#This Row],[Actual]],Table667986[Actual],0)</f>
        <v>250</v>
      </c>
    </row>
    <row r="295" spans="2:6" x14ac:dyDescent="0.3">
      <c r="B295" s="489" t="s">
        <v>266</v>
      </c>
      <c r="C295" s="60">
        <v>2.6033333333333335</v>
      </c>
      <c r="D295" s="58">
        <f>_xlfn.RANK.AVG(Table667986[[#This Row],[Proj]],Table667986[Proj],0)</f>
        <v>285</v>
      </c>
      <c r="E295" s="60">
        <f>IFERROR(INDEX(DK_Last_Week_Results_Data[Actual Score],MATCH(Table667986[[#This Row],[Name]],DK_Last_Week_Results_Data[Player],0)),"")</f>
        <v>0</v>
      </c>
      <c r="F295" s="58">
        <f>_xlfn.RANK.AVG(Table667986[[#This Row],[Actual]],Table667986[Actual],0)</f>
        <v>250</v>
      </c>
    </row>
    <row r="296" spans="2:6" x14ac:dyDescent="0.3">
      <c r="B296" s="489" t="s">
        <v>498</v>
      </c>
      <c r="C296" s="60">
        <v>2.5500000000000003</v>
      </c>
      <c r="D296" s="58">
        <f>_xlfn.RANK.AVG(Table667986[[#This Row],[Proj]],Table667986[Proj],0)</f>
        <v>286</v>
      </c>
      <c r="E296" s="60">
        <f>IFERROR(INDEX(DK_Last_Week_Results_Data[Actual Score],MATCH(Table667986[[#This Row],[Name]],DK_Last_Week_Results_Data[Player],0)),"")</f>
        <v>3.7</v>
      </c>
      <c r="F296" s="58">
        <f>_xlfn.RANK.AVG(Table667986[[#This Row],[Actual]],Table667986[Actual],0)</f>
        <v>170</v>
      </c>
    </row>
    <row r="297" spans="2:6" x14ac:dyDescent="0.3">
      <c r="B297" s="489" t="s">
        <v>289</v>
      </c>
      <c r="C297" s="60">
        <v>2.5499999999999998</v>
      </c>
      <c r="D297" s="58">
        <f>_xlfn.RANK.AVG(Table667986[[#This Row],[Proj]],Table667986[Proj],0)</f>
        <v>287</v>
      </c>
      <c r="E297" s="60">
        <f>IFERROR(INDEX(DK_Last_Week_Results_Data[Actual Score],MATCH(Table667986[[#This Row],[Name]],DK_Last_Week_Results_Data[Player],0)),"")</f>
        <v>0</v>
      </c>
      <c r="F297" s="58">
        <f>_xlfn.RANK.AVG(Table667986[[#This Row],[Actual]],Table667986[Actual],0)</f>
        <v>250</v>
      </c>
    </row>
    <row r="298" spans="2:6" x14ac:dyDescent="0.3">
      <c r="B298" s="489" t="s">
        <v>298</v>
      </c>
      <c r="C298" s="60">
        <v>2.3650000000000002</v>
      </c>
      <c r="D298" s="58">
        <f>_xlfn.RANK.AVG(Table667986[[#This Row],[Proj]],Table667986[Proj],0)</f>
        <v>288</v>
      </c>
      <c r="E298" s="60">
        <f>IFERROR(INDEX(DK_Last_Week_Results_Data[Actual Score],MATCH(Table667986[[#This Row],[Name]],DK_Last_Week_Results_Data[Player],0)),"")</f>
        <v>2.2000000000000002</v>
      </c>
      <c r="F298" s="58">
        <f>_xlfn.RANK.AVG(Table667986[[#This Row],[Actual]],Table667986[Actual],0)</f>
        <v>181.5</v>
      </c>
    </row>
    <row r="299" spans="2:6" x14ac:dyDescent="0.3">
      <c r="B299" s="489" t="s">
        <v>255</v>
      </c>
      <c r="C299" s="60">
        <v>2.3150000000000004</v>
      </c>
      <c r="D299" s="58">
        <f>_xlfn.RANK.AVG(Table667986[[#This Row],[Proj]],Table667986[Proj],0)</f>
        <v>289</v>
      </c>
      <c r="E299" s="60">
        <f>IFERROR(INDEX(DK_Last_Week_Results_Data[Actual Score],MATCH(Table667986[[#This Row],[Name]],DK_Last_Week_Results_Data[Player],0)),"")</f>
        <v>-0.1</v>
      </c>
      <c r="F299" s="58">
        <f>_xlfn.RANK.AVG(Table667986[[#This Row],[Actual]],Table667986[Actual],0)</f>
        <v>299</v>
      </c>
    </row>
    <row r="300" spans="2:6" x14ac:dyDescent="0.3">
      <c r="B300" s="489" t="s">
        <v>290</v>
      </c>
      <c r="C300" s="60">
        <v>2.06</v>
      </c>
      <c r="D300" s="58">
        <f>_xlfn.RANK.AVG(Table667986[[#This Row],[Proj]],Table667986[Proj],0)</f>
        <v>290</v>
      </c>
      <c r="E300" s="60">
        <f>IFERROR(INDEX(DK_Last_Week_Results_Data[Actual Score],MATCH(Table667986[[#This Row],[Name]],DK_Last_Week_Results_Data[Player],0)),"")</f>
        <v>2.2999999999999998</v>
      </c>
      <c r="F300" s="58">
        <f>_xlfn.RANK.AVG(Table667986[[#This Row],[Actual]],Table667986[Actual],0)</f>
        <v>180</v>
      </c>
    </row>
    <row r="301" spans="2:6" x14ac:dyDescent="0.3">
      <c r="B301" s="489" t="s">
        <v>516</v>
      </c>
      <c r="C301" s="60">
        <v>1.97</v>
      </c>
      <c r="D301" s="58">
        <f>_xlfn.RANK.AVG(Table667986[[#This Row],[Proj]],Table667986[Proj],0)</f>
        <v>291</v>
      </c>
      <c r="E301" s="60">
        <f>IFERROR(INDEX(DK_Last_Week_Results_Data[Actual Score],MATCH(Table667986[[#This Row],[Name]],DK_Last_Week_Results_Data[Player],0)),"")</f>
        <v>6.8</v>
      </c>
      <c r="F301" s="58">
        <f>_xlfn.RANK.AVG(Table667986[[#This Row],[Actual]],Table667986[Actual],0)</f>
        <v>129</v>
      </c>
    </row>
    <row r="302" spans="2:6" x14ac:dyDescent="0.3">
      <c r="B302" s="489" t="s">
        <v>316</v>
      </c>
      <c r="C302" s="60">
        <v>1.9650000000000001</v>
      </c>
      <c r="D302" s="58">
        <f>_xlfn.RANK.AVG(Table667986[[#This Row],[Proj]],Table667986[Proj],0)</f>
        <v>292</v>
      </c>
      <c r="E302" s="60">
        <f>IFERROR(INDEX(DK_Last_Week_Results_Data[Actual Score],MATCH(Table667986[[#This Row],[Name]],DK_Last_Week_Results_Data[Player],0)),"")</f>
        <v>1.8</v>
      </c>
      <c r="F302" s="58">
        <f>_xlfn.RANK.AVG(Table667986[[#This Row],[Actual]],Table667986[Actual],0)</f>
        <v>187.5</v>
      </c>
    </row>
    <row r="303" spans="2:6" x14ac:dyDescent="0.3">
      <c r="B303" s="489" t="s">
        <v>155</v>
      </c>
      <c r="C303" s="60">
        <v>1.96</v>
      </c>
      <c r="D303" s="58">
        <f>_xlfn.RANK.AVG(Table667986[[#This Row],[Proj]],Table667986[Proj],0)</f>
        <v>293</v>
      </c>
      <c r="E303" s="60">
        <f>IFERROR(INDEX(DK_Last_Week_Results_Data[Actual Score],MATCH(Table667986[[#This Row],[Name]],DK_Last_Week_Results_Data[Player],0)),"")</f>
        <v>0</v>
      </c>
      <c r="F303" s="58">
        <f>_xlfn.RANK.AVG(Table667986[[#This Row],[Actual]],Table667986[Actual],0)</f>
        <v>250</v>
      </c>
    </row>
    <row r="304" spans="2:6" x14ac:dyDescent="0.3">
      <c r="B304" s="489" t="s">
        <v>286</v>
      </c>
      <c r="C304" s="60">
        <v>1.94</v>
      </c>
      <c r="D304" s="58">
        <f>_xlfn.RANK.AVG(Table667986[[#This Row],[Proj]],Table667986[Proj],0)</f>
        <v>294</v>
      </c>
      <c r="E304" s="60">
        <f>IFERROR(INDEX(DK_Last_Week_Results_Data[Actual Score],MATCH(Table667986[[#This Row],[Name]],DK_Last_Week_Results_Data[Player],0)),"")</f>
        <v>0</v>
      </c>
      <c r="F304" s="58">
        <f>_xlfn.RANK.AVG(Table667986[[#This Row],[Actual]],Table667986[Actual],0)</f>
        <v>250</v>
      </c>
    </row>
    <row r="305" spans="2:6" x14ac:dyDescent="0.3">
      <c r="B305" s="489" t="s">
        <v>264</v>
      </c>
      <c r="C305" s="60">
        <v>1.8566666666666667</v>
      </c>
      <c r="D305" s="58">
        <f>_xlfn.RANK.AVG(Table667986[[#This Row],[Proj]],Table667986[Proj],0)</f>
        <v>295</v>
      </c>
      <c r="E305" s="60">
        <f>IFERROR(INDEX(DK_Last_Week_Results_Data[Actual Score],MATCH(Table667986[[#This Row],[Name]],DK_Last_Week_Results_Data[Player],0)),"")</f>
        <v>14.8</v>
      </c>
      <c r="F305" s="58">
        <f>_xlfn.RANK.AVG(Table667986[[#This Row],[Actual]],Table667986[Actual],0)</f>
        <v>54</v>
      </c>
    </row>
    <row r="306" spans="2:6" x14ac:dyDescent="0.3">
      <c r="B306" s="489" t="s">
        <v>529</v>
      </c>
      <c r="C306" s="60">
        <v>1.8200000000000003</v>
      </c>
      <c r="D306" s="58">
        <f>_xlfn.RANK.AVG(Table667986[[#This Row],[Proj]],Table667986[Proj],0)</f>
        <v>296</v>
      </c>
      <c r="E306" s="60">
        <f>IFERROR(INDEX(DK_Last_Week_Results_Data[Actual Score],MATCH(Table667986[[#This Row],[Name]],DK_Last_Week_Results_Data[Player],0)),"")</f>
        <v>5.3</v>
      </c>
      <c r="F306" s="58">
        <f>_xlfn.RANK.AVG(Table667986[[#This Row],[Actual]],Table667986[Actual],0)</f>
        <v>149</v>
      </c>
    </row>
    <row r="307" spans="2:6" x14ac:dyDescent="0.3">
      <c r="B307" s="489" t="s">
        <v>1523</v>
      </c>
      <c r="C307" s="60">
        <v>1.7900000000000003</v>
      </c>
      <c r="D307" s="58">
        <f>_xlfn.RANK.AVG(Table667986[[#This Row],[Proj]],Table667986[Proj],0)</f>
        <v>297</v>
      </c>
      <c r="E307" s="60">
        <f>IFERROR(INDEX(DK_Last_Week_Results_Data[Actual Score],MATCH(Table667986[[#This Row],[Name]],DK_Last_Week_Results_Data[Player],0)),"")</f>
        <v>0</v>
      </c>
      <c r="F307" s="58">
        <f>_xlfn.RANK.AVG(Table667986[[#This Row],[Actual]],Table667986[Actual],0)</f>
        <v>250</v>
      </c>
    </row>
    <row r="308" spans="2:6" x14ac:dyDescent="0.3">
      <c r="B308" s="489" t="s">
        <v>261</v>
      </c>
      <c r="C308" s="60">
        <v>1.67</v>
      </c>
      <c r="D308" s="58">
        <f>_xlfn.RANK.AVG(Table667986[[#This Row],[Proj]],Table667986[Proj],0)</f>
        <v>298</v>
      </c>
      <c r="E308" s="60">
        <f>IFERROR(INDEX(DK_Last_Week_Results_Data[Actual Score],MATCH(Table667986[[#This Row],[Name]],DK_Last_Week_Results_Data[Player],0)),"")</f>
        <v>0</v>
      </c>
      <c r="F308" s="58">
        <f>_xlfn.RANK.AVG(Table667986[[#This Row],[Actual]],Table667986[Actual],0)</f>
        <v>250</v>
      </c>
    </row>
    <row r="309" spans="2:6" x14ac:dyDescent="0.3">
      <c r="B309" s="489" t="s">
        <v>295</v>
      </c>
      <c r="C309" s="60">
        <v>1.55</v>
      </c>
      <c r="D309" s="58">
        <f>_xlfn.RANK.AVG(Table667986[[#This Row],[Proj]],Table667986[Proj],0)</f>
        <v>299</v>
      </c>
      <c r="E309" s="60">
        <f>IFERROR(INDEX(DK_Last_Week_Results_Data[Actual Score],MATCH(Table667986[[#This Row],[Name]],DK_Last_Week_Results_Data[Player],0)),"")</f>
        <v>0</v>
      </c>
      <c r="F309" s="58">
        <f>_xlfn.RANK.AVG(Table667986[[#This Row],[Actual]],Table667986[Actual],0)</f>
        <v>250</v>
      </c>
    </row>
    <row r="310" spans="2:6" x14ac:dyDescent="0.3">
      <c r="B310" s="489" t="s">
        <v>501</v>
      </c>
      <c r="C310" s="60">
        <v>1.31</v>
      </c>
      <c r="D310" s="58">
        <f>_xlfn.RANK.AVG(Table667986[[#This Row],[Proj]],Table667986[Proj],0)</f>
        <v>300</v>
      </c>
      <c r="E310" s="60">
        <f>IFERROR(INDEX(DK_Last_Week_Results_Data[Actual Score],MATCH(Table667986[[#This Row],[Name]],DK_Last_Week_Results_Data[Player],0)),"")</f>
        <v>5.4</v>
      </c>
      <c r="F310" s="58">
        <f>_xlfn.RANK.AVG(Table667986[[#This Row],[Actual]],Table667986[Actual],0)</f>
        <v>147.5</v>
      </c>
    </row>
    <row r="311" spans="2:6" x14ac:dyDescent="0.3">
      <c r="B311" s="489" t="s">
        <v>144</v>
      </c>
      <c r="C311" s="60">
        <v>1.3</v>
      </c>
      <c r="D311" s="58">
        <f>_xlfn.RANK.AVG(Table667986[[#This Row],[Proj]],Table667986[Proj],0)</f>
        <v>301</v>
      </c>
      <c r="E311" s="60" t="str">
        <f>IFERROR(INDEX(DK_Last_Week_Results_Data[Actual Score],MATCH(Table667986[[#This Row],[Name]],DK_Last_Week_Results_Data[Player],0)),"")</f>
        <v/>
      </c>
      <c r="F311" s="58" t="e">
        <f>_xlfn.RANK.AVG(Table667986[[#This Row],[Actual]],Table667986[Actual],0)</f>
        <v>#VALUE!</v>
      </c>
    </row>
    <row r="312" spans="2:6" x14ac:dyDescent="0.3">
      <c r="B312" s="489" t="s">
        <v>253</v>
      </c>
      <c r="C312" s="60">
        <v>1.29</v>
      </c>
      <c r="D312" s="58">
        <f>_xlfn.RANK.AVG(Table667986[[#This Row],[Proj]],Table667986[Proj],0)</f>
        <v>302</v>
      </c>
      <c r="E312" s="60">
        <f>IFERROR(INDEX(DK_Last_Week_Results_Data[Actual Score],MATCH(Table667986[[#This Row],[Name]],DK_Last_Week_Results_Data[Player],0)),"")</f>
        <v>0</v>
      </c>
      <c r="F312" s="58">
        <f>_xlfn.RANK.AVG(Table667986[[#This Row],[Actual]],Table667986[Actual],0)</f>
        <v>250</v>
      </c>
    </row>
    <row r="313" spans="2:6" x14ac:dyDescent="0.3">
      <c r="B313" s="489" t="s">
        <v>1249</v>
      </c>
      <c r="C313" s="60">
        <v>1.27</v>
      </c>
      <c r="D313" s="58">
        <f>_xlfn.RANK.AVG(Table667986[[#This Row],[Proj]],Table667986[Proj],0)</f>
        <v>303</v>
      </c>
      <c r="E313" s="60">
        <f>IFERROR(INDEX(DK_Last_Week_Results_Data[Actual Score],MATCH(Table667986[[#This Row],[Name]],DK_Last_Week_Results_Data[Player],0)),"")</f>
        <v>0</v>
      </c>
      <c r="F313" s="58">
        <f>_xlfn.RANK.AVG(Table667986[[#This Row],[Actual]],Table667986[Actual],0)</f>
        <v>250</v>
      </c>
    </row>
    <row r="314" spans="2:6" x14ac:dyDescent="0.3">
      <c r="B314" s="489" t="s">
        <v>522</v>
      </c>
      <c r="C314" s="60">
        <v>1.2350000000000001</v>
      </c>
      <c r="D314" s="58">
        <f>_xlfn.RANK.AVG(Table667986[[#This Row],[Proj]],Table667986[Proj],0)</f>
        <v>304</v>
      </c>
      <c r="E314" s="60">
        <f>IFERROR(INDEX(DK_Last_Week_Results_Data[Actual Score],MATCH(Table667986[[#This Row],[Name]],DK_Last_Week_Results_Data[Player],0)),"")</f>
        <v>13.9</v>
      </c>
      <c r="F314" s="58">
        <f>_xlfn.RANK.AVG(Table667986[[#This Row],[Actual]],Table667986[Actual],0)</f>
        <v>62</v>
      </c>
    </row>
    <row r="315" spans="2:6" x14ac:dyDescent="0.3">
      <c r="B315" s="489" t="s">
        <v>502</v>
      </c>
      <c r="C315" s="60">
        <v>1.2300000000000002</v>
      </c>
      <c r="D315" s="58">
        <f>_xlfn.RANK.AVG(Table667986[[#This Row],[Proj]],Table667986[Proj],0)</f>
        <v>305</v>
      </c>
      <c r="E315" s="60">
        <f>IFERROR(INDEX(DK_Last_Week_Results_Data[Actual Score],MATCH(Table667986[[#This Row],[Name]],DK_Last_Week_Results_Data[Player],0)),"")</f>
        <v>0</v>
      </c>
      <c r="F315" s="58">
        <f>_xlfn.RANK.AVG(Table667986[[#This Row],[Actual]],Table667986[Actual],0)</f>
        <v>250</v>
      </c>
    </row>
    <row r="316" spans="2:6" x14ac:dyDescent="0.3">
      <c r="B316" s="489" t="s">
        <v>165</v>
      </c>
      <c r="C316" s="60">
        <v>1.1000000000000001</v>
      </c>
      <c r="D316" s="58">
        <f>_xlfn.RANK.AVG(Table667986[[#This Row],[Proj]],Table667986[Proj],0)</f>
        <v>306</v>
      </c>
      <c r="E316" s="60">
        <f>IFERROR(INDEX(DK_Last_Week_Results_Data[Actual Score],MATCH(Table667986[[#This Row],[Name]],DK_Last_Week_Results_Data[Player],0)),"")</f>
        <v>0</v>
      </c>
      <c r="F316" s="58">
        <f>_xlfn.RANK.AVG(Table667986[[#This Row],[Actual]],Table667986[Actual],0)</f>
        <v>250</v>
      </c>
    </row>
    <row r="317" spans="2:6" x14ac:dyDescent="0.3">
      <c r="B317" s="489" t="s">
        <v>304</v>
      </c>
      <c r="C317" s="60">
        <v>1.0900000000000001</v>
      </c>
      <c r="D317" s="58">
        <f>_xlfn.RANK.AVG(Table667986[[#This Row],[Proj]],Table667986[Proj],0)</f>
        <v>307</v>
      </c>
      <c r="E317" s="60">
        <f>IFERROR(INDEX(DK_Last_Week_Results_Data[Actual Score],MATCH(Table667986[[#This Row],[Name]],DK_Last_Week_Results_Data[Player],0)),"")</f>
        <v>2</v>
      </c>
      <c r="F317" s="58">
        <f>_xlfn.RANK.AVG(Table667986[[#This Row],[Actual]],Table667986[Actual],0)</f>
        <v>183.5</v>
      </c>
    </row>
    <row r="318" spans="2:6" x14ac:dyDescent="0.3">
      <c r="B318" s="489" t="s">
        <v>158</v>
      </c>
      <c r="C318" s="60">
        <v>1.06</v>
      </c>
      <c r="D318" s="58">
        <f>_xlfn.RANK.AVG(Table667986[[#This Row],[Proj]],Table667986[Proj],0)</f>
        <v>308</v>
      </c>
      <c r="E318" s="60">
        <f>IFERROR(INDEX(DK_Last_Week_Results_Data[Actual Score],MATCH(Table667986[[#This Row],[Name]],DK_Last_Week_Results_Data[Player],0)),"")</f>
        <v>0</v>
      </c>
      <c r="F318" s="58">
        <f>_xlfn.RANK.AVG(Table667986[[#This Row],[Actual]],Table667986[Actual],0)</f>
        <v>250</v>
      </c>
    </row>
    <row r="319" spans="2:6" x14ac:dyDescent="0.3">
      <c r="B319" s="489" t="s">
        <v>497</v>
      </c>
      <c r="C319" s="60">
        <v>1</v>
      </c>
      <c r="D319" s="58">
        <f>_xlfn.RANK.AVG(Table667986[[#This Row],[Proj]],Table667986[Proj],0)</f>
        <v>309</v>
      </c>
      <c r="E319" s="60">
        <f>IFERROR(INDEX(DK_Last_Week_Results_Data[Actual Score],MATCH(Table667986[[#This Row],[Name]],DK_Last_Week_Results_Data[Player],0)),"")</f>
        <v>1.2</v>
      </c>
      <c r="F319" s="58">
        <f>_xlfn.RANK.AVG(Table667986[[#This Row],[Actual]],Table667986[Actual],0)</f>
        <v>196</v>
      </c>
    </row>
    <row r="320" spans="2:6" x14ac:dyDescent="0.3">
      <c r="B320" s="489" t="s">
        <v>176</v>
      </c>
      <c r="C320" s="60">
        <v>0.97000000000000008</v>
      </c>
      <c r="D320" s="58">
        <f>_xlfn.RANK.AVG(Table667986[[#This Row],[Proj]],Table667986[Proj],0)</f>
        <v>310</v>
      </c>
      <c r="E320" s="60">
        <f>IFERROR(INDEX(DK_Last_Week_Results_Data[Actual Score],MATCH(Table667986[[#This Row],[Name]],DK_Last_Week_Results_Data[Player],0)),"")</f>
        <v>0</v>
      </c>
      <c r="F320" s="58">
        <f>_xlfn.RANK.AVG(Table667986[[#This Row],[Actual]],Table667986[Actual],0)</f>
        <v>250</v>
      </c>
    </row>
    <row r="321" spans="2:6" x14ac:dyDescent="0.3">
      <c r="B321" s="489" t="s">
        <v>515</v>
      </c>
      <c r="C321" s="60">
        <v>0.97</v>
      </c>
      <c r="D321" s="58">
        <f>_xlfn.RANK.AVG(Table667986[[#This Row],[Proj]],Table667986[Proj],0)</f>
        <v>311</v>
      </c>
      <c r="E321" s="60">
        <f>IFERROR(INDEX(DK_Last_Week_Results_Data[Actual Score],MATCH(Table667986[[#This Row],[Name]],DK_Last_Week_Results_Data[Player],0)),"")</f>
        <v>0</v>
      </c>
      <c r="F321" s="58">
        <f>_xlfn.RANK.AVG(Table667986[[#This Row],[Actual]],Table667986[Actual],0)</f>
        <v>250</v>
      </c>
    </row>
    <row r="322" spans="2:6" x14ac:dyDescent="0.3">
      <c r="B322" s="489" t="s">
        <v>309</v>
      </c>
      <c r="C322" s="60">
        <v>0.94000000000000006</v>
      </c>
      <c r="D322" s="58">
        <f>_xlfn.RANK.AVG(Table667986[[#This Row],[Proj]],Table667986[Proj],0)</f>
        <v>312</v>
      </c>
      <c r="E322" s="60">
        <f>IFERROR(INDEX(DK_Last_Week_Results_Data[Actual Score],MATCH(Table667986[[#This Row],[Name]],DK_Last_Week_Results_Data[Player],0)),"")</f>
        <v>0</v>
      </c>
      <c r="F322" s="58">
        <f>_xlfn.RANK.AVG(Table667986[[#This Row],[Actual]],Table667986[Actual],0)</f>
        <v>250</v>
      </c>
    </row>
    <row r="323" spans="2:6" x14ac:dyDescent="0.3">
      <c r="B323" s="489" t="s">
        <v>174</v>
      </c>
      <c r="C323" s="60">
        <v>0.91</v>
      </c>
      <c r="D323" s="58">
        <f>_xlfn.RANK.AVG(Table667986[[#This Row],[Proj]],Table667986[Proj],0)</f>
        <v>313</v>
      </c>
      <c r="E323" s="60">
        <f>IFERROR(INDEX(DK_Last_Week_Results_Data[Actual Score],MATCH(Table667986[[#This Row],[Name]],DK_Last_Week_Results_Data[Player],0)),"")</f>
        <v>0</v>
      </c>
      <c r="F323" s="58">
        <f>_xlfn.RANK.AVG(Table667986[[#This Row],[Actual]],Table667986[Actual],0)</f>
        <v>250</v>
      </c>
    </row>
    <row r="324" spans="2:6" x14ac:dyDescent="0.3">
      <c r="B324" s="489" t="s">
        <v>499</v>
      </c>
      <c r="C324" s="60">
        <v>0.90999999999999992</v>
      </c>
      <c r="D324" s="58">
        <f>_xlfn.RANK.AVG(Table667986[[#This Row],[Proj]],Table667986[Proj],0)</f>
        <v>314</v>
      </c>
      <c r="E324" s="60">
        <f>IFERROR(INDEX(DK_Last_Week_Results_Data[Actual Score],MATCH(Table667986[[#This Row],[Name]],DK_Last_Week_Results_Data[Player],0)),"")</f>
        <v>0</v>
      </c>
      <c r="F324" s="58">
        <f>_xlfn.RANK.AVG(Table667986[[#This Row],[Actual]],Table667986[Actual],0)</f>
        <v>250</v>
      </c>
    </row>
    <row r="325" spans="2:6" x14ac:dyDescent="0.3">
      <c r="B325" s="489" t="s">
        <v>279</v>
      </c>
      <c r="C325" s="60">
        <v>0.88</v>
      </c>
      <c r="D325" s="58">
        <f>_xlfn.RANK.AVG(Table667986[[#This Row],[Proj]],Table667986[Proj],0)</f>
        <v>315</v>
      </c>
      <c r="E325" s="60">
        <f>IFERROR(INDEX(DK_Last_Week_Results_Data[Actual Score],MATCH(Table667986[[#This Row],[Name]],DK_Last_Week_Results_Data[Player],0)),"")</f>
        <v>0</v>
      </c>
      <c r="F325" s="58">
        <f>_xlfn.RANK.AVG(Table667986[[#This Row],[Actual]],Table667986[Actual],0)</f>
        <v>250</v>
      </c>
    </row>
    <row r="326" spans="2:6" x14ac:dyDescent="0.3">
      <c r="B326" s="489" t="s">
        <v>513</v>
      </c>
      <c r="C326" s="60">
        <v>0.83000000000000007</v>
      </c>
      <c r="D326" s="58">
        <f>_xlfn.RANK.AVG(Table667986[[#This Row],[Proj]],Table667986[Proj],0)</f>
        <v>316</v>
      </c>
      <c r="E326" s="60">
        <f>IFERROR(INDEX(DK_Last_Week_Results_Data[Actual Score],MATCH(Table667986[[#This Row],[Name]],DK_Last_Week_Results_Data[Player],0)),"")</f>
        <v>0.2</v>
      </c>
      <c r="F326" s="58">
        <f>_xlfn.RANK.AVG(Table667986[[#This Row],[Actual]],Table667986[Actual],0)</f>
        <v>200</v>
      </c>
    </row>
    <row r="327" spans="2:6" x14ac:dyDescent="0.3">
      <c r="B327" s="489" t="s">
        <v>494</v>
      </c>
      <c r="C327" s="60">
        <v>0.74</v>
      </c>
      <c r="D327" s="58">
        <f>_xlfn.RANK.AVG(Table667986[[#This Row],[Proj]],Table667986[Proj],0)</f>
        <v>317</v>
      </c>
      <c r="E327" s="60">
        <f>IFERROR(INDEX(DK_Last_Week_Results_Data[Actual Score],MATCH(Table667986[[#This Row],[Name]],DK_Last_Week_Results_Data[Player],0)),"")</f>
        <v>0</v>
      </c>
      <c r="F327" s="58">
        <f>_xlfn.RANK.AVG(Table667986[[#This Row],[Actual]],Table667986[Actual],0)</f>
        <v>250</v>
      </c>
    </row>
    <row r="328" spans="2:6" x14ac:dyDescent="0.3">
      <c r="B328" s="489" t="s">
        <v>521</v>
      </c>
      <c r="C328" s="60">
        <v>0.71</v>
      </c>
      <c r="D328" s="58">
        <f>_xlfn.RANK.AVG(Table667986[[#This Row],[Proj]],Table667986[Proj],0)</f>
        <v>318</v>
      </c>
      <c r="E328" s="60">
        <f>IFERROR(INDEX(DK_Last_Week_Results_Data[Actual Score],MATCH(Table667986[[#This Row],[Name]],DK_Last_Week_Results_Data[Player],0)),"")</f>
        <v>0</v>
      </c>
      <c r="F328" s="58">
        <f>_xlfn.RANK.AVG(Table667986[[#This Row],[Actual]],Table667986[Actual],0)</f>
        <v>250</v>
      </c>
    </row>
    <row r="329" spans="2:6" x14ac:dyDescent="0.3">
      <c r="B329" s="489" t="s">
        <v>186</v>
      </c>
      <c r="C329" s="60">
        <v>0.7</v>
      </c>
      <c r="D329" s="58">
        <f>_xlfn.RANK.AVG(Table667986[[#This Row],[Proj]],Table667986[Proj],0)</f>
        <v>320</v>
      </c>
      <c r="E329" s="60">
        <f>IFERROR(INDEX(DK_Last_Week_Results_Data[Actual Score],MATCH(Table667986[[#This Row],[Name]],DK_Last_Week_Results_Data[Player],0)),"")</f>
        <v>1.7</v>
      </c>
      <c r="F329" s="58">
        <f>_xlfn.RANK.AVG(Table667986[[#This Row],[Actual]],Table667986[Actual],0)</f>
        <v>190</v>
      </c>
    </row>
    <row r="330" spans="2:6" x14ac:dyDescent="0.3">
      <c r="B330" s="489" t="s">
        <v>514</v>
      </c>
      <c r="C330" s="60">
        <v>0.7</v>
      </c>
      <c r="D330" s="58">
        <f>_xlfn.RANK.AVG(Table667986[[#This Row],[Proj]],Table667986[Proj],0)</f>
        <v>320</v>
      </c>
      <c r="E330" s="60">
        <f>IFERROR(INDEX(DK_Last_Week_Results_Data[Actual Score],MATCH(Table667986[[#This Row],[Name]],DK_Last_Week_Results_Data[Player],0)),"")</f>
        <v>7</v>
      </c>
      <c r="F330" s="58">
        <f>_xlfn.RANK.AVG(Table667986[[#This Row],[Actual]],Table667986[Actual],0)</f>
        <v>126</v>
      </c>
    </row>
    <row r="331" spans="2:6" x14ac:dyDescent="0.3">
      <c r="B331" s="489" t="s">
        <v>510</v>
      </c>
      <c r="C331" s="60">
        <v>0.7</v>
      </c>
      <c r="D331" s="58">
        <f>_xlfn.RANK.AVG(Table667986[[#This Row],[Proj]],Table667986[Proj],0)</f>
        <v>320</v>
      </c>
      <c r="E331" s="60">
        <f>IFERROR(INDEX(DK_Last_Week_Results_Data[Actual Score],MATCH(Table667986[[#This Row],[Name]],DK_Last_Week_Results_Data[Player],0)),"")</f>
        <v>0</v>
      </c>
      <c r="F331" s="58">
        <f>_xlfn.RANK.AVG(Table667986[[#This Row],[Actual]],Table667986[Actual],0)</f>
        <v>250</v>
      </c>
    </row>
    <row r="332" spans="2:6" x14ac:dyDescent="0.3">
      <c r="B332" s="489" t="s">
        <v>142</v>
      </c>
      <c r="C332" s="60">
        <v>0.60499999999999998</v>
      </c>
      <c r="D332" s="58">
        <f>_xlfn.RANK.AVG(Table667986[[#This Row],[Proj]],Table667986[Proj],0)</f>
        <v>322</v>
      </c>
      <c r="E332" s="60">
        <f>IFERROR(INDEX(DK_Last_Week_Results_Data[Actual Score],MATCH(Table667986[[#This Row],[Name]],DK_Last_Week_Results_Data[Player],0)),"")</f>
        <v>5.9</v>
      </c>
      <c r="F332" s="58">
        <f>_xlfn.RANK.AVG(Table667986[[#This Row],[Actual]],Table667986[Actual],0)</f>
        <v>143.5</v>
      </c>
    </row>
    <row r="333" spans="2:6" x14ac:dyDescent="0.3">
      <c r="B333" s="489" t="s">
        <v>172</v>
      </c>
      <c r="C333" s="60">
        <v>0.55000000000000004</v>
      </c>
      <c r="D333" s="58">
        <f>_xlfn.RANK.AVG(Table667986[[#This Row],[Proj]],Table667986[Proj],0)</f>
        <v>323</v>
      </c>
      <c r="E333" s="60">
        <f>IFERROR(INDEX(DK_Last_Week_Results_Data[Actual Score],MATCH(Table667986[[#This Row],[Name]],DK_Last_Week_Results_Data[Player],0)),"")</f>
        <v>0</v>
      </c>
      <c r="F333" s="58">
        <f>_xlfn.RANK.AVG(Table667986[[#This Row],[Actual]],Table667986[Actual],0)</f>
        <v>250</v>
      </c>
    </row>
    <row r="334" spans="2:6" x14ac:dyDescent="0.3">
      <c r="B334" s="489" t="s">
        <v>528</v>
      </c>
      <c r="C334" s="60">
        <v>0.51</v>
      </c>
      <c r="D334" s="58">
        <f>_xlfn.RANK.AVG(Table667986[[#This Row],[Proj]],Table667986[Proj],0)</f>
        <v>324</v>
      </c>
      <c r="E334" s="60">
        <f>IFERROR(INDEX(DK_Last_Week_Results_Data[Actual Score],MATCH(Table667986[[#This Row],[Name]],DK_Last_Week_Results_Data[Player],0)),"")</f>
        <v>0</v>
      </c>
      <c r="F334" s="58">
        <f>_xlfn.RANK.AVG(Table667986[[#This Row],[Actual]],Table667986[Actual],0)</f>
        <v>250</v>
      </c>
    </row>
    <row r="335" spans="2:6" x14ac:dyDescent="0.3">
      <c r="B335" s="489" t="s">
        <v>163</v>
      </c>
      <c r="C335" s="60">
        <v>0.49</v>
      </c>
      <c r="D335" s="58">
        <f>_xlfn.RANK.AVG(Table667986[[#This Row],[Proj]],Table667986[Proj],0)</f>
        <v>325</v>
      </c>
      <c r="E335" s="60">
        <f>IFERROR(INDEX(DK_Last_Week_Results_Data[Actual Score],MATCH(Table667986[[#This Row],[Name]],DK_Last_Week_Results_Data[Player],0)),"")</f>
        <v>0</v>
      </c>
      <c r="F335" s="58">
        <f>_xlfn.RANK.AVG(Table667986[[#This Row],[Actual]],Table667986[Actual],0)</f>
        <v>250</v>
      </c>
    </row>
    <row r="336" spans="2:6" x14ac:dyDescent="0.3">
      <c r="B336" s="489" t="s">
        <v>491</v>
      </c>
      <c r="C336" s="60">
        <v>0.48</v>
      </c>
      <c r="D336" s="58">
        <f>_xlfn.RANK.AVG(Table667986[[#This Row],[Proj]],Table667986[Proj],0)</f>
        <v>326</v>
      </c>
      <c r="E336" s="60">
        <f>IFERROR(INDEX(DK_Last_Week_Results_Data[Actual Score],MATCH(Table667986[[#This Row],[Name]],DK_Last_Week_Results_Data[Player],0)),"")</f>
        <v>0</v>
      </c>
      <c r="F336" s="58">
        <f>_xlfn.RANK.AVG(Table667986[[#This Row],[Actual]],Table667986[Actual],0)</f>
        <v>250</v>
      </c>
    </row>
    <row r="337" spans="2:6" x14ac:dyDescent="0.3">
      <c r="B337" s="489" t="s">
        <v>517</v>
      </c>
      <c r="C337" s="60">
        <v>0.47000000000000003</v>
      </c>
      <c r="D337" s="58">
        <f>_xlfn.RANK.AVG(Table667986[[#This Row],[Proj]],Table667986[Proj],0)</f>
        <v>327.5</v>
      </c>
      <c r="E337" s="60">
        <f>IFERROR(INDEX(DK_Last_Week_Results_Data[Actual Score],MATCH(Table667986[[#This Row],[Name]],DK_Last_Week_Results_Data[Player],0)),"")</f>
        <v>0</v>
      </c>
      <c r="F337" s="58">
        <f>_xlfn.RANK.AVG(Table667986[[#This Row],[Actual]],Table667986[Actual],0)</f>
        <v>250</v>
      </c>
    </row>
    <row r="338" spans="2:6" x14ac:dyDescent="0.3">
      <c r="B338" s="489" t="s">
        <v>504</v>
      </c>
      <c r="C338" s="60">
        <v>0.47000000000000003</v>
      </c>
      <c r="D338" s="58">
        <f>_xlfn.RANK.AVG(Table667986[[#This Row],[Proj]],Table667986[Proj],0)</f>
        <v>327.5</v>
      </c>
      <c r="E338" s="60">
        <f>IFERROR(INDEX(DK_Last_Week_Results_Data[Actual Score],MATCH(Table667986[[#This Row],[Name]],DK_Last_Week_Results_Data[Player],0)),"")</f>
        <v>0</v>
      </c>
      <c r="F338" s="58">
        <f>_xlfn.RANK.AVG(Table667986[[#This Row],[Actual]],Table667986[Actual],0)</f>
        <v>250</v>
      </c>
    </row>
    <row r="339" spans="2:6" x14ac:dyDescent="0.3">
      <c r="B339" s="489" t="s">
        <v>472</v>
      </c>
      <c r="C339" s="60">
        <v>0.43</v>
      </c>
      <c r="D339" s="58">
        <f>_xlfn.RANK.AVG(Table667986[[#This Row],[Proj]],Table667986[Proj],0)</f>
        <v>329.5</v>
      </c>
      <c r="E339" s="60">
        <f>IFERROR(INDEX(DK_Last_Week_Results_Data[Actual Score],MATCH(Table667986[[#This Row],[Name]],DK_Last_Week_Results_Data[Player],0)),"")</f>
        <v>5.0999999999999996</v>
      </c>
      <c r="F339" s="58">
        <f>_xlfn.RANK.AVG(Table667986[[#This Row],[Actual]],Table667986[Actual],0)</f>
        <v>153.5</v>
      </c>
    </row>
    <row r="340" spans="2:6" x14ac:dyDescent="0.3">
      <c r="B340" s="489" t="s">
        <v>175</v>
      </c>
      <c r="C340" s="60">
        <v>0.43</v>
      </c>
      <c r="D340" s="58">
        <f>_xlfn.RANK.AVG(Table667986[[#This Row],[Proj]],Table667986[Proj],0)</f>
        <v>329.5</v>
      </c>
      <c r="E340" s="60">
        <f>IFERROR(INDEX(DK_Last_Week_Results_Data[Actual Score],MATCH(Table667986[[#This Row],[Name]],DK_Last_Week_Results_Data[Player],0)),"")</f>
        <v>0</v>
      </c>
      <c r="F340" s="58">
        <f>_xlfn.RANK.AVG(Table667986[[#This Row],[Actual]],Table667986[Actual],0)</f>
        <v>250</v>
      </c>
    </row>
    <row r="341" spans="2:6" x14ac:dyDescent="0.3">
      <c r="B341" s="489" t="s">
        <v>541</v>
      </c>
      <c r="C341" s="60">
        <v>0.4</v>
      </c>
      <c r="D341" s="58">
        <f>_xlfn.RANK.AVG(Table667986[[#This Row],[Proj]],Table667986[Proj],0)</f>
        <v>331</v>
      </c>
      <c r="E341" s="60">
        <f>IFERROR(INDEX(DK_Last_Week_Results_Data[Actual Score],MATCH(Table667986[[#This Row],[Name]],DK_Last_Week_Results_Data[Player],0)),"")</f>
        <v>0</v>
      </c>
      <c r="F341" s="58">
        <f>_xlfn.RANK.AVG(Table667986[[#This Row],[Actual]],Table667986[Actual],0)</f>
        <v>250</v>
      </c>
    </row>
    <row r="342" spans="2:6" x14ac:dyDescent="0.3">
      <c r="B342" s="489" t="s">
        <v>312</v>
      </c>
      <c r="C342" s="60">
        <v>0.33999999999999997</v>
      </c>
      <c r="D342" s="58">
        <f>_xlfn.RANK.AVG(Table667986[[#This Row],[Proj]],Table667986[Proj],0)</f>
        <v>332</v>
      </c>
      <c r="E342" s="60">
        <f>IFERROR(INDEX(DK_Last_Week_Results_Data[Actual Score],MATCH(Table667986[[#This Row],[Name]],DK_Last_Week_Results_Data[Player],0)),"")</f>
        <v>1.6</v>
      </c>
      <c r="F342" s="58">
        <f>_xlfn.RANK.AVG(Table667986[[#This Row],[Actual]],Table667986[Actual],0)</f>
        <v>191.5</v>
      </c>
    </row>
    <row r="343" spans="2:6" x14ac:dyDescent="0.3">
      <c r="B343" s="489" t="s">
        <v>307</v>
      </c>
      <c r="C343" s="60">
        <v>0.23499999999999999</v>
      </c>
      <c r="D343" s="58">
        <f>_xlfn.RANK.AVG(Table667986[[#This Row],[Proj]],Table667986[Proj],0)</f>
        <v>333</v>
      </c>
      <c r="E343" s="60">
        <f>IFERROR(INDEX(DK_Last_Week_Results_Data[Actual Score],MATCH(Table667986[[#This Row],[Name]],DK_Last_Week_Results_Data[Player],0)),"")</f>
        <v>0.3</v>
      </c>
      <c r="F343" s="58">
        <f>_xlfn.RANK.AVG(Table667986[[#This Row],[Actual]],Table667986[Actual],0)</f>
        <v>199</v>
      </c>
    </row>
    <row r="344" spans="2:6" x14ac:dyDescent="0.3">
      <c r="B344" s="489" t="s">
        <v>281</v>
      </c>
      <c r="C344" s="60">
        <v>0.23</v>
      </c>
      <c r="D344" s="58">
        <f>_xlfn.RANK.AVG(Table667986[[#This Row],[Proj]],Table667986[Proj],0)</f>
        <v>334</v>
      </c>
      <c r="E344" s="60">
        <f>IFERROR(INDEX(DK_Last_Week_Results_Data[Actual Score],MATCH(Table667986[[#This Row],[Name]],DK_Last_Week_Results_Data[Player],0)),"")</f>
        <v>0</v>
      </c>
      <c r="F344" s="58">
        <f>_xlfn.RANK.AVG(Table667986[[#This Row],[Actual]],Table667986[Actual],0)</f>
        <v>250</v>
      </c>
    </row>
    <row r="345" spans="2:6" x14ac:dyDescent="0.3">
      <c r="B345" s="489" t="s">
        <v>178</v>
      </c>
      <c r="C345" s="60">
        <v>0.11000000000000001</v>
      </c>
      <c r="D345" s="58">
        <f>_xlfn.RANK.AVG(Table667986[[#This Row],[Proj]],Table667986[Proj],0)</f>
        <v>335.5</v>
      </c>
      <c r="E345" s="60">
        <f>IFERROR(INDEX(DK_Last_Week_Results_Data[Actual Score],MATCH(Table667986[[#This Row],[Name]],DK_Last_Week_Results_Data[Player],0)),"")</f>
        <v>0</v>
      </c>
      <c r="F345" s="58">
        <f>_xlfn.RANK.AVG(Table667986[[#This Row],[Actual]],Table667986[Actual],0)</f>
        <v>250</v>
      </c>
    </row>
    <row r="346" spans="2:6" x14ac:dyDescent="0.3">
      <c r="B346" s="489" t="s">
        <v>112</v>
      </c>
      <c r="C346" s="60">
        <v>0.11000000000000001</v>
      </c>
      <c r="D346" s="58">
        <f>_xlfn.RANK.AVG(Table667986[[#This Row],[Proj]],Table667986[Proj],0)</f>
        <v>335.5</v>
      </c>
      <c r="E346" s="60">
        <f>IFERROR(INDEX(DK_Last_Week_Results_Data[Actual Score],MATCH(Table667986[[#This Row],[Name]],DK_Last_Week_Results_Data[Player],0)),"")</f>
        <v>0</v>
      </c>
      <c r="F346" s="58">
        <f>_xlfn.RANK.AVG(Table667986[[#This Row],[Actual]],Table667986[Actual],0)</f>
        <v>250</v>
      </c>
    </row>
  </sheetData>
  <mergeCells count="8">
    <mergeCell ref="B4:D4"/>
    <mergeCell ref="B6:D6"/>
    <mergeCell ref="B9:F9"/>
    <mergeCell ref="AF9:AJ9"/>
    <mergeCell ref="Z9:AD9"/>
    <mergeCell ref="T9:X9"/>
    <mergeCell ref="N9:R9"/>
    <mergeCell ref="H9:L9"/>
  </mergeCells>
  <conditionalFormatting sqref="C9:C1048576">
    <cfRule type="colorScale" priority="24">
      <colorScale>
        <cfvo type="min"/>
        <cfvo type="percentile" val="50"/>
        <cfvo type="max"/>
        <color rgb="FFF8696B"/>
        <color rgb="FFFFEB84"/>
        <color rgb="FF63BE7B"/>
      </colorScale>
    </cfRule>
  </conditionalFormatting>
  <conditionalFormatting sqref="I9:I1048576">
    <cfRule type="colorScale" priority="23">
      <colorScale>
        <cfvo type="min"/>
        <cfvo type="percentile" val="50"/>
        <cfvo type="max"/>
        <color rgb="FFF8696B"/>
        <color rgb="FFFFEB84"/>
        <color rgb="FF63BE7B"/>
      </colorScale>
    </cfRule>
  </conditionalFormatting>
  <conditionalFormatting sqref="E9:E1048576">
    <cfRule type="colorScale" priority="22">
      <colorScale>
        <cfvo type="min"/>
        <cfvo type="percentile" val="50"/>
        <cfvo type="max"/>
        <color rgb="FFF8696B"/>
        <color rgb="FFFFEB84"/>
        <color rgb="FF63BE7B"/>
      </colorScale>
    </cfRule>
  </conditionalFormatting>
  <conditionalFormatting sqref="K9:K1048576">
    <cfRule type="colorScale" priority="21">
      <colorScale>
        <cfvo type="min"/>
        <cfvo type="percentile" val="50"/>
        <cfvo type="max"/>
        <color rgb="FFF8696B"/>
        <color rgb="FFFFEB84"/>
        <color rgb="FF63BE7B"/>
      </colorScale>
    </cfRule>
  </conditionalFormatting>
  <conditionalFormatting sqref="O9:O1048576">
    <cfRule type="colorScale" priority="20">
      <colorScale>
        <cfvo type="min"/>
        <cfvo type="percentile" val="50"/>
        <cfvo type="max"/>
        <color rgb="FFF8696B"/>
        <color rgb="FFFFEB84"/>
        <color rgb="FF63BE7B"/>
      </colorScale>
    </cfRule>
  </conditionalFormatting>
  <conditionalFormatting sqref="Q9:Q1048576">
    <cfRule type="colorScale" priority="19">
      <colorScale>
        <cfvo type="min"/>
        <cfvo type="percentile" val="50"/>
        <cfvo type="max"/>
        <color rgb="FFF8696B"/>
        <color rgb="FFFFEB84"/>
        <color rgb="FF63BE7B"/>
      </colorScale>
    </cfRule>
  </conditionalFormatting>
  <conditionalFormatting sqref="U9:U1048576">
    <cfRule type="colorScale" priority="18">
      <colorScale>
        <cfvo type="min"/>
        <cfvo type="percentile" val="50"/>
        <cfvo type="max"/>
        <color rgb="FFF8696B"/>
        <color rgb="FFFFEB84"/>
        <color rgb="FF63BE7B"/>
      </colorScale>
    </cfRule>
  </conditionalFormatting>
  <conditionalFormatting sqref="W9:W1048576">
    <cfRule type="colorScale" priority="17">
      <colorScale>
        <cfvo type="min"/>
        <cfvo type="percentile" val="50"/>
        <cfvo type="max"/>
        <color rgb="FFF8696B"/>
        <color rgb="FFFFEB84"/>
        <color rgb="FF63BE7B"/>
      </colorScale>
    </cfRule>
  </conditionalFormatting>
  <conditionalFormatting sqref="AA9:AA1048576">
    <cfRule type="colorScale" priority="16">
      <colorScale>
        <cfvo type="min"/>
        <cfvo type="percentile" val="50"/>
        <cfvo type="max"/>
        <color rgb="FFF8696B"/>
        <color rgb="FFFFEB84"/>
        <color rgb="FF63BE7B"/>
      </colorScale>
    </cfRule>
  </conditionalFormatting>
  <conditionalFormatting sqref="AC9:AC1048576">
    <cfRule type="colorScale" priority="15">
      <colorScale>
        <cfvo type="min"/>
        <cfvo type="percentile" val="50"/>
        <cfvo type="max"/>
        <color rgb="FFF8696B"/>
        <color rgb="FFFFEB84"/>
        <color rgb="FF63BE7B"/>
      </colorScale>
    </cfRule>
  </conditionalFormatting>
  <conditionalFormatting sqref="AG9:AG1048576">
    <cfRule type="colorScale" priority="14">
      <colorScale>
        <cfvo type="min"/>
        <cfvo type="percentile" val="50"/>
        <cfvo type="max"/>
        <color rgb="FFF8696B"/>
        <color rgb="FFFFEB84"/>
        <color rgb="FF63BE7B"/>
      </colorScale>
    </cfRule>
  </conditionalFormatting>
  <conditionalFormatting sqref="AI9:AI1048576">
    <cfRule type="colorScale" priority="13">
      <colorScale>
        <cfvo type="min"/>
        <cfvo type="percentile" val="50"/>
        <cfvo type="max"/>
        <color rgb="FFF8696B"/>
        <color rgb="FFFFEB84"/>
        <color rgb="FF63BE7B"/>
      </colorScale>
    </cfRule>
  </conditionalFormatting>
  <conditionalFormatting sqref="AH11:AH41">
    <cfRule type="colorScale" priority="2">
      <colorScale>
        <cfvo type="min"/>
        <cfvo type="percentile" val="50"/>
        <cfvo type="max"/>
        <color rgb="FF63BE7B"/>
        <color rgb="FFFFEB84"/>
        <color rgb="FFF8696B"/>
      </colorScale>
    </cfRule>
  </conditionalFormatting>
  <conditionalFormatting sqref="AJ11:AJ41">
    <cfRule type="colorScale" priority="1">
      <colorScale>
        <cfvo type="min"/>
        <cfvo type="percentile" val="50"/>
        <cfvo type="max"/>
        <color rgb="FF63BE7B"/>
        <color rgb="FFFFEB84"/>
        <color rgb="FFF8696B"/>
      </colorScale>
    </cfRule>
  </conditionalFormatting>
  <conditionalFormatting sqref="D11:D346">
    <cfRule type="colorScale" priority="1665">
      <colorScale>
        <cfvo type="min"/>
        <cfvo type="percentile" val="50"/>
        <cfvo type="max"/>
        <color rgb="FF63BE7B"/>
        <color rgb="FFFFEB84"/>
        <color rgb="FFF8696B"/>
      </colorScale>
    </cfRule>
  </conditionalFormatting>
  <conditionalFormatting sqref="F11:F346">
    <cfRule type="colorScale" priority="1666">
      <colorScale>
        <cfvo type="min"/>
        <cfvo type="percentile" val="50"/>
        <cfvo type="max"/>
        <color rgb="FF63BE7B"/>
        <color rgb="FFFFEB84"/>
        <color rgb="FFF8696B"/>
      </colorScale>
    </cfRule>
  </conditionalFormatting>
  <conditionalFormatting sqref="J11:J69">
    <cfRule type="colorScale" priority="1683">
      <colorScale>
        <cfvo type="min"/>
        <cfvo type="percentile" val="50"/>
        <cfvo type="max"/>
        <color rgb="FF63BE7B"/>
        <color rgb="FFFFEB84"/>
        <color rgb="FFF8696B"/>
      </colorScale>
    </cfRule>
  </conditionalFormatting>
  <conditionalFormatting sqref="L11:L69">
    <cfRule type="colorScale" priority="1684">
      <colorScale>
        <cfvo type="min"/>
        <cfvo type="percentile" val="50"/>
        <cfvo type="max"/>
        <color rgb="FF63BE7B"/>
        <color rgb="FFFFEB84"/>
        <color rgb="FFF8696B"/>
      </colorScale>
    </cfRule>
  </conditionalFormatting>
  <conditionalFormatting sqref="P11:P112">
    <cfRule type="colorScale" priority="1701">
      <colorScale>
        <cfvo type="min"/>
        <cfvo type="percentile" val="50"/>
        <cfvo type="max"/>
        <color rgb="FF63BE7B"/>
        <color rgb="FFFFEB84"/>
        <color rgb="FFF8696B"/>
      </colorScale>
    </cfRule>
  </conditionalFormatting>
  <conditionalFormatting sqref="R11:R112">
    <cfRule type="colorScale" priority="1702">
      <colorScale>
        <cfvo type="min"/>
        <cfvo type="percentile" val="50"/>
        <cfvo type="max"/>
        <color rgb="FF63BE7B"/>
        <color rgb="FFFFEB84"/>
        <color rgb="FFF8696B"/>
      </colorScale>
    </cfRule>
  </conditionalFormatting>
  <conditionalFormatting sqref="V11:V154">
    <cfRule type="colorScale" priority="1719">
      <colorScale>
        <cfvo type="min"/>
        <cfvo type="percentile" val="50"/>
        <cfvo type="max"/>
        <color rgb="FF63BE7B"/>
        <color rgb="FFFFEB84"/>
        <color rgb="FFF8696B"/>
      </colorScale>
    </cfRule>
  </conditionalFormatting>
  <conditionalFormatting sqref="X11:X154">
    <cfRule type="colorScale" priority="1720">
      <colorScale>
        <cfvo type="min"/>
        <cfvo type="percentile" val="50"/>
        <cfvo type="max"/>
        <color rgb="FF63BE7B"/>
        <color rgb="FFFFEB84"/>
        <color rgb="FFF8696B"/>
      </colorScale>
    </cfRule>
  </conditionalFormatting>
  <conditionalFormatting sqref="AB11:AB84">
    <cfRule type="colorScale" priority="1737">
      <colorScale>
        <cfvo type="min"/>
        <cfvo type="percentile" val="50"/>
        <cfvo type="max"/>
        <color rgb="FF63BE7B"/>
        <color rgb="FFFFEB84"/>
        <color rgb="FFF8696B"/>
      </colorScale>
    </cfRule>
  </conditionalFormatting>
  <conditionalFormatting sqref="AD11:AD84">
    <cfRule type="colorScale" priority="1738">
      <colorScale>
        <cfvo type="min"/>
        <cfvo type="percentile" val="50"/>
        <cfvo type="max"/>
        <color rgb="FF63BE7B"/>
        <color rgb="FFFFEB84"/>
        <color rgb="FFF8696B"/>
      </colorScale>
    </cfRule>
  </conditionalFormatting>
  <hyperlinks>
    <hyperlink ref="B4" r:id="rId1"/>
  </hyperlinks>
  <pageMargins left="0.7" right="0.7" top="0.75" bottom="0.75" header="0.3" footer="0.3"/>
  <drawing r:id="rId2"/>
  <tableParts count="6">
    <tablePart r:id="rId3"/>
    <tablePart r:id="rId4"/>
    <tablePart r:id="rId5"/>
    <tablePart r:id="rId6"/>
    <tablePart r:id="rId7"/>
    <tablePart r:id="rId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551"/>
  <sheetViews>
    <sheetView workbookViewId="0">
      <selection activeCell="A2" sqref="A2:P545"/>
    </sheetView>
  </sheetViews>
  <sheetFormatPr defaultColWidth="9.109375" defaultRowHeight="14.4" x14ac:dyDescent="0.3"/>
  <cols>
    <col min="1" max="1" width="22.21875" style="135" bestFit="1" customWidth="1"/>
    <col min="2" max="16384" width="9.109375" style="135"/>
  </cols>
  <sheetData>
    <row r="1" spans="1:16" x14ac:dyDescent="0.3">
      <c r="A1" s="135" t="s">
        <v>1</v>
      </c>
      <c r="B1" s="135" t="s">
        <v>413</v>
      </c>
      <c r="C1" s="135" t="s">
        <v>387</v>
      </c>
      <c r="D1" s="135" t="s">
        <v>81</v>
      </c>
      <c r="E1" s="135" t="s">
        <v>1693</v>
      </c>
      <c r="F1" s="135" t="s">
        <v>416</v>
      </c>
      <c r="G1" s="135" t="s">
        <v>1694</v>
      </c>
      <c r="H1" s="135" t="s">
        <v>1695</v>
      </c>
      <c r="I1" s="135" t="s">
        <v>1696</v>
      </c>
      <c r="J1" s="135" t="s">
        <v>1697</v>
      </c>
      <c r="K1" s="135" t="s">
        <v>1698</v>
      </c>
      <c r="L1" s="135" t="s">
        <v>1699</v>
      </c>
      <c r="M1" s="135" t="s">
        <v>1700</v>
      </c>
      <c r="N1" s="135" t="s">
        <v>1701</v>
      </c>
      <c r="O1" s="135" t="s">
        <v>1702</v>
      </c>
      <c r="P1" s="135" t="s">
        <v>1703</v>
      </c>
    </row>
    <row r="2" spans="1:16" x14ac:dyDescent="0.3">
      <c r="A2" s="135" t="s">
        <v>187</v>
      </c>
      <c r="B2" s="135" t="s">
        <v>396</v>
      </c>
      <c r="C2" s="135" t="s">
        <v>20</v>
      </c>
      <c r="D2" s="135" t="s">
        <v>2523</v>
      </c>
      <c r="E2" s="135" t="s">
        <v>1713</v>
      </c>
      <c r="F2" s="135">
        <v>9600</v>
      </c>
      <c r="G2" s="135">
        <v>12.8</v>
      </c>
      <c r="H2" s="135">
        <v>47.6</v>
      </c>
      <c r="I2" s="135">
        <v>26.1</v>
      </c>
      <c r="J2" s="135">
        <v>24.4</v>
      </c>
      <c r="K2" s="135">
        <v>24.4</v>
      </c>
      <c r="L2" s="135">
        <v>40</v>
      </c>
      <c r="M2" s="135">
        <v>47</v>
      </c>
      <c r="N2" s="135">
        <v>2.5</v>
      </c>
      <c r="O2" s="135">
        <v>29</v>
      </c>
      <c r="P2" s="135">
        <v>3</v>
      </c>
    </row>
    <row r="3" spans="1:16" x14ac:dyDescent="0.3">
      <c r="A3" s="135" t="s">
        <v>188</v>
      </c>
      <c r="B3" s="135" t="s">
        <v>396</v>
      </c>
      <c r="C3" s="135" t="s">
        <v>50</v>
      </c>
      <c r="D3" s="135" t="s">
        <v>2524</v>
      </c>
      <c r="E3" s="135" t="s">
        <v>1717</v>
      </c>
      <c r="F3" s="135">
        <v>9500</v>
      </c>
      <c r="G3" s="135">
        <v>13</v>
      </c>
      <c r="H3" s="135">
        <v>45.7</v>
      </c>
      <c r="I3" s="135">
        <v>24.8</v>
      </c>
      <c r="J3" s="135">
        <v>23.94</v>
      </c>
      <c r="K3" s="135">
        <v>23.94</v>
      </c>
      <c r="L3" s="135">
        <v>40</v>
      </c>
      <c r="M3" s="135">
        <v>47</v>
      </c>
      <c r="N3" s="135">
        <v>2.5</v>
      </c>
      <c r="O3" s="135">
        <v>2.6</v>
      </c>
      <c r="P3" s="135">
        <v>0.3</v>
      </c>
    </row>
    <row r="4" spans="1:16" x14ac:dyDescent="0.3">
      <c r="A4" s="135" t="s">
        <v>426</v>
      </c>
      <c r="B4" s="135" t="s">
        <v>396</v>
      </c>
      <c r="C4" s="135" t="s">
        <v>37</v>
      </c>
      <c r="D4" s="135" t="s">
        <v>2525</v>
      </c>
      <c r="E4" s="135" t="s">
        <v>1727</v>
      </c>
      <c r="F4" s="135">
        <v>9100</v>
      </c>
      <c r="G4" s="135">
        <v>8.8000000000000007</v>
      </c>
      <c r="H4" s="135">
        <v>43</v>
      </c>
      <c r="I4" s="135">
        <v>22.9</v>
      </c>
      <c r="J4" s="135">
        <v>20.239999999999998</v>
      </c>
      <c r="K4" s="135">
        <v>20.239999999999998</v>
      </c>
      <c r="L4" s="135">
        <v>40</v>
      </c>
      <c r="M4" s="135">
        <v>19</v>
      </c>
      <c r="N4" s="135">
        <v>2.2000000000000002</v>
      </c>
      <c r="O4" s="135">
        <v>22.1</v>
      </c>
      <c r="P4" s="135">
        <v>2.4</v>
      </c>
    </row>
    <row r="5" spans="1:16" x14ac:dyDescent="0.3">
      <c r="A5" s="135" t="s">
        <v>189</v>
      </c>
      <c r="B5" s="135" t="s">
        <v>396</v>
      </c>
      <c r="C5" s="135" t="s">
        <v>43</v>
      </c>
      <c r="D5" s="135" t="s">
        <v>1904</v>
      </c>
      <c r="E5" s="135" t="s">
        <v>1732</v>
      </c>
      <c r="F5" s="135">
        <v>8600</v>
      </c>
      <c r="G5" s="135">
        <v>8.9</v>
      </c>
      <c r="H5" s="135">
        <v>40.1</v>
      </c>
      <c r="I5" s="135">
        <v>21.8</v>
      </c>
      <c r="J5" s="135">
        <v>19.260000000000002</v>
      </c>
      <c r="K5" s="135">
        <v>19.260000000000002</v>
      </c>
      <c r="L5" s="135">
        <v>40</v>
      </c>
      <c r="M5" s="135">
        <v>53</v>
      </c>
      <c r="N5" s="135">
        <v>2.2000000000000002</v>
      </c>
      <c r="O5" s="135">
        <v>9.6</v>
      </c>
      <c r="P5" s="135">
        <v>1.1000000000000001</v>
      </c>
    </row>
    <row r="6" spans="1:16" x14ac:dyDescent="0.3">
      <c r="A6" s="135" t="s">
        <v>234</v>
      </c>
      <c r="B6" s="135" t="s">
        <v>396</v>
      </c>
      <c r="C6" s="135" t="s">
        <v>52</v>
      </c>
      <c r="D6" s="135" t="s">
        <v>2526</v>
      </c>
      <c r="E6" s="135" t="s">
        <v>1720</v>
      </c>
      <c r="F6" s="135">
        <v>8400</v>
      </c>
      <c r="G6" s="135">
        <v>7.2</v>
      </c>
      <c r="H6" s="135">
        <v>36.299999999999997</v>
      </c>
      <c r="I6" s="135">
        <v>10.199999999999999</v>
      </c>
      <c r="J6" s="135">
        <v>16.89</v>
      </c>
      <c r="K6" s="135">
        <v>16.89</v>
      </c>
      <c r="L6" s="135">
        <v>40</v>
      </c>
      <c r="M6" s="135">
        <v>12</v>
      </c>
      <c r="N6" s="135">
        <v>2</v>
      </c>
      <c r="O6" s="135">
        <v>13</v>
      </c>
      <c r="P6" s="135">
        <v>1.5</v>
      </c>
    </row>
    <row r="7" spans="1:16" x14ac:dyDescent="0.3">
      <c r="A7" s="135" t="s">
        <v>195</v>
      </c>
      <c r="B7" s="135" t="s">
        <v>396</v>
      </c>
      <c r="C7" s="135" t="s">
        <v>28</v>
      </c>
      <c r="D7" s="135" t="s">
        <v>2527</v>
      </c>
      <c r="E7" s="135" t="s">
        <v>1320</v>
      </c>
      <c r="F7" s="135">
        <v>8100</v>
      </c>
      <c r="G7" s="135">
        <v>6</v>
      </c>
      <c r="H7" s="135">
        <v>38.1</v>
      </c>
      <c r="I7" s="135">
        <v>17.899999999999999</v>
      </c>
      <c r="J7" s="135">
        <v>16.66</v>
      </c>
      <c r="K7" s="135">
        <v>16.66</v>
      </c>
      <c r="L7" s="135">
        <v>40</v>
      </c>
      <c r="M7" s="135">
        <v>52</v>
      </c>
      <c r="N7" s="135">
        <v>2.1</v>
      </c>
      <c r="O7" s="135">
        <v>15.7</v>
      </c>
      <c r="P7" s="135">
        <v>1.9</v>
      </c>
    </row>
    <row r="8" spans="1:16" x14ac:dyDescent="0.3">
      <c r="A8" s="135" t="s">
        <v>208</v>
      </c>
      <c r="B8" s="135" t="s">
        <v>396</v>
      </c>
      <c r="C8" s="135" t="s">
        <v>46</v>
      </c>
      <c r="D8" s="135" t="s">
        <v>2528</v>
      </c>
      <c r="E8" s="135" t="s">
        <v>1730</v>
      </c>
      <c r="F8" s="135">
        <v>8000</v>
      </c>
      <c r="G8" s="135">
        <v>9.1999999999999993</v>
      </c>
      <c r="H8" s="135">
        <v>35</v>
      </c>
      <c r="I8" s="135">
        <v>19</v>
      </c>
      <c r="J8" s="135">
        <v>17.8</v>
      </c>
      <c r="K8" s="135">
        <v>17.8</v>
      </c>
      <c r="L8" s="135">
        <v>40</v>
      </c>
      <c r="M8" s="135">
        <v>47</v>
      </c>
      <c r="N8" s="135">
        <v>2.2000000000000002</v>
      </c>
      <c r="O8" s="135">
        <v>12</v>
      </c>
      <c r="P8" s="135">
        <v>1.5</v>
      </c>
    </row>
    <row r="9" spans="1:16" x14ac:dyDescent="0.3">
      <c r="A9" s="135" t="s">
        <v>8</v>
      </c>
      <c r="B9" s="135" t="s">
        <v>405</v>
      </c>
      <c r="C9" s="135" t="s">
        <v>404</v>
      </c>
      <c r="D9" s="135" t="s">
        <v>1901</v>
      </c>
      <c r="E9" s="135" t="s">
        <v>1730</v>
      </c>
      <c r="F9" s="135">
        <v>7900</v>
      </c>
      <c r="G9" s="135">
        <v>16.8</v>
      </c>
      <c r="H9" s="135">
        <v>41.4</v>
      </c>
      <c r="I9" s="135">
        <v>23.1</v>
      </c>
      <c r="J9" s="135">
        <v>25.05</v>
      </c>
      <c r="K9" s="135">
        <v>25.05</v>
      </c>
      <c r="L9" s="135">
        <v>40</v>
      </c>
      <c r="M9" s="135">
        <v>67</v>
      </c>
      <c r="N9" s="135">
        <v>3.2</v>
      </c>
      <c r="O9" s="135">
        <v>29.94</v>
      </c>
      <c r="P9" s="135">
        <v>3.8</v>
      </c>
    </row>
    <row r="10" spans="1:16" x14ac:dyDescent="0.3">
      <c r="A10" s="135" t="s">
        <v>206</v>
      </c>
      <c r="B10" s="135" t="s">
        <v>396</v>
      </c>
      <c r="C10" s="135" t="s">
        <v>404</v>
      </c>
      <c r="D10" s="135" t="s">
        <v>1901</v>
      </c>
      <c r="E10" s="135" t="s">
        <v>1728</v>
      </c>
      <c r="F10" s="135">
        <v>7900</v>
      </c>
      <c r="G10" s="135">
        <v>10.4</v>
      </c>
      <c r="H10" s="135">
        <v>35.6</v>
      </c>
      <c r="I10" s="135">
        <v>16.600000000000001</v>
      </c>
      <c r="J10" s="135">
        <v>18.829999999999998</v>
      </c>
      <c r="K10" s="135">
        <v>18.829999999999998</v>
      </c>
      <c r="L10" s="135">
        <v>40</v>
      </c>
      <c r="M10" s="135">
        <v>67</v>
      </c>
      <c r="N10" s="135">
        <v>2.4</v>
      </c>
      <c r="O10" s="135">
        <v>3.9</v>
      </c>
      <c r="P10" s="135">
        <v>0.5</v>
      </c>
    </row>
    <row r="11" spans="1:16" x14ac:dyDescent="0.3">
      <c r="A11" s="135" t="s">
        <v>21</v>
      </c>
      <c r="B11" s="135" t="s">
        <v>405</v>
      </c>
      <c r="C11" s="135" t="s">
        <v>22</v>
      </c>
      <c r="D11" s="135" t="s">
        <v>2529</v>
      </c>
      <c r="E11" s="135" t="s">
        <v>1714</v>
      </c>
      <c r="F11" s="135">
        <v>7800</v>
      </c>
      <c r="G11" s="135">
        <v>11.4</v>
      </c>
      <c r="H11" s="135">
        <v>40.799999999999997</v>
      </c>
      <c r="I11" s="135">
        <v>25.9</v>
      </c>
      <c r="J11" s="135">
        <v>21.21</v>
      </c>
      <c r="K11" s="135">
        <v>21.21</v>
      </c>
      <c r="L11" s="135">
        <v>40</v>
      </c>
      <c r="M11" s="135">
        <v>66</v>
      </c>
      <c r="N11" s="135">
        <v>2.7</v>
      </c>
      <c r="O11" s="135">
        <v>16.079999999999998</v>
      </c>
      <c r="P11" s="135">
        <v>2.1</v>
      </c>
    </row>
    <row r="12" spans="1:16" x14ac:dyDescent="0.3">
      <c r="A12" s="135" t="s">
        <v>210</v>
      </c>
      <c r="B12" s="135" t="s">
        <v>396</v>
      </c>
      <c r="C12" s="135" t="s">
        <v>4</v>
      </c>
      <c r="D12" s="135" t="s">
        <v>2530</v>
      </c>
      <c r="E12" s="135" t="s">
        <v>1731</v>
      </c>
      <c r="F12" s="135">
        <v>7700</v>
      </c>
      <c r="G12" s="135">
        <v>6.6</v>
      </c>
      <c r="H12" s="135">
        <v>36.299999999999997</v>
      </c>
      <c r="I12" s="135">
        <v>14.3</v>
      </c>
      <c r="J12" s="135">
        <v>16.46</v>
      </c>
      <c r="K12" s="135">
        <v>16.46</v>
      </c>
      <c r="L12" s="135">
        <v>40</v>
      </c>
      <c r="M12" s="135">
        <v>46</v>
      </c>
      <c r="N12" s="135">
        <v>2.1</v>
      </c>
      <c r="O12" s="135">
        <v>10.199999999999999</v>
      </c>
      <c r="P12" s="135">
        <v>1.3</v>
      </c>
    </row>
    <row r="13" spans="1:16" x14ac:dyDescent="0.3">
      <c r="A13" s="135" t="s">
        <v>98</v>
      </c>
      <c r="B13" s="135" t="s">
        <v>394</v>
      </c>
      <c r="C13" s="135" t="s">
        <v>24</v>
      </c>
      <c r="D13" s="135" t="s">
        <v>1902</v>
      </c>
      <c r="E13" s="135" t="s">
        <v>1729</v>
      </c>
      <c r="F13" s="135">
        <v>7700</v>
      </c>
      <c r="G13" s="135">
        <v>7.6</v>
      </c>
      <c r="H13" s="135">
        <v>39.200000000000003</v>
      </c>
      <c r="I13" s="135">
        <v>13.7</v>
      </c>
      <c r="J13" s="135">
        <v>18.149999999999999</v>
      </c>
      <c r="K13" s="135">
        <v>18.149999999999999</v>
      </c>
      <c r="L13" s="135">
        <v>40</v>
      </c>
      <c r="M13" s="135">
        <v>48</v>
      </c>
      <c r="N13" s="135">
        <v>2.4</v>
      </c>
      <c r="O13" s="135">
        <v>26.1</v>
      </c>
      <c r="P13" s="135">
        <v>3.4</v>
      </c>
    </row>
    <row r="14" spans="1:16" x14ac:dyDescent="0.3">
      <c r="A14" s="135" t="s">
        <v>5</v>
      </c>
      <c r="B14" s="135" t="s">
        <v>405</v>
      </c>
      <c r="C14" s="135" t="s">
        <v>395</v>
      </c>
      <c r="D14" s="135" t="s">
        <v>2531</v>
      </c>
      <c r="E14" s="135" t="s">
        <v>1733</v>
      </c>
      <c r="F14" s="135">
        <v>7700</v>
      </c>
      <c r="G14" s="135">
        <v>13.3</v>
      </c>
      <c r="H14" s="135">
        <v>39.1</v>
      </c>
      <c r="I14" s="135">
        <v>20.100000000000001</v>
      </c>
      <c r="J14" s="135">
        <v>21.92</v>
      </c>
      <c r="K14" s="135">
        <v>21.92</v>
      </c>
      <c r="L14" s="135">
        <v>40</v>
      </c>
      <c r="M14" s="135">
        <v>60</v>
      </c>
      <c r="N14" s="135">
        <v>2.8</v>
      </c>
      <c r="O14" s="135">
        <v>26.4</v>
      </c>
      <c r="P14" s="135">
        <v>3.4</v>
      </c>
    </row>
    <row r="15" spans="1:16" x14ac:dyDescent="0.3">
      <c r="A15" s="135" t="s">
        <v>15</v>
      </c>
      <c r="B15" s="135" t="s">
        <v>405</v>
      </c>
      <c r="C15" s="135" t="s">
        <v>16</v>
      </c>
      <c r="D15" s="135" t="s">
        <v>2532</v>
      </c>
      <c r="E15" s="135" t="s">
        <v>1710</v>
      </c>
      <c r="F15" s="135">
        <v>7600</v>
      </c>
      <c r="G15" s="135">
        <v>12.4</v>
      </c>
      <c r="H15" s="135">
        <v>38.799999999999997</v>
      </c>
      <c r="I15" s="135">
        <v>21.4</v>
      </c>
      <c r="J15" s="135">
        <v>21.25</v>
      </c>
      <c r="K15" s="135">
        <v>21.25</v>
      </c>
      <c r="L15" s="135">
        <v>40</v>
      </c>
      <c r="M15" s="135">
        <v>65</v>
      </c>
      <c r="N15" s="135">
        <v>2.8</v>
      </c>
      <c r="O15" s="135">
        <v>18.239999999999998</v>
      </c>
      <c r="P15" s="135">
        <v>2.4</v>
      </c>
    </row>
    <row r="16" spans="1:16" x14ac:dyDescent="0.3">
      <c r="A16" s="135" t="s">
        <v>194</v>
      </c>
      <c r="B16" s="135" t="s">
        <v>396</v>
      </c>
      <c r="C16" s="135" t="s">
        <v>561</v>
      </c>
      <c r="D16" s="135" t="s">
        <v>1906</v>
      </c>
      <c r="E16" s="135" t="s">
        <v>1709</v>
      </c>
      <c r="F16" s="135">
        <v>7500</v>
      </c>
      <c r="G16" s="135">
        <v>8</v>
      </c>
      <c r="H16" s="135">
        <v>36.799999999999997</v>
      </c>
      <c r="I16" s="135">
        <v>20.100000000000001</v>
      </c>
      <c r="J16" s="135">
        <v>17.63</v>
      </c>
      <c r="K16" s="135">
        <v>17.63</v>
      </c>
      <c r="L16" s="135">
        <v>40</v>
      </c>
      <c r="M16" s="135">
        <v>11</v>
      </c>
      <c r="N16" s="135">
        <v>2.4</v>
      </c>
      <c r="O16" s="135">
        <v>24.7</v>
      </c>
      <c r="P16" s="135">
        <v>3.3</v>
      </c>
    </row>
    <row r="17" spans="1:16" x14ac:dyDescent="0.3">
      <c r="A17" s="135" t="s">
        <v>88</v>
      </c>
      <c r="B17" s="135" t="s">
        <v>394</v>
      </c>
      <c r="C17" s="135" t="s">
        <v>20</v>
      </c>
      <c r="D17" s="135" t="s">
        <v>2523</v>
      </c>
      <c r="E17" s="135" t="s">
        <v>1713</v>
      </c>
      <c r="F17" s="135">
        <v>7500</v>
      </c>
      <c r="G17" s="135">
        <v>8.6</v>
      </c>
      <c r="H17" s="135">
        <v>44.6</v>
      </c>
      <c r="I17" s="135">
        <v>15.4</v>
      </c>
      <c r="J17" s="135">
        <v>20.62</v>
      </c>
      <c r="K17" s="135">
        <v>20.62</v>
      </c>
      <c r="L17" s="135">
        <v>40</v>
      </c>
      <c r="M17" s="135">
        <v>61</v>
      </c>
      <c r="N17" s="135">
        <v>2.7</v>
      </c>
      <c r="O17" s="135">
        <v>8.4</v>
      </c>
      <c r="P17" s="135">
        <v>1.1000000000000001</v>
      </c>
    </row>
    <row r="18" spans="1:16" x14ac:dyDescent="0.3">
      <c r="A18" s="135" t="s">
        <v>427</v>
      </c>
      <c r="B18" s="135" t="s">
        <v>396</v>
      </c>
      <c r="C18" s="135" t="s">
        <v>395</v>
      </c>
      <c r="D18" s="135" t="s">
        <v>2531</v>
      </c>
      <c r="E18" s="135" t="s">
        <v>1734</v>
      </c>
      <c r="F18" s="135">
        <v>7400</v>
      </c>
      <c r="G18" s="135">
        <v>4.3</v>
      </c>
      <c r="H18" s="135">
        <v>37.6</v>
      </c>
      <c r="J18" s="135">
        <v>15.44</v>
      </c>
      <c r="K18" s="135">
        <v>15.44</v>
      </c>
      <c r="L18" s="135">
        <v>40</v>
      </c>
      <c r="M18" s="135">
        <v>34</v>
      </c>
      <c r="N18" s="135">
        <v>2.1</v>
      </c>
      <c r="O18" s="135">
        <v>31.1</v>
      </c>
      <c r="P18" s="135">
        <v>4.2</v>
      </c>
    </row>
    <row r="19" spans="1:16" x14ac:dyDescent="0.3">
      <c r="A19" s="135" t="s">
        <v>49</v>
      </c>
      <c r="B19" s="135" t="s">
        <v>405</v>
      </c>
      <c r="C19" s="135" t="s">
        <v>50</v>
      </c>
      <c r="D19" s="135" t="s">
        <v>2524</v>
      </c>
      <c r="E19" s="135" t="s">
        <v>1713</v>
      </c>
      <c r="F19" s="135">
        <v>7400</v>
      </c>
      <c r="G19" s="135">
        <v>14.4</v>
      </c>
      <c r="H19" s="135">
        <v>34</v>
      </c>
      <c r="I19" s="135">
        <v>16.899999999999999</v>
      </c>
      <c r="J19" s="135">
        <v>20.95</v>
      </c>
      <c r="K19" s="135">
        <v>20.95</v>
      </c>
      <c r="L19" s="135">
        <v>40</v>
      </c>
      <c r="M19" s="135">
        <v>78</v>
      </c>
      <c r="N19" s="135">
        <v>2.8</v>
      </c>
      <c r="O19" s="135">
        <v>19.899999999999999</v>
      </c>
      <c r="P19" s="135">
        <v>2.7</v>
      </c>
    </row>
    <row r="20" spans="1:16" x14ac:dyDescent="0.3">
      <c r="A20" s="135" t="s">
        <v>106</v>
      </c>
      <c r="B20" s="135" t="s">
        <v>394</v>
      </c>
      <c r="C20" s="135" t="s">
        <v>70</v>
      </c>
      <c r="D20" s="135" t="s">
        <v>2533</v>
      </c>
      <c r="E20" s="135" t="s">
        <v>1724</v>
      </c>
      <c r="F20" s="135">
        <v>7300</v>
      </c>
      <c r="G20" s="135">
        <v>5.9</v>
      </c>
      <c r="H20" s="135">
        <v>36.799999999999997</v>
      </c>
      <c r="I20" s="135">
        <v>10</v>
      </c>
      <c r="J20" s="135">
        <v>16.16</v>
      </c>
      <c r="K20" s="135">
        <v>16.16</v>
      </c>
      <c r="L20" s="135">
        <v>40</v>
      </c>
      <c r="M20" s="135">
        <v>57</v>
      </c>
      <c r="N20" s="135">
        <v>2.2000000000000002</v>
      </c>
      <c r="O20" s="135">
        <v>5.0999999999999996</v>
      </c>
      <c r="P20" s="135">
        <v>0.7</v>
      </c>
    </row>
    <row r="21" spans="1:16" x14ac:dyDescent="0.3">
      <c r="A21" s="135" t="s">
        <v>216</v>
      </c>
      <c r="B21" s="135" t="s">
        <v>396</v>
      </c>
      <c r="C21" s="135" t="s">
        <v>395</v>
      </c>
      <c r="D21" s="135" t="s">
        <v>2531</v>
      </c>
      <c r="E21" s="135" t="s">
        <v>1734</v>
      </c>
      <c r="F21" s="135">
        <v>7300</v>
      </c>
      <c r="G21" s="135">
        <v>5.8</v>
      </c>
      <c r="H21" s="135">
        <v>30.8</v>
      </c>
      <c r="I21" s="135">
        <v>12.9</v>
      </c>
      <c r="J21" s="135">
        <v>14.15</v>
      </c>
      <c r="K21" s="135">
        <v>14.15</v>
      </c>
      <c r="L21" s="135">
        <v>40</v>
      </c>
      <c r="M21" s="135">
        <v>25</v>
      </c>
      <c r="N21" s="135">
        <v>1.9</v>
      </c>
      <c r="O21" s="135">
        <v>4.3</v>
      </c>
      <c r="P21" s="135">
        <v>0.6</v>
      </c>
    </row>
    <row r="22" spans="1:16" x14ac:dyDescent="0.3">
      <c r="A22" s="135" t="s">
        <v>190</v>
      </c>
      <c r="B22" s="135" t="s">
        <v>396</v>
      </c>
      <c r="C22" s="135" t="s">
        <v>34</v>
      </c>
      <c r="D22" s="135" t="s">
        <v>2534</v>
      </c>
      <c r="E22" s="135" t="s">
        <v>1725</v>
      </c>
      <c r="F22" s="135">
        <v>7300</v>
      </c>
      <c r="G22" s="135">
        <v>5.6</v>
      </c>
      <c r="H22" s="135">
        <v>34.700000000000003</v>
      </c>
      <c r="I22" s="135">
        <v>23.2</v>
      </c>
      <c r="J22" s="135">
        <v>15.27</v>
      </c>
      <c r="K22" s="135">
        <v>15.27</v>
      </c>
      <c r="L22" s="135">
        <v>40</v>
      </c>
      <c r="M22" s="135">
        <v>24</v>
      </c>
      <c r="N22" s="135">
        <v>2.1</v>
      </c>
      <c r="O22" s="135">
        <v>5.7</v>
      </c>
      <c r="P22" s="135">
        <v>0.8</v>
      </c>
    </row>
    <row r="23" spans="1:16" x14ac:dyDescent="0.3">
      <c r="A23" s="135" t="s">
        <v>19</v>
      </c>
      <c r="B23" s="135" t="s">
        <v>405</v>
      </c>
      <c r="C23" s="135" t="s">
        <v>20</v>
      </c>
      <c r="D23" s="135" t="s">
        <v>2523</v>
      </c>
      <c r="E23" s="135" t="s">
        <v>1704</v>
      </c>
      <c r="F23" s="135">
        <v>7300</v>
      </c>
      <c r="G23" s="135">
        <v>11.8</v>
      </c>
      <c r="H23" s="135">
        <v>42.4</v>
      </c>
      <c r="I23" s="135">
        <v>22.3</v>
      </c>
      <c r="J23" s="135">
        <v>22.02</v>
      </c>
      <c r="K23" s="135">
        <v>22.02</v>
      </c>
      <c r="L23" s="135">
        <v>40</v>
      </c>
      <c r="M23" s="135">
        <v>57</v>
      </c>
      <c r="N23" s="135">
        <v>3</v>
      </c>
      <c r="O23" s="135">
        <v>8.98</v>
      </c>
      <c r="P23" s="135">
        <v>1.2</v>
      </c>
    </row>
    <row r="24" spans="1:16" x14ac:dyDescent="0.3">
      <c r="A24" s="135" t="s">
        <v>768</v>
      </c>
      <c r="B24" s="135" t="s">
        <v>396</v>
      </c>
      <c r="C24" s="135" t="s">
        <v>22</v>
      </c>
      <c r="D24" s="135" t="s">
        <v>2529</v>
      </c>
      <c r="E24" s="135" t="s">
        <v>1724</v>
      </c>
      <c r="F24" s="135">
        <v>7200</v>
      </c>
      <c r="G24" s="135">
        <v>7.9</v>
      </c>
      <c r="H24" s="135">
        <v>32.799999999999997</v>
      </c>
      <c r="J24" s="135">
        <v>16.170000000000002</v>
      </c>
      <c r="K24" s="135">
        <v>16.170000000000002</v>
      </c>
      <c r="L24" s="135">
        <v>40</v>
      </c>
      <c r="M24" s="135">
        <v>69</v>
      </c>
      <c r="N24" s="135">
        <v>2.2000000000000002</v>
      </c>
      <c r="O24" s="135">
        <v>0</v>
      </c>
    </row>
    <row r="25" spans="1:16" x14ac:dyDescent="0.3">
      <c r="A25" s="135" t="s">
        <v>23</v>
      </c>
      <c r="B25" s="135" t="s">
        <v>405</v>
      </c>
      <c r="C25" s="135" t="s">
        <v>24</v>
      </c>
      <c r="D25" s="135" t="s">
        <v>1902</v>
      </c>
      <c r="E25" s="135" t="s">
        <v>1727</v>
      </c>
      <c r="F25" s="135">
        <v>7200</v>
      </c>
      <c r="G25" s="135">
        <v>13.6</v>
      </c>
      <c r="H25" s="135">
        <v>33.1</v>
      </c>
      <c r="I25" s="135">
        <v>21.8</v>
      </c>
      <c r="J25" s="135">
        <v>20.14</v>
      </c>
      <c r="K25" s="135">
        <v>20.14</v>
      </c>
      <c r="L25" s="135">
        <v>40</v>
      </c>
      <c r="M25" s="135">
        <v>72</v>
      </c>
      <c r="N25" s="135">
        <v>2.8</v>
      </c>
      <c r="O25" s="135">
        <v>7.48</v>
      </c>
      <c r="P25" s="135">
        <v>1</v>
      </c>
    </row>
    <row r="26" spans="1:16" x14ac:dyDescent="0.3">
      <c r="A26" s="135" t="s">
        <v>122</v>
      </c>
      <c r="B26" s="135" t="s">
        <v>394</v>
      </c>
      <c r="C26" s="135" t="s">
        <v>43</v>
      </c>
      <c r="D26" s="135" t="s">
        <v>1904</v>
      </c>
      <c r="E26" s="135" t="s">
        <v>1707</v>
      </c>
      <c r="F26" s="135">
        <v>7200</v>
      </c>
      <c r="G26" s="135">
        <v>8.1</v>
      </c>
      <c r="H26" s="135">
        <v>34.200000000000003</v>
      </c>
      <c r="I26" s="135">
        <v>15.1</v>
      </c>
      <c r="J26" s="135">
        <v>16.78</v>
      </c>
      <c r="K26" s="135">
        <v>16.78</v>
      </c>
      <c r="L26" s="135">
        <v>40</v>
      </c>
      <c r="M26" s="135">
        <v>43</v>
      </c>
      <c r="N26" s="135">
        <v>2.2999999999999998</v>
      </c>
      <c r="O26" s="135">
        <v>14.7</v>
      </c>
      <c r="P26" s="135">
        <v>2</v>
      </c>
    </row>
    <row r="27" spans="1:16" x14ac:dyDescent="0.3">
      <c r="A27" s="135" t="s">
        <v>83</v>
      </c>
      <c r="B27" s="135" t="s">
        <v>394</v>
      </c>
      <c r="C27" s="135" t="s">
        <v>409</v>
      </c>
      <c r="D27" s="135" t="s">
        <v>2535</v>
      </c>
      <c r="E27" s="135" t="s">
        <v>1725</v>
      </c>
      <c r="F27" s="135">
        <v>7100</v>
      </c>
      <c r="G27" s="135">
        <v>6</v>
      </c>
      <c r="H27" s="135">
        <v>35.1</v>
      </c>
      <c r="I27" s="135">
        <v>17.3</v>
      </c>
      <c r="J27" s="135">
        <v>15.7</v>
      </c>
      <c r="K27" s="135">
        <v>15.7</v>
      </c>
      <c r="L27" s="135">
        <v>40</v>
      </c>
      <c r="M27" s="135">
        <v>0</v>
      </c>
      <c r="N27" s="135">
        <v>2.2000000000000002</v>
      </c>
      <c r="O27" s="135">
        <v>21</v>
      </c>
      <c r="P27" s="135">
        <v>3</v>
      </c>
    </row>
    <row r="28" spans="1:16" x14ac:dyDescent="0.3">
      <c r="A28" s="135" t="s">
        <v>6</v>
      </c>
      <c r="B28" s="135" t="s">
        <v>405</v>
      </c>
      <c r="C28" s="135" t="s">
        <v>7</v>
      </c>
      <c r="D28" s="135" t="s">
        <v>1899</v>
      </c>
      <c r="E28" s="135" t="s">
        <v>1732</v>
      </c>
      <c r="F28" s="135">
        <v>7100</v>
      </c>
      <c r="G28" s="135">
        <v>10.7</v>
      </c>
      <c r="H28" s="135">
        <v>36.799999999999997</v>
      </c>
      <c r="I28" s="135">
        <v>21.9</v>
      </c>
      <c r="J28" s="135">
        <v>19.420000000000002</v>
      </c>
      <c r="K28" s="135">
        <v>19.420000000000002</v>
      </c>
      <c r="L28" s="135">
        <v>40</v>
      </c>
      <c r="M28" s="135">
        <v>31</v>
      </c>
      <c r="N28" s="135">
        <v>2.7</v>
      </c>
      <c r="O28" s="135">
        <v>14.02</v>
      </c>
      <c r="P28" s="135">
        <v>2</v>
      </c>
    </row>
    <row r="29" spans="1:16" x14ac:dyDescent="0.3">
      <c r="A29" s="135" t="s">
        <v>211</v>
      </c>
      <c r="B29" s="135" t="s">
        <v>396</v>
      </c>
      <c r="C29" s="135" t="s">
        <v>39</v>
      </c>
      <c r="D29" s="135" t="s">
        <v>2536</v>
      </c>
      <c r="E29" s="135" t="s">
        <v>1704</v>
      </c>
      <c r="F29" s="135">
        <v>7100</v>
      </c>
      <c r="G29" s="135">
        <v>5.2</v>
      </c>
      <c r="H29" s="135">
        <v>34.299999999999997</v>
      </c>
      <c r="I29" s="135">
        <v>15.2</v>
      </c>
      <c r="J29" s="135">
        <v>14.93</v>
      </c>
      <c r="K29" s="135">
        <v>14.93</v>
      </c>
      <c r="L29" s="135">
        <v>40</v>
      </c>
      <c r="M29" s="135">
        <v>52</v>
      </c>
      <c r="N29" s="135">
        <v>2.1</v>
      </c>
      <c r="O29" s="135">
        <v>9.9</v>
      </c>
      <c r="P29" s="135">
        <v>1.4</v>
      </c>
    </row>
    <row r="30" spans="1:16" x14ac:dyDescent="0.3">
      <c r="A30" s="135" t="s">
        <v>36</v>
      </c>
      <c r="B30" s="135" t="s">
        <v>405</v>
      </c>
      <c r="C30" s="135" t="s">
        <v>37</v>
      </c>
      <c r="D30" s="135" t="s">
        <v>2525</v>
      </c>
      <c r="E30" s="135" t="s">
        <v>1729</v>
      </c>
      <c r="F30" s="135">
        <v>7000</v>
      </c>
      <c r="G30" s="135">
        <v>10.6</v>
      </c>
      <c r="H30" s="135">
        <v>36.700000000000003</v>
      </c>
      <c r="I30" s="135">
        <v>20.2</v>
      </c>
      <c r="J30" s="135">
        <v>19.28</v>
      </c>
      <c r="K30" s="135">
        <v>19.28</v>
      </c>
      <c r="L30" s="135">
        <v>40</v>
      </c>
      <c r="M30" s="135">
        <v>51</v>
      </c>
      <c r="N30" s="135">
        <v>2.8</v>
      </c>
      <c r="O30" s="135">
        <v>19</v>
      </c>
      <c r="P30" s="135">
        <v>2.7</v>
      </c>
    </row>
    <row r="31" spans="1:16" x14ac:dyDescent="0.3">
      <c r="A31" s="135" t="s">
        <v>115</v>
      </c>
      <c r="B31" s="135" t="s">
        <v>394</v>
      </c>
      <c r="C31" s="135" t="s">
        <v>34</v>
      </c>
      <c r="D31" s="135" t="s">
        <v>2534</v>
      </c>
      <c r="E31" s="135" t="s">
        <v>1709</v>
      </c>
      <c r="F31" s="135">
        <v>7000</v>
      </c>
      <c r="G31" s="135">
        <v>7.2</v>
      </c>
      <c r="H31" s="135">
        <v>33.299999999999997</v>
      </c>
      <c r="I31" s="135">
        <v>16.8</v>
      </c>
      <c r="J31" s="135">
        <v>15.94</v>
      </c>
      <c r="K31" s="135">
        <v>15.94</v>
      </c>
      <c r="L31" s="135">
        <v>40</v>
      </c>
      <c r="M31" s="135">
        <v>68</v>
      </c>
      <c r="N31" s="135">
        <v>2.2999999999999998</v>
      </c>
      <c r="O31" s="135">
        <v>8.4</v>
      </c>
      <c r="P31" s="135">
        <v>1.2</v>
      </c>
    </row>
    <row r="32" spans="1:16" x14ac:dyDescent="0.3">
      <c r="A32" s="135" t="s">
        <v>217</v>
      </c>
      <c r="B32" s="135" t="s">
        <v>396</v>
      </c>
      <c r="C32" s="135" t="s">
        <v>401</v>
      </c>
      <c r="D32" s="135" t="s">
        <v>2537</v>
      </c>
      <c r="E32" s="135" t="s">
        <v>1716</v>
      </c>
      <c r="F32" s="135">
        <v>7000</v>
      </c>
      <c r="G32" s="135">
        <v>6</v>
      </c>
      <c r="H32" s="135">
        <v>35.1</v>
      </c>
      <c r="I32" s="135">
        <v>15.1</v>
      </c>
      <c r="J32" s="135">
        <v>15.68</v>
      </c>
      <c r="K32" s="135">
        <v>15.68</v>
      </c>
      <c r="L32" s="135">
        <v>40</v>
      </c>
      <c r="M32" s="135">
        <v>52</v>
      </c>
      <c r="N32" s="135">
        <v>2.2000000000000002</v>
      </c>
      <c r="O32" s="135">
        <v>32.200000000000003</v>
      </c>
      <c r="P32" s="135">
        <v>4.5999999999999996</v>
      </c>
    </row>
    <row r="33" spans="1:16" x14ac:dyDescent="0.3">
      <c r="A33" s="135" t="s">
        <v>193</v>
      </c>
      <c r="B33" s="135" t="s">
        <v>396</v>
      </c>
      <c r="C33" s="135" t="s">
        <v>24</v>
      </c>
      <c r="D33" s="135" t="s">
        <v>1902</v>
      </c>
      <c r="E33" s="135" t="s">
        <v>1726</v>
      </c>
      <c r="F33" s="135">
        <v>6900</v>
      </c>
      <c r="G33" s="135">
        <v>6.4</v>
      </c>
      <c r="H33" s="135">
        <v>35.799999999999997</v>
      </c>
      <c r="I33" s="135">
        <v>18.2</v>
      </c>
      <c r="J33" s="135">
        <v>16.239999999999998</v>
      </c>
      <c r="K33" s="135">
        <v>16.239999999999998</v>
      </c>
      <c r="L33" s="135">
        <v>40</v>
      </c>
      <c r="M33" s="135">
        <v>59</v>
      </c>
      <c r="N33" s="135">
        <v>2.4</v>
      </c>
      <c r="O33" s="135">
        <v>13</v>
      </c>
      <c r="P33" s="135">
        <v>1.9</v>
      </c>
    </row>
    <row r="34" spans="1:16" x14ac:dyDescent="0.3">
      <c r="A34" s="135" t="s">
        <v>428</v>
      </c>
      <c r="B34" s="135" t="s">
        <v>394</v>
      </c>
      <c r="C34" s="135" t="s">
        <v>52</v>
      </c>
      <c r="D34" s="135" t="s">
        <v>2526</v>
      </c>
      <c r="E34" s="135" t="s">
        <v>1704</v>
      </c>
      <c r="F34" s="135">
        <v>6900</v>
      </c>
      <c r="G34" s="135">
        <v>4.2</v>
      </c>
      <c r="H34" s="135">
        <v>25.2</v>
      </c>
      <c r="J34" s="135">
        <v>16.809999999999999</v>
      </c>
      <c r="K34" s="135">
        <v>16.809999999999999</v>
      </c>
      <c r="L34" s="135">
        <v>40</v>
      </c>
      <c r="M34" s="135">
        <v>0</v>
      </c>
      <c r="N34" s="135">
        <v>2.4</v>
      </c>
      <c r="O34" s="135">
        <v>21</v>
      </c>
      <c r="P34" s="135">
        <v>3</v>
      </c>
    </row>
    <row r="35" spans="1:16" x14ac:dyDescent="0.3">
      <c r="A35" s="135" t="s">
        <v>3</v>
      </c>
      <c r="B35" s="135" t="s">
        <v>405</v>
      </c>
      <c r="C35" s="135" t="s">
        <v>4</v>
      </c>
      <c r="D35" s="135" t="s">
        <v>2530</v>
      </c>
      <c r="E35" s="135" t="s">
        <v>1705</v>
      </c>
      <c r="F35" s="135">
        <v>6900</v>
      </c>
      <c r="G35" s="135">
        <v>10.4</v>
      </c>
      <c r="H35" s="135">
        <v>34.1</v>
      </c>
      <c r="I35" s="135">
        <v>19.100000000000001</v>
      </c>
      <c r="J35" s="135">
        <v>18.260000000000002</v>
      </c>
      <c r="K35" s="135">
        <v>18.260000000000002</v>
      </c>
      <c r="L35" s="135">
        <v>40</v>
      </c>
      <c r="M35" s="135">
        <v>69</v>
      </c>
      <c r="N35" s="135">
        <v>2.6</v>
      </c>
      <c r="O35" s="135">
        <v>12.86</v>
      </c>
      <c r="P35" s="135">
        <v>1.9</v>
      </c>
    </row>
    <row r="36" spans="1:16" x14ac:dyDescent="0.3">
      <c r="A36" s="135" t="s">
        <v>197</v>
      </c>
      <c r="B36" s="135" t="s">
        <v>396</v>
      </c>
      <c r="C36" s="135" t="s">
        <v>34</v>
      </c>
      <c r="D36" s="135" t="s">
        <v>2534</v>
      </c>
      <c r="E36" s="135" t="s">
        <v>1725</v>
      </c>
      <c r="F36" s="135">
        <v>6900</v>
      </c>
      <c r="G36" s="135">
        <v>8.1</v>
      </c>
      <c r="H36" s="135">
        <v>29.7</v>
      </c>
      <c r="I36" s="135">
        <v>17.100000000000001</v>
      </c>
      <c r="J36" s="135">
        <v>15.32</v>
      </c>
      <c r="K36" s="135">
        <v>15.32</v>
      </c>
      <c r="L36" s="135">
        <v>40</v>
      </c>
      <c r="M36" s="135">
        <v>63</v>
      </c>
      <c r="N36" s="135">
        <v>2.2000000000000002</v>
      </c>
      <c r="O36" s="135">
        <v>4.0999999999999996</v>
      </c>
      <c r="P36" s="135">
        <v>0.6</v>
      </c>
    </row>
    <row r="37" spans="1:16" x14ac:dyDescent="0.3">
      <c r="A37" s="135" t="s">
        <v>318</v>
      </c>
      <c r="B37" s="135" t="s">
        <v>399</v>
      </c>
      <c r="C37" s="135" t="s">
        <v>402</v>
      </c>
      <c r="D37" s="135" t="s">
        <v>2538</v>
      </c>
      <c r="E37" s="135" t="s">
        <v>1707</v>
      </c>
      <c r="F37" s="135">
        <v>6800</v>
      </c>
      <c r="G37" s="135">
        <v>7.2</v>
      </c>
      <c r="H37" s="135">
        <v>33.9</v>
      </c>
      <c r="I37" s="135">
        <v>18</v>
      </c>
      <c r="J37" s="135">
        <v>16.059999999999999</v>
      </c>
      <c r="K37" s="135">
        <v>16.059999999999999</v>
      </c>
      <c r="L37" s="135">
        <v>40</v>
      </c>
      <c r="M37" s="135">
        <v>0</v>
      </c>
      <c r="N37" s="135">
        <v>2.4</v>
      </c>
      <c r="O37" s="135">
        <v>0</v>
      </c>
    </row>
    <row r="38" spans="1:16" x14ac:dyDescent="0.3">
      <c r="A38" s="135" t="s">
        <v>25</v>
      </c>
      <c r="B38" s="135" t="s">
        <v>405</v>
      </c>
      <c r="C38" s="135" t="s">
        <v>26</v>
      </c>
      <c r="D38" s="135" t="s">
        <v>2539</v>
      </c>
      <c r="E38" s="135" t="s">
        <v>1724</v>
      </c>
      <c r="F38" s="135">
        <v>6800</v>
      </c>
      <c r="G38" s="135">
        <v>10.7</v>
      </c>
      <c r="H38" s="135">
        <v>35</v>
      </c>
      <c r="I38" s="135">
        <v>19.7</v>
      </c>
      <c r="J38" s="135">
        <v>18.79</v>
      </c>
      <c r="K38" s="135">
        <v>18.79</v>
      </c>
      <c r="L38" s="135">
        <v>40</v>
      </c>
      <c r="M38" s="135">
        <v>64</v>
      </c>
      <c r="N38" s="135">
        <v>2.8</v>
      </c>
      <c r="O38" s="135">
        <v>30.5</v>
      </c>
      <c r="P38" s="135">
        <v>4.5</v>
      </c>
    </row>
    <row r="39" spans="1:16" x14ac:dyDescent="0.3">
      <c r="A39" s="135" t="s">
        <v>213</v>
      </c>
      <c r="B39" s="135" t="s">
        <v>396</v>
      </c>
      <c r="C39" s="135" t="s">
        <v>16</v>
      </c>
      <c r="D39" s="135" t="s">
        <v>2532</v>
      </c>
      <c r="E39" s="135" t="s">
        <v>1710</v>
      </c>
      <c r="F39" s="135">
        <v>6800</v>
      </c>
      <c r="G39" s="135">
        <v>6.6</v>
      </c>
      <c r="H39" s="135">
        <v>36.4</v>
      </c>
      <c r="I39" s="135">
        <v>13.6</v>
      </c>
      <c r="J39" s="135">
        <v>16.55</v>
      </c>
      <c r="K39" s="135">
        <v>16.55</v>
      </c>
      <c r="L39" s="135">
        <v>40</v>
      </c>
      <c r="M39" s="135">
        <v>10</v>
      </c>
      <c r="N39" s="135">
        <v>2.4</v>
      </c>
      <c r="O39" s="135">
        <v>34.4</v>
      </c>
      <c r="P39" s="135">
        <v>5.0999999999999996</v>
      </c>
    </row>
    <row r="40" spans="1:16" x14ac:dyDescent="0.3">
      <c r="A40" s="135" t="s">
        <v>85</v>
      </c>
      <c r="B40" s="135" t="s">
        <v>394</v>
      </c>
      <c r="C40" s="135" t="s">
        <v>41</v>
      </c>
      <c r="D40" s="135" t="s">
        <v>1907</v>
      </c>
      <c r="E40" s="135" t="s">
        <v>1723</v>
      </c>
      <c r="F40" s="135">
        <v>6700</v>
      </c>
      <c r="G40" s="135">
        <v>0</v>
      </c>
      <c r="H40" s="135">
        <v>17.8</v>
      </c>
      <c r="I40" s="135">
        <v>17.8</v>
      </c>
      <c r="J40" s="135">
        <v>0</v>
      </c>
      <c r="K40" s="135">
        <v>0</v>
      </c>
      <c r="L40" s="135">
        <v>40</v>
      </c>
      <c r="M40" s="135">
        <v>0</v>
      </c>
      <c r="N40" s="135">
        <v>0</v>
      </c>
    </row>
    <row r="41" spans="1:16" x14ac:dyDescent="0.3">
      <c r="A41" s="135" t="s">
        <v>223</v>
      </c>
      <c r="B41" s="135" t="s">
        <v>396</v>
      </c>
      <c r="C41" s="135" t="s">
        <v>16</v>
      </c>
      <c r="D41" s="135" t="s">
        <v>2532</v>
      </c>
      <c r="E41" s="135" t="s">
        <v>1710</v>
      </c>
      <c r="F41" s="135">
        <v>6700</v>
      </c>
      <c r="G41" s="135">
        <v>0</v>
      </c>
      <c r="H41" s="135">
        <v>17.399999999999999</v>
      </c>
      <c r="I41" s="135">
        <v>11.2</v>
      </c>
      <c r="J41" s="135">
        <v>0</v>
      </c>
      <c r="K41" s="135">
        <v>0</v>
      </c>
      <c r="L41" s="135">
        <v>40</v>
      </c>
      <c r="M41" s="135">
        <v>15</v>
      </c>
      <c r="N41" s="135">
        <v>0</v>
      </c>
    </row>
    <row r="42" spans="1:16" x14ac:dyDescent="0.3">
      <c r="A42" s="135" t="s">
        <v>40</v>
      </c>
      <c r="B42" s="135" t="s">
        <v>405</v>
      </c>
      <c r="C42" s="135" t="s">
        <v>407</v>
      </c>
      <c r="D42" s="135" t="s">
        <v>2540</v>
      </c>
      <c r="E42" s="135" t="s">
        <v>1709</v>
      </c>
      <c r="F42" s="135">
        <v>6700</v>
      </c>
      <c r="G42" s="135">
        <v>12.4</v>
      </c>
      <c r="H42" s="135">
        <v>38.200000000000003</v>
      </c>
      <c r="I42" s="135">
        <v>20.2</v>
      </c>
      <c r="J42" s="135">
        <v>20.95</v>
      </c>
      <c r="K42" s="135">
        <v>20.95</v>
      </c>
      <c r="L42" s="135">
        <v>40</v>
      </c>
      <c r="M42" s="135">
        <v>56</v>
      </c>
      <c r="N42" s="135">
        <v>3.1</v>
      </c>
      <c r="O42" s="135">
        <v>15.4</v>
      </c>
      <c r="P42" s="135">
        <v>2.2999999999999998</v>
      </c>
    </row>
    <row r="43" spans="1:16" x14ac:dyDescent="0.3">
      <c r="A43" s="135" t="s">
        <v>205</v>
      </c>
      <c r="B43" s="135" t="s">
        <v>396</v>
      </c>
      <c r="C43" s="135" t="s">
        <v>57</v>
      </c>
      <c r="D43" s="135" t="s">
        <v>2541</v>
      </c>
      <c r="E43" s="135" t="s">
        <v>1735</v>
      </c>
      <c r="F43" s="135">
        <v>6600</v>
      </c>
      <c r="G43" s="135">
        <v>8.8000000000000007</v>
      </c>
      <c r="H43" s="135">
        <v>31.2</v>
      </c>
      <c r="I43" s="135">
        <v>17.8</v>
      </c>
      <c r="J43" s="135">
        <v>16.25</v>
      </c>
      <c r="K43" s="135">
        <v>16.25</v>
      </c>
      <c r="L43" s="135">
        <v>40</v>
      </c>
      <c r="M43" s="135">
        <v>61</v>
      </c>
      <c r="N43" s="135">
        <v>2.5</v>
      </c>
      <c r="O43" s="135">
        <v>29.6</v>
      </c>
      <c r="P43" s="135">
        <v>4.5</v>
      </c>
    </row>
    <row r="44" spans="1:16" x14ac:dyDescent="0.3">
      <c r="A44" s="135" t="s">
        <v>11</v>
      </c>
      <c r="B44" s="135" t="s">
        <v>405</v>
      </c>
      <c r="C44" s="135" t="s">
        <v>561</v>
      </c>
      <c r="D44" s="135" t="s">
        <v>1906</v>
      </c>
      <c r="E44" s="135" t="s">
        <v>1715</v>
      </c>
      <c r="F44" s="135">
        <v>6500</v>
      </c>
      <c r="G44" s="135">
        <v>11.7</v>
      </c>
      <c r="H44" s="135">
        <v>36.299999999999997</v>
      </c>
      <c r="I44" s="135">
        <v>22.3</v>
      </c>
      <c r="J44" s="135">
        <v>19.940000000000001</v>
      </c>
      <c r="K44" s="135">
        <v>19.940000000000001</v>
      </c>
      <c r="L44" s="135">
        <v>40</v>
      </c>
      <c r="M44" s="135">
        <v>62</v>
      </c>
      <c r="N44" s="135">
        <v>3.1</v>
      </c>
      <c r="O44" s="135">
        <v>14.46</v>
      </c>
      <c r="P44" s="135">
        <v>2.2000000000000002</v>
      </c>
    </row>
    <row r="45" spans="1:16" x14ac:dyDescent="0.3">
      <c r="A45" s="135" t="s">
        <v>93</v>
      </c>
      <c r="B45" s="135" t="s">
        <v>394</v>
      </c>
      <c r="C45" s="135" t="s">
        <v>10</v>
      </c>
      <c r="D45" s="135" t="s">
        <v>2542</v>
      </c>
      <c r="E45" s="135" t="s">
        <v>1730</v>
      </c>
      <c r="F45" s="135">
        <v>6500</v>
      </c>
      <c r="G45" s="135">
        <v>7.3</v>
      </c>
      <c r="H45" s="135">
        <v>27.1</v>
      </c>
      <c r="I45" s="135">
        <v>15.8</v>
      </c>
      <c r="J45" s="135">
        <v>13.92</v>
      </c>
      <c r="K45" s="135">
        <v>13.92</v>
      </c>
      <c r="L45" s="135">
        <v>40</v>
      </c>
      <c r="M45" s="135">
        <v>56</v>
      </c>
      <c r="N45" s="135">
        <v>2.1</v>
      </c>
      <c r="O45" s="135">
        <v>29.6</v>
      </c>
      <c r="P45" s="135">
        <v>4.5999999999999996</v>
      </c>
    </row>
    <row r="46" spans="1:16" x14ac:dyDescent="0.3">
      <c r="A46" s="135" t="s">
        <v>215</v>
      </c>
      <c r="B46" s="135" t="s">
        <v>399</v>
      </c>
      <c r="C46" s="135" t="s">
        <v>18</v>
      </c>
      <c r="D46" s="135" t="s">
        <v>1898</v>
      </c>
      <c r="E46" s="135" t="s">
        <v>1731</v>
      </c>
      <c r="F46" s="135">
        <v>6500</v>
      </c>
      <c r="G46" s="135">
        <v>3.4</v>
      </c>
      <c r="H46" s="135">
        <v>32.799999999999997</v>
      </c>
      <c r="I46" s="135">
        <v>18</v>
      </c>
      <c r="J46" s="135">
        <v>13.2</v>
      </c>
      <c r="K46" s="135">
        <v>13.2</v>
      </c>
      <c r="L46" s="135">
        <v>40</v>
      </c>
      <c r="M46" s="135">
        <v>23</v>
      </c>
      <c r="N46" s="135">
        <v>2</v>
      </c>
      <c r="O46" s="135">
        <v>9.6</v>
      </c>
      <c r="P46" s="135">
        <v>1.5</v>
      </c>
    </row>
    <row r="47" spans="1:16" x14ac:dyDescent="0.3">
      <c r="A47" s="135" t="s">
        <v>227</v>
      </c>
      <c r="B47" s="135" t="s">
        <v>396</v>
      </c>
      <c r="C47" s="135" t="s">
        <v>404</v>
      </c>
      <c r="D47" s="135" t="s">
        <v>1901</v>
      </c>
      <c r="E47" s="135" t="s">
        <v>1728</v>
      </c>
      <c r="F47" s="135">
        <v>6500</v>
      </c>
      <c r="G47" s="135">
        <v>7.4</v>
      </c>
      <c r="H47" s="135">
        <v>28.1</v>
      </c>
      <c r="I47" s="135">
        <v>12.7</v>
      </c>
      <c r="J47" s="135">
        <v>14.32</v>
      </c>
      <c r="K47" s="135">
        <v>14.32</v>
      </c>
      <c r="L47" s="135">
        <v>40</v>
      </c>
      <c r="M47" s="135">
        <v>73</v>
      </c>
      <c r="N47" s="135">
        <v>2.2000000000000002</v>
      </c>
    </row>
    <row r="48" spans="1:16" x14ac:dyDescent="0.3">
      <c r="A48" s="135" t="s">
        <v>198</v>
      </c>
      <c r="B48" s="135" t="s">
        <v>396</v>
      </c>
      <c r="C48" s="135" t="s">
        <v>402</v>
      </c>
      <c r="D48" s="135" t="s">
        <v>2538</v>
      </c>
      <c r="E48" s="135" t="s">
        <v>1718</v>
      </c>
      <c r="F48" s="135">
        <v>6400</v>
      </c>
      <c r="G48" s="135">
        <v>5.6</v>
      </c>
      <c r="H48" s="135">
        <v>28.7</v>
      </c>
      <c r="I48" s="135">
        <v>19.600000000000001</v>
      </c>
      <c r="J48" s="135">
        <v>13.27</v>
      </c>
      <c r="K48" s="135">
        <v>13.27</v>
      </c>
      <c r="L48" s="135">
        <v>40</v>
      </c>
      <c r="M48" s="135">
        <v>48</v>
      </c>
      <c r="N48" s="135">
        <v>2.1</v>
      </c>
      <c r="O48" s="135">
        <v>9.1999999999999993</v>
      </c>
      <c r="P48" s="135">
        <v>1.4</v>
      </c>
    </row>
    <row r="49" spans="1:16" x14ac:dyDescent="0.3">
      <c r="A49" s="135" t="s">
        <v>17</v>
      </c>
      <c r="B49" s="135" t="s">
        <v>405</v>
      </c>
      <c r="C49" s="135" t="s">
        <v>18</v>
      </c>
      <c r="D49" s="135" t="s">
        <v>1898</v>
      </c>
      <c r="E49" s="135" t="s">
        <v>1712</v>
      </c>
      <c r="F49" s="135">
        <v>6400</v>
      </c>
      <c r="G49" s="135">
        <v>7.4</v>
      </c>
      <c r="H49" s="135">
        <v>35.9</v>
      </c>
      <c r="I49" s="135">
        <v>20.5</v>
      </c>
      <c r="J49" s="135">
        <v>16.88</v>
      </c>
      <c r="K49" s="135">
        <v>16.88</v>
      </c>
      <c r="L49" s="135">
        <v>40</v>
      </c>
      <c r="M49" s="135">
        <v>49</v>
      </c>
      <c r="N49" s="135">
        <v>2.6</v>
      </c>
      <c r="O49" s="135">
        <v>19.34</v>
      </c>
      <c r="P49" s="135">
        <v>3</v>
      </c>
    </row>
    <row r="50" spans="1:16" x14ac:dyDescent="0.3">
      <c r="A50" s="135" t="s">
        <v>199</v>
      </c>
      <c r="B50" s="135" t="s">
        <v>396</v>
      </c>
      <c r="C50" s="135" t="s">
        <v>70</v>
      </c>
      <c r="D50" s="135" t="s">
        <v>2533</v>
      </c>
      <c r="E50" s="135" t="s">
        <v>1736</v>
      </c>
      <c r="F50" s="135">
        <v>6400</v>
      </c>
      <c r="G50" s="135">
        <v>4.7</v>
      </c>
      <c r="H50" s="135">
        <v>33.5</v>
      </c>
      <c r="I50" s="135">
        <v>17.600000000000001</v>
      </c>
      <c r="J50" s="135">
        <v>14.32</v>
      </c>
      <c r="K50" s="135">
        <v>14.32</v>
      </c>
      <c r="L50" s="135">
        <v>40</v>
      </c>
      <c r="M50" s="135">
        <v>23</v>
      </c>
      <c r="N50" s="135">
        <v>2.2000000000000002</v>
      </c>
      <c r="O50" s="135">
        <v>24</v>
      </c>
      <c r="P50" s="135">
        <v>3.8</v>
      </c>
    </row>
    <row r="51" spans="1:16" x14ac:dyDescent="0.3">
      <c r="A51" s="135" t="s">
        <v>128</v>
      </c>
      <c r="B51" s="135" t="s">
        <v>394</v>
      </c>
      <c r="C51" s="135" t="s">
        <v>30</v>
      </c>
      <c r="D51" s="135" t="s">
        <v>2543</v>
      </c>
      <c r="E51" s="135" t="s">
        <v>1706</v>
      </c>
      <c r="F51" s="135">
        <v>6300</v>
      </c>
      <c r="G51" s="135">
        <v>5.2</v>
      </c>
      <c r="H51" s="135">
        <v>33.1</v>
      </c>
      <c r="I51" s="135">
        <v>12.6</v>
      </c>
      <c r="J51" s="135">
        <v>14.52</v>
      </c>
      <c r="K51" s="135">
        <v>14.52</v>
      </c>
      <c r="L51" s="135">
        <v>40</v>
      </c>
      <c r="M51" s="135">
        <v>59</v>
      </c>
      <c r="N51" s="135">
        <v>2.2999999999999998</v>
      </c>
      <c r="O51" s="135">
        <v>29.5</v>
      </c>
      <c r="P51" s="135">
        <v>4.7</v>
      </c>
    </row>
    <row r="52" spans="1:16" x14ac:dyDescent="0.3">
      <c r="A52" s="135" t="s">
        <v>192</v>
      </c>
      <c r="B52" s="135" t="s">
        <v>396</v>
      </c>
      <c r="C52" s="135" t="s">
        <v>7</v>
      </c>
      <c r="D52" s="135" t="s">
        <v>1899</v>
      </c>
      <c r="E52" s="135" t="s">
        <v>1706</v>
      </c>
      <c r="F52" s="135">
        <v>6300</v>
      </c>
      <c r="G52" s="135">
        <v>4.4000000000000004</v>
      </c>
      <c r="H52" s="135">
        <v>32.299999999999997</v>
      </c>
      <c r="I52" s="135">
        <v>17.399999999999999</v>
      </c>
      <c r="J52" s="135">
        <v>13.69</v>
      </c>
      <c r="K52" s="135">
        <v>13.69</v>
      </c>
      <c r="L52" s="135">
        <v>40</v>
      </c>
      <c r="M52" s="135">
        <v>36</v>
      </c>
      <c r="N52" s="135">
        <v>2.2000000000000002</v>
      </c>
      <c r="O52" s="135">
        <v>33</v>
      </c>
      <c r="P52" s="135">
        <v>5.2</v>
      </c>
    </row>
    <row r="53" spans="1:16" x14ac:dyDescent="0.3">
      <c r="A53" s="135" t="s">
        <v>56</v>
      </c>
      <c r="B53" s="135" t="s">
        <v>405</v>
      </c>
      <c r="C53" s="135" t="s">
        <v>57</v>
      </c>
      <c r="D53" s="135" t="s">
        <v>2541</v>
      </c>
      <c r="E53" s="135" t="s">
        <v>1718</v>
      </c>
      <c r="F53" s="135">
        <v>6200</v>
      </c>
      <c r="G53" s="135">
        <v>12.2</v>
      </c>
      <c r="H53" s="135">
        <v>30.8</v>
      </c>
      <c r="I53" s="135">
        <v>18.2</v>
      </c>
      <c r="J53" s="135">
        <v>18.420000000000002</v>
      </c>
      <c r="K53" s="135">
        <v>18.420000000000002</v>
      </c>
      <c r="L53" s="135">
        <v>40</v>
      </c>
      <c r="M53" s="135">
        <v>71</v>
      </c>
      <c r="N53" s="135">
        <v>3</v>
      </c>
      <c r="O53" s="135">
        <v>24.96</v>
      </c>
      <c r="P53" s="135">
        <v>4</v>
      </c>
    </row>
    <row r="54" spans="1:16" x14ac:dyDescent="0.3">
      <c r="A54" s="135" t="s">
        <v>173</v>
      </c>
      <c r="B54" s="135" t="s">
        <v>396</v>
      </c>
      <c r="C54" s="135" t="s">
        <v>26</v>
      </c>
      <c r="D54" s="135" t="s">
        <v>2539</v>
      </c>
      <c r="E54" s="135" t="s">
        <v>1715</v>
      </c>
      <c r="F54" s="135">
        <v>6200</v>
      </c>
      <c r="G54" s="135">
        <v>9.4</v>
      </c>
      <c r="H54" s="135">
        <v>26.6</v>
      </c>
      <c r="I54" s="135">
        <v>10.9</v>
      </c>
      <c r="J54" s="135">
        <v>15.15</v>
      </c>
      <c r="K54" s="135">
        <v>15.15</v>
      </c>
      <c r="L54" s="135">
        <v>40</v>
      </c>
      <c r="M54" s="135">
        <v>68</v>
      </c>
      <c r="N54" s="135">
        <v>2.4</v>
      </c>
      <c r="O54" s="135">
        <v>41.5</v>
      </c>
      <c r="P54" s="135">
        <v>6.7</v>
      </c>
    </row>
    <row r="55" spans="1:16" x14ac:dyDescent="0.3">
      <c r="A55" s="135" t="s">
        <v>196</v>
      </c>
      <c r="B55" s="135" t="s">
        <v>396</v>
      </c>
      <c r="C55" s="135" t="s">
        <v>10</v>
      </c>
      <c r="D55" s="135" t="s">
        <v>2542</v>
      </c>
      <c r="E55" s="135" t="s">
        <v>1707</v>
      </c>
      <c r="F55" s="135">
        <v>6100</v>
      </c>
      <c r="G55" s="135">
        <v>0</v>
      </c>
      <c r="H55" s="135">
        <v>22</v>
      </c>
      <c r="I55" s="135">
        <v>18</v>
      </c>
      <c r="J55" s="135">
        <v>0</v>
      </c>
      <c r="K55" s="135">
        <v>0</v>
      </c>
      <c r="L55" s="135">
        <v>40</v>
      </c>
      <c r="M55" s="135">
        <v>0</v>
      </c>
      <c r="N55" s="135">
        <v>0</v>
      </c>
    </row>
    <row r="56" spans="1:16" x14ac:dyDescent="0.3">
      <c r="A56" s="135" t="s">
        <v>31</v>
      </c>
      <c r="B56" s="135" t="s">
        <v>405</v>
      </c>
      <c r="C56" s="135" t="s">
        <v>32</v>
      </c>
      <c r="D56" s="135" t="s">
        <v>2544</v>
      </c>
      <c r="E56" s="135" t="s">
        <v>1726</v>
      </c>
      <c r="F56" s="135">
        <v>6100</v>
      </c>
      <c r="G56" s="135">
        <v>10.3</v>
      </c>
      <c r="H56" s="135">
        <v>32.799999999999997</v>
      </c>
      <c r="I56" s="135">
        <v>19.100000000000001</v>
      </c>
      <c r="J56" s="135">
        <v>17.79</v>
      </c>
      <c r="K56" s="135">
        <v>17.79</v>
      </c>
      <c r="L56" s="135">
        <v>40</v>
      </c>
      <c r="M56" s="135">
        <v>56</v>
      </c>
      <c r="N56" s="135">
        <v>2.9</v>
      </c>
      <c r="O56" s="135">
        <v>13.76</v>
      </c>
      <c r="P56" s="135">
        <v>2.2999999999999998</v>
      </c>
    </row>
    <row r="57" spans="1:16" x14ac:dyDescent="0.3">
      <c r="A57" s="135" t="s">
        <v>96</v>
      </c>
      <c r="B57" s="135" t="s">
        <v>394</v>
      </c>
      <c r="C57" s="135" t="s">
        <v>395</v>
      </c>
      <c r="D57" s="135" t="s">
        <v>2531</v>
      </c>
      <c r="E57" s="135" t="s">
        <v>1715</v>
      </c>
      <c r="F57" s="135">
        <v>6100</v>
      </c>
      <c r="G57" s="135">
        <v>5.2</v>
      </c>
      <c r="H57" s="135">
        <v>31.9</v>
      </c>
      <c r="I57" s="135">
        <v>10.1</v>
      </c>
      <c r="J57" s="135">
        <v>14.09</v>
      </c>
      <c r="K57" s="135">
        <v>14.09</v>
      </c>
      <c r="L57" s="135">
        <v>40</v>
      </c>
      <c r="M57" s="135">
        <v>0</v>
      </c>
      <c r="N57" s="135">
        <v>2.2999999999999998</v>
      </c>
      <c r="O57" s="135">
        <v>14.5</v>
      </c>
      <c r="P57" s="135">
        <v>2.4</v>
      </c>
    </row>
    <row r="58" spans="1:16" x14ac:dyDescent="0.3">
      <c r="A58" s="135" t="s">
        <v>204</v>
      </c>
      <c r="B58" s="135" t="s">
        <v>396</v>
      </c>
      <c r="C58" s="135" t="s">
        <v>4</v>
      </c>
      <c r="D58" s="135" t="s">
        <v>2530</v>
      </c>
      <c r="E58" s="135" t="s">
        <v>1731</v>
      </c>
      <c r="F58" s="135">
        <v>6000</v>
      </c>
      <c r="G58" s="135">
        <v>6.9</v>
      </c>
      <c r="H58" s="135">
        <v>29.4</v>
      </c>
      <c r="I58" s="135">
        <v>15</v>
      </c>
      <c r="J58" s="135">
        <v>14.44</v>
      </c>
      <c r="K58" s="135">
        <v>14.44</v>
      </c>
      <c r="L58" s="135">
        <v>40</v>
      </c>
      <c r="M58" s="135">
        <v>51</v>
      </c>
      <c r="N58" s="135">
        <v>2.4</v>
      </c>
      <c r="O58" s="135">
        <v>21.2</v>
      </c>
      <c r="P58" s="135">
        <v>3.5</v>
      </c>
    </row>
    <row r="59" spans="1:16" x14ac:dyDescent="0.3">
      <c r="A59" s="135" t="s">
        <v>42</v>
      </c>
      <c r="B59" s="135" t="s">
        <v>405</v>
      </c>
      <c r="C59" s="135" t="s">
        <v>43</v>
      </c>
      <c r="D59" s="135" t="s">
        <v>1904</v>
      </c>
      <c r="E59" s="135" t="s">
        <v>1706</v>
      </c>
      <c r="F59" s="135">
        <v>6000</v>
      </c>
      <c r="G59" s="135">
        <v>8.1999999999999993</v>
      </c>
      <c r="H59" s="135">
        <v>34</v>
      </c>
      <c r="I59" s="135">
        <v>15.8</v>
      </c>
      <c r="J59" s="135">
        <v>16.79</v>
      </c>
      <c r="K59" s="135">
        <v>16.79</v>
      </c>
      <c r="L59" s="135">
        <v>40</v>
      </c>
      <c r="M59" s="135">
        <v>43</v>
      </c>
      <c r="N59" s="135">
        <v>2.8</v>
      </c>
      <c r="O59" s="135">
        <v>8.14</v>
      </c>
      <c r="P59" s="135">
        <v>1.4</v>
      </c>
    </row>
    <row r="60" spans="1:16" x14ac:dyDescent="0.3">
      <c r="A60" s="135" t="s">
        <v>203</v>
      </c>
      <c r="B60" s="135" t="s">
        <v>396</v>
      </c>
      <c r="C60" s="135" t="s">
        <v>70</v>
      </c>
      <c r="D60" s="135" t="s">
        <v>2533</v>
      </c>
      <c r="E60" s="135" t="s">
        <v>1736</v>
      </c>
      <c r="F60" s="135">
        <v>6000</v>
      </c>
      <c r="G60" s="135">
        <v>3.5</v>
      </c>
      <c r="H60" s="135">
        <v>32.6</v>
      </c>
      <c r="I60" s="135">
        <v>15.9</v>
      </c>
      <c r="J60" s="135">
        <v>13.21</v>
      </c>
      <c r="K60" s="135">
        <v>13.21</v>
      </c>
      <c r="L60" s="135">
        <v>40</v>
      </c>
      <c r="M60" s="135">
        <v>0</v>
      </c>
      <c r="N60" s="135">
        <v>2.2000000000000002</v>
      </c>
      <c r="O60" s="135">
        <v>35.700000000000003</v>
      </c>
      <c r="P60" s="135">
        <v>6</v>
      </c>
    </row>
    <row r="61" spans="1:16" x14ac:dyDescent="0.3">
      <c r="A61" s="135" t="s">
        <v>44</v>
      </c>
      <c r="B61" s="135" t="s">
        <v>405</v>
      </c>
      <c r="C61" s="135" t="s">
        <v>401</v>
      </c>
      <c r="D61" s="135" t="s">
        <v>2537</v>
      </c>
      <c r="E61" s="135" t="s">
        <v>1717</v>
      </c>
      <c r="F61" s="135">
        <v>6000</v>
      </c>
      <c r="G61" s="135">
        <v>13.8</v>
      </c>
      <c r="H61" s="135">
        <v>26.1</v>
      </c>
      <c r="I61" s="135">
        <v>18.600000000000001</v>
      </c>
      <c r="J61" s="135">
        <v>17.88</v>
      </c>
      <c r="K61" s="135">
        <v>17.88</v>
      </c>
      <c r="L61" s="135">
        <v>40</v>
      </c>
      <c r="M61" s="135">
        <v>77</v>
      </c>
      <c r="N61" s="135">
        <v>3</v>
      </c>
      <c r="O61" s="135">
        <v>30.5</v>
      </c>
      <c r="P61" s="135">
        <v>5.0999999999999996</v>
      </c>
    </row>
    <row r="62" spans="1:16" x14ac:dyDescent="0.3">
      <c r="A62" s="135" t="s">
        <v>201</v>
      </c>
      <c r="B62" s="135" t="s">
        <v>396</v>
      </c>
      <c r="C62" s="135" t="s">
        <v>397</v>
      </c>
      <c r="D62" s="135" t="s">
        <v>1903</v>
      </c>
      <c r="E62" s="135" t="s">
        <v>1729</v>
      </c>
      <c r="F62" s="135">
        <v>6000</v>
      </c>
      <c r="G62" s="135">
        <v>4.7</v>
      </c>
      <c r="H62" s="135">
        <v>36.200000000000003</v>
      </c>
      <c r="I62" s="135">
        <v>16.899999999999999</v>
      </c>
      <c r="J62" s="135">
        <v>15.24</v>
      </c>
      <c r="K62" s="135">
        <v>15.24</v>
      </c>
      <c r="L62" s="135">
        <v>40</v>
      </c>
      <c r="M62" s="135">
        <v>30</v>
      </c>
      <c r="N62" s="135">
        <v>2.5</v>
      </c>
      <c r="O62" s="135">
        <v>7.5</v>
      </c>
      <c r="P62" s="135">
        <v>1.3</v>
      </c>
    </row>
    <row r="63" spans="1:16" x14ac:dyDescent="0.3">
      <c r="A63" s="135" t="s">
        <v>51</v>
      </c>
      <c r="B63" s="135" t="s">
        <v>405</v>
      </c>
      <c r="C63" s="135" t="s">
        <v>52</v>
      </c>
      <c r="D63" s="135" t="s">
        <v>2526</v>
      </c>
      <c r="E63" s="135" t="s">
        <v>1708</v>
      </c>
      <c r="F63" s="135">
        <v>6000</v>
      </c>
      <c r="G63" s="135">
        <v>0</v>
      </c>
      <c r="H63" s="135">
        <v>13.8</v>
      </c>
      <c r="I63" s="135">
        <v>12.9</v>
      </c>
      <c r="J63" s="135">
        <v>0</v>
      </c>
      <c r="K63" s="135">
        <v>0</v>
      </c>
      <c r="L63" s="135">
        <v>40</v>
      </c>
      <c r="M63" s="135">
        <v>0</v>
      </c>
      <c r="N63" s="135">
        <v>0</v>
      </c>
    </row>
    <row r="64" spans="1:16" x14ac:dyDescent="0.3">
      <c r="A64" s="135" t="s">
        <v>29</v>
      </c>
      <c r="B64" s="135" t="s">
        <v>405</v>
      </c>
      <c r="C64" s="135" t="s">
        <v>30</v>
      </c>
      <c r="D64" s="135" t="s">
        <v>2543</v>
      </c>
      <c r="E64" s="135" t="s">
        <v>1720</v>
      </c>
      <c r="F64" s="135">
        <v>5900</v>
      </c>
      <c r="G64" s="135">
        <v>6.8</v>
      </c>
      <c r="H64" s="135">
        <v>40.1</v>
      </c>
      <c r="I64" s="135">
        <v>19.7</v>
      </c>
      <c r="J64" s="135">
        <v>17.93</v>
      </c>
      <c r="K64" s="135">
        <v>17.93</v>
      </c>
      <c r="L64" s="135">
        <v>40</v>
      </c>
      <c r="M64" s="135">
        <v>39</v>
      </c>
      <c r="N64" s="135">
        <v>3</v>
      </c>
      <c r="O64" s="135">
        <v>7.76</v>
      </c>
      <c r="P64" s="135">
        <v>1.3</v>
      </c>
    </row>
    <row r="65" spans="1:16" x14ac:dyDescent="0.3">
      <c r="A65" s="135" t="s">
        <v>226</v>
      </c>
      <c r="B65" s="135" t="s">
        <v>396</v>
      </c>
      <c r="C65" s="135" t="s">
        <v>18</v>
      </c>
      <c r="D65" s="135" t="s">
        <v>1898</v>
      </c>
      <c r="E65" s="135" t="s">
        <v>1712</v>
      </c>
      <c r="F65" s="135">
        <v>5900</v>
      </c>
      <c r="G65" s="135">
        <v>3</v>
      </c>
      <c r="H65" s="135">
        <v>30.6</v>
      </c>
      <c r="I65" s="135">
        <v>12.1</v>
      </c>
      <c r="J65" s="135">
        <v>12.2</v>
      </c>
      <c r="K65" s="135">
        <v>12.2</v>
      </c>
      <c r="L65" s="135">
        <v>40</v>
      </c>
      <c r="M65" s="135">
        <v>30</v>
      </c>
      <c r="N65" s="135">
        <v>2.1</v>
      </c>
      <c r="O65" s="135">
        <v>20.6</v>
      </c>
      <c r="P65" s="135">
        <v>3.5</v>
      </c>
    </row>
    <row r="66" spans="1:16" x14ac:dyDescent="0.3">
      <c r="A66" s="135" t="s">
        <v>212</v>
      </c>
      <c r="B66" s="135" t="s">
        <v>396</v>
      </c>
      <c r="C66" s="135" t="s">
        <v>26</v>
      </c>
      <c r="D66" s="135" t="s">
        <v>2539</v>
      </c>
      <c r="E66" s="135" t="s">
        <v>1715</v>
      </c>
      <c r="F66" s="135">
        <v>5900</v>
      </c>
      <c r="G66" s="135">
        <v>4.5999999999999996</v>
      </c>
      <c r="H66" s="135">
        <v>27.7</v>
      </c>
      <c r="I66" s="135">
        <v>13.2</v>
      </c>
      <c r="J66" s="135">
        <v>12.3</v>
      </c>
      <c r="K66" s="135">
        <v>12.3</v>
      </c>
      <c r="L66" s="135">
        <v>40</v>
      </c>
      <c r="M66" s="135">
        <v>0</v>
      </c>
      <c r="N66" s="135">
        <v>2.1</v>
      </c>
      <c r="O66" s="135">
        <v>7.2</v>
      </c>
      <c r="P66" s="135">
        <v>1.2</v>
      </c>
    </row>
    <row r="67" spans="1:16" x14ac:dyDescent="0.3">
      <c r="A67" s="135" t="s">
        <v>411</v>
      </c>
      <c r="B67" s="135" t="s">
        <v>405</v>
      </c>
      <c r="C67" s="135" t="s">
        <v>34</v>
      </c>
      <c r="D67" s="135" t="s">
        <v>2534</v>
      </c>
      <c r="E67" s="135" t="s">
        <v>1734</v>
      </c>
      <c r="F67" s="135">
        <v>5900</v>
      </c>
      <c r="G67" s="135">
        <v>10.6</v>
      </c>
      <c r="H67" s="135">
        <v>34.6</v>
      </c>
      <c r="I67" s="135">
        <v>19.100000000000001</v>
      </c>
      <c r="J67" s="135">
        <v>18.57</v>
      </c>
      <c r="K67" s="135">
        <v>18.57</v>
      </c>
      <c r="L67" s="135">
        <v>40</v>
      </c>
      <c r="M67" s="135">
        <v>60</v>
      </c>
      <c r="N67" s="135">
        <v>3.1</v>
      </c>
      <c r="O67" s="135">
        <v>3.72</v>
      </c>
      <c r="P67" s="135">
        <v>0.6</v>
      </c>
    </row>
    <row r="68" spans="1:16" x14ac:dyDescent="0.3">
      <c r="A68" s="135" t="s">
        <v>89</v>
      </c>
      <c r="B68" s="135" t="s">
        <v>394</v>
      </c>
      <c r="C68" s="135" t="s">
        <v>404</v>
      </c>
      <c r="D68" s="135" t="s">
        <v>1901</v>
      </c>
      <c r="E68" s="135" t="s">
        <v>1705</v>
      </c>
      <c r="F68" s="135">
        <v>5900</v>
      </c>
      <c r="G68" s="135">
        <v>9.9</v>
      </c>
      <c r="H68" s="135">
        <v>27.6</v>
      </c>
      <c r="I68" s="135">
        <v>17.3</v>
      </c>
      <c r="J68" s="135">
        <v>15.82</v>
      </c>
      <c r="K68" s="135">
        <v>15.82</v>
      </c>
      <c r="L68" s="135">
        <v>40</v>
      </c>
      <c r="M68" s="135">
        <v>39</v>
      </c>
      <c r="N68" s="135">
        <v>2.7</v>
      </c>
      <c r="O68" s="135">
        <v>22.7</v>
      </c>
      <c r="P68" s="135">
        <v>3.8</v>
      </c>
    </row>
    <row r="69" spans="1:16" x14ac:dyDescent="0.3">
      <c r="A69" s="135" t="s">
        <v>319</v>
      </c>
      <c r="B69" s="135" t="s">
        <v>399</v>
      </c>
      <c r="C69" s="135" t="s">
        <v>22</v>
      </c>
      <c r="D69" s="135" t="s">
        <v>2529</v>
      </c>
      <c r="E69" s="135" t="s">
        <v>1704</v>
      </c>
      <c r="F69" s="135">
        <v>5800</v>
      </c>
      <c r="G69" s="135">
        <v>6</v>
      </c>
      <c r="H69" s="135">
        <v>30.9</v>
      </c>
      <c r="I69" s="135">
        <v>14.8</v>
      </c>
      <c r="J69" s="135">
        <v>14.27</v>
      </c>
      <c r="K69" s="135">
        <v>14.27</v>
      </c>
      <c r="L69" s="135">
        <v>40</v>
      </c>
      <c r="M69" s="135">
        <v>59</v>
      </c>
      <c r="N69" s="135">
        <v>2.5</v>
      </c>
      <c r="O69" s="135">
        <v>12.4</v>
      </c>
      <c r="P69" s="135">
        <v>2.1</v>
      </c>
    </row>
    <row r="70" spans="1:16" x14ac:dyDescent="0.3">
      <c r="A70" s="135" t="s">
        <v>84</v>
      </c>
      <c r="B70" s="135" t="s">
        <v>394</v>
      </c>
      <c r="C70" s="135" t="s">
        <v>50</v>
      </c>
      <c r="D70" s="135" t="s">
        <v>2524</v>
      </c>
      <c r="E70" s="135" t="s">
        <v>1708</v>
      </c>
      <c r="F70" s="135">
        <v>5800</v>
      </c>
      <c r="G70" s="135">
        <v>4.2</v>
      </c>
      <c r="H70" s="135">
        <v>40.200000000000003</v>
      </c>
      <c r="I70" s="135">
        <v>22.1</v>
      </c>
      <c r="J70" s="135">
        <v>16.239999999999998</v>
      </c>
      <c r="K70" s="135">
        <v>16.239999999999998</v>
      </c>
      <c r="L70" s="135">
        <v>40</v>
      </c>
      <c r="M70" s="135">
        <v>0</v>
      </c>
      <c r="N70" s="135">
        <v>2.8</v>
      </c>
      <c r="O70" s="135">
        <v>34.700000000000003</v>
      </c>
      <c r="P70" s="135">
        <v>6</v>
      </c>
    </row>
    <row r="71" spans="1:16" x14ac:dyDescent="0.3">
      <c r="A71" s="135" t="s">
        <v>111</v>
      </c>
      <c r="B71" s="135" t="s">
        <v>394</v>
      </c>
      <c r="C71" s="135" t="s">
        <v>39</v>
      </c>
      <c r="D71" s="135" t="s">
        <v>2536</v>
      </c>
      <c r="E71" s="135" t="s">
        <v>1720</v>
      </c>
      <c r="F71" s="135">
        <v>5800</v>
      </c>
      <c r="G71" s="135">
        <v>6.4</v>
      </c>
      <c r="H71" s="135">
        <v>26.5</v>
      </c>
      <c r="I71" s="135">
        <v>10</v>
      </c>
      <c r="J71" s="135">
        <v>13.1</v>
      </c>
      <c r="K71" s="135">
        <v>13.1</v>
      </c>
      <c r="L71" s="135">
        <v>40</v>
      </c>
      <c r="M71" s="135">
        <v>56</v>
      </c>
      <c r="N71" s="135">
        <v>2.2999999999999998</v>
      </c>
      <c r="O71" s="135">
        <v>-0.5</v>
      </c>
    </row>
    <row r="72" spans="1:16" x14ac:dyDescent="0.3">
      <c r="A72" s="135" t="s">
        <v>119</v>
      </c>
      <c r="B72" s="135" t="s">
        <v>394</v>
      </c>
      <c r="C72" s="135" t="s">
        <v>407</v>
      </c>
      <c r="D72" s="135" t="s">
        <v>2540</v>
      </c>
      <c r="E72" s="135" t="s">
        <v>1717</v>
      </c>
      <c r="F72" s="135">
        <v>5800</v>
      </c>
      <c r="G72" s="135">
        <v>11.9</v>
      </c>
      <c r="H72" s="135">
        <v>23</v>
      </c>
      <c r="I72" s="135">
        <v>8</v>
      </c>
      <c r="J72" s="135">
        <v>15.58</v>
      </c>
      <c r="K72" s="135">
        <v>15.58</v>
      </c>
      <c r="L72" s="135">
        <v>40</v>
      </c>
      <c r="M72" s="135">
        <v>82</v>
      </c>
      <c r="N72" s="135">
        <v>2.7</v>
      </c>
      <c r="O72" s="135">
        <v>17.8</v>
      </c>
      <c r="P72" s="135">
        <v>3.1</v>
      </c>
    </row>
    <row r="73" spans="1:16" x14ac:dyDescent="0.3">
      <c r="A73" s="135" t="s">
        <v>35</v>
      </c>
      <c r="B73" s="135" t="s">
        <v>405</v>
      </c>
      <c r="C73" s="135" t="s">
        <v>397</v>
      </c>
      <c r="D73" s="135" t="s">
        <v>1903</v>
      </c>
      <c r="E73" s="135" t="s">
        <v>1723</v>
      </c>
      <c r="F73" s="135">
        <v>5800</v>
      </c>
      <c r="G73" s="135">
        <v>10.7</v>
      </c>
      <c r="H73" s="135">
        <v>25.1</v>
      </c>
      <c r="I73" s="135">
        <v>17.600000000000001</v>
      </c>
      <c r="J73" s="135">
        <v>15.51</v>
      </c>
      <c r="K73" s="135">
        <v>15.51</v>
      </c>
      <c r="L73" s="135">
        <v>40</v>
      </c>
      <c r="M73" s="135">
        <v>74</v>
      </c>
      <c r="N73" s="135">
        <v>2.7</v>
      </c>
      <c r="O73" s="135">
        <v>13.18</v>
      </c>
      <c r="P73" s="135">
        <v>2.2999999999999998</v>
      </c>
    </row>
    <row r="74" spans="1:16" x14ac:dyDescent="0.3">
      <c r="A74" s="135" t="s">
        <v>219</v>
      </c>
      <c r="B74" s="135" t="s">
        <v>396</v>
      </c>
      <c r="C74" s="135" t="s">
        <v>24</v>
      </c>
      <c r="D74" s="135" t="s">
        <v>1902</v>
      </c>
      <c r="E74" s="135" t="s">
        <v>1726</v>
      </c>
      <c r="F74" s="135">
        <v>5800</v>
      </c>
      <c r="G74" s="135">
        <v>3.1</v>
      </c>
      <c r="H74" s="135">
        <v>32.200000000000003</v>
      </c>
      <c r="I74" s="135">
        <v>12.5</v>
      </c>
      <c r="J74" s="135">
        <v>12.78</v>
      </c>
      <c r="K74" s="135">
        <v>12.78</v>
      </c>
      <c r="L74" s="135">
        <v>40</v>
      </c>
      <c r="M74" s="135">
        <v>0</v>
      </c>
      <c r="N74" s="135">
        <v>2.2000000000000002</v>
      </c>
      <c r="O74" s="135">
        <v>10.5</v>
      </c>
      <c r="P74" s="135">
        <v>1.8</v>
      </c>
    </row>
    <row r="75" spans="1:16" x14ac:dyDescent="0.3">
      <c r="A75" s="135" t="s">
        <v>9</v>
      </c>
      <c r="B75" s="135" t="s">
        <v>405</v>
      </c>
      <c r="C75" s="135" t="s">
        <v>10</v>
      </c>
      <c r="D75" s="135" t="s">
        <v>2542</v>
      </c>
      <c r="E75" s="135" t="s">
        <v>1735</v>
      </c>
      <c r="F75" s="135">
        <v>5800</v>
      </c>
      <c r="G75" s="135">
        <v>8.8000000000000007</v>
      </c>
      <c r="H75" s="135">
        <v>33.1</v>
      </c>
      <c r="I75" s="135">
        <v>19.899999999999999</v>
      </c>
      <c r="J75" s="135">
        <v>16.93</v>
      </c>
      <c r="K75" s="135">
        <v>16.93</v>
      </c>
      <c r="L75" s="135">
        <v>40</v>
      </c>
      <c r="M75" s="135">
        <v>48</v>
      </c>
      <c r="N75" s="135">
        <v>2.9</v>
      </c>
      <c r="O75" s="135">
        <v>17.36</v>
      </c>
      <c r="P75" s="135">
        <v>3</v>
      </c>
    </row>
    <row r="76" spans="1:16" x14ac:dyDescent="0.3">
      <c r="A76" s="135" t="s">
        <v>444</v>
      </c>
      <c r="B76" s="135" t="s">
        <v>405</v>
      </c>
      <c r="C76" s="135" t="s">
        <v>52</v>
      </c>
      <c r="D76" s="135" t="s">
        <v>2526</v>
      </c>
      <c r="E76" s="135" t="s">
        <v>1708</v>
      </c>
      <c r="F76" s="135">
        <v>5700</v>
      </c>
      <c r="G76" s="135">
        <v>4.5</v>
      </c>
      <c r="H76" s="135">
        <v>26.9</v>
      </c>
      <c r="J76" s="135">
        <v>17.940000000000001</v>
      </c>
      <c r="K76" s="135">
        <v>17.940000000000001</v>
      </c>
      <c r="L76" s="135">
        <v>40</v>
      </c>
      <c r="M76" s="135">
        <v>0</v>
      </c>
      <c r="N76" s="135">
        <v>3.1</v>
      </c>
      <c r="O76" s="135">
        <v>23.52</v>
      </c>
      <c r="P76" s="135">
        <v>4.0999999999999996</v>
      </c>
    </row>
    <row r="77" spans="1:16" x14ac:dyDescent="0.3">
      <c r="A77" s="135" t="s">
        <v>277</v>
      </c>
      <c r="B77" s="135" t="s">
        <v>396</v>
      </c>
      <c r="C77" s="135" t="s">
        <v>50</v>
      </c>
      <c r="D77" s="135" t="s">
        <v>2524</v>
      </c>
      <c r="E77" s="135" t="s">
        <v>1717</v>
      </c>
      <c r="F77" s="135">
        <v>5700</v>
      </c>
      <c r="G77" s="135">
        <v>5.4</v>
      </c>
      <c r="H77" s="135">
        <v>27.3</v>
      </c>
      <c r="I77" s="135">
        <v>5.7</v>
      </c>
      <c r="J77" s="135">
        <v>12.72</v>
      </c>
      <c r="K77" s="135">
        <v>12.72</v>
      </c>
      <c r="L77" s="135">
        <v>40</v>
      </c>
      <c r="M77" s="135">
        <v>44</v>
      </c>
      <c r="N77" s="135">
        <v>2.2000000000000002</v>
      </c>
      <c r="O77" s="135">
        <v>6.1</v>
      </c>
      <c r="P77" s="135">
        <v>1.1000000000000001</v>
      </c>
    </row>
    <row r="78" spans="1:16" x14ac:dyDescent="0.3">
      <c r="A78" s="135" t="s">
        <v>125</v>
      </c>
      <c r="B78" s="135" t="s">
        <v>394</v>
      </c>
      <c r="C78" s="135" t="s">
        <v>397</v>
      </c>
      <c r="D78" s="135" t="s">
        <v>1903</v>
      </c>
      <c r="E78" s="135" t="s">
        <v>1320</v>
      </c>
      <c r="F78" s="135">
        <v>5700</v>
      </c>
      <c r="G78" s="135">
        <v>6.2</v>
      </c>
      <c r="H78" s="135">
        <v>27.2</v>
      </c>
      <c r="I78" s="135">
        <v>10.9</v>
      </c>
      <c r="J78" s="135">
        <v>13.19</v>
      </c>
      <c r="K78" s="135">
        <v>13.19</v>
      </c>
      <c r="L78" s="135">
        <v>40</v>
      </c>
      <c r="M78" s="135">
        <v>70</v>
      </c>
      <c r="N78" s="135">
        <v>2.2999999999999998</v>
      </c>
      <c r="O78" s="135">
        <v>8.3000000000000007</v>
      </c>
      <c r="P78" s="135">
        <v>1.5</v>
      </c>
    </row>
    <row r="79" spans="1:16" x14ac:dyDescent="0.3">
      <c r="A79" s="135" t="s">
        <v>86</v>
      </c>
      <c r="B79" s="135" t="s">
        <v>394</v>
      </c>
      <c r="C79" s="135" t="s">
        <v>401</v>
      </c>
      <c r="D79" s="135" t="s">
        <v>2537</v>
      </c>
      <c r="E79" s="135" t="s">
        <v>1732</v>
      </c>
      <c r="F79" s="135">
        <v>5700</v>
      </c>
      <c r="G79" s="135">
        <v>0</v>
      </c>
      <c r="H79" s="135">
        <v>17.399999999999999</v>
      </c>
      <c r="I79" s="135">
        <v>15.6</v>
      </c>
      <c r="J79" s="135">
        <v>0</v>
      </c>
      <c r="K79" s="135">
        <v>0</v>
      </c>
      <c r="L79" s="135">
        <v>40</v>
      </c>
      <c r="M79" s="135">
        <v>0</v>
      </c>
      <c r="N79" s="135">
        <v>0</v>
      </c>
    </row>
    <row r="80" spans="1:16" x14ac:dyDescent="0.3">
      <c r="A80" s="135" t="s">
        <v>27</v>
      </c>
      <c r="B80" s="135" t="s">
        <v>405</v>
      </c>
      <c r="C80" s="135" t="s">
        <v>28</v>
      </c>
      <c r="D80" s="135" t="s">
        <v>2527</v>
      </c>
      <c r="E80" s="135" t="s">
        <v>1736</v>
      </c>
      <c r="F80" s="135">
        <v>5700</v>
      </c>
      <c r="G80" s="135">
        <v>9</v>
      </c>
      <c r="H80" s="135">
        <v>33.9</v>
      </c>
      <c r="I80" s="135">
        <v>20.399999999999999</v>
      </c>
      <c r="J80" s="135">
        <v>17.34</v>
      </c>
      <c r="K80" s="135">
        <v>17.34</v>
      </c>
      <c r="L80" s="135">
        <v>40</v>
      </c>
      <c r="M80" s="135">
        <v>62</v>
      </c>
      <c r="N80" s="135">
        <v>3</v>
      </c>
      <c r="O80" s="135">
        <v>11.24</v>
      </c>
      <c r="P80" s="135">
        <v>2</v>
      </c>
    </row>
    <row r="81" spans="1:16" x14ac:dyDescent="0.3">
      <c r="A81" s="135" t="s">
        <v>82</v>
      </c>
      <c r="B81" s="135" t="s">
        <v>394</v>
      </c>
      <c r="C81" s="135" t="s">
        <v>4</v>
      </c>
      <c r="D81" s="135" t="s">
        <v>2530</v>
      </c>
      <c r="E81" s="135" t="s">
        <v>1714</v>
      </c>
      <c r="F81" s="135">
        <v>5700</v>
      </c>
      <c r="G81" s="135">
        <v>6.9</v>
      </c>
      <c r="H81" s="135">
        <v>28.5</v>
      </c>
      <c r="I81" s="135">
        <v>13.2</v>
      </c>
      <c r="J81" s="135">
        <v>14.08</v>
      </c>
      <c r="K81" s="135">
        <v>14.08</v>
      </c>
      <c r="L81" s="135">
        <v>40</v>
      </c>
      <c r="M81" s="135">
        <v>60</v>
      </c>
      <c r="N81" s="135">
        <v>2.5</v>
      </c>
      <c r="O81" s="135">
        <v>10.8</v>
      </c>
      <c r="P81" s="135">
        <v>1.9</v>
      </c>
    </row>
    <row r="82" spans="1:16" x14ac:dyDescent="0.3">
      <c r="A82" s="135" t="s">
        <v>91</v>
      </c>
      <c r="B82" s="135" t="s">
        <v>394</v>
      </c>
      <c r="C82" s="135" t="s">
        <v>397</v>
      </c>
      <c r="D82" s="135" t="s">
        <v>1903</v>
      </c>
      <c r="E82" s="135" t="s">
        <v>1320</v>
      </c>
      <c r="F82" s="135">
        <v>5600</v>
      </c>
      <c r="G82" s="135">
        <v>0</v>
      </c>
      <c r="H82" s="135">
        <v>17.8</v>
      </c>
      <c r="I82" s="135">
        <v>21.2</v>
      </c>
      <c r="J82" s="135">
        <v>0</v>
      </c>
      <c r="K82" s="135">
        <v>0</v>
      </c>
      <c r="L82" s="135">
        <v>40</v>
      </c>
      <c r="M82" s="135">
        <v>0</v>
      </c>
      <c r="N82" s="135">
        <v>0</v>
      </c>
    </row>
    <row r="83" spans="1:16" x14ac:dyDescent="0.3">
      <c r="A83" s="135" t="s">
        <v>48</v>
      </c>
      <c r="B83" s="135" t="s">
        <v>405</v>
      </c>
      <c r="C83" s="135" t="s">
        <v>46</v>
      </c>
      <c r="D83" s="135" t="s">
        <v>2528</v>
      </c>
      <c r="E83" s="135" t="s">
        <v>1320</v>
      </c>
      <c r="F83" s="135">
        <v>5600</v>
      </c>
      <c r="G83" s="135">
        <v>8.1</v>
      </c>
      <c r="H83" s="135">
        <v>26.4</v>
      </c>
      <c r="I83" s="135">
        <v>16.8</v>
      </c>
      <c r="J83" s="135">
        <v>14.16</v>
      </c>
      <c r="K83" s="135">
        <v>14.16</v>
      </c>
      <c r="L83" s="135">
        <v>40</v>
      </c>
      <c r="M83" s="135">
        <v>29</v>
      </c>
      <c r="N83" s="135">
        <v>2.5</v>
      </c>
    </row>
    <row r="84" spans="1:16" x14ac:dyDescent="0.3">
      <c r="A84" s="135" t="s">
        <v>429</v>
      </c>
      <c r="B84" s="135" t="s">
        <v>405</v>
      </c>
      <c r="C84" s="135" t="s">
        <v>402</v>
      </c>
      <c r="D84" s="135" t="s">
        <v>2538</v>
      </c>
      <c r="E84" s="135" t="s">
        <v>1722</v>
      </c>
      <c r="F84" s="135">
        <v>5600</v>
      </c>
      <c r="G84" s="135">
        <v>0</v>
      </c>
      <c r="H84" s="135">
        <v>5</v>
      </c>
      <c r="I84" s="135">
        <v>-0.1</v>
      </c>
      <c r="J84" s="135">
        <v>0</v>
      </c>
      <c r="K84" s="135">
        <v>0</v>
      </c>
      <c r="L84" s="135">
        <v>40</v>
      </c>
      <c r="M84" s="135">
        <v>87</v>
      </c>
      <c r="N84" s="135">
        <v>0</v>
      </c>
    </row>
    <row r="85" spans="1:16" x14ac:dyDescent="0.3">
      <c r="A85" s="135" t="s">
        <v>13</v>
      </c>
      <c r="B85" s="135" t="s">
        <v>405</v>
      </c>
      <c r="C85" s="135" t="s">
        <v>14</v>
      </c>
      <c r="D85" s="135" t="s">
        <v>2545</v>
      </c>
      <c r="E85" s="135" t="s">
        <v>1716</v>
      </c>
      <c r="F85" s="135">
        <v>5600</v>
      </c>
      <c r="G85" s="135">
        <v>0</v>
      </c>
      <c r="H85" s="135">
        <v>17.600000000000001</v>
      </c>
      <c r="I85" s="135">
        <v>18.899999999999999</v>
      </c>
      <c r="J85" s="135">
        <v>0</v>
      </c>
      <c r="K85" s="135">
        <v>0</v>
      </c>
      <c r="L85" s="135">
        <v>40</v>
      </c>
      <c r="M85" s="135">
        <v>46</v>
      </c>
      <c r="N85" s="135">
        <v>0</v>
      </c>
    </row>
    <row r="86" spans="1:16" x14ac:dyDescent="0.3">
      <c r="A86" s="135" t="s">
        <v>92</v>
      </c>
      <c r="B86" s="135" t="s">
        <v>394</v>
      </c>
      <c r="C86" s="135" t="s">
        <v>561</v>
      </c>
      <c r="D86" s="135" t="s">
        <v>1906</v>
      </c>
      <c r="E86" s="135" t="s">
        <v>1736</v>
      </c>
      <c r="F86" s="135">
        <v>5600</v>
      </c>
      <c r="G86" s="135">
        <v>5.4</v>
      </c>
      <c r="H86" s="135">
        <v>21</v>
      </c>
      <c r="I86" s="135">
        <v>13.5</v>
      </c>
      <c r="J86" s="135">
        <v>10.65</v>
      </c>
      <c r="K86" s="135">
        <v>10.65</v>
      </c>
      <c r="L86" s="135">
        <v>40</v>
      </c>
      <c r="M86" s="135">
        <v>64</v>
      </c>
      <c r="N86" s="135">
        <v>1.9</v>
      </c>
      <c r="O86" s="135">
        <v>4.8</v>
      </c>
      <c r="P86" s="135">
        <v>0.9</v>
      </c>
    </row>
    <row r="87" spans="1:16" x14ac:dyDescent="0.3">
      <c r="A87" s="135" t="s">
        <v>100</v>
      </c>
      <c r="B87" s="135" t="s">
        <v>394</v>
      </c>
      <c r="C87" s="135" t="s">
        <v>7</v>
      </c>
      <c r="D87" s="135" t="s">
        <v>1899</v>
      </c>
      <c r="E87" s="135" t="s">
        <v>1726</v>
      </c>
      <c r="F87" s="135">
        <v>5500</v>
      </c>
      <c r="G87" s="135">
        <v>0</v>
      </c>
      <c r="H87" s="135">
        <v>25.4</v>
      </c>
      <c r="I87" s="135">
        <v>11.7</v>
      </c>
      <c r="J87" s="135">
        <v>0</v>
      </c>
      <c r="K87" s="135">
        <v>0</v>
      </c>
      <c r="L87" s="135">
        <v>40</v>
      </c>
      <c r="M87" s="135">
        <v>0</v>
      </c>
      <c r="N87" s="135">
        <v>0</v>
      </c>
    </row>
    <row r="88" spans="1:16" x14ac:dyDescent="0.3">
      <c r="A88" s="135" t="s">
        <v>430</v>
      </c>
      <c r="B88" s="135" t="s">
        <v>394</v>
      </c>
      <c r="C88" s="135" t="s">
        <v>57</v>
      </c>
      <c r="D88" s="135" t="s">
        <v>2541</v>
      </c>
      <c r="E88" s="135" t="s">
        <v>1733</v>
      </c>
      <c r="F88" s="135">
        <v>5500</v>
      </c>
      <c r="G88" s="135">
        <v>0</v>
      </c>
      <c r="H88" s="135">
        <v>17.8</v>
      </c>
      <c r="I88" s="135">
        <v>19.5</v>
      </c>
      <c r="J88" s="135">
        <v>0</v>
      </c>
      <c r="K88" s="135">
        <v>0</v>
      </c>
      <c r="L88" s="135">
        <v>40</v>
      </c>
      <c r="M88" s="135">
        <v>0</v>
      </c>
      <c r="N88" s="135">
        <v>0</v>
      </c>
    </row>
    <row r="89" spans="1:16" x14ac:dyDescent="0.3">
      <c r="A89" s="135" t="s">
        <v>450</v>
      </c>
      <c r="B89" s="135" t="s">
        <v>405</v>
      </c>
      <c r="C89" s="135" t="s">
        <v>39</v>
      </c>
      <c r="D89" s="135" t="s">
        <v>2536</v>
      </c>
      <c r="E89" s="135" t="s">
        <v>1719</v>
      </c>
      <c r="F89" s="135">
        <v>5500</v>
      </c>
      <c r="G89" s="135">
        <v>4.5</v>
      </c>
      <c r="H89" s="135">
        <v>27.3</v>
      </c>
      <c r="J89" s="135">
        <v>18.18</v>
      </c>
      <c r="K89" s="135">
        <v>18.18</v>
      </c>
      <c r="L89" s="135">
        <v>40</v>
      </c>
      <c r="M89" s="135">
        <v>0</v>
      </c>
      <c r="N89" s="135">
        <v>3.3</v>
      </c>
      <c r="O89" s="135">
        <v>24.04</v>
      </c>
      <c r="P89" s="135">
        <v>4.4000000000000004</v>
      </c>
    </row>
    <row r="90" spans="1:16" x14ac:dyDescent="0.3">
      <c r="A90" s="135" t="s">
        <v>454</v>
      </c>
      <c r="B90" s="135" t="s">
        <v>396</v>
      </c>
      <c r="C90" s="135" t="s">
        <v>37</v>
      </c>
      <c r="D90" s="135" t="s">
        <v>2525</v>
      </c>
      <c r="E90" s="135" t="s">
        <v>1727</v>
      </c>
      <c r="F90" s="135">
        <v>5500</v>
      </c>
      <c r="G90" s="135">
        <v>3.3</v>
      </c>
      <c r="H90" s="135">
        <v>19.7</v>
      </c>
      <c r="J90" s="135">
        <v>13.12</v>
      </c>
      <c r="K90" s="135">
        <v>13.12</v>
      </c>
      <c r="L90" s="135">
        <v>40</v>
      </c>
      <c r="M90" s="135">
        <v>0</v>
      </c>
      <c r="N90" s="135">
        <v>2.4</v>
      </c>
      <c r="O90" s="135">
        <v>18.3</v>
      </c>
      <c r="P90" s="135">
        <v>3.3</v>
      </c>
    </row>
    <row r="91" spans="1:16" x14ac:dyDescent="0.3">
      <c r="A91" s="135" t="s">
        <v>107</v>
      </c>
      <c r="B91" s="135" t="s">
        <v>394</v>
      </c>
      <c r="C91" s="135" t="s">
        <v>407</v>
      </c>
      <c r="D91" s="135" t="s">
        <v>2540</v>
      </c>
      <c r="E91" s="135" t="s">
        <v>1717</v>
      </c>
      <c r="F91" s="135">
        <v>5400</v>
      </c>
      <c r="G91" s="135">
        <v>0</v>
      </c>
      <c r="H91" s="135">
        <v>19.399999999999999</v>
      </c>
      <c r="I91" s="135">
        <v>15.3</v>
      </c>
      <c r="J91" s="135">
        <v>0</v>
      </c>
      <c r="K91" s="135">
        <v>0</v>
      </c>
      <c r="L91" s="135">
        <v>40</v>
      </c>
      <c r="M91" s="135">
        <v>29</v>
      </c>
      <c r="N91" s="135">
        <v>0</v>
      </c>
    </row>
    <row r="92" spans="1:16" x14ac:dyDescent="0.3">
      <c r="A92" s="135" t="s">
        <v>38</v>
      </c>
      <c r="B92" s="135" t="s">
        <v>405</v>
      </c>
      <c r="C92" s="135" t="s">
        <v>41</v>
      </c>
      <c r="D92" s="135" t="s">
        <v>1907</v>
      </c>
      <c r="E92" s="135" t="s">
        <v>1707</v>
      </c>
      <c r="F92" s="135">
        <v>5300</v>
      </c>
      <c r="G92" s="135">
        <v>9.4</v>
      </c>
      <c r="H92" s="135">
        <v>25.9</v>
      </c>
      <c r="I92" s="135">
        <v>16.2</v>
      </c>
      <c r="J92" s="135">
        <v>14.9</v>
      </c>
      <c r="K92" s="135">
        <v>14.9</v>
      </c>
      <c r="L92" s="135">
        <v>40</v>
      </c>
      <c r="M92" s="135">
        <v>71</v>
      </c>
      <c r="N92" s="135">
        <v>2.8</v>
      </c>
      <c r="O92" s="135">
        <v>10.64</v>
      </c>
      <c r="P92" s="135">
        <v>2</v>
      </c>
    </row>
    <row r="93" spans="1:16" x14ac:dyDescent="0.3">
      <c r="A93" s="135" t="s">
        <v>433</v>
      </c>
      <c r="B93" s="135" t="s">
        <v>396</v>
      </c>
      <c r="C93" s="135" t="s">
        <v>14</v>
      </c>
      <c r="D93" s="135" t="s">
        <v>2545</v>
      </c>
      <c r="E93" s="135" t="s">
        <v>1733</v>
      </c>
      <c r="F93" s="135">
        <v>5300</v>
      </c>
      <c r="G93" s="135">
        <v>0</v>
      </c>
      <c r="H93" s="135">
        <v>0</v>
      </c>
      <c r="J93" s="135">
        <v>0</v>
      </c>
      <c r="K93" s="135">
        <v>0</v>
      </c>
      <c r="L93" s="135">
        <v>40</v>
      </c>
      <c r="M93" s="135">
        <v>0</v>
      </c>
      <c r="N93" s="135">
        <v>0</v>
      </c>
    </row>
    <row r="94" spans="1:16" x14ac:dyDescent="0.3">
      <c r="A94" s="135" t="s">
        <v>202</v>
      </c>
      <c r="B94" s="135" t="s">
        <v>396</v>
      </c>
      <c r="C94" s="135" t="s">
        <v>561</v>
      </c>
      <c r="D94" s="135" t="s">
        <v>1906</v>
      </c>
      <c r="E94" s="135" t="s">
        <v>1709</v>
      </c>
      <c r="F94" s="135">
        <v>5200</v>
      </c>
      <c r="G94" s="135">
        <v>2.5</v>
      </c>
      <c r="H94" s="135">
        <v>31.6</v>
      </c>
      <c r="I94" s="135">
        <v>16.100000000000001</v>
      </c>
      <c r="J94" s="135">
        <v>12.23</v>
      </c>
      <c r="K94" s="135">
        <v>12.23</v>
      </c>
      <c r="L94" s="135">
        <v>40</v>
      </c>
      <c r="M94" s="135">
        <v>16</v>
      </c>
      <c r="N94" s="135">
        <v>2.4</v>
      </c>
      <c r="O94" s="135">
        <v>8</v>
      </c>
      <c r="P94" s="135">
        <v>1.5</v>
      </c>
    </row>
    <row r="95" spans="1:16" x14ac:dyDescent="0.3">
      <c r="A95" s="135" t="s">
        <v>109</v>
      </c>
      <c r="B95" s="135" t="s">
        <v>394</v>
      </c>
      <c r="C95" s="135" t="s">
        <v>46</v>
      </c>
      <c r="D95" s="135" t="s">
        <v>2528</v>
      </c>
      <c r="E95" s="135" t="s">
        <v>1716</v>
      </c>
      <c r="F95" s="135">
        <v>5200</v>
      </c>
      <c r="G95" s="135">
        <v>2.8</v>
      </c>
      <c r="H95" s="135">
        <v>33.200000000000003</v>
      </c>
      <c r="I95" s="135">
        <v>10</v>
      </c>
      <c r="J95" s="135">
        <v>12.95</v>
      </c>
      <c r="K95" s="135">
        <v>12.95</v>
      </c>
      <c r="L95" s="135">
        <v>40</v>
      </c>
      <c r="M95" s="135">
        <v>15</v>
      </c>
      <c r="N95" s="135">
        <v>2.5</v>
      </c>
      <c r="O95" s="135">
        <v>6.6</v>
      </c>
      <c r="P95" s="135">
        <v>1.3</v>
      </c>
    </row>
    <row r="96" spans="1:16" x14ac:dyDescent="0.3">
      <c r="A96" s="135" t="s">
        <v>241</v>
      </c>
      <c r="B96" s="135" t="s">
        <v>396</v>
      </c>
      <c r="C96" s="135" t="s">
        <v>407</v>
      </c>
      <c r="D96" s="135" t="s">
        <v>2540</v>
      </c>
      <c r="E96" s="135" t="s">
        <v>1714</v>
      </c>
      <c r="F96" s="135">
        <v>5200</v>
      </c>
      <c r="G96" s="135">
        <v>7.1</v>
      </c>
      <c r="H96" s="135">
        <v>32.6</v>
      </c>
      <c r="I96" s="135">
        <v>13.1</v>
      </c>
      <c r="J96" s="135">
        <v>15.57</v>
      </c>
      <c r="K96" s="135">
        <v>15.57</v>
      </c>
      <c r="L96" s="135">
        <v>40</v>
      </c>
      <c r="M96" s="135">
        <v>60</v>
      </c>
      <c r="N96" s="135">
        <v>3</v>
      </c>
      <c r="O96" s="135">
        <v>11.2</v>
      </c>
      <c r="P96" s="135">
        <v>2.2000000000000002</v>
      </c>
    </row>
    <row r="97" spans="1:16" x14ac:dyDescent="0.3">
      <c r="A97" s="135" t="s">
        <v>1240</v>
      </c>
      <c r="B97" s="135" t="s">
        <v>405</v>
      </c>
      <c r="C97" s="135" t="s">
        <v>70</v>
      </c>
      <c r="D97" s="135" t="s">
        <v>2533</v>
      </c>
      <c r="E97" s="135" t="s">
        <v>1725</v>
      </c>
      <c r="F97" s="135">
        <v>5100</v>
      </c>
      <c r="G97" s="135">
        <v>3.3</v>
      </c>
      <c r="H97" s="135">
        <v>19.899999999999999</v>
      </c>
      <c r="I97" s="135">
        <v>-0.1</v>
      </c>
      <c r="J97" s="135">
        <v>13.27</v>
      </c>
      <c r="K97" s="135">
        <v>13.27</v>
      </c>
      <c r="L97" s="135">
        <v>40</v>
      </c>
      <c r="M97" s="135">
        <v>0</v>
      </c>
      <c r="N97" s="135">
        <v>2.6</v>
      </c>
      <c r="O97" s="135">
        <v>31.98</v>
      </c>
      <c r="P97" s="135">
        <v>6.3</v>
      </c>
    </row>
    <row r="98" spans="1:16" x14ac:dyDescent="0.3">
      <c r="A98" s="135" t="s">
        <v>94</v>
      </c>
      <c r="B98" s="135" t="s">
        <v>394</v>
      </c>
      <c r="C98" s="135" t="s">
        <v>37</v>
      </c>
      <c r="D98" s="135" t="s">
        <v>2525</v>
      </c>
      <c r="E98" s="135" t="s">
        <v>1734</v>
      </c>
      <c r="F98" s="135">
        <v>5100</v>
      </c>
      <c r="G98" s="135">
        <v>0</v>
      </c>
      <c r="H98" s="135">
        <v>14.8</v>
      </c>
      <c r="I98" s="135">
        <v>10.8</v>
      </c>
      <c r="J98" s="135">
        <v>0</v>
      </c>
      <c r="K98" s="135">
        <v>0</v>
      </c>
      <c r="L98" s="135">
        <v>40</v>
      </c>
      <c r="M98" s="135">
        <v>0</v>
      </c>
      <c r="N98" s="135">
        <v>0</v>
      </c>
    </row>
    <row r="99" spans="1:16" x14ac:dyDescent="0.3">
      <c r="A99" s="135" t="s">
        <v>218</v>
      </c>
      <c r="B99" s="135" t="s">
        <v>396</v>
      </c>
      <c r="C99" s="135" t="s">
        <v>41</v>
      </c>
      <c r="D99" s="135" t="s">
        <v>1907</v>
      </c>
      <c r="E99" s="135" t="s">
        <v>1723</v>
      </c>
      <c r="F99" s="135">
        <v>5100</v>
      </c>
      <c r="G99" s="135">
        <v>6.9</v>
      </c>
      <c r="H99" s="135">
        <v>30.6</v>
      </c>
      <c r="I99" s="135">
        <v>11.9</v>
      </c>
      <c r="J99" s="135">
        <v>14.83</v>
      </c>
      <c r="K99" s="135">
        <v>14.83</v>
      </c>
      <c r="L99" s="135">
        <v>40</v>
      </c>
      <c r="M99" s="135">
        <v>72</v>
      </c>
      <c r="N99" s="135">
        <v>2.9</v>
      </c>
      <c r="O99" s="135">
        <v>8</v>
      </c>
      <c r="P99" s="135">
        <v>1.6</v>
      </c>
    </row>
    <row r="100" spans="1:16" x14ac:dyDescent="0.3">
      <c r="A100" s="135" t="s">
        <v>66</v>
      </c>
      <c r="B100" s="135" t="s">
        <v>405</v>
      </c>
      <c r="C100" s="135" t="s">
        <v>37</v>
      </c>
      <c r="D100" s="135" t="s">
        <v>2525</v>
      </c>
      <c r="E100" s="135" t="s">
        <v>1729</v>
      </c>
      <c r="F100" s="135">
        <v>5000</v>
      </c>
      <c r="G100" s="135">
        <v>0</v>
      </c>
      <c r="H100" s="135">
        <v>5.8</v>
      </c>
      <c r="I100" s="135">
        <v>6.7</v>
      </c>
      <c r="J100" s="135">
        <v>0</v>
      </c>
      <c r="K100" s="135">
        <v>0</v>
      </c>
      <c r="L100" s="135">
        <v>40</v>
      </c>
      <c r="M100" s="135">
        <v>0</v>
      </c>
      <c r="N100" s="135">
        <v>0</v>
      </c>
    </row>
    <row r="101" spans="1:16" x14ac:dyDescent="0.3">
      <c r="A101" s="135" t="s">
        <v>78</v>
      </c>
      <c r="B101" s="135" t="s">
        <v>405</v>
      </c>
      <c r="C101" s="135" t="s">
        <v>24</v>
      </c>
      <c r="D101" s="135" t="s">
        <v>1902</v>
      </c>
      <c r="E101" s="135" t="s">
        <v>1727</v>
      </c>
      <c r="F101" s="135">
        <v>5000</v>
      </c>
      <c r="G101" s="135">
        <v>0</v>
      </c>
      <c r="H101" s="135">
        <v>14.6</v>
      </c>
      <c r="I101" s="135">
        <v>0.1</v>
      </c>
      <c r="J101" s="135">
        <v>0</v>
      </c>
      <c r="K101" s="135">
        <v>0</v>
      </c>
      <c r="L101" s="135">
        <v>40</v>
      </c>
      <c r="M101" s="135">
        <v>0</v>
      </c>
      <c r="N101" s="135">
        <v>0</v>
      </c>
    </row>
    <row r="102" spans="1:16" x14ac:dyDescent="0.3">
      <c r="A102" s="135" t="s">
        <v>76</v>
      </c>
      <c r="B102" s="135" t="s">
        <v>405</v>
      </c>
      <c r="C102" s="135" t="s">
        <v>407</v>
      </c>
      <c r="D102" s="135" t="s">
        <v>2540</v>
      </c>
      <c r="E102" s="135" t="s">
        <v>1709</v>
      </c>
      <c r="F102" s="135">
        <v>5000</v>
      </c>
      <c r="G102" s="135">
        <v>0</v>
      </c>
      <c r="H102" s="135">
        <v>6</v>
      </c>
      <c r="I102" s="135">
        <v>3.2</v>
      </c>
      <c r="J102" s="135">
        <v>0</v>
      </c>
      <c r="K102" s="135">
        <v>0</v>
      </c>
      <c r="L102" s="135">
        <v>40</v>
      </c>
      <c r="M102" s="135">
        <v>0</v>
      </c>
      <c r="N102" s="135">
        <v>0</v>
      </c>
    </row>
    <row r="103" spans="1:16" x14ac:dyDescent="0.3">
      <c r="A103" s="135" t="s">
        <v>63</v>
      </c>
      <c r="B103" s="135" t="s">
        <v>405</v>
      </c>
      <c r="C103" s="135" t="s">
        <v>409</v>
      </c>
      <c r="D103" s="135" t="s">
        <v>2535</v>
      </c>
      <c r="E103" s="135" t="s">
        <v>1731</v>
      </c>
      <c r="F103" s="135">
        <v>5000</v>
      </c>
      <c r="G103" s="135">
        <v>6.8</v>
      </c>
      <c r="H103" s="135">
        <v>20.9</v>
      </c>
      <c r="I103" s="135">
        <v>9.3000000000000007</v>
      </c>
      <c r="J103" s="135">
        <v>11.5</v>
      </c>
      <c r="K103" s="135">
        <v>11.5</v>
      </c>
      <c r="L103" s="135">
        <v>40</v>
      </c>
      <c r="M103" s="135">
        <v>34</v>
      </c>
      <c r="N103" s="135">
        <v>2.2999999999999998</v>
      </c>
      <c r="O103" s="135">
        <v>14.7</v>
      </c>
      <c r="P103" s="135">
        <v>2.9</v>
      </c>
    </row>
    <row r="104" spans="1:16" x14ac:dyDescent="0.3">
      <c r="A104" s="135" t="s">
        <v>1546</v>
      </c>
      <c r="B104" s="135" t="s">
        <v>405</v>
      </c>
      <c r="C104" s="135" t="s">
        <v>22</v>
      </c>
      <c r="D104" s="135" t="s">
        <v>2529</v>
      </c>
      <c r="E104" s="135" t="s">
        <v>1714</v>
      </c>
      <c r="F104" s="135">
        <v>5000</v>
      </c>
      <c r="G104" s="135">
        <v>0</v>
      </c>
      <c r="H104" s="135">
        <v>1.6</v>
      </c>
      <c r="I104" s="135">
        <v>0</v>
      </c>
      <c r="J104" s="135">
        <v>0</v>
      </c>
      <c r="K104" s="135">
        <v>0</v>
      </c>
      <c r="L104" s="135">
        <v>40</v>
      </c>
      <c r="M104" s="135">
        <v>0</v>
      </c>
      <c r="N104" s="135">
        <v>0</v>
      </c>
    </row>
    <row r="105" spans="1:16" x14ac:dyDescent="0.3">
      <c r="A105" s="135" t="s">
        <v>72</v>
      </c>
      <c r="B105" s="135" t="s">
        <v>405</v>
      </c>
      <c r="C105" s="135" t="s">
        <v>41</v>
      </c>
      <c r="D105" s="135" t="s">
        <v>1907</v>
      </c>
      <c r="E105" s="135" t="s">
        <v>1707</v>
      </c>
      <c r="F105" s="135">
        <v>5000</v>
      </c>
      <c r="G105" s="135">
        <v>0</v>
      </c>
      <c r="H105" s="135">
        <v>15</v>
      </c>
      <c r="I105" s="135">
        <v>0</v>
      </c>
      <c r="J105" s="135">
        <v>0</v>
      </c>
      <c r="K105" s="135">
        <v>0</v>
      </c>
      <c r="L105" s="135">
        <v>40</v>
      </c>
      <c r="M105" s="135">
        <v>26</v>
      </c>
      <c r="N105" s="135">
        <v>0</v>
      </c>
    </row>
    <row r="106" spans="1:16" x14ac:dyDescent="0.3">
      <c r="A106" s="135" t="s">
        <v>80</v>
      </c>
      <c r="B106" s="135" t="s">
        <v>405</v>
      </c>
      <c r="C106" s="135" t="s">
        <v>22</v>
      </c>
      <c r="D106" s="135" t="s">
        <v>2529</v>
      </c>
      <c r="E106" s="135" t="s">
        <v>1714</v>
      </c>
      <c r="F106" s="135">
        <v>5000</v>
      </c>
      <c r="G106" s="135">
        <v>0</v>
      </c>
      <c r="H106" s="135">
        <v>13.4</v>
      </c>
      <c r="I106" s="135">
        <v>0.4</v>
      </c>
      <c r="J106" s="135">
        <v>0</v>
      </c>
      <c r="K106" s="135">
        <v>0</v>
      </c>
      <c r="L106" s="135">
        <v>40</v>
      </c>
      <c r="M106" s="135">
        <v>0</v>
      </c>
      <c r="N106" s="135">
        <v>0</v>
      </c>
      <c r="O106" s="135">
        <v>0.12</v>
      </c>
      <c r="P106" s="135">
        <v>0</v>
      </c>
    </row>
    <row r="107" spans="1:16" x14ac:dyDescent="0.3">
      <c r="A107" s="135" t="s">
        <v>751</v>
      </c>
      <c r="B107" s="135" t="s">
        <v>405</v>
      </c>
      <c r="C107" s="135" t="s">
        <v>70</v>
      </c>
      <c r="D107" s="135" t="s">
        <v>2533</v>
      </c>
      <c r="E107" s="135" t="s">
        <v>1725</v>
      </c>
      <c r="F107" s="135">
        <v>5000</v>
      </c>
      <c r="G107" s="135">
        <v>0</v>
      </c>
      <c r="H107" s="135">
        <v>0</v>
      </c>
      <c r="J107" s="135">
        <v>0</v>
      </c>
      <c r="K107" s="135">
        <v>0</v>
      </c>
      <c r="L107" s="135">
        <v>40</v>
      </c>
      <c r="M107" s="135">
        <v>0</v>
      </c>
      <c r="N107" s="135">
        <v>0</v>
      </c>
    </row>
    <row r="108" spans="1:16" x14ac:dyDescent="0.3">
      <c r="A108" s="135" t="s">
        <v>1548</v>
      </c>
      <c r="B108" s="135" t="s">
        <v>405</v>
      </c>
      <c r="C108" s="135" t="s">
        <v>28</v>
      </c>
      <c r="D108" s="135" t="s">
        <v>2527</v>
      </c>
      <c r="E108" s="135" t="s">
        <v>1736</v>
      </c>
      <c r="F108" s="135">
        <v>5000</v>
      </c>
      <c r="G108" s="135">
        <v>0</v>
      </c>
      <c r="H108" s="135">
        <v>0</v>
      </c>
      <c r="J108" s="135">
        <v>0</v>
      </c>
      <c r="K108" s="135">
        <v>0</v>
      </c>
      <c r="L108" s="135">
        <v>40</v>
      </c>
      <c r="M108" s="135">
        <v>0</v>
      </c>
      <c r="N108" s="135">
        <v>0</v>
      </c>
    </row>
    <row r="109" spans="1:16" x14ac:dyDescent="0.3">
      <c r="A109" s="135" t="s">
        <v>439</v>
      </c>
      <c r="B109" s="135" t="s">
        <v>405</v>
      </c>
      <c r="C109" s="135" t="s">
        <v>28</v>
      </c>
      <c r="D109" s="135" t="s">
        <v>2527</v>
      </c>
      <c r="E109" s="135" t="s">
        <v>1736</v>
      </c>
      <c r="F109" s="135">
        <v>5000</v>
      </c>
      <c r="G109" s="135">
        <v>0</v>
      </c>
      <c r="H109" s="135">
        <v>13.6</v>
      </c>
      <c r="I109" s="135">
        <v>8.3000000000000007</v>
      </c>
      <c r="J109" s="135">
        <v>0</v>
      </c>
      <c r="K109" s="135">
        <v>0</v>
      </c>
      <c r="L109" s="135">
        <v>40</v>
      </c>
      <c r="M109" s="135">
        <v>0</v>
      </c>
      <c r="N109" s="135">
        <v>0</v>
      </c>
    </row>
    <row r="110" spans="1:16" x14ac:dyDescent="0.3">
      <c r="A110" s="135" t="s">
        <v>59</v>
      </c>
      <c r="B110" s="135" t="s">
        <v>405</v>
      </c>
      <c r="C110" s="135" t="s">
        <v>70</v>
      </c>
      <c r="D110" s="135" t="s">
        <v>2533</v>
      </c>
      <c r="E110" s="135" t="s">
        <v>1725</v>
      </c>
      <c r="F110" s="135">
        <v>5000</v>
      </c>
      <c r="G110" s="135">
        <v>0</v>
      </c>
      <c r="H110" s="135">
        <v>15</v>
      </c>
      <c r="I110" s="135">
        <v>8.1</v>
      </c>
      <c r="J110" s="135">
        <v>0</v>
      </c>
      <c r="K110" s="135">
        <v>0</v>
      </c>
      <c r="L110" s="135">
        <v>40</v>
      </c>
      <c r="M110" s="135">
        <v>0</v>
      </c>
      <c r="N110" s="135">
        <v>0</v>
      </c>
    </row>
    <row r="111" spans="1:16" x14ac:dyDescent="0.3">
      <c r="A111" s="135" t="s">
        <v>451</v>
      </c>
      <c r="B111" s="135" t="s">
        <v>405</v>
      </c>
      <c r="C111" s="135" t="s">
        <v>395</v>
      </c>
      <c r="D111" s="135" t="s">
        <v>2531</v>
      </c>
      <c r="E111" s="135" t="s">
        <v>1733</v>
      </c>
      <c r="F111" s="135">
        <v>5000</v>
      </c>
      <c r="G111" s="135">
        <v>0</v>
      </c>
      <c r="H111" s="135">
        <v>0</v>
      </c>
      <c r="J111" s="135">
        <v>0</v>
      </c>
      <c r="K111" s="135">
        <v>0</v>
      </c>
      <c r="L111" s="135">
        <v>40</v>
      </c>
      <c r="M111" s="135">
        <v>0</v>
      </c>
      <c r="N111" s="135">
        <v>0</v>
      </c>
    </row>
    <row r="112" spans="1:16" x14ac:dyDescent="0.3">
      <c r="A112" s="135" t="s">
        <v>443</v>
      </c>
      <c r="B112" s="135" t="s">
        <v>405</v>
      </c>
      <c r="C112" s="135" t="s">
        <v>395</v>
      </c>
      <c r="D112" s="135" t="s">
        <v>2531</v>
      </c>
      <c r="E112" s="135" t="s">
        <v>1733</v>
      </c>
      <c r="F112" s="135">
        <v>5000</v>
      </c>
      <c r="G112" s="135">
        <v>0</v>
      </c>
      <c r="H112" s="135">
        <v>0</v>
      </c>
      <c r="J112" s="135">
        <v>0</v>
      </c>
      <c r="K112" s="135">
        <v>0</v>
      </c>
      <c r="L112" s="135">
        <v>40</v>
      </c>
      <c r="M112" s="135">
        <v>0</v>
      </c>
      <c r="N112" s="135">
        <v>0</v>
      </c>
    </row>
    <row r="113" spans="1:16" x14ac:dyDescent="0.3">
      <c r="A113" s="135" t="s">
        <v>71</v>
      </c>
      <c r="B113" s="135" t="s">
        <v>405</v>
      </c>
      <c r="C113" s="135" t="s">
        <v>26</v>
      </c>
      <c r="D113" s="135" t="s">
        <v>2539</v>
      </c>
      <c r="E113" s="135" t="s">
        <v>1724</v>
      </c>
      <c r="F113" s="135">
        <v>5000</v>
      </c>
      <c r="G113" s="135">
        <v>0</v>
      </c>
      <c r="H113" s="135">
        <v>0</v>
      </c>
      <c r="I113" s="135">
        <v>5.5</v>
      </c>
      <c r="J113" s="135">
        <v>0</v>
      </c>
      <c r="K113" s="135">
        <v>0</v>
      </c>
      <c r="L113" s="135">
        <v>40</v>
      </c>
      <c r="M113" s="135">
        <v>0</v>
      </c>
      <c r="N113" s="135">
        <v>0</v>
      </c>
    </row>
    <row r="114" spans="1:16" x14ac:dyDescent="0.3">
      <c r="A114" s="135" t="s">
        <v>275</v>
      </c>
      <c r="B114" s="135" t="s">
        <v>396</v>
      </c>
      <c r="C114" s="135" t="s">
        <v>32</v>
      </c>
      <c r="D114" s="135" t="s">
        <v>2544</v>
      </c>
      <c r="E114" s="135" t="s">
        <v>1719</v>
      </c>
      <c r="F114" s="135">
        <v>5000</v>
      </c>
      <c r="G114" s="135">
        <v>5.5</v>
      </c>
      <c r="H114" s="135">
        <v>26.2</v>
      </c>
      <c r="I114" s="135">
        <v>6.6</v>
      </c>
      <c r="J114" s="135">
        <v>12.38</v>
      </c>
      <c r="K114" s="135">
        <v>12.38</v>
      </c>
      <c r="L114" s="135">
        <v>40</v>
      </c>
      <c r="M114" s="135">
        <v>65</v>
      </c>
      <c r="N114" s="135">
        <v>2.5</v>
      </c>
      <c r="O114" s="135">
        <v>6.9</v>
      </c>
      <c r="P114" s="135">
        <v>1.4</v>
      </c>
    </row>
    <row r="115" spans="1:16" x14ac:dyDescent="0.3">
      <c r="A115" s="135" t="s">
        <v>73</v>
      </c>
      <c r="B115" s="135" t="s">
        <v>405</v>
      </c>
      <c r="C115" s="135" t="s">
        <v>39</v>
      </c>
      <c r="D115" s="135" t="s">
        <v>2536</v>
      </c>
      <c r="E115" s="135" t="s">
        <v>1719</v>
      </c>
      <c r="F115" s="135">
        <v>5000</v>
      </c>
      <c r="G115" s="135">
        <v>0</v>
      </c>
      <c r="H115" s="135">
        <v>6.4</v>
      </c>
      <c r="I115" s="135">
        <v>0</v>
      </c>
      <c r="J115" s="135">
        <v>0</v>
      </c>
      <c r="K115" s="135">
        <v>0</v>
      </c>
      <c r="L115" s="135">
        <v>40</v>
      </c>
      <c r="M115" s="135">
        <v>0</v>
      </c>
      <c r="N115" s="135">
        <v>0</v>
      </c>
    </row>
    <row r="116" spans="1:16" x14ac:dyDescent="0.3">
      <c r="A116" s="135" t="s">
        <v>337</v>
      </c>
      <c r="B116" s="135" t="s">
        <v>405</v>
      </c>
      <c r="C116" s="135" t="s">
        <v>401</v>
      </c>
      <c r="D116" s="135" t="s">
        <v>2537</v>
      </c>
      <c r="E116" s="135" t="s">
        <v>1717</v>
      </c>
      <c r="F116" s="135">
        <v>5000</v>
      </c>
      <c r="G116" s="135">
        <v>0</v>
      </c>
      <c r="H116" s="135">
        <v>0</v>
      </c>
      <c r="J116" s="135">
        <v>0</v>
      </c>
      <c r="K116" s="135">
        <v>0</v>
      </c>
      <c r="L116" s="135">
        <v>40</v>
      </c>
      <c r="M116" s="135">
        <v>0</v>
      </c>
      <c r="N116" s="135">
        <v>0</v>
      </c>
    </row>
    <row r="117" spans="1:16" x14ac:dyDescent="0.3">
      <c r="A117" s="135" t="s">
        <v>453</v>
      </c>
      <c r="B117" s="135" t="s">
        <v>405</v>
      </c>
      <c r="C117" s="135" t="s">
        <v>34</v>
      </c>
      <c r="D117" s="135" t="s">
        <v>2534</v>
      </c>
      <c r="E117" s="135" t="s">
        <v>1734</v>
      </c>
      <c r="F117" s="135">
        <v>5000</v>
      </c>
      <c r="G117" s="135">
        <v>0</v>
      </c>
      <c r="H117" s="135">
        <v>0</v>
      </c>
      <c r="J117" s="135">
        <v>0</v>
      </c>
      <c r="K117" s="135">
        <v>0</v>
      </c>
      <c r="L117" s="135">
        <v>40</v>
      </c>
      <c r="M117" s="135">
        <v>0</v>
      </c>
      <c r="N117" s="135">
        <v>0</v>
      </c>
    </row>
    <row r="118" spans="1:16" x14ac:dyDescent="0.3">
      <c r="A118" s="135" t="s">
        <v>441</v>
      </c>
      <c r="B118" s="135" t="s">
        <v>405</v>
      </c>
      <c r="C118" s="135" t="s">
        <v>397</v>
      </c>
      <c r="D118" s="135" t="s">
        <v>1903</v>
      </c>
      <c r="E118" s="135" t="s">
        <v>1723</v>
      </c>
      <c r="F118" s="135">
        <v>5000</v>
      </c>
      <c r="G118" s="135">
        <v>0</v>
      </c>
      <c r="H118" s="135">
        <v>0</v>
      </c>
      <c r="J118" s="135">
        <v>0</v>
      </c>
      <c r="K118" s="135">
        <v>0</v>
      </c>
      <c r="L118" s="135">
        <v>40</v>
      </c>
      <c r="M118" s="135">
        <v>0</v>
      </c>
      <c r="N118" s="135">
        <v>0</v>
      </c>
    </row>
    <row r="119" spans="1:16" x14ac:dyDescent="0.3">
      <c r="A119" s="135" t="s">
        <v>33</v>
      </c>
      <c r="B119" s="135" t="s">
        <v>405</v>
      </c>
      <c r="C119" s="135" t="s">
        <v>34</v>
      </c>
      <c r="D119" s="135" t="s">
        <v>2534</v>
      </c>
      <c r="E119" s="135" t="s">
        <v>1734</v>
      </c>
      <c r="F119" s="135">
        <v>5000</v>
      </c>
      <c r="G119" s="135">
        <v>0</v>
      </c>
      <c r="H119" s="135">
        <v>16.8</v>
      </c>
      <c r="I119" s="135">
        <v>21</v>
      </c>
      <c r="J119" s="135">
        <v>0</v>
      </c>
      <c r="K119" s="135">
        <v>0</v>
      </c>
      <c r="L119" s="135">
        <v>40</v>
      </c>
      <c r="M119" s="135">
        <v>0</v>
      </c>
      <c r="N119" s="135">
        <v>0</v>
      </c>
    </row>
    <row r="120" spans="1:16" x14ac:dyDescent="0.3">
      <c r="A120" s="135" t="s">
        <v>438</v>
      </c>
      <c r="B120" s="135" t="s">
        <v>405</v>
      </c>
      <c r="C120" s="135" t="s">
        <v>34</v>
      </c>
      <c r="D120" s="135" t="s">
        <v>2534</v>
      </c>
      <c r="E120" s="135" t="s">
        <v>1734</v>
      </c>
      <c r="F120" s="135">
        <v>5000</v>
      </c>
      <c r="G120" s="135">
        <v>0</v>
      </c>
      <c r="H120" s="135">
        <v>0</v>
      </c>
      <c r="J120" s="135">
        <v>0</v>
      </c>
      <c r="K120" s="135">
        <v>0</v>
      </c>
      <c r="L120" s="135">
        <v>40</v>
      </c>
      <c r="M120" s="135">
        <v>0</v>
      </c>
      <c r="N120" s="135">
        <v>0</v>
      </c>
    </row>
    <row r="121" spans="1:16" x14ac:dyDescent="0.3">
      <c r="A121" s="135" t="s">
        <v>60</v>
      </c>
      <c r="B121" s="135" t="s">
        <v>405</v>
      </c>
      <c r="C121" s="135" t="s">
        <v>397</v>
      </c>
      <c r="D121" s="135" t="s">
        <v>1903</v>
      </c>
      <c r="E121" s="135" t="s">
        <v>1723</v>
      </c>
      <c r="F121" s="135">
        <v>5000</v>
      </c>
      <c r="G121" s="135">
        <v>0</v>
      </c>
      <c r="H121" s="135">
        <v>15.2</v>
      </c>
      <c r="I121" s="135">
        <v>9.8000000000000007</v>
      </c>
      <c r="J121" s="135">
        <v>0</v>
      </c>
      <c r="K121" s="135">
        <v>0</v>
      </c>
      <c r="L121" s="135">
        <v>40</v>
      </c>
      <c r="M121" s="135">
        <v>0</v>
      </c>
      <c r="N121" s="135">
        <v>0</v>
      </c>
    </row>
    <row r="122" spans="1:16" x14ac:dyDescent="0.3">
      <c r="A122" s="135" t="s">
        <v>145</v>
      </c>
      <c r="B122" s="135" t="s">
        <v>394</v>
      </c>
      <c r="C122" s="135" t="s">
        <v>7</v>
      </c>
      <c r="D122" s="135" t="s">
        <v>1899</v>
      </c>
      <c r="E122" s="135" t="s">
        <v>1726</v>
      </c>
      <c r="F122" s="135">
        <v>5000</v>
      </c>
      <c r="G122" s="135">
        <v>9.6999999999999993</v>
      </c>
      <c r="H122" s="135">
        <v>20.5</v>
      </c>
      <c r="I122" s="135">
        <v>4</v>
      </c>
      <c r="J122" s="135">
        <v>13.28</v>
      </c>
      <c r="K122" s="135">
        <v>13.28</v>
      </c>
      <c r="L122" s="135">
        <v>40</v>
      </c>
      <c r="M122" s="135">
        <v>64</v>
      </c>
      <c r="N122" s="135">
        <v>2.7</v>
      </c>
      <c r="O122" s="135">
        <v>28.1</v>
      </c>
      <c r="P122" s="135">
        <v>5.6</v>
      </c>
    </row>
    <row r="123" spans="1:16" x14ac:dyDescent="0.3">
      <c r="A123" s="135" t="s">
        <v>446</v>
      </c>
      <c r="B123" s="135" t="s">
        <v>405</v>
      </c>
      <c r="C123" s="135" t="s">
        <v>7</v>
      </c>
      <c r="D123" s="135" t="s">
        <v>1899</v>
      </c>
      <c r="E123" s="135" t="s">
        <v>1732</v>
      </c>
      <c r="F123" s="135">
        <v>5000</v>
      </c>
      <c r="G123" s="135">
        <v>0</v>
      </c>
      <c r="H123" s="135">
        <v>0</v>
      </c>
      <c r="J123" s="135">
        <v>0</v>
      </c>
      <c r="K123" s="135">
        <v>0</v>
      </c>
      <c r="L123" s="135">
        <v>40</v>
      </c>
      <c r="M123" s="135">
        <v>0</v>
      </c>
      <c r="N123" s="135">
        <v>0</v>
      </c>
      <c r="O123" s="135">
        <v>5.4</v>
      </c>
      <c r="P123" s="135">
        <v>1.1000000000000001</v>
      </c>
    </row>
    <row r="124" spans="1:16" x14ac:dyDescent="0.3">
      <c r="A124" s="135" t="s">
        <v>77</v>
      </c>
      <c r="B124" s="135" t="s">
        <v>405</v>
      </c>
      <c r="C124" s="135" t="s">
        <v>16</v>
      </c>
      <c r="D124" s="135" t="s">
        <v>2532</v>
      </c>
      <c r="E124" s="135" t="s">
        <v>1710</v>
      </c>
      <c r="F124" s="135">
        <v>5000</v>
      </c>
      <c r="G124" s="135">
        <v>0</v>
      </c>
      <c r="H124" s="135">
        <v>0</v>
      </c>
      <c r="I124" s="135">
        <v>-0.1</v>
      </c>
      <c r="J124" s="135">
        <v>0</v>
      </c>
      <c r="K124" s="135">
        <v>0</v>
      </c>
      <c r="L124" s="135">
        <v>40</v>
      </c>
      <c r="M124" s="135">
        <v>0</v>
      </c>
      <c r="N124" s="135">
        <v>0</v>
      </c>
    </row>
    <row r="125" spans="1:16" x14ac:dyDescent="0.3">
      <c r="A125" s="135" t="s">
        <v>87</v>
      </c>
      <c r="B125" s="135" t="s">
        <v>394</v>
      </c>
      <c r="C125" s="135" t="s">
        <v>16</v>
      </c>
      <c r="D125" s="135" t="s">
        <v>2532</v>
      </c>
      <c r="E125" s="135" t="s">
        <v>1735</v>
      </c>
      <c r="F125" s="135">
        <v>5000</v>
      </c>
      <c r="G125" s="135">
        <v>5</v>
      </c>
      <c r="H125" s="135">
        <v>25.7</v>
      </c>
      <c r="I125" s="135">
        <v>12.3</v>
      </c>
      <c r="J125" s="135">
        <v>11.94</v>
      </c>
      <c r="K125" s="135">
        <v>11.94</v>
      </c>
      <c r="L125" s="135">
        <v>40</v>
      </c>
      <c r="M125" s="135">
        <v>49</v>
      </c>
      <c r="N125" s="135">
        <v>2.4</v>
      </c>
      <c r="O125" s="135">
        <v>15.3</v>
      </c>
      <c r="P125" s="135">
        <v>3.1</v>
      </c>
    </row>
    <row r="126" spans="1:16" x14ac:dyDescent="0.3">
      <c r="A126" s="135" t="s">
        <v>58</v>
      </c>
      <c r="B126" s="135" t="s">
        <v>405</v>
      </c>
      <c r="C126" s="135" t="s">
        <v>398</v>
      </c>
      <c r="D126" s="135" t="s">
        <v>2546</v>
      </c>
      <c r="E126" s="135" t="s">
        <v>1728</v>
      </c>
      <c r="F126" s="135">
        <v>5000</v>
      </c>
      <c r="G126" s="135">
        <v>0</v>
      </c>
      <c r="H126" s="135">
        <v>16.2</v>
      </c>
      <c r="I126" s="135">
        <v>13.6</v>
      </c>
      <c r="J126" s="135">
        <v>0</v>
      </c>
      <c r="K126" s="135">
        <v>0</v>
      </c>
      <c r="L126" s="135">
        <v>40</v>
      </c>
      <c r="M126" s="135">
        <v>0</v>
      </c>
      <c r="N126" s="135">
        <v>0</v>
      </c>
    </row>
    <row r="127" spans="1:16" x14ac:dyDescent="0.3">
      <c r="A127" s="135" t="s">
        <v>755</v>
      </c>
      <c r="B127" s="135" t="s">
        <v>405</v>
      </c>
      <c r="C127" s="135" t="s">
        <v>409</v>
      </c>
      <c r="D127" s="135" t="s">
        <v>2535</v>
      </c>
      <c r="E127" s="135" t="s">
        <v>1731</v>
      </c>
      <c r="F127" s="135">
        <v>5000</v>
      </c>
      <c r="G127" s="135">
        <v>0</v>
      </c>
      <c r="H127" s="135">
        <v>0</v>
      </c>
      <c r="J127" s="135">
        <v>0</v>
      </c>
      <c r="K127" s="135">
        <v>0</v>
      </c>
      <c r="L127" s="135">
        <v>40</v>
      </c>
      <c r="M127" s="135">
        <v>0</v>
      </c>
      <c r="N127" s="135">
        <v>0</v>
      </c>
    </row>
    <row r="128" spans="1:16" x14ac:dyDescent="0.3">
      <c r="A128" s="135" t="s">
        <v>75</v>
      </c>
      <c r="B128" s="135" t="s">
        <v>405</v>
      </c>
      <c r="C128" s="135" t="s">
        <v>409</v>
      </c>
      <c r="D128" s="135" t="s">
        <v>2535</v>
      </c>
      <c r="E128" s="135" t="s">
        <v>1731</v>
      </c>
      <c r="F128" s="135">
        <v>5000</v>
      </c>
      <c r="G128" s="135">
        <v>0</v>
      </c>
      <c r="H128" s="135">
        <v>0</v>
      </c>
      <c r="I128" s="135">
        <v>1.2</v>
      </c>
      <c r="J128" s="135">
        <v>0</v>
      </c>
      <c r="K128" s="135">
        <v>0</v>
      </c>
      <c r="L128" s="135">
        <v>40</v>
      </c>
      <c r="M128" s="135">
        <v>0</v>
      </c>
      <c r="N128" s="135">
        <v>0</v>
      </c>
    </row>
    <row r="129" spans="1:16" x14ac:dyDescent="0.3">
      <c r="A129" s="135" t="s">
        <v>447</v>
      </c>
      <c r="B129" s="135" t="s">
        <v>405</v>
      </c>
      <c r="C129" s="135" t="s">
        <v>561</v>
      </c>
      <c r="D129" s="135" t="s">
        <v>1906</v>
      </c>
      <c r="E129" s="135" t="s">
        <v>1715</v>
      </c>
      <c r="F129" s="135">
        <v>5000</v>
      </c>
      <c r="G129" s="135">
        <v>0</v>
      </c>
      <c r="H129" s="135">
        <v>0</v>
      </c>
      <c r="J129" s="135">
        <v>0</v>
      </c>
      <c r="K129" s="135">
        <v>0</v>
      </c>
      <c r="L129" s="135">
        <v>40</v>
      </c>
      <c r="M129" s="135">
        <v>0</v>
      </c>
      <c r="N129" s="135">
        <v>0</v>
      </c>
    </row>
    <row r="130" spans="1:16" x14ac:dyDescent="0.3">
      <c r="A130" s="135" t="s">
        <v>61</v>
      </c>
      <c r="B130" s="135" t="s">
        <v>405</v>
      </c>
      <c r="C130" s="135" t="s">
        <v>32</v>
      </c>
      <c r="D130" s="135" t="s">
        <v>2544</v>
      </c>
      <c r="E130" s="135" t="s">
        <v>1726</v>
      </c>
      <c r="F130" s="135">
        <v>5000</v>
      </c>
      <c r="G130" s="135">
        <v>0</v>
      </c>
      <c r="H130" s="135">
        <v>12.2</v>
      </c>
      <c r="I130" s="135">
        <v>11</v>
      </c>
      <c r="J130" s="135">
        <v>0</v>
      </c>
      <c r="K130" s="135">
        <v>0</v>
      </c>
      <c r="L130" s="135">
        <v>40</v>
      </c>
      <c r="M130" s="135">
        <v>0</v>
      </c>
      <c r="N130" s="135">
        <v>0</v>
      </c>
    </row>
    <row r="131" spans="1:16" x14ac:dyDescent="0.3">
      <c r="A131" s="135" t="s">
        <v>1547</v>
      </c>
      <c r="B131" s="135" t="s">
        <v>405</v>
      </c>
      <c r="C131" s="135" t="s">
        <v>398</v>
      </c>
      <c r="D131" s="135" t="s">
        <v>2546</v>
      </c>
      <c r="E131" s="135" t="s">
        <v>1728</v>
      </c>
      <c r="F131" s="135">
        <v>5000</v>
      </c>
      <c r="G131" s="135">
        <v>0</v>
      </c>
      <c r="H131" s="135">
        <v>0</v>
      </c>
      <c r="J131" s="135">
        <v>0</v>
      </c>
      <c r="K131" s="135">
        <v>0</v>
      </c>
      <c r="L131" s="135">
        <v>40</v>
      </c>
      <c r="M131" s="135">
        <v>0</v>
      </c>
      <c r="N131" s="135">
        <v>0</v>
      </c>
    </row>
    <row r="132" spans="1:16" x14ac:dyDescent="0.3">
      <c r="A132" s="135" t="s">
        <v>54</v>
      </c>
      <c r="B132" s="135" t="s">
        <v>405</v>
      </c>
      <c r="C132" s="135" t="s">
        <v>43</v>
      </c>
      <c r="D132" s="135" t="s">
        <v>1904</v>
      </c>
      <c r="E132" s="135" t="s">
        <v>1706</v>
      </c>
      <c r="F132" s="135">
        <v>5000</v>
      </c>
      <c r="G132" s="135">
        <v>0</v>
      </c>
      <c r="H132" s="135">
        <v>11</v>
      </c>
      <c r="I132" s="135">
        <v>11.6</v>
      </c>
      <c r="J132" s="135">
        <v>0</v>
      </c>
      <c r="K132" s="135">
        <v>0</v>
      </c>
      <c r="L132" s="135">
        <v>40</v>
      </c>
      <c r="M132" s="135">
        <v>0</v>
      </c>
      <c r="N132" s="135">
        <v>0</v>
      </c>
    </row>
    <row r="133" spans="1:16" x14ac:dyDescent="0.3">
      <c r="A133" s="135" t="s">
        <v>440</v>
      </c>
      <c r="B133" s="135" t="s">
        <v>405</v>
      </c>
      <c r="C133" s="135" t="s">
        <v>43</v>
      </c>
      <c r="D133" s="135" t="s">
        <v>1904</v>
      </c>
      <c r="E133" s="135" t="s">
        <v>1706</v>
      </c>
      <c r="F133" s="135">
        <v>5000</v>
      </c>
      <c r="G133" s="135">
        <v>0</v>
      </c>
      <c r="H133" s="135">
        <v>0</v>
      </c>
      <c r="J133" s="135">
        <v>0</v>
      </c>
      <c r="K133" s="135">
        <v>0</v>
      </c>
      <c r="L133" s="135">
        <v>40</v>
      </c>
      <c r="M133" s="135">
        <v>0</v>
      </c>
      <c r="N133" s="135">
        <v>0</v>
      </c>
    </row>
    <row r="134" spans="1:16" x14ac:dyDescent="0.3">
      <c r="A134" s="135" t="s">
        <v>449</v>
      </c>
      <c r="B134" s="135" t="s">
        <v>405</v>
      </c>
      <c r="C134" s="135" t="s">
        <v>402</v>
      </c>
      <c r="D134" s="135" t="s">
        <v>2538</v>
      </c>
      <c r="E134" s="135" t="s">
        <v>1722</v>
      </c>
      <c r="F134" s="135">
        <v>5000</v>
      </c>
      <c r="G134" s="135">
        <v>2.9</v>
      </c>
      <c r="H134" s="135">
        <v>17.399999999999999</v>
      </c>
      <c r="J134" s="135">
        <v>11.61</v>
      </c>
      <c r="K134" s="135">
        <v>11.61</v>
      </c>
      <c r="L134" s="135">
        <v>40</v>
      </c>
      <c r="M134" s="135">
        <v>0</v>
      </c>
      <c r="N134" s="135">
        <v>2.2999999999999998</v>
      </c>
      <c r="O134" s="135">
        <v>14.92</v>
      </c>
      <c r="P134" s="135">
        <v>3</v>
      </c>
    </row>
    <row r="135" spans="1:16" x14ac:dyDescent="0.3">
      <c r="A135" s="135" t="s">
        <v>320</v>
      </c>
      <c r="B135" s="135" t="s">
        <v>399</v>
      </c>
      <c r="C135" s="135" t="s">
        <v>30</v>
      </c>
      <c r="D135" s="135" t="s">
        <v>2543</v>
      </c>
      <c r="E135" s="135" t="s">
        <v>1725</v>
      </c>
      <c r="F135" s="135">
        <v>5000</v>
      </c>
      <c r="G135" s="135">
        <v>0</v>
      </c>
      <c r="H135" s="135">
        <v>14.6</v>
      </c>
      <c r="I135" s="135">
        <v>16.5</v>
      </c>
      <c r="J135" s="135">
        <v>0</v>
      </c>
      <c r="K135" s="135">
        <v>0</v>
      </c>
      <c r="L135" s="135">
        <v>40</v>
      </c>
      <c r="M135" s="135">
        <v>47</v>
      </c>
      <c r="N135" s="135">
        <v>0</v>
      </c>
    </row>
    <row r="136" spans="1:16" x14ac:dyDescent="0.3">
      <c r="A136" s="135" t="s">
        <v>47</v>
      </c>
      <c r="B136" s="135" t="s">
        <v>405</v>
      </c>
      <c r="C136" s="135" t="s">
        <v>398</v>
      </c>
      <c r="D136" s="135" t="s">
        <v>2546</v>
      </c>
      <c r="E136" s="135" t="s">
        <v>1728</v>
      </c>
      <c r="F136" s="135">
        <v>5000</v>
      </c>
      <c r="G136" s="135">
        <v>7</v>
      </c>
      <c r="H136" s="135">
        <v>22.4</v>
      </c>
      <c r="I136" s="135">
        <v>18</v>
      </c>
      <c r="J136" s="135">
        <v>12.15</v>
      </c>
      <c r="K136" s="135">
        <v>12.15</v>
      </c>
      <c r="L136" s="135">
        <v>40</v>
      </c>
      <c r="M136" s="135">
        <v>73</v>
      </c>
      <c r="N136" s="135">
        <v>2.4</v>
      </c>
      <c r="O136" s="135">
        <v>5.96</v>
      </c>
      <c r="P136" s="135">
        <v>1.2</v>
      </c>
    </row>
    <row r="137" spans="1:16" x14ac:dyDescent="0.3">
      <c r="A137" s="135" t="s">
        <v>437</v>
      </c>
      <c r="B137" s="135" t="s">
        <v>405</v>
      </c>
      <c r="C137" s="135" t="s">
        <v>401</v>
      </c>
      <c r="D137" s="135" t="s">
        <v>2537</v>
      </c>
      <c r="E137" s="135" t="s">
        <v>1717</v>
      </c>
      <c r="F137" s="135">
        <v>5000</v>
      </c>
      <c r="G137" s="135">
        <v>0</v>
      </c>
      <c r="H137" s="135">
        <v>9.4</v>
      </c>
      <c r="J137" s="135">
        <v>0</v>
      </c>
      <c r="K137" s="135">
        <v>0</v>
      </c>
      <c r="L137" s="135">
        <v>40</v>
      </c>
      <c r="M137" s="135">
        <v>0</v>
      </c>
      <c r="N137" s="135">
        <v>0</v>
      </c>
    </row>
    <row r="138" spans="1:16" x14ac:dyDescent="0.3">
      <c r="A138" s="135" t="s">
        <v>448</v>
      </c>
      <c r="B138" s="135" t="s">
        <v>405</v>
      </c>
      <c r="C138" s="135" t="s">
        <v>4</v>
      </c>
      <c r="D138" s="135" t="s">
        <v>2530</v>
      </c>
      <c r="E138" s="135" t="s">
        <v>1705</v>
      </c>
      <c r="F138" s="135">
        <v>5000</v>
      </c>
      <c r="G138" s="135">
        <v>0</v>
      </c>
      <c r="H138" s="135">
        <v>0</v>
      </c>
      <c r="J138" s="135">
        <v>0</v>
      </c>
      <c r="K138" s="135">
        <v>0</v>
      </c>
      <c r="L138" s="135">
        <v>40</v>
      </c>
      <c r="M138" s="135">
        <v>0</v>
      </c>
      <c r="N138" s="135">
        <v>0</v>
      </c>
    </row>
    <row r="139" spans="1:16" x14ac:dyDescent="0.3">
      <c r="A139" s="135" t="s">
        <v>55</v>
      </c>
      <c r="B139" s="135" t="s">
        <v>405</v>
      </c>
      <c r="C139" s="135" t="s">
        <v>4</v>
      </c>
      <c r="D139" s="135" t="s">
        <v>2530</v>
      </c>
      <c r="E139" s="135" t="s">
        <v>1705</v>
      </c>
      <c r="F139" s="135">
        <v>5000</v>
      </c>
      <c r="G139" s="135">
        <v>0</v>
      </c>
      <c r="H139" s="135">
        <v>9.6</v>
      </c>
      <c r="I139" s="135">
        <v>5.8</v>
      </c>
      <c r="J139" s="135">
        <v>0</v>
      </c>
      <c r="K139" s="135">
        <v>0</v>
      </c>
      <c r="L139" s="135">
        <v>40</v>
      </c>
      <c r="M139" s="135">
        <v>0</v>
      </c>
      <c r="N139" s="135">
        <v>0</v>
      </c>
    </row>
    <row r="140" spans="1:16" x14ac:dyDescent="0.3">
      <c r="A140" s="135" t="s">
        <v>64</v>
      </c>
      <c r="B140" s="135" t="s">
        <v>405</v>
      </c>
      <c r="C140" s="135" t="s">
        <v>30</v>
      </c>
      <c r="D140" s="135" t="s">
        <v>2543</v>
      </c>
      <c r="E140" s="135" t="s">
        <v>1720</v>
      </c>
      <c r="F140" s="135">
        <v>5000</v>
      </c>
      <c r="G140" s="135">
        <v>0</v>
      </c>
      <c r="H140" s="135">
        <v>12.4</v>
      </c>
      <c r="I140" s="135">
        <v>9.1999999999999993</v>
      </c>
      <c r="J140" s="135">
        <v>0</v>
      </c>
      <c r="K140" s="135">
        <v>0</v>
      </c>
      <c r="L140" s="135">
        <v>40</v>
      </c>
      <c r="M140" s="135">
        <v>0</v>
      </c>
      <c r="N140" s="135">
        <v>0</v>
      </c>
    </row>
    <row r="141" spans="1:16" x14ac:dyDescent="0.3">
      <c r="A141" s="135" t="s">
        <v>452</v>
      </c>
      <c r="B141" s="135" t="s">
        <v>405</v>
      </c>
      <c r="C141" s="135" t="s">
        <v>10</v>
      </c>
      <c r="D141" s="135" t="s">
        <v>2542</v>
      </c>
      <c r="E141" s="135" t="s">
        <v>1735</v>
      </c>
      <c r="F141" s="135">
        <v>5000</v>
      </c>
      <c r="G141" s="135">
        <v>0</v>
      </c>
      <c r="H141" s="135">
        <v>0</v>
      </c>
      <c r="J141" s="135">
        <v>0</v>
      </c>
      <c r="K141" s="135">
        <v>0</v>
      </c>
      <c r="L141" s="135">
        <v>40</v>
      </c>
      <c r="M141" s="135">
        <v>0</v>
      </c>
      <c r="N141" s="135">
        <v>0</v>
      </c>
    </row>
    <row r="142" spans="1:16" x14ac:dyDescent="0.3">
      <c r="A142" s="135" t="s">
        <v>62</v>
      </c>
      <c r="B142" s="135" t="s">
        <v>405</v>
      </c>
      <c r="C142" s="135" t="s">
        <v>10</v>
      </c>
      <c r="D142" s="135" t="s">
        <v>2542</v>
      </c>
      <c r="E142" s="135" t="s">
        <v>1735</v>
      </c>
      <c r="F142" s="135">
        <v>5000</v>
      </c>
      <c r="G142" s="135">
        <v>0</v>
      </c>
      <c r="H142" s="135">
        <v>15.8</v>
      </c>
      <c r="I142" s="135">
        <v>10.7</v>
      </c>
      <c r="J142" s="135">
        <v>0</v>
      </c>
      <c r="K142" s="135">
        <v>0</v>
      </c>
      <c r="L142" s="135">
        <v>40</v>
      </c>
      <c r="M142" s="135">
        <v>0</v>
      </c>
      <c r="N142" s="135">
        <v>0</v>
      </c>
    </row>
    <row r="143" spans="1:16" x14ac:dyDescent="0.3">
      <c r="A143" s="135" t="s">
        <v>45</v>
      </c>
      <c r="B143" s="135" t="s">
        <v>405</v>
      </c>
      <c r="C143" s="135" t="s">
        <v>46</v>
      </c>
      <c r="D143" s="135" t="s">
        <v>2528</v>
      </c>
      <c r="E143" s="135" t="s">
        <v>1320</v>
      </c>
      <c r="F143" s="135">
        <v>5000</v>
      </c>
      <c r="G143" s="135">
        <v>9.1</v>
      </c>
      <c r="H143" s="135">
        <v>29.5</v>
      </c>
      <c r="I143" s="135">
        <v>16.2</v>
      </c>
      <c r="J143" s="135">
        <v>15.9</v>
      </c>
      <c r="K143" s="135">
        <v>15.9</v>
      </c>
      <c r="L143" s="135">
        <v>40</v>
      </c>
      <c r="M143" s="135">
        <v>0</v>
      </c>
      <c r="N143" s="135">
        <v>3.2</v>
      </c>
      <c r="O143" s="135">
        <v>22.38</v>
      </c>
      <c r="P143" s="135">
        <v>4.5</v>
      </c>
    </row>
    <row r="144" spans="1:16" x14ac:dyDescent="0.3">
      <c r="A144" s="135" t="s">
        <v>1549</v>
      </c>
      <c r="B144" s="135" t="s">
        <v>405</v>
      </c>
      <c r="C144" s="135" t="s">
        <v>18</v>
      </c>
      <c r="D144" s="135" t="s">
        <v>1898</v>
      </c>
      <c r="E144" s="135" t="s">
        <v>1712</v>
      </c>
      <c r="F144" s="135">
        <v>5000</v>
      </c>
      <c r="G144" s="135">
        <v>0</v>
      </c>
      <c r="H144" s="135">
        <v>0</v>
      </c>
      <c r="J144" s="135">
        <v>0</v>
      </c>
      <c r="K144" s="135">
        <v>0</v>
      </c>
      <c r="L144" s="135">
        <v>40</v>
      </c>
      <c r="M144" s="135">
        <v>0</v>
      </c>
      <c r="N144" s="135">
        <v>0</v>
      </c>
    </row>
    <row r="145" spans="1:16" x14ac:dyDescent="0.3">
      <c r="A145" s="135" t="s">
        <v>68</v>
      </c>
      <c r="B145" s="135" t="s">
        <v>405</v>
      </c>
      <c r="C145" s="135" t="s">
        <v>20</v>
      </c>
      <c r="D145" s="135" t="s">
        <v>2523</v>
      </c>
      <c r="E145" s="135" t="s">
        <v>1704</v>
      </c>
      <c r="F145" s="135">
        <v>5000</v>
      </c>
      <c r="G145" s="135">
        <v>0</v>
      </c>
      <c r="H145" s="135">
        <v>10.6</v>
      </c>
      <c r="I145" s="135">
        <v>3.9</v>
      </c>
      <c r="J145" s="135">
        <v>0</v>
      </c>
      <c r="K145" s="135">
        <v>0</v>
      </c>
      <c r="L145" s="135">
        <v>40</v>
      </c>
      <c r="M145" s="135">
        <v>0</v>
      </c>
      <c r="N145" s="135">
        <v>0</v>
      </c>
    </row>
    <row r="146" spans="1:16" x14ac:dyDescent="0.3">
      <c r="A146" s="135" t="s">
        <v>67</v>
      </c>
      <c r="B146" s="135" t="s">
        <v>405</v>
      </c>
      <c r="C146" s="135" t="s">
        <v>20</v>
      </c>
      <c r="D146" s="135" t="s">
        <v>2523</v>
      </c>
      <c r="E146" s="135" t="s">
        <v>1704</v>
      </c>
      <c r="F146" s="135">
        <v>5000</v>
      </c>
      <c r="G146" s="135">
        <v>0</v>
      </c>
      <c r="H146" s="135">
        <v>14.2</v>
      </c>
      <c r="I146" s="135">
        <v>7.3</v>
      </c>
      <c r="J146" s="135">
        <v>0</v>
      </c>
      <c r="K146" s="135">
        <v>0</v>
      </c>
      <c r="L146" s="135">
        <v>40</v>
      </c>
      <c r="M146" s="135">
        <v>0</v>
      </c>
      <c r="N146" s="135">
        <v>0</v>
      </c>
    </row>
    <row r="147" spans="1:16" x14ac:dyDescent="0.3">
      <c r="A147" s="135" t="s">
        <v>445</v>
      </c>
      <c r="B147" s="135" t="s">
        <v>405</v>
      </c>
      <c r="C147" s="135" t="s">
        <v>14</v>
      </c>
      <c r="D147" s="135" t="s">
        <v>2545</v>
      </c>
      <c r="E147" s="135" t="s">
        <v>1716</v>
      </c>
      <c r="F147" s="135">
        <v>5000</v>
      </c>
      <c r="G147" s="135">
        <v>3.1</v>
      </c>
      <c r="H147" s="135">
        <v>18.399999999999999</v>
      </c>
      <c r="J147" s="135">
        <v>12.28</v>
      </c>
      <c r="K147" s="135">
        <v>12.28</v>
      </c>
      <c r="L147" s="135">
        <v>40</v>
      </c>
      <c r="M147" s="135">
        <v>0</v>
      </c>
      <c r="N147" s="135">
        <v>2.5</v>
      </c>
      <c r="O147" s="135">
        <v>10.66</v>
      </c>
      <c r="P147" s="135">
        <v>2.1</v>
      </c>
    </row>
    <row r="148" spans="1:16" x14ac:dyDescent="0.3">
      <c r="A148" s="135" t="s">
        <v>69</v>
      </c>
      <c r="B148" s="135" t="s">
        <v>405</v>
      </c>
      <c r="C148" s="135" t="s">
        <v>52</v>
      </c>
      <c r="D148" s="135" t="s">
        <v>2526</v>
      </c>
      <c r="E148" s="135" t="s">
        <v>1708</v>
      </c>
      <c r="F148" s="135">
        <v>5000</v>
      </c>
      <c r="G148" s="135">
        <v>0</v>
      </c>
      <c r="H148" s="135">
        <v>12</v>
      </c>
      <c r="I148" s="135">
        <v>12.6</v>
      </c>
      <c r="J148" s="135">
        <v>0</v>
      </c>
      <c r="K148" s="135">
        <v>0</v>
      </c>
      <c r="L148" s="135">
        <v>40</v>
      </c>
      <c r="M148" s="135">
        <v>0</v>
      </c>
      <c r="N148" s="135">
        <v>0</v>
      </c>
    </row>
    <row r="149" spans="1:16" x14ac:dyDescent="0.3">
      <c r="A149" s="135" t="s">
        <v>53</v>
      </c>
      <c r="B149" s="135" t="s">
        <v>405</v>
      </c>
      <c r="C149" s="135" t="s">
        <v>50</v>
      </c>
      <c r="D149" s="135" t="s">
        <v>2524</v>
      </c>
      <c r="E149" s="135" t="s">
        <v>1713</v>
      </c>
      <c r="F149" s="135">
        <v>5000</v>
      </c>
      <c r="G149" s="135">
        <v>0</v>
      </c>
      <c r="H149" s="135">
        <v>17.2</v>
      </c>
      <c r="I149" s="135">
        <v>16.8</v>
      </c>
      <c r="J149" s="135">
        <v>0</v>
      </c>
      <c r="K149" s="135">
        <v>0</v>
      </c>
      <c r="L149" s="135">
        <v>40</v>
      </c>
      <c r="M149" s="135">
        <v>0</v>
      </c>
      <c r="N149" s="135">
        <v>0</v>
      </c>
    </row>
    <row r="150" spans="1:16" x14ac:dyDescent="0.3">
      <c r="A150" s="135" t="s">
        <v>74</v>
      </c>
      <c r="B150" s="135" t="s">
        <v>405</v>
      </c>
      <c r="C150" s="135" t="s">
        <v>404</v>
      </c>
      <c r="D150" s="135" t="s">
        <v>1901</v>
      </c>
      <c r="E150" s="135" t="s">
        <v>1730</v>
      </c>
      <c r="F150" s="135">
        <v>5000</v>
      </c>
      <c r="G150" s="135">
        <v>0</v>
      </c>
      <c r="H150" s="135">
        <v>0</v>
      </c>
      <c r="I150" s="135">
        <v>7.7</v>
      </c>
      <c r="J150" s="135">
        <v>0</v>
      </c>
      <c r="K150" s="135">
        <v>0</v>
      </c>
      <c r="L150" s="135">
        <v>40</v>
      </c>
      <c r="M150" s="135">
        <v>0</v>
      </c>
      <c r="N150" s="135">
        <v>0</v>
      </c>
    </row>
    <row r="151" spans="1:16" x14ac:dyDescent="0.3">
      <c r="A151" s="135" t="s">
        <v>1241</v>
      </c>
      <c r="B151" s="135" t="s">
        <v>405</v>
      </c>
      <c r="C151" s="135" t="s">
        <v>18</v>
      </c>
      <c r="D151" s="135" t="s">
        <v>1898</v>
      </c>
      <c r="E151" s="135" t="s">
        <v>1712</v>
      </c>
      <c r="F151" s="135">
        <v>5000</v>
      </c>
      <c r="G151" s="135">
        <v>0</v>
      </c>
      <c r="H151" s="135">
        <v>18.2</v>
      </c>
      <c r="I151" s="135">
        <v>8.8000000000000007</v>
      </c>
      <c r="J151" s="135">
        <v>0</v>
      </c>
      <c r="K151" s="135">
        <v>0</v>
      </c>
      <c r="L151" s="135">
        <v>40</v>
      </c>
      <c r="M151" s="135">
        <v>0</v>
      </c>
      <c r="N151" s="135">
        <v>0</v>
      </c>
    </row>
    <row r="152" spans="1:16" x14ac:dyDescent="0.3">
      <c r="A152" s="135" t="s">
        <v>434</v>
      </c>
      <c r="B152" s="135" t="s">
        <v>405</v>
      </c>
      <c r="C152" s="135" t="s">
        <v>561</v>
      </c>
      <c r="D152" s="135" t="s">
        <v>1906</v>
      </c>
      <c r="E152" s="135" t="s">
        <v>1715</v>
      </c>
      <c r="F152" s="135">
        <v>5000</v>
      </c>
      <c r="G152" s="135">
        <v>0</v>
      </c>
      <c r="H152" s="135">
        <v>14.2</v>
      </c>
      <c r="J152" s="135">
        <v>0</v>
      </c>
      <c r="K152" s="135">
        <v>0</v>
      </c>
      <c r="L152" s="135">
        <v>40</v>
      </c>
      <c r="M152" s="135">
        <v>0</v>
      </c>
      <c r="N152" s="135">
        <v>0</v>
      </c>
    </row>
    <row r="153" spans="1:16" x14ac:dyDescent="0.3">
      <c r="A153" s="135" t="s">
        <v>435</v>
      </c>
      <c r="B153" s="135" t="s">
        <v>405</v>
      </c>
      <c r="C153" s="135" t="s">
        <v>37</v>
      </c>
      <c r="D153" s="135" t="s">
        <v>2525</v>
      </c>
      <c r="E153" s="135" t="s">
        <v>1729</v>
      </c>
      <c r="F153" s="135">
        <v>5000</v>
      </c>
      <c r="G153" s="135">
        <v>0</v>
      </c>
      <c r="H153" s="135">
        <v>0</v>
      </c>
      <c r="J153" s="135">
        <v>0</v>
      </c>
      <c r="K153" s="135">
        <v>0</v>
      </c>
      <c r="L153" s="135">
        <v>40</v>
      </c>
      <c r="M153" s="135">
        <v>0</v>
      </c>
      <c r="N153" s="135">
        <v>0</v>
      </c>
    </row>
    <row r="154" spans="1:16" x14ac:dyDescent="0.3">
      <c r="A154" s="135" t="s">
        <v>79</v>
      </c>
      <c r="B154" s="135" t="s">
        <v>405</v>
      </c>
      <c r="C154" s="135" t="s">
        <v>57</v>
      </c>
      <c r="D154" s="135" t="s">
        <v>2541</v>
      </c>
      <c r="E154" s="135" t="s">
        <v>1718</v>
      </c>
      <c r="F154" s="135">
        <v>5000</v>
      </c>
      <c r="G154" s="135">
        <v>0</v>
      </c>
      <c r="H154" s="135">
        <v>0.8</v>
      </c>
      <c r="I154" s="135">
        <v>0.4</v>
      </c>
      <c r="J154" s="135">
        <v>0</v>
      </c>
      <c r="K154" s="135">
        <v>0</v>
      </c>
      <c r="L154" s="135">
        <v>40</v>
      </c>
      <c r="M154" s="135">
        <v>0</v>
      </c>
      <c r="N154" s="135">
        <v>0</v>
      </c>
    </row>
    <row r="155" spans="1:16" x14ac:dyDescent="0.3">
      <c r="A155" s="135" t="s">
        <v>114</v>
      </c>
      <c r="B155" s="135" t="s">
        <v>394</v>
      </c>
      <c r="C155" s="135" t="s">
        <v>401</v>
      </c>
      <c r="D155" s="135" t="s">
        <v>2537</v>
      </c>
      <c r="E155" s="135" t="s">
        <v>1732</v>
      </c>
      <c r="F155" s="135">
        <v>4900</v>
      </c>
      <c r="G155" s="135">
        <v>8.8000000000000007</v>
      </c>
      <c r="H155" s="135">
        <v>22.9</v>
      </c>
      <c r="I155" s="135">
        <v>11.4</v>
      </c>
      <c r="J155" s="135">
        <v>13.49</v>
      </c>
      <c r="K155" s="135">
        <v>13.49</v>
      </c>
      <c r="L155" s="135">
        <v>40</v>
      </c>
      <c r="M155" s="135">
        <v>51</v>
      </c>
      <c r="N155" s="135">
        <v>2.8</v>
      </c>
      <c r="O155" s="135">
        <v>24.4</v>
      </c>
      <c r="P155" s="135">
        <v>5</v>
      </c>
    </row>
    <row r="156" spans="1:16" x14ac:dyDescent="0.3">
      <c r="A156" s="135" t="s">
        <v>129</v>
      </c>
      <c r="B156" s="135" t="s">
        <v>394</v>
      </c>
      <c r="C156" s="135" t="s">
        <v>26</v>
      </c>
      <c r="D156" s="135" t="s">
        <v>2539</v>
      </c>
      <c r="E156" s="135" t="s">
        <v>1712</v>
      </c>
      <c r="F156" s="135">
        <v>4900</v>
      </c>
      <c r="G156" s="135">
        <v>9.5</v>
      </c>
      <c r="H156" s="135">
        <v>27.5</v>
      </c>
      <c r="I156" s="135">
        <v>11.3</v>
      </c>
      <c r="J156" s="135">
        <v>15.53</v>
      </c>
      <c r="K156" s="135">
        <v>15.53</v>
      </c>
      <c r="L156" s="135">
        <v>40</v>
      </c>
      <c r="M156" s="135">
        <v>69</v>
      </c>
      <c r="N156" s="135">
        <v>3.2</v>
      </c>
      <c r="O156" s="135">
        <v>11.8</v>
      </c>
      <c r="P156" s="135">
        <v>2.4</v>
      </c>
    </row>
    <row r="157" spans="1:16" x14ac:dyDescent="0.3">
      <c r="A157" s="135" t="s">
        <v>262</v>
      </c>
      <c r="B157" s="135" t="s">
        <v>396</v>
      </c>
      <c r="C157" s="135" t="s">
        <v>57</v>
      </c>
      <c r="D157" s="135" t="s">
        <v>2541</v>
      </c>
      <c r="E157" s="135" t="s">
        <v>1735</v>
      </c>
      <c r="F157" s="135">
        <v>4900</v>
      </c>
      <c r="G157" s="135">
        <v>4.0999999999999996</v>
      </c>
      <c r="H157" s="135">
        <v>25.7</v>
      </c>
      <c r="I157" s="135">
        <v>12.1</v>
      </c>
      <c r="J157" s="135">
        <v>11.34</v>
      </c>
      <c r="K157" s="135">
        <v>11.34</v>
      </c>
      <c r="L157" s="135">
        <v>40</v>
      </c>
      <c r="M157" s="135">
        <v>67</v>
      </c>
      <c r="N157" s="135">
        <v>2.2999999999999998</v>
      </c>
      <c r="O157" s="135">
        <v>14.1</v>
      </c>
      <c r="P157" s="135">
        <v>2.9</v>
      </c>
    </row>
    <row r="158" spans="1:16" x14ac:dyDescent="0.3">
      <c r="A158" s="135" t="s">
        <v>269</v>
      </c>
      <c r="B158" s="135" t="s">
        <v>396</v>
      </c>
      <c r="C158" s="135" t="s">
        <v>34</v>
      </c>
      <c r="D158" s="135" t="s">
        <v>2534</v>
      </c>
      <c r="E158" s="135" t="s">
        <v>1725</v>
      </c>
      <c r="F158" s="135">
        <v>4800</v>
      </c>
      <c r="G158" s="135">
        <v>5.8</v>
      </c>
      <c r="H158" s="135">
        <v>15.1</v>
      </c>
      <c r="I158" s="135">
        <v>4.9000000000000004</v>
      </c>
      <c r="J158" s="135">
        <v>8.91</v>
      </c>
      <c r="K158" s="135">
        <v>8.91</v>
      </c>
      <c r="L158" s="135">
        <v>40</v>
      </c>
      <c r="M158" s="135">
        <v>82</v>
      </c>
      <c r="N158" s="135">
        <v>1.9</v>
      </c>
      <c r="O158" s="135">
        <v>7.7</v>
      </c>
      <c r="P158" s="135">
        <v>1.6</v>
      </c>
    </row>
    <row r="159" spans="1:16" x14ac:dyDescent="0.3">
      <c r="A159" s="135" t="s">
        <v>90</v>
      </c>
      <c r="B159" s="135" t="s">
        <v>394</v>
      </c>
      <c r="C159" s="135" t="s">
        <v>22</v>
      </c>
      <c r="D159" s="135" t="s">
        <v>2529</v>
      </c>
      <c r="E159" s="135" t="s">
        <v>1718</v>
      </c>
      <c r="F159" s="135">
        <v>4800</v>
      </c>
      <c r="G159" s="135">
        <v>0</v>
      </c>
      <c r="H159" s="135">
        <v>12.8</v>
      </c>
      <c r="I159" s="135">
        <v>13.1</v>
      </c>
      <c r="J159" s="135">
        <v>0</v>
      </c>
      <c r="K159" s="135">
        <v>0</v>
      </c>
      <c r="L159" s="135">
        <v>40</v>
      </c>
      <c r="M159" s="135">
        <v>0</v>
      </c>
      <c r="N159" s="135">
        <v>0</v>
      </c>
    </row>
    <row r="160" spans="1:16" x14ac:dyDescent="0.3">
      <c r="A160" s="135" t="s">
        <v>207</v>
      </c>
      <c r="B160" s="135" t="s">
        <v>396</v>
      </c>
      <c r="C160" s="135" t="s">
        <v>24</v>
      </c>
      <c r="D160" s="135" t="s">
        <v>1902</v>
      </c>
      <c r="E160" s="135" t="s">
        <v>1726</v>
      </c>
      <c r="F160" s="135">
        <v>4800</v>
      </c>
      <c r="G160" s="135">
        <v>3.8</v>
      </c>
      <c r="H160" s="135">
        <v>24.8</v>
      </c>
      <c r="I160" s="135">
        <v>14.3</v>
      </c>
      <c r="J160" s="135">
        <v>10.8</v>
      </c>
      <c r="K160" s="135">
        <v>10.8</v>
      </c>
      <c r="L160" s="135">
        <v>40</v>
      </c>
      <c r="M160" s="135">
        <v>0</v>
      </c>
      <c r="N160" s="135">
        <v>2.2999999999999998</v>
      </c>
      <c r="O160" s="135">
        <v>13</v>
      </c>
      <c r="P160" s="135">
        <v>2.7</v>
      </c>
    </row>
    <row r="161" spans="1:16" x14ac:dyDescent="0.3">
      <c r="A161" s="135" t="s">
        <v>463</v>
      </c>
      <c r="B161" s="135" t="s">
        <v>396</v>
      </c>
      <c r="C161" s="135" t="s">
        <v>43</v>
      </c>
      <c r="D161" s="135" t="s">
        <v>1904</v>
      </c>
      <c r="E161" s="135" t="s">
        <v>1732</v>
      </c>
      <c r="F161" s="135">
        <v>4800</v>
      </c>
      <c r="G161" s="135">
        <v>3.5</v>
      </c>
      <c r="H161" s="135">
        <v>21.2</v>
      </c>
      <c r="J161" s="135">
        <v>14.15</v>
      </c>
      <c r="K161" s="135">
        <v>14.15</v>
      </c>
      <c r="L161" s="135">
        <v>40</v>
      </c>
      <c r="M161" s="135">
        <v>0</v>
      </c>
      <c r="N161" s="135">
        <v>2.9</v>
      </c>
      <c r="O161" s="135">
        <v>6.1</v>
      </c>
      <c r="P161" s="135">
        <v>1.3</v>
      </c>
    </row>
    <row r="162" spans="1:16" x14ac:dyDescent="0.3">
      <c r="A162" s="135" t="s">
        <v>336</v>
      </c>
      <c r="B162" s="135" t="s">
        <v>399</v>
      </c>
      <c r="C162" s="135" t="s">
        <v>402</v>
      </c>
      <c r="D162" s="135" t="s">
        <v>2538</v>
      </c>
      <c r="E162" s="135" t="s">
        <v>1707</v>
      </c>
      <c r="F162" s="135">
        <v>4700</v>
      </c>
      <c r="G162" s="135">
        <v>0.7</v>
      </c>
      <c r="H162" s="135">
        <v>23.5</v>
      </c>
      <c r="I162" s="135">
        <v>10.4</v>
      </c>
      <c r="J162" s="135">
        <v>8.2799999999999994</v>
      </c>
      <c r="K162" s="135">
        <v>8.2799999999999994</v>
      </c>
      <c r="L162" s="135">
        <v>40</v>
      </c>
      <c r="M162" s="135">
        <v>49</v>
      </c>
      <c r="N162" s="135">
        <v>1.8</v>
      </c>
      <c r="O162" s="135">
        <v>3.6</v>
      </c>
      <c r="P162" s="135">
        <v>0.8</v>
      </c>
    </row>
    <row r="163" spans="1:16" x14ac:dyDescent="0.3">
      <c r="A163" s="135" t="s">
        <v>519</v>
      </c>
      <c r="B163" s="135" t="s">
        <v>396</v>
      </c>
      <c r="C163" s="135" t="s">
        <v>30</v>
      </c>
      <c r="D163" s="135" t="s">
        <v>2543</v>
      </c>
      <c r="E163" s="135" t="s">
        <v>1708</v>
      </c>
      <c r="F163" s="135">
        <v>4700</v>
      </c>
      <c r="G163" s="135">
        <v>3.3</v>
      </c>
      <c r="H163" s="135">
        <v>19.5</v>
      </c>
      <c r="J163" s="135">
        <v>13.02</v>
      </c>
      <c r="K163" s="135">
        <v>13.02</v>
      </c>
      <c r="L163" s="135">
        <v>40</v>
      </c>
      <c r="M163" s="135">
        <v>0</v>
      </c>
      <c r="N163" s="135">
        <v>2.8</v>
      </c>
      <c r="O163" s="135">
        <v>7.8</v>
      </c>
      <c r="P163" s="135">
        <v>1.7</v>
      </c>
    </row>
    <row r="164" spans="1:16" x14ac:dyDescent="0.3">
      <c r="A164" s="135" t="s">
        <v>456</v>
      </c>
      <c r="B164" s="135" t="s">
        <v>396</v>
      </c>
      <c r="C164" s="135" t="s">
        <v>37</v>
      </c>
      <c r="D164" s="135" t="s">
        <v>2525</v>
      </c>
      <c r="E164" s="135" t="s">
        <v>1727</v>
      </c>
      <c r="F164" s="135">
        <v>4700</v>
      </c>
      <c r="G164" s="135">
        <v>2.4</v>
      </c>
      <c r="H164" s="135">
        <v>26.7</v>
      </c>
      <c r="J164" s="135">
        <v>10.5</v>
      </c>
      <c r="K164" s="135">
        <v>10.5</v>
      </c>
      <c r="L164" s="135">
        <v>40</v>
      </c>
      <c r="M164" s="135">
        <v>37</v>
      </c>
      <c r="N164" s="135">
        <v>2.2000000000000002</v>
      </c>
      <c r="O164" s="135">
        <v>10</v>
      </c>
      <c r="P164" s="135">
        <v>2.1</v>
      </c>
    </row>
    <row r="165" spans="1:16" x14ac:dyDescent="0.3">
      <c r="A165" s="135" t="s">
        <v>95</v>
      </c>
      <c r="B165" s="135" t="s">
        <v>394</v>
      </c>
      <c r="C165" s="135" t="s">
        <v>14</v>
      </c>
      <c r="D165" s="135" t="s">
        <v>2545</v>
      </c>
      <c r="E165" s="135" t="s">
        <v>1719</v>
      </c>
      <c r="F165" s="135">
        <v>4700</v>
      </c>
      <c r="G165" s="135">
        <v>4.7</v>
      </c>
      <c r="H165" s="135">
        <v>24.8</v>
      </c>
      <c r="I165" s="135">
        <v>8.8000000000000007</v>
      </c>
      <c r="J165" s="135">
        <v>11.37</v>
      </c>
      <c r="K165" s="135">
        <v>11.37</v>
      </c>
      <c r="L165" s="135">
        <v>40</v>
      </c>
      <c r="M165" s="135">
        <v>67</v>
      </c>
      <c r="N165" s="135">
        <v>2.4</v>
      </c>
      <c r="O165" s="135">
        <v>7.9</v>
      </c>
      <c r="P165" s="135">
        <v>1.7</v>
      </c>
    </row>
    <row r="166" spans="1:16" x14ac:dyDescent="0.3">
      <c r="A166" s="135" t="s">
        <v>323</v>
      </c>
      <c r="B166" s="135" t="s">
        <v>399</v>
      </c>
      <c r="C166" s="135" t="s">
        <v>397</v>
      </c>
      <c r="D166" s="135" t="s">
        <v>1903</v>
      </c>
      <c r="E166" s="135" t="s">
        <v>1706</v>
      </c>
      <c r="F166" s="135">
        <v>4700</v>
      </c>
      <c r="G166" s="135">
        <v>5.7</v>
      </c>
      <c r="H166" s="135">
        <v>24.3</v>
      </c>
      <c r="I166" s="135">
        <v>12.2</v>
      </c>
      <c r="J166" s="135">
        <v>11.86</v>
      </c>
      <c r="K166" s="135">
        <v>11.86</v>
      </c>
      <c r="L166" s="135">
        <v>40</v>
      </c>
      <c r="M166" s="135">
        <v>43</v>
      </c>
      <c r="N166" s="135">
        <v>2.5</v>
      </c>
      <c r="O166" s="135">
        <v>20.9</v>
      </c>
      <c r="P166" s="135">
        <v>4.4000000000000004</v>
      </c>
    </row>
    <row r="167" spans="1:16" x14ac:dyDescent="0.3">
      <c r="A167" s="135" t="s">
        <v>229</v>
      </c>
      <c r="B167" s="135" t="s">
        <v>396</v>
      </c>
      <c r="C167" s="135" t="s">
        <v>20</v>
      </c>
      <c r="D167" s="135" t="s">
        <v>2523</v>
      </c>
      <c r="E167" s="135" t="s">
        <v>1713</v>
      </c>
      <c r="F167" s="135">
        <v>4600</v>
      </c>
      <c r="G167" s="135">
        <v>1</v>
      </c>
      <c r="H167" s="135">
        <v>22.3</v>
      </c>
      <c r="I167" s="135">
        <v>9.6</v>
      </c>
      <c r="J167" s="135">
        <v>8.06</v>
      </c>
      <c r="K167" s="135">
        <v>8.06</v>
      </c>
      <c r="L167" s="135">
        <v>40</v>
      </c>
      <c r="M167" s="135">
        <v>0</v>
      </c>
      <c r="N167" s="135">
        <v>1.8</v>
      </c>
      <c r="O167" s="135">
        <v>1.2</v>
      </c>
      <c r="P167" s="135">
        <v>0.3</v>
      </c>
    </row>
    <row r="168" spans="1:16" x14ac:dyDescent="0.3">
      <c r="A168" s="135" t="s">
        <v>326</v>
      </c>
      <c r="B168" s="135" t="s">
        <v>399</v>
      </c>
      <c r="C168" s="135" t="s">
        <v>561</v>
      </c>
      <c r="D168" s="135" t="s">
        <v>1906</v>
      </c>
      <c r="E168" s="135" t="s">
        <v>1736</v>
      </c>
      <c r="F168" s="135">
        <v>4600</v>
      </c>
      <c r="G168" s="135">
        <v>3.1</v>
      </c>
      <c r="H168" s="135">
        <v>31.6</v>
      </c>
      <c r="I168" s="135">
        <v>10.4</v>
      </c>
      <c r="J168" s="135">
        <v>12.62</v>
      </c>
      <c r="K168" s="135">
        <v>12.62</v>
      </c>
      <c r="L168" s="135">
        <v>40</v>
      </c>
      <c r="M168" s="135">
        <v>34</v>
      </c>
      <c r="N168" s="135">
        <v>2.7</v>
      </c>
      <c r="O168" s="135">
        <v>3.3</v>
      </c>
      <c r="P168" s="135">
        <v>0.7</v>
      </c>
    </row>
    <row r="169" spans="1:16" x14ac:dyDescent="0.3">
      <c r="A169" s="135" t="s">
        <v>325</v>
      </c>
      <c r="B169" s="135" t="s">
        <v>399</v>
      </c>
      <c r="C169" s="135" t="s">
        <v>407</v>
      </c>
      <c r="D169" s="135" t="s">
        <v>2540</v>
      </c>
      <c r="E169" s="135" t="s">
        <v>1735</v>
      </c>
      <c r="F169" s="135">
        <v>4600</v>
      </c>
      <c r="G169" s="135">
        <v>0</v>
      </c>
      <c r="H169" s="135">
        <v>16.8</v>
      </c>
      <c r="I169" s="135">
        <v>13.5</v>
      </c>
      <c r="J169" s="135">
        <v>0</v>
      </c>
      <c r="K169" s="135">
        <v>0</v>
      </c>
      <c r="L169" s="135">
        <v>40</v>
      </c>
      <c r="M169" s="135">
        <v>0</v>
      </c>
      <c r="N169" s="135">
        <v>0</v>
      </c>
    </row>
    <row r="170" spans="1:16" x14ac:dyDescent="0.3">
      <c r="A170" s="135" t="s">
        <v>110</v>
      </c>
      <c r="B170" s="135" t="s">
        <v>394</v>
      </c>
      <c r="C170" s="135" t="s">
        <v>26</v>
      </c>
      <c r="D170" s="135" t="s">
        <v>2539</v>
      </c>
      <c r="E170" s="135" t="s">
        <v>1712</v>
      </c>
      <c r="F170" s="135">
        <v>4600</v>
      </c>
      <c r="G170" s="135">
        <v>0</v>
      </c>
      <c r="H170" s="135">
        <v>9.8000000000000007</v>
      </c>
      <c r="I170" s="135">
        <v>7.4</v>
      </c>
      <c r="J170" s="135">
        <v>0</v>
      </c>
      <c r="K170" s="135">
        <v>0</v>
      </c>
      <c r="L170" s="135">
        <v>40</v>
      </c>
      <c r="M170" s="135">
        <v>63</v>
      </c>
      <c r="N170" s="135">
        <v>0</v>
      </c>
    </row>
    <row r="171" spans="1:16" x14ac:dyDescent="0.3">
      <c r="A171" s="135" t="s">
        <v>321</v>
      </c>
      <c r="B171" s="135" t="s">
        <v>399</v>
      </c>
      <c r="C171" s="135" t="s">
        <v>28</v>
      </c>
      <c r="D171" s="135" t="s">
        <v>2527</v>
      </c>
      <c r="E171" s="135" t="s">
        <v>1712</v>
      </c>
      <c r="F171" s="135">
        <v>4500</v>
      </c>
      <c r="G171" s="135">
        <v>0</v>
      </c>
      <c r="H171" s="135">
        <v>18.600000000000001</v>
      </c>
      <c r="I171" s="135">
        <v>15</v>
      </c>
      <c r="J171" s="135">
        <v>0</v>
      </c>
      <c r="K171" s="135">
        <v>0</v>
      </c>
      <c r="L171" s="135">
        <v>40</v>
      </c>
      <c r="M171" s="135">
        <v>0</v>
      </c>
      <c r="N171" s="135">
        <v>0</v>
      </c>
    </row>
    <row r="172" spans="1:16" x14ac:dyDescent="0.3">
      <c r="A172" s="135" t="s">
        <v>135</v>
      </c>
      <c r="B172" s="135" t="s">
        <v>394</v>
      </c>
      <c r="C172" s="135" t="s">
        <v>50</v>
      </c>
      <c r="D172" s="135" t="s">
        <v>2524</v>
      </c>
      <c r="E172" s="135" t="s">
        <v>1708</v>
      </c>
      <c r="F172" s="135">
        <v>4500</v>
      </c>
      <c r="G172" s="135">
        <v>9.1999999999999993</v>
      </c>
      <c r="H172" s="135">
        <v>20.6</v>
      </c>
      <c r="I172" s="135">
        <v>4.0999999999999996</v>
      </c>
      <c r="J172" s="135">
        <v>12.96</v>
      </c>
      <c r="K172" s="135">
        <v>12.96</v>
      </c>
      <c r="L172" s="135">
        <v>40</v>
      </c>
      <c r="M172" s="135">
        <v>76</v>
      </c>
      <c r="N172" s="135">
        <v>2.9</v>
      </c>
      <c r="O172" s="135">
        <v>29.9</v>
      </c>
      <c r="P172" s="135">
        <v>6.6</v>
      </c>
    </row>
    <row r="173" spans="1:16" x14ac:dyDescent="0.3">
      <c r="A173" s="135" t="s">
        <v>104</v>
      </c>
      <c r="B173" s="135" t="s">
        <v>394</v>
      </c>
      <c r="C173" s="135" t="s">
        <v>398</v>
      </c>
      <c r="D173" s="135" t="s">
        <v>2546</v>
      </c>
      <c r="E173" s="135" t="s">
        <v>1710</v>
      </c>
      <c r="F173" s="135">
        <v>4400</v>
      </c>
      <c r="G173" s="135">
        <v>3.6</v>
      </c>
      <c r="H173" s="135">
        <v>25.2</v>
      </c>
      <c r="I173" s="135">
        <v>12</v>
      </c>
      <c r="J173" s="135">
        <v>10.79</v>
      </c>
      <c r="K173" s="135">
        <v>10.79</v>
      </c>
      <c r="L173" s="135">
        <v>40</v>
      </c>
      <c r="M173" s="135">
        <v>53</v>
      </c>
      <c r="N173" s="135">
        <v>2.5</v>
      </c>
      <c r="O173" s="135">
        <v>28.5</v>
      </c>
      <c r="P173" s="135">
        <v>6.5</v>
      </c>
    </row>
    <row r="174" spans="1:16" x14ac:dyDescent="0.3">
      <c r="A174" s="135" t="s">
        <v>101</v>
      </c>
      <c r="B174" s="135" t="s">
        <v>394</v>
      </c>
      <c r="C174" s="135" t="s">
        <v>402</v>
      </c>
      <c r="D174" s="135" t="s">
        <v>2538</v>
      </c>
      <c r="E174" s="135" t="s">
        <v>1722</v>
      </c>
      <c r="F174" s="135">
        <v>4400</v>
      </c>
      <c r="G174" s="135">
        <v>2.4</v>
      </c>
      <c r="H174" s="135">
        <v>30</v>
      </c>
      <c r="I174" s="135">
        <v>10.5</v>
      </c>
      <c r="J174" s="135">
        <v>11.64</v>
      </c>
      <c r="K174" s="135">
        <v>11.64</v>
      </c>
      <c r="L174" s="135">
        <v>40</v>
      </c>
      <c r="M174" s="135">
        <v>45</v>
      </c>
      <c r="N174" s="135">
        <v>2.6</v>
      </c>
      <c r="O174" s="135">
        <v>25.5</v>
      </c>
      <c r="P174" s="135">
        <v>5.8</v>
      </c>
    </row>
    <row r="175" spans="1:16" x14ac:dyDescent="0.3">
      <c r="A175" s="135" t="s">
        <v>283</v>
      </c>
      <c r="B175" s="135" t="s">
        <v>396</v>
      </c>
      <c r="C175" s="135" t="s">
        <v>16</v>
      </c>
      <c r="D175" s="135" t="s">
        <v>2532</v>
      </c>
      <c r="E175" s="135" t="s">
        <v>1710</v>
      </c>
      <c r="F175" s="135">
        <v>4400</v>
      </c>
      <c r="G175" s="135">
        <v>9.6999999999999993</v>
      </c>
      <c r="H175" s="135">
        <v>19.600000000000001</v>
      </c>
      <c r="I175" s="135">
        <v>4.3</v>
      </c>
      <c r="J175" s="135">
        <v>12.97</v>
      </c>
      <c r="K175" s="135">
        <v>12.97</v>
      </c>
      <c r="L175" s="135">
        <v>40</v>
      </c>
      <c r="M175" s="135">
        <v>62</v>
      </c>
      <c r="N175" s="135">
        <v>2.9</v>
      </c>
      <c r="O175" s="135">
        <v>5.7</v>
      </c>
      <c r="P175" s="135">
        <v>1.3</v>
      </c>
    </row>
    <row r="176" spans="1:16" x14ac:dyDescent="0.3">
      <c r="A176" s="135" t="s">
        <v>505</v>
      </c>
      <c r="B176" s="135" t="s">
        <v>396</v>
      </c>
      <c r="C176" s="135" t="s">
        <v>407</v>
      </c>
      <c r="D176" s="135" t="s">
        <v>2540</v>
      </c>
      <c r="E176" s="135" t="s">
        <v>1714</v>
      </c>
      <c r="F176" s="135">
        <v>4300</v>
      </c>
      <c r="G176" s="135">
        <v>3.1</v>
      </c>
      <c r="H176" s="135">
        <v>18.899999999999999</v>
      </c>
      <c r="I176" s="135">
        <v>8.5</v>
      </c>
      <c r="J176" s="135">
        <v>12.59</v>
      </c>
      <c r="K176" s="135">
        <v>12.59</v>
      </c>
      <c r="L176" s="135">
        <v>40</v>
      </c>
      <c r="M176" s="135">
        <v>0</v>
      </c>
      <c r="N176" s="135">
        <v>2.9</v>
      </c>
      <c r="O176" s="135">
        <v>12.9</v>
      </c>
      <c r="P176" s="135">
        <v>3</v>
      </c>
    </row>
    <row r="177" spans="1:16" x14ac:dyDescent="0.3">
      <c r="A177" s="135" t="s">
        <v>329</v>
      </c>
      <c r="B177" s="135" t="s">
        <v>399</v>
      </c>
      <c r="C177" s="135" t="s">
        <v>52</v>
      </c>
      <c r="D177" s="135" t="s">
        <v>2526</v>
      </c>
      <c r="E177" s="135" t="s">
        <v>1732</v>
      </c>
      <c r="F177" s="135">
        <v>4300</v>
      </c>
      <c r="G177" s="135">
        <v>6.1</v>
      </c>
      <c r="H177" s="135">
        <v>21.7</v>
      </c>
      <c r="I177" s="135">
        <v>10.3</v>
      </c>
      <c r="J177" s="135">
        <v>11.31</v>
      </c>
      <c r="K177" s="135">
        <v>11.31</v>
      </c>
      <c r="L177" s="135">
        <v>40</v>
      </c>
      <c r="M177" s="135">
        <v>56</v>
      </c>
      <c r="N177" s="135">
        <v>2.6</v>
      </c>
      <c r="O177" s="135">
        <v>4.5</v>
      </c>
      <c r="P177" s="135">
        <v>1</v>
      </c>
    </row>
    <row r="178" spans="1:16" x14ac:dyDescent="0.3">
      <c r="A178" s="135" t="s">
        <v>113</v>
      </c>
      <c r="B178" s="135" t="s">
        <v>394</v>
      </c>
      <c r="C178" s="135" t="s">
        <v>28</v>
      </c>
      <c r="D178" s="135" t="s">
        <v>2527</v>
      </c>
      <c r="E178" s="135" t="s">
        <v>1728</v>
      </c>
      <c r="F178" s="135">
        <v>4300</v>
      </c>
      <c r="G178" s="135">
        <v>6.2</v>
      </c>
      <c r="H178" s="135">
        <v>26</v>
      </c>
      <c r="I178" s="135">
        <v>11.7</v>
      </c>
      <c r="J178" s="135">
        <v>12.78</v>
      </c>
      <c r="K178" s="135">
        <v>12.78</v>
      </c>
      <c r="L178" s="135">
        <v>40</v>
      </c>
      <c r="M178" s="135">
        <v>61</v>
      </c>
      <c r="N178" s="135">
        <v>3</v>
      </c>
      <c r="O178" s="135">
        <v>9.4</v>
      </c>
      <c r="P178" s="135">
        <v>2.2000000000000002</v>
      </c>
    </row>
    <row r="179" spans="1:16" x14ac:dyDescent="0.3">
      <c r="A179" s="135" t="s">
        <v>243</v>
      </c>
      <c r="B179" s="135" t="s">
        <v>396</v>
      </c>
      <c r="C179" s="135" t="s">
        <v>398</v>
      </c>
      <c r="D179" s="135" t="s">
        <v>2546</v>
      </c>
      <c r="E179" s="135" t="s">
        <v>1722</v>
      </c>
      <c r="F179" s="135">
        <v>4300</v>
      </c>
      <c r="G179" s="135">
        <v>0</v>
      </c>
      <c r="H179" s="135">
        <v>22.5</v>
      </c>
      <c r="I179" s="135">
        <v>8</v>
      </c>
      <c r="J179" s="135">
        <v>7.13</v>
      </c>
      <c r="K179" s="135">
        <v>7.13</v>
      </c>
      <c r="L179" s="135">
        <v>40</v>
      </c>
      <c r="M179" s="135">
        <v>13</v>
      </c>
      <c r="N179" s="135">
        <v>1.7</v>
      </c>
      <c r="O179" s="135">
        <v>6.5</v>
      </c>
      <c r="P179" s="135">
        <v>1.5</v>
      </c>
    </row>
    <row r="180" spans="1:16" x14ac:dyDescent="0.3">
      <c r="A180" s="135" t="s">
        <v>137</v>
      </c>
      <c r="B180" s="135" t="s">
        <v>394</v>
      </c>
      <c r="C180" s="135" t="s">
        <v>402</v>
      </c>
      <c r="D180" s="135" t="s">
        <v>2538</v>
      </c>
      <c r="E180" s="135" t="s">
        <v>1722</v>
      </c>
      <c r="F180" s="135">
        <v>4200</v>
      </c>
      <c r="G180" s="135">
        <v>2.6</v>
      </c>
      <c r="H180" s="135">
        <v>26.9</v>
      </c>
      <c r="I180" s="135">
        <v>10.5</v>
      </c>
      <c r="J180" s="135">
        <v>10.7</v>
      </c>
      <c r="K180" s="135">
        <v>10.7</v>
      </c>
      <c r="L180" s="135">
        <v>40</v>
      </c>
      <c r="M180" s="135">
        <v>0</v>
      </c>
      <c r="N180" s="135">
        <v>2.5</v>
      </c>
      <c r="O180" s="135">
        <v>2.4</v>
      </c>
      <c r="P180" s="135">
        <v>0.6</v>
      </c>
    </row>
    <row r="181" spans="1:16" x14ac:dyDescent="0.3">
      <c r="A181" s="135" t="s">
        <v>457</v>
      </c>
      <c r="B181" s="135" t="s">
        <v>396</v>
      </c>
      <c r="C181" s="135" t="s">
        <v>404</v>
      </c>
      <c r="D181" s="135" t="s">
        <v>1901</v>
      </c>
      <c r="E181" s="135" t="s">
        <v>1728</v>
      </c>
      <c r="F181" s="135">
        <v>4200</v>
      </c>
      <c r="G181" s="135">
        <v>2.5</v>
      </c>
      <c r="H181" s="135">
        <v>15.1</v>
      </c>
      <c r="J181" s="135">
        <v>10.039999999999999</v>
      </c>
      <c r="K181" s="135">
        <v>10.039999999999999</v>
      </c>
      <c r="L181" s="135">
        <v>40</v>
      </c>
      <c r="M181" s="135">
        <v>0</v>
      </c>
      <c r="N181" s="135">
        <v>2.4</v>
      </c>
      <c r="O181" s="135">
        <v>20.100000000000001</v>
      </c>
      <c r="P181" s="135">
        <v>4.8</v>
      </c>
    </row>
    <row r="182" spans="1:16" x14ac:dyDescent="0.3">
      <c r="A182" s="135" t="s">
        <v>224</v>
      </c>
      <c r="B182" s="135" t="s">
        <v>396</v>
      </c>
      <c r="C182" s="135" t="s">
        <v>7</v>
      </c>
      <c r="D182" s="135" t="s">
        <v>1899</v>
      </c>
      <c r="E182" s="135" t="s">
        <v>1706</v>
      </c>
      <c r="F182" s="135">
        <v>4200</v>
      </c>
      <c r="G182" s="135">
        <v>3.6</v>
      </c>
      <c r="H182" s="135">
        <v>27.3</v>
      </c>
      <c r="I182" s="135">
        <v>10.6</v>
      </c>
      <c r="J182" s="135">
        <v>11.54</v>
      </c>
      <c r="K182" s="135">
        <v>11.54</v>
      </c>
      <c r="L182" s="135">
        <v>40</v>
      </c>
      <c r="M182" s="135">
        <v>15</v>
      </c>
      <c r="N182" s="135">
        <v>2.7</v>
      </c>
      <c r="O182" s="135">
        <v>0</v>
      </c>
    </row>
    <row r="183" spans="1:16" x14ac:dyDescent="0.3">
      <c r="A183" s="135" t="s">
        <v>410</v>
      </c>
      <c r="B183" s="135" t="s">
        <v>396</v>
      </c>
      <c r="C183" s="135" t="s">
        <v>26</v>
      </c>
      <c r="D183" s="135" t="s">
        <v>2539</v>
      </c>
      <c r="E183" s="135" t="s">
        <v>1715</v>
      </c>
      <c r="F183" s="135">
        <v>4200</v>
      </c>
      <c r="G183" s="135">
        <v>1.4</v>
      </c>
      <c r="H183" s="135">
        <v>23</v>
      </c>
      <c r="I183" s="135">
        <v>12.6</v>
      </c>
      <c r="J183" s="135">
        <v>8.5500000000000007</v>
      </c>
      <c r="K183" s="135">
        <v>8.5500000000000007</v>
      </c>
      <c r="L183" s="135">
        <v>40</v>
      </c>
      <c r="M183" s="135">
        <v>33</v>
      </c>
      <c r="N183" s="135">
        <v>2</v>
      </c>
      <c r="O183" s="135">
        <v>12.2</v>
      </c>
      <c r="P183" s="135">
        <v>2.9</v>
      </c>
    </row>
    <row r="184" spans="1:16" x14ac:dyDescent="0.3">
      <c r="A184" s="135" t="s">
        <v>120</v>
      </c>
      <c r="B184" s="135" t="s">
        <v>394</v>
      </c>
      <c r="C184" s="135" t="s">
        <v>14</v>
      </c>
      <c r="D184" s="135" t="s">
        <v>2545</v>
      </c>
      <c r="E184" s="135" t="s">
        <v>1719</v>
      </c>
      <c r="F184" s="135">
        <v>4200</v>
      </c>
      <c r="G184" s="135">
        <v>5.2</v>
      </c>
      <c r="H184" s="135">
        <v>21.4</v>
      </c>
      <c r="I184" s="135">
        <v>10.3</v>
      </c>
      <c r="J184" s="135">
        <v>10.56</v>
      </c>
      <c r="K184" s="135">
        <v>10.56</v>
      </c>
      <c r="L184" s="135">
        <v>40</v>
      </c>
      <c r="M184" s="135">
        <v>39</v>
      </c>
      <c r="N184" s="135">
        <v>2.5</v>
      </c>
      <c r="O184" s="135">
        <v>13.1</v>
      </c>
      <c r="P184" s="135">
        <v>3.1</v>
      </c>
    </row>
    <row r="185" spans="1:16" x14ac:dyDescent="0.3">
      <c r="A185" s="135" t="s">
        <v>121</v>
      </c>
      <c r="B185" s="135" t="s">
        <v>394</v>
      </c>
      <c r="C185" s="135" t="s">
        <v>18</v>
      </c>
      <c r="D185" s="135" t="s">
        <v>1898</v>
      </c>
      <c r="E185" s="135" t="s">
        <v>1727</v>
      </c>
      <c r="F185" s="135">
        <v>4100</v>
      </c>
      <c r="G185" s="135">
        <v>1.6</v>
      </c>
      <c r="H185" s="135">
        <v>30.4</v>
      </c>
      <c r="I185" s="135">
        <v>9.6</v>
      </c>
      <c r="J185" s="135">
        <v>11.2</v>
      </c>
      <c r="K185" s="135">
        <v>11.2</v>
      </c>
      <c r="L185" s="135">
        <v>40</v>
      </c>
      <c r="M185" s="135">
        <v>0</v>
      </c>
      <c r="N185" s="135">
        <v>2.7</v>
      </c>
      <c r="O185" s="135">
        <v>9.9</v>
      </c>
      <c r="P185" s="135">
        <v>2.4</v>
      </c>
    </row>
    <row r="186" spans="1:16" x14ac:dyDescent="0.3">
      <c r="A186" s="135" t="s">
        <v>1660</v>
      </c>
      <c r="B186" s="135" t="s">
        <v>396</v>
      </c>
      <c r="C186" s="135" t="s">
        <v>32</v>
      </c>
      <c r="D186" s="135" t="s">
        <v>2544</v>
      </c>
      <c r="E186" s="135" t="s">
        <v>1719</v>
      </c>
      <c r="F186" s="135">
        <v>4100</v>
      </c>
      <c r="G186" s="135">
        <v>0</v>
      </c>
      <c r="H186" s="135">
        <v>31.8</v>
      </c>
      <c r="I186" s="135">
        <v>20</v>
      </c>
      <c r="J186" s="135">
        <v>10.25</v>
      </c>
      <c r="K186" s="135">
        <v>10.25</v>
      </c>
      <c r="L186" s="135">
        <v>40</v>
      </c>
      <c r="M186" s="135">
        <v>0</v>
      </c>
      <c r="N186" s="135">
        <v>2.5</v>
      </c>
      <c r="O186" s="135">
        <v>16.7</v>
      </c>
      <c r="P186" s="135">
        <v>4.0999999999999996</v>
      </c>
    </row>
    <row r="187" spans="1:16" x14ac:dyDescent="0.3">
      <c r="A187" s="135" t="s">
        <v>242</v>
      </c>
      <c r="B187" s="135" t="s">
        <v>396</v>
      </c>
      <c r="C187" s="135" t="s">
        <v>395</v>
      </c>
      <c r="D187" s="135" t="s">
        <v>2531</v>
      </c>
      <c r="E187" s="135" t="s">
        <v>1734</v>
      </c>
      <c r="F187" s="135">
        <v>4100</v>
      </c>
      <c r="G187" s="135">
        <v>2.6</v>
      </c>
      <c r="H187" s="135">
        <v>22.4</v>
      </c>
      <c r="I187" s="135">
        <v>8.1999999999999993</v>
      </c>
      <c r="J187" s="135">
        <v>9.1999999999999993</v>
      </c>
      <c r="K187" s="135">
        <v>9.1999999999999993</v>
      </c>
      <c r="L187" s="135">
        <v>40</v>
      </c>
      <c r="M187" s="135">
        <v>29</v>
      </c>
      <c r="N187" s="135">
        <v>2.2000000000000002</v>
      </c>
      <c r="O187" s="135">
        <v>10.3</v>
      </c>
      <c r="P187" s="135">
        <v>2.5</v>
      </c>
    </row>
    <row r="188" spans="1:16" x14ac:dyDescent="0.3">
      <c r="A188" s="135" t="s">
        <v>254</v>
      </c>
      <c r="B188" s="135" t="s">
        <v>396</v>
      </c>
      <c r="C188" s="135" t="s">
        <v>22</v>
      </c>
      <c r="D188" s="135" t="s">
        <v>2529</v>
      </c>
      <c r="E188" s="135" t="s">
        <v>1724</v>
      </c>
      <c r="F188" s="135">
        <v>4100</v>
      </c>
      <c r="G188" s="135">
        <v>0.9</v>
      </c>
      <c r="H188" s="135">
        <v>21.6</v>
      </c>
      <c r="I188" s="135">
        <v>6.9</v>
      </c>
      <c r="J188" s="135">
        <v>7.77</v>
      </c>
      <c r="K188" s="135">
        <v>7.77</v>
      </c>
      <c r="L188" s="135">
        <v>40</v>
      </c>
      <c r="M188" s="135">
        <v>0</v>
      </c>
      <c r="N188" s="135">
        <v>1.9</v>
      </c>
      <c r="O188" s="135">
        <v>0</v>
      </c>
    </row>
    <row r="189" spans="1:16" x14ac:dyDescent="0.3">
      <c r="A189" s="135" t="s">
        <v>214</v>
      </c>
      <c r="B189" s="135" t="s">
        <v>396</v>
      </c>
      <c r="C189" s="135" t="s">
        <v>409</v>
      </c>
      <c r="D189" s="135" t="s">
        <v>2535</v>
      </c>
      <c r="E189" s="135" t="s">
        <v>1705</v>
      </c>
      <c r="F189" s="135">
        <v>4100</v>
      </c>
      <c r="G189" s="135">
        <v>2.9</v>
      </c>
      <c r="H189" s="135">
        <v>23.9</v>
      </c>
      <c r="I189" s="135">
        <v>12.5</v>
      </c>
      <c r="J189" s="135">
        <v>9.86</v>
      </c>
      <c r="K189" s="135">
        <v>9.86</v>
      </c>
      <c r="L189" s="135">
        <v>40</v>
      </c>
      <c r="M189" s="135">
        <v>14</v>
      </c>
      <c r="N189" s="135">
        <v>2.4</v>
      </c>
      <c r="O189" s="135">
        <v>21.4</v>
      </c>
      <c r="P189" s="135">
        <v>5.2</v>
      </c>
    </row>
    <row r="190" spans="1:16" x14ac:dyDescent="0.3">
      <c r="A190" s="135" t="s">
        <v>564</v>
      </c>
      <c r="B190" s="135" t="s">
        <v>459</v>
      </c>
      <c r="C190" s="135" t="s">
        <v>7</v>
      </c>
      <c r="D190" s="135" t="s">
        <v>1899</v>
      </c>
      <c r="E190" s="135" t="s">
        <v>1717</v>
      </c>
      <c r="F190" s="135">
        <v>4100</v>
      </c>
      <c r="G190" s="135">
        <v>5.5</v>
      </c>
      <c r="H190" s="135">
        <v>22.6</v>
      </c>
      <c r="I190" s="135">
        <v>9.9</v>
      </c>
      <c r="J190" s="135">
        <v>11.17</v>
      </c>
      <c r="K190" s="135">
        <v>11.17</v>
      </c>
      <c r="L190" s="135">
        <v>40</v>
      </c>
      <c r="M190" s="135">
        <v>37</v>
      </c>
      <c r="N190" s="135">
        <v>2.7</v>
      </c>
      <c r="O190" s="135">
        <v>3</v>
      </c>
      <c r="P190" s="135">
        <v>0.7</v>
      </c>
    </row>
    <row r="191" spans="1:16" x14ac:dyDescent="0.3">
      <c r="A191" s="135" t="s">
        <v>432</v>
      </c>
      <c r="B191" s="135" t="s">
        <v>396</v>
      </c>
      <c r="C191" s="135" t="s">
        <v>46</v>
      </c>
      <c r="D191" s="135" t="s">
        <v>2528</v>
      </c>
      <c r="E191" s="135" t="s">
        <v>1730</v>
      </c>
      <c r="F191" s="135">
        <v>4000</v>
      </c>
      <c r="G191" s="135">
        <v>2.5</v>
      </c>
      <c r="H191" s="135">
        <v>14.9</v>
      </c>
      <c r="J191" s="135">
        <v>9.9499999999999993</v>
      </c>
      <c r="K191" s="135">
        <v>9.9499999999999993</v>
      </c>
      <c r="L191" s="135">
        <v>40</v>
      </c>
      <c r="M191" s="135">
        <v>0</v>
      </c>
      <c r="N191" s="135">
        <v>2.5</v>
      </c>
      <c r="O191" s="135">
        <v>12.2</v>
      </c>
      <c r="P191" s="135">
        <v>3.1</v>
      </c>
    </row>
    <row r="192" spans="1:16" x14ac:dyDescent="0.3">
      <c r="A192" s="135" t="s">
        <v>105</v>
      </c>
      <c r="B192" s="135" t="s">
        <v>394</v>
      </c>
      <c r="C192" s="135" t="s">
        <v>395</v>
      </c>
      <c r="D192" s="135" t="s">
        <v>2531</v>
      </c>
      <c r="E192" s="135" t="s">
        <v>1715</v>
      </c>
      <c r="F192" s="135">
        <v>4000</v>
      </c>
      <c r="G192" s="135">
        <v>0</v>
      </c>
      <c r="H192" s="135">
        <v>19.899999999999999</v>
      </c>
      <c r="I192" s="135">
        <v>10.8</v>
      </c>
      <c r="J192" s="135">
        <v>5.69</v>
      </c>
      <c r="K192" s="135">
        <v>5.69</v>
      </c>
      <c r="L192" s="135">
        <v>40</v>
      </c>
      <c r="M192" s="135">
        <v>0</v>
      </c>
      <c r="N192" s="135">
        <v>1.4</v>
      </c>
      <c r="O192" s="135">
        <v>1.8</v>
      </c>
      <c r="P192" s="135">
        <v>0.5</v>
      </c>
    </row>
    <row r="193" spans="1:16" x14ac:dyDescent="0.3">
      <c r="A193" s="135" t="s">
        <v>322</v>
      </c>
      <c r="B193" s="135" t="s">
        <v>399</v>
      </c>
      <c r="C193" s="135" t="s">
        <v>14</v>
      </c>
      <c r="D193" s="135" t="s">
        <v>2545</v>
      </c>
      <c r="E193" s="135" t="s">
        <v>1724</v>
      </c>
      <c r="F193" s="135">
        <v>4000</v>
      </c>
      <c r="G193" s="135">
        <v>0.7</v>
      </c>
      <c r="H193" s="135">
        <v>25.9</v>
      </c>
      <c r="I193" s="135">
        <v>15.4</v>
      </c>
      <c r="J193" s="135">
        <v>9.06</v>
      </c>
      <c r="K193" s="135">
        <v>9.06</v>
      </c>
      <c r="L193" s="135">
        <v>40</v>
      </c>
      <c r="M193" s="135">
        <v>0</v>
      </c>
      <c r="N193" s="135">
        <v>2.2999999999999998</v>
      </c>
      <c r="O193" s="135">
        <v>13.6</v>
      </c>
      <c r="P193" s="135">
        <v>3.4</v>
      </c>
    </row>
    <row r="194" spans="1:16" x14ac:dyDescent="0.3">
      <c r="A194" s="135" t="s">
        <v>139</v>
      </c>
      <c r="B194" s="135" t="s">
        <v>394</v>
      </c>
      <c r="C194" s="135" t="s">
        <v>57</v>
      </c>
      <c r="D194" s="135" t="s">
        <v>2541</v>
      </c>
      <c r="E194" s="135" t="s">
        <v>1733</v>
      </c>
      <c r="F194" s="135">
        <v>4000</v>
      </c>
      <c r="G194" s="135">
        <v>6.6</v>
      </c>
      <c r="H194" s="135">
        <v>17</v>
      </c>
      <c r="I194" s="135">
        <v>4.7</v>
      </c>
      <c r="J194" s="135">
        <v>10.050000000000001</v>
      </c>
      <c r="K194" s="135">
        <v>10.050000000000001</v>
      </c>
      <c r="L194" s="135">
        <v>40</v>
      </c>
      <c r="M194" s="135">
        <v>53</v>
      </c>
      <c r="N194" s="135">
        <v>2.5</v>
      </c>
      <c r="O194" s="135">
        <v>8.8000000000000007</v>
      </c>
      <c r="P194" s="135">
        <v>2.2000000000000002</v>
      </c>
    </row>
    <row r="195" spans="1:16" x14ac:dyDescent="0.3">
      <c r="A195" s="135" t="s">
        <v>233</v>
      </c>
      <c r="B195" s="135" t="s">
        <v>396</v>
      </c>
      <c r="C195" s="135" t="s">
        <v>401</v>
      </c>
      <c r="D195" s="135" t="s">
        <v>2537</v>
      </c>
      <c r="E195" s="135" t="s">
        <v>1716</v>
      </c>
      <c r="F195" s="135">
        <v>3900</v>
      </c>
      <c r="G195" s="135">
        <v>1.2</v>
      </c>
      <c r="H195" s="135">
        <v>24.8</v>
      </c>
      <c r="I195" s="135">
        <v>11</v>
      </c>
      <c r="J195" s="135">
        <v>9.0500000000000007</v>
      </c>
      <c r="K195" s="135">
        <v>9.0500000000000007</v>
      </c>
      <c r="L195" s="135">
        <v>40</v>
      </c>
      <c r="M195" s="135">
        <v>0</v>
      </c>
      <c r="N195" s="135">
        <v>2.2999999999999998</v>
      </c>
      <c r="O195" s="135">
        <v>6.7</v>
      </c>
      <c r="P195" s="135">
        <v>1.7</v>
      </c>
    </row>
    <row r="196" spans="1:16" x14ac:dyDescent="0.3">
      <c r="A196" s="135" t="s">
        <v>232</v>
      </c>
      <c r="B196" s="135" t="s">
        <v>399</v>
      </c>
      <c r="C196" s="135" t="s">
        <v>39</v>
      </c>
      <c r="D196" s="135" t="s">
        <v>2536</v>
      </c>
      <c r="E196" s="135" t="s">
        <v>1714</v>
      </c>
      <c r="F196" s="135">
        <v>3900</v>
      </c>
      <c r="G196" s="135">
        <v>0</v>
      </c>
      <c r="H196" s="135">
        <v>14.8</v>
      </c>
      <c r="I196" s="135">
        <v>11.8</v>
      </c>
      <c r="J196" s="135">
        <v>0</v>
      </c>
      <c r="K196" s="135">
        <v>0</v>
      </c>
      <c r="L196" s="135">
        <v>40</v>
      </c>
      <c r="M196" s="135">
        <v>37</v>
      </c>
      <c r="N196" s="135">
        <v>0</v>
      </c>
    </row>
    <row r="197" spans="1:16" x14ac:dyDescent="0.3">
      <c r="A197" s="135" t="s">
        <v>1248</v>
      </c>
      <c r="B197" s="135" t="s">
        <v>396</v>
      </c>
      <c r="C197" s="135" t="s">
        <v>20</v>
      </c>
      <c r="D197" s="135" t="s">
        <v>2523</v>
      </c>
      <c r="E197" s="135" t="s">
        <v>1713</v>
      </c>
      <c r="F197" s="135">
        <v>3900</v>
      </c>
      <c r="G197" s="135">
        <v>2.5</v>
      </c>
      <c r="H197" s="135">
        <v>15</v>
      </c>
      <c r="J197" s="135">
        <v>10.01</v>
      </c>
      <c r="K197" s="135">
        <v>10.01</v>
      </c>
      <c r="L197" s="135">
        <v>40</v>
      </c>
      <c r="M197" s="135">
        <v>0</v>
      </c>
      <c r="N197" s="135">
        <v>2.6</v>
      </c>
      <c r="O197" s="135">
        <v>5.2</v>
      </c>
      <c r="P197" s="135">
        <v>1.3</v>
      </c>
    </row>
    <row r="198" spans="1:16" x14ac:dyDescent="0.3">
      <c r="A198" s="135" t="s">
        <v>99</v>
      </c>
      <c r="B198" s="135" t="s">
        <v>394</v>
      </c>
      <c r="C198" s="135" t="s">
        <v>32</v>
      </c>
      <c r="D198" s="135" t="s">
        <v>2544</v>
      </c>
      <c r="E198" s="135" t="s">
        <v>1731</v>
      </c>
      <c r="F198" s="135">
        <v>3900</v>
      </c>
      <c r="G198" s="135">
        <v>3.5</v>
      </c>
      <c r="H198" s="135">
        <v>26.6</v>
      </c>
      <c r="I198" s="135">
        <v>12.8</v>
      </c>
      <c r="J198" s="135">
        <v>11.16</v>
      </c>
      <c r="K198" s="135">
        <v>11.16</v>
      </c>
      <c r="L198" s="135">
        <v>40</v>
      </c>
      <c r="M198" s="135">
        <v>5</v>
      </c>
      <c r="N198" s="135">
        <v>2.9</v>
      </c>
      <c r="O198" s="135">
        <v>9.1999999999999993</v>
      </c>
      <c r="P198" s="135">
        <v>2.4</v>
      </c>
    </row>
    <row r="199" spans="1:16" x14ac:dyDescent="0.3">
      <c r="A199" s="135" t="s">
        <v>220</v>
      </c>
      <c r="B199" s="135" t="s">
        <v>396</v>
      </c>
      <c r="C199" s="135" t="s">
        <v>18</v>
      </c>
      <c r="D199" s="135" t="s">
        <v>1898</v>
      </c>
      <c r="E199" s="135" t="s">
        <v>1712</v>
      </c>
      <c r="F199" s="135">
        <v>3900</v>
      </c>
      <c r="G199" s="135">
        <v>1.5</v>
      </c>
      <c r="H199" s="135">
        <v>21</v>
      </c>
      <c r="I199" s="135">
        <v>11.6</v>
      </c>
      <c r="J199" s="135">
        <v>7.99</v>
      </c>
      <c r="K199" s="135">
        <v>7.99</v>
      </c>
      <c r="L199" s="135">
        <v>40</v>
      </c>
      <c r="M199" s="135">
        <v>17</v>
      </c>
      <c r="N199" s="135">
        <v>2</v>
      </c>
      <c r="O199" s="135">
        <v>10.9</v>
      </c>
      <c r="P199" s="135">
        <v>2.8</v>
      </c>
    </row>
    <row r="200" spans="1:16" x14ac:dyDescent="0.3">
      <c r="A200" s="135" t="s">
        <v>123</v>
      </c>
      <c r="B200" s="135" t="s">
        <v>394</v>
      </c>
      <c r="C200" s="135" t="s">
        <v>561</v>
      </c>
      <c r="D200" s="135" t="s">
        <v>1906</v>
      </c>
      <c r="E200" s="135" t="s">
        <v>1736</v>
      </c>
      <c r="F200" s="135">
        <v>3900</v>
      </c>
      <c r="G200" s="135">
        <v>0</v>
      </c>
      <c r="H200" s="135">
        <v>21.4</v>
      </c>
      <c r="I200" s="135">
        <v>14.2</v>
      </c>
      <c r="J200" s="135">
        <v>6.75</v>
      </c>
      <c r="K200" s="135">
        <v>6.75</v>
      </c>
      <c r="L200" s="135">
        <v>40</v>
      </c>
      <c r="M200" s="135">
        <v>0</v>
      </c>
      <c r="N200" s="135">
        <v>1.7</v>
      </c>
      <c r="O200" s="135">
        <v>3.3</v>
      </c>
      <c r="P200" s="135">
        <v>0.8</v>
      </c>
    </row>
    <row r="201" spans="1:16" x14ac:dyDescent="0.3">
      <c r="A201" s="135" t="s">
        <v>276</v>
      </c>
      <c r="B201" s="135" t="s">
        <v>396</v>
      </c>
      <c r="C201" s="135" t="s">
        <v>402</v>
      </c>
      <c r="D201" s="135" t="s">
        <v>2538</v>
      </c>
      <c r="E201" s="135" t="s">
        <v>1718</v>
      </c>
      <c r="F201" s="135">
        <v>3900</v>
      </c>
      <c r="G201" s="135">
        <v>2.7</v>
      </c>
      <c r="H201" s="135">
        <v>19.5</v>
      </c>
      <c r="I201" s="135">
        <v>7.2</v>
      </c>
      <c r="J201" s="135">
        <v>8.27</v>
      </c>
      <c r="K201" s="135">
        <v>8.27</v>
      </c>
      <c r="L201" s="135">
        <v>40</v>
      </c>
      <c r="M201" s="135">
        <v>55</v>
      </c>
      <c r="N201" s="135">
        <v>2.1</v>
      </c>
      <c r="O201" s="135">
        <v>1.3</v>
      </c>
      <c r="P201" s="135">
        <v>0.3</v>
      </c>
    </row>
    <row r="202" spans="1:16" x14ac:dyDescent="0.3">
      <c r="A202" s="135" t="s">
        <v>237</v>
      </c>
      <c r="B202" s="135" t="s">
        <v>396</v>
      </c>
      <c r="C202" s="135" t="s">
        <v>409</v>
      </c>
      <c r="D202" s="135" t="s">
        <v>2535</v>
      </c>
      <c r="E202" s="135" t="s">
        <v>1705</v>
      </c>
      <c r="F202" s="135">
        <v>3900</v>
      </c>
      <c r="G202" s="135">
        <v>1.2</v>
      </c>
      <c r="H202" s="135">
        <v>20.7</v>
      </c>
      <c r="I202" s="135">
        <v>7.8</v>
      </c>
      <c r="J202" s="135">
        <v>7.66</v>
      </c>
      <c r="K202" s="135">
        <v>7.66</v>
      </c>
      <c r="L202" s="135">
        <v>40</v>
      </c>
      <c r="M202" s="135">
        <v>50</v>
      </c>
      <c r="N202" s="135">
        <v>2</v>
      </c>
      <c r="O202" s="135">
        <v>6.8</v>
      </c>
      <c r="P202" s="135">
        <v>1.7</v>
      </c>
    </row>
    <row r="203" spans="1:16" x14ac:dyDescent="0.3">
      <c r="A203" s="135" t="s">
        <v>238</v>
      </c>
      <c r="B203" s="135" t="s">
        <v>396</v>
      </c>
      <c r="C203" s="135" t="s">
        <v>18</v>
      </c>
      <c r="D203" s="135" t="s">
        <v>1898</v>
      </c>
      <c r="E203" s="135" t="s">
        <v>1712</v>
      </c>
      <c r="F203" s="135">
        <v>3800</v>
      </c>
      <c r="G203" s="135">
        <v>1.7</v>
      </c>
      <c r="H203" s="135">
        <v>21.2</v>
      </c>
      <c r="I203" s="135">
        <v>8.6</v>
      </c>
      <c r="J203" s="135">
        <v>8.15</v>
      </c>
      <c r="K203" s="135">
        <v>8.15</v>
      </c>
      <c r="L203" s="135">
        <v>40</v>
      </c>
      <c r="M203" s="135">
        <v>53</v>
      </c>
      <c r="N203" s="135">
        <v>2.1</v>
      </c>
      <c r="O203" s="135">
        <v>17.8</v>
      </c>
      <c r="P203" s="135">
        <v>4.7</v>
      </c>
    </row>
    <row r="204" spans="1:16" x14ac:dyDescent="0.3">
      <c r="A204" s="135" t="s">
        <v>606</v>
      </c>
      <c r="B204" s="135" t="s">
        <v>459</v>
      </c>
      <c r="C204" s="135" t="s">
        <v>22</v>
      </c>
      <c r="D204" s="135" t="s">
        <v>2529</v>
      </c>
      <c r="E204" s="135" t="s">
        <v>1732</v>
      </c>
      <c r="F204" s="135">
        <v>3800</v>
      </c>
      <c r="G204" s="135">
        <v>2.5</v>
      </c>
      <c r="H204" s="135">
        <v>27.4</v>
      </c>
      <c r="I204" s="135">
        <v>10.3</v>
      </c>
      <c r="J204" s="135">
        <v>10.82</v>
      </c>
      <c r="K204" s="135">
        <v>10.82</v>
      </c>
      <c r="L204" s="135">
        <v>40</v>
      </c>
      <c r="M204" s="135">
        <v>25</v>
      </c>
      <c r="N204" s="135">
        <v>2.8</v>
      </c>
      <c r="O204" s="135">
        <v>2</v>
      </c>
      <c r="P204" s="135">
        <v>0.5</v>
      </c>
    </row>
    <row r="205" spans="1:16" x14ac:dyDescent="0.3">
      <c r="A205" s="135" t="s">
        <v>357</v>
      </c>
      <c r="B205" s="135" t="s">
        <v>399</v>
      </c>
      <c r="C205" s="135" t="s">
        <v>16</v>
      </c>
      <c r="D205" s="135" t="s">
        <v>2532</v>
      </c>
      <c r="E205" s="135" t="s">
        <v>1715</v>
      </c>
      <c r="F205" s="135">
        <v>3800</v>
      </c>
      <c r="G205" s="135">
        <v>5.4</v>
      </c>
      <c r="H205" s="135">
        <v>22.2</v>
      </c>
      <c r="I205" s="135">
        <v>2.8</v>
      </c>
      <c r="J205" s="135">
        <v>10.96</v>
      </c>
      <c r="K205" s="135">
        <v>10.96</v>
      </c>
      <c r="L205" s="135">
        <v>40</v>
      </c>
      <c r="M205" s="135">
        <v>49</v>
      </c>
      <c r="N205" s="135">
        <v>2.9</v>
      </c>
      <c r="O205" s="135">
        <v>6.5</v>
      </c>
      <c r="P205" s="135">
        <v>1.7</v>
      </c>
    </row>
    <row r="206" spans="1:16" x14ac:dyDescent="0.3">
      <c r="A206" s="135" t="s">
        <v>315</v>
      </c>
      <c r="B206" s="135" t="s">
        <v>396</v>
      </c>
      <c r="C206" s="135" t="s">
        <v>20</v>
      </c>
      <c r="D206" s="135" t="s">
        <v>2523</v>
      </c>
      <c r="E206" s="135" t="s">
        <v>1713</v>
      </c>
      <c r="F206" s="135">
        <v>3800</v>
      </c>
      <c r="G206" s="135">
        <v>2.1</v>
      </c>
      <c r="H206" s="135">
        <v>12.6</v>
      </c>
      <c r="I206" s="135">
        <v>2.1</v>
      </c>
      <c r="J206" s="135">
        <v>8.42</v>
      </c>
      <c r="K206" s="135">
        <v>8.42</v>
      </c>
      <c r="L206" s="135">
        <v>40</v>
      </c>
      <c r="M206" s="135">
        <v>0</v>
      </c>
      <c r="N206" s="135">
        <v>2.2000000000000002</v>
      </c>
      <c r="O206" s="135">
        <v>8</v>
      </c>
      <c r="P206" s="135">
        <v>2.1</v>
      </c>
    </row>
    <row r="207" spans="1:16" x14ac:dyDescent="0.3">
      <c r="A207" s="135" t="s">
        <v>162</v>
      </c>
      <c r="B207" s="135" t="s">
        <v>394</v>
      </c>
      <c r="C207" s="135" t="s">
        <v>22</v>
      </c>
      <c r="D207" s="135" t="s">
        <v>2529</v>
      </c>
      <c r="E207" s="135" t="s">
        <v>1718</v>
      </c>
      <c r="F207" s="135">
        <v>3800</v>
      </c>
      <c r="G207" s="135">
        <v>7.4</v>
      </c>
      <c r="H207" s="135">
        <v>18.8</v>
      </c>
      <c r="I207" s="135">
        <v>2.5</v>
      </c>
      <c r="J207" s="135">
        <v>11.23</v>
      </c>
      <c r="K207" s="135">
        <v>11.23</v>
      </c>
      <c r="L207" s="135">
        <v>40</v>
      </c>
      <c r="M207" s="135">
        <v>63</v>
      </c>
      <c r="N207" s="135">
        <v>3</v>
      </c>
      <c r="O207" s="135">
        <v>10.6</v>
      </c>
      <c r="P207" s="135">
        <v>2.8</v>
      </c>
    </row>
    <row r="208" spans="1:16" x14ac:dyDescent="0.3">
      <c r="A208" s="135" t="s">
        <v>143</v>
      </c>
      <c r="B208" s="135" t="s">
        <v>394</v>
      </c>
      <c r="C208" s="135" t="s">
        <v>41</v>
      </c>
      <c r="D208" s="135" t="s">
        <v>1907</v>
      </c>
      <c r="E208" s="135" t="s">
        <v>1723</v>
      </c>
      <c r="F208" s="135">
        <v>3800</v>
      </c>
      <c r="G208" s="135">
        <v>5.2</v>
      </c>
      <c r="H208" s="135">
        <v>23.8</v>
      </c>
      <c r="I208" s="135">
        <v>5.2</v>
      </c>
      <c r="J208" s="135">
        <v>11.36</v>
      </c>
      <c r="K208" s="135">
        <v>11.36</v>
      </c>
      <c r="L208" s="135">
        <v>40</v>
      </c>
      <c r="M208" s="135">
        <v>0</v>
      </c>
      <c r="N208" s="135">
        <v>3</v>
      </c>
      <c r="O208" s="135">
        <v>7.7</v>
      </c>
      <c r="P208" s="135">
        <v>2</v>
      </c>
    </row>
    <row r="209" spans="1:16" x14ac:dyDescent="0.3">
      <c r="A209" s="135" t="s">
        <v>228</v>
      </c>
      <c r="B209" s="135" t="s">
        <v>396</v>
      </c>
      <c r="C209" s="135" t="s">
        <v>402</v>
      </c>
      <c r="D209" s="135" t="s">
        <v>2538</v>
      </c>
      <c r="E209" s="135" t="s">
        <v>1718</v>
      </c>
      <c r="F209" s="135">
        <v>3700</v>
      </c>
      <c r="G209" s="135">
        <v>0</v>
      </c>
      <c r="H209" s="135">
        <v>22.8</v>
      </c>
      <c r="I209" s="135">
        <v>11.1</v>
      </c>
      <c r="J209" s="135">
        <v>7.45</v>
      </c>
      <c r="K209" s="135">
        <v>7.45</v>
      </c>
      <c r="L209" s="135">
        <v>40</v>
      </c>
      <c r="M209" s="135">
        <v>45</v>
      </c>
      <c r="N209" s="135">
        <v>2</v>
      </c>
      <c r="O209" s="135">
        <v>4.3</v>
      </c>
      <c r="P209" s="135">
        <v>1.2</v>
      </c>
    </row>
    <row r="210" spans="1:16" x14ac:dyDescent="0.3">
      <c r="A210" s="135" t="s">
        <v>458</v>
      </c>
      <c r="B210" s="135" t="s">
        <v>394</v>
      </c>
      <c r="C210" s="135" t="s">
        <v>30</v>
      </c>
      <c r="D210" s="135" t="s">
        <v>2543</v>
      </c>
      <c r="E210" s="135" t="s">
        <v>1706</v>
      </c>
      <c r="F210" s="135">
        <v>3700</v>
      </c>
      <c r="G210" s="135">
        <v>2.4</v>
      </c>
      <c r="H210" s="135">
        <v>14.4</v>
      </c>
      <c r="J210" s="135">
        <v>9.57</v>
      </c>
      <c r="K210" s="135">
        <v>9.57</v>
      </c>
      <c r="L210" s="135">
        <v>40</v>
      </c>
      <c r="M210" s="135">
        <v>0</v>
      </c>
      <c r="N210" s="135">
        <v>2.6</v>
      </c>
      <c r="O210" s="135">
        <v>4.5</v>
      </c>
      <c r="P210" s="135">
        <v>1.2</v>
      </c>
    </row>
    <row r="211" spans="1:16" x14ac:dyDescent="0.3">
      <c r="A211" s="135" t="s">
        <v>148</v>
      </c>
      <c r="B211" s="135" t="s">
        <v>394</v>
      </c>
      <c r="C211" s="135" t="s">
        <v>52</v>
      </c>
      <c r="D211" s="135" t="s">
        <v>2526</v>
      </c>
      <c r="E211" s="135" t="s">
        <v>1704</v>
      </c>
      <c r="F211" s="135">
        <v>3700</v>
      </c>
      <c r="G211" s="135">
        <v>0</v>
      </c>
      <c r="H211" s="135">
        <v>18.8</v>
      </c>
      <c r="I211" s="135">
        <v>6.4</v>
      </c>
      <c r="J211" s="135">
        <v>5.75</v>
      </c>
      <c r="K211" s="135">
        <v>5.75</v>
      </c>
      <c r="L211" s="135">
        <v>40</v>
      </c>
      <c r="M211" s="135">
        <v>0</v>
      </c>
      <c r="N211" s="135">
        <v>1.6</v>
      </c>
      <c r="O211" s="135">
        <v>9.1</v>
      </c>
      <c r="P211" s="135">
        <v>2.5</v>
      </c>
    </row>
    <row r="212" spans="1:16" x14ac:dyDescent="0.3">
      <c r="A212" s="135" t="s">
        <v>102</v>
      </c>
      <c r="B212" s="135" t="s">
        <v>394</v>
      </c>
      <c r="C212" s="135" t="s">
        <v>28</v>
      </c>
      <c r="D212" s="135" t="s">
        <v>2527</v>
      </c>
      <c r="E212" s="135" t="s">
        <v>1728</v>
      </c>
      <c r="F212" s="135">
        <v>3700</v>
      </c>
      <c r="G212" s="135">
        <v>3.3</v>
      </c>
      <c r="H212" s="135">
        <v>26.4</v>
      </c>
      <c r="I212" s="135">
        <v>10.8</v>
      </c>
      <c r="J212" s="135">
        <v>10.98</v>
      </c>
      <c r="K212" s="135">
        <v>10.98</v>
      </c>
      <c r="L212" s="135">
        <v>40</v>
      </c>
      <c r="M212" s="135">
        <v>14</v>
      </c>
      <c r="N212" s="135">
        <v>3</v>
      </c>
      <c r="O212" s="135">
        <v>21.7</v>
      </c>
      <c r="P212" s="135">
        <v>5.9</v>
      </c>
    </row>
    <row r="213" spans="1:16" x14ac:dyDescent="0.3">
      <c r="A213" s="135" t="s">
        <v>126</v>
      </c>
      <c r="B213" s="135" t="s">
        <v>394</v>
      </c>
      <c r="C213" s="135" t="s">
        <v>39</v>
      </c>
      <c r="D213" s="135" t="s">
        <v>2536</v>
      </c>
      <c r="E213" s="135" t="s">
        <v>1720</v>
      </c>
      <c r="F213" s="135">
        <v>3700</v>
      </c>
      <c r="G213" s="135">
        <v>3</v>
      </c>
      <c r="H213" s="135">
        <v>23.4</v>
      </c>
      <c r="I213" s="135">
        <v>10.1</v>
      </c>
      <c r="J213" s="135">
        <v>9.77</v>
      </c>
      <c r="K213" s="135">
        <v>9.77</v>
      </c>
      <c r="L213" s="135">
        <v>40</v>
      </c>
      <c r="M213" s="135">
        <v>0</v>
      </c>
      <c r="N213" s="135">
        <v>2.6</v>
      </c>
      <c r="O213" s="135">
        <v>27.7</v>
      </c>
      <c r="P213" s="135">
        <v>7.5</v>
      </c>
    </row>
    <row r="214" spans="1:16" x14ac:dyDescent="0.3">
      <c r="A214" s="135" t="s">
        <v>127</v>
      </c>
      <c r="B214" s="135" t="s">
        <v>394</v>
      </c>
      <c r="C214" s="135" t="s">
        <v>37</v>
      </c>
      <c r="D214" s="135" t="s">
        <v>2525</v>
      </c>
      <c r="E214" s="135" t="s">
        <v>1734</v>
      </c>
      <c r="F214" s="135">
        <v>3700</v>
      </c>
      <c r="G214" s="135">
        <v>5.9</v>
      </c>
      <c r="H214" s="135">
        <v>26.6</v>
      </c>
      <c r="I214" s="135">
        <v>9.9</v>
      </c>
      <c r="J214" s="135">
        <v>12.81</v>
      </c>
      <c r="K214" s="135">
        <v>12.81</v>
      </c>
      <c r="L214" s="135">
        <v>40</v>
      </c>
      <c r="M214" s="135">
        <v>22</v>
      </c>
      <c r="N214" s="135">
        <v>3.5</v>
      </c>
      <c r="O214" s="135">
        <v>16.5</v>
      </c>
      <c r="P214" s="135">
        <v>4.5</v>
      </c>
    </row>
    <row r="215" spans="1:16" x14ac:dyDescent="0.3">
      <c r="A215" s="135" t="s">
        <v>332</v>
      </c>
      <c r="B215" s="135" t="s">
        <v>399</v>
      </c>
      <c r="C215" s="135" t="s">
        <v>26</v>
      </c>
      <c r="D215" s="135" t="s">
        <v>2539</v>
      </c>
      <c r="E215" s="135" t="s">
        <v>1728</v>
      </c>
      <c r="F215" s="135">
        <v>3700</v>
      </c>
      <c r="G215" s="135">
        <v>5.0999999999999996</v>
      </c>
      <c r="H215" s="135">
        <v>19.8</v>
      </c>
      <c r="I215" s="135">
        <v>9.3000000000000007</v>
      </c>
      <c r="J215" s="135">
        <v>10</v>
      </c>
      <c r="K215" s="135">
        <v>10</v>
      </c>
      <c r="L215" s="135">
        <v>40</v>
      </c>
      <c r="M215" s="135">
        <v>61</v>
      </c>
      <c r="N215" s="135">
        <v>2.7</v>
      </c>
      <c r="O215" s="135">
        <v>11.9</v>
      </c>
      <c r="P215" s="135">
        <v>3.2</v>
      </c>
    </row>
    <row r="216" spans="1:16" x14ac:dyDescent="0.3">
      <c r="A216" s="135" t="s">
        <v>1350</v>
      </c>
      <c r="B216" s="135" t="s">
        <v>396</v>
      </c>
      <c r="C216" s="135" t="s">
        <v>22</v>
      </c>
      <c r="D216" s="135" t="s">
        <v>2529</v>
      </c>
      <c r="E216" s="135" t="s">
        <v>1724</v>
      </c>
      <c r="F216" s="135">
        <v>3700</v>
      </c>
      <c r="G216" s="135">
        <v>0</v>
      </c>
      <c r="H216" s="135">
        <v>24</v>
      </c>
      <c r="I216" s="135">
        <v>12.5</v>
      </c>
      <c r="J216" s="135">
        <v>7.57</v>
      </c>
      <c r="K216" s="135">
        <v>7.57</v>
      </c>
      <c r="L216" s="135">
        <v>40</v>
      </c>
      <c r="M216" s="135">
        <v>0</v>
      </c>
      <c r="N216" s="135">
        <v>2</v>
      </c>
      <c r="O216" s="135">
        <v>9.6999999999999993</v>
      </c>
      <c r="P216" s="135">
        <v>2.6</v>
      </c>
    </row>
    <row r="217" spans="1:16" x14ac:dyDescent="0.3">
      <c r="A217" s="135" t="s">
        <v>130</v>
      </c>
      <c r="B217" s="135" t="s">
        <v>394</v>
      </c>
      <c r="C217" s="135" t="s">
        <v>24</v>
      </c>
      <c r="D217" s="135" t="s">
        <v>1902</v>
      </c>
      <c r="E217" s="135" t="s">
        <v>1729</v>
      </c>
      <c r="F217" s="135">
        <v>3600</v>
      </c>
      <c r="G217" s="135">
        <v>0</v>
      </c>
      <c r="H217" s="135">
        <v>20.3</v>
      </c>
      <c r="I217" s="135">
        <v>7.6</v>
      </c>
      <c r="J217" s="135">
        <v>4.13</v>
      </c>
      <c r="K217" s="135">
        <v>4.13</v>
      </c>
      <c r="L217" s="135">
        <v>40</v>
      </c>
      <c r="M217" s="135">
        <v>0</v>
      </c>
      <c r="N217" s="135">
        <v>1.1000000000000001</v>
      </c>
      <c r="O217" s="135">
        <v>0</v>
      </c>
    </row>
    <row r="218" spans="1:16" x14ac:dyDescent="0.3">
      <c r="A218" s="135" t="s">
        <v>512</v>
      </c>
      <c r="B218" s="135" t="s">
        <v>394</v>
      </c>
      <c r="C218" s="135" t="s">
        <v>4</v>
      </c>
      <c r="D218" s="135" t="s">
        <v>2530</v>
      </c>
      <c r="E218" s="135" t="s">
        <v>1714</v>
      </c>
      <c r="F218" s="135">
        <v>3600</v>
      </c>
      <c r="G218" s="135">
        <v>0</v>
      </c>
      <c r="H218" s="135">
        <v>0</v>
      </c>
      <c r="J218" s="135">
        <v>0</v>
      </c>
      <c r="K218" s="135">
        <v>0</v>
      </c>
      <c r="L218" s="135">
        <v>40</v>
      </c>
      <c r="M218" s="135">
        <v>0</v>
      </c>
      <c r="N218" s="135">
        <v>0</v>
      </c>
      <c r="O218" s="135">
        <v>5.0999999999999996</v>
      </c>
      <c r="P218" s="135">
        <v>1.4</v>
      </c>
    </row>
    <row r="219" spans="1:16" x14ac:dyDescent="0.3">
      <c r="A219" s="135" t="s">
        <v>563</v>
      </c>
      <c r="B219" s="135" t="s">
        <v>459</v>
      </c>
      <c r="C219" s="135" t="s">
        <v>24</v>
      </c>
      <c r="D219" s="135" t="s">
        <v>1902</v>
      </c>
      <c r="E219" s="135" t="s">
        <v>1724</v>
      </c>
      <c r="F219" s="135">
        <v>3600</v>
      </c>
      <c r="G219" s="135">
        <v>1.4</v>
      </c>
      <c r="H219" s="135">
        <v>26</v>
      </c>
      <c r="I219" s="135">
        <v>10.4</v>
      </c>
      <c r="J219" s="135">
        <v>9.61</v>
      </c>
      <c r="K219" s="135">
        <v>9.61</v>
      </c>
      <c r="L219" s="135">
        <v>40</v>
      </c>
      <c r="M219" s="135">
        <v>41</v>
      </c>
      <c r="N219" s="135">
        <v>2.7</v>
      </c>
      <c r="O219" s="135">
        <v>7</v>
      </c>
      <c r="P219" s="135">
        <v>1.9</v>
      </c>
    </row>
    <row r="220" spans="1:16" x14ac:dyDescent="0.3">
      <c r="A220" s="135" t="s">
        <v>249</v>
      </c>
      <c r="B220" s="135" t="s">
        <v>396</v>
      </c>
      <c r="C220" s="135" t="s">
        <v>407</v>
      </c>
      <c r="D220" s="135" t="s">
        <v>2540</v>
      </c>
      <c r="E220" s="135" t="s">
        <v>1714</v>
      </c>
      <c r="F220" s="135">
        <v>3600</v>
      </c>
      <c r="G220" s="135">
        <v>2.8</v>
      </c>
      <c r="H220" s="135">
        <v>21.4</v>
      </c>
      <c r="I220" s="135">
        <v>8.4</v>
      </c>
      <c r="J220" s="135">
        <v>8.99</v>
      </c>
      <c r="K220" s="135">
        <v>8.99</v>
      </c>
      <c r="L220" s="135">
        <v>40</v>
      </c>
      <c r="M220" s="135">
        <v>0</v>
      </c>
      <c r="N220" s="135">
        <v>2.5</v>
      </c>
      <c r="O220" s="135">
        <v>6.2</v>
      </c>
      <c r="P220" s="135">
        <v>1.7</v>
      </c>
    </row>
    <row r="221" spans="1:16" x14ac:dyDescent="0.3">
      <c r="A221" s="135" t="s">
        <v>520</v>
      </c>
      <c r="B221" s="135" t="s">
        <v>394</v>
      </c>
      <c r="C221" s="135" t="s">
        <v>26</v>
      </c>
      <c r="D221" s="135" t="s">
        <v>2539</v>
      </c>
      <c r="E221" s="135" t="s">
        <v>1712</v>
      </c>
      <c r="F221" s="135">
        <v>3600</v>
      </c>
      <c r="G221" s="135">
        <v>2</v>
      </c>
      <c r="H221" s="135">
        <v>12.2</v>
      </c>
      <c r="J221" s="135">
        <v>8.11</v>
      </c>
      <c r="K221" s="135">
        <v>8.11</v>
      </c>
      <c r="L221" s="135">
        <v>40</v>
      </c>
      <c r="M221" s="135">
        <v>0</v>
      </c>
      <c r="N221" s="135">
        <v>2.2999999999999998</v>
      </c>
      <c r="O221" s="135">
        <v>4.5</v>
      </c>
      <c r="P221" s="135">
        <v>1.3</v>
      </c>
    </row>
    <row r="222" spans="1:16" x14ac:dyDescent="0.3">
      <c r="A222" s="135" t="s">
        <v>258</v>
      </c>
      <c r="B222" s="135" t="s">
        <v>396</v>
      </c>
      <c r="C222" s="135" t="s">
        <v>57</v>
      </c>
      <c r="D222" s="135" t="s">
        <v>2541</v>
      </c>
      <c r="E222" s="135" t="s">
        <v>1735</v>
      </c>
      <c r="F222" s="135">
        <v>3600</v>
      </c>
      <c r="G222" s="135">
        <v>0.5</v>
      </c>
      <c r="H222" s="135">
        <v>21.8</v>
      </c>
      <c r="I222" s="135">
        <v>5.9</v>
      </c>
      <c r="J222" s="135">
        <v>7.64</v>
      </c>
      <c r="K222" s="135">
        <v>7.64</v>
      </c>
      <c r="L222" s="135">
        <v>40</v>
      </c>
      <c r="M222" s="135">
        <v>3</v>
      </c>
      <c r="N222" s="135">
        <v>2.1</v>
      </c>
      <c r="O222" s="135">
        <v>12.6</v>
      </c>
      <c r="P222" s="135">
        <v>3.5</v>
      </c>
    </row>
    <row r="223" spans="1:16" x14ac:dyDescent="0.3">
      <c r="A223" s="135" t="s">
        <v>516</v>
      </c>
      <c r="B223" s="135" t="s">
        <v>394</v>
      </c>
      <c r="C223" s="135" t="s">
        <v>57</v>
      </c>
      <c r="D223" s="135" t="s">
        <v>2541</v>
      </c>
      <c r="E223" s="135" t="s">
        <v>1733</v>
      </c>
      <c r="F223" s="135">
        <v>3600</v>
      </c>
      <c r="G223" s="135">
        <v>2.4</v>
      </c>
      <c r="H223" s="135">
        <v>14.1</v>
      </c>
      <c r="J223" s="135">
        <v>9.41</v>
      </c>
      <c r="K223" s="135">
        <v>9.41</v>
      </c>
      <c r="L223" s="135">
        <v>40</v>
      </c>
      <c r="M223" s="135">
        <v>0</v>
      </c>
      <c r="N223" s="135">
        <v>2.6</v>
      </c>
      <c r="O223" s="135">
        <v>6.8</v>
      </c>
      <c r="P223" s="135">
        <v>1.9</v>
      </c>
    </row>
    <row r="224" spans="1:16" x14ac:dyDescent="0.3">
      <c r="A224" s="135" t="s">
        <v>97</v>
      </c>
      <c r="B224" s="135" t="s">
        <v>394</v>
      </c>
      <c r="C224" s="135" t="s">
        <v>397</v>
      </c>
      <c r="D224" s="135" t="s">
        <v>1903</v>
      </c>
      <c r="E224" s="135" t="s">
        <v>1320</v>
      </c>
      <c r="F224" s="135">
        <v>3500</v>
      </c>
      <c r="G224" s="135">
        <v>0</v>
      </c>
      <c r="H224" s="135">
        <v>23.9</v>
      </c>
      <c r="I224" s="135">
        <v>10.5</v>
      </c>
      <c r="J224" s="135">
        <v>5.87</v>
      </c>
      <c r="K224" s="135">
        <v>5.87</v>
      </c>
      <c r="L224" s="135">
        <v>40</v>
      </c>
      <c r="M224" s="135">
        <v>0</v>
      </c>
      <c r="N224" s="135">
        <v>1.7</v>
      </c>
      <c r="O224" s="135">
        <v>4.0999999999999996</v>
      </c>
      <c r="P224" s="135">
        <v>1.2</v>
      </c>
    </row>
    <row r="225" spans="1:16" x14ac:dyDescent="0.3">
      <c r="A225" s="135" t="s">
        <v>256</v>
      </c>
      <c r="B225" s="135" t="s">
        <v>396</v>
      </c>
      <c r="C225" s="135" t="s">
        <v>46</v>
      </c>
      <c r="D225" s="135" t="s">
        <v>2528</v>
      </c>
      <c r="E225" s="135" t="s">
        <v>1730</v>
      </c>
      <c r="F225" s="135">
        <v>3500</v>
      </c>
      <c r="G225" s="135">
        <v>3</v>
      </c>
      <c r="H225" s="135">
        <v>26.4</v>
      </c>
      <c r="I225" s="135">
        <v>7.4</v>
      </c>
      <c r="J225" s="135">
        <v>10.79</v>
      </c>
      <c r="K225" s="135">
        <v>10.79</v>
      </c>
      <c r="L225" s="135">
        <v>40</v>
      </c>
      <c r="M225" s="135">
        <v>50</v>
      </c>
      <c r="N225" s="135">
        <v>3.1</v>
      </c>
      <c r="O225" s="135">
        <v>5.0999999999999996</v>
      </c>
      <c r="P225" s="135">
        <v>1.5</v>
      </c>
    </row>
    <row r="226" spans="1:16" x14ac:dyDescent="0.3">
      <c r="A226" s="135" t="s">
        <v>354</v>
      </c>
      <c r="B226" s="135" t="s">
        <v>399</v>
      </c>
      <c r="C226" s="135" t="s">
        <v>20</v>
      </c>
      <c r="D226" s="135" t="s">
        <v>2523</v>
      </c>
      <c r="E226" s="135" t="s">
        <v>1717</v>
      </c>
      <c r="F226" s="135">
        <v>3500</v>
      </c>
      <c r="G226" s="135">
        <v>6.6</v>
      </c>
      <c r="H226" s="135">
        <v>15</v>
      </c>
      <c r="I226" s="135">
        <v>4.3</v>
      </c>
      <c r="J226" s="135">
        <v>9.3699999999999992</v>
      </c>
      <c r="K226" s="135">
        <v>9.3699999999999992</v>
      </c>
      <c r="L226" s="135">
        <v>40</v>
      </c>
      <c r="M226" s="135">
        <v>72</v>
      </c>
      <c r="N226" s="135">
        <v>2.7</v>
      </c>
      <c r="O226" s="135">
        <v>3</v>
      </c>
      <c r="P226" s="135">
        <v>0.9</v>
      </c>
    </row>
    <row r="227" spans="1:16" x14ac:dyDescent="0.3">
      <c r="A227" s="135" t="s">
        <v>272</v>
      </c>
      <c r="B227" s="135" t="s">
        <v>396</v>
      </c>
      <c r="C227" s="135" t="s">
        <v>39</v>
      </c>
      <c r="D227" s="135" t="s">
        <v>2536</v>
      </c>
      <c r="E227" s="135" t="s">
        <v>1704</v>
      </c>
      <c r="F227" s="135">
        <v>3500</v>
      </c>
      <c r="G227" s="135">
        <v>2.6</v>
      </c>
      <c r="H227" s="135">
        <v>14.9</v>
      </c>
      <c r="I227" s="135">
        <v>4.3</v>
      </c>
      <c r="J227" s="135">
        <v>6.72</v>
      </c>
      <c r="K227" s="135">
        <v>6.72</v>
      </c>
      <c r="L227" s="135">
        <v>40</v>
      </c>
      <c r="M227" s="135">
        <v>66</v>
      </c>
      <c r="N227" s="135">
        <v>1.9</v>
      </c>
      <c r="O227" s="135">
        <v>5.0999999999999996</v>
      </c>
      <c r="P227" s="135">
        <v>1.5</v>
      </c>
    </row>
    <row r="228" spans="1:16" x14ac:dyDescent="0.3">
      <c r="A228" s="135" t="s">
        <v>607</v>
      </c>
      <c r="B228" s="135" t="s">
        <v>459</v>
      </c>
      <c r="C228" s="135" t="s">
        <v>70</v>
      </c>
      <c r="D228" s="135" t="s">
        <v>2533</v>
      </c>
      <c r="E228" s="135" t="s">
        <v>1715</v>
      </c>
      <c r="F228" s="135">
        <v>3500</v>
      </c>
      <c r="G228" s="135">
        <v>3.8</v>
      </c>
      <c r="H228" s="135">
        <v>21.5</v>
      </c>
      <c r="I228" s="135">
        <v>10.8</v>
      </c>
      <c r="J228" s="135">
        <v>9.67</v>
      </c>
      <c r="K228" s="135">
        <v>9.67</v>
      </c>
      <c r="L228" s="135">
        <v>40</v>
      </c>
      <c r="M228" s="135">
        <v>58</v>
      </c>
      <c r="N228" s="135">
        <v>2.8</v>
      </c>
      <c r="O228" s="135">
        <v>9</v>
      </c>
      <c r="P228" s="135">
        <v>2.6</v>
      </c>
    </row>
    <row r="229" spans="1:16" x14ac:dyDescent="0.3">
      <c r="A229" s="135" t="s">
        <v>149</v>
      </c>
      <c r="B229" s="135" t="s">
        <v>394</v>
      </c>
      <c r="C229" s="135" t="s">
        <v>32</v>
      </c>
      <c r="D229" s="135" t="s">
        <v>2544</v>
      </c>
      <c r="E229" s="135" t="s">
        <v>1731</v>
      </c>
      <c r="F229" s="135">
        <v>3500</v>
      </c>
      <c r="G229" s="135">
        <v>3.5</v>
      </c>
      <c r="H229" s="135">
        <v>19.7</v>
      </c>
      <c r="I229" s="135">
        <v>3.4</v>
      </c>
      <c r="J229" s="135">
        <v>8.93</v>
      </c>
      <c r="K229" s="135">
        <v>8.93</v>
      </c>
      <c r="L229" s="135">
        <v>40</v>
      </c>
      <c r="M229" s="135">
        <v>14</v>
      </c>
      <c r="N229" s="135">
        <v>2.6</v>
      </c>
      <c r="O229" s="135">
        <v>6.3</v>
      </c>
      <c r="P229" s="135">
        <v>1.8</v>
      </c>
    </row>
    <row r="230" spans="1:16" x14ac:dyDescent="0.3">
      <c r="A230" s="135" t="s">
        <v>465</v>
      </c>
      <c r="B230" s="135" t="s">
        <v>396</v>
      </c>
      <c r="C230" s="135" t="s">
        <v>28</v>
      </c>
      <c r="D230" s="135" t="s">
        <v>2527</v>
      </c>
      <c r="E230" s="135" t="s">
        <v>1320</v>
      </c>
      <c r="F230" s="135">
        <v>3500</v>
      </c>
      <c r="G230" s="135">
        <v>1.8</v>
      </c>
      <c r="H230" s="135">
        <v>11.1</v>
      </c>
      <c r="J230" s="135">
        <v>7.37</v>
      </c>
      <c r="K230" s="135">
        <v>7.37</v>
      </c>
      <c r="L230" s="135">
        <v>40</v>
      </c>
      <c r="M230" s="135">
        <v>0</v>
      </c>
      <c r="N230" s="135">
        <v>2.1</v>
      </c>
      <c r="O230" s="135">
        <v>4.8</v>
      </c>
      <c r="P230" s="135">
        <v>1.4</v>
      </c>
    </row>
    <row r="231" spans="1:16" x14ac:dyDescent="0.3">
      <c r="A231" s="135" t="s">
        <v>103</v>
      </c>
      <c r="B231" s="135" t="s">
        <v>394</v>
      </c>
      <c r="C231" s="135" t="s">
        <v>24</v>
      </c>
      <c r="D231" s="135" t="s">
        <v>1902</v>
      </c>
      <c r="E231" s="135" t="s">
        <v>1729</v>
      </c>
      <c r="F231" s="135">
        <v>3500</v>
      </c>
      <c r="G231" s="135">
        <v>0</v>
      </c>
      <c r="H231" s="135">
        <v>19.100000000000001</v>
      </c>
      <c r="I231" s="135">
        <v>11</v>
      </c>
      <c r="J231" s="135">
        <v>5.46</v>
      </c>
      <c r="K231" s="135">
        <v>5.46</v>
      </c>
      <c r="L231" s="135">
        <v>40</v>
      </c>
      <c r="M231" s="135">
        <v>0</v>
      </c>
      <c r="N231" s="135">
        <v>1.6</v>
      </c>
      <c r="O231" s="135">
        <v>0.5</v>
      </c>
      <c r="P231" s="135">
        <v>0.1</v>
      </c>
    </row>
    <row r="232" spans="1:16" x14ac:dyDescent="0.3">
      <c r="A232" s="135" t="s">
        <v>245</v>
      </c>
      <c r="B232" s="135" t="s">
        <v>396</v>
      </c>
      <c r="C232" s="135" t="s">
        <v>4</v>
      </c>
      <c r="D232" s="135" t="s">
        <v>2530</v>
      </c>
      <c r="E232" s="135" t="s">
        <v>1731</v>
      </c>
      <c r="F232" s="135">
        <v>3500</v>
      </c>
      <c r="G232" s="135">
        <v>0</v>
      </c>
      <c r="H232" s="135">
        <v>21.4</v>
      </c>
      <c r="I232" s="135">
        <v>7.2</v>
      </c>
      <c r="J232" s="135">
        <v>6</v>
      </c>
      <c r="K232" s="135">
        <v>6</v>
      </c>
      <c r="L232" s="135">
        <v>40</v>
      </c>
      <c r="M232" s="135">
        <v>0</v>
      </c>
      <c r="N232" s="135">
        <v>1.7</v>
      </c>
      <c r="O232" s="135">
        <v>10.7</v>
      </c>
      <c r="P232" s="135">
        <v>3.1</v>
      </c>
    </row>
    <row r="233" spans="1:16" x14ac:dyDescent="0.3">
      <c r="A233" s="135" t="s">
        <v>260</v>
      </c>
      <c r="B233" s="135" t="s">
        <v>396</v>
      </c>
      <c r="C233" s="135" t="s">
        <v>28</v>
      </c>
      <c r="D233" s="135" t="s">
        <v>2527</v>
      </c>
      <c r="E233" s="135" t="s">
        <v>1320</v>
      </c>
      <c r="F233" s="135">
        <v>3400</v>
      </c>
      <c r="G233" s="135">
        <v>0</v>
      </c>
      <c r="H233" s="135">
        <v>22.7</v>
      </c>
      <c r="I233" s="135">
        <v>8.4</v>
      </c>
      <c r="J233" s="135">
        <v>7.3</v>
      </c>
      <c r="K233" s="135">
        <v>7.3</v>
      </c>
      <c r="L233" s="135">
        <v>40</v>
      </c>
      <c r="M233" s="135">
        <v>23</v>
      </c>
      <c r="N233" s="135">
        <v>2.1</v>
      </c>
      <c r="O233" s="135">
        <v>5.2</v>
      </c>
      <c r="P233" s="135">
        <v>1.5</v>
      </c>
    </row>
    <row r="234" spans="1:16" x14ac:dyDescent="0.3">
      <c r="A234" s="135" t="s">
        <v>479</v>
      </c>
      <c r="B234" s="135" t="s">
        <v>396</v>
      </c>
      <c r="C234" s="135" t="s">
        <v>14</v>
      </c>
      <c r="D234" s="135" t="s">
        <v>2545</v>
      </c>
      <c r="E234" s="135" t="s">
        <v>1733</v>
      </c>
      <c r="F234" s="135">
        <v>3400</v>
      </c>
      <c r="G234" s="135">
        <v>2.2000000000000002</v>
      </c>
      <c r="H234" s="135">
        <v>13.3</v>
      </c>
      <c r="I234" s="135">
        <v>2.6</v>
      </c>
      <c r="J234" s="135">
        <v>8.89</v>
      </c>
      <c r="K234" s="135">
        <v>8.89</v>
      </c>
      <c r="L234" s="135">
        <v>40</v>
      </c>
      <c r="M234" s="135">
        <v>0</v>
      </c>
      <c r="N234" s="135">
        <v>2.6</v>
      </c>
      <c r="O234" s="135">
        <v>34.9</v>
      </c>
      <c r="P234" s="135">
        <v>10.3</v>
      </c>
    </row>
    <row r="235" spans="1:16" x14ac:dyDescent="0.3">
      <c r="A235" s="135" t="s">
        <v>532</v>
      </c>
      <c r="B235" s="135" t="s">
        <v>399</v>
      </c>
      <c r="C235" s="135" t="s">
        <v>32</v>
      </c>
      <c r="D235" s="135" t="s">
        <v>2544</v>
      </c>
      <c r="E235" s="135" t="s">
        <v>1734</v>
      </c>
      <c r="F235" s="135">
        <v>3400</v>
      </c>
      <c r="G235" s="135">
        <v>4.5</v>
      </c>
      <c r="H235" s="135">
        <v>23.4</v>
      </c>
      <c r="J235" s="135">
        <v>10.76</v>
      </c>
      <c r="K235" s="135">
        <v>10.76</v>
      </c>
      <c r="L235" s="135">
        <v>40</v>
      </c>
      <c r="M235" s="135">
        <v>57</v>
      </c>
      <c r="N235" s="135">
        <v>3.2</v>
      </c>
      <c r="O235" s="135">
        <v>10.199999999999999</v>
      </c>
      <c r="P235" s="135">
        <v>3</v>
      </c>
    </row>
    <row r="236" spans="1:16" x14ac:dyDescent="0.3">
      <c r="A236" s="135" t="s">
        <v>141</v>
      </c>
      <c r="B236" s="135" t="s">
        <v>394</v>
      </c>
      <c r="C236" s="135" t="s">
        <v>18</v>
      </c>
      <c r="D236" s="135" t="s">
        <v>1898</v>
      </c>
      <c r="E236" s="135" t="s">
        <v>1727</v>
      </c>
      <c r="F236" s="135">
        <v>3400</v>
      </c>
      <c r="G236" s="135">
        <v>2.1</v>
      </c>
      <c r="H236" s="135">
        <v>20.100000000000001</v>
      </c>
      <c r="I236" s="135">
        <v>7.1</v>
      </c>
      <c r="J236" s="135">
        <v>8.08</v>
      </c>
      <c r="K236" s="135">
        <v>8.08</v>
      </c>
      <c r="L236" s="135">
        <v>40</v>
      </c>
      <c r="M236" s="135">
        <v>42</v>
      </c>
      <c r="N236" s="135">
        <v>2.4</v>
      </c>
      <c r="O236" s="135">
        <v>2.6</v>
      </c>
      <c r="P236" s="135">
        <v>0.8</v>
      </c>
    </row>
    <row r="237" spans="1:16" x14ac:dyDescent="0.3">
      <c r="A237" s="135" t="s">
        <v>408</v>
      </c>
      <c r="B237" s="135" t="s">
        <v>396</v>
      </c>
      <c r="C237" s="135" t="s">
        <v>30</v>
      </c>
      <c r="D237" s="135" t="s">
        <v>2543</v>
      </c>
      <c r="E237" s="135" t="s">
        <v>1708</v>
      </c>
      <c r="F237" s="135">
        <v>3400</v>
      </c>
      <c r="G237" s="135">
        <v>0</v>
      </c>
      <c r="H237" s="135">
        <v>20</v>
      </c>
      <c r="I237" s="135">
        <v>7.2</v>
      </c>
      <c r="J237" s="135">
        <v>5.21</v>
      </c>
      <c r="K237" s="135">
        <v>5.21</v>
      </c>
      <c r="L237" s="135">
        <v>40</v>
      </c>
      <c r="M237" s="135">
        <v>0</v>
      </c>
      <c r="N237" s="135">
        <v>1.5</v>
      </c>
      <c r="O237" s="135">
        <v>0</v>
      </c>
    </row>
    <row r="238" spans="1:16" x14ac:dyDescent="0.3">
      <c r="A238" s="135" t="s">
        <v>151</v>
      </c>
      <c r="B238" s="135" t="s">
        <v>394</v>
      </c>
      <c r="C238" s="135" t="s">
        <v>409</v>
      </c>
      <c r="D238" s="135" t="s">
        <v>2535</v>
      </c>
      <c r="E238" s="135" t="s">
        <v>1725</v>
      </c>
      <c r="F238" s="135">
        <v>3400</v>
      </c>
      <c r="G238" s="135">
        <v>0</v>
      </c>
      <c r="H238" s="135">
        <v>14.1</v>
      </c>
      <c r="I238" s="135">
        <v>4.3</v>
      </c>
      <c r="J238" s="135">
        <v>4.66</v>
      </c>
      <c r="K238" s="135">
        <v>4.66</v>
      </c>
      <c r="L238" s="135">
        <v>40</v>
      </c>
      <c r="M238" s="135">
        <v>0</v>
      </c>
      <c r="N238" s="135">
        <v>1.4</v>
      </c>
      <c r="O238" s="135">
        <v>4.9000000000000004</v>
      </c>
      <c r="P238" s="135">
        <v>1.4</v>
      </c>
    </row>
    <row r="239" spans="1:16" x14ac:dyDescent="0.3">
      <c r="A239" s="135" t="s">
        <v>461</v>
      </c>
      <c r="B239" s="135" t="s">
        <v>394</v>
      </c>
      <c r="C239" s="135" t="s">
        <v>4</v>
      </c>
      <c r="D239" s="135" t="s">
        <v>2530</v>
      </c>
      <c r="E239" s="135" t="s">
        <v>1714</v>
      </c>
      <c r="F239" s="135">
        <v>3400</v>
      </c>
      <c r="G239" s="135">
        <v>1.5</v>
      </c>
      <c r="H239" s="135">
        <v>9.1999999999999993</v>
      </c>
      <c r="J239" s="135">
        <v>6.16</v>
      </c>
      <c r="K239" s="135">
        <v>6.16</v>
      </c>
      <c r="L239" s="135">
        <v>40</v>
      </c>
      <c r="M239" s="135">
        <v>0</v>
      </c>
      <c r="N239" s="135">
        <v>1.8</v>
      </c>
      <c r="O239" s="135">
        <v>7.2</v>
      </c>
      <c r="P239" s="135">
        <v>2.1</v>
      </c>
    </row>
    <row r="240" spans="1:16" x14ac:dyDescent="0.3">
      <c r="A240" s="135" t="s">
        <v>108</v>
      </c>
      <c r="B240" s="135" t="s">
        <v>394</v>
      </c>
      <c r="C240" s="135" t="s">
        <v>43</v>
      </c>
      <c r="D240" s="135" t="s">
        <v>1904</v>
      </c>
      <c r="E240" s="135" t="s">
        <v>1707</v>
      </c>
      <c r="F240" s="135">
        <v>3400</v>
      </c>
      <c r="G240" s="135">
        <v>0</v>
      </c>
      <c r="H240" s="135">
        <v>15.7</v>
      </c>
      <c r="I240" s="135">
        <v>8.6999999999999993</v>
      </c>
      <c r="J240" s="135">
        <v>2.86</v>
      </c>
      <c r="K240" s="135">
        <v>2.86</v>
      </c>
      <c r="L240" s="135">
        <v>40</v>
      </c>
      <c r="M240" s="135">
        <v>0</v>
      </c>
      <c r="N240" s="135">
        <v>0.8</v>
      </c>
      <c r="O240" s="135">
        <v>1.2</v>
      </c>
      <c r="P240" s="135">
        <v>0.4</v>
      </c>
    </row>
    <row r="241" spans="1:16" x14ac:dyDescent="0.3">
      <c r="A241" s="135" t="s">
        <v>225</v>
      </c>
      <c r="B241" s="135" t="s">
        <v>396</v>
      </c>
      <c r="C241" s="135" t="s">
        <v>7</v>
      </c>
      <c r="D241" s="135" t="s">
        <v>1899</v>
      </c>
      <c r="E241" s="135" t="s">
        <v>1706</v>
      </c>
      <c r="F241" s="135">
        <v>3400</v>
      </c>
      <c r="G241" s="135">
        <v>0</v>
      </c>
      <c r="H241" s="135">
        <v>22.4</v>
      </c>
      <c r="I241" s="135">
        <v>9.4</v>
      </c>
      <c r="J241" s="135">
        <v>6.79</v>
      </c>
      <c r="K241" s="135">
        <v>6.79</v>
      </c>
      <c r="L241" s="135">
        <v>40</v>
      </c>
      <c r="M241" s="135">
        <v>0</v>
      </c>
      <c r="N241" s="135">
        <v>2</v>
      </c>
      <c r="O241" s="135">
        <v>3.1</v>
      </c>
      <c r="P241" s="135">
        <v>0.9</v>
      </c>
    </row>
    <row r="242" spans="1:16" x14ac:dyDescent="0.3">
      <c r="A242" s="135" t="s">
        <v>294</v>
      </c>
      <c r="B242" s="135" t="s">
        <v>396</v>
      </c>
      <c r="C242" s="135" t="s">
        <v>398</v>
      </c>
      <c r="D242" s="135" t="s">
        <v>2546</v>
      </c>
      <c r="E242" s="135" t="s">
        <v>1722</v>
      </c>
      <c r="F242" s="135">
        <v>3400</v>
      </c>
      <c r="G242" s="135">
        <v>2.6</v>
      </c>
      <c r="H242" s="135">
        <v>18.2</v>
      </c>
      <c r="I242" s="135">
        <v>2.7</v>
      </c>
      <c r="J242" s="135">
        <v>7.77</v>
      </c>
      <c r="K242" s="135">
        <v>7.77</v>
      </c>
      <c r="L242" s="135">
        <v>40</v>
      </c>
      <c r="M242" s="135">
        <v>45</v>
      </c>
      <c r="N242" s="135">
        <v>2.2999999999999998</v>
      </c>
      <c r="O242" s="135">
        <v>4.4000000000000004</v>
      </c>
      <c r="P242" s="135">
        <v>1.3</v>
      </c>
    </row>
    <row r="243" spans="1:16" x14ac:dyDescent="0.3">
      <c r="A243" s="135" t="s">
        <v>131</v>
      </c>
      <c r="B243" s="135" t="s">
        <v>394</v>
      </c>
      <c r="C243" s="135" t="s">
        <v>398</v>
      </c>
      <c r="D243" s="135" t="s">
        <v>2546</v>
      </c>
      <c r="E243" s="135" t="s">
        <v>1710</v>
      </c>
      <c r="F243" s="135">
        <v>3400</v>
      </c>
      <c r="G243" s="135">
        <v>0</v>
      </c>
      <c r="H243" s="135">
        <v>18.7</v>
      </c>
      <c r="I243" s="135">
        <v>7.1</v>
      </c>
      <c r="J243" s="135">
        <v>5.52</v>
      </c>
      <c r="K243" s="135">
        <v>5.52</v>
      </c>
      <c r="L243" s="135">
        <v>40</v>
      </c>
      <c r="M243" s="135">
        <v>0</v>
      </c>
      <c r="N243" s="135">
        <v>1.6</v>
      </c>
      <c r="O243" s="135">
        <v>2.2000000000000002</v>
      </c>
      <c r="P243" s="135">
        <v>0.6</v>
      </c>
    </row>
    <row r="244" spans="1:16" x14ac:dyDescent="0.3">
      <c r="A244" s="135" t="s">
        <v>124</v>
      </c>
      <c r="B244" s="135" t="s">
        <v>394</v>
      </c>
      <c r="C244" s="135" t="s">
        <v>34</v>
      </c>
      <c r="D244" s="135" t="s">
        <v>2534</v>
      </c>
      <c r="E244" s="135" t="s">
        <v>1709</v>
      </c>
      <c r="F244" s="135">
        <v>3400</v>
      </c>
      <c r="G244" s="135">
        <v>0.3</v>
      </c>
      <c r="H244" s="135">
        <v>21.4</v>
      </c>
      <c r="I244" s="135">
        <v>12.3</v>
      </c>
      <c r="J244" s="135">
        <v>7.35</v>
      </c>
      <c r="K244" s="135">
        <v>7.35</v>
      </c>
      <c r="L244" s="135">
        <v>40</v>
      </c>
      <c r="M244" s="135">
        <v>0</v>
      </c>
      <c r="N244" s="135">
        <v>2.2000000000000002</v>
      </c>
      <c r="O244" s="135">
        <v>12.1</v>
      </c>
      <c r="P244" s="135">
        <v>3.6</v>
      </c>
    </row>
    <row r="245" spans="1:16" x14ac:dyDescent="0.3">
      <c r="A245" s="135" t="s">
        <v>460</v>
      </c>
      <c r="B245" s="135" t="s">
        <v>394</v>
      </c>
      <c r="C245" s="135" t="s">
        <v>7</v>
      </c>
      <c r="D245" s="135" t="s">
        <v>1899</v>
      </c>
      <c r="E245" s="135" t="s">
        <v>1726</v>
      </c>
      <c r="F245" s="135">
        <v>3300</v>
      </c>
      <c r="G245" s="135">
        <v>0</v>
      </c>
      <c r="H245" s="135">
        <v>0</v>
      </c>
      <c r="J245" s="135">
        <v>0</v>
      </c>
      <c r="K245" s="135">
        <v>0</v>
      </c>
      <c r="L245" s="135">
        <v>40</v>
      </c>
      <c r="M245" s="135">
        <v>0</v>
      </c>
      <c r="N245" s="135">
        <v>0</v>
      </c>
    </row>
    <row r="246" spans="1:16" x14ac:dyDescent="0.3">
      <c r="A246" s="135" t="s">
        <v>230</v>
      </c>
      <c r="B246" s="135" t="s">
        <v>396</v>
      </c>
      <c r="C246" s="135" t="s">
        <v>52</v>
      </c>
      <c r="D246" s="135" t="s">
        <v>2526</v>
      </c>
      <c r="E246" s="135" t="s">
        <v>1720</v>
      </c>
      <c r="F246" s="135">
        <v>3300</v>
      </c>
      <c r="G246" s="135">
        <v>0</v>
      </c>
      <c r="H246" s="135">
        <v>20.2</v>
      </c>
      <c r="I246" s="135">
        <v>9.8000000000000007</v>
      </c>
      <c r="J246" s="135">
        <v>6.16</v>
      </c>
      <c r="K246" s="135">
        <v>6.16</v>
      </c>
      <c r="L246" s="135">
        <v>40</v>
      </c>
      <c r="M246" s="135">
        <v>0</v>
      </c>
      <c r="N246" s="135">
        <v>1.9</v>
      </c>
      <c r="O246" s="135">
        <v>11.8</v>
      </c>
      <c r="P246" s="135">
        <v>3.6</v>
      </c>
    </row>
    <row r="247" spans="1:16" x14ac:dyDescent="0.3">
      <c r="A247" s="135" t="s">
        <v>117</v>
      </c>
      <c r="B247" s="135" t="s">
        <v>394</v>
      </c>
      <c r="C247" s="135" t="s">
        <v>404</v>
      </c>
      <c r="D247" s="135" t="s">
        <v>1901</v>
      </c>
      <c r="E247" s="135" t="s">
        <v>1705</v>
      </c>
      <c r="F247" s="135">
        <v>3300</v>
      </c>
      <c r="G247" s="135">
        <v>0</v>
      </c>
      <c r="H247" s="135">
        <v>26.9</v>
      </c>
      <c r="I247" s="135">
        <v>14.9</v>
      </c>
      <c r="J247" s="135">
        <v>4.0599999999999996</v>
      </c>
      <c r="K247" s="135">
        <v>4.0599999999999996</v>
      </c>
      <c r="L247" s="135">
        <v>40</v>
      </c>
      <c r="M247" s="135">
        <v>0</v>
      </c>
      <c r="N247" s="135">
        <v>1.2</v>
      </c>
      <c r="O247" s="135">
        <v>1.9</v>
      </c>
      <c r="P247" s="135">
        <v>0.6</v>
      </c>
    </row>
    <row r="248" spans="1:16" x14ac:dyDescent="0.3">
      <c r="A248" s="135" t="s">
        <v>308</v>
      </c>
      <c r="B248" s="135" t="s">
        <v>399</v>
      </c>
      <c r="C248" s="135" t="s">
        <v>404</v>
      </c>
      <c r="D248" s="135" t="s">
        <v>1901</v>
      </c>
      <c r="E248" s="135" t="s">
        <v>1722</v>
      </c>
      <c r="F248" s="135">
        <v>3300</v>
      </c>
      <c r="G248" s="135">
        <v>2.8</v>
      </c>
      <c r="H248" s="135">
        <v>25.6</v>
      </c>
      <c r="I248" s="135">
        <v>8.1999999999999993</v>
      </c>
      <c r="J248" s="135">
        <v>10.36</v>
      </c>
      <c r="K248" s="135">
        <v>10.36</v>
      </c>
      <c r="L248" s="135">
        <v>40</v>
      </c>
      <c r="M248" s="135">
        <v>0</v>
      </c>
      <c r="N248" s="135">
        <v>3.1</v>
      </c>
      <c r="O248" s="135">
        <v>26.9</v>
      </c>
      <c r="P248" s="135">
        <v>8.1999999999999993</v>
      </c>
    </row>
    <row r="249" spans="1:16" x14ac:dyDescent="0.3">
      <c r="A249" s="135" t="s">
        <v>118</v>
      </c>
      <c r="B249" s="135" t="s">
        <v>394</v>
      </c>
      <c r="C249" s="135" t="s">
        <v>10</v>
      </c>
      <c r="D249" s="135" t="s">
        <v>2542</v>
      </c>
      <c r="E249" s="135" t="s">
        <v>1730</v>
      </c>
      <c r="F249" s="135">
        <v>3300</v>
      </c>
      <c r="G249" s="135">
        <v>0</v>
      </c>
      <c r="H249" s="135">
        <v>18</v>
      </c>
      <c r="I249" s="135">
        <v>10.5</v>
      </c>
      <c r="J249" s="135">
        <v>5.19</v>
      </c>
      <c r="K249" s="135">
        <v>5.19</v>
      </c>
      <c r="L249" s="135">
        <v>40</v>
      </c>
      <c r="M249" s="135">
        <v>0</v>
      </c>
      <c r="N249" s="135">
        <v>1.6</v>
      </c>
      <c r="O249" s="135">
        <v>2</v>
      </c>
      <c r="P249" s="135">
        <v>0.6</v>
      </c>
    </row>
    <row r="250" spans="1:16" x14ac:dyDescent="0.3">
      <c r="A250" s="135" t="s">
        <v>576</v>
      </c>
      <c r="B250" s="135" t="s">
        <v>459</v>
      </c>
      <c r="C250" s="135" t="s">
        <v>37</v>
      </c>
      <c r="D250" s="135" t="s">
        <v>2525</v>
      </c>
      <c r="E250" s="135" t="s">
        <v>1712</v>
      </c>
      <c r="F250" s="135">
        <v>3300</v>
      </c>
      <c r="G250" s="135">
        <v>1.8</v>
      </c>
      <c r="H250" s="135">
        <v>20.399999999999999</v>
      </c>
      <c r="I250" s="135">
        <v>7.1</v>
      </c>
      <c r="J250" s="135">
        <v>8.01</v>
      </c>
      <c r="K250" s="135">
        <v>8.01</v>
      </c>
      <c r="L250" s="135">
        <v>40</v>
      </c>
      <c r="M250" s="135">
        <v>0</v>
      </c>
      <c r="N250" s="135">
        <v>2.4</v>
      </c>
      <c r="O250" s="135">
        <v>3</v>
      </c>
      <c r="P250" s="135">
        <v>0.9</v>
      </c>
    </row>
    <row r="251" spans="1:16" x14ac:dyDescent="0.3">
      <c r="A251" s="135" t="s">
        <v>268</v>
      </c>
      <c r="B251" s="135" t="s">
        <v>396</v>
      </c>
      <c r="C251" s="135" t="s">
        <v>43</v>
      </c>
      <c r="D251" s="135" t="s">
        <v>1904</v>
      </c>
      <c r="E251" s="135" t="s">
        <v>1732</v>
      </c>
      <c r="F251" s="135">
        <v>3300</v>
      </c>
      <c r="G251" s="135">
        <v>0</v>
      </c>
      <c r="H251" s="135">
        <v>18</v>
      </c>
      <c r="I251" s="135">
        <v>4.8</v>
      </c>
      <c r="J251" s="135">
        <v>5.85</v>
      </c>
      <c r="K251" s="135">
        <v>5.85</v>
      </c>
      <c r="L251" s="135">
        <v>40</v>
      </c>
      <c r="M251" s="135">
        <v>0</v>
      </c>
      <c r="N251" s="135">
        <v>1.8</v>
      </c>
      <c r="O251" s="135">
        <v>2.5</v>
      </c>
      <c r="P251" s="135">
        <v>0.8</v>
      </c>
    </row>
    <row r="252" spans="1:16" x14ac:dyDescent="0.3">
      <c r="A252" s="135" t="s">
        <v>291</v>
      </c>
      <c r="B252" s="135" t="s">
        <v>396</v>
      </c>
      <c r="C252" s="135" t="s">
        <v>24</v>
      </c>
      <c r="D252" s="135" t="s">
        <v>1902</v>
      </c>
      <c r="E252" s="135" t="s">
        <v>1726</v>
      </c>
      <c r="F252" s="135">
        <v>3300</v>
      </c>
      <c r="G252" s="135">
        <v>0</v>
      </c>
      <c r="H252" s="135">
        <v>8.1999999999999993</v>
      </c>
      <c r="I252" s="135">
        <v>3.1</v>
      </c>
      <c r="J252" s="135">
        <v>0</v>
      </c>
      <c r="K252" s="135">
        <v>0</v>
      </c>
      <c r="L252" s="135">
        <v>40</v>
      </c>
      <c r="M252" s="135">
        <v>56</v>
      </c>
      <c r="N252" s="135">
        <v>0</v>
      </c>
      <c r="O252" s="135">
        <v>7.9</v>
      </c>
      <c r="P252" s="135">
        <v>2.4</v>
      </c>
    </row>
    <row r="253" spans="1:16" x14ac:dyDescent="0.3">
      <c r="A253" s="135" t="s">
        <v>464</v>
      </c>
      <c r="B253" s="135" t="s">
        <v>394</v>
      </c>
      <c r="C253" s="135" t="s">
        <v>46</v>
      </c>
      <c r="D253" s="135" t="s">
        <v>2528</v>
      </c>
      <c r="E253" s="135" t="s">
        <v>1716</v>
      </c>
      <c r="F253" s="135">
        <v>3300</v>
      </c>
      <c r="G253" s="135">
        <v>1.2</v>
      </c>
      <c r="H253" s="135">
        <v>7.4</v>
      </c>
      <c r="J253" s="135">
        <v>4.9000000000000004</v>
      </c>
      <c r="K253" s="135">
        <v>4.9000000000000004</v>
      </c>
      <c r="L253" s="135">
        <v>40</v>
      </c>
      <c r="M253" s="135">
        <v>0</v>
      </c>
      <c r="N253" s="135">
        <v>1.5</v>
      </c>
      <c r="O253" s="135">
        <v>13.2</v>
      </c>
      <c r="P253" s="135">
        <v>4</v>
      </c>
    </row>
    <row r="254" spans="1:16" x14ac:dyDescent="0.3">
      <c r="A254" s="135" t="s">
        <v>239</v>
      </c>
      <c r="B254" s="135" t="s">
        <v>396</v>
      </c>
      <c r="C254" s="135" t="s">
        <v>30</v>
      </c>
      <c r="D254" s="135" t="s">
        <v>2543</v>
      </c>
      <c r="E254" s="135" t="s">
        <v>1708</v>
      </c>
      <c r="F254" s="135">
        <v>3300</v>
      </c>
      <c r="G254" s="135">
        <v>0</v>
      </c>
      <c r="H254" s="135">
        <v>23.4</v>
      </c>
      <c r="I254" s="135">
        <v>12.7</v>
      </c>
      <c r="J254" s="135">
        <v>7.41</v>
      </c>
      <c r="K254" s="135">
        <v>7.41</v>
      </c>
      <c r="L254" s="135">
        <v>40</v>
      </c>
      <c r="M254" s="135">
        <v>0</v>
      </c>
      <c r="N254" s="135">
        <v>2.2000000000000002</v>
      </c>
      <c r="O254" s="135">
        <v>6.2</v>
      </c>
      <c r="P254" s="135">
        <v>1.9</v>
      </c>
    </row>
    <row r="255" spans="1:16" x14ac:dyDescent="0.3">
      <c r="A255" s="135" t="s">
        <v>231</v>
      </c>
      <c r="B255" s="135" t="s">
        <v>396</v>
      </c>
      <c r="C255" s="135" t="s">
        <v>10</v>
      </c>
      <c r="D255" s="135" t="s">
        <v>2542</v>
      </c>
      <c r="E255" s="135" t="s">
        <v>1707</v>
      </c>
      <c r="F255" s="135">
        <v>3200</v>
      </c>
      <c r="G255" s="135">
        <v>0.3</v>
      </c>
      <c r="H255" s="135">
        <v>21.3</v>
      </c>
      <c r="I255" s="135">
        <v>8.6999999999999993</v>
      </c>
      <c r="J255" s="135">
        <v>7.28</v>
      </c>
      <c r="K255" s="135">
        <v>7.28</v>
      </c>
      <c r="L255" s="135">
        <v>40</v>
      </c>
      <c r="M255" s="135">
        <v>0</v>
      </c>
      <c r="N255" s="135">
        <v>2.2999999999999998</v>
      </c>
      <c r="O255" s="135">
        <v>11.1</v>
      </c>
      <c r="P255" s="135">
        <v>3.5</v>
      </c>
    </row>
    <row r="256" spans="1:16" x14ac:dyDescent="0.3">
      <c r="A256" s="135" t="s">
        <v>292</v>
      </c>
      <c r="B256" s="135" t="s">
        <v>396</v>
      </c>
      <c r="C256" s="135" t="s">
        <v>41</v>
      </c>
      <c r="D256" s="135" t="s">
        <v>1907</v>
      </c>
      <c r="E256" s="135" t="s">
        <v>1723</v>
      </c>
      <c r="F256" s="135">
        <v>3200</v>
      </c>
      <c r="G256" s="135">
        <v>0</v>
      </c>
      <c r="H256" s="135">
        <v>9.8000000000000007</v>
      </c>
      <c r="I256" s="135">
        <v>3.9</v>
      </c>
      <c r="J256" s="135">
        <v>0</v>
      </c>
      <c r="K256" s="135">
        <v>0</v>
      </c>
      <c r="L256" s="135">
        <v>40</v>
      </c>
      <c r="M256" s="135">
        <v>44</v>
      </c>
      <c r="N256" s="135">
        <v>0</v>
      </c>
      <c r="O256" s="135">
        <v>5.9</v>
      </c>
      <c r="P256" s="135">
        <v>1.8</v>
      </c>
    </row>
    <row r="257" spans="1:16" x14ac:dyDescent="0.3">
      <c r="A257" s="135" t="s">
        <v>575</v>
      </c>
      <c r="B257" s="135" t="s">
        <v>459</v>
      </c>
      <c r="C257" s="135" t="s">
        <v>402</v>
      </c>
      <c r="D257" s="135" t="s">
        <v>2538</v>
      </c>
      <c r="E257" s="135" t="s">
        <v>1727</v>
      </c>
      <c r="F257" s="135">
        <v>3200</v>
      </c>
      <c r="G257" s="135">
        <v>1.9</v>
      </c>
      <c r="H257" s="135">
        <v>16.899999999999999</v>
      </c>
      <c r="I257" s="135">
        <v>8.1</v>
      </c>
      <c r="J257" s="135">
        <v>6.9</v>
      </c>
      <c r="K257" s="135">
        <v>6.9</v>
      </c>
      <c r="L257" s="135">
        <v>40</v>
      </c>
      <c r="M257" s="135">
        <v>9</v>
      </c>
      <c r="N257" s="135">
        <v>2.2000000000000002</v>
      </c>
      <c r="O257" s="135">
        <v>18</v>
      </c>
      <c r="P257" s="135">
        <v>5.6</v>
      </c>
    </row>
    <row r="258" spans="1:16" x14ac:dyDescent="0.3">
      <c r="A258" s="135" t="s">
        <v>335</v>
      </c>
      <c r="B258" s="135" t="s">
        <v>399</v>
      </c>
      <c r="C258" s="135" t="s">
        <v>50</v>
      </c>
      <c r="D258" s="135" t="s">
        <v>2524</v>
      </c>
      <c r="E258" s="135" t="s">
        <v>1729</v>
      </c>
      <c r="F258" s="135">
        <v>3200</v>
      </c>
      <c r="G258" s="135">
        <v>3.7</v>
      </c>
      <c r="H258" s="135">
        <v>22.9</v>
      </c>
      <c r="I258" s="135">
        <v>8.9</v>
      </c>
      <c r="J258" s="135">
        <v>10.11</v>
      </c>
      <c r="K258" s="135">
        <v>10.11</v>
      </c>
      <c r="L258" s="135">
        <v>40</v>
      </c>
      <c r="M258" s="135">
        <v>57</v>
      </c>
      <c r="N258" s="135">
        <v>3.2</v>
      </c>
      <c r="O258" s="135">
        <v>5.8</v>
      </c>
      <c r="P258" s="135">
        <v>1.8</v>
      </c>
    </row>
    <row r="259" spans="1:16" x14ac:dyDescent="0.3">
      <c r="A259" s="135" t="s">
        <v>562</v>
      </c>
      <c r="B259" s="135" t="s">
        <v>459</v>
      </c>
      <c r="C259" s="135" t="s">
        <v>397</v>
      </c>
      <c r="D259" s="135" t="s">
        <v>1903</v>
      </c>
      <c r="E259" s="135" t="s">
        <v>1714</v>
      </c>
      <c r="F259" s="135">
        <v>3200</v>
      </c>
      <c r="G259" s="135">
        <v>1.1000000000000001</v>
      </c>
      <c r="H259" s="135">
        <v>23.9</v>
      </c>
      <c r="I259" s="135">
        <v>10.9</v>
      </c>
      <c r="J259" s="135">
        <v>8.67</v>
      </c>
      <c r="K259" s="135">
        <v>8.67</v>
      </c>
      <c r="L259" s="135">
        <v>40</v>
      </c>
      <c r="M259" s="135">
        <v>0</v>
      </c>
      <c r="N259" s="135">
        <v>2.7</v>
      </c>
      <c r="O259" s="135">
        <v>29</v>
      </c>
      <c r="P259" s="135">
        <v>9.1</v>
      </c>
    </row>
    <row r="260" spans="1:16" x14ac:dyDescent="0.3">
      <c r="A260" s="135" t="s">
        <v>273</v>
      </c>
      <c r="B260" s="135" t="s">
        <v>396</v>
      </c>
      <c r="C260" s="135" t="s">
        <v>20</v>
      </c>
      <c r="D260" s="135" t="s">
        <v>2523</v>
      </c>
      <c r="E260" s="135" t="s">
        <v>1713</v>
      </c>
      <c r="F260" s="135">
        <v>3200</v>
      </c>
      <c r="G260" s="135">
        <v>0.3</v>
      </c>
      <c r="H260" s="135">
        <v>15.3</v>
      </c>
      <c r="I260" s="135">
        <v>5.9</v>
      </c>
      <c r="J260" s="135">
        <v>5.32</v>
      </c>
      <c r="K260" s="135">
        <v>5.32</v>
      </c>
      <c r="L260" s="135">
        <v>40</v>
      </c>
      <c r="M260" s="135">
        <v>0</v>
      </c>
      <c r="N260" s="135">
        <v>1.7</v>
      </c>
      <c r="O260" s="135">
        <v>0</v>
      </c>
    </row>
    <row r="261" spans="1:16" x14ac:dyDescent="0.3">
      <c r="A261" s="135" t="s">
        <v>247</v>
      </c>
      <c r="B261" s="135" t="s">
        <v>396</v>
      </c>
      <c r="C261" s="135" t="s">
        <v>39</v>
      </c>
      <c r="D261" s="135" t="s">
        <v>2536</v>
      </c>
      <c r="E261" s="135" t="s">
        <v>1704</v>
      </c>
      <c r="F261" s="135">
        <v>3200</v>
      </c>
      <c r="G261" s="135">
        <v>0</v>
      </c>
      <c r="H261" s="135">
        <v>20.100000000000001</v>
      </c>
      <c r="I261" s="135">
        <v>8.5</v>
      </c>
      <c r="J261" s="135">
        <v>5.69</v>
      </c>
      <c r="K261" s="135">
        <v>5.69</v>
      </c>
      <c r="L261" s="135">
        <v>40</v>
      </c>
      <c r="M261" s="135">
        <v>0</v>
      </c>
      <c r="N261" s="135">
        <v>1.8</v>
      </c>
      <c r="O261" s="135">
        <v>6.3</v>
      </c>
      <c r="P261" s="135">
        <v>2</v>
      </c>
    </row>
    <row r="262" spans="1:16" x14ac:dyDescent="0.3">
      <c r="A262" s="135" t="s">
        <v>309</v>
      </c>
      <c r="B262" s="135" t="s">
        <v>396</v>
      </c>
      <c r="C262" s="135" t="s">
        <v>395</v>
      </c>
      <c r="D262" s="135" t="s">
        <v>2531</v>
      </c>
      <c r="E262" s="135" t="s">
        <v>1734</v>
      </c>
      <c r="F262" s="135">
        <v>3200</v>
      </c>
      <c r="G262" s="135">
        <v>0</v>
      </c>
      <c r="H262" s="135">
        <v>20.2</v>
      </c>
      <c r="I262" s="135">
        <v>1.1000000000000001</v>
      </c>
      <c r="J262" s="135">
        <v>0</v>
      </c>
      <c r="K262" s="135">
        <v>0</v>
      </c>
      <c r="L262" s="135">
        <v>40</v>
      </c>
      <c r="M262" s="135">
        <v>0</v>
      </c>
      <c r="N262" s="135">
        <v>0</v>
      </c>
    </row>
    <row r="263" spans="1:16" x14ac:dyDescent="0.3">
      <c r="A263" s="135" t="s">
        <v>400</v>
      </c>
      <c r="B263" s="135" t="s">
        <v>394</v>
      </c>
      <c r="C263" s="135" t="s">
        <v>10</v>
      </c>
      <c r="D263" s="135" t="s">
        <v>2542</v>
      </c>
      <c r="E263" s="135" t="s">
        <v>1730</v>
      </c>
      <c r="F263" s="135">
        <v>3200</v>
      </c>
      <c r="G263" s="135">
        <v>0</v>
      </c>
      <c r="H263" s="135">
        <v>16.8</v>
      </c>
      <c r="I263" s="135">
        <v>1.7</v>
      </c>
      <c r="J263" s="135">
        <v>3.82</v>
      </c>
      <c r="K263" s="135">
        <v>3.82</v>
      </c>
      <c r="L263" s="135">
        <v>40</v>
      </c>
      <c r="M263" s="135">
        <v>0</v>
      </c>
      <c r="N263" s="135">
        <v>1.2</v>
      </c>
    </row>
    <row r="264" spans="1:16" x14ac:dyDescent="0.3">
      <c r="A264" s="135" t="s">
        <v>240</v>
      </c>
      <c r="B264" s="135" t="s">
        <v>396</v>
      </c>
      <c r="C264" s="135" t="s">
        <v>52</v>
      </c>
      <c r="D264" s="135" t="s">
        <v>2526</v>
      </c>
      <c r="E264" s="135" t="s">
        <v>1720</v>
      </c>
      <c r="F264" s="135">
        <v>3200</v>
      </c>
      <c r="G264" s="135">
        <v>3.2</v>
      </c>
      <c r="H264" s="135">
        <v>25.1</v>
      </c>
      <c r="I264" s="135">
        <v>8.5</v>
      </c>
      <c r="J264" s="135">
        <v>10.5</v>
      </c>
      <c r="K264" s="135">
        <v>10.5</v>
      </c>
      <c r="L264" s="135">
        <v>40</v>
      </c>
      <c r="M264" s="135">
        <v>46</v>
      </c>
      <c r="N264" s="135">
        <v>3.3</v>
      </c>
      <c r="O264" s="135">
        <v>14.3</v>
      </c>
      <c r="P264" s="135">
        <v>4.5</v>
      </c>
    </row>
    <row r="265" spans="1:16" x14ac:dyDescent="0.3">
      <c r="A265" s="135" t="s">
        <v>221</v>
      </c>
      <c r="B265" s="135" t="s">
        <v>396</v>
      </c>
      <c r="C265" s="135" t="s">
        <v>32</v>
      </c>
      <c r="D265" s="135" t="s">
        <v>2544</v>
      </c>
      <c r="E265" s="135" t="s">
        <v>1719</v>
      </c>
      <c r="F265" s="135">
        <v>3100</v>
      </c>
      <c r="G265" s="135">
        <v>0.8</v>
      </c>
      <c r="H265" s="135">
        <v>22.4</v>
      </c>
      <c r="I265" s="135">
        <v>12.6</v>
      </c>
      <c r="J265" s="135">
        <v>7.98</v>
      </c>
      <c r="K265" s="135">
        <v>7.98</v>
      </c>
      <c r="L265" s="135">
        <v>40</v>
      </c>
      <c r="M265" s="135">
        <v>0</v>
      </c>
      <c r="N265" s="135">
        <v>2.6</v>
      </c>
      <c r="O265" s="135">
        <v>1.5</v>
      </c>
      <c r="P265" s="135">
        <v>0.5</v>
      </c>
    </row>
    <row r="266" spans="1:16" x14ac:dyDescent="0.3">
      <c r="A266" s="135" t="s">
        <v>455</v>
      </c>
      <c r="B266" s="135" t="s">
        <v>396</v>
      </c>
      <c r="C266" s="135" t="s">
        <v>41</v>
      </c>
      <c r="D266" s="135" t="s">
        <v>1907</v>
      </c>
      <c r="E266" s="135" t="s">
        <v>1723</v>
      </c>
      <c r="F266" s="135">
        <v>3100</v>
      </c>
      <c r="G266" s="135">
        <v>0</v>
      </c>
      <c r="H266" s="135">
        <v>0</v>
      </c>
      <c r="J266" s="135">
        <v>0</v>
      </c>
      <c r="K266" s="135">
        <v>0</v>
      </c>
      <c r="L266" s="135">
        <v>40</v>
      </c>
      <c r="M266" s="135">
        <v>0</v>
      </c>
      <c r="N266" s="135">
        <v>0</v>
      </c>
    </row>
    <row r="267" spans="1:16" x14ac:dyDescent="0.3">
      <c r="A267" s="135" t="s">
        <v>331</v>
      </c>
      <c r="B267" s="135" t="s">
        <v>399</v>
      </c>
      <c r="C267" s="135" t="s">
        <v>41</v>
      </c>
      <c r="D267" s="135" t="s">
        <v>1907</v>
      </c>
      <c r="E267" s="135" t="s">
        <v>1733</v>
      </c>
      <c r="F267" s="135">
        <v>3100</v>
      </c>
      <c r="G267" s="135">
        <v>4.3</v>
      </c>
      <c r="H267" s="135">
        <v>20.8</v>
      </c>
      <c r="I267" s="135">
        <v>8.1999999999999993</v>
      </c>
      <c r="J267" s="135">
        <v>9.77</v>
      </c>
      <c r="K267" s="135">
        <v>9.77</v>
      </c>
      <c r="L267" s="135">
        <v>40</v>
      </c>
      <c r="M267" s="135">
        <v>51</v>
      </c>
      <c r="N267" s="135">
        <v>3.2</v>
      </c>
      <c r="O267" s="135">
        <v>20</v>
      </c>
      <c r="P267" s="135">
        <v>6.5</v>
      </c>
    </row>
    <row r="268" spans="1:16" x14ac:dyDescent="0.3">
      <c r="A268" s="135" t="s">
        <v>569</v>
      </c>
      <c r="B268" s="135" t="s">
        <v>459</v>
      </c>
      <c r="C268" s="135" t="s">
        <v>41</v>
      </c>
      <c r="D268" s="135" t="s">
        <v>1907</v>
      </c>
      <c r="E268" s="135" t="s">
        <v>1710</v>
      </c>
      <c r="F268" s="135">
        <v>3100</v>
      </c>
      <c r="G268" s="135">
        <v>1.3</v>
      </c>
      <c r="H268" s="135">
        <v>19.3</v>
      </c>
      <c r="I268" s="135">
        <v>8.8000000000000007</v>
      </c>
      <c r="J268" s="135">
        <v>7.27</v>
      </c>
      <c r="K268" s="135">
        <v>7.27</v>
      </c>
      <c r="L268" s="135">
        <v>40</v>
      </c>
      <c r="M268" s="135">
        <v>64</v>
      </c>
      <c r="N268" s="135">
        <v>2.2999999999999998</v>
      </c>
      <c r="O268" s="135">
        <v>26</v>
      </c>
      <c r="P268" s="135">
        <v>8.4</v>
      </c>
    </row>
    <row r="269" spans="1:16" x14ac:dyDescent="0.3">
      <c r="A269" s="135" t="s">
        <v>584</v>
      </c>
      <c r="B269" s="135" t="s">
        <v>459</v>
      </c>
      <c r="C269" s="135" t="s">
        <v>401</v>
      </c>
      <c r="D269" s="135" t="s">
        <v>2537</v>
      </c>
      <c r="E269" s="135" t="s">
        <v>1723</v>
      </c>
      <c r="F269" s="135">
        <v>3100</v>
      </c>
      <c r="G269" s="135">
        <v>2.4</v>
      </c>
      <c r="H269" s="135">
        <v>18</v>
      </c>
      <c r="I269" s="135">
        <v>6.4</v>
      </c>
      <c r="J269" s="135">
        <v>7.63</v>
      </c>
      <c r="K269" s="135">
        <v>7.63</v>
      </c>
      <c r="L269" s="135">
        <v>40</v>
      </c>
      <c r="M269" s="135">
        <v>0</v>
      </c>
      <c r="N269" s="135">
        <v>2.5</v>
      </c>
      <c r="O269" s="135">
        <v>7</v>
      </c>
      <c r="P269" s="135">
        <v>2.2999999999999998</v>
      </c>
    </row>
    <row r="270" spans="1:16" x14ac:dyDescent="0.3">
      <c r="A270" s="135" t="s">
        <v>152</v>
      </c>
      <c r="B270" s="135" t="s">
        <v>394</v>
      </c>
      <c r="C270" s="135" t="s">
        <v>404</v>
      </c>
      <c r="D270" s="135" t="s">
        <v>1901</v>
      </c>
      <c r="E270" s="135" t="s">
        <v>1705</v>
      </c>
      <c r="F270" s="135">
        <v>3100</v>
      </c>
      <c r="G270" s="135">
        <v>0</v>
      </c>
      <c r="H270" s="135">
        <v>13.5</v>
      </c>
      <c r="I270" s="135">
        <v>7.7</v>
      </c>
      <c r="J270" s="135">
        <v>4.46</v>
      </c>
      <c r="K270" s="135">
        <v>4.46</v>
      </c>
      <c r="L270" s="135">
        <v>40</v>
      </c>
      <c r="M270" s="135">
        <v>37</v>
      </c>
      <c r="N270" s="135">
        <v>1.4</v>
      </c>
      <c r="O270" s="135">
        <v>9.1999999999999993</v>
      </c>
      <c r="P270" s="135">
        <v>3</v>
      </c>
    </row>
    <row r="271" spans="1:16" x14ac:dyDescent="0.3">
      <c r="A271" s="135" t="s">
        <v>146</v>
      </c>
      <c r="B271" s="135" t="s">
        <v>394</v>
      </c>
      <c r="C271" s="135" t="s">
        <v>46</v>
      </c>
      <c r="D271" s="135" t="s">
        <v>2528</v>
      </c>
      <c r="E271" s="135" t="s">
        <v>1716</v>
      </c>
      <c r="F271" s="135">
        <v>3100</v>
      </c>
      <c r="G271" s="135">
        <v>0.4</v>
      </c>
      <c r="H271" s="135">
        <v>11.2</v>
      </c>
      <c r="I271" s="135">
        <v>4.7</v>
      </c>
      <c r="J271" s="135">
        <v>3.97</v>
      </c>
      <c r="K271" s="135">
        <v>3.97</v>
      </c>
      <c r="L271" s="135">
        <v>40</v>
      </c>
      <c r="M271" s="135">
        <v>0</v>
      </c>
      <c r="N271" s="135">
        <v>1.3</v>
      </c>
    </row>
    <row r="272" spans="1:16" x14ac:dyDescent="0.3">
      <c r="A272" s="135" t="s">
        <v>285</v>
      </c>
      <c r="B272" s="135" t="s">
        <v>396</v>
      </c>
      <c r="C272" s="135" t="s">
        <v>397</v>
      </c>
      <c r="D272" s="135" t="s">
        <v>1903</v>
      </c>
      <c r="E272" s="135" t="s">
        <v>1729</v>
      </c>
      <c r="F272" s="135">
        <v>3100</v>
      </c>
      <c r="G272" s="135">
        <v>0.6</v>
      </c>
      <c r="H272" s="135">
        <v>15.3</v>
      </c>
      <c r="I272" s="135">
        <v>4.8</v>
      </c>
      <c r="J272" s="135">
        <v>5.48</v>
      </c>
      <c r="K272" s="135">
        <v>5.48</v>
      </c>
      <c r="L272" s="135">
        <v>40</v>
      </c>
      <c r="M272" s="135">
        <v>17</v>
      </c>
      <c r="N272" s="135">
        <v>1.8</v>
      </c>
      <c r="O272" s="135">
        <v>7.4</v>
      </c>
      <c r="P272" s="135">
        <v>2.4</v>
      </c>
    </row>
    <row r="273" spans="1:16" x14ac:dyDescent="0.3">
      <c r="A273" s="135" t="s">
        <v>265</v>
      </c>
      <c r="B273" s="135" t="s">
        <v>396</v>
      </c>
      <c r="C273" s="135" t="s">
        <v>398</v>
      </c>
      <c r="D273" s="135" t="s">
        <v>2546</v>
      </c>
      <c r="E273" s="135" t="s">
        <v>1722</v>
      </c>
      <c r="F273" s="135">
        <v>3100</v>
      </c>
      <c r="G273" s="135">
        <v>2.8</v>
      </c>
      <c r="H273" s="135">
        <v>13</v>
      </c>
      <c r="I273" s="135">
        <v>4.7</v>
      </c>
      <c r="J273" s="135">
        <v>6.22</v>
      </c>
      <c r="K273" s="135">
        <v>6.22</v>
      </c>
      <c r="L273" s="135">
        <v>40</v>
      </c>
      <c r="M273" s="135">
        <v>59</v>
      </c>
      <c r="N273" s="135">
        <v>2</v>
      </c>
      <c r="O273" s="135">
        <v>1.8</v>
      </c>
      <c r="P273" s="135">
        <v>0.6</v>
      </c>
    </row>
    <row r="274" spans="1:16" x14ac:dyDescent="0.3">
      <c r="A274" s="135" t="s">
        <v>468</v>
      </c>
      <c r="B274" s="135" t="s">
        <v>396</v>
      </c>
      <c r="C274" s="135" t="s">
        <v>401</v>
      </c>
      <c r="D274" s="135" t="s">
        <v>2537</v>
      </c>
      <c r="E274" s="135" t="s">
        <v>1716</v>
      </c>
      <c r="F274" s="135">
        <v>3000</v>
      </c>
      <c r="G274" s="135">
        <v>0</v>
      </c>
      <c r="H274" s="135">
        <v>12.4</v>
      </c>
      <c r="I274" s="135">
        <v>10.1</v>
      </c>
      <c r="J274" s="135">
        <v>0</v>
      </c>
      <c r="K274" s="135">
        <v>0</v>
      </c>
      <c r="L274" s="135">
        <v>40</v>
      </c>
      <c r="M274" s="135">
        <v>0</v>
      </c>
      <c r="N274" s="135">
        <v>0</v>
      </c>
    </row>
    <row r="275" spans="1:16" x14ac:dyDescent="0.3">
      <c r="A275" s="135" t="s">
        <v>138</v>
      </c>
      <c r="B275" s="135" t="s">
        <v>394</v>
      </c>
      <c r="C275" s="135" t="s">
        <v>22</v>
      </c>
      <c r="D275" s="135" t="s">
        <v>2529</v>
      </c>
      <c r="E275" s="135" t="s">
        <v>1718</v>
      </c>
      <c r="F275" s="135">
        <v>3000</v>
      </c>
      <c r="G275" s="135">
        <v>0.9</v>
      </c>
      <c r="H275" s="135">
        <v>5.4</v>
      </c>
      <c r="J275" s="135">
        <v>3.58</v>
      </c>
      <c r="K275" s="135">
        <v>3.58</v>
      </c>
      <c r="L275" s="135">
        <v>40</v>
      </c>
      <c r="M275" s="135">
        <v>0</v>
      </c>
      <c r="N275" s="135">
        <v>1.2</v>
      </c>
    </row>
    <row r="276" spans="1:16" x14ac:dyDescent="0.3">
      <c r="A276" s="135" t="s">
        <v>301</v>
      </c>
      <c r="B276" s="135" t="s">
        <v>396</v>
      </c>
      <c r="C276" s="135" t="s">
        <v>409</v>
      </c>
      <c r="D276" s="135" t="s">
        <v>2535</v>
      </c>
      <c r="E276" s="135" t="s">
        <v>1705</v>
      </c>
      <c r="F276" s="135">
        <v>3000</v>
      </c>
      <c r="G276" s="135">
        <v>0</v>
      </c>
      <c r="H276" s="135">
        <v>20</v>
      </c>
      <c r="I276" s="135">
        <v>2.2000000000000002</v>
      </c>
      <c r="J276" s="135">
        <v>5.62</v>
      </c>
      <c r="K276" s="135">
        <v>5.62</v>
      </c>
      <c r="L276" s="135">
        <v>40</v>
      </c>
      <c r="M276" s="135">
        <v>0</v>
      </c>
      <c r="N276" s="135">
        <v>1.9</v>
      </c>
      <c r="O276" s="135">
        <v>13.3</v>
      </c>
      <c r="P276" s="135">
        <v>4.4000000000000004</v>
      </c>
    </row>
    <row r="277" spans="1:16" x14ac:dyDescent="0.3">
      <c r="A277" s="135" t="s">
        <v>312</v>
      </c>
      <c r="B277" s="135" t="s">
        <v>396</v>
      </c>
      <c r="C277" s="135" t="s">
        <v>401</v>
      </c>
      <c r="D277" s="135" t="s">
        <v>2537</v>
      </c>
      <c r="E277" s="135" t="s">
        <v>1716</v>
      </c>
      <c r="F277" s="135">
        <v>3000</v>
      </c>
      <c r="G277" s="135">
        <v>0</v>
      </c>
      <c r="H277" s="135">
        <v>4.5999999999999996</v>
      </c>
      <c r="I277" s="135">
        <v>1.7</v>
      </c>
      <c r="J277" s="135">
        <v>0</v>
      </c>
      <c r="K277" s="135">
        <v>0</v>
      </c>
      <c r="L277" s="135">
        <v>40</v>
      </c>
      <c r="M277" s="135">
        <v>0</v>
      </c>
      <c r="N277" s="135">
        <v>0</v>
      </c>
      <c r="O277" s="135">
        <v>1.6</v>
      </c>
      <c r="P277" s="135">
        <v>0.5</v>
      </c>
    </row>
    <row r="278" spans="1:16" x14ac:dyDescent="0.3">
      <c r="A278" s="135" t="s">
        <v>270</v>
      </c>
      <c r="B278" s="135" t="s">
        <v>396</v>
      </c>
      <c r="C278" s="135" t="s">
        <v>401</v>
      </c>
      <c r="D278" s="135" t="s">
        <v>2537</v>
      </c>
      <c r="E278" s="135" t="s">
        <v>1716</v>
      </c>
      <c r="F278" s="135">
        <v>3000</v>
      </c>
      <c r="G278" s="135">
        <v>0</v>
      </c>
      <c r="H278" s="135">
        <v>7.4</v>
      </c>
      <c r="I278" s="135">
        <v>5.4</v>
      </c>
      <c r="J278" s="135">
        <v>0</v>
      </c>
      <c r="K278" s="135">
        <v>0</v>
      </c>
      <c r="L278" s="135">
        <v>40</v>
      </c>
      <c r="M278" s="135">
        <v>63</v>
      </c>
      <c r="N278" s="135">
        <v>0</v>
      </c>
      <c r="O278" s="135">
        <v>22</v>
      </c>
      <c r="P278" s="135">
        <v>7.3</v>
      </c>
    </row>
    <row r="279" spans="1:16" x14ac:dyDescent="0.3">
      <c r="A279" s="135" t="s">
        <v>298</v>
      </c>
      <c r="B279" s="135" t="s">
        <v>396</v>
      </c>
      <c r="C279" s="135" t="s">
        <v>409</v>
      </c>
      <c r="D279" s="135" t="s">
        <v>2535</v>
      </c>
      <c r="E279" s="135" t="s">
        <v>1705</v>
      </c>
      <c r="F279" s="135">
        <v>3000</v>
      </c>
      <c r="G279" s="135">
        <v>0</v>
      </c>
      <c r="H279" s="135">
        <v>4.4000000000000004</v>
      </c>
      <c r="I279" s="135">
        <v>2.4</v>
      </c>
      <c r="J279" s="135">
        <v>0</v>
      </c>
      <c r="K279" s="135">
        <v>0</v>
      </c>
      <c r="L279" s="135">
        <v>40</v>
      </c>
      <c r="M279" s="135">
        <v>0</v>
      </c>
      <c r="N279" s="135">
        <v>0</v>
      </c>
      <c r="O279" s="135">
        <v>2.2000000000000002</v>
      </c>
      <c r="P279" s="135">
        <v>0.7</v>
      </c>
    </row>
    <row r="280" spans="1:16" x14ac:dyDescent="0.3">
      <c r="A280" s="135" t="s">
        <v>1553</v>
      </c>
      <c r="B280" s="135" t="s">
        <v>396</v>
      </c>
      <c r="C280" s="135" t="s">
        <v>409</v>
      </c>
      <c r="D280" s="135" t="s">
        <v>2535</v>
      </c>
      <c r="E280" s="135" t="s">
        <v>1705</v>
      </c>
      <c r="F280" s="135">
        <v>3000</v>
      </c>
      <c r="G280" s="135">
        <v>0</v>
      </c>
      <c r="H280" s="135">
        <v>0</v>
      </c>
      <c r="J280" s="135">
        <v>0</v>
      </c>
      <c r="K280" s="135">
        <v>0</v>
      </c>
      <c r="L280" s="135">
        <v>40</v>
      </c>
      <c r="M280" s="135">
        <v>0</v>
      </c>
      <c r="N280" s="135">
        <v>0</v>
      </c>
    </row>
    <row r="281" spans="1:16" x14ac:dyDescent="0.3">
      <c r="A281" s="135" t="s">
        <v>765</v>
      </c>
      <c r="B281" s="135" t="s">
        <v>396</v>
      </c>
      <c r="C281" s="135" t="s">
        <v>409</v>
      </c>
      <c r="D281" s="135" t="s">
        <v>2535</v>
      </c>
      <c r="E281" s="135" t="s">
        <v>1705</v>
      </c>
      <c r="F281" s="135">
        <v>3000</v>
      </c>
      <c r="G281" s="135">
        <v>0</v>
      </c>
      <c r="H281" s="135">
        <v>0</v>
      </c>
      <c r="J281" s="135">
        <v>0</v>
      </c>
      <c r="K281" s="135">
        <v>0</v>
      </c>
      <c r="L281" s="135">
        <v>40</v>
      </c>
      <c r="M281" s="135">
        <v>0</v>
      </c>
      <c r="N281" s="135">
        <v>0</v>
      </c>
    </row>
    <row r="282" spans="1:16" x14ac:dyDescent="0.3">
      <c r="A282" s="135" t="s">
        <v>1558</v>
      </c>
      <c r="B282" s="135" t="s">
        <v>396</v>
      </c>
      <c r="C282" s="135" t="s">
        <v>409</v>
      </c>
      <c r="D282" s="135" t="s">
        <v>2535</v>
      </c>
      <c r="E282" s="135" t="s">
        <v>1705</v>
      </c>
      <c r="F282" s="135">
        <v>3000</v>
      </c>
      <c r="G282" s="135">
        <v>0</v>
      </c>
      <c r="H282" s="135">
        <v>0</v>
      </c>
      <c r="J282" s="135">
        <v>0</v>
      </c>
      <c r="K282" s="135">
        <v>0</v>
      </c>
      <c r="L282" s="135">
        <v>40</v>
      </c>
      <c r="M282" s="135">
        <v>0</v>
      </c>
      <c r="N282" s="135">
        <v>0</v>
      </c>
      <c r="O282" s="135">
        <v>0</v>
      </c>
    </row>
    <row r="283" spans="1:16" x14ac:dyDescent="0.3">
      <c r="A283" s="135" t="s">
        <v>573</v>
      </c>
      <c r="B283" s="135" t="s">
        <v>459</v>
      </c>
      <c r="C283" s="135" t="s">
        <v>409</v>
      </c>
      <c r="D283" s="135" t="s">
        <v>2535</v>
      </c>
      <c r="E283" s="135" t="s">
        <v>1729</v>
      </c>
      <c r="F283" s="135">
        <v>3000</v>
      </c>
      <c r="G283" s="135">
        <v>0.1</v>
      </c>
      <c r="H283" s="135">
        <v>23.5</v>
      </c>
      <c r="I283" s="135">
        <v>8.4</v>
      </c>
      <c r="J283" s="135">
        <v>7.91</v>
      </c>
      <c r="K283" s="135">
        <v>7.91</v>
      </c>
      <c r="L283" s="135">
        <v>40</v>
      </c>
      <c r="M283" s="135">
        <v>0</v>
      </c>
      <c r="N283" s="135">
        <v>2.6</v>
      </c>
    </row>
    <row r="284" spans="1:16" x14ac:dyDescent="0.3">
      <c r="A284" s="135" t="s">
        <v>147</v>
      </c>
      <c r="B284" s="135" t="s">
        <v>394</v>
      </c>
      <c r="C284" s="135" t="s">
        <v>398</v>
      </c>
      <c r="D284" s="135" t="s">
        <v>2546</v>
      </c>
      <c r="E284" s="135" t="s">
        <v>1710</v>
      </c>
      <c r="F284" s="135">
        <v>3000</v>
      </c>
      <c r="G284" s="135">
        <v>0</v>
      </c>
      <c r="H284" s="135">
        <v>11.6</v>
      </c>
      <c r="I284" s="135">
        <v>9.1999999999999993</v>
      </c>
      <c r="J284" s="135">
        <v>0</v>
      </c>
      <c r="K284" s="135">
        <v>0</v>
      </c>
      <c r="L284" s="135">
        <v>40</v>
      </c>
      <c r="M284" s="135">
        <v>0</v>
      </c>
      <c r="N284" s="135">
        <v>0</v>
      </c>
    </row>
    <row r="285" spans="1:16" x14ac:dyDescent="0.3">
      <c r="A285" s="135" t="s">
        <v>525</v>
      </c>
      <c r="B285" s="135" t="s">
        <v>394</v>
      </c>
      <c r="C285" s="135" t="s">
        <v>401</v>
      </c>
      <c r="D285" s="135" t="s">
        <v>2537</v>
      </c>
      <c r="E285" s="135" t="s">
        <v>1732</v>
      </c>
      <c r="F285" s="135">
        <v>3000</v>
      </c>
      <c r="G285" s="135">
        <v>0</v>
      </c>
      <c r="H285" s="135">
        <v>0</v>
      </c>
      <c r="J285" s="135">
        <v>0</v>
      </c>
      <c r="K285" s="135">
        <v>0</v>
      </c>
      <c r="L285" s="135">
        <v>40</v>
      </c>
      <c r="M285" s="135">
        <v>0</v>
      </c>
      <c r="N285" s="135">
        <v>0</v>
      </c>
    </row>
    <row r="286" spans="1:16" x14ac:dyDescent="0.3">
      <c r="A286" s="135" t="s">
        <v>171</v>
      </c>
      <c r="B286" s="135" t="s">
        <v>394</v>
      </c>
      <c r="C286" s="135" t="s">
        <v>401</v>
      </c>
      <c r="D286" s="135" t="s">
        <v>2537</v>
      </c>
      <c r="E286" s="135" t="s">
        <v>1732</v>
      </c>
      <c r="F286" s="135">
        <v>3000</v>
      </c>
      <c r="G286" s="135">
        <v>0</v>
      </c>
      <c r="H286" s="135">
        <v>6.4</v>
      </c>
      <c r="I286" s="135">
        <v>1.2</v>
      </c>
      <c r="J286" s="135">
        <v>0</v>
      </c>
      <c r="K286" s="135">
        <v>0</v>
      </c>
      <c r="L286" s="135">
        <v>40</v>
      </c>
      <c r="M286" s="135">
        <v>0</v>
      </c>
      <c r="N286" s="135">
        <v>0</v>
      </c>
      <c r="O286" s="135">
        <v>3.3</v>
      </c>
      <c r="P286" s="135">
        <v>1.1000000000000001</v>
      </c>
    </row>
    <row r="287" spans="1:16" x14ac:dyDescent="0.3">
      <c r="A287" s="135" t="s">
        <v>1522</v>
      </c>
      <c r="B287" s="135" t="s">
        <v>394</v>
      </c>
      <c r="C287" s="135" t="s">
        <v>409</v>
      </c>
      <c r="D287" s="135" t="s">
        <v>2535</v>
      </c>
      <c r="E287" s="135" t="s">
        <v>1725</v>
      </c>
      <c r="F287" s="135">
        <v>3000</v>
      </c>
      <c r="G287" s="135">
        <v>0</v>
      </c>
      <c r="H287" s="135">
        <v>0</v>
      </c>
      <c r="I287" s="135">
        <v>0</v>
      </c>
      <c r="J287" s="135">
        <v>0</v>
      </c>
      <c r="K287" s="135">
        <v>0</v>
      </c>
      <c r="L287" s="135">
        <v>40</v>
      </c>
      <c r="M287" s="135">
        <v>0</v>
      </c>
      <c r="N287" s="135">
        <v>0</v>
      </c>
    </row>
    <row r="288" spans="1:16" x14ac:dyDescent="0.3">
      <c r="A288" s="135" t="s">
        <v>161</v>
      </c>
      <c r="B288" s="135" t="s">
        <v>394</v>
      </c>
      <c r="C288" s="135" t="s">
        <v>41</v>
      </c>
      <c r="D288" s="135" t="s">
        <v>1907</v>
      </c>
      <c r="E288" s="135" t="s">
        <v>1723</v>
      </c>
      <c r="F288" s="135">
        <v>3000</v>
      </c>
      <c r="G288" s="135">
        <v>1.4</v>
      </c>
      <c r="H288" s="135">
        <v>26.6</v>
      </c>
      <c r="I288" s="135">
        <v>2.9</v>
      </c>
      <c r="J288" s="135">
        <v>9.85</v>
      </c>
      <c r="K288" s="135">
        <v>9.85</v>
      </c>
      <c r="L288" s="135">
        <v>40</v>
      </c>
      <c r="M288" s="135">
        <v>0</v>
      </c>
      <c r="N288" s="135">
        <v>3.3</v>
      </c>
      <c r="O288" s="135">
        <v>2.9</v>
      </c>
      <c r="P288" s="135">
        <v>1</v>
      </c>
    </row>
    <row r="289" spans="1:16" x14ac:dyDescent="0.3">
      <c r="A289" s="135" t="s">
        <v>163</v>
      </c>
      <c r="B289" s="135" t="s">
        <v>394</v>
      </c>
      <c r="C289" s="135" t="s">
        <v>41</v>
      </c>
      <c r="D289" s="135" t="s">
        <v>1907</v>
      </c>
      <c r="E289" s="135" t="s">
        <v>1723</v>
      </c>
      <c r="F289" s="135">
        <v>3000</v>
      </c>
      <c r="G289" s="135">
        <v>0</v>
      </c>
      <c r="H289" s="135">
        <v>0</v>
      </c>
      <c r="J289" s="135">
        <v>0</v>
      </c>
      <c r="K289" s="135">
        <v>0</v>
      </c>
      <c r="L289" s="135">
        <v>40</v>
      </c>
      <c r="M289" s="135">
        <v>0</v>
      </c>
      <c r="N289" s="135">
        <v>0</v>
      </c>
    </row>
    <row r="290" spans="1:16" x14ac:dyDescent="0.3">
      <c r="A290" s="135" t="s">
        <v>150</v>
      </c>
      <c r="B290" s="135" t="s">
        <v>394</v>
      </c>
      <c r="C290" s="135" t="s">
        <v>22</v>
      </c>
      <c r="D290" s="135" t="s">
        <v>2529</v>
      </c>
      <c r="E290" s="135" t="s">
        <v>1718</v>
      </c>
      <c r="F290" s="135">
        <v>3000</v>
      </c>
      <c r="G290" s="135">
        <v>5.8</v>
      </c>
      <c r="H290" s="135">
        <v>21.1</v>
      </c>
      <c r="I290" s="135">
        <v>5.9</v>
      </c>
      <c r="J290" s="135">
        <v>10.91</v>
      </c>
      <c r="K290" s="135">
        <v>10.91</v>
      </c>
      <c r="L290" s="135">
        <v>40</v>
      </c>
      <c r="M290" s="135">
        <v>0</v>
      </c>
      <c r="N290" s="135">
        <v>3.6</v>
      </c>
      <c r="O290" s="135">
        <v>6.8</v>
      </c>
      <c r="P290" s="135">
        <v>2.2999999999999998</v>
      </c>
    </row>
    <row r="291" spans="1:16" x14ac:dyDescent="0.3">
      <c r="A291" s="135" t="s">
        <v>293</v>
      </c>
      <c r="B291" s="135" t="s">
        <v>396</v>
      </c>
      <c r="C291" s="135" t="s">
        <v>41</v>
      </c>
      <c r="D291" s="135" t="s">
        <v>1907</v>
      </c>
      <c r="E291" s="135" t="s">
        <v>1723</v>
      </c>
      <c r="F291" s="135">
        <v>3000</v>
      </c>
      <c r="G291" s="135">
        <v>0</v>
      </c>
      <c r="H291" s="135">
        <v>17.2</v>
      </c>
      <c r="I291" s="135">
        <v>3.6</v>
      </c>
      <c r="J291" s="135">
        <v>5.36</v>
      </c>
      <c r="K291" s="135">
        <v>5.36</v>
      </c>
      <c r="L291" s="135">
        <v>40</v>
      </c>
      <c r="M291" s="135">
        <v>0</v>
      </c>
      <c r="N291" s="135">
        <v>1.8</v>
      </c>
      <c r="O291" s="135">
        <v>0</v>
      </c>
    </row>
    <row r="292" spans="1:16" x14ac:dyDescent="0.3">
      <c r="A292" s="135" t="s">
        <v>297</v>
      </c>
      <c r="B292" s="135" t="s">
        <v>396</v>
      </c>
      <c r="C292" s="135" t="s">
        <v>22</v>
      </c>
      <c r="D292" s="135" t="s">
        <v>2529</v>
      </c>
      <c r="E292" s="135" t="s">
        <v>1724</v>
      </c>
      <c r="F292" s="135">
        <v>3000</v>
      </c>
      <c r="G292" s="135">
        <v>0</v>
      </c>
      <c r="H292" s="135">
        <v>5.6</v>
      </c>
      <c r="I292" s="135">
        <v>4</v>
      </c>
      <c r="J292" s="135">
        <v>0</v>
      </c>
      <c r="K292" s="135">
        <v>0</v>
      </c>
      <c r="L292" s="135">
        <v>40</v>
      </c>
      <c r="M292" s="135">
        <v>0</v>
      </c>
      <c r="N292" s="135">
        <v>0</v>
      </c>
    </row>
    <row r="293" spans="1:16" x14ac:dyDescent="0.3">
      <c r="A293" s="135" t="s">
        <v>252</v>
      </c>
      <c r="B293" s="135" t="s">
        <v>396</v>
      </c>
      <c r="C293" s="135" t="s">
        <v>41</v>
      </c>
      <c r="D293" s="135" t="s">
        <v>1907</v>
      </c>
      <c r="E293" s="135" t="s">
        <v>1723</v>
      </c>
      <c r="F293" s="135">
        <v>3000</v>
      </c>
      <c r="G293" s="135">
        <v>0</v>
      </c>
      <c r="H293" s="135">
        <v>12</v>
      </c>
      <c r="I293" s="135">
        <v>5.3</v>
      </c>
      <c r="J293" s="135">
        <v>0</v>
      </c>
      <c r="K293" s="135">
        <v>0</v>
      </c>
      <c r="L293" s="135">
        <v>40</v>
      </c>
      <c r="M293" s="135">
        <v>0</v>
      </c>
      <c r="N293" s="135">
        <v>0</v>
      </c>
    </row>
    <row r="294" spans="1:16" x14ac:dyDescent="0.3">
      <c r="A294" s="135" t="s">
        <v>1737</v>
      </c>
      <c r="B294" s="135" t="s">
        <v>396</v>
      </c>
      <c r="C294" s="135" t="s">
        <v>22</v>
      </c>
      <c r="D294" s="135" t="s">
        <v>2529</v>
      </c>
      <c r="E294" s="135" t="s">
        <v>1724</v>
      </c>
      <c r="F294" s="135">
        <v>3000</v>
      </c>
      <c r="G294" s="135">
        <v>0</v>
      </c>
      <c r="H294" s="135">
        <v>10.8</v>
      </c>
      <c r="I294" s="135">
        <v>7.4</v>
      </c>
      <c r="J294" s="135">
        <v>0</v>
      </c>
      <c r="K294" s="135">
        <v>0</v>
      </c>
      <c r="L294" s="135">
        <v>40</v>
      </c>
      <c r="M294" s="135">
        <v>0</v>
      </c>
      <c r="N294" s="135">
        <v>0</v>
      </c>
      <c r="O294" s="135">
        <v>9.6999999999999993</v>
      </c>
      <c r="P294" s="135">
        <v>3.2</v>
      </c>
    </row>
    <row r="295" spans="1:16" x14ac:dyDescent="0.3">
      <c r="A295" s="135" t="s">
        <v>1551</v>
      </c>
      <c r="B295" s="135" t="s">
        <v>396</v>
      </c>
      <c r="C295" s="135" t="s">
        <v>22</v>
      </c>
      <c r="D295" s="135" t="s">
        <v>2529</v>
      </c>
      <c r="E295" s="135" t="s">
        <v>1724</v>
      </c>
      <c r="F295" s="135">
        <v>3000</v>
      </c>
      <c r="G295" s="135">
        <v>0</v>
      </c>
      <c r="H295" s="135">
        <v>0</v>
      </c>
      <c r="J295" s="135">
        <v>0</v>
      </c>
      <c r="K295" s="135">
        <v>0</v>
      </c>
      <c r="L295" s="135">
        <v>40</v>
      </c>
      <c r="M295" s="135">
        <v>0</v>
      </c>
      <c r="N295" s="135">
        <v>0</v>
      </c>
    </row>
    <row r="296" spans="1:16" x14ac:dyDescent="0.3">
      <c r="A296" s="135" t="s">
        <v>316</v>
      </c>
      <c r="B296" s="135" t="s">
        <v>396</v>
      </c>
      <c r="C296" s="135" t="s">
        <v>41</v>
      </c>
      <c r="D296" s="135" t="s">
        <v>1907</v>
      </c>
      <c r="E296" s="135" t="s">
        <v>1723</v>
      </c>
      <c r="F296" s="135">
        <v>3000</v>
      </c>
      <c r="G296" s="135">
        <v>0</v>
      </c>
      <c r="H296" s="135">
        <v>10.8</v>
      </c>
      <c r="I296" s="135">
        <v>1.1000000000000001</v>
      </c>
      <c r="J296" s="135">
        <v>0</v>
      </c>
      <c r="K296" s="135">
        <v>0</v>
      </c>
      <c r="L296" s="135">
        <v>40</v>
      </c>
      <c r="M296" s="135">
        <v>0</v>
      </c>
      <c r="N296" s="135">
        <v>0</v>
      </c>
      <c r="O296" s="135">
        <v>1.8</v>
      </c>
      <c r="P296" s="135">
        <v>0.6</v>
      </c>
    </row>
    <row r="297" spans="1:16" x14ac:dyDescent="0.3">
      <c r="A297" s="135" t="s">
        <v>2547</v>
      </c>
      <c r="B297" s="135" t="s">
        <v>394</v>
      </c>
      <c r="C297" s="135" t="s">
        <v>7</v>
      </c>
      <c r="D297" s="135" t="s">
        <v>1899</v>
      </c>
      <c r="E297" s="135" t="s">
        <v>1726</v>
      </c>
      <c r="F297" s="135">
        <v>3000</v>
      </c>
      <c r="G297" s="135">
        <v>0</v>
      </c>
      <c r="H297" s="135">
        <v>0</v>
      </c>
      <c r="J297" s="135">
        <v>0</v>
      </c>
      <c r="K297" s="135">
        <v>0</v>
      </c>
      <c r="L297" s="135">
        <v>40</v>
      </c>
      <c r="M297" s="135">
        <v>0</v>
      </c>
      <c r="N297" s="135">
        <v>0</v>
      </c>
    </row>
    <row r="298" spans="1:16" x14ac:dyDescent="0.3">
      <c r="A298" s="135" t="s">
        <v>160</v>
      </c>
      <c r="B298" s="135" t="s">
        <v>394</v>
      </c>
      <c r="C298" s="135" t="s">
        <v>398</v>
      </c>
      <c r="D298" s="135" t="s">
        <v>2546</v>
      </c>
      <c r="E298" s="135" t="s">
        <v>1710</v>
      </c>
      <c r="F298" s="135">
        <v>3000</v>
      </c>
      <c r="G298" s="135">
        <v>0</v>
      </c>
      <c r="H298" s="135">
        <v>4.5999999999999996</v>
      </c>
      <c r="I298" s="135">
        <v>3.3</v>
      </c>
      <c r="J298" s="135">
        <v>0</v>
      </c>
      <c r="K298" s="135">
        <v>0</v>
      </c>
      <c r="L298" s="135">
        <v>40</v>
      </c>
      <c r="M298" s="135">
        <v>0</v>
      </c>
      <c r="N298" s="135">
        <v>0</v>
      </c>
    </row>
    <row r="299" spans="1:16" x14ac:dyDescent="0.3">
      <c r="A299" s="135" t="s">
        <v>472</v>
      </c>
      <c r="B299" s="135" t="s">
        <v>394</v>
      </c>
      <c r="C299" s="135" t="s">
        <v>7</v>
      </c>
      <c r="D299" s="135" t="s">
        <v>1899</v>
      </c>
      <c r="E299" s="135" t="s">
        <v>1726</v>
      </c>
      <c r="F299" s="135">
        <v>3000</v>
      </c>
      <c r="G299" s="135">
        <v>0</v>
      </c>
      <c r="H299" s="135">
        <v>0</v>
      </c>
      <c r="J299" s="135">
        <v>0</v>
      </c>
      <c r="K299" s="135">
        <v>0</v>
      </c>
      <c r="L299" s="135">
        <v>40</v>
      </c>
      <c r="M299" s="135">
        <v>0</v>
      </c>
      <c r="N299" s="135">
        <v>0</v>
      </c>
      <c r="O299" s="135">
        <v>5.0999999999999996</v>
      </c>
      <c r="P299" s="135">
        <v>1.7</v>
      </c>
    </row>
    <row r="300" spans="1:16" x14ac:dyDescent="0.3">
      <c r="A300" s="135" t="s">
        <v>504</v>
      </c>
      <c r="B300" s="135" t="s">
        <v>396</v>
      </c>
      <c r="C300" s="135" t="s">
        <v>395</v>
      </c>
      <c r="D300" s="135" t="s">
        <v>2531</v>
      </c>
      <c r="E300" s="135" t="s">
        <v>1734</v>
      </c>
      <c r="F300" s="135">
        <v>3000</v>
      </c>
      <c r="G300" s="135">
        <v>0</v>
      </c>
      <c r="H300" s="135">
        <v>0</v>
      </c>
      <c r="J300" s="135">
        <v>0</v>
      </c>
      <c r="K300" s="135">
        <v>0</v>
      </c>
      <c r="L300" s="135">
        <v>40</v>
      </c>
      <c r="M300" s="135">
        <v>0</v>
      </c>
      <c r="N300" s="135">
        <v>0</v>
      </c>
      <c r="O300" s="135">
        <v>0</v>
      </c>
    </row>
    <row r="301" spans="1:16" x14ac:dyDescent="0.3">
      <c r="A301" s="135" t="s">
        <v>255</v>
      </c>
      <c r="B301" s="135" t="s">
        <v>396</v>
      </c>
      <c r="C301" s="135" t="s">
        <v>395</v>
      </c>
      <c r="D301" s="135" t="s">
        <v>2531</v>
      </c>
      <c r="E301" s="135" t="s">
        <v>1734</v>
      </c>
      <c r="F301" s="135">
        <v>3000</v>
      </c>
      <c r="G301" s="135">
        <v>0</v>
      </c>
      <c r="H301" s="135">
        <v>10</v>
      </c>
      <c r="I301" s="135">
        <v>7</v>
      </c>
      <c r="J301" s="135">
        <v>0</v>
      </c>
      <c r="K301" s="135">
        <v>0</v>
      </c>
      <c r="L301" s="135">
        <v>40</v>
      </c>
      <c r="M301" s="135">
        <v>0</v>
      </c>
      <c r="N301" s="135">
        <v>0</v>
      </c>
      <c r="O301" s="135">
        <v>-0.1</v>
      </c>
    </row>
    <row r="302" spans="1:16" x14ac:dyDescent="0.3">
      <c r="A302" s="135" t="s">
        <v>289</v>
      </c>
      <c r="B302" s="135" t="s">
        <v>396</v>
      </c>
      <c r="C302" s="135" t="s">
        <v>395</v>
      </c>
      <c r="D302" s="135" t="s">
        <v>2531</v>
      </c>
      <c r="E302" s="135" t="s">
        <v>1734</v>
      </c>
      <c r="F302" s="135">
        <v>3000</v>
      </c>
      <c r="G302" s="135">
        <v>1.2</v>
      </c>
      <c r="H302" s="135">
        <v>12.3</v>
      </c>
      <c r="I302" s="135">
        <v>2.5</v>
      </c>
      <c r="J302" s="135">
        <v>4.88</v>
      </c>
      <c r="K302" s="135">
        <v>4.88</v>
      </c>
      <c r="L302" s="135">
        <v>40</v>
      </c>
      <c r="M302" s="135">
        <v>0</v>
      </c>
      <c r="N302" s="135">
        <v>1.6</v>
      </c>
    </row>
    <row r="303" spans="1:16" x14ac:dyDescent="0.3">
      <c r="A303" s="135" t="s">
        <v>305</v>
      </c>
      <c r="B303" s="135" t="s">
        <v>396</v>
      </c>
      <c r="C303" s="135" t="s">
        <v>26</v>
      </c>
      <c r="D303" s="135" t="s">
        <v>2539</v>
      </c>
      <c r="E303" s="135" t="s">
        <v>1715</v>
      </c>
      <c r="F303" s="135">
        <v>3000</v>
      </c>
      <c r="G303" s="135">
        <v>0</v>
      </c>
      <c r="H303" s="135">
        <v>7.2</v>
      </c>
      <c r="I303" s="135">
        <v>3.8</v>
      </c>
      <c r="J303" s="135">
        <v>0</v>
      </c>
      <c r="K303" s="135">
        <v>0</v>
      </c>
      <c r="L303" s="135">
        <v>40</v>
      </c>
      <c r="M303" s="135">
        <v>0</v>
      </c>
      <c r="N303" s="135">
        <v>0</v>
      </c>
      <c r="O303" s="135">
        <v>0</v>
      </c>
    </row>
    <row r="304" spans="1:16" x14ac:dyDescent="0.3">
      <c r="A304" s="135" t="s">
        <v>494</v>
      </c>
      <c r="B304" s="135" t="s">
        <v>394</v>
      </c>
      <c r="C304" s="135" t="s">
        <v>395</v>
      </c>
      <c r="D304" s="135" t="s">
        <v>2531</v>
      </c>
      <c r="E304" s="135" t="s">
        <v>1715</v>
      </c>
      <c r="F304" s="135">
        <v>3000</v>
      </c>
      <c r="G304" s="135">
        <v>0</v>
      </c>
      <c r="H304" s="135">
        <v>0</v>
      </c>
      <c r="J304" s="135">
        <v>0</v>
      </c>
      <c r="K304" s="135">
        <v>0</v>
      </c>
      <c r="L304" s="135">
        <v>40</v>
      </c>
      <c r="M304" s="135">
        <v>0</v>
      </c>
      <c r="N304" s="135">
        <v>0</v>
      </c>
    </row>
    <row r="305" spans="1:16" x14ac:dyDescent="0.3">
      <c r="A305" s="135" t="s">
        <v>165</v>
      </c>
      <c r="B305" s="135" t="s">
        <v>394</v>
      </c>
      <c r="C305" s="135" t="s">
        <v>26</v>
      </c>
      <c r="D305" s="135" t="s">
        <v>2539</v>
      </c>
      <c r="E305" s="135" t="s">
        <v>1712</v>
      </c>
      <c r="F305" s="135">
        <v>3000</v>
      </c>
      <c r="G305" s="135">
        <v>2</v>
      </c>
      <c r="H305" s="135">
        <v>6.5</v>
      </c>
      <c r="I305" s="135">
        <v>2.2999999999999998</v>
      </c>
      <c r="J305" s="135">
        <v>3.51</v>
      </c>
      <c r="K305" s="135">
        <v>3.51</v>
      </c>
      <c r="L305" s="135">
        <v>40</v>
      </c>
      <c r="M305" s="135">
        <v>0</v>
      </c>
      <c r="N305" s="135">
        <v>1.2</v>
      </c>
    </row>
    <row r="306" spans="1:16" x14ac:dyDescent="0.3">
      <c r="A306" s="135" t="s">
        <v>176</v>
      </c>
      <c r="B306" s="135" t="s">
        <v>394</v>
      </c>
      <c r="C306" s="135" t="s">
        <v>26</v>
      </c>
      <c r="D306" s="135" t="s">
        <v>2539</v>
      </c>
      <c r="E306" s="135" t="s">
        <v>1712</v>
      </c>
      <c r="F306" s="135">
        <v>3000</v>
      </c>
      <c r="G306" s="135">
        <v>0</v>
      </c>
      <c r="H306" s="135">
        <v>0</v>
      </c>
      <c r="J306" s="135">
        <v>0</v>
      </c>
      <c r="K306" s="135">
        <v>0</v>
      </c>
      <c r="L306" s="135">
        <v>40</v>
      </c>
      <c r="M306" s="135">
        <v>0</v>
      </c>
      <c r="N306" s="135">
        <v>0</v>
      </c>
    </row>
    <row r="307" spans="1:16" x14ac:dyDescent="0.3">
      <c r="A307" s="135" t="s">
        <v>462</v>
      </c>
      <c r="B307" s="135" t="s">
        <v>396</v>
      </c>
      <c r="C307" s="135" t="s">
        <v>32</v>
      </c>
      <c r="D307" s="135" t="s">
        <v>2544</v>
      </c>
      <c r="E307" s="135" t="s">
        <v>1719</v>
      </c>
      <c r="F307" s="135">
        <v>3000</v>
      </c>
      <c r="G307" s="135">
        <v>1.9</v>
      </c>
      <c r="H307" s="135">
        <v>11.4</v>
      </c>
      <c r="J307" s="135">
        <v>7.61</v>
      </c>
      <c r="K307" s="135">
        <v>7.61</v>
      </c>
      <c r="L307" s="135">
        <v>40</v>
      </c>
      <c r="M307" s="135">
        <v>0</v>
      </c>
      <c r="N307" s="135">
        <v>2.5</v>
      </c>
      <c r="O307" s="135">
        <v>4.4000000000000004</v>
      </c>
      <c r="P307" s="135">
        <v>1.5</v>
      </c>
    </row>
    <row r="308" spans="1:16" x14ac:dyDescent="0.3">
      <c r="A308" s="135" t="s">
        <v>497</v>
      </c>
      <c r="B308" s="135" t="s">
        <v>396</v>
      </c>
      <c r="C308" s="135" t="s">
        <v>32</v>
      </c>
      <c r="D308" s="135" t="s">
        <v>2544</v>
      </c>
      <c r="E308" s="135" t="s">
        <v>1719</v>
      </c>
      <c r="F308" s="135">
        <v>3000</v>
      </c>
      <c r="G308" s="135">
        <v>0</v>
      </c>
      <c r="H308" s="135">
        <v>0</v>
      </c>
      <c r="J308" s="135">
        <v>0</v>
      </c>
      <c r="K308" s="135">
        <v>0</v>
      </c>
      <c r="L308" s="135">
        <v>40</v>
      </c>
      <c r="M308" s="135">
        <v>0</v>
      </c>
      <c r="N308" s="135">
        <v>0</v>
      </c>
      <c r="O308" s="135">
        <v>1.2</v>
      </c>
      <c r="P308" s="135">
        <v>0.4</v>
      </c>
    </row>
    <row r="309" spans="1:16" x14ac:dyDescent="0.3">
      <c r="A309" s="135" t="s">
        <v>582</v>
      </c>
      <c r="B309" s="135" t="s">
        <v>459</v>
      </c>
      <c r="C309" s="135" t="s">
        <v>395</v>
      </c>
      <c r="D309" s="135" t="s">
        <v>2531</v>
      </c>
      <c r="E309" s="135" t="s">
        <v>1720</v>
      </c>
      <c r="F309" s="135">
        <v>3000</v>
      </c>
      <c r="G309" s="135">
        <v>1</v>
      </c>
      <c r="H309" s="135">
        <v>22</v>
      </c>
      <c r="I309" s="135">
        <v>7.3</v>
      </c>
      <c r="J309" s="135">
        <v>8.01</v>
      </c>
      <c r="K309" s="135">
        <v>8.01</v>
      </c>
      <c r="L309" s="135">
        <v>40</v>
      </c>
      <c r="M309" s="135">
        <v>0</v>
      </c>
      <c r="N309" s="135">
        <v>2.7</v>
      </c>
      <c r="O309" s="135">
        <v>5</v>
      </c>
      <c r="P309" s="135">
        <v>1.7</v>
      </c>
    </row>
    <row r="310" spans="1:16" x14ac:dyDescent="0.3">
      <c r="A310" s="135" t="s">
        <v>174</v>
      </c>
      <c r="B310" s="135" t="s">
        <v>394</v>
      </c>
      <c r="C310" s="135" t="s">
        <v>28</v>
      </c>
      <c r="D310" s="135" t="s">
        <v>2527</v>
      </c>
      <c r="E310" s="135" t="s">
        <v>1728</v>
      </c>
      <c r="F310" s="135">
        <v>3000</v>
      </c>
      <c r="G310" s="135">
        <v>0</v>
      </c>
      <c r="H310" s="135">
        <v>5.4</v>
      </c>
      <c r="I310" s="135">
        <v>2.1</v>
      </c>
      <c r="J310" s="135">
        <v>0</v>
      </c>
      <c r="K310" s="135">
        <v>0</v>
      </c>
      <c r="L310" s="135">
        <v>40</v>
      </c>
      <c r="M310" s="135">
        <v>0</v>
      </c>
      <c r="N310" s="135">
        <v>0</v>
      </c>
      <c r="O310" s="135">
        <v>0</v>
      </c>
    </row>
    <row r="311" spans="1:16" x14ac:dyDescent="0.3">
      <c r="A311" s="135" t="s">
        <v>1523</v>
      </c>
      <c r="B311" s="135" t="s">
        <v>394</v>
      </c>
      <c r="C311" s="135" t="s">
        <v>70</v>
      </c>
      <c r="D311" s="135" t="s">
        <v>2533</v>
      </c>
      <c r="E311" s="135" t="s">
        <v>1724</v>
      </c>
      <c r="F311" s="135">
        <v>3000</v>
      </c>
      <c r="G311" s="135">
        <v>0</v>
      </c>
      <c r="H311" s="135">
        <v>0</v>
      </c>
      <c r="I311" s="135">
        <v>0</v>
      </c>
      <c r="J311" s="135">
        <v>0</v>
      </c>
      <c r="K311" s="135">
        <v>0</v>
      </c>
      <c r="L311" s="135">
        <v>40</v>
      </c>
      <c r="M311" s="135">
        <v>0</v>
      </c>
      <c r="N311" s="135">
        <v>0</v>
      </c>
    </row>
    <row r="312" spans="1:16" x14ac:dyDescent="0.3">
      <c r="A312" s="135" t="s">
        <v>366</v>
      </c>
      <c r="B312" s="135" t="s">
        <v>399</v>
      </c>
      <c r="C312" s="135" t="s">
        <v>70</v>
      </c>
      <c r="D312" s="135" t="s">
        <v>2533</v>
      </c>
      <c r="E312" s="135" t="s">
        <v>1716</v>
      </c>
      <c r="F312" s="135">
        <v>3000</v>
      </c>
      <c r="G312" s="135">
        <v>0</v>
      </c>
      <c r="H312" s="135">
        <v>7</v>
      </c>
      <c r="I312" s="135">
        <v>3.2</v>
      </c>
      <c r="J312" s="135">
        <v>0</v>
      </c>
      <c r="K312" s="135">
        <v>0</v>
      </c>
      <c r="L312" s="135">
        <v>40</v>
      </c>
      <c r="M312" s="135">
        <v>51</v>
      </c>
      <c r="N312" s="135">
        <v>0</v>
      </c>
    </row>
    <row r="313" spans="1:16" x14ac:dyDescent="0.3">
      <c r="A313" s="135" t="s">
        <v>517</v>
      </c>
      <c r="B313" s="135" t="s">
        <v>396</v>
      </c>
      <c r="C313" s="135" t="s">
        <v>28</v>
      </c>
      <c r="D313" s="135" t="s">
        <v>2527</v>
      </c>
      <c r="E313" s="135" t="s">
        <v>1320</v>
      </c>
      <c r="F313" s="135">
        <v>3000</v>
      </c>
      <c r="G313" s="135">
        <v>0</v>
      </c>
      <c r="H313" s="135">
        <v>0</v>
      </c>
      <c r="J313" s="135">
        <v>0</v>
      </c>
      <c r="K313" s="135">
        <v>0</v>
      </c>
      <c r="L313" s="135">
        <v>40</v>
      </c>
      <c r="M313" s="135">
        <v>0</v>
      </c>
      <c r="N313" s="135">
        <v>0</v>
      </c>
    </row>
    <row r="314" spans="1:16" x14ac:dyDescent="0.3">
      <c r="A314" s="135" t="s">
        <v>304</v>
      </c>
      <c r="B314" s="135" t="s">
        <v>396</v>
      </c>
      <c r="C314" s="135" t="s">
        <v>70</v>
      </c>
      <c r="D314" s="135" t="s">
        <v>2533</v>
      </c>
      <c r="E314" s="135" t="s">
        <v>1736</v>
      </c>
      <c r="F314" s="135">
        <v>3000</v>
      </c>
      <c r="G314" s="135">
        <v>0</v>
      </c>
      <c r="H314" s="135">
        <v>6</v>
      </c>
      <c r="I314" s="135">
        <v>2.6</v>
      </c>
      <c r="J314" s="135">
        <v>0</v>
      </c>
      <c r="K314" s="135">
        <v>0</v>
      </c>
      <c r="L314" s="135">
        <v>40</v>
      </c>
      <c r="M314" s="135">
        <v>6</v>
      </c>
      <c r="N314" s="135">
        <v>0</v>
      </c>
      <c r="O314" s="135">
        <v>2</v>
      </c>
      <c r="P314" s="135">
        <v>0.7</v>
      </c>
    </row>
    <row r="315" spans="1:16" x14ac:dyDescent="0.3">
      <c r="A315" s="135" t="s">
        <v>1550</v>
      </c>
      <c r="B315" s="135" t="s">
        <v>396</v>
      </c>
      <c r="C315" s="135" t="s">
        <v>70</v>
      </c>
      <c r="D315" s="135" t="s">
        <v>2533</v>
      </c>
      <c r="E315" s="135" t="s">
        <v>1736</v>
      </c>
      <c r="F315" s="135">
        <v>3000</v>
      </c>
      <c r="G315" s="135">
        <v>0</v>
      </c>
      <c r="H315" s="135">
        <v>0</v>
      </c>
      <c r="J315" s="135">
        <v>0</v>
      </c>
      <c r="K315" s="135">
        <v>0</v>
      </c>
      <c r="L315" s="135">
        <v>40</v>
      </c>
      <c r="M315" s="135">
        <v>0</v>
      </c>
      <c r="N315" s="135">
        <v>0</v>
      </c>
    </row>
    <row r="316" spans="1:16" x14ac:dyDescent="0.3">
      <c r="A316" s="135" t="s">
        <v>481</v>
      </c>
      <c r="B316" s="135" t="s">
        <v>396</v>
      </c>
      <c r="C316" s="135" t="s">
        <v>28</v>
      </c>
      <c r="D316" s="135" t="s">
        <v>2527</v>
      </c>
      <c r="E316" s="135" t="s">
        <v>1320</v>
      </c>
      <c r="F316" s="135">
        <v>3000</v>
      </c>
      <c r="G316" s="135">
        <v>0</v>
      </c>
      <c r="H316" s="135">
        <v>5.6</v>
      </c>
      <c r="J316" s="135">
        <v>0</v>
      </c>
      <c r="K316" s="135">
        <v>0</v>
      </c>
      <c r="L316" s="135">
        <v>40</v>
      </c>
      <c r="M316" s="135">
        <v>0</v>
      </c>
      <c r="N316" s="135">
        <v>0</v>
      </c>
      <c r="O316" s="135">
        <v>2</v>
      </c>
      <c r="P316" s="135">
        <v>0.7</v>
      </c>
    </row>
    <row r="317" spans="1:16" x14ac:dyDescent="0.3">
      <c r="A317" s="135" t="s">
        <v>290</v>
      </c>
      <c r="B317" s="135" t="s">
        <v>396</v>
      </c>
      <c r="C317" s="135" t="s">
        <v>70</v>
      </c>
      <c r="D317" s="135" t="s">
        <v>2533</v>
      </c>
      <c r="E317" s="135" t="s">
        <v>1736</v>
      </c>
      <c r="F317" s="135">
        <v>3000</v>
      </c>
      <c r="G317" s="135">
        <v>0</v>
      </c>
      <c r="H317" s="135">
        <v>5.2</v>
      </c>
      <c r="I317" s="135">
        <v>2.6</v>
      </c>
      <c r="J317" s="135">
        <v>0</v>
      </c>
      <c r="K317" s="135">
        <v>0</v>
      </c>
      <c r="L317" s="135">
        <v>40</v>
      </c>
      <c r="M317" s="135">
        <v>0</v>
      </c>
      <c r="N317" s="135">
        <v>0</v>
      </c>
      <c r="O317" s="135">
        <v>2.2999999999999998</v>
      </c>
      <c r="P317" s="135">
        <v>0.8</v>
      </c>
    </row>
    <row r="318" spans="1:16" x14ac:dyDescent="0.3">
      <c r="A318" s="135" t="s">
        <v>286</v>
      </c>
      <c r="B318" s="135" t="s">
        <v>396</v>
      </c>
      <c r="C318" s="135" t="s">
        <v>70</v>
      </c>
      <c r="D318" s="135" t="s">
        <v>2533</v>
      </c>
      <c r="E318" s="135" t="s">
        <v>1736</v>
      </c>
      <c r="F318" s="135">
        <v>3000</v>
      </c>
      <c r="G318" s="135">
        <v>0</v>
      </c>
      <c r="H318" s="135">
        <v>4.4000000000000004</v>
      </c>
      <c r="I318" s="135">
        <v>4.3</v>
      </c>
      <c r="J318" s="135">
        <v>0</v>
      </c>
      <c r="K318" s="135">
        <v>0</v>
      </c>
      <c r="L318" s="135">
        <v>40</v>
      </c>
      <c r="M318" s="135">
        <v>19</v>
      </c>
      <c r="N318" s="135">
        <v>0</v>
      </c>
      <c r="O318" s="135">
        <v>0</v>
      </c>
    </row>
    <row r="319" spans="1:16" x14ac:dyDescent="0.3">
      <c r="A319" s="135" t="s">
        <v>764</v>
      </c>
      <c r="B319" s="135" t="s">
        <v>394</v>
      </c>
      <c r="C319" s="135" t="s">
        <v>70</v>
      </c>
      <c r="D319" s="135" t="s">
        <v>2533</v>
      </c>
      <c r="E319" s="135" t="s">
        <v>1724</v>
      </c>
      <c r="F319" s="135">
        <v>3000</v>
      </c>
      <c r="G319" s="135">
        <v>1.3</v>
      </c>
      <c r="H319" s="135">
        <v>8.1</v>
      </c>
      <c r="J319" s="135">
        <v>5.39</v>
      </c>
      <c r="K319" s="135">
        <v>5.39</v>
      </c>
      <c r="L319" s="135">
        <v>40</v>
      </c>
      <c r="M319" s="135">
        <v>0</v>
      </c>
      <c r="N319" s="135">
        <v>1.8</v>
      </c>
      <c r="O319" s="135">
        <v>3.5</v>
      </c>
      <c r="P319" s="135">
        <v>1.2</v>
      </c>
    </row>
    <row r="320" spans="1:16" x14ac:dyDescent="0.3">
      <c r="A320" s="135" t="s">
        <v>1556</v>
      </c>
      <c r="B320" s="135" t="s">
        <v>394</v>
      </c>
      <c r="C320" s="135" t="s">
        <v>70</v>
      </c>
      <c r="D320" s="135" t="s">
        <v>2533</v>
      </c>
      <c r="E320" s="135" t="s">
        <v>1724</v>
      </c>
      <c r="F320" s="135">
        <v>3000</v>
      </c>
      <c r="G320" s="135">
        <v>0</v>
      </c>
      <c r="H320" s="135">
        <v>0</v>
      </c>
      <c r="J320" s="135">
        <v>0</v>
      </c>
      <c r="K320" s="135">
        <v>0</v>
      </c>
      <c r="L320" s="135">
        <v>40</v>
      </c>
      <c r="M320" s="135">
        <v>0</v>
      </c>
      <c r="N320" s="135">
        <v>0</v>
      </c>
    </row>
    <row r="321" spans="1:16" x14ac:dyDescent="0.3">
      <c r="A321" s="135" t="s">
        <v>506</v>
      </c>
      <c r="B321" s="135" t="s">
        <v>396</v>
      </c>
      <c r="C321" s="135" t="s">
        <v>28</v>
      </c>
      <c r="D321" s="135" t="s">
        <v>2527</v>
      </c>
      <c r="E321" s="135" t="s">
        <v>1320</v>
      </c>
      <c r="F321" s="135">
        <v>3000</v>
      </c>
      <c r="G321" s="135">
        <v>0</v>
      </c>
      <c r="H321" s="135">
        <v>0</v>
      </c>
      <c r="J321" s="135">
        <v>0</v>
      </c>
      <c r="K321" s="135">
        <v>0</v>
      </c>
      <c r="L321" s="135">
        <v>40</v>
      </c>
      <c r="M321" s="135">
        <v>0</v>
      </c>
      <c r="N321" s="135">
        <v>0</v>
      </c>
      <c r="O321" s="135">
        <v>0</v>
      </c>
    </row>
    <row r="322" spans="1:16" x14ac:dyDescent="0.3">
      <c r="A322" s="135" t="s">
        <v>1246</v>
      </c>
      <c r="B322" s="135" t="s">
        <v>394</v>
      </c>
      <c r="C322" s="135" t="s">
        <v>409</v>
      </c>
      <c r="D322" s="135" t="s">
        <v>2535</v>
      </c>
      <c r="E322" s="135" t="s">
        <v>1725</v>
      </c>
      <c r="F322" s="135">
        <v>3000</v>
      </c>
      <c r="G322" s="135">
        <v>0</v>
      </c>
      <c r="H322" s="135">
        <v>0</v>
      </c>
      <c r="I322" s="135">
        <v>2.5</v>
      </c>
      <c r="J322" s="135">
        <v>0</v>
      </c>
      <c r="K322" s="135">
        <v>0</v>
      </c>
      <c r="L322" s="135">
        <v>40</v>
      </c>
      <c r="M322" s="135">
        <v>0</v>
      </c>
      <c r="N322" s="135">
        <v>0</v>
      </c>
    </row>
    <row r="323" spans="1:16" x14ac:dyDescent="0.3">
      <c r="A323" s="135" t="s">
        <v>266</v>
      </c>
      <c r="B323" s="135" t="s">
        <v>396</v>
      </c>
      <c r="C323" s="135" t="s">
        <v>52</v>
      </c>
      <c r="D323" s="135" t="s">
        <v>2526</v>
      </c>
      <c r="E323" s="135" t="s">
        <v>1720</v>
      </c>
      <c r="F323" s="135">
        <v>3000</v>
      </c>
      <c r="G323" s="135">
        <v>0</v>
      </c>
      <c r="H323" s="135">
        <v>8</v>
      </c>
      <c r="I323" s="135">
        <v>7.6</v>
      </c>
      <c r="J323" s="135">
        <v>0</v>
      </c>
      <c r="K323" s="135">
        <v>0</v>
      </c>
      <c r="L323" s="135">
        <v>40</v>
      </c>
      <c r="M323" s="135">
        <v>0</v>
      </c>
      <c r="N323" s="135">
        <v>0</v>
      </c>
      <c r="O323" s="135">
        <v>0</v>
      </c>
    </row>
    <row r="324" spans="1:16" x14ac:dyDescent="0.3">
      <c r="A324" s="135" t="s">
        <v>314</v>
      </c>
      <c r="B324" s="135" t="s">
        <v>396</v>
      </c>
      <c r="C324" s="135" t="s">
        <v>46</v>
      </c>
      <c r="D324" s="135" t="s">
        <v>2528</v>
      </c>
      <c r="E324" s="135" t="s">
        <v>1730</v>
      </c>
      <c r="F324" s="135">
        <v>3000</v>
      </c>
      <c r="G324" s="135">
        <v>0</v>
      </c>
      <c r="H324" s="135">
        <v>4.8</v>
      </c>
      <c r="I324" s="135">
        <v>1.7</v>
      </c>
      <c r="J324" s="135">
        <v>0</v>
      </c>
      <c r="K324" s="135">
        <v>0</v>
      </c>
      <c r="L324" s="135">
        <v>40</v>
      </c>
      <c r="M324" s="135">
        <v>0</v>
      </c>
      <c r="N324" s="135">
        <v>0</v>
      </c>
      <c r="O324" s="135">
        <v>0</v>
      </c>
    </row>
    <row r="325" spans="1:16" x14ac:dyDescent="0.3">
      <c r="A325" s="135" t="s">
        <v>515</v>
      </c>
      <c r="B325" s="135" t="s">
        <v>394</v>
      </c>
      <c r="C325" s="135" t="s">
        <v>52</v>
      </c>
      <c r="D325" s="135" t="s">
        <v>2526</v>
      </c>
      <c r="E325" s="135" t="s">
        <v>1704</v>
      </c>
      <c r="F325" s="135">
        <v>3000</v>
      </c>
      <c r="G325" s="135">
        <v>0</v>
      </c>
      <c r="H325" s="135">
        <v>0</v>
      </c>
      <c r="J325" s="135">
        <v>0</v>
      </c>
      <c r="K325" s="135">
        <v>0</v>
      </c>
      <c r="L325" s="135">
        <v>40</v>
      </c>
      <c r="M325" s="135">
        <v>0</v>
      </c>
      <c r="N325" s="135">
        <v>0</v>
      </c>
    </row>
    <row r="326" spans="1:16" x14ac:dyDescent="0.3">
      <c r="A326" s="135" t="s">
        <v>507</v>
      </c>
      <c r="B326" s="135" t="s">
        <v>394</v>
      </c>
      <c r="C326" s="135" t="s">
        <v>46</v>
      </c>
      <c r="D326" s="135" t="s">
        <v>2528</v>
      </c>
      <c r="E326" s="135" t="s">
        <v>1716</v>
      </c>
      <c r="F326" s="135">
        <v>3000</v>
      </c>
      <c r="G326" s="135">
        <v>0</v>
      </c>
      <c r="H326" s="135">
        <v>0</v>
      </c>
      <c r="J326" s="135">
        <v>0</v>
      </c>
      <c r="K326" s="135">
        <v>0</v>
      </c>
      <c r="L326" s="135">
        <v>40</v>
      </c>
      <c r="M326" s="135">
        <v>0</v>
      </c>
      <c r="N326" s="135">
        <v>0</v>
      </c>
    </row>
    <row r="327" spans="1:16" x14ac:dyDescent="0.3">
      <c r="A327" s="135" t="s">
        <v>1743</v>
      </c>
      <c r="B327" s="135" t="s">
        <v>394</v>
      </c>
      <c r="C327" s="135" t="s">
        <v>52</v>
      </c>
      <c r="D327" s="135" t="s">
        <v>2526</v>
      </c>
      <c r="E327" s="135" t="s">
        <v>1704</v>
      </c>
      <c r="F327" s="135">
        <v>3000</v>
      </c>
      <c r="G327" s="135">
        <v>0</v>
      </c>
      <c r="H327" s="135">
        <v>0</v>
      </c>
      <c r="J327" s="135">
        <v>0</v>
      </c>
      <c r="K327" s="135">
        <v>0</v>
      </c>
      <c r="L327" s="135">
        <v>40</v>
      </c>
      <c r="M327" s="135">
        <v>0</v>
      </c>
      <c r="N327" s="135">
        <v>0</v>
      </c>
    </row>
    <row r="328" spans="1:16" x14ac:dyDescent="0.3">
      <c r="A328" s="135" t="s">
        <v>184</v>
      </c>
      <c r="B328" s="135" t="s">
        <v>394</v>
      </c>
      <c r="C328" s="135" t="s">
        <v>52</v>
      </c>
      <c r="D328" s="135" t="s">
        <v>2526</v>
      </c>
      <c r="E328" s="135" t="s">
        <v>1704</v>
      </c>
      <c r="F328" s="135">
        <v>3000</v>
      </c>
      <c r="G328" s="135">
        <v>0</v>
      </c>
      <c r="H328" s="135">
        <v>1.4</v>
      </c>
      <c r="I328" s="135">
        <v>0.5</v>
      </c>
      <c r="J328" s="135">
        <v>0</v>
      </c>
      <c r="K328" s="135">
        <v>0</v>
      </c>
      <c r="L328" s="135">
        <v>40</v>
      </c>
      <c r="M328" s="135">
        <v>0</v>
      </c>
      <c r="N328" s="135">
        <v>0</v>
      </c>
    </row>
    <row r="329" spans="1:16" x14ac:dyDescent="0.3">
      <c r="A329" s="135" t="s">
        <v>1557</v>
      </c>
      <c r="B329" s="135" t="s">
        <v>396</v>
      </c>
      <c r="C329" s="135" t="s">
        <v>39</v>
      </c>
      <c r="D329" s="135" t="s">
        <v>2536</v>
      </c>
      <c r="E329" s="135" t="s">
        <v>1704</v>
      </c>
      <c r="F329" s="135">
        <v>3000</v>
      </c>
      <c r="G329" s="135">
        <v>0</v>
      </c>
      <c r="H329" s="135">
        <v>0</v>
      </c>
      <c r="J329" s="135">
        <v>0</v>
      </c>
      <c r="K329" s="135">
        <v>0</v>
      </c>
      <c r="L329" s="135">
        <v>40</v>
      </c>
      <c r="M329" s="135">
        <v>0</v>
      </c>
      <c r="N329" s="135">
        <v>0</v>
      </c>
    </row>
    <row r="330" spans="1:16" x14ac:dyDescent="0.3">
      <c r="A330" s="135" t="s">
        <v>259</v>
      </c>
      <c r="B330" s="135" t="s">
        <v>396</v>
      </c>
      <c r="C330" s="135" t="s">
        <v>39</v>
      </c>
      <c r="D330" s="135" t="s">
        <v>2536</v>
      </c>
      <c r="E330" s="135" t="s">
        <v>1704</v>
      </c>
      <c r="F330" s="135">
        <v>3000</v>
      </c>
      <c r="G330" s="135">
        <v>0</v>
      </c>
      <c r="H330" s="135">
        <v>8.6</v>
      </c>
      <c r="I330" s="135">
        <v>5.4</v>
      </c>
      <c r="J330" s="135">
        <v>0</v>
      </c>
      <c r="K330" s="135">
        <v>0</v>
      </c>
      <c r="L330" s="135">
        <v>40</v>
      </c>
      <c r="M330" s="135">
        <v>0</v>
      </c>
      <c r="N330" s="135">
        <v>0</v>
      </c>
      <c r="O330" s="135">
        <v>6</v>
      </c>
      <c r="P330" s="135">
        <v>2</v>
      </c>
    </row>
    <row r="331" spans="1:16" x14ac:dyDescent="0.3">
      <c r="A331" s="135" t="s">
        <v>522</v>
      </c>
      <c r="B331" s="135" t="s">
        <v>394</v>
      </c>
      <c r="C331" s="135" t="s">
        <v>39</v>
      </c>
      <c r="D331" s="135" t="s">
        <v>2536</v>
      </c>
      <c r="E331" s="135" t="s">
        <v>1720</v>
      </c>
      <c r="F331" s="135">
        <v>3000</v>
      </c>
      <c r="G331" s="135">
        <v>1</v>
      </c>
      <c r="H331" s="135">
        <v>6.2</v>
      </c>
      <c r="J331" s="135">
        <v>4.16</v>
      </c>
      <c r="K331" s="135">
        <v>4.16</v>
      </c>
      <c r="L331" s="135">
        <v>40</v>
      </c>
      <c r="M331" s="135">
        <v>0</v>
      </c>
      <c r="N331" s="135">
        <v>1.4</v>
      </c>
      <c r="O331" s="135">
        <v>13.9</v>
      </c>
      <c r="P331" s="135">
        <v>4.5999999999999996</v>
      </c>
    </row>
    <row r="332" spans="1:16" x14ac:dyDescent="0.3">
      <c r="A332" s="135" t="s">
        <v>1555</v>
      </c>
      <c r="B332" s="135" t="s">
        <v>394</v>
      </c>
      <c r="C332" s="135" t="s">
        <v>20</v>
      </c>
      <c r="D332" s="135" t="s">
        <v>2523</v>
      </c>
      <c r="E332" s="135" t="s">
        <v>1713</v>
      </c>
      <c r="F332" s="135">
        <v>3000</v>
      </c>
      <c r="G332" s="135">
        <v>0</v>
      </c>
      <c r="H332" s="135">
        <v>0</v>
      </c>
      <c r="J332" s="135">
        <v>0</v>
      </c>
      <c r="K332" s="135">
        <v>0</v>
      </c>
      <c r="L332" s="135">
        <v>40</v>
      </c>
      <c r="M332" s="135">
        <v>0</v>
      </c>
      <c r="N332" s="135">
        <v>0</v>
      </c>
      <c r="O332" s="135">
        <v>0.1</v>
      </c>
      <c r="P332" s="135">
        <v>0</v>
      </c>
    </row>
    <row r="333" spans="1:16" x14ac:dyDescent="0.3">
      <c r="A333" s="135" t="s">
        <v>1520</v>
      </c>
      <c r="B333" s="135" t="s">
        <v>394</v>
      </c>
      <c r="C333" s="135" t="s">
        <v>20</v>
      </c>
      <c r="D333" s="135" t="s">
        <v>2523</v>
      </c>
      <c r="E333" s="135" t="s">
        <v>1713</v>
      </c>
      <c r="F333" s="135">
        <v>3000</v>
      </c>
      <c r="G333" s="135">
        <v>0</v>
      </c>
      <c r="H333" s="135">
        <v>0</v>
      </c>
      <c r="J333" s="135">
        <v>0</v>
      </c>
      <c r="K333" s="135">
        <v>0</v>
      </c>
      <c r="L333" s="135">
        <v>40</v>
      </c>
      <c r="M333" s="135">
        <v>0</v>
      </c>
      <c r="N333" s="135">
        <v>0</v>
      </c>
    </row>
    <row r="334" spans="1:16" x14ac:dyDescent="0.3">
      <c r="A334" s="135" t="s">
        <v>483</v>
      </c>
      <c r="B334" s="135" t="s">
        <v>396</v>
      </c>
      <c r="C334" s="135" t="s">
        <v>46</v>
      </c>
      <c r="D334" s="135" t="s">
        <v>2528</v>
      </c>
      <c r="E334" s="135" t="s">
        <v>1730</v>
      </c>
      <c r="F334" s="135">
        <v>3000</v>
      </c>
      <c r="G334" s="135">
        <v>0</v>
      </c>
      <c r="H334" s="135">
        <v>0</v>
      </c>
      <c r="J334" s="135">
        <v>0</v>
      </c>
      <c r="K334" s="135">
        <v>0</v>
      </c>
      <c r="L334" s="135">
        <v>40</v>
      </c>
      <c r="M334" s="135">
        <v>0</v>
      </c>
      <c r="N334" s="135">
        <v>0</v>
      </c>
    </row>
    <row r="335" spans="1:16" x14ac:dyDescent="0.3">
      <c r="A335" s="135" t="s">
        <v>296</v>
      </c>
      <c r="B335" s="135" t="s">
        <v>396</v>
      </c>
      <c r="C335" s="135" t="s">
        <v>46</v>
      </c>
      <c r="D335" s="135" t="s">
        <v>2528</v>
      </c>
      <c r="E335" s="135" t="s">
        <v>1730</v>
      </c>
      <c r="F335" s="135">
        <v>3000</v>
      </c>
      <c r="G335" s="135">
        <v>0</v>
      </c>
      <c r="H335" s="135">
        <v>6.4</v>
      </c>
      <c r="I335" s="135">
        <v>3.8</v>
      </c>
      <c r="J335" s="135">
        <v>0</v>
      </c>
      <c r="K335" s="135">
        <v>0</v>
      </c>
      <c r="L335" s="135">
        <v>40</v>
      </c>
      <c r="M335" s="135">
        <v>0</v>
      </c>
      <c r="N335" s="135">
        <v>0</v>
      </c>
      <c r="O335" s="135">
        <v>3.4</v>
      </c>
      <c r="P335" s="135">
        <v>1.1000000000000001</v>
      </c>
    </row>
    <row r="336" spans="1:16" x14ac:dyDescent="0.3">
      <c r="A336" s="135" t="s">
        <v>307</v>
      </c>
      <c r="B336" s="135" t="s">
        <v>396</v>
      </c>
      <c r="C336" s="135" t="s">
        <v>52</v>
      </c>
      <c r="D336" s="135" t="s">
        <v>2526</v>
      </c>
      <c r="E336" s="135" t="s">
        <v>1720</v>
      </c>
      <c r="F336" s="135">
        <v>3000</v>
      </c>
      <c r="G336" s="135">
        <v>0</v>
      </c>
      <c r="H336" s="135">
        <v>3.2</v>
      </c>
      <c r="I336" s="135">
        <v>1.4</v>
      </c>
      <c r="J336" s="135">
        <v>0</v>
      </c>
      <c r="K336" s="135">
        <v>0</v>
      </c>
      <c r="L336" s="135">
        <v>40</v>
      </c>
      <c r="M336" s="135">
        <v>0</v>
      </c>
      <c r="N336" s="135">
        <v>0</v>
      </c>
      <c r="O336" s="135">
        <v>0.3</v>
      </c>
      <c r="P336" s="135">
        <v>0.1</v>
      </c>
    </row>
    <row r="337" spans="1:16" x14ac:dyDescent="0.3">
      <c r="A337" s="135" t="s">
        <v>271</v>
      </c>
      <c r="B337" s="135" t="s">
        <v>396</v>
      </c>
      <c r="C337" s="135" t="s">
        <v>50</v>
      </c>
      <c r="D337" s="135" t="s">
        <v>2524</v>
      </c>
      <c r="E337" s="135" t="s">
        <v>1717</v>
      </c>
      <c r="F337" s="135">
        <v>3000</v>
      </c>
      <c r="G337" s="135">
        <v>0</v>
      </c>
      <c r="H337" s="135">
        <v>9.4</v>
      </c>
      <c r="I337" s="135">
        <v>4.4000000000000004</v>
      </c>
      <c r="J337" s="135">
        <v>0</v>
      </c>
      <c r="K337" s="135">
        <v>0</v>
      </c>
      <c r="L337" s="135">
        <v>40</v>
      </c>
      <c r="M337" s="135">
        <v>19</v>
      </c>
      <c r="N337" s="135">
        <v>0</v>
      </c>
      <c r="O337" s="135">
        <v>5.3</v>
      </c>
      <c r="P337" s="135">
        <v>1.8</v>
      </c>
    </row>
    <row r="338" spans="1:16" x14ac:dyDescent="0.3">
      <c r="A338" s="135" t="s">
        <v>500</v>
      </c>
      <c r="B338" s="135" t="s">
        <v>396</v>
      </c>
      <c r="C338" s="135" t="s">
        <v>404</v>
      </c>
      <c r="D338" s="135" t="s">
        <v>1901</v>
      </c>
      <c r="E338" s="135" t="s">
        <v>1728</v>
      </c>
      <c r="F338" s="135">
        <v>3000</v>
      </c>
      <c r="G338" s="135">
        <v>0</v>
      </c>
      <c r="H338" s="135">
        <v>0</v>
      </c>
      <c r="J338" s="135">
        <v>0</v>
      </c>
      <c r="K338" s="135">
        <v>0</v>
      </c>
      <c r="L338" s="135">
        <v>40</v>
      </c>
      <c r="M338" s="135">
        <v>0</v>
      </c>
      <c r="N338" s="135">
        <v>0</v>
      </c>
      <c r="O338" s="135">
        <v>7.4</v>
      </c>
      <c r="P338" s="135">
        <v>2.5</v>
      </c>
    </row>
    <row r="339" spans="1:16" x14ac:dyDescent="0.3">
      <c r="A339" s="135" t="s">
        <v>284</v>
      </c>
      <c r="B339" s="135" t="s">
        <v>396</v>
      </c>
      <c r="C339" s="135" t="s">
        <v>50</v>
      </c>
      <c r="D339" s="135" t="s">
        <v>2524</v>
      </c>
      <c r="E339" s="135" t="s">
        <v>1717</v>
      </c>
      <c r="F339" s="135">
        <v>3000</v>
      </c>
      <c r="G339" s="135">
        <v>4.7</v>
      </c>
      <c r="H339" s="135">
        <v>10.4</v>
      </c>
      <c r="I339" s="135">
        <v>4.5</v>
      </c>
      <c r="J339" s="135">
        <v>6.56</v>
      </c>
      <c r="K339" s="135">
        <v>6.56</v>
      </c>
      <c r="L339" s="135">
        <v>40</v>
      </c>
      <c r="M339" s="135">
        <v>57</v>
      </c>
      <c r="N339" s="135">
        <v>2.2000000000000002</v>
      </c>
      <c r="O339" s="135">
        <v>10.6</v>
      </c>
      <c r="P339" s="135">
        <v>3.5</v>
      </c>
    </row>
    <row r="340" spans="1:16" x14ac:dyDescent="0.3">
      <c r="A340" s="135" t="s">
        <v>264</v>
      </c>
      <c r="B340" s="135" t="s">
        <v>396</v>
      </c>
      <c r="C340" s="135" t="s">
        <v>404</v>
      </c>
      <c r="D340" s="135" t="s">
        <v>1901</v>
      </c>
      <c r="E340" s="135" t="s">
        <v>1728</v>
      </c>
      <c r="F340" s="135">
        <v>3000</v>
      </c>
      <c r="G340" s="135">
        <v>0</v>
      </c>
      <c r="H340" s="135">
        <v>15.6</v>
      </c>
      <c r="I340" s="135">
        <v>5.5</v>
      </c>
      <c r="J340" s="135">
        <v>5</v>
      </c>
      <c r="K340" s="135">
        <v>5</v>
      </c>
      <c r="L340" s="135">
        <v>40</v>
      </c>
      <c r="M340" s="135">
        <v>0</v>
      </c>
      <c r="N340" s="135">
        <v>1.7</v>
      </c>
      <c r="O340" s="135">
        <v>14.8</v>
      </c>
      <c r="P340" s="135">
        <v>4.9000000000000004</v>
      </c>
    </row>
    <row r="341" spans="1:16" x14ac:dyDescent="0.3">
      <c r="A341" s="135" t="s">
        <v>477</v>
      </c>
      <c r="B341" s="135" t="s">
        <v>396</v>
      </c>
      <c r="C341" s="135" t="s">
        <v>50</v>
      </c>
      <c r="D341" s="135" t="s">
        <v>2524</v>
      </c>
      <c r="E341" s="135" t="s">
        <v>1717</v>
      </c>
      <c r="F341" s="135">
        <v>3000</v>
      </c>
      <c r="G341" s="135">
        <v>0</v>
      </c>
      <c r="H341" s="135">
        <v>0</v>
      </c>
      <c r="J341" s="135">
        <v>0</v>
      </c>
      <c r="K341" s="135">
        <v>0</v>
      </c>
      <c r="L341" s="135">
        <v>40</v>
      </c>
      <c r="M341" s="135">
        <v>0</v>
      </c>
      <c r="N341" s="135">
        <v>0</v>
      </c>
      <c r="O341" s="135">
        <v>1.4</v>
      </c>
      <c r="P341" s="135">
        <v>0.5</v>
      </c>
    </row>
    <row r="342" spans="1:16" x14ac:dyDescent="0.3">
      <c r="A342" s="135" t="s">
        <v>317</v>
      </c>
      <c r="B342" s="135" t="s">
        <v>396</v>
      </c>
      <c r="C342" s="135" t="s">
        <v>50</v>
      </c>
      <c r="D342" s="135" t="s">
        <v>2524</v>
      </c>
      <c r="E342" s="135" t="s">
        <v>1717</v>
      </c>
      <c r="F342" s="135">
        <v>3000</v>
      </c>
      <c r="G342" s="135">
        <v>0</v>
      </c>
      <c r="H342" s="135">
        <v>6.2</v>
      </c>
      <c r="I342" s="135">
        <v>0.2</v>
      </c>
      <c r="J342" s="135">
        <v>0</v>
      </c>
      <c r="K342" s="135">
        <v>0</v>
      </c>
      <c r="L342" s="135">
        <v>40</v>
      </c>
      <c r="M342" s="135">
        <v>0</v>
      </c>
      <c r="N342" s="135">
        <v>0</v>
      </c>
      <c r="O342" s="135">
        <v>0</v>
      </c>
    </row>
    <row r="343" spans="1:16" x14ac:dyDescent="0.3">
      <c r="A343" s="135" t="s">
        <v>499</v>
      </c>
      <c r="B343" s="135" t="s">
        <v>394</v>
      </c>
      <c r="C343" s="135" t="s">
        <v>404</v>
      </c>
      <c r="D343" s="135" t="s">
        <v>1901</v>
      </c>
      <c r="E343" s="135" t="s">
        <v>1705</v>
      </c>
      <c r="F343" s="135">
        <v>3000</v>
      </c>
      <c r="G343" s="135">
        <v>0</v>
      </c>
      <c r="H343" s="135">
        <v>0</v>
      </c>
      <c r="J343" s="135">
        <v>0</v>
      </c>
      <c r="K343" s="135">
        <v>0</v>
      </c>
      <c r="L343" s="135">
        <v>40</v>
      </c>
      <c r="M343" s="135">
        <v>0</v>
      </c>
      <c r="N343" s="135">
        <v>0</v>
      </c>
    </row>
    <row r="344" spans="1:16" x14ac:dyDescent="0.3">
      <c r="A344" s="135" t="s">
        <v>158</v>
      </c>
      <c r="B344" s="135" t="s">
        <v>394</v>
      </c>
      <c r="C344" s="135" t="s">
        <v>50</v>
      </c>
      <c r="D344" s="135" t="s">
        <v>2524</v>
      </c>
      <c r="E344" s="135" t="s">
        <v>1708</v>
      </c>
      <c r="F344" s="135">
        <v>3000</v>
      </c>
      <c r="G344" s="135">
        <v>0</v>
      </c>
      <c r="H344" s="135">
        <v>9</v>
      </c>
      <c r="I344" s="135">
        <v>3.2</v>
      </c>
      <c r="J344" s="135">
        <v>0</v>
      </c>
      <c r="K344" s="135">
        <v>0</v>
      </c>
      <c r="L344" s="135">
        <v>40</v>
      </c>
      <c r="M344" s="135">
        <v>0</v>
      </c>
      <c r="N344" s="135">
        <v>0</v>
      </c>
    </row>
    <row r="345" spans="1:16" x14ac:dyDescent="0.3">
      <c r="A345" s="135" t="s">
        <v>185</v>
      </c>
      <c r="B345" s="135" t="s">
        <v>394</v>
      </c>
      <c r="C345" s="135" t="s">
        <v>404</v>
      </c>
      <c r="D345" s="135" t="s">
        <v>1901</v>
      </c>
      <c r="E345" s="135" t="s">
        <v>1705</v>
      </c>
      <c r="F345" s="135">
        <v>3000</v>
      </c>
      <c r="G345" s="135">
        <v>0</v>
      </c>
      <c r="H345" s="135">
        <v>3.2</v>
      </c>
      <c r="I345" s="135">
        <v>0.4</v>
      </c>
      <c r="J345" s="135">
        <v>0</v>
      </c>
      <c r="K345" s="135">
        <v>0</v>
      </c>
      <c r="L345" s="135">
        <v>40</v>
      </c>
      <c r="M345" s="135">
        <v>0</v>
      </c>
      <c r="N345" s="135">
        <v>0</v>
      </c>
    </row>
    <row r="346" spans="1:16" x14ac:dyDescent="0.3">
      <c r="A346" s="135" t="s">
        <v>169</v>
      </c>
      <c r="B346" s="135" t="s">
        <v>394</v>
      </c>
      <c r="C346" s="135" t="s">
        <v>50</v>
      </c>
      <c r="D346" s="135" t="s">
        <v>2524</v>
      </c>
      <c r="E346" s="135" t="s">
        <v>1708</v>
      </c>
      <c r="F346" s="135">
        <v>3000</v>
      </c>
      <c r="G346" s="135">
        <v>0</v>
      </c>
      <c r="H346" s="135">
        <v>0</v>
      </c>
      <c r="J346" s="135">
        <v>0</v>
      </c>
      <c r="K346" s="135">
        <v>0</v>
      </c>
      <c r="L346" s="135">
        <v>40</v>
      </c>
      <c r="M346" s="135">
        <v>0</v>
      </c>
      <c r="N346" s="135">
        <v>0</v>
      </c>
    </row>
    <row r="347" spans="1:16" x14ac:dyDescent="0.3">
      <c r="A347" s="135" t="s">
        <v>168</v>
      </c>
      <c r="B347" s="135" t="s">
        <v>394</v>
      </c>
      <c r="C347" s="135" t="s">
        <v>404</v>
      </c>
      <c r="D347" s="135" t="s">
        <v>1901</v>
      </c>
      <c r="E347" s="135" t="s">
        <v>1705</v>
      </c>
      <c r="F347" s="135">
        <v>3000</v>
      </c>
      <c r="G347" s="135">
        <v>0</v>
      </c>
      <c r="H347" s="135">
        <v>0</v>
      </c>
      <c r="J347" s="135">
        <v>0</v>
      </c>
      <c r="K347" s="135">
        <v>0</v>
      </c>
      <c r="L347" s="135">
        <v>40</v>
      </c>
      <c r="M347" s="135">
        <v>0</v>
      </c>
      <c r="N347" s="135">
        <v>0</v>
      </c>
    </row>
    <row r="348" spans="1:16" x14ac:dyDescent="0.3">
      <c r="A348" s="135" t="s">
        <v>159</v>
      </c>
      <c r="B348" s="135" t="s">
        <v>394</v>
      </c>
      <c r="C348" s="135" t="s">
        <v>20</v>
      </c>
      <c r="D348" s="135" t="s">
        <v>2523</v>
      </c>
      <c r="E348" s="135" t="s">
        <v>1713</v>
      </c>
      <c r="F348" s="135">
        <v>3000</v>
      </c>
      <c r="G348" s="135">
        <v>0</v>
      </c>
      <c r="H348" s="135">
        <v>13.6</v>
      </c>
      <c r="I348" s="135">
        <v>2.1</v>
      </c>
      <c r="J348" s="135">
        <v>2.97</v>
      </c>
      <c r="K348" s="135">
        <v>2.97</v>
      </c>
      <c r="L348" s="135">
        <v>40</v>
      </c>
      <c r="M348" s="135">
        <v>0</v>
      </c>
      <c r="N348" s="135">
        <v>1</v>
      </c>
      <c r="O348" s="135">
        <v>0</v>
      </c>
    </row>
    <row r="349" spans="1:16" x14ac:dyDescent="0.3">
      <c r="A349" s="135" t="s">
        <v>164</v>
      </c>
      <c r="B349" s="135" t="s">
        <v>394</v>
      </c>
      <c r="C349" s="135" t="s">
        <v>39</v>
      </c>
      <c r="D349" s="135" t="s">
        <v>2536</v>
      </c>
      <c r="E349" s="135" t="s">
        <v>1720</v>
      </c>
      <c r="F349" s="135">
        <v>3000</v>
      </c>
      <c r="G349" s="135">
        <v>0</v>
      </c>
      <c r="H349" s="135">
        <v>6.2</v>
      </c>
      <c r="I349" s="135">
        <v>3.8</v>
      </c>
      <c r="J349" s="135">
        <v>0</v>
      </c>
      <c r="K349" s="135">
        <v>0</v>
      </c>
      <c r="L349" s="135">
        <v>40</v>
      </c>
      <c r="M349" s="135">
        <v>0</v>
      </c>
      <c r="N349" s="135">
        <v>0</v>
      </c>
      <c r="O349" s="135">
        <v>10.199999999999999</v>
      </c>
      <c r="P349" s="135">
        <v>3.4</v>
      </c>
    </row>
    <row r="350" spans="1:16" x14ac:dyDescent="0.3">
      <c r="A350" s="135" t="s">
        <v>491</v>
      </c>
      <c r="B350" s="135" t="s">
        <v>396</v>
      </c>
      <c r="C350" s="135" t="s">
        <v>34</v>
      </c>
      <c r="D350" s="135" t="s">
        <v>2534</v>
      </c>
      <c r="E350" s="135" t="s">
        <v>1725</v>
      </c>
      <c r="F350" s="135">
        <v>3000</v>
      </c>
      <c r="G350" s="135">
        <v>0</v>
      </c>
      <c r="H350" s="135">
        <v>0</v>
      </c>
      <c r="J350" s="135">
        <v>0</v>
      </c>
      <c r="K350" s="135">
        <v>0</v>
      </c>
      <c r="L350" s="135">
        <v>40</v>
      </c>
      <c r="M350" s="135">
        <v>0</v>
      </c>
      <c r="N350" s="135">
        <v>0</v>
      </c>
    </row>
    <row r="351" spans="1:16" x14ac:dyDescent="0.3">
      <c r="A351" s="135" t="s">
        <v>248</v>
      </c>
      <c r="B351" s="135" t="s">
        <v>396</v>
      </c>
      <c r="C351" s="135" t="s">
        <v>397</v>
      </c>
      <c r="D351" s="135" t="s">
        <v>1903</v>
      </c>
      <c r="E351" s="135" t="s">
        <v>1729</v>
      </c>
      <c r="F351" s="135">
        <v>3000</v>
      </c>
      <c r="G351" s="135">
        <v>0</v>
      </c>
      <c r="H351" s="135">
        <v>15.7</v>
      </c>
      <c r="I351" s="135">
        <v>6.8</v>
      </c>
      <c r="J351" s="135">
        <v>5.09</v>
      </c>
      <c r="K351" s="135">
        <v>5.09</v>
      </c>
      <c r="L351" s="135">
        <v>40</v>
      </c>
      <c r="M351" s="135">
        <v>0</v>
      </c>
      <c r="N351" s="135">
        <v>1.7</v>
      </c>
    </row>
    <row r="352" spans="1:16" x14ac:dyDescent="0.3">
      <c r="A352" s="135" t="s">
        <v>1742</v>
      </c>
      <c r="B352" s="135" t="s">
        <v>394</v>
      </c>
      <c r="C352" s="135" t="s">
        <v>34</v>
      </c>
      <c r="D352" s="135" t="s">
        <v>2534</v>
      </c>
      <c r="E352" s="135" t="s">
        <v>1709</v>
      </c>
      <c r="F352" s="135">
        <v>3000</v>
      </c>
      <c r="G352" s="135">
        <v>0</v>
      </c>
      <c r="H352" s="135">
        <v>0</v>
      </c>
      <c r="J352" s="135">
        <v>0</v>
      </c>
      <c r="K352" s="135">
        <v>0</v>
      </c>
      <c r="L352" s="135">
        <v>40</v>
      </c>
      <c r="M352" s="135">
        <v>0</v>
      </c>
      <c r="N352" s="135">
        <v>0</v>
      </c>
    </row>
    <row r="353" spans="1:16" x14ac:dyDescent="0.3">
      <c r="A353" s="135" t="s">
        <v>1741</v>
      </c>
      <c r="B353" s="135" t="s">
        <v>394</v>
      </c>
      <c r="C353" s="135" t="s">
        <v>34</v>
      </c>
      <c r="D353" s="135" t="s">
        <v>2534</v>
      </c>
      <c r="E353" s="135" t="s">
        <v>1709</v>
      </c>
      <c r="F353" s="135">
        <v>3000</v>
      </c>
      <c r="G353" s="135">
        <v>0</v>
      </c>
      <c r="H353" s="135">
        <v>0</v>
      </c>
      <c r="J353" s="135">
        <v>0</v>
      </c>
      <c r="K353" s="135">
        <v>0</v>
      </c>
      <c r="L353" s="135">
        <v>40</v>
      </c>
      <c r="M353" s="135">
        <v>0</v>
      </c>
      <c r="N353" s="135">
        <v>0</v>
      </c>
    </row>
    <row r="354" spans="1:16" x14ac:dyDescent="0.3">
      <c r="A354" s="135" t="s">
        <v>157</v>
      </c>
      <c r="B354" s="135" t="s">
        <v>394</v>
      </c>
      <c r="C354" s="135" t="s">
        <v>397</v>
      </c>
      <c r="D354" s="135" t="s">
        <v>1903</v>
      </c>
      <c r="E354" s="135" t="s">
        <v>1320</v>
      </c>
      <c r="F354" s="135">
        <v>3000</v>
      </c>
      <c r="G354" s="135">
        <v>0</v>
      </c>
      <c r="H354" s="135">
        <v>14.8</v>
      </c>
      <c r="I354" s="135">
        <v>1.4</v>
      </c>
      <c r="J354" s="135">
        <v>0</v>
      </c>
      <c r="K354" s="135">
        <v>0</v>
      </c>
      <c r="L354" s="135">
        <v>40</v>
      </c>
      <c r="M354" s="135">
        <v>0</v>
      </c>
      <c r="N354" s="135">
        <v>0</v>
      </c>
    </row>
    <row r="355" spans="1:16" x14ac:dyDescent="0.3">
      <c r="A355" s="135" t="s">
        <v>182</v>
      </c>
      <c r="B355" s="135" t="s">
        <v>394</v>
      </c>
      <c r="C355" s="135" t="s">
        <v>397</v>
      </c>
      <c r="D355" s="135" t="s">
        <v>1903</v>
      </c>
      <c r="E355" s="135" t="s">
        <v>1320</v>
      </c>
      <c r="F355" s="135">
        <v>3000</v>
      </c>
      <c r="G355" s="135">
        <v>0</v>
      </c>
      <c r="H355" s="135">
        <v>4.2</v>
      </c>
      <c r="I355" s="135">
        <v>1.2</v>
      </c>
      <c r="J355" s="135">
        <v>0</v>
      </c>
      <c r="K355" s="135">
        <v>0</v>
      </c>
      <c r="L355" s="135">
        <v>40</v>
      </c>
      <c r="M355" s="135">
        <v>0</v>
      </c>
      <c r="N355" s="135">
        <v>0</v>
      </c>
      <c r="O355" s="135">
        <v>1.3</v>
      </c>
      <c r="P355" s="135">
        <v>0.4</v>
      </c>
    </row>
    <row r="356" spans="1:16" x14ac:dyDescent="0.3">
      <c r="A356" s="135" t="s">
        <v>328</v>
      </c>
      <c r="B356" s="135" t="s">
        <v>399</v>
      </c>
      <c r="C356" s="135" t="s">
        <v>7</v>
      </c>
      <c r="D356" s="135" t="s">
        <v>1899</v>
      </c>
      <c r="E356" s="135" t="s">
        <v>1718</v>
      </c>
      <c r="F356" s="135">
        <v>3000</v>
      </c>
      <c r="G356" s="135">
        <v>0</v>
      </c>
      <c r="H356" s="135">
        <v>24.7</v>
      </c>
      <c r="I356" s="135">
        <v>11.2</v>
      </c>
      <c r="J356" s="135">
        <v>7.05</v>
      </c>
      <c r="K356" s="135">
        <v>7.05</v>
      </c>
      <c r="L356" s="135">
        <v>40</v>
      </c>
      <c r="M356" s="135">
        <v>0</v>
      </c>
      <c r="N356" s="135">
        <v>2.4</v>
      </c>
      <c r="O356" s="135">
        <v>24</v>
      </c>
      <c r="P356" s="135">
        <v>8</v>
      </c>
    </row>
    <row r="357" spans="1:16" x14ac:dyDescent="0.3">
      <c r="A357" s="135" t="s">
        <v>1249</v>
      </c>
      <c r="B357" s="135" t="s">
        <v>396</v>
      </c>
      <c r="C357" s="135" t="s">
        <v>398</v>
      </c>
      <c r="D357" s="135" t="s">
        <v>2546</v>
      </c>
      <c r="E357" s="135" t="s">
        <v>1722</v>
      </c>
      <c r="F357" s="135">
        <v>3000</v>
      </c>
      <c r="G357" s="135">
        <v>0</v>
      </c>
      <c r="H357" s="135">
        <v>0</v>
      </c>
      <c r="J357" s="135">
        <v>0</v>
      </c>
      <c r="K357" s="135">
        <v>0</v>
      </c>
      <c r="L357" s="135">
        <v>40</v>
      </c>
      <c r="M357" s="135">
        <v>0</v>
      </c>
      <c r="N357" s="135">
        <v>0</v>
      </c>
    </row>
    <row r="358" spans="1:16" x14ac:dyDescent="0.3">
      <c r="A358" s="135" t="s">
        <v>493</v>
      </c>
      <c r="B358" s="135" t="s">
        <v>396</v>
      </c>
      <c r="C358" s="135" t="s">
        <v>7</v>
      </c>
      <c r="D358" s="135" t="s">
        <v>1899</v>
      </c>
      <c r="E358" s="135" t="s">
        <v>1706</v>
      </c>
      <c r="F358" s="135">
        <v>3000</v>
      </c>
      <c r="G358" s="135">
        <v>0</v>
      </c>
      <c r="H358" s="135">
        <v>0</v>
      </c>
      <c r="J358" s="135">
        <v>0</v>
      </c>
      <c r="K358" s="135">
        <v>0</v>
      </c>
      <c r="L358" s="135">
        <v>40</v>
      </c>
      <c r="M358" s="135">
        <v>0</v>
      </c>
      <c r="N358" s="135">
        <v>0</v>
      </c>
      <c r="O358" s="135">
        <v>0</v>
      </c>
    </row>
    <row r="359" spans="1:16" x14ac:dyDescent="0.3">
      <c r="A359" s="135" t="s">
        <v>267</v>
      </c>
      <c r="B359" s="135" t="s">
        <v>396</v>
      </c>
      <c r="C359" s="135" t="s">
        <v>7</v>
      </c>
      <c r="D359" s="135" t="s">
        <v>1899</v>
      </c>
      <c r="E359" s="135" t="s">
        <v>1706</v>
      </c>
      <c r="F359" s="135">
        <v>3000</v>
      </c>
      <c r="G359" s="135">
        <v>0</v>
      </c>
      <c r="H359" s="135">
        <v>7.4</v>
      </c>
      <c r="I359" s="135">
        <v>5</v>
      </c>
      <c r="J359" s="135">
        <v>0</v>
      </c>
      <c r="K359" s="135">
        <v>0</v>
      </c>
      <c r="L359" s="135">
        <v>40</v>
      </c>
      <c r="M359" s="135">
        <v>14</v>
      </c>
      <c r="N359" s="135">
        <v>0</v>
      </c>
      <c r="O359" s="135">
        <v>0</v>
      </c>
    </row>
    <row r="360" spans="1:16" x14ac:dyDescent="0.3">
      <c r="A360" s="135" t="s">
        <v>313</v>
      </c>
      <c r="B360" s="135" t="s">
        <v>396</v>
      </c>
      <c r="C360" s="135" t="s">
        <v>398</v>
      </c>
      <c r="D360" s="135" t="s">
        <v>2546</v>
      </c>
      <c r="E360" s="135" t="s">
        <v>1722</v>
      </c>
      <c r="F360" s="135">
        <v>3000</v>
      </c>
      <c r="G360" s="135">
        <v>0</v>
      </c>
      <c r="H360" s="135">
        <v>11.4</v>
      </c>
      <c r="I360" s="135">
        <v>1.8</v>
      </c>
      <c r="J360" s="135">
        <v>0</v>
      </c>
      <c r="K360" s="135">
        <v>0</v>
      </c>
      <c r="L360" s="135">
        <v>40</v>
      </c>
      <c r="M360" s="135">
        <v>0</v>
      </c>
      <c r="N360" s="135">
        <v>0</v>
      </c>
      <c r="O360" s="135">
        <v>2.9</v>
      </c>
      <c r="P360" s="135">
        <v>1</v>
      </c>
    </row>
    <row r="361" spans="1:16" x14ac:dyDescent="0.3">
      <c r="A361" s="135" t="s">
        <v>281</v>
      </c>
      <c r="B361" s="135" t="s">
        <v>396</v>
      </c>
      <c r="C361" s="135" t="s">
        <v>397</v>
      </c>
      <c r="D361" s="135" t="s">
        <v>1903</v>
      </c>
      <c r="E361" s="135" t="s">
        <v>1729</v>
      </c>
      <c r="F361" s="135">
        <v>3000</v>
      </c>
      <c r="G361" s="135">
        <v>0</v>
      </c>
      <c r="H361" s="135">
        <v>6.8</v>
      </c>
      <c r="I361" s="135">
        <v>4.5</v>
      </c>
      <c r="J361" s="135">
        <v>0</v>
      </c>
      <c r="K361" s="135">
        <v>0</v>
      </c>
      <c r="L361" s="135">
        <v>40</v>
      </c>
      <c r="M361" s="135">
        <v>0</v>
      </c>
      <c r="N361" s="135">
        <v>0</v>
      </c>
    </row>
    <row r="362" spans="1:16" x14ac:dyDescent="0.3">
      <c r="A362" s="135" t="s">
        <v>501</v>
      </c>
      <c r="B362" s="135" t="s">
        <v>396</v>
      </c>
      <c r="C362" s="135" t="s">
        <v>34</v>
      </c>
      <c r="D362" s="135" t="s">
        <v>2534</v>
      </c>
      <c r="E362" s="135" t="s">
        <v>1725</v>
      </c>
      <c r="F362" s="135">
        <v>3000</v>
      </c>
      <c r="G362" s="135">
        <v>0</v>
      </c>
      <c r="H362" s="135">
        <v>0</v>
      </c>
      <c r="J362" s="135">
        <v>0</v>
      </c>
      <c r="K362" s="135">
        <v>0</v>
      </c>
      <c r="L362" s="135">
        <v>40</v>
      </c>
      <c r="M362" s="135">
        <v>0</v>
      </c>
      <c r="N362" s="135">
        <v>0</v>
      </c>
      <c r="O362" s="135">
        <v>5.4</v>
      </c>
      <c r="P362" s="135">
        <v>1.8</v>
      </c>
    </row>
    <row r="363" spans="1:16" x14ac:dyDescent="0.3">
      <c r="A363" s="135" t="s">
        <v>521</v>
      </c>
      <c r="B363" s="135" t="s">
        <v>396</v>
      </c>
      <c r="C363" s="135" t="s">
        <v>397</v>
      </c>
      <c r="D363" s="135" t="s">
        <v>1903</v>
      </c>
      <c r="E363" s="135" t="s">
        <v>1729</v>
      </c>
      <c r="F363" s="135">
        <v>3000</v>
      </c>
      <c r="G363" s="135">
        <v>0</v>
      </c>
      <c r="H363" s="135">
        <v>0</v>
      </c>
      <c r="J363" s="135">
        <v>0</v>
      </c>
      <c r="K363" s="135">
        <v>0</v>
      </c>
      <c r="L363" s="135">
        <v>40</v>
      </c>
      <c r="M363" s="135">
        <v>0</v>
      </c>
      <c r="N363" s="135">
        <v>0</v>
      </c>
    </row>
    <row r="364" spans="1:16" x14ac:dyDescent="0.3">
      <c r="A364" s="135" t="s">
        <v>518</v>
      </c>
      <c r="B364" s="135" t="s">
        <v>396</v>
      </c>
      <c r="C364" s="135" t="s">
        <v>16</v>
      </c>
      <c r="D364" s="135" t="s">
        <v>2532</v>
      </c>
      <c r="E364" s="135" t="s">
        <v>1710</v>
      </c>
      <c r="F364" s="135">
        <v>3000</v>
      </c>
      <c r="G364" s="135">
        <v>0</v>
      </c>
      <c r="H364" s="135">
        <v>0</v>
      </c>
      <c r="J364" s="135">
        <v>0</v>
      </c>
      <c r="K364" s="135">
        <v>0</v>
      </c>
      <c r="L364" s="135">
        <v>40</v>
      </c>
      <c r="M364" s="135">
        <v>0</v>
      </c>
      <c r="N364" s="135">
        <v>0</v>
      </c>
      <c r="O364" s="135">
        <v>0</v>
      </c>
    </row>
    <row r="365" spans="1:16" x14ac:dyDescent="0.3">
      <c r="A365" s="135" t="s">
        <v>489</v>
      </c>
      <c r="B365" s="135" t="s">
        <v>396</v>
      </c>
      <c r="C365" s="135" t="s">
        <v>16</v>
      </c>
      <c r="D365" s="135" t="s">
        <v>2532</v>
      </c>
      <c r="E365" s="135" t="s">
        <v>1710</v>
      </c>
      <c r="F365" s="135">
        <v>3000</v>
      </c>
      <c r="G365" s="135">
        <v>0</v>
      </c>
      <c r="H365" s="135">
        <v>0</v>
      </c>
      <c r="I365" s="135">
        <v>0</v>
      </c>
      <c r="J365" s="135">
        <v>0</v>
      </c>
      <c r="K365" s="135">
        <v>0</v>
      </c>
      <c r="L365" s="135">
        <v>40</v>
      </c>
      <c r="M365" s="135">
        <v>0</v>
      </c>
      <c r="N365" s="135">
        <v>0</v>
      </c>
      <c r="O365" s="135">
        <v>0</v>
      </c>
    </row>
    <row r="366" spans="1:16" x14ac:dyDescent="0.3">
      <c r="A366" s="135" t="s">
        <v>487</v>
      </c>
      <c r="B366" s="135" t="s">
        <v>396</v>
      </c>
      <c r="C366" s="135" t="s">
        <v>407</v>
      </c>
      <c r="D366" s="135" t="s">
        <v>2540</v>
      </c>
      <c r="E366" s="135" t="s">
        <v>1714</v>
      </c>
      <c r="F366" s="135">
        <v>3000</v>
      </c>
      <c r="G366" s="135">
        <v>0</v>
      </c>
      <c r="H366" s="135">
        <v>0.6</v>
      </c>
      <c r="J366" s="135">
        <v>0</v>
      </c>
      <c r="K366" s="135">
        <v>0</v>
      </c>
      <c r="L366" s="135">
        <v>40</v>
      </c>
      <c r="M366" s="135">
        <v>0</v>
      </c>
      <c r="N366" s="135">
        <v>0</v>
      </c>
    </row>
    <row r="367" spans="1:16" x14ac:dyDescent="0.3">
      <c r="A367" s="135" t="s">
        <v>502</v>
      </c>
      <c r="B367" s="135" t="s">
        <v>394</v>
      </c>
      <c r="C367" s="135" t="s">
        <v>407</v>
      </c>
      <c r="D367" s="135" t="s">
        <v>2540</v>
      </c>
      <c r="E367" s="135" t="s">
        <v>1717</v>
      </c>
      <c r="F367" s="135">
        <v>3000</v>
      </c>
      <c r="G367" s="135">
        <v>0</v>
      </c>
      <c r="H367" s="135">
        <v>0</v>
      </c>
      <c r="J367" s="135">
        <v>0</v>
      </c>
      <c r="K367" s="135">
        <v>0</v>
      </c>
      <c r="L367" s="135">
        <v>40</v>
      </c>
      <c r="M367" s="135">
        <v>0</v>
      </c>
      <c r="N367" s="135">
        <v>0</v>
      </c>
    </row>
    <row r="368" spans="1:16" x14ac:dyDescent="0.3">
      <c r="A368" s="135" t="s">
        <v>496</v>
      </c>
      <c r="B368" s="135" t="s">
        <v>394</v>
      </c>
      <c r="C368" s="135" t="s">
        <v>407</v>
      </c>
      <c r="D368" s="135" t="s">
        <v>2540</v>
      </c>
      <c r="E368" s="135" t="s">
        <v>1717</v>
      </c>
      <c r="F368" s="135">
        <v>3000</v>
      </c>
      <c r="G368" s="135">
        <v>0</v>
      </c>
      <c r="H368" s="135">
        <v>0</v>
      </c>
      <c r="J368" s="135">
        <v>0</v>
      </c>
      <c r="K368" s="135">
        <v>0</v>
      </c>
      <c r="L368" s="135">
        <v>40</v>
      </c>
      <c r="M368" s="135">
        <v>0</v>
      </c>
      <c r="N368" s="135">
        <v>0</v>
      </c>
    </row>
    <row r="369" spans="1:16" x14ac:dyDescent="0.3">
      <c r="A369" s="135" t="s">
        <v>466</v>
      </c>
      <c r="B369" s="135" t="s">
        <v>394</v>
      </c>
      <c r="C369" s="135" t="s">
        <v>16</v>
      </c>
      <c r="D369" s="135" t="s">
        <v>2532</v>
      </c>
      <c r="E369" s="135" t="s">
        <v>1735</v>
      </c>
      <c r="F369" s="135">
        <v>3000</v>
      </c>
      <c r="G369" s="135">
        <v>1.2</v>
      </c>
      <c r="H369" s="135">
        <v>7.1</v>
      </c>
      <c r="J369" s="135">
        <v>4.75</v>
      </c>
      <c r="K369" s="135">
        <v>4.75</v>
      </c>
      <c r="L369" s="135">
        <v>40</v>
      </c>
      <c r="M369" s="135">
        <v>0</v>
      </c>
      <c r="N369" s="135">
        <v>1.6</v>
      </c>
      <c r="O369" s="135">
        <v>6.1</v>
      </c>
      <c r="P369" s="135">
        <v>2</v>
      </c>
    </row>
    <row r="370" spans="1:16" x14ac:dyDescent="0.3">
      <c r="A370" s="135" t="s">
        <v>136</v>
      </c>
      <c r="B370" s="135" t="s">
        <v>394</v>
      </c>
      <c r="C370" s="135" t="s">
        <v>407</v>
      </c>
      <c r="D370" s="135" t="s">
        <v>2540</v>
      </c>
      <c r="E370" s="135" t="s">
        <v>1717</v>
      </c>
      <c r="F370" s="135">
        <v>3000</v>
      </c>
      <c r="G370" s="135">
        <v>0</v>
      </c>
      <c r="H370" s="135">
        <v>12.4</v>
      </c>
      <c r="I370" s="135">
        <v>2.2000000000000002</v>
      </c>
      <c r="J370" s="135">
        <v>0</v>
      </c>
      <c r="K370" s="135">
        <v>0</v>
      </c>
      <c r="L370" s="135">
        <v>40</v>
      </c>
      <c r="M370" s="135">
        <v>0</v>
      </c>
      <c r="N370" s="135">
        <v>0</v>
      </c>
    </row>
    <row r="371" spans="1:16" x14ac:dyDescent="0.3">
      <c r="A371" s="135" t="s">
        <v>180</v>
      </c>
      <c r="B371" s="135" t="s">
        <v>394</v>
      </c>
      <c r="C371" s="135" t="s">
        <v>16</v>
      </c>
      <c r="D371" s="135" t="s">
        <v>2532</v>
      </c>
      <c r="E371" s="135" t="s">
        <v>1735</v>
      </c>
      <c r="F371" s="135">
        <v>3000</v>
      </c>
      <c r="G371" s="135">
        <v>0</v>
      </c>
      <c r="H371" s="135">
        <v>9.8000000000000007</v>
      </c>
      <c r="I371" s="135">
        <v>0.6</v>
      </c>
      <c r="J371" s="135">
        <v>0</v>
      </c>
      <c r="K371" s="135">
        <v>0</v>
      </c>
      <c r="L371" s="135">
        <v>40</v>
      </c>
      <c r="M371" s="135">
        <v>0</v>
      </c>
      <c r="N371" s="135">
        <v>0</v>
      </c>
      <c r="O371" s="135">
        <v>0</v>
      </c>
    </row>
    <row r="372" spans="1:16" x14ac:dyDescent="0.3">
      <c r="A372" s="135" t="s">
        <v>156</v>
      </c>
      <c r="B372" s="135" t="s">
        <v>394</v>
      </c>
      <c r="C372" s="135" t="s">
        <v>16</v>
      </c>
      <c r="D372" s="135" t="s">
        <v>2532</v>
      </c>
      <c r="E372" s="135" t="s">
        <v>1735</v>
      </c>
      <c r="F372" s="135">
        <v>3000</v>
      </c>
      <c r="G372" s="135">
        <v>0</v>
      </c>
      <c r="H372" s="135">
        <v>6.8</v>
      </c>
      <c r="I372" s="135">
        <v>3.5</v>
      </c>
      <c r="J372" s="135">
        <v>0</v>
      </c>
      <c r="K372" s="135">
        <v>0</v>
      </c>
      <c r="L372" s="135">
        <v>40</v>
      </c>
      <c r="M372" s="135">
        <v>38</v>
      </c>
      <c r="N372" s="135">
        <v>0</v>
      </c>
      <c r="O372" s="135">
        <v>6.9</v>
      </c>
      <c r="P372" s="135">
        <v>2.2999999999999998</v>
      </c>
    </row>
    <row r="373" spans="1:16" x14ac:dyDescent="0.3">
      <c r="A373" s="135" t="s">
        <v>529</v>
      </c>
      <c r="B373" s="135" t="s">
        <v>396</v>
      </c>
      <c r="C373" s="135" t="s">
        <v>397</v>
      </c>
      <c r="D373" s="135" t="s">
        <v>1903</v>
      </c>
      <c r="E373" s="135" t="s">
        <v>1729</v>
      </c>
      <c r="F373" s="135">
        <v>3000</v>
      </c>
      <c r="G373" s="135">
        <v>0</v>
      </c>
      <c r="H373" s="135">
        <v>0</v>
      </c>
      <c r="J373" s="135">
        <v>0</v>
      </c>
      <c r="K373" s="135">
        <v>0</v>
      </c>
      <c r="L373" s="135">
        <v>40</v>
      </c>
      <c r="M373" s="135">
        <v>0</v>
      </c>
      <c r="N373" s="135">
        <v>0</v>
      </c>
      <c r="O373" s="135">
        <v>5.3</v>
      </c>
      <c r="P373" s="135">
        <v>1.8</v>
      </c>
    </row>
    <row r="374" spans="1:16" x14ac:dyDescent="0.3">
      <c r="A374" s="135" t="s">
        <v>523</v>
      </c>
      <c r="B374" s="135" t="s">
        <v>396</v>
      </c>
      <c r="C374" s="135" t="s">
        <v>34</v>
      </c>
      <c r="D374" s="135" t="s">
        <v>2534</v>
      </c>
      <c r="E374" s="135" t="s">
        <v>1725</v>
      </c>
      <c r="F374" s="135">
        <v>3000</v>
      </c>
      <c r="G374" s="135">
        <v>0</v>
      </c>
      <c r="H374" s="135">
        <v>0</v>
      </c>
      <c r="J374" s="135">
        <v>0</v>
      </c>
      <c r="K374" s="135">
        <v>0</v>
      </c>
      <c r="L374" s="135">
        <v>40</v>
      </c>
      <c r="M374" s="135">
        <v>0</v>
      </c>
      <c r="N374" s="135">
        <v>0</v>
      </c>
      <c r="O374" s="135">
        <v>2.9</v>
      </c>
      <c r="P374" s="135">
        <v>1</v>
      </c>
    </row>
    <row r="375" spans="1:16" x14ac:dyDescent="0.3">
      <c r="A375" s="135" t="s">
        <v>134</v>
      </c>
      <c r="B375" s="135" t="s">
        <v>394</v>
      </c>
      <c r="C375" s="135" t="s">
        <v>52</v>
      </c>
      <c r="D375" s="135" t="s">
        <v>2526</v>
      </c>
      <c r="E375" s="135" t="s">
        <v>1704</v>
      </c>
      <c r="F375" s="135">
        <v>3000</v>
      </c>
      <c r="G375" s="135">
        <v>0</v>
      </c>
      <c r="H375" s="135">
        <v>16.2</v>
      </c>
      <c r="I375" s="135">
        <v>13.1</v>
      </c>
      <c r="J375" s="135">
        <v>4.99</v>
      </c>
      <c r="K375" s="135">
        <v>4.99</v>
      </c>
      <c r="L375" s="135">
        <v>40</v>
      </c>
      <c r="M375" s="135">
        <v>0</v>
      </c>
      <c r="N375" s="135">
        <v>1.7</v>
      </c>
      <c r="O375" s="135">
        <v>6.1</v>
      </c>
      <c r="P375" s="135">
        <v>2</v>
      </c>
    </row>
    <row r="376" spans="1:16" x14ac:dyDescent="0.3">
      <c r="A376" s="135" t="s">
        <v>566</v>
      </c>
      <c r="B376" s="135" t="s">
        <v>459</v>
      </c>
      <c r="C376" s="135" t="s">
        <v>43</v>
      </c>
      <c r="D376" s="135" t="s">
        <v>1904</v>
      </c>
      <c r="E376" s="135" t="s">
        <v>1706</v>
      </c>
      <c r="F376" s="135">
        <v>3000</v>
      </c>
      <c r="G376" s="135">
        <v>1.7</v>
      </c>
      <c r="H376" s="135">
        <v>21.8</v>
      </c>
      <c r="I376" s="135">
        <v>9.4</v>
      </c>
      <c r="J376" s="135">
        <v>8.4</v>
      </c>
      <c r="K376" s="135">
        <v>8.4</v>
      </c>
      <c r="L376" s="135">
        <v>40</v>
      </c>
      <c r="M376" s="135">
        <v>39</v>
      </c>
      <c r="N376" s="135">
        <v>2.8</v>
      </c>
      <c r="O376" s="135">
        <v>1</v>
      </c>
      <c r="P376" s="135">
        <v>0.3</v>
      </c>
    </row>
    <row r="377" spans="1:16" x14ac:dyDescent="0.3">
      <c r="A377" s="135" t="s">
        <v>183</v>
      </c>
      <c r="B377" s="135" t="s">
        <v>394</v>
      </c>
      <c r="C377" s="135" t="s">
        <v>10</v>
      </c>
      <c r="D377" s="135" t="s">
        <v>2542</v>
      </c>
      <c r="E377" s="135" t="s">
        <v>1730</v>
      </c>
      <c r="F377" s="135">
        <v>3000</v>
      </c>
      <c r="G377" s="135">
        <v>0</v>
      </c>
      <c r="H377" s="135">
        <v>0</v>
      </c>
      <c r="J377" s="135">
        <v>0</v>
      </c>
      <c r="K377" s="135">
        <v>0</v>
      </c>
      <c r="L377" s="135">
        <v>40</v>
      </c>
      <c r="M377" s="135">
        <v>0</v>
      </c>
      <c r="N377" s="135">
        <v>0</v>
      </c>
    </row>
    <row r="378" spans="1:16" x14ac:dyDescent="0.3">
      <c r="A378" s="135" t="s">
        <v>175</v>
      </c>
      <c r="B378" s="135" t="s">
        <v>394</v>
      </c>
      <c r="C378" s="135" t="s">
        <v>24</v>
      </c>
      <c r="D378" s="135" t="s">
        <v>1902</v>
      </c>
      <c r="E378" s="135" t="s">
        <v>1729</v>
      </c>
      <c r="F378" s="135">
        <v>3000</v>
      </c>
      <c r="G378" s="135">
        <v>0</v>
      </c>
      <c r="H378" s="135">
        <v>9.8000000000000007</v>
      </c>
      <c r="I378" s="135">
        <v>1.2</v>
      </c>
      <c r="J378" s="135">
        <v>0</v>
      </c>
      <c r="K378" s="135">
        <v>0</v>
      </c>
      <c r="L378" s="135">
        <v>40</v>
      </c>
      <c r="M378" s="135">
        <v>0</v>
      </c>
      <c r="N378" s="135">
        <v>0</v>
      </c>
    </row>
    <row r="379" spans="1:16" x14ac:dyDescent="0.3">
      <c r="A379" s="135" t="s">
        <v>513</v>
      </c>
      <c r="B379" s="135" t="s">
        <v>394</v>
      </c>
      <c r="C379" s="135" t="s">
        <v>10</v>
      </c>
      <c r="D379" s="135" t="s">
        <v>2542</v>
      </c>
      <c r="E379" s="135" t="s">
        <v>1730</v>
      </c>
      <c r="F379" s="135">
        <v>3000</v>
      </c>
      <c r="G379" s="135">
        <v>0</v>
      </c>
      <c r="H379" s="135">
        <v>0</v>
      </c>
      <c r="J379" s="135">
        <v>0</v>
      </c>
      <c r="K379" s="135">
        <v>0</v>
      </c>
      <c r="L379" s="135">
        <v>40</v>
      </c>
      <c r="M379" s="135">
        <v>0</v>
      </c>
      <c r="N379" s="135">
        <v>0</v>
      </c>
      <c r="O379" s="135">
        <v>0.2</v>
      </c>
      <c r="P379" s="135">
        <v>0.1</v>
      </c>
    </row>
    <row r="380" spans="1:16" x14ac:dyDescent="0.3">
      <c r="A380" s="135" t="s">
        <v>311</v>
      </c>
      <c r="B380" s="135" t="s">
        <v>396</v>
      </c>
      <c r="C380" s="135" t="s">
        <v>10</v>
      </c>
      <c r="D380" s="135" t="s">
        <v>2542</v>
      </c>
      <c r="E380" s="135" t="s">
        <v>1707</v>
      </c>
      <c r="F380" s="135">
        <v>3000</v>
      </c>
      <c r="G380" s="135">
        <v>0</v>
      </c>
      <c r="H380" s="135">
        <v>7.2</v>
      </c>
      <c r="I380" s="135">
        <v>0.9</v>
      </c>
      <c r="J380" s="135">
        <v>0</v>
      </c>
      <c r="K380" s="135">
        <v>0</v>
      </c>
      <c r="L380" s="135">
        <v>40</v>
      </c>
      <c r="M380" s="135">
        <v>0</v>
      </c>
      <c r="N380" s="135">
        <v>0</v>
      </c>
      <c r="O380" s="135">
        <v>0</v>
      </c>
    </row>
    <row r="381" spans="1:16" x14ac:dyDescent="0.3">
      <c r="A381" s="135" t="s">
        <v>474</v>
      </c>
      <c r="B381" s="135" t="s">
        <v>396</v>
      </c>
      <c r="C381" s="135" t="s">
        <v>10</v>
      </c>
      <c r="D381" s="135" t="s">
        <v>2542</v>
      </c>
      <c r="E381" s="135" t="s">
        <v>1707</v>
      </c>
      <c r="F381" s="135">
        <v>3000</v>
      </c>
      <c r="G381" s="135">
        <v>0</v>
      </c>
      <c r="H381" s="135">
        <v>6.2</v>
      </c>
      <c r="I381" s="135">
        <v>7.1</v>
      </c>
      <c r="J381" s="135">
        <v>0</v>
      </c>
      <c r="K381" s="135">
        <v>0</v>
      </c>
      <c r="L381" s="135">
        <v>40</v>
      </c>
      <c r="M381" s="135">
        <v>67</v>
      </c>
      <c r="N381" s="135">
        <v>0</v>
      </c>
    </row>
    <row r="382" spans="1:16" x14ac:dyDescent="0.3">
      <c r="A382" s="135" t="s">
        <v>306</v>
      </c>
      <c r="B382" s="135" t="s">
        <v>396</v>
      </c>
      <c r="C382" s="135" t="s">
        <v>10</v>
      </c>
      <c r="D382" s="135" t="s">
        <v>2542</v>
      </c>
      <c r="E382" s="135" t="s">
        <v>1707</v>
      </c>
      <c r="F382" s="135">
        <v>3000</v>
      </c>
      <c r="G382" s="135">
        <v>0</v>
      </c>
      <c r="H382" s="135">
        <v>3.4</v>
      </c>
      <c r="I382" s="135">
        <v>2.2000000000000002</v>
      </c>
      <c r="J382" s="135">
        <v>0</v>
      </c>
      <c r="K382" s="135">
        <v>0</v>
      </c>
      <c r="L382" s="135">
        <v>40</v>
      </c>
      <c r="M382" s="135">
        <v>92</v>
      </c>
      <c r="N382" s="135">
        <v>0</v>
      </c>
      <c r="O382" s="135">
        <v>1.6</v>
      </c>
      <c r="P382" s="135">
        <v>0.5</v>
      </c>
    </row>
    <row r="383" spans="1:16" x14ac:dyDescent="0.3">
      <c r="A383" s="135" t="s">
        <v>485</v>
      </c>
      <c r="B383" s="135" t="s">
        <v>396</v>
      </c>
      <c r="C383" s="135" t="s">
        <v>10</v>
      </c>
      <c r="D383" s="135" t="s">
        <v>2542</v>
      </c>
      <c r="E383" s="135" t="s">
        <v>1707</v>
      </c>
      <c r="F383" s="135">
        <v>3000</v>
      </c>
      <c r="G383" s="135">
        <v>0</v>
      </c>
      <c r="H383" s="135">
        <v>0.8</v>
      </c>
      <c r="I383" s="135">
        <v>0</v>
      </c>
      <c r="J383" s="135">
        <v>0</v>
      </c>
      <c r="K383" s="135">
        <v>0</v>
      </c>
      <c r="L383" s="135">
        <v>40</v>
      </c>
      <c r="M383" s="135">
        <v>0</v>
      </c>
      <c r="N383" s="135">
        <v>0</v>
      </c>
      <c r="O383" s="135">
        <v>5.8</v>
      </c>
      <c r="P383" s="135">
        <v>1.9</v>
      </c>
    </row>
    <row r="384" spans="1:16" x14ac:dyDescent="0.3">
      <c r="A384" s="135" t="s">
        <v>469</v>
      </c>
      <c r="B384" s="135" t="s">
        <v>396</v>
      </c>
      <c r="C384" s="135" t="s">
        <v>24</v>
      </c>
      <c r="D384" s="135" t="s">
        <v>1902</v>
      </c>
      <c r="E384" s="135" t="s">
        <v>1726</v>
      </c>
      <c r="F384" s="135">
        <v>3000</v>
      </c>
      <c r="G384" s="135">
        <v>0</v>
      </c>
      <c r="H384" s="135">
        <v>15.6</v>
      </c>
      <c r="I384" s="135">
        <v>5.5</v>
      </c>
      <c r="J384" s="135">
        <v>0</v>
      </c>
      <c r="K384" s="135">
        <v>0</v>
      </c>
      <c r="L384" s="135">
        <v>40</v>
      </c>
      <c r="M384" s="135">
        <v>0</v>
      </c>
      <c r="N384" s="135">
        <v>0</v>
      </c>
    </row>
    <row r="385" spans="1:16" x14ac:dyDescent="0.3">
      <c r="A385" s="135" t="s">
        <v>166</v>
      </c>
      <c r="B385" s="135" t="s">
        <v>394</v>
      </c>
      <c r="C385" s="135" t="s">
        <v>4</v>
      </c>
      <c r="D385" s="135" t="s">
        <v>2530</v>
      </c>
      <c r="E385" s="135" t="s">
        <v>1714</v>
      </c>
      <c r="F385" s="135">
        <v>3000</v>
      </c>
      <c r="G385" s="135">
        <v>0</v>
      </c>
      <c r="H385" s="135">
        <v>0</v>
      </c>
      <c r="J385" s="135">
        <v>0</v>
      </c>
      <c r="K385" s="135">
        <v>0</v>
      </c>
      <c r="L385" s="135">
        <v>40</v>
      </c>
      <c r="M385" s="135">
        <v>0</v>
      </c>
      <c r="N385" s="135">
        <v>0</v>
      </c>
      <c r="O385" s="135">
        <v>0</v>
      </c>
    </row>
    <row r="386" spans="1:16" x14ac:dyDescent="0.3">
      <c r="A386" s="135" t="s">
        <v>172</v>
      </c>
      <c r="B386" s="135" t="s">
        <v>394</v>
      </c>
      <c r="C386" s="135" t="s">
        <v>30</v>
      </c>
      <c r="D386" s="135" t="s">
        <v>2543</v>
      </c>
      <c r="E386" s="135" t="s">
        <v>1706</v>
      </c>
      <c r="F386" s="135">
        <v>3000</v>
      </c>
      <c r="G386" s="135">
        <v>0</v>
      </c>
      <c r="H386" s="135">
        <v>0</v>
      </c>
      <c r="J386" s="135">
        <v>0</v>
      </c>
      <c r="K386" s="135">
        <v>0</v>
      </c>
      <c r="L386" s="135">
        <v>40</v>
      </c>
      <c r="M386" s="135">
        <v>0</v>
      </c>
      <c r="N386" s="135">
        <v>0</v>
      </c>
    </row>
    <row r="387" spans="1:16" x14ac:dyDescent="0.3">
      <c r="A387" s="135" t="s">
        <v>498</v>
      </c>
      <c r="B387" s="135" t="s">
        <v>396</v>
      </c>
      <c r="C387" s="135" t="s">
        <v>402</v>
      </c>
      <c r="D387" s="135" t="s">
        <v>2538</v>
      </c>
      <c r="E387" s="135" t="s">
        <v>1718</v>
      </c>
      <c r="F387" s="135">
        <v>3000</v>
      </c>
      <c r="G387" s="135">
        <v>0</v>
      </c>
      <c r="H387" s="135">
        <v>0</v>
      </c>
      <c r="J387" s="135">
        <v>0</v>
      </c>
      <c r="K387" s="135">
        <v>0</v>
      </c>
      <c r="L387" s="135">
        <v>40</v>
      </c>
      <c r="M387" s="135">
        <v>0</v>
      </c>
      <c r="N387" s="135">
        <v>0</v>
      </c>
      <c r="O387" s="135">
        <v>3.7</v>
      </c>
      <c r="P387" s="135">
        <v>1.2</v>
      </c>
    </row>
    <row r="388" spans="1:16" x14ac:dyDescent="0.3">
      <c r="A388" s="135" t="s">
        <v>490</v>
      </c>
      <c r="B388" s="135" t="s">
        <v>396</v>
      </c>
      <c r="C388" s="135" t="s">
        <v>43</v>
      </c>
      <c r="D388" s="135" t="s">
        <v>1904</v>
      </c>
      <c r="E388" s="135" t="s">
        <v>1732</v>
      </c>
      <c r="F388" s="135">
        <v>3000</v>
      </c>
      <c r="G388" s="135">
        <v>0</v>
      </c>
      <c r="H388" s="135">
        <v>0</v>
      </c>
      <c r="J388" s="135">
        <v>0</v>
      </c>
      <c r="K388" s="135">
        <v>0</v>
      </c>
      <c r="L388" s="135">
        <v>40</v>
      </c>
      <c r="M388" s="135">
        <v>0</v>
      </c>
      <c r="N388" s="135">
        <v>0</v>
      </c>
    </row>
    <row r="389" spans="1:16" x14ac:dyDescent="0.3">
      <c r="A389" s="135" t="s">
        <v>295</v>
      </c>
      <c r="B389" s="135" t="s">
        <v>396</v>
      </c>
      <c r="C389" s="135" t="s">
        <v>43</v>
      </c>
      <c r="D389" s="135" t="s">
        <v>1904</v>
      </c>
      <c r="E389" s="135" t="s">
        <v>1732</v>
      </c>
      <c r="F389" s="135">
        <v>3000</v>
      </c>
      <c r="G389" s="135">
        <v>0</v>
      </c>
      <c r="H389" s="135">
        <v>5.6</v>
      </c>
      <c r="I389" s="135">
        <v>1.9</v>
      </c>
      <c r="J389" s="135">
        <v>0</v>
      </c>
      <c r="K389" s="135">
        <v>0</v>
      </c>
      <c r="L389" s="135">
        <v>40</v>
      </c>
      <c r="M389" s="135">
        <v>0</v>
      </c>
      <c r="N389" s="135">
        <v>0</v>
      </c>
    </row>
    <row r="390" spans="1:16" x14ac:dyDescent="0.3">
      <c r="A390" s="135" t="s">
        <v>473</v>
      </c>
      <c r="B390" s="135" t="s">
        <v>396</v>
      </c>
      <c r="C390" s="135" t="s">
        <v>402</v>
      </c>
      <c r="D390" s="135" t="s">
        <v>2538</v>
      </c>
      <c r="E390" s="135" t="s">
        <v>1718</v>
      </c>
      <c r="F390" s="135">
        <v>3000</v>
      </c>
      <c r="G390" s="135">
        <v>0</v>
      </c>
      <c r="H390" s="135">
        <v>0</v>
      </c>
      <c r="J390" s="135">
        <v>0</v>
      </c>
      <c r="K390" s="135">
        <v>0</v>
      </c>
      <c r="L390" s="135">
        <v>40</v>
      </c>
      <c r="M390" s="135">
        <v>0</v>
      </c>
      <c r="N390" s="135">
        <v>0</v>
      </c>
    </row>
    <row r="391" spans="1:16" x14ac:dyDescent="0.3">
      <c r="A391" s="135" t="s">
        <v>492</v>
      </c>
      <c r="B391" s="135" t="s">
        <v>394</v>
      </c>
      <c r="C391" s="135" t="s">
        <v>43</v>
      </c>
      <c r="D391" s="135" t="s">
        <v>1904</v>
      </c>
      <c r="E391" s="135" t="s">
        <v>1707</v>
      </c>
      <c r="F391" s="135">
        <v>3000</v>
      </c>
      <c r="G391" s="135">
        <v>0</v>
      </c>
      <c r="H391" s="135">
        <v>0</v>
      </c>
      <c r="J391" s="135">
        <v>0</v>
      </c>
      <c r="K391" s="135">
        <v>0</v>
      </c>
      <c r="L391" s="135">
        <v>40</v>
      </c>
      <c r="M391" s="135">
        <v>0</v>
      </c>
      <c r="N391" s="135">
        <v>0</v>
      </c>
      <c r="O391" s="135">
        <v>-1</v>
      </c>
    </row>
    <row r="392" spans="1:16" x14ac:dyDescent="0.3">
      <c r="A392" s="135" t="s">
        <v>178</v>
      </c>
      <c r="B392" s="135" t="s">
        <v>394</v>
      </c>
      <c r="C392" s="135" t="s">
        <v>43</v>
      </c>
      <c r="D392" s="135" t="s">
        <v>1904</v>
      </c>
      <c r="E392" s="135" t="s">
        <v>1707</v>
      </c>
      <c r="F392" s="135">
        <v>3000</v>
      </c>
      <c r="G392" s="135">
        <v>0</v>
      </c>
      <c r="H392" s="135">
        <v>0</v>
      </c>
      <c r="J392" s="135">
        <v>0</v>
      </c>
      <c r="K392" s="135">
        <v>0</v>
      </c>
      <c r="L392" s="135">
        <v>40</v>
      </c>
      <c r="M392" s="135">
        <v>0</v>
      </c>
      <c r="N392" s="135">
        <v>0</v>
      </c>
    </row>
    <row r="393" spans="1:16" x14ac:dyDescent="0.3">
      <c r="A393" s="135" t="s">
        <v>140</v>
      </c>
      <c r="B393" s="135" t="s">
        <v>394</v>
      </c>
      <c r="C393" s="135" t="s">
        <v>402</v>
      </c>
      <c r="D393" s="135" t="s">
        <v>2538</v>
      </c>
      <c r="E393" s="135" t="s">
        <v>1722</v>
      </c>
      <c r="F393" s="135">
        <v>3000</v>
      </c>
      <c r="G393" s="135">
        <v>0</v>
      </c>
      <c r="H393" s="135">
        <v>9.9</v>
      </c>
      <c r="I393" s="135">
        <v>6.3</v>
      </c>
      <c r="J393" s="135">
        <v>0.46</v>
      </c>
      <c r="K393" s="135">
        <v>0.46</v>
      </c>
      <c r="L393" s="135">
        <v>40</v>
      </c>
      <c r="M393" s="135">
        <v>0</v>
      </c>
      <c r="N393" s="135">
        <v>0.2</v>
      </c>
      <c r="O393" s="135">
        <v>0</v>
      </c>
    </row>
    <row r="394" spans="1:16" x14ac:dyDescent="0.3">
      <c r="A394" s="135" t="s">
        <v>142</v>
      </c>
      <c r="B394" s="135" t="s">
        <v>394</v>
      </c>
      <c r="C394" s="135" t="s">
        <v>43</v>
      </c>
      <c r="D394" s="135" t="s">
        <v>1904</v>
      </c>
      <c r="E394" s="135" t="s">
        <v>1707</v>
      </c>
      <c r="F394" s="135">
        <v>3000</v>
      </c>
      <c r="G394" s="135">
        <v>0</v>
      </c>
      <c r="H394" s="135">
        <v>9.6</v>
      </c>
      <c r="I394" s="135">
        <v>6.6</v>
      </c>
      <c r="J394" s="135">
        <v>0</v>
      </c>
      <c r="K394" s="135">
        <v>0</v>
      </c>
      <c r="L394" s="135">
        <v>40</v>
      </c>
      <c r="M394" s="135">
        <v>0</v>
      </c>
      <c r="N394" s="135">
        <v>0</v>
      </c>
      <c r="O394" s="135">
        <v>5.9</v>
      </c>
      <c r="P394" s="135">
        <v>2</v>
      </c>
    </row>
    <row r="395" spans="1:16" x14ac:dyDescent="0.3">
      <c r="A395" s="135" t="s">
        <v>475</v>
      </c>
      <c r="B395" s="135" t="s">
        <v>394</v>
      </c>
      <c r="C395" s="135" t="s">
        <v>402</v>
      </c>
      <c r="D395" s="135" t="s">
        <v>2538</v>
      </c>
      <c r="E395" s="135" t="s">
        <v>1722</v>
      </c>
      <c r="F395" s="135">
        <v>3000</v>
      </c>
      <c r="G395" s="135">
        <v>0</v>
      </c>
      <c r="H395" s="135">
        <v>0</v>
      </c>
      <c r="J395" s="135">
        <v>0</v>
      </c>
      <c r="K395" s="135">
        <v>0</v>
      </c>
      <c r="L395" s="135">
        <v>40</v>
      </c>
      <c r="M395" s="135">
        <v>0</v>
      </c>
      <c r="N395" s="135">
        <v>0</v>
      </c>
    </row>
    <row r="396" spans="1:16" x14ac:dyDescent="0.3">
      <c r="A396" s="135" t="s">
        <v>508</v>
      </c>
      <c r="B396" s="135" t="s">
        <v>394</v>
      </c>
      <c r="C396" s="135" t="s">
        <v>402</v>
      </c>
      <c r="D396" s="135" t="s">
        <v>2538</v>
      </c>
      <c r="E396" s="135" t="s">
        <v>1722</v>
      </c>
      <c r="F396" s="135">
        <v>3000</v>
      </c>
      <c r="G396" s="135">
        <v>0</v>
      </c>
      <c r="H396" s="135">
        <v>0</v>
      </c>
      <c r="J396" s="135">
        <v>0</v>
      </c>
      <c r="K396" s="135">
        <v>0</v>
      </c>
      <c r="L396" s="135">
        <v>40</v>
      </c>
      <c r="M396" s="135">
        <v>0</v>
      </c>
      <c r="N396" s="135">
        <v>0</v>
      </c>
    </row>
    <row r="397" spans="1:16" x14ac:dyDescent="0.3">
      <c r="A397" s="135" t="s">
        <v>154</v>
      </c>
      <c r="B397" s="135" t="s">
        <v>394</v>
      </c>
      <c r="C397" s="135" t="s">
        <v>4</v>
      </c>
      <c r="D397" s="135" t="s">
        <v>2530</v>
      </c>
      <c r="E397" s="135" t="s">
        <v>1714</v>
      </c>
      <c r="F397" s="135">
        <v>3000</v>
      </c>
      <c r="G397" s="135">
        <v>0</v>
      </c>
      <c r="H397" s="135">
        <v>1.4</v>
      </c>
      <c r="J397" s="135">
        <v>0</v>
      </c>
      <c r="K397" s="135">
        <v>0</v>
      </c>
      <c r="L397" s="135">
        <v>40</v>
      </c>
      <c r="M397" s="135">
        <v>0</v>
      </c>
      <c r="N397" s="135">
        <v>0</v>
      </c>
    </row>
    <row r="398" spans="1:16" x14ac:dyDescent="0.3">
      <c r="A398" s="135" t="s">
        <v>112</v>
      </c>
      <c r="B398" s="135" t="s">
        <v>394</v>
      </c>
      <c r="C398" s="135" t="s">
        <v>30</v>
      </c>
      <c r="D398" s="135" t="s">
        <v>2543</v>
      </c>
      <c r="E398" s="135" t="s">
        <v>1706</v>
      </c>
      <c r="F398" s="135">
        <v>3000</v>
      </c>
      <c r="G398" s="135">
        <v>0</v>
      </c>
      <c r="H398" s="135">
        <v>10.6</v>
      </c>
      <c r="I398" s="135">
        <v>8.1</v>
      </c>
      <c r="J398" s="135">
        <v>0</v>
      </c>
      <c r="K398" s="135">
        <v>0</v>
      </c>
      <c r="L398" s="135">
        <v>40</v>
      </c>
      <c r="M398" s="135">
        <v>0</v>
      </c>
      <c r="N398" s="135">
        <v>0</v>
      </c>
    </row>
    <row r="399" spans="1:16" x14ac:dyDescent="0.3">
      <c r="A399" s="135" t="s">
        <v>155</v>
      </c>
      <c r="B399" s="135" t="s">
        <v>394</v>
      </c>
      <c r="C399" s="135" t="s">
        <v>32</v>
      </c>
      <c r="D399" s="135" t="s">
        <v>2544</v>
      </c>
      <c r="E399" s="135" t="s">
        <v>1731</v>
      </c>
      <c r="F399" s="135">
        <v>3000</v>
      </c>
      <c r="G399" s="135">
        <v>0.8</v>
      </c>
      <c r="H399" s="135">
        <v>4.9000000000000004</v>
      </c>
      <c r="J399" s="135">
        <v>3.25</v>
      </c>
      <c r="K399" s="135">
        <v>3.25</v>
      </c>
      <c r="L399" s="135">
        <v>40</v>
      </c>
      <c r="M399" s="135">
        <v>0</v>
      </c>
      <c r="N399" s="135">
        <v>1.1000000000000001</v>
      </c>
    </row>
    <row r="400" spans="1:16" x14ac:dyDescent="0.3">
      <c r="A400" s="135" t="s">
        <v>257</v>
      </c>
      <c r="B400" s="135" t="s">
        <v>396</v>
      </c>
      <c r="C400" s="135" t="s">
        <v>14</v>
      </c>
      <c r="D400" s="135" t="s">
        <v>2545</v>
      </c>
      <c r="E400" s="135" t="s">
        <v>1733</v>
      </c>
      <c r="F400" s="135">
        <v>3000</v>
      </c>
      <c r="G400" s="135">
        <v>0</v>
      </c>
      <c r="H400" s="135">
        <v>12.8</v>
      </c>
      <c r="I400" s="135">
        <v>7</v>
      </c>
      <c r="J400" s="135">
        <v>0</v>
      </c>
      <c r="K400" s="135">
        <v>0</v>
      </c>
      <c r="L400" s="135">
        <v>40</v>
      </c>
      <c r="M400" s="135">
        <v>0</v>
      </c>
      <c r="N400" s="135">
        <v>0</v>
      </c>
      <c r="O400" s="135">
        <v>3.5</v>
      </c>
      <c r="P400" s="135">
        <v>1.2</v>
      </c>
    </row>
    <row r="401" spans="1:16" x14ac:dyDescent="0.3">
      <c r="A401" s="135" t="s">
        <v>261</v>
      </c>
      <c r="B401" s="135" t="s">
        <v>396</v>
      </c>
      <c r="C401" s="135" t="s">
        <v>57</v>
      </c>
      <c r="D401" s="135" t="s">
        <v>2541</v>
      </c>
      <c r="E401" s="135" t="s">
        <v>1735</v>
      </c>
      <c r="F401" s="135">
        <v>3000</v>
      </c>
      <c r="G401" s="135">
        <v>0</v>
      </c>
      <c r="H401" s="135">
        <v>9.4</v>
      </c>
      <c r="I401" s="135">
        <v>6</v>
      </c>
      <c r="J401" s="135">
        <v>0</v>
      </c>
      <c r="K401" s="135">
        <v>0</v>
      </c>
      <c r="L401" s="135">
        <v>40</v>
      </c>
      <c r="M401" s="135">
        <v>0</v>
      </c>
      <c r="N401" s="135">
        <v>0</v>
      </c>
    </row>
    <row r="402" spans="1:16" x14ac:dyDescent="0.3">
      <c r="A402" s="135" t="s">
        <v>495</v>
      </c>
      <c r="B402" s="135" t="s">
        <v>396</v>
      </c>
      <c r="C402" s="135" t="s">
        <v>57</v>
      </c>
      <c r="D402" s="135" t="s">
        <v>2541</v>
      </c>
      <c r="E402" s="135" t="s">
        <v>1735</v>
      </c>
      <c r="F402" s="135">
        <v>3000</v>
      </c>
      <c r="G402" s="135">
        <v>0</v>
      </c>
      <c r="H402" s="135">
        <v>0</v>
      </c>
      <c r="J402" s="135">
        <v>0</v>
      </c>
      <c r="K402" s="135">
        <v>0</v>
      </c>
      <c r="L402" s="135">
        <v>40</v>
      </c>
      <c r="M402" s="135">
        <v>0</v>
      </c>
      <c r="N402" s="135">
        <v>0</v>
      </c>
      <c r="O402" s="135">
        <v>0</v>
      </c>
    </row>
    <row r="403" spans="1:16" x14ac:dyDescent="0.3">
      <c r="A403" s="135" t="s">
        <v>510</v>
      </c>
      <c r="B403" s="135" t="s">
        <v>396</v>
      </c>
      <c r="C403" s="135" t="s">
        <v>14</v>
      </c>
      <c r="D403" s="135" t="s">
        <v>2545</v>
      </c>
      <c r="E403" s="135" t="s">
        <v>1733</v>
      </c>
      <c r="F403" s="135">
        <v>3000</v>
      </c>
      <c r="G403" s="135">
        <v>0</v>
      </c>
      <c r="H403" s="135">
        <v>0</v>
      </c>
      <c r="J403" s="135">
        <v>0</v>
      </c>
      <c r="K403" s="135">
        <v>0</v>
      </c>
      <c r="L403" s="135">
        <v>40</v>
      </c>
      <c r="M403" s="135">
        <v>0</v>
      </c>
      <c r="N403" s="135">
        <v>0</v>
      </c>
    </row>
    <row r="404" spans="1:16" x14ac:dyDescent="0.3">
      <c r="A404" s="135" t="s">
        <v>514</v>
      </c>
      <c r="B404" s="135" t="s">
        <v>396</v>
      </c>
      <c r="C404" s="135" t="s">
        <v>14</v>
      </c>
      <c r="D404" s="135" t="s">
        <v>2545</v>
      </c>
      <c r="E404" s="135" t="s">
        <v>1733</v>
      </c>
      <c r="F404" s="135">
        <v>3000</v>
      </c>
      <c r="G404" s="135">
        <v>0</v>
      </c>
      <c r="H404" s="135">
        <v>0</v>
      </c>
      <c r="J404" s="135">
        <v>0</v>
      </c>
      <c r="K404" s="135">
        <v>0</v>
      </c>
      <c r="L404" s="135">
        <v>40</v>
      </c>
      <c r="M404" s="135">
        <v>0</v>
      </c>
      <c r="N404" s="135">
        <v>0</v>
      </c>
      <c r="O404" s="135">
        <v>7</v>
      </c>
      <c r="P404" s="135">
        <v>2.2999999999999998</v>
      </c>
    </row>
    <row r="405" spans="1:16" x14ac:dyDescent="0.3">
      <c r="A405" s="135" t="s">
        <v>471</v>
      </c>
      <c r="B405" s="135" t="s">
        <v>396</v>
      </c>
      <c r="C405" s="135" t="s">
        <v>57</v>
      </c>
      <c r="D405" s="135" t="s">
        <v>2541</v>
      </c>
      <c r="E405" s="135" t="s">
        <v>1735</v>
      </c>
      <c r="F405" s="135">
        <v>3000</v>
      </c>
      <c r="G405" s="135">
        <v>0</v>
      </c>
      <c r="H405" s="135">
        <v>0</v>
      </c>
      <c r="J405" s="135">
        <v>0</v>
      </c>
      <c r="K405" s="135">
        <v>0</v>
      </c>
      <c r="L405" s="135">
        <v>40</v>
      </c>
      <c r="M405" s="135">
        <v>0</v>
      </c>
      <c r="N405" s="135">
        <v>0</v>
      </c>
    </row>
    <row r="406" spans="1:16" x14ac:dyDescent="0.3">
      <c r="A406" s="135" t="s">
        <v>524</v>
      </c>
      <c r="B406" s="135" t="s">
        <v>396</v>
      </c>
      <c r="C406" s="135" t="s">
        <v>14</v>
      </c>
      <c r="D406" s="135" t="s">
        <v>2545</v>
      </c>
      <c r="E406" s="135" t="s">
        <v>1733</v>
      </c>
      <c r="F406" s="135">
        <v>3000</v>
      </c>
      <c r="G406" s="135">
        <v>0</v>
      </c>
      <c r="H406" s="135">
        <v>0</v>
      </c>
      <c r="J406" s="135">
        <v>0</v>
      </c>
      <c r="K406" s="135">
        <v>0</v>
      </c>
      <c r="L406" s="135">
        <v>40</v>
      </c>
      <c r="M406" s="135">
        <v>0</v>
      </c>
      <c r="N406" s="135">
        <v>0</v>
      </c>
      <c r="O406" s="135">
        <v>0</v>
      </c>
    </row>
    <row r="407" spans="1:16" x14ac:dyDescent="0.3">
      <c r="A407" s="135" t="s">
        <v>280</v>
      </c>
      <c r="B407" s="135" t="s">
        <v>396</v>
      </c>
      <c r="C407" s="135" t="s">
        <v>561</v>
      </c>
      <c r="D407" s="135" t="s">
        <v>1906</v>
      </c>
      <c r="E407" s="135" t="s">
        <v>1709</v>
      </c>
      <c r="F407" s="135">
        <v>3000</v>
      </c>
      <c r="G407" s="135">
        <v>0</v>
      </c>
      <c r="H407" s="135">
        <v>9.8000000000000007</v>
      </c>
      <c r="I407" s="135">
        <v>5.0999999999999996</v>
      </c>
      <c r="J407" s="135">
        <v>0</v>
      </c>
      <c r="K407" s="135">
        <v>0</v>
      </c>
      <c r="L407" s="135">
        <v>40</v>
      </c>
      <c r="M407" s="135">
        <v>0</v>
      </c>
      <c r="N407" s="135">
        <v>0</v>
      </c>
      <c r="O407" s="135">
        <v>0</v>
      </c>
    </row>
    <row r="408" spans="1:16" x14ac:dyDescent="0.3">
      <c r="A408" s="135" t="s">
        <v>278</v>
      </c>
      <c r="B408" s="135" t="s">
        <v>396</v>
      </c>
      <c r="C408" s="135" t="s">
        <v>561</v>
      </c>
      <c r="D408" s="135" t="s">
        <v>1906</v>
      </c>
      <c r="E408" s="135" t="s">
        <v>1709</v>
      </c>
      <c r="F408" s="135">
        <v>3000</v>
      </c>
      <c r="G408" s="135">
        <v>0</v>
      </c>
      <c r="H408" s="135">
        <v>9.1999999999999993</v>
      </c>
      <c r="I408" s="135">
        <v>4.9000000000000004</v>
      </c>
      <c r="J408" s="135">
        <v>0</v>
      </c>
      <c r="K408" s="135">
        <v>0</v>
      </c>
      <c r="L408" s="135">
        <v>40</v>
      </c>
      <c r="M408" s="135">
        <v>45</v>
      </c>
      <c r="N408" s="135">
        <v>0</v>
      </c>
      <c r="O408" s="135">
        <v>9.4</v>
      </c>
      <c r="P408" s="135">
        <v>3.1</v>
      </c>
    </row>
    <row r="409" spans="1:16" x14ac:dyDescent="0.3">
      <c r="A409" s="135" t="s">
        <v>476</v>
      </c>
      <c r="B409" s="135" t="s">
        <v>396</v>
      </c>
      <c r="C409" s="135" t="s">
        <v>561</v>
      </c>
      <c r="D409" s="135" t="s">
        <v>1906</v>
      </c>
      <c r="E409" s="135" t="s">
        <v>1709</v>
      </c>
      <c r="F409" s="135">
        <v>3000</v>
      </c>
      <c r="G409" s="135">
        <v>0</v>
      </c>
      <c r="H409" s="135">
        <v>0</v>
      </c>
      <c r="J409" s="135">
        <v>0</v>
      </c>
      <c r="K409" s="135">
        <v>0</v>
      </c>
      <c r="L409" s="135">
        <v>40</v>
      </c>
      <c r="M409" s="135">
        <v>0</v>
      </c>
      <c r="N409" s="135">
        <v>0</v>
      </c>
      <c r="O409" s="135">
        <v>0</v>
      </c>
    </row>
    <row r="410" spans="1:16" x14ac:dyDescent="0.3">
      <c r="A410" s="135" t="s">
        <v>253</v>
      </c>
      <c r="B410" s="135" t="s">
        <v>396</v>
      </c>
      <c r="C410" s="135" t="s">
        <v>561</v>
      </c>
      <c r="D410" s="135" t="s">
        <v>1906</v>
      </c>
      <c r="E410" s="135" t="s">
        <v>1709</v>
      </c>
      <c r="F410" s="135">
        <v>3000</v>
      </c>
      <c r="G410" s="135">
        <v>0</v>
      </c>
      <c r="H410" s="135">
        <v>9.1999999999999993</v>
      </c>
      <c r="I410" s="135">
        <v>6.8</v>
      </c>
      <c r="J410" s="135">
        <v>0</v>
      </c>
      <c r="K410" s="135">
        <v>0</v>
      </c>
      <c r="L410" s="135">
        <v>40</v>
      </c>
      <c r="M410" s="135">
        <v>0</v>
      </c>
      <c r="N410" s="135">
        <v>0</v>
      </c>
    </row>
    <row r="411" spans="1:16" x14ac:dyDescent="0.3">
      <c r="A411" s="135" t="s">
        <v>587</v>
      </c>
      <c r="B411" s="135" t="s">
        <v>459</v>
      </c>
      <c r="C411" s="135" t="s">
        <v>57</v>
      </c>
      <c r="D411" s="135" t="s">
        <v>2541</v>
      </c>
      <c r="E411" s="135" t="s">
        <v>1708</v>
      </c>
      <c r="F411" s="135">
        <v>3000</v>
      </c>
      <c r="G411" s="135">
        <v>1</v>
      </c>
      <c r="H411" s="135">
        <v>25</v>
      </c>
      <c r="I411" s="135">
        <v>5.8</v>
      </c>
      <c r="J411" s="135">
        <v>8.98</v>
      </c>
      <c r="K411" s="135">
        <v>8.98</v>
      </c>
      <c r="L411" s="135">
        <v>40</v>
      </c>
      <c r="M411" s="135">
        <v>0</v>
      </c>
      <c r="N411" s="135">
        <v>3</v>
      </c>
      <c r="O411" s="135">
        <v>6</v>
      </c>
      <c r="P411" s="135">
        <v>2</v>
      </c>
    </row>
    <row r="412" spans="1:16" x14ac:dyDescent="0.3">
      <c r="A412" s="135" t="s">
        <v>467</v>
      </c>
      <c r="B412" s="135" t="s">
        <v>394</v>
      </c>
      <c r="C412" s="135" t="s">
        <v>32</v>
      </c>
      <c r="D412" s="135" t="s">
        <v>2544</v>
      </c>
      <c r="E412" s="135" t="s">
        <v>1731</v>
      </c>
      <c r="F412" s="135">
        <v>3000</v>
      </c>
      <c r="G412" s="135">
        <v>0</v>
      </c>
      <c r="H412" s="135">
        <v>0</v>
      </c>
      <c r="J412" s="135">
        <v>0</v>
      </c>
      <c r="K412" s="135">
        <v>0</v>
      </c>
      <c r="L412" s="135">
        <v>40</v>
      </c>
      <c r="M412" s="135">
        <v>0</v>
      </c>
      <c r="N412" s="135">
        <v>0</v>
      </c>
    </row>
    <row r="413" spans="1:16" x14ac:dyDescent="0.3">
      <c r="A413" s="135" t="s">
        <v>116</v>
      </c>
      <c r="B413" s="135" t="s">
        <v>394</v>
      </c>
      <c r="C413" s="135" t="s">
        <v>32</v>
      </c>
      <c r="D413" s="135" t="s">
        <v>2544</v>
      </c>
      <c r="E413" s="135" t="s">
        <v>1731</v>
      </c>
      <c r="F413" s="135">
        <v>3000</v>
      </c>
      <c r="G413" s="135">
        <v>0</v>
      </c>
      <c r="H413" s="135">
        <v>19.600000000000001</v>
      </c>
      <c r="I413" s="135">
        <v>9.4</v>
      </c>
      <c r="J413" s="135">
        <v>0</v>
      </c>
      <c r="K413" s="135">
        <v>0</v>
      </c>
      <c r="L413" s="135">
        <v>40</v>
      </c>
      <c r="M413" s="135">
        <v>0</v>
      </c>
      <c r="N413" s="135">
        <v>0</v>
      </c>
    </row>
    <row r="414" spans="1:16" x14ac:dyDescent="0.3">
      <c r="A414" s="135" t="s">
        <v>177</v>
      </c>
      <c r="B414" s="135" t="s">
        <v>394</v>
      </c>
      <c r="C414" s="135" t="s">
        <v>561</v>
      </c>
      <c r="D414" s="135" t="s">
        <v>1906</v>
      </c>
      <c r="E414" s="135" t="s">
        <v>1736</v>
      </c>
      <c r="F414" s="135">
        <v>3000</v>
      </c>
      <c r="G414" s="135">
        <v>0</v>
      </c>
      <c r="H414" s="135">
        <v>2.8</v>
      </c>
      <c r="I414" s="135">
        <v>0.5</v>
      </c>
      <c r="J414" s="135">
        <v>0</v>
      </c>
      <c r="K414" s="135">
        <v>0</v>
      </c>
      <c r="L414" s="135">
        <v>40</v>
      </c>
      <c r="M414" s="135">
        <v>67</v>
      </c>
      <c r="N414" s="135">
        <v>0</v>
      </c>
      <c r="O414" s="135">
        <v>0</v>
      </c>
    </row>
    <row r="415" spans="1:16" x14ac:dyDescent="0.3">
      <c r="A415" s="135" t="s">
        <v>133</v>
      </c>
      <c r="B415" s="135" t="s">
        <v>394</v>
      </c>
      <c r="C415" s="135" t="s">
        <v>561</v>
      </c>
      <c r="D415" s="135" t="s">
        <v>1906</v>
      </c>
      <c r="E415" s="135" t="s">
        <v>1736</v>
      </c>
      <c r="F415" s="135">
        <v>3000</v>
      </c>
      <c r="G415" s="135">
        <v>0</v>
      </c>
      <c r="H415" s="135">
        <v>13.2</v>
      </c>
      <c r="I415" s="135">
        <v>5.7</v>
      </c>
      <c r="J415" s="135">
        <v>0</v>
      </c>
      <c r="K415" s="135">
        <v>0</v>
      </c>
      <c r="L415" s="135">
        <v>40</v>
      </c>
      <c r="M415" s="135">
        <v>0</v>
      </c>
      <c r="N415" s="135">
        <v>0</v>
      </c>
      <c r="O415" s="135">
        <v>0</v>
      </c>
    </row>
    <row r="416" spans="1:16" x14ac:dyDescent="0.3">
      <c r="A416" s="135" t="s">
        <v>1521</v>
      </c>
      <c r="B416" s="135" t="s">
        <v>396</v>
      </c>
      <c r="C416" s="135" t="s">
        <v>32</v>
      </c>
      <c r="D416" s="135" t="s">
        <v>2544</v>
      </c>
      <c r="E416" s="135" t="s">
        <v>1719</v>
      </c>
      <c r="F416" s="135">
        <v>3000</v>
      </c>
      <c r="G416" s="135">
        <v>0</v>
      </c>
      <c r="H416" s="135">
        <v>12.8</v>
      </c>
      <c r="I416" s="135">
        <v>0</v>
      </c>
      <c r="J416" s="135">
        <v>0</v>
      </c>
      <c r="K416" s="135">
        <v>0</v>
      </c>
      <c r="L416" s="135">
        <v>40</v>
      </c>
      <c r="M416" s="135">
        <v>0</v>
      </c>
      <c r="N416" s="135">
        <v>0</v>
      </c>
      <c r="O416" s="135">
        <v>-1</v>
      </c>
    </row>
    <row r="417" spans="1:16" x14ac:dyDescent="0.3">
      <c r="A417" s="135" t="s">
        <v>167</v>
      </c>
      <c r="B417" s="135" t="s">
        <v>394</v>
      </c>
      <c r="C417" s="135" t="s">
        <v>57</v>
      </c>
      <c r="D417" s="135" t="s">
        <v>2541</v>
      </c>
      <c r="E417" s="135" t="s">
        <v>1733</v>
      </c>
      <c r="F417" s="135">
        <v>3000</v>
      </c>
      <c r="G417" s="135">
        <v>0</v>
      </c>
      <c r="H417" s="135">
        <v>8.1999999999999993</v>
      </c>
      <c r="I417" s="135">
        <v>3.3</v>
      </c>
      <c r="J417" s="135">
        <v>0</v>
      </c>
      <c r="K417" s="135">
        <v>0</v>
      </c>
      <c r="L417" s="135">
        <v>40</v>
      </c>
      <c r="M417" s="135">
        <v>15</v>
      </c>
      <c r="N417" s="135">
        <v>0</v>
      </c>
      <c r="O417" s="135">
        <v>11.5</v>
      </c>
      <c r="P417" s="135">
        <v>3.8</v>
      </c>
    </row>
    <row r="418" spans="1:16" x14ac:dyDescent="0.3">
      <c r="A418" s="135" t="s">
        <v>503</v>
      </c>
      <c r="B418" s="135" t="s">
        <v>394</v>
      </c>
      <c r="C418" s="135" t="s">
        <v>14</v>
      </c>
      <c r="D418" s="135" t="s">
        <v>2545</v>
      </c>
      <c r="E418" s="135" t="s">
        <v>1719</v>
      </c>
      <c r="F418" s="135">
        <v>3000</v>
      </c>
      <c r="G418" s="135">
        <v>0</v>
      </c>
      <c r="H418" s="135">
        <v>0</v>
      </c>
      <c r="J418" s="135">
        <v>0</v>
      </c>
      <c r="K418" s="135">
        <v>0</v>
      </c>
      <c r="L418" s="135">
        <v>40</v>
      </c>
      <c r="M418" s="135">
        <v>0</v>
      </c>
      <c r="N418" s="135">
        <v>0</v>
      </c>
    </row>
    <row r="419" spans="1:16" x14ac:dyDescent="0.3">
      <c r="A419" s="135" t="s">
        <v>478</v>
      </c>
      <c r="B419" s="135" t="s">
        <v>396</v>
      </c>
      <c r="C419" s="135" t="s">
        <v>37</v>
      </c>
      <c r="D419" s="135" t="s">
        <v>2525</v>
      </c>
      <c r="E419" s="135" t="s">
        <v>1727</v>
      </c>
      <c r="F419" s="135">
        <v>3000</v>
      </c>
      <c r="G419" s="135">
        <v>0</v>
      </c>
      <c r="H419" s="135">
        <v>0</v>
      </c>
      <c r="J419" s="135">
        <v>0</v>
      </c>
      <c r="K419" s="135">
        <v>0</v>
      </c>
      <c r="L419" s="135">
        <v>40</v>
      </c>
      <c r="M419" s="135">
        <v>0</v>
      </c>
      <c r="N419" s="135">
        <v>0</v>
      </c>
    </row>
    <row r="420" spans="1:16" x14ac:dyDescent="0.3">
      <c r="A420" s="135" t="s">
        <v>251</v>
      </c>
      <c r="B420" s="135" t="s">
        <v>396</v>
      </c>
      <c r="C420" s="135" t="s">
        <v>37</v>
      </c>
      <c r="D420" s="135" t="s">
        <v>2525</v>
      </c>
      <c r="E420" s="135" t="s">
        <v>1727</v>
      </c>
      <c r="F420" s="135">
        <v>3000</v>
      </c>
      <c r="G420" s="135">
        <v>0</v>
      </c>
      <c r="H420" s="135">
        <v>11.6</v>
      </c>
      <c r="I420" s="135">
        <v>7.5</v>
      </c>
      <c r="J420" s="135">
        <v>0</v>
      </c>
      <c r="K420" s="135">
        <v>0</v>
      </c>
      <c r="L420" s="135">
        <v>40</v>
      </c>
      <c r="M420" s="135">
        <v>0</v>
      </c>
      <c r="N420" s="135">
        <v>0</v>
      </c>
      <c r="O420" s="135">
        <v>0</v>
      </c>
    </row>
    <row r="421" spans="1:16" x14ac:dyDescent="0.3">
      <c r="A421" s="135" t="s">
        <v>470</v>
      </c>
      <c r="B421" s="135" t="s">
        <v>394</v>
      </c>
      <c r="C421" s="135" t="s">
        <v>37</v>
      </c>
      <c r="D421" s="135" t="s">
        <v>2525</v>
      </c>
      <c r="E421" s="135" t="s">
        <v>1734</v>
      </c>
      <c r="F421" s="135">
        <v>3000</v>
      </c>
      <c r="G421" s="135">
        <v>0</v>
      </c>
      <c r="H421" s="135">
        <v>0</v>
      </c>
      <c r="J421" s="135">
        <v>0</v>
      </c>
      <c r="K421" s="135">
        <v>0</v>
      </c>
      <c r="L421" s="135">
        <v>40</v>
      </c>
      <c r="M421" s="135">
        <v>0</v>
      </c>
      <c r="N421" s="135">
        <v>0</v>
      </c>
    </row>
    <row r="422" spans="1:16" x14ac:dyDescent="0.3">
      <c r="A422" s="135" t="s">
        <v>1245</v>
      </c>
      <c r="B422" s="135" t="s">
        <v>394</v>
      </c>
      <c r="C422" s="135" t="s">
        <v>18</v>
      </c>
      <c r="D422" s="135" t="s">
        <v>1898</v>
      </c>
      <c r="E422" s="135" t="s">
        <v>1727</v>
      </c>
      <c r="F422" s="135">
        <v>3000</v>
      </c>
      <c r="G422" s="135">
        <v>0</v>
      </c>
      <c r="H422" s="135">
        <v>0</v>
      </c>
      <c r="J422" s="135">
        <v>0</v>
      </c>
      <c r="K422" s="135">
        <v>0</v>
      </c>
      <c r="L422" s="135">
        <v>40</v>
      </c>
      <c r="M422" s="135">
        <v>0</v>
      </c>
      <c r="N422" s="135">
        <v>0</v>
      </c>
    </row>
    <row r="423" spans="1:16" x14ac:dyDescent="0.3">
      <c r="A423" s="135" t="s">
        <v>153</v>
      </c>
      <c r="B423" s="135" t="s">
        <v>394</v>
      </c>
      <c r="C423" s="135" t="s">
        <v>37</v>
      </c>
      <c r="D423" s="135" t="s">
        <v>2525</v>
      </c>
      <c r="E423" s="135" t="s">
        <v>1734</v>
      </c>
      <c r="F423" s="135">
        <v>3000</v>
      </c>
      <c r="G423" s="135">
        <v>1</v>
      </c>
      <c r="H423" s="135">
        <v>12.4</v>
      </c>
      <c r="I423" s="135">
        <v>3</v>
      </c>
      <c r="J423" s="135">
        <v>4.83</v>
      </c>
      <c r="K423" s="135">
        <v>4.83</v>
      </c>
      <c r="L423" s="135">
        <v>40</v>
      </c>
      <c r="M423" s="135">
        <v>0</v>
      </c>
      <c r="N423" s="135">
        <v>1.6</v>
      </c>
      <c r="O423" s="135">
        <v>13.2</v>
      </c>
      <c r="P423" s="135">
        <v>4.4000000000000004</v>
      </c>
    </row>
    <row r="424" spans="1:16" x14ac:dyDescent="0.3">
      <c r="A424" s="135" t="s">
        <v>181</v>
      </c>
      <c r="B424" s="135" t="s">
        <v>394</v>
      </c>
      <c r="C424" s="135" t="s">
        <v>37</v>
      </c>
      <c r="D424" s="135" t="s">
        <v>2525</v>
      </c>
      <c r="E424" s="135" t="s">
        <v>1734</v>
      </c>
      <c r="F424" s="135">
        <v>3000</v>
      </c>
      <c r="G424" s="135">
        <v>0</v>
      </c>
      <c r="H424" s="135">
        <v>12</v>
      </c>
      <c r="I424" s="135">
        <v>0.4</v>
      </c>
      <c r="J424" s="135">
        <v>0</v>
      </c>
      <c r="K424" s="135">
        <v>0</v>
      </c>
      <c r="L424" s="135">
        <v>40</v>
      </c>
      <c r="M424" s="135">
        <v>0</v>
      </c>
      <c r="N424" s="135">
        <v>0</v>
      </c>
      <c r="O424" s="135">
        <v>3.4</v>
      </c>
      <c r="P424" s="135">
        <v>1.1000000000000001</v>
      </c>
    </row>
    <row r="425" spans="1:16" x14ac:dyDescent="0.3">
      <c r="A425" s="135" t="s">
        <v>526</v>
      </c>
      <c r="B425" s="135" t="s">
        <v>396</v>
      </c>
      <c r="C425" s="135" t="s">
        <v>4</v>
      </c>
      <c r="D425" s="135" t="s">
        <v>2530</v>
      </c>
      <c r="E425" s="135" t="s">
        <v>1731</v>
      </c>
      <c r="F425" s="135">
        <v>3000</v>
      </c>
      <c r="G425" s="135">
        <v>0</v>
      </c>
      <c r="H425" s="135">
        <v>0</v>
      </c>
      <c r="J425" s="135">
        <v>0</v>
      </c>
      <c r="K425" s="135">
        <v>0</v>
      </c>
      <c r="L425" s="135">
        <v>40</v>
      </c>
      <c r="M425" s="135">
        <v>0</v>
      </c>
      <c r="N425" s="135">
        <v>0</v>
      </c>
      <c r="O425" s="135">
        <v>0.2</v>
      </c>
      <c r="P425" s="135">
        <v>0.1</v>
      </c>
    </row>
    <row r="426" spans="1:16" x14ac:dyDescent="0.3">
      <c r="A426" s="135" t="s">
        <v>274</v>
      </c>
      <c r="B426" s="135" t="s">
        <v>396</v>
      </c>
      <c r="C426" s="135" t="s">
        <v>4</v>
      </c>
      <c r="D426" s="135" t="s">
        <v>2530</v>
      </c>
      <c r="E426" s="135" t="s">
        <v>1731</v>
      </c>
      <c r="F426" s="135">
        <v>3000</v>
      </c>
      <c r="G426" s="135">
        <v>0</v>
      </c>
      <c r="H426" s="135">
        <v>14.4</v>
      </c>
      <c r="I426" s="135">
        <v>4.5</v>
      </c>
      <c r="J426" s="135">
        <v>0</v>
      </c>
      <c r="K426" s="135">
        <v>0</v>
      </c>
      <c r="L426" s="135">
        <v>40</v>
      </c>
      <c r="M426" s="135">
        <v>0</v>
      </c>
      <c r="N426" s="135">
        <v>0</v>
      </c>
      <c r="O426" s="135">
        <v>1.8</v>
      </c>
      <c r="P426" s="135">
        <v>0.6</v>
      </c>
    </row>
    <row r="427" spans="1:16" x14ac:dyDescent="0.3">
      <c r="A427" s="135" t="s">
        <v>236</v>
      </c>
      <c r="B427" s="135" t="s">
        <v>396</v>
      </c>
      <c r="C427" s="135" t="s">
        <v>30</v>
      </c>
      <c r="D427" s="135" t="s">
        <v>2543</v>
      </c>
      <c r="E427" s="135" t="s">
        <v>1708</v>
      </c>
      <c r="F427" s="135">
        <v>3000</v>
      </c>
      <c r="G427" s="135">
        <v>0</v>
      </c>
      <c r="H427" s="135">
        <v>15.4</v>
      </c>
      <c r="I427" s="135">
        <v>10</v>
      </c>
      <c r="J427" s="135">
        <v>0</v>
      </c>
      <c r="K427" s="135">
        <v>0</v>
      </c>
      <c r="L427" s="135">
        <v>40</v>
      </c>
      <c r="M427" s="135">
        <v>0</v>
      </c>
      <c r="N427" s="135">
        <v>0</v>
      </c>
    </row>
    <row r="428" spans="1:16" x14ac:dyDescent="0.3">
      <c r="A428" s="135" t="s">
        <v>288</v>
      </c>
      <c r="B428" s="135" t="s">
        <v>396</v>
      </c>
      <c r="C428" s="135" t="s">
        <v>30</v>
      </c>
      <c r="D428" s="135" t="s">
        <v>2543</v>
      </c>
      <c r="E428" s="135" t="s">
        <v>1708</v>
      </c>
      <c r="F428" s="135">
        <v>3000</v>
      </c>
      <c r="G428" s="135">
        <v>0</v>
      </c>
      <c r="H428" s="135">
        <v>7</v>
      </c>
      <c r="I428" s="135">
        <v>3.2</v>
      </c>
      <c r="J428" s="135">
        <v>0</v>
      </c>
      <c r="K428" s="135">
        <v>0</v>
      </c>
      <c r="L428" s="135">
        <v>40</v>
      </c>
      <c r="M428" s="135">
        <v>0</v>
      </c>
      <c r="N428" s="135">
        <v>0</v>
      </c>
      <c r="O428" s="135">
        <v>0</v>
      </c>
    </row>
    <row r="429" spans="1:16" x14ac:dyDescent="0.3">
      <c r="A429" s="135" t="s">
        <v>250</v>
      </c>
      <c r="B429" s="135" t="s">
        <v>396</v>
      </c>
      <c r="C429" s="135" t="s">
        <v>30</v>
      </c>
      <c r="D429" s="135" t="s">
        <v>2543</v>
      </c>
      <c r="E429" s="135" t="s">
        <v>1708</v>
      </c>
      <c r="F429" s="135">
        <v>3000</v>
      </c>
      <c r="G429" s="135">
        <v>0</v>
      </c>
      <c r="H429" s="135">
        <v>16.600000000000001</v>
      </c>
      <c r="I429" s="135">
        <v>6.3</v>
      </c>
      <c r="J429" s="135">
        <v>4.6399999999999997</v>
      </c>
      <c r="K429" s="135">
        <v>4.6399999999999997</v>
      </c>
      <c r="L429" s="135">
        <v>40</v>
      </c>
      <c r="M429" s="135">
        <v>0</v>
      </c>
      <c r="N429" s="135">
        <v>1.5</v>
      </c>
      <c r="O429" s="135">
        <v>4</v>
      </c>
      <c r="P429" s="135">
        <v>1.3</v>
      </c>
    </row>
    <row r="430" spans="1:16" x14ac:dyDescent="0.3">
      <c r="A430" s="135" t="s">
        <v>279</v>
      </c>
      <c r="B430" s="135" t="s">
        <v>396</v>
      </c>
      <c r="C430" s="135" t="s">
        <v>18</v>
      </c>
      <c r="D430" s="135" t="s">
        <v>1898</v>
      </c>
      <c r="E430" s="135" t="s">
        <v>1712</v>
      </c>
      <c r="F430" s="135">
        <v>3000</v>
      </c>
      <c r="G430" s="135">
        <v>0</v>
      </c>
      <c r="H430" s="135">
        <v>8.6</v>
      </c>
      <c r="I430" s="135">
        <v>5.2</v>
      </c>
      <c r="J430" s="135">
        <v>0</v>
      </c>
      <c r="K430" s="135">
        <v>0</v>
      </c>
      <c r="L430" s="135">
        <v>40</v>
      </c>
      <c r="M430" s="135">
        <v>0</v>
      </c>
      <c r="N430" s="135">
        <v>0</v>
      </c>
      <c r="O430" s="135">
        <v>0</v>
      </c>
    </row>
    <row r="431" spans="1:16" x14ac:dyDescent="0.3">
      <c r="A431" s="135" t="s">
        <v>406</v>
      </c>
      <c r="B431" s="135" t="s">
        <v>399</v>
      </c>
      <c r="C431" s="135" t="s">
        <v>14</v>
      </c>
      <c r="D431" s="135" t="s">
        <v>2545</v>
      </c>
      <c r="E431" s="135" t="s">
        <v>1724</v>
      </c>
      <c r="F431" s="135">
        <v>3000</v>
      </c>
      <c r="G431" s="135">
        <v>0</v>
      </c>
      <c r="H431" s="135">
        <v>0</v>
      </c>
      <c r="J431" s="135">
        <v>0</v>
      </c>
      <c r="K431" s="135">
        <v>0</v>
      </c>
      <c r="L431" s="135">
        <v>40</v>
      </c>
      <c r="M431" s="135">
        <v>0</v>
      </c>
      <c r="N431" s="135">
        <v>0</v>
      </c>
    </row>
    <row r="432" spans="1:16" x14ac:dyDescent="0.3">
      <c r="A432" s="135" t="s">
        <v>186</v>
      </c>
      <c r="B432" s="135" t="s">
        <v>394</v>
      </c>
      <c r="C432" s="135" t="s">
        <v>57</v>
      </c>
      <c r="D432" s="135" t="s">
        <v>2541</v>
      </c>
      <c r="E432" s="135" t="s">
        <v>1733</v>
      </c>
      <c r="F432" s="135">
        <v>3000</v>
      </c>
      <c r="G432" s="135">
        <v>0</v>
      </c>
      <c r="H432" s="135">
        <v>0</v>
      </c>
      <c r="I432" s="135">
        <v>-0.7</v>
      </c>
      <c r="J432" s="135">
        <v>0</v>
      </c>
      <c r="K432" s="135">
        <v>0</v>
      </c>
      <c r="L432" s="135">
        <v>40</v>
      </c>
      <c r="M432" s="135">
        <v>0</v>
      </c>
      <c r="N432" s="135">
        <v>0</v>
      </c>
      <c r="O432" s="135">
        <v>1.7</v>
      </c>
      <c r="P432" s="135">
        <v>0.6</v>
      </c>
    </row>
    <row r="433" spans="1:16" x14ac:dyDescent="0.3">
      <c r="A433" s="135" t="s">
        <v>528</v>
      </c>
      <c r="B433" s="135" t="s">
        <v>396</v>
      </c>
      <c r="C433" s="135" t="s">
        <v>37</v>
      </c>
      <c r="D433" s="135" t="s">
        <v>2525</v>
      </c>
      <c r="E433" s="135" t="s">
        <v>1727</v>
      </c>
      <c r="F433" s="135">
        <v>3000</v>
      </c>
      <c r="G433" s="135">
        <v>0</v>
      </c>
      <c r="H433" s="135">
        <v>0</v>
      </c>
      <c r="J433" s="135">
        <v>0</v>
      </c>
      <c r="K433" s="135">
        <v>0</v>
      </c>
      <c r="L433" s="135">
        <v>40</v>
      </c>
      <c r="M433" s="135">
        <v>0</v>
      </c>
      <c r="N433" s="135">
        <v>0</v>
      </c>
    </row>
    <row r="434" spans="1:16" x14ac:dyDescent="0.3">
      <c r="A434" s="135" t="s">
        <v>303</v>
      </c>
      <c r="B434" s="135" t="s">
        <v>396</v>
      </c>
      <c r="C434" s="135" t="s">
        <v>18</v>
      </c>
      <c r="D434" s="135" t="s">
        <v>1898</v>
      </c>
      <c r="E434" s="135" t="s">
        <v>1712</v>
      </c>
      <c r="F434" s="135">
        <v>3000</v>
      </c>
      <c r="G434" s="135">
        <v>0</v>
      </c>
      <c r="H434" s="135">
        <v>8.8000000000000007</v>
      </c>
      <c r="I434" s="135">
        <v>3</v>
      </c>
      <c r="J434" s="135">
        <v>0</v>
      </c>
      <c r="K434" s="135">
        <v>0</v>
      </c>
      <c r="L434" s="135">
        <v>40</v>
      </c>
      <c r="M434" s="135">
        <v>0</v>
      </c>
      <c r="N434" s="135">
        <v>0</v>
      </c>
    </row>
    <row r="435" spans="1:16" x14ac:dyDescent="0.3">
      <c r="A435" s="135" t="s">
        <v>767</v>
      </c>
      <c r="B435" s="135" t="s">
        <v>396</v>
      </c>
      <c r="C435" s="135" t="s">
        <v>18</v>
      </c>
      <c r="D435" s="135" t="s">
        <v>1898</v>
      </c>
      <c r="E435" s="135" t="s">
        <v>1712</v>
      </c>
      <c r="F435" s="135">
        <v>3000</v>
      </c>
      <c r="G435" s="135">
        <v>1.8</v>
      </c>
      <c r="H435" s="135">
        <v>10.7</v>
      </c>
      <c r="J435" s="135">
        <v>7.15</v>
      </c>
      <c r="K435" s="135">
        <v>7.15</v>
      </c>
      <c r="L435" s="135">
        <v>40</v>
      </c>
      <c r="M435" s="135">
        <v>0</v>
      </c>
      <c r="N435" s="135">
        <v>2.4</v>
      </c>
    </row>
    <row r="436" spans="1:16" x14ac:dyDescent="0.3">
      <c r="A436" s="135" t="s">
        <v>341</v>
      </c>
      <c r="B436" s="135" t="s">
        <v>399</v>
      </c>
      <c r="C436" s="135" t="s">
        <v>57</v>
      </c>
      <c r="D436" s="135" t="s">
        <v>2541</v>
      </c>
      <c r="E436" s="135" t="s">
        <v>1720</v>
      </c>
      <c r="F436" s="135">
        <v>2900</v>
      </c>
      <c r="G436" s="135">
        <v>1.6</v>
      </c>
      <c r="H436" s="135">
        <v>16.600000000000001</v>
      </c>
      <c r="I436" s="135">
        <v>5.7</v>
      </c>
      <c r="J436" s="135">
        <v>6.62</v>
      </c>
      <c r="K436" s="135">
        <v>6.62</v>
      </c>
      <c r="L436" s="135">
        <v>40</v>
      </c>
      <c r="M436" s="135">
        <v>46</v>
      </c>
      <c r="N436" s="135">
        <v>2.2999999999999998</v>
      </c>
      <c r="O436" s="135">
        <v>1.5</v>
      </c>
      <c r="P436" s="135">
        <v>0.5</v>
      </c>
    </row>
    <row r="437" spans="1:16" x14ac:dyDescent="0.3">
      <c r="A437" s="135" t="s">
        <v>568</v>
      </c>
      <c r="B437" s="135" t="s">
        <v>459</v>
      </c>
      <c r="C437" s="135" t="s">
        <v>20</v>
      </c>
      <c r="D437" s="135" t="s">
        <v>2523</v>
      </c>
      <c r="E437" s="135" t="s">
        <v>1736</v>
      </c>
      <c r="F437" s="135">
        <v>2900</v>
      </c>
      <c r="G437" s="135">
        <v>2.7</v>
      </c>
      <c r="H437" s="135">
        <v>19.8</v>
      </c>
      <c r="I437" s="135">
        <v>9.3000000000000007</v>
      </c>
      <c r="J437" s="135">
        <v>8.36</v>
      </c>
      <c r="K437" s="135">
        <v>8.36</v>
      </c>
      <c r="L437" s="135">
        <v>40</v>
      </c>
      <c r="M437" s="135">
        <v>0</v>
      </c>
      <c r="N437" s="135">
        <v>2.9</v>
      </c>
      <c r="O437" s="135">
        <v>-1</v>
      </c>
    </row>
    <row r="438" spans="1:16" x14ac:dyDescent="0.3">
      <c r="A438" s="135" t="s">
        <v>334</v>
      </c>
      <c r="B438" s="135" t="s">
        <v>399</v>
      </c>
      <c r="C438" s="135" t="s">
        <v>46</v>
      </c>
      <c r="D438" s="135" t="s">
        <v>2528</v>
      </c>
      <c r="E438" s="135" t="s">
        <v>1709</v>
      </c>
      <c r="F438" s="135">
        <v>2900</v>
      </c>
      <c r="G438" s="135">
        <v>5.8</v>
      </c>
      <c r="H438" s="135">
        <v>11.5</v>
      </c>
      <c r="J438" s="135">
        <v>7.69</v>
      </c>
      <c r="K438" s="135">
        <v>7.69</v>
      </c>
      <c r="L438" s="135">
        <v>40</v>
      </c>
      <c r="M438" s="135">
        <v>68</v>
      </c>
      <c r="N438" s="135">
        <v>2.7</v>
      </c>
      <c r="O438" s="135">
        <v>27.8</v>
      </c>
      <c r="P438" s="135">
        <v>9.6</v>
      </c>
    </row>
    <row r="439" spans="1:16" x14ac:dyDescent="0.3">
      <c r="A439" s="135" t="s">
        <v>571</v>
      </c>
      <c r="B439" s="135" t="s">
        <v>459</v>
      </c>
      <c r="C439" s="135" t="s">
        <v>34</v>
      </c>
      <c r="D439" s="135" t="s">
        <v>2534</v>
      </c>
      <c r="E439" s="135" t="s">
        <v>1734</v>
      </c>
      <c r="F439" s="135">
        <v>2900</v>
      </c>
      <c r="G439" s="135">
        <v>3</v>
      </c>
      <c r="H439" s="135">
        <v>16.8</v>
      </c>
      <c r="I439" s="135">
        <v>7.1</v>
      </c>
      <c r="J439" s="135">
        <v>7.59</v>
      </c>
      <c r="K439" s="135">
        <v>7.59</v>
      </c>
      <c r="L439" s="135">
        <v>40</v>
      </c>
      <c r="M439" s="135">
        <v>8</v>
      </c>
      <c r="N439" s="135">
        <v>2.6</v>
      </c>
      <c r="O439" s="135">
        <v>4</v>
      </c>
      <c r="P439" s="135">
        <v>1.4</v>
      </c>
    </row>
    <row r="440" spans="1:16" x14ac:dyDescent="0.3">
      <c r="A440" s="135" t="s">
        <v>338</v>
      </c>
      <c r="B440" s="135" t="s">
        <v>399</v>
      </c>
      <c r="C440" s="135" t="s">
        <v>398</v>
      </c>
      <c r="D440" s="135" t="s">
        <v>2546</v>
      </c>
      <c r="E440" s="135" t="s">
        <v>1730</v>
      </c>
      <c r="F440" s="135">
        <v>2900</v>
      </c>
      <c r="G440" s="135">
        <v>2.2000000000000002</v>
      </c>
      <c r="H440" s="135">
        <v>20.2</v>
      </c>
      <c r="I440" s="135">
        <v>5.8</v>
      </c>
      <c r="J440" s="135">
        <v>8.15</v>
      </c>
      <c r="K440" s="135">
        <v>8.15</v>
      </c>
      <c r="L440" s="135">
        <v>40</v>
      </c>
      <c r="M440" s="135">
        <v>50</v>
      </c>
      <c r="N440" s="135">
        <v>2.8</v>
      </c>
      <c r="O440" s="135">
        <v>2.4</v>
      </c>
      <c r="P440" s="135">
        <v>0.8</v>
      </c>
    </row>
    <row r="441" spans="1:16" x14ac:dyDescent="0.3">
      <c r="A441" s="135" t="s">
        <v>324</v>
      </c>
      <c r="B441" s="135" t="s">
        <v>399</v>
      </c>
      <c r="C441" s="135" t="s">
        <v>401</v>
      </c>
      <c r="D441" s="135" t="s">
        <v>2537</v>
      </c>
      <c r="E441" s="135" t="s">
        <v>1713</v>
      </c>
      <c r="F441" s="135">
        <v>2900</v>
      </c>
      <c r="G441" s="135">
        <v>0</v>
      </c>
      <c r="H441" s="135">
        <v>14.2</v>
      </c>
      <c r="I441" s="135">
        <v>11.7</v>
      </c>
      <c r="J441" s="135">
        <v>0</v>
      </c>
      <c r="K441" s="135">
        <v>0</v>
      </c>
      <c r="L441" s="135">
        <v>40</v>
      </c>
      <c r="M441" s="135">
        <v>0</v>
      </c>
      <c r="N441" s="135">
        <v>0</v>
      </c>
    </row>
    <row r="442" spans="1:16" x14ac:dyDescent="0.3">
      <c r="A442" s="135" t="s">
        <v>333</v>
      </c>
      <c r="B442" s="135" t="s">
        <v>399</v>
      </c>
      <c r="C442" s="135" t="s">
        <v>10</v>
      </c>
      <c r="D442" s="135" t="s">
        <v>2542</v>
      </c>
      <c r="E442" s="135" t="s">
        <v>1727</v>
      </c>
      <c r="F442" s="135">
        <v>2900</v>
      </c>
      <c r="G442" s="135">
        <v>0.3</v>
      </c>
      <c r="H442" s="135">
        <v>18.899999999999999</v>
      </c>
      <c r="I442" s="135">
        <v>9.6</v>
      </c>
      <c r="J442" s="135">
        <v>6.46</v>
      </c>
      <c r="K442" s="135">
        <v>6.46</v>
      </c>
      <c r="L442" s="135">
        <v>40</v>
      </c>
      <c r="M442" s="135">
        <v>10</v>
      </c>
      <c r="N442" s="135">
        <v>2.2000000000000002</v>
      </c>
      <c r="O442" s="135">
        <v>0</v>
      </c>
    </row>
    <row r="443" spans="1:16" x14ac:dyDescent="0.3">
      <c r="A443" s="135" t="s">
        <v>348</v>
      </c>
      <c r="B443" s="135" t="s">
        <v>399</v>
      </c>
      <c r="C443" s="135" t="s">
        <v>395</v>
      </c>
      <c r="D443" s="135" t="s">
        <v>2531</v>
      </c>
      <c r="E443" s="135" t="s">
        <v>1726</v>
      </c>
      <c r="F443" s="135">
        <v>2900</v>
      </c>
      <c r="G443" s="135">
        <v>1</v>
      </c>
      <c r="H443" s="135">
        <v>16</v>
      </c>
      <c r="I443" s="135">
        <v>5.5</v>
      </c>
      <c r="J443" s="135">
        <v>6.04</v>
      </c>
      <c r="K443" s="135">
        <v>6.04</v>
      </c>
      <c r="L443" s="135">
        <v>40</v>
      </c>
      <c r="M443" s="135">
        <v>0</v>
      </c>
      <c r="N443" s="135">
        <v>2.1</v>
      </c>
      <c r="O443" s="135">
        <v>2.5</v>
      </c>
      <c r="P443" s="135">
        <v>0.9</v>
      </c>
    </row>
    <row r="444" spans="1:16" x14ac:dyDescent="0.3">
      <c r="A444" s="135" t="s">
        <v>567</v>
      </c>
      <c r="B444" s="135" t="s">
        <v>459</v>
      </c>
      <c r="C444" s="135" t="s">
        <v>39</v>
      </c>
      <c r="D444" s="135" t="s">
        <v>2536</v>
      </c>
      <c r="E444" s="135" t="s">
        <v>1320</v>
      </c>
      <c r="F444" s="135">
        <v>2800</v>
      </c>
      <c r="G444" s="135">
        <v>0</v>
      </c>
      <c r="H444" s="135">
        <v>22.2</v>
      </c>
      <c r="I444" s="135">
        <v>7.5</v>
      </c>
      <c r="J444" s="135">
        <v>6.45</v>
      </c>
      <c r="K444" s="135">
        <v>6.45</v>
      </c>
      <c r="L444" s="135">
        <v>40</v>
      </c>
      <c r="M444" s="135">
        <v>25</v>
      </c>
      <c r="N444" s="135">
        <v>2.2999999999999998</v>
      </c>
      <c r="O444" s="135">
        <v>17</v>
      </c>
      <c r="P444" s="135">
        <v>6.1</v>
      </c>
    </row>
    <row r="445" spans="1:16" x14ac:dyDescent="0.3">
      <c r="A445" s="135" t="s">
        <v>343</v>
      </c>
      <c r="B445" s="135" t="s">
        <v>399</v>
      </c>
      <c r="C445" s="135" t="s">
        <v>39</v>
      </c>
      <c r="D445" s="135" t="s">
        <v>2536</v>
      </c>
      <c r="E445" s="135" t="s">
        <v>1714</v>
      </c>
      <c r="F445" s="135">
        <v>2800</v>
      </c>
      <c r="G445" s="135">
        <v>0</v>
      </c>
      <c r="H445" s="135">
        <v>11</v>
      </c>
      <c r="I445" s="135">
        <v>7.3</v>
      </c>
      <c r="J445" s="135">
        <v>0</v>
      </c>
      <c r="K445" s="135">
        <v>0</v>
      </c>
      <c r="L445" s="135">
        <v>40</v>
      </c>
      <c r="M445" s="135">
        <v>0</v>
      </c>
      <c r="N445" s="135">
        <v>0</v>
      </c>
      <c r="O445" s="135">
        <v>9.1</v>
      </c>
      <c r="P445" s="135">
        <v>3.3</v>
      </c>
    </row>
    <row r="446" spans="1:16" x14ac:dyDescent="0.3">
      <c r="A446" s="135" t="s">
        <v>570</v>
      </c>
      <c r="B446" s="135" t="s">
        <v>459</v>
      </c>
      <c r="C446" s="135" t="s">
        <v>28</v>
      </c>
      <c r="D446" s="135" t="s">
        <v>2527</v>
      </c>
      <c r="E446" s="135" t="s">
        <v>1709</v>
      </c>
      <c r="F446" s="135">
        <v>2800</v>
      </c>
      <c r="G446" s="135">
        <v>3.1</v>
      </c>
      <c r="H446" s="135">
        <v>18.7</v>
      </c>
      <c r="I446" s="135">
        <v>8.6</v>
      </c>
      <c r="J446" s="135">
        <v>8.32</v>
      </c>
      <c r="K446" s="135">
        <v>8.32</v>
      </c>
      <c r="L446" s="135">
        <v>40</v>
      </c>
      <c r="M446" s="135">
        <v>0</v>
      </c>
      <c r="N446" s="135">
        <v>3</v>
      </c>
      <c r="O446" s="135">
        <v>5</v>
      </c>
      <c r="P446" s="135">
        <v>1.8</v>
      </c>
    </row>
    <row r="447" spans="1:16" x14ac:dyDescent="0.3">
      <c r="A447" s="135" t="s">
        <v>344</v>
      </c>
      <c r="B447" s="135" t="s">
        <v>399</v>
      </c>
      <c r="C447" s="135" t="s">
        <v>4</v>
      </c>
      <c r="D447" s="135" t="s">
        <v>2530</v>
      </c>
      <c r="E447" s="135" t="s">
        <v>1320</v>
      </c>
      <c r="F447" s="135">
        <v>2800</v>
      </c>
      <c r="G447" s="135">
        <v>4.7</v>
      </c>
      <c r="H447" s="135">
        <v>15.5</v>
      </c>
      <c r="I447" s="135">
        <v>5.3</v>
      </c>
      <c r="J447" s="135">
        <v>8.31</v>
      </c>
      <c r="K447" s="135">
        <v>8.31</v>
      </c>
      <c r="L447" s="135">
        <v>40</v>
      </c>
      <c r="M447" s="135">
        <v>68</v>
      </c>
      <c r="N447" s="135">
        <v>3</v>
      </c>
      <c r="O447" s="135">
        <v>4.7</v>
      </c>
      <c r="P447" s="135">
        <v>1.7</v>
      </c>
    </row>
    <row r="448" spans="1:16" x14ac:dyDescent="0.3">
      <c r="A448" s="135" t="s">
        <v>572</v>
      </c>
      <c r="B448" s="135" t="s">
        <v>459</v>
      </c>
      <c r="C448" s="135" t="s">
        <v>10</v>
      </c>
      <c r="D448" s="135" t="s">
        <v>2542</v>
      </c>
      <c r="E448" s="135" t="s">
        <v>1722</v>
      </c>
      <c r="F448" s="135">
        <v>2700</v>
      </c>
      <c r="G448" s="135">
        <v>0.8</v>
      </c>
      <c r="H448" s="135">
        <v>18.5</v>
      </c>
      <c r="I448" s="135">
        <v>5.7</v>
      </c>
      <c r="J448" s="135">
        <v>6.74</v>
      </c>
      <c r="K448" s="135">
        <v>6.74</v>
      </c>
      <c r="L448" s="135">
        <v>40</v>
      </c>
      <c r="M448" s="135">
        <v>21</v>
      </c>
      <c r="N448" s="135">
        <v>2.5</v>
      </c>
      <c r="O448" s="135">
        <v>22</v>
      </c>
      <c r="P448" s="135">
        <v>8.1</v>
      </c>
    </row>
    <row r="449" spans="1:16" x14ac:dyDescent="0.3">
      <c r="A449" s="135" t="s">
        <v>349</v>
      </c>
      <c r="B449" s="135" t="s">
        <v>399</v>
      </c>
      <c r="C449" s="135" t="s">
        <v>18</v>
      </c>
      <c r="D449" s="135" t="s">
        <v>1898</v>
      </c>
      <c r="E449" s="135" t="s">
        <v>1731</v>
      </c>
      <c r="F449" s="135">
        <v>2700</v>
      </c>
      <c r="G449" s="135">
        <v>0</v>
      </c>
      <c r="H449" s="135">
        <v>9.8000000000000007</v>
      </c>
      <c r="I449" s="135">
        <v>6</v>
      </c>
      <c r="J449" s="135">
        <v>0</v>
      </c>
      <c r="K449" s="135">
        <v>0</v>
      </c>
      <c r="L449" s="135">
        <v>40</v>
      </c>
      <c r="M449" s="135">
        <v>26</v>
      </c>
      <c r="N449" s="135">
        <v>0</v>
      </c>
    </row>
    <row r="450" spans="1:16" x14ac:dyDescent="0.3">
      <c r="A450" s="135" t="s">
        <v>339</v>
      </c>
      <c r="B450" s="135" t="s">
        <v>399</v>
      </c>
      <c r="C450" s="135" t="s">
        <v>37</v>
      </c>
      <c r="D450" s="135" t="s">
        <v>2525</v>
      </c>
      <c r="E450" s="135" t="s">
        <v>1705</v>
      </c>
      <c r="F450" s="135">
        <v>2700</v>
      </c>
      <c r="G450" s="135">
        <v>0</v>
      </c>
      <c r="H450" s="135">
        <v>18.100000000000001</v>
      </c>
      <c r="I450" s="135">
        <v>7.9</v>
      </c>
      <c r="J450" s="135">
        <v>5.31</v>
      </c>
      <c r="K450" s="135">
        <v>5.31</v>
      </c>
      <c r="L450" s="135">
        <v>40</v>
      </c>
      <c r="M450" s="135">
        <v>15</v>
      </c>
      <c r="N450" s="135">
        <v>2</v>
      </c>
      <c r="O450" s="135">
        <v>4.0999999999999996</v>
      </c>
      <c r="P450" s="135">
        <v>1.5</v>
      </c>
    </row>
    <row r="451" spans="1:16" x14ac:dyDescent="0.3">
      <c r="A451" s="135" t="s">
        <v>327</v>
      </c>
      <c r="B451" s="135" t="s">
        <v>399</v>
      </c>
      <c r="C451" s="135" t="s">
        <v>395</v>
      </c>
      <c r="D451" s="135" t="s">
        <v>2531</v>
      </c>
      <c r="E451" s="135" t="s">
        <v>1726</v>
      </c>
      <c r="F451" s="135">
        <v>2700</v>
      </c>
      <c r="G451" s="135">
        <v>0</v>
      </c>
      <c r="H451" s="135">
        <v>19.5</v>
      </c>
      <c r="I451" s="135">
        <v>10.199999999999999</v>
      </c>
      <c r="J451" s="135">
        <v>6.12</v>
      </c>
      <c r="K451" s="135">
        <v>6.12</v>
      </c>
      <c r="L451" s="135">
        <v>40</v>
      </c>
      <c r="M451" s="135">
        <v>0</v>
      </c>
      <c r="N451" s="135">
        <v>2.2999999999999998</v>
      </c>
      <c r="O451" s="135">
        <v>8.9</v>
      </c>
      <c r="P451" s="135">
        <v>3.3</v>
      </c>
    </row>
    <row r="452" spans="1:16" x14ac:dyDescent="0.3">
      <c r="A452" s="135" t="s">
        <v>263</v>
      </c>
      <c r="B452" s="135" t="s">
        <v>399</v>
      </c>
      <c r="C452" s="135" t="s">
        <v>409</v>
      </c>
      <c r="D452" s="135" t="s">
        <v>2535</v>
      </c>
      <c r="E452" s="135" t="s">
        <v>1719</v>
      </c>
      <c r="F452" s="135">
        <v>2700</v>
      </c>
      <c r="G452" s="135">
        <v>1.8</v>
      </c>
      <c r="H452" s="135">
        <v>13.8</v>
      </c>
      <c r="I452" s="135">
        <v>4.4000000000000004</v>
      </c>
      <c r="J452" s="135">
        <v>5.75</v>
      </c>
      <c r="K452" s="135">
        <v>5.75</v>
      </c>
      <c r="L452" s="135">
        <v>40</v>
      </c>
      <c r="M452" s="135">
        <v>41</v>
      </c>
      <c r="N452" s="135">
        <v>2.1</v>
      </c>
      <c r="O452" s="135">
        <v>0</v>
      </c>
    </row>
    <row r="453" spans="1:16" x14ac:dyDescent="0.3">
      <c r="A453" s="135" t="s">
        <v>580</v>
      </c>
      <c r="B453" s="135" t="s">
        <v>459</v>
      </c>
      <c r="C453" s="135" t="s">
        <v>46</v>
      </c>
      <c r="D453" s="135" t="s">
        <v>2528</v>
      </c>
      <c r="E453" s="135" t="s">
        <v>1719</v>
      </c>
      <c r="F453" s="135">
        <v>2700</v>
      </c>
      <c r="G453" s="135">
        <v>1.6</v>
      </c>
      <c r="H453" s="135">
        <v>16.600000000000001</v>
      </c>
      <c r="I453" s="135">
        <v>4.5</v>
      </c>
      <c r="J453" s="135">
        <v>6.61</v>
      </c>
      <c r="K453" s="135">
        <v>6.61</v>
      </c>
      <c r="L453" s="135">
        <v>40</v>
      </c>
      <c r="M453" s="135">
        <v>9</v>
      </c>
      <c r="N453" s="135">
        <v>2.4</v>
      </c>
      <c r="O453" s="135">
        <v>1</v>
      </c>
      <c r="P453" s="135">
        <v>0.4</v>
      </c>
    </row>
    <row r="454" spans="1:16" x14ac:dyDescent="0.3">
      <c r="A454" s="135" t="s">
        <v>244</v>
      </c>
      <c r="B454" s="135" t="s">
        <v>399</v>
      </c>
      <c r="C454" s="135" t="s">
        <v>37</v>
      </c>
      <c r="D454" s="135" t="s">
        <v>2525</v>
      </c>
      <c r="E454" s="135" t="s">
        <v>1705</v>
      </c>
      <c r="F454" s="135">
        <v>2600</v>
      </c>
      <c r="G454" s="135">
        <v>0.2</v>
      </c>
      <c r="H454" s="135">
        <v>17.399999999999999</v>
      </c>
      <c r="I454" s="135">
        <v>8.1</v>
      </c>
      <c r="J454" s="135">
        <v>5.95</v>
      </c>
      <c r="K454" s="135">
        <v>5.95</v>
      </c>
      <c r="L454" s="135">
        <v>40</v>
      </c>
      <c r="M454" s="135">
        <v>0</v>
      </c>
      <c r="N454" s="135">
        <v>2.2999999999999998</v>
      </c>
      <c r="O454" s="135">
        <v>4.4000000000000004</v>
      </c>
      <c r="P454" s="135">
        <v>1.7</v>
      </c>
    </row>
    <row r="455" spans="1:16" x14ac:dyDescent="0.3">
      <c r="A455" s="135" t="s">
        <v>581</v>
      </c>
      <c r="B455" s="135" t="s">
        <v>459</v>
      </c>
      <c r="C455" s="135" t="s">
        <v>4</v>
      </c>
      <c r="D455" s="135" t="s">
        <v>2530</v>
      </c>
      <c r="E455" s="135" t="s">
        <v>1713</v>
      </c>
      <c r="F455" s="135">
        <v>2600</v>
      </c>
      <c r="G455" s="135">
        <v>3.6</v>
      </c>
      <c r="H455" s="135">
        <v>15.6</v>
      </c>
      <c r="I455" s="135">
        <v>6.7</v>
      </c>
      <c r="J455" s="135">
        <v>7.64</v>
      </c>
      <c r="K455" s="135">
        <v>7.64</v>
      </c>
      <c r="L455" s="135">
        <v>40</v>
      </c>
      <c r="M455" s="135">
        <v>0</v>
      </c>
      <c r="N455" s="135">
        <v>2.9</v>
      </c>
      <c r="O455" s="135">
        <v>11</v>
      </c>
      <c r="P455" s="135">
        <v>4.2</v>
      </c>
    </row>
    <row r="456" spans="1:16" x14ac:dyDescent="0.3">
      <c r="A456" s="135" t="s">
        <v>589</v>
      </c>
      <c r="B456" s="135" t="s">
        <v>459</v>
      </c>
      <c r="C456" s="135" t="s">
        <v>561</v>
      </c>
      <c r="D456" s="135" t="s">
        <v>1906</v>
      </c>
      <c r="E456" s="135" t="s">
        <v>1716</v>
      </c>
      <c r="F456" s="135">
        <v>2600</v>
      </c>
      <c r="G456" s="135">
        <v>0.2</v>
      </c>
      <c r="H456" s="135">
        <v>20.3</v>
      </c>
      <c r="I456" s="135">
        <v>5.6</v>
      </c>
      <c r="J456" s="135">
        <v>6.87</v>
      </c>
      <c r="K456" s="135">
        <v>6.87</v>
      </c>
      <c r="L456" s="135">
        <v>40</v>
      </c>
      <c r="M456" s="135">
        <v>0</v>
      </c>
      <c r="N456" s="135">
        <v>2.6</v>
      </c>
      <c r="O456" s="135">
        <v>9</v>
      </c>
      <c r="P456" s="135">
        <v>3.5</v>
      </c>
    </row>
    <row r="457" spans="1:16" x14ac:dyDescent="0.3">
      <c r="A457" s="135" t="s">
        <v>345</v>
      </c>
      <c r="B457" s="135" t="s">
        <v>399</v>
      </c>
      <c r="C457" s="135" t="s">
        <v>398</v>
      </c>
      <c r="D457" s="135" t="s">
        <v>2546</v>
      </c>
      <c r="E457" s="135" t="s">
        <v>1730</v>
      </c>
      <c r="F457" s="135">
        <v>2500</v>
      </c>
      <c r="G457" s="135">
        <v>0</v>
      </c>
      <c r="H457" s="135">
        <v>8.6</v>
      </c>
      <c r="I457" s="135">
        <v>5.6</v>
      </c>
      <c r="J457" s="135">
        <v>0</v>
      </c>
      <c r="K457" s="135">
        <v>0</v>
      </c>
      <c r="L457" s="135">
        <v>40</v>
      </c>
      <c r="M457" s="135">
        <v>0</v>
      </c>
      <c r="N457" s="135">
        <v>0</v>
      </c>
      <c r="O457" s="135">
        <v>5.5</v>
      </c>
      <c r="P457" s="135">
        <v>2.2000000000000002</v>
      </c>
    </row>
    <row r="458" spans="1:16" x14ac:dyDescent="0.3">
      <c r="A458" s="135" t="s">
        <v>364</v>
      </c>
      <c r="B458" s="135" t="s">
        <v>399</v>
      </c>
      <c r="C458" s="135" t="s">
        <v>28</v>
      </c>
      <c r="D458" s="135" t="s">
        <v>2527</v>
      </c>
      <c r="E458" s="135" t="s">
        <v>1712</v>
      </c>
      <c r="F458" s="135">
        <v>2500</v>
      </c>
      <c r="G458" s="135">
        <v>0</v>
      </c>
      <c r="H458" s="135">
        <v>8.6</v>
      </c>
      <c r="I458" s="135">
        <v>5</v>
      </c>
      <c r="J458" s="135">
        <v>0</v>
      </c>
      <c r="K458" s="135">
        <v>0</v>
      </c>
      <c r="L458" s="135">
        <v>40</v>
      </c>
      <c r="M458" s="135">
        <v>34</v>
      </c>
      <c r="N458" s="135">
        <v>0</v>
      </c>
    </row>
    <row r="459" spans="1:16" x14ac:dyDescent="0.3">
      <c r="A459" s="135" t="s">
        <v>1561</v>
      </c>
      <c r="B459" s="135" t="s">
        <v>399</v>
      </c>
      <c r="C459" s="135" t="s">
        <v>409</v>
      </c>
      <c r="D459" s="135" t="s">
        <v>2535</v>
      </c>
      <c r="E459" s="135" t="s">
        <v>1719</v>
      </c>
      <c r="F459" s="135">
        <v>2500</v>
      </c>
      <c r="G459" s="135">
        <v>0</v>
      </c>
      <c r="H459" s="135">
        <v>0</v>
      </c>
      <c r="J459" s="135">
        <v>0</v>
      </c>
      <c r="K459" s="135">
        <v>0</v>
      </c>
      <c r="L459" s="135">
        <v>40</v>
      </c>
      <c r="M459" s="135">
        <v>0</v>
      </c>
      <c r="N459" s="135">
        <v>0</v>
      </c>
    </row>
    <row r="460" spans="1:16" x14ac:dyDescent="0.3">
      <c r="A460" s="135" t="s">
        <v>351</v>
      </c>
      <c r="B460" s="135" t="s">
        <v>399</v>
      </c>
      <c r="C460" s="135" t="s">
        <v>7</v>
      </c>
      <c r="D460" s="135" t="s">
        <v>1899</v>
      </c>
      <c r="E460" s="135" t="s">
        <v>1718</v>
      </c>
      <c r="F460" s="135">
        <v>2500</v>
      </c>
      <c r="G460" s="135">
        <v>0</v>
      </c>
      <c r="H460" s="135">
        <v>12.6</v>
      </c>
      <c r="I460" s="135">
        <v>3.4</v>
      </c>
      <c r="J460" s="135">
        <v>0</v>
      </c>
      <c r="K460" s="135">
        <v>0</v>
      </c>
      <c r="L460" s="135">
        <v>40</v>
      </c>
      <c r="M460" s="135">
        <v>0</v>
      </c>
      <c r="N460" s="135">
        <v>0</v>
      </c>
      <c r="O460" s="135">
        <v>2.9</v>
      </c>
      <c r="P460" s="135">
        <v>1.2</v>
      </c>
    </row>
    <row r="461" spans="1:16" x14ac:dyDescent="0.3">
      <c r="A461" s="135" t="s">
        <v>544</v>
      </c>
      <c r="B461" s="135" t="s">
        <v>399</v>
      </c>
      <c r="C461" s="135" t="s">
        <v>7</v>
      </c>
      <c r="D461" s="135" t="s">
        <v>1899</v>
      </c>
      <c r="E461" s="135" t="s">
        <v>1718</v>
      </c>
      <c r="F461" s="135">
        <v>2500</v>
      </c>
      <c r="G461" s="135">
        <v>0</v>
      </c>
      <c r="H461" s="135">
        <v>3.2</v>
      </c>
      <c r="J461" s="135">
        <v>0</v>
      </c>
      <c r="K461" s="135">
        <v>0</v>
      </c>
      <c r="L461" s="135">
        <v>40</v>
      </c>
      <c r="M461" s="135">
        <v>0</v>
      </c>
      <c r="N461" s="135">
        <v>0</v>
      </c>
    </row>
    <row r="462" spans="1:16" x14ac:dyDescent="0.3">
      <c r="A462" s="135" t="s">
        <v>356</v>
      </c>
      <c r="B462" s="135" t="s">
        <v>399</v>
      </c>
      <c r="C462" s="135" t="s">
        <v>398</v>
      </c>
      <c r="D462" s="135" t="s">
        <v>2546</v>
      </c>
      <c r="E462" s="135" t="s">
        <v>1730</v>
      </c>
      <c r="F462" s="135">
        <v>2500</v>
      </c>
      <c r="G462" s="135">
        <v>0</v>
      </c>
      <c r="H462" s="135">
        <v>7</v>
      </c>
      <c r="I462" s="135">
        <v>3.7</v>
      </c>
      <c r="J462" s="135">
        <v>0</v>
      </c>
      <c r="K462" s="135">
        <v>0</v>
      </c>
      <c r="L462" s="135">
        <v>40</v>
      </c>
      <c r="M462" s="135">
        <v>0</v>
      </c>
      <c r="N462" s="135">
        <v>0</v>
      </c>
      <c r="O462" s="135">
        <v>0</v>
      </c>
    </row>
    <row r="463" spans="1:16" x14ac:dyDescent="0.3">
      <c r="A463" s="135" t="s">
        <v>1559</v>
      </c>
      <c r="B463" s="135" t="s">
        <v>399</v>
      </c>
      <c r="C463" s="135" t="s">
        <v>398</v>
      </c>
      <c r="D463" s="135" t="s">
        <v>2546</v>
      </c>
      <c r="E463" s="135" t="s">
        <v>1730</v>
      </c>
      <c r="F463" s="135">
        <v>2500</v>
      </c>
      <c r="G463" s="135">
        <v>0</v>
      </c>
      <c r="H463" s="135">
        <v>0</v>
      </c>
      <c r="J463" s="135">
        <v>0</v>
      </c>
      <c r="K463" s="135">
        <v>0</v>
      </c>
      <c r="L463" s="135">
        <v>40</v>
      </c>
      <c r="M463" s="135">
        <v>0</v>
      </c>
      <c r="N463" s="135">
        <v>0</v>
      </c>
    </row>
    <row r="464" spans="1:16" x14ac:dyDescent="0.3">
      <c r="A464" s="135" t="s">
        <v>769</v>
      </c>
      <c r="B464" s="135" t="s">
        <v>399</v>
      </c>
      <c r="C464" s="135" t="s">
        <v>409</v>
      </c>
      <c r="D464" s="135" t="s">
        <v>2535</v>
      </c>
      <c r="E464" s="135" t="s">
        <v>1719</v>
      </c>
      <c r="F464" s="135">
        <v>2500</v>
      </c>
      <c r="G464" s="135">
        <v>1.3</v>
      </c>
      <c r="H464" s="135">
        <v>7.8</v>
      </c>
      <c r="J464" s="135">
        <v>5.23</v>
      </c>
      <c r="K464" s="135">
        <v>5.23</v>
      </c>
      <c r="L464" s="135">
        <v>40</v>
      </c>
      <c r="M464" s="135">
        <v>0</v>
      </c>
      <c r="N464" s="135">
        <v>2.1</v>
      </c>
    </row>
    <row r="465" spans="1:16" x14ac:dyDescent="0.3">
      <c r="A465" s="135" t="s">
        <v>1518</v>
      </c>
      <c r="B465" s="135" t="s">
        <v>399</v>
      </c>
      <c r="C465" s="135" t="s">
        <v>70</v>
      </c>
      <c r="D465" s="135" t="s">
        <v>2533</v>
      </c>
      <c r="E465" s="135" t="s">
        <v>1716</v>
      </c>
      <c r="F465" s="135">
        <v>2500</v>
      </c>
      <c r="G465" s="135">
        <v>0</v>
      </c>
      <c r="H465" s="135">
        <v>5.2</v>
      </c>
      <c r="I465" s="135">
        <v>3.8</v>
      </c>
      <c r="J465" s="135">
        <v>0</v>
      </c>
      <c r="K465" s="135">
        <v>0</v>
      </c>
      <c r="L465" s="135">
        <v>40</v>
      </c>
      <c r="M465" s="135">
        <v>0</v>
      </c>
      <c r="N465" s="135">
        <v>0</v>
      </c>
      <c r="O465" s="135">
        <v>8.9</v>
      </c>
      <c r="P465" s="135">
        <v>3.6</v>
      </c>
    </row>
    <row r="466" spans="1:16" x14ac:dyDescent="0.3">
      <c r="A466" s="135" t="s">
        <v>383</v>
      </c>
      <c r="B466" s="135" t="s">
        <v>399</v>
      </c>
      <c r="C466" s="135" t="s">
        <v>28</v>
      </c>
      <c r="D466" s="135" t="s">
        <v>2527</v>
      </c>
      <c r="E466" s="135" t="s">
        <v>1712</v>
      </c>
      <c r="F466" s="135">
        <v>2500</v>
      </c>
      <c r="G466" s="135">
        <v>0</v>
      </c>
      <c r="H466" s="135">
        <v>0</v>
      </c>
      <c r="I466" s="135">
        <v>1.4</v>
      </c>
      <c r="J466" s="135">
        <v>0</v>
      </c>
      <c r="K466" s="135">
        <v>0</v>
      </c>
      <c r="L466" s="135">
        <v>40</v>
      </c>
      <c r="M466" s="135">
        <v>0</v>
      </c>
      <c r="N466" s="135">
        <v>0</v>
      </c>
      <c r="O466" s="135">
        <v>5.0999999999999996</v>
      </c>
      <c r="P466" s="135">
        <v>2</v>
      </c>
    </row>
    <row r="467" spans="1:16" x14ac:dyDescent="0.3">
      <c r="A467" s="135" t="s">
        <v>1253</v>
      </c>
      <c r="B467" s="135" t="s">
        <v>399</v>
      </c>
      <c r="C467" s="135" t="s">
        <v>70</v>
      </c>
      <c r="D467" s="135" t="s">
        <v>2533</v>
      </c>
      <c r="E467" s="135" t="s">
        <v>1716</v>
      </c>
      <c r="F467" s="135">
        <v>2500</v>
      </c>
      <c r="G467" s="135">
        <v>0</v>
      </c>
      <c r="H467" s="135">
        <v>0</v>
      </c>
      <c r="J467" s="135">
        <v>0</v>
      </c>
      <c r="K467" s="135">
        <v>0</v>
      </c>
      <c r="L467" s="135">
        <v>40</v>
      </c>
      <c r="M467" s="135">
        <v>0</v>
      </c>
      <c r="N467" s="135">
        <v>0</v>
      </c>
      <c r="O467" s="135">
        <v>3.9</v>
      </c>
      <c r="P467" s="135">
        <v>1.6</v>
      </c>
    </row>
    <row r="468" spans="1:16" x14ac:dyDescent="0.3">
      <c r="A468" s="135" t="s">
        <v>353</v>
      </c>
      <c r="B468" s="135" t="s">
        <v>399</v>
      </c>
      <c r="C468" s="135" t="s">
        <v>22</v>
      </c>
      <c r="D468" s="135" t="s">
        <v>2529</v>
      </c>
      <c r="E468" s="135" t="s">
        <v>1704</v>
      </c>
      <c r="F468" s="135">
        <v>2500</v>
      </c>
      <c r="G468" s="135">
        <v>0</v>
      </c>
      <c r="H468" s="135">
        <v>5.8</v>
      </c>
      <c r="I468" s="135">
        <v>2.9</v>
      </c>
      <c r="J468" s="135">
        <v>0</v>
      </c>
      <c r="K468" s="135">
        <v>0</v>
      </c>
      <c r="L468" s="135">
        <v>40</v>
      </c>
      <c r="M468" s="135">
        <v>0</v>
      </c>
      <c r="N468" s="135">
        <v>0</v>
      </c>
      <c r="O468" s="135">
        <v>3.3</v>
      </c>
      <c r="P468" s="135">
        <v>1.3</v>
      </c>
    </row>
    <row r="469" spans="1:16" x14ac:dyDescent="0.3">
      <c r="A469" s="135" t="s">
        <v>360</v>
      </c>
      <c r="B469" s="135" t="s">
        <v>399</v>
      </c>
      <c r="C469" s="135" t="s">
        <v>41</v>
      </c>
      <c r="D469" s="135" t="s">
        <v>1907</v>
      </c>
      <c r="E469" s="135" t="s">
        <v>1733</v>
      </c>
      <c r="F469" s="135">
        <v>2500</v>
      </c>
      <c r="G469" s="135">
        <v>0</v>
      </c>
      <c r="H469" s="135">
        <v>5.4</v>
      </c>
      <c r="I469" s="135">
        <v>2.7</v>
      </c>
      <c r="J469" s="135">
        <v>0</v>
      </c>
      <c r="K469" s="135">
        <v>0</v>
      </c>
      <c r="L469" s="135">
        <v>40</v>
      </c>
      <c r="M469" s="135">
        <v>0</v>
      </c>
      <c r="N469" s="135">
        <v>0</v>
      </c>
      <c r="O469" s="135">
        <v>2.8</v>
      </c>
      <c r="P469" s="135">
        <v>1.1000000000000001</v>
      </c>
    </row>
    <row r="470" spans="1:16" x14ac:dyDescent="0.3">
      <c r="A470" s="135" t="s">
        <v>538</v>
      </c>
      <c r="B470" s="135" t="s">
        <v>399</v>
      </c>
      <c r="C470" s="135" t="s">
        <v>41</v>
      </c>
      <c r="D470" s="135" t="s">
        <v>1907</v>
      </c>
      <c r="E470" s="135" t="s">
        <v>1733</v>
      </c>
      <c r="F470" s="135">
        <v>2500</v>
      </c>
      <c r="G470" s="135">
        <v>0</v>
      </c>
      <c r="H470" s="135">
        <v>0</v>
      </c>
      <c r="J470" s="135">
        <v>0</v>
      </c>
      <c r="K470" s="135">
        <v>0</v>
      </c>
      <c r="L470" s="135">
        <v>40</v>
      </c>
      <c r="M470" s="135">
        <v>0</v>
      </c>
      <c r="N470" s="135">
        <v>0</v>
      </c>
    </row>
    <row r="471" spans="1:16" x14ac:dyDescent="0.3">
      <c r="A471" s="135" t="s">
        <v>373</v>
      </c>
      <c r="B471" s="135" t="s">
        <v>399</v>
      </c>
      <c r="C471" s="135" t="s">
        <v>41</v>
      </c>
      <c r="D471" s="135" t="s">
        <v>1907</v>
      </c>
      <c r="E471" s="135" t="s">
        <v>1733</v>
      </c>
      <c r="F471" s="135">
        <v>2500</v>
      </c>
      <c r="G471" s="135">
        <v>0</v>
      </c>
      <c r="H471" s="135">
        <v>3.4</v>
      </c>
      <c r="I471" s="135">
        <v>1.9</v>
      </c>
      <c r="J471" s="135">
        <v>0</v>
      </c>
      <c r="K471" s="135">
        <v>0</v>
      </c>
      <c r="L471" s="135">
        <v>40</v>
      </c>
      <c r="M471" s="135">
        <v>0</v>
      </c>
      <c r="N471" s="135">
        <v>0</v>
      </c>
    </row>
    <row r="472" spans="1:16" x14ac:dyDescent="0.3">
      <c r="A472" s="135" t="s">
        <v>382</v>
      </c>
      <c r="B472" s="135" t="s">
        <v>399</v>
      </c>
      <c r="C472" s="135" t="s">
        <v>22</v>
      </c>
      <c r="D472" s="135" t="s">
        <v>2529</v>
      </c>
      <c r="E472" s="135" t="s">
        <v>1704</v>
      </c>
      <c r="F472" s="135">
        <v>2500</v>
      </c>
      <c r="G472" s="135">
        <v>0</v>
      </c>
      <c r="H472" s="135">
        <v>0</v>
      </c>
      <c r="I472" s="135">
        <v>2</v>
      </c>
      <c r="J472" s="135">
        <v>0</v>
      </c>
      <c r="K472" s="135">
        <v>0</v>
      </c>
      <c r="L472" s="135">
        <v>40</v>
      </c>
      <c r="M472" s="135">
        <v>0</v>
      </c>
      <c r="N472" s="135">
        <v>0</v>
      </c>
    </row>
    <row r="473" spans="1:16" x14ac:dyDescent="0.3">
      <c r="A473" s="135" t="s">
        <v>554</v>
      </c>
      <c r="B473" s="135" t="s">
        <v>399</v>
      </c>
      <c r="C473" s="135" t="s">
        <v>41</v>
      </c>
      <c r="D473" s="135" t="s">
        <v>1907</v>
      </c>
      <c r="E473" s="135" t="s">
        <v>1733</v>
      </c>
      <c r="F473" s="135">
        <v>2500</v>
      </c>
      <c r="G473" s="135">
        <v>0</v>
      </c>
      <c r="H473" s="135">
        <v>0</v>
      </c>
      <c r="J473" s="135">
        <v>0</v>
      </c>
      <c r="K473" s="135">
        <v>0</v>
      </c>
      <c r="L473" s="135">
        <v>40</v>
      </c>
      <c r="M473" s="135">
        <v>0</v>
      </c>
      <c r="N473" s="135">
        <v>0</v>
      </c>
    </row>
    <row r="474" spans="1:16" x14ac:dyDescent="0.3">
      <c r="A474" s="135" t="s">
        <v>358</v>
      </c>
      <c r="B474" s="135" t="s">
        <v>399</v>
      </c>
      <c r="C474" s="135" t="s">
        <v>401</v>
      </c>
      <c r="D474" s="135" t="s">
        <v>2537</v>
      </c>
      <c r="E474" s="135" t="s">
        <v>1713</v>
      </c>
      <c r="F474" s="135">
        <v>2500</v>
      </c>
      <c r="G474" s="135">
        <v>0</v>
      </c>
      <c r="H474" s="135">
        <v>6</v>
      </c>
      <c r="I474" s="135">
        <v>4.0999999999999996</v>
      </c>
      <c r="J474" s="135">
        <v>0</v>
      </c>
      <c r="K474" s="135">
        <v>0</v>
      </c>
      <c r="L474" s="135">
        <v>40</v>
      </c>
      <c r="M474" s="135">
        <v>59</v>
      </c>
      <c r="N474" s="135">
        <v>0</v>
      </c>
      <c r="O474" s="135">
        <v>1.7</v>
      </c>
      <c r="P474" s="135">
        <v>0.7</v>
      </c>
    </row>
    <row r="475" spans="1:16" x14ac:dyDescent="0.3">
      <c r="A475" s="135" t="s">
        <v>534</v>
      </c>
      <c r="B475" s="135" t="s">
        <v>399</v>
      </c>
      <c r="C475" s="135" t="s">
        <v>401</v>
      </c>
      <c r="D475" s="135" t="s">
        <v>2537</v>
      </c>
      <c r="E475" s="135" t="s">
        <v>1713</v>
      </c>
      <c r="F475" s="135">
        <v>2500</v>
      </c>
      <c r="G475" s="135">
        <v>0</v>
      </c>
      <c r="H475" s="135">
        <v>0</v>
      </c>
      <c r="J475" s="135">
        <v>0</v>
      </c>
      <c r="K475" s="135">
        <v>0</v>
      </c>
      <c r="L475" s="135">
        <v>40</v>
      </c>
      <c r="M475" s="135">
        <v>0</v>
      </c>
      <c r="N475" s="135">
        <v>0</v>
      </c>
    </row>
    <row r="476" spans="1:16" x14ac:dyDescent="0.3">
      <c r="A476" s="135" t="s">
        <v>370</v>
      </c>
      <c r="B476" s="135" t="s">
        <v>399</v>
      </c>
      <c r="C476" s="135" t="s">
        <v>401</v>
      </c>
      <c r="D476" s="135" t="s">
        <v>2537</v>
      </c>
      <c r="E476" s="135" t="s">
        <v>1713</v>
      </c>
      <c r="F476" s="135">
        <v>2500</v>
      </c>
      <c r="G476" s="135">
        <v>0</v>
      </c>
      <c r="H476" s="135">
        <v>6</v>
      </c>
      <c r="I476" s="135">
        <v>2.6</v>
      </c>
      <c r="J476" s="135">
        <v>0</v>
      </c>
      <c r="K476" s="135">
        <v>0</v>
      </c>
      <c r="L476" s="135">
        <v>40</v>
      </c>
      <c r="M476" s="135">
        <v>0</v>
      </c>
      <c r="N476" s="135">
        <v>0</v>
      </c>
    </row>
    <row r="477" spans="1:16" x14ac:dyDescent="0.3">
      <c r="A477" s="135" t="s">
        <v>379</v>
      </c>
      <c r="B477" s="135" t="s">
        <v>399</v>
      </c>
      <c r="C477" s="135" t="s">
        <v>409</v>
      </c>
      <c r="D477" s="135" t="s">
        <v>2535</v>
      </c>
      <c r="E477" s="135" t="s">
        <v>1719</v>
      </c>
      <c r="F477" s="135">
        <v>2500</v>
      </c>
      <c r="G477" s="135">
        <v>0</v>
      </c>
      <c r="H477" s="135">
        <v>4.2</v>
      </c>
      <c r="I477" s="135">
        <v>1.3</v>
      </c>
      <c r="J477" s="135">
        <v>0</v>
      </c>
      <c r="K477" s="135">
        <v>0</v>
      </c>
      <c r="L477" s="135">
        <v>40</v>
      </c>
      <c r="M477" s="135">
        <v>0</v>
      </c>
      <c r="N477" s="135">
        <v>0</v>
      </c>
    </row>
    <row r="478" spans="1:16" x14ac:dyDescent="0.3">
      <c r="A478" s="135" t="s">
        <v>340</v>
      </c>
      <c r="B478" s="135" t="s">
        <v>399</v>
      </c>
      <c r="C478" s="135" t="s">
        <v>401</v>
      </c>
      <c r="D478" s="135" t="s">
        <v>2537</v>
      </c>
      <c r="E478" s="135" t="s">
        <v>1713</v>
      </c>
      <c r="F478" s="135">
        <v>2500</v>
      </c>
      <c r="G478" s="135">
        <v>1.3</v>
      </c>
      <c r="H478" s="135">
        <v>16.3</v>
      </c>
      <c r="I478" s="135">
        <v>5.8</v>
      </c>
      <c r="J478" s="135">
        <v>6.26</v>
      </c>
      <c r="K478" s="135">
        <v>6.26</v>
      </c>
      <c r="L478" s="135">
        <v>40</v>
      </c>
      <c r="M478" s="135">
        <v>6</v>
      </c>
      <c r="N478" s="135">
        <v>2.5</v>
      </c>
      <c r="O478" s="135">
        <v>21.6</v>
      </c>
      <c r="P478" s="135">
        <v>8.6</v>
      </c>
    </row>
    <row r="479" spans="1:16" x14ac:dyDescent="0.3">
      <c r="A479" s="135" t="s">
        <v>385</v>
      </c>
      <c r="B479" s="135" t="s">
        <v>399</v>
      </c>
      <c r="C479" s="135" t="s">
        <v>26</v>
      </c>
      <c r="D479" s="135" t="s">
        <v>2539</v>
      </c>
      <c r="E479" s="135" t="s">
        <v>1728</v>
      </c>
      <c r="F479" s="135">
        <v>2500</v>
      </c>
      <c r="G479" s="135">
        <v>0</v>
      </c>
      <c r="H479" s="135">
        <v>1.4</v>
      </c>
      <c r="I479" s="135">
        <v>0.4</v>
      </c>
      <c r="J479" s="135">
        <v>0</v>
      </c>
      <c r="K479" s="135">
        <v>0</v>
      </c>
      <c r="L479" s="135">
        <v>40</v>
      </c>
      <c r="M479" s="135">
        <v>0</v>
      </c>
      <c r="N479" s="135">
        <v>0</v>
      </c>
    </row>
    <row r="480" spans="1:16" x14ac:dyDescent="0.3">
      <c r="A480" s="135" t="s">
        <v>550</v>
      </c>
      <c r="B480" s="135" t="s">
        <v>399</v>
      </c>
      <c r="C480" s="135" t="s">
        <v>7</v>
      </c>
      <c r="D480" s="135" t="s">
        <v>1899</v>
      </c>
      <c r="E480" s="135" t="s">
        <v>1718</v>
      </c>
      <c r="F480" s="135">
        <v>2500</v>
      </c>
      <c r="G480" s="135">
        <v>0</v>
      </c>
      <c r="H480" s="135">
        <v>0</v>
      </c>
      <c r="J480" s="135">
        <v>0</v>
      </c>
      <c r="K480" s="135">
        <v>0</v>
      </c>
      <c r="L480" s="135">
        <v>40</v>
      </c>
      <c r="M480" s="135">
        <v>0</v>
      </c>
      <c r="N480" s="135">
        <v>0</v>
      </c>
    </row>
    <row r="481" spans="1:16" x14ac:dyDescent="0.3">
      <c r="A481" s="135" t="s">
        <v>376</v>
      </c>
      <c r="B481" s="135" t="s">
        <v>399</v>
      </c>
      <c r="C481" s="135" t="s">
        <v>50</v>
      </c>
      <c r="D481" s="135" t="s">
        <v>2524</v>
      </c>
      <c r="E481" s="135" t="s">
        <v>1729</v>
      </c>
      <c r="F481" s="135">
        <v>2500</v>
      </c>
      <c r="G481" s="135">
        <v>0</v>
      </c>
      <c r="H481" s="135">
        <v>6</v>
      </c>
      <c r="I481" s="135">
        <v>1.5</v>
      </c>
      <c r="J481" s="135">
        <v>0</v>
      </c>
      <c r="K481" s="135">
        <v>0</v>
      </c>
      <c r="L481" s="135">
        <v>40</v>
      </c>
      <c r="M481" s="135">
        <v>27</v>
      </c>
      <c r="N481" s="135">
        <v>0</v>
      </c>
    </row>
    <row r="482" spans="1:16" x14ac:dyDescent="0.3">
      <c r="A482" s="135" t="s">
        <v>355</v>
      </c>
      <c r="B482" s="135" t="s">
        <v>399</v>
      </c>
      <c r="C482" s="135" t="s">
        <v>404</v>
      </c>
      <c r="D482" s="135" t="s">
        <v>1901</v>
      </c>
      <c r="E482" s="135" t="s">
        <v>1722</v>
      </c>
      <c r="F482" s="135">
        <v>2500</v>
      </c>
      <c r="G482" s="135">
        <v>0</v>
      </c>
      <c r="H482" s="135">
        <v>8.6</v>
      </c>
      <c r="I482" s="135">
        <v>3.1</v>
      </c>
      <c r="J482" s="135">
        <v>0</v>
      </c>
      <c r="K482" s="135">
        <v>0</v>
      </c>
      <c r="L482" s="135">
        <v>40</v>
      </c>
      <c r="M482" s="135">
        <v>0</v>
      </c>
      <c r="N482" s="135">
        <v>0</v>
      </c>
    </row>
    <row r="483" spans="1:16" x14ac:dyDescent="0.3">
      <c r="A483" s="135" t="s">
        <v>578</v>
      </c>
      <c r="B483" s="135" t="s">
        <v>459</v>
      </c>
      <c r="C483" s="135" t="s">
        <v>52</v>
      </c>
      <c r="D483" s="135" t="s">
        <v>2526</v>
      </c>
      <c r="E483" s="135" t="s">
        <v>1707</v>
      </c>
      <c r="F483" s="135">
        <v>2500</v>
      </c>
      <c r="G483" s="135">
        <v>2.5</v>
      </c>
      <c r="H483" s="135">
        <v>16.3</v>
      </c>
      <c r="I483" s="135">
        <v>4.5999999999999996</v>
      </c>
      <c r="J483" s="135">
        <v>7.13</v>
      </c>
      <c r="K483" s="135">
        <v>7.13</v>
      </c>
      <c r="L483" s="135">
        <v>40</v>
      </c>
      <c r="M483" s="135">
        <v>0</v>
      </c>
      <c r="N483" s="135">
        <v>2.9</v>
      </c>
      <c r="O483" s="135">
        <v>5</v>
      </c>
      <c r="P483" s="135">
        <v>2</v>
      </c>
    </row>
    <row r="484" spans="1:16" x14ac:dyDescent="0.3">
      <c r="A484" s="135" t="s">
        <v>386</v>
      </c>
      <c r="B484" s="135" t="s">
        <v>399</v>
      </c>
      <c r="C484" s="135" t="s">
        <v>52</v>
      </c>
      <c r="D484" s="135" t="s">
        <v>2526</v>
      </c>
      <c r="E484" s="135" t="s">
        <v>1732</v>
      </c>
      <c r="F484" s="135">
        <v>2500</v>
      </c>
      <c r="G484" s="135">
        <v>0</v>
      </c>
      <c r="H484" s="135">
        <v>0</v>
      </c>
      <c r="I484" s="135">
        <v>1</v>
      </c>
      <c r="J484" s="135">
        <v>0</v>
      </c>
      <c r="K484" s="135">
        <v>0</v>
      </c>
      <c r="L484" s="135">
        <v>40</v>
      </c>
      <c r="M484" s="135">
        <v>0</v>
      </c>
      <c r="N484" s="135">
        <v>0</v>
      </c>
      <c r="O484" s="135">
        <v>0</v>
      </c>
    </row>
    <row r="485" spans="1:16" x14ac:dyDescent="0.3">
      <c r="A485" s="135" t="s">
        <v>372</v>
      </c>
      <c r="B485" s="135" t="s">
        <v>399</v>
      </c>
      <c r="C485" s="135" t="s">
        <v>52</v>
      </c>
      <c r="D485" s="135" t="s">
        <v>2526</v>
      </c>
      <c r="E485" s="135" t="s">
        <v>1732</v>
      </c>
      <c r="F485" s="135">
        <v>2500</v>
      </c>
      <c r="G485" s="135">
        <v>0</v>
      </c>
      <c r="H485" s="135">
        <v>10.199999999999999</v>
      </c>
      <c r="I485" s="135">
        <v>2.8</v>
      </c>
      <c r="J485" s="135">
        <v>0</v>
      </c>
      <c r="K485" s="135">
        <v>0</v>
      </c>
      <c r="L485" s="135">
        <v>40</v>
      </c>
      <c r="M485" s="135">
        <v>0</v>
      </c>
      <c r="N485" s="135">
        <v>0</v>
      </c>
    </row>
    <row r="486" spans="1:16" x14ac:dyDescent="0.3">
      <c r="A486" s="135" t="s">
        <v>536</v>
      </c>
      <c r="B486" s="135" t="s">
        <v>399</v>
      </c>
      <c r="C486" s="135" t="s">
        <v>46</v>
      </c>
      <c r="D486" s="135" t="s">
        <v>2528</v>
      </c>
      <c r="E486" s="135" t="s">
        <v>1709</v>
      </c>
      <c r="F486" s="135">
        <v>2500</v>
      </c>
      <c r="G486" s="135">
        <v>0</v>
      </c>
      <c r="H486" s="135">
        <v>0</v>
      </c>
      <c r="J486" s="135">
        <v>0</v>
      </c>
      <c r="K486" s="135">
        <v>0</v>
      </c>
      <c r="L486" s="135">
        <v>40</v>
      </c>
      <c r="M486" s="135">
        <v>0</v>
      </c>
      <c r="N486" s="135">
        <v>0</v>
      </c>
    </row>
    <row r="487" spans="1:16" x14ac:dyDescent="0.3">
      <c r="A487" s="135" t="s">
        <v>368</v>
      </c>
      <c r="B487" s="135" t="s">
        <v>399</v>
      </c>
      <c r="C487" s="135" t="s">
        <v>16</v>
      </c>
      <c r="D487" s="135" t="s">
        <v>2532</v>
      </c>
      <c r="E487" s="135" t="s">
        <v>1715</v>
      </c>
      <c r="F487" s="135">
        <v>2500</v>
      </c>
      <c r="G487" s="135">
        <v>0.5</v>
      </c>
      <c r="H487" s="135">
        <v>10.199999999999999</v>
      </c>
      <c r="I487" s="135">
        <v>3.2</v>
      </c>
      <c r="J487" s="135">
        <v>3.75</v>
      </c>
      <c r="K487" s="135">
        <v>3.75</v>
      </c>
      <c r="L487" s="135">
        <v>40</v>
      </c>
      <c r="M487" s="135">
        <v>76</v>
      </c>
      <c r="N487" s="135">
        <v>1.5</v>
      </c>
      <c r="O487" s="135">
        <v>12.5</v>
      </c>
      <c r="P487" s="135">
        <v>5</v>
      </c>
    </row>
    <row r="488" spans="1:16" x14ac:dyDescent="0.3">
      <c r="A488" s="135" t="s">
        <v>546</v>
      </c>
      <c r="B488" s="135" t="s">
        <v>399</v>
      </c>
      <c r="C488" s="135" t="s">
        <v>16</v>
      </c>
      <c r="D488" s="135" t="s">
        <v>2532</v>
      </c>
      <c r="E488" s="135" t="s">
        <v>1715</v>
      </c>
      <c r="F488" s="135">
        <v>2500</v>
      </c>
      <c r="G488" s="135">
        <v>0</v>
      </c>
      <c r="H488" s="135">
        <v>0</v>
      </c>
      <c r="J488" s="135">
        <v>0</v>
      </c>
      <c r="K488" s="135">
        <v>0</v>
      </c>
      <c r="L488" s="135">
        <v>40</v>
      </c>
      <c r="M488" s="135">
        <v>0</v>
      </c>
      <c r="N488" s="135">
        <v>0</v>
      </c>
    </row>
    <row r="489" spans="1:16" x14ac:dyDescent="0.3">
      <c r="A489" s="135" t="s">
        <v>559</v>
      </c>
      <c r="B489" s="135" t="s">
        <v>399</v>
      </c>
      <c r="C489" s="135" t="s">
        <v>407</v>
      </c>
      <c r="D489" s="135" t="s">
        <v>2540</v>
      </c>
      <c r="E489" s="135" t="s">
        <v>1735</v>
      </c>
      <c r="F489" s="135">
        <v>2500</v>
      </c>
      <c r="G489" s="135">
        <v>2.1</v>
      </c>
      <c r="H489" s="135">
        <v>12.6</v>
      </c>
      <c r="J489" s="135">
        <v>8.3800000000000008</v>
      </c>
      <c r="K489" s="135">
        <v>8.3800000000000008</v>
      </c>
      <c r="L489" s="135">
        <v>40</v>
      </c>
      <c r="M489" s="135">
        <v>0</v>
      </c>
      <c r="N489" s="135">
        <v>3.4</v>
      </c>
      <c r="O489" s="135">
        <v>11.6</v>
      </c>
      <c r="P489" s="135">
        <v>4.5999999999999996</v>
      </c>
    </row>
    <row r="490" spans="1:16" x14ac:dyDescent="0.3">
      <c r="A490" s="135" t="s">
        <v>377</v>
      </c>
      <c r="B490" s="135" t="s">
        <v>399</v>
      </c>
      <c r="C490" s="135" t="s">
        <v>39</v>
      </c>
      <c r="D490" s="135" t="s">
        <v>2536</v>
      </c>
      <c r="E490" s="135" t="s">
        <v>1714</v>
      </c>
      <c r="F490" s="135">
        <v>2500</v>
      </c>
      <c r="G490" s="135">
        <v>5.3</v>
      </c>
      <c r="H490" s="135">
        <v>13.4</v>
      </c>
      <c r="I490" s="135">
        <v>2.8</v>
      </c>
      <c r="J490" s="135">
        <v>8</v>
      </c>
      <c r="K490" s="135">
        <v>8</v>
      </c>
      <c r="L490" s="135">
        <v>40</v>
      </c>
      <c r="M490" s="135">
        <v>83</v>
      </c>
      <c r="N490" s="135">
        <v>3.2</v>
      </c>
      <c r="O490" s="135">
        <v>3.9</v>
      </c>
      <c r="P490" s="135">
        <v>1.6</v>
      </c>
    </row>
    <row r="491" spans="1:16" x14ac:dyDescent="0.3">
      <c r="A491" s="135" t="s">
        <v>548</v>
      </c>
      <c r="B491" s="135" t="s">
        <v>399</v>
      </c>
      <c r="C491" s="135" t="s">
        <v>404</v>
      </c>
      <c r="D491" s="135" t="s">
        <v>1901</v>
      </c>
      <c r="E491" s="135" t="s">
        <v>1722</v>
      </c>
      <c r="F491" s="135">
        <v>2500</v>
      </c>
      <c r="G491" s="135">
        <v>0</v>
      </c>
      <c r="H491" s="135">
        <v>0</v>
      </c>
      <c r="J491" s="135">
        <v>0</v>
      </c>
      <c r="K491" s="135">
        <v>0</v>
      </c>
      <c r="L491" s="135">
        <v>40</v>
      </c>
      <c r="M491" s="135">
        <v>0</v>
      </c>
      <c r="N491" s="135">
        <v>0</v>
      </c>
    </row>
    <row r="492" spans="1:16" x14ac:dyDescent="0.3">
      <c r="A492" s="135" t="s">
        <v>552</v>
      </c>
      <c r="B492" s="135" t="s">
        <v>399</v>
      </c>
      <c r="C492" s="135" t="s">
        <v>50</v>
      </c>
      <c r="D492" s="135" t="s">
        <v>2524</v>
      </c>
      <c r="E492" s="135" t="s">
        <v>1729</v>
      </c>
      <c r="F492" s="135">
        <v>2500</v>
      </c>
      <c r="G492" s="135">
        <v>0</v>
      </c>
      <c r="H492" s="135">
        <v>0</v>
      </c>
      <c r="J492" s="135">
        <v>0</v>
      </c>
      <c r="K492" s="135">
        <v>0</v>
      </c>
      <c r="L492" s="135">
        <v>40</v>
      </c>
      <c r="M492" s="135">
        <v>0</v>
      </c>
      <c r="N492" s="135">
        <v>0</v>
      </c>
    </row>
    <row r="493" spans="1:16" x14ac:dyDescent="0.3">
      <c r="A493" s="135" t="s">
        <v>558</v>
      </c>
      <c r="B493" s="135" t="s">
        <v>399</v>
      </c>
      <c r="C493" s="135" t="s">
        <v>50</v>
      </c>
      <c r="D493" s="135" t="s">
        <v>2524</v>
      </c>
      <c r="E493" s="135" t="s">
        <v>1729</v>
      </c>
      <c r="F493" s="135">
        <v>2500</v>
      </c>
      <c r="G493" s="135">
        <v>0</v>
      </c>
      <c r="H493" s="135">
        <v>0</v>
      </c>
      <c r="J493" s="135">
        <v>0</v>
      </c>
      <c r="K493" s="135">
        <v>0</v>
      </c>
      <c r="L493" s="135">
        <v>40</v>
      </c>
      <c r="M493" s="135">
        <v>0</v>
      </c>
      <c r="N493" s="135">
        <v>0</v>
      </c>
    </row>
    <row r="494" spans="1:16" x14ac:dyDescent="0.3">
      <c r="A494" s="135" t="s">
        <v>381</v>
      </c>
      <c r="B494" s="135" t="s">
        <v>399</v>
      </c>
      <c r="C494" s="135" t="s">
        <v>34</v>
      </c>
      <c r="D494" s="135" t="s">
        <v>2534</v>
      </c>
      <c r="E494" s="135" t="s">
        <v>1723</v>
      </c>
      <c r="F494" s="135">
        <v>2500</v>
      </c>
      <c r="G494" s="135">
        <v>0</v>
      </c>
      <c r="H494" s="135">
        <v>4.2</v>
      </c>
      <c r="I494" s="135">
        <v>1.2</v>
      </c>
      <c r="J494" s="135">
        <v>0</v>
      </c>
      <c r="K494" s="135">
        <v>0</v>
      </c>
      <c r="L494" s="135">
        <v>40</v>
      </c>
      <c r="M494" s="135">
        <v>0</v>
      </c>
      <c r="N494" s="135">
        <v>0</v>
      </c>
    </row>
    <row r="495" spans="1:16" x14ac:dyDescent="0.3">
      <c r="A495" s="135" t="s">
        <v>540</v>
      </c>
      <c r="B495" s="135" t="s">
        <v>399</v>
      </c>
      <c r="C495" s="135" t="s">
        <v>397</v>
      </c>
      <c r="D495" s="135" t="s">
        <v>1903</v>
      </c>
      <c r="E495" s="135" t="s">
        <v>1706</v>
      </c>
      <c r="F495" s="135">
        <v>2500</v>
      </c>
      <c r="G495" s="135">
        <v>0</v>
      </c>
      <c r="H495" s="135">
        <v>0</v>
      </c>
      <c r="J495" s="135">
        <v>0</v>
      </c>
      <c r="K495" s="135">
        <v>0</v>
      </c>
      <c r="L495" s="135">
        <v>40</v>
      </c>
      <c r="M495" s="135">
        <v>0</v>
      </c>
      <c r="N495" s="135">
        <v>0</v>
      </c>
    </row>
    <row r="496" spans="1:16" x14ac:dyDescent="0.3">
      <c r="A496" s="135" t="s">
        <v>543</v>
      </c>
      <c r="B496" s="135" t="s">
        <v>399</v>
      </c>
      <c r="C496" s="135" t="s">
        <v>34</v>
      </c>
      <c r="D496" s="135" t="s">
        <v>2534</v>
      </c>
      <c r="E496" s="135" t="s">
        <v>1723</v>
      </c>
      <c r="F496" s="135">
        <v>2500</v>
      </c>
      <c r="G496" s="135">
        <v>0</v>
      </c>
      <c r="H496" s="135">
        <v>0</v>
      </c>
      <c r="J496" s="135">
        <v>0</v>
      </c>
      <c r="K496" s="135">
        <v>0</v>
      </c>
      <c r="L496" s="135">
        <v>40</v>
      </c>
      <c r="M496" s="135">
        <v>0</v>
      </c>
      <c r="N496" s="135">
        <v>0</v>
      </c>
    </row>
    <row r="497" spans="1:16" x14ac:dyDescent="0.3">
      <c r="A497" s="135" t="s">
        <v>539</v>
      </c>
      <c r="B497" s="135" t="s">
        <v>399</v>
      </c>
      <c r="C497" s="135" t="s">
        <v>46</v>
      </c>
      <c r="D497" s="135" t="s">
        <v>2528</v>
      </c>
      <c r="E497" s="135" t="s">
        <v>1709</v>
      </c>
      <c r="F497" s="135">
        <v>2500</v>
      </c>
      <c r="G497" s="135">
        <v>0</v>
      </c>
      <c r="H497" s="135">
        <v>0</v>
      </c>
      <c r="J497" s="135">
        <v>0</v>
      </c>
      <c r="K497" s="135">
        <v>0</v>
      </c>
      <c r="L497" s="135">
        <v>40</v>
      </c>
      <c r="M497" s="135">
        <v>0</v>
      </c>
      <c r="N497" s="135">
        <v>0</v>
      </c>
    </row>
    <row r="498" spans="1:16" x14ac:dyDescent="0.3">
      <c r="A498" s="135" t="s">
        <v>541</v>
      </c>
      <c r="B498" s="135" t="s">
        <v>399</v>
      </c>
      <c r="C498" s="135" t="s">
        <v>28</v>
      </c>
      <c r="D498" s="135" t="s">
        <v>2527</v>
      </c>
      <c r="E498" s="135" t="s">
        <v>1712</v>
      </c>
      <c r="F498" s="135">
        <v>2500</v>
      </c>
      <c r="G498" s="135">
        <v>0</v>
      </c>
      <c r="H498" s="135">
        <v>0</v>
      </c>
      <c r="J498" s="135">
        <v>0</v>
      </c>
      <c r="K498" s="135">
        <v>0</v>
      </c>
      <c r="L498" s="135">
        <v>40</v>
      </c>
      <c r="M498" s="135">
        <v>0</v>
      </c>
      <c r="N498" s="135">
        <v>0</v>
      </c>
    </row>
    <row r="499" spans="1:16" x14ac:dyDescent="0.3">
      <c r="A499" s="135" t="s">
        <v>365</v>
      </c>
      <c r="B499" s="135" t="s">
        <v>399</v>
      </c>
      <c r="C499" s="135" t="s">
        <v>397</v>
      </c>
      <c r="D499" s="135" t="s">
        <v>1903</v>
      </c>
      <c r="E499" s="135" t="s">
        <v>1706</v>
      </c>
      <c r="F499" s="135">
        <v>2500</v>
      </c>
      <c r="G499" s="135">
        <v>0</v>
      </c>
      <c r="H499" s="135">
        <v>5.2</v>
      </c>
      <c r="I499" s="135">
        <v>2.9</v>
      </c>
      <c r="J499" s="135">
        <v>0</v>
      </c>
      <c r="K499" s="135">
        <v>0</v>
      </c>
      <c r="L499" s="135">
        <v>40</v>
      </c>
      <c r="M499" s="135">
        <v>0</v>
      </c>
      <c r="N499" s="135">
        <v>0</v>
      </c>
    </row>
    <row r="500" spans="1:16" x14ac:dyDescent="0.3">
      <c r="A500" s="135" t="s">
        <v>549</v>
      </c>
      <c r="B500" s="135" t="s">
        <v>399</v>
      </c>
      <c r="C500" s="135" t="s">
        <v>397</v>
      </c>
      <c r="D500" s="135" t="s">
        <v>1903</v>
      </c>
      <c r="E500" s="135" t="s">
        <v>1706</v>
      </c>
      <c r="F500" s="135">
        <v>2500</v>
      </c>
      <c r="G500" s="135">
        <v>0</v>
      </c>
      <c r="H500" s="135">
        <v>0</v>
      </c>
      <c r="J500" s="135">
        <v>0</v>
      </c>
      <c r="K500" s="135">
        <v>0</v>
      </c>
      <c r="L500" s="135">
        <v>40</v>
      </c>
      <c r="M500" s="135">
        <v>0</v>
      </c>
      <c r="N500" s="135">
        <v>0</v>
      </c>
      <c r="O500" s="135">
        <v>3</v>
      </c>
      <c r="P500" s="135">
        <v>1.2</v>
      </c>
    </row>
    <row r="501" spans="1:16" x14ac:dyDescent="0.3">
      <c r="A501" s="135" t="s">
        <v>374</v>
      </c>
      <c r="B501" s="135" t="s">
        <v>399</v>
      </c>
      <c r="C501" s="135" t="s">
        <v>397</v>
      </c>
      <c r="D501" s="135" t="s">
        <v>1903</v>
      </c>
      <c r="E501" s="135" t="s">
        <v>1706</v>
      </c>
      <c r="F501" s="135">
        <v>2500</v>
      </c>
      <c r="G501" s="135">
        <v>0</v>
      </c>
      <c r="H501" s="135">
        <v>4.8</v>
      </c>
      <c r="I501" s="135">
        <v>3.4</v>
      </c>
      <c r="J501" s="135">
        <v>0</v>
      </c>
      <c r="K501" s="135">
        <v>0</v>
      </c>
      <c r="L501" s="135">
        <v>40</v>
      </c>
      <c r="M501" s="135">
        <v>0</v>
      </c>
      <c r="N501" s="135">
        <v>0</v>
      </c>
      <c r="O501" s="135">
        <v>3.4</v>
      </c>
      <c r="P501" s="135">
        <v>1.4</v>
      </c>
    </row>
    <row r="502" spans="1:16" x14ac:dyDescent="0.3">
      <c r="A502" s="135" t="s">
        <v>535</v>
      </c>
      <c r="B502" s="135" t="s">
        <v>399</v>
      </c>
      <c r="C502" s="135" t="s">
        <v>407</v>
      </c>
      <c r="D502" s="135" t="s">
        <v>2540</v>
      </c>
      <c r="E502" s="135" t="s">
        <v>1735</v>
      </c>
      <c r="F502" s="135">
        <v>2500</v>
      </c>
      <c r="G502" s="135">
        <v>0</v>
      </c>
      <c r="H502" s="135">
        <v>0</v>
      </c>
      <c r="J502" s="135">
        <v>0</v>
      </c>
      <c r="K502" s="135">
        <v>0</v>
      </c>
      <c r="L502" s="135">
        <v>40</v>
      </c>
      <c r="M502" s="135">
        <v>0</v>
      </c>
      <c r="N502" s="135">
        <v>0</v>
      </c>
      <c r="O502" s="135">
        <v>2.2999999999999998</v>
      </c>
      <c r="P502" s="135">
        <v>0.9</v>
      </c>
    </row>
    <row r="503" spans="1:16" x14ac:dyDescent="0.3">
      <c r="A503" s="135" t="s">
        <v>1255</v>
      </c>
      <c r="B503" s="135" t="s">
        <v>399</v>
      </c>
      <c r="C503" s="135" t="s">
        <v>46</v>
      </c>
      <c r="D503" s="135" t="s">
        <v>2528</v>
      </c>
      <c r="E503" s="135" t="s">
        <v>1709</v>
      </c>
      <c r="F503" s="135">
        <v>2500</v>
      </c>
      <c r="G503" s="135">
        <v>0</v>
      </c>
      <c r="H503" s="135">
        <v>4.8</v>
      </c>
      <c r="J503" s="135">
        <v>0</v>
      </c>
      <c r="K503" s="135">
        <v>0</v>
      </c>
      <c r="L503" s="135">
        <v>40</v>
      </c>
      <c r="M503" s="135">
        <v>0</v>
      </c>
      <c r="N503" s="135">
        <v>0</v>
      </c>
    </row>
    <row r="504" spans="1:16" x14ac:dyDescent="0.3">
      <c r="A504" s="135" t="s">
        <v>1560</v>
      </c>
      <c r="B504" s="135" t="s">
        <v>399</v>
      </c>
      <c r="C504" s="135" t="s">
        <v>20</v>
      </c>
      <c r="D504" s="135" t="s">
        <v>2523</v>
      </c>
      <c r="E504" s="135" t="s">
        <v>1717</v>
      </c>
      <c r="F504" s="135">
        <v>2500</v>
      </c>
      <c r="G504" s="135">
        <v>0</v>
      </c>
      <c r="H504" s="135">
        <v>0</v>
      </c>
      <c r="J504" s="135">
        <v>0</v>
      </c>
      <c r="K504" s="135">
        <v>0</v>
      </c>
      <c r="L504" s="135">
        <v>40</v>
      </c>
      <c r="M504" s="135">
        <v>0</v>
      </c>
      <c r="N504" s="135">
        <v>0</v>
      </c>
    </row>
    <row r="505" spans="1:16" x14ac:dyDescent="0.3">
      <c r="A505" s="135" t="s">
        <v>551</v>
      </c>
      <c r="B505" s="135" t="s">
        <v>399</v>
      </c>
      <c r="C505" s="135" t="s">
        <v>43</v>
      </c>
      <c r="D505" s="135" t="s">
        <v>1904</v>
      </c>
      <c r="E505" s="135" t="s">
        <v>1710</v>
      </c>
      <c r="F505" s="135">
        <v>2500</v>
      </c>
      <c r="G505" s="135">
        <v>0</v>
      </c>
      <c r="H505" s="135">
        <v>0</v>
      </c>
      <c r="J505" s="135">
        <v>0</v>
      </c>
      <c r="K505" s="135">
        <v>0</v>
      </c>
      <c r="L505" s="135">
        <v>40</v>
      </c>
      <c r="M505" s="135">
        <v>0</v>
      </c>
      <c r="N505" s="135">
        <v>0</v>
      </c>
      <c r="O505" s="135">
        <v>0</v>
      </c>
    </row>
    <row r="506" spans="1:16" x14ac:dyDescent="0.3">
      <c r="A506" s="135" t="s">
        <v>363</v>
      </c>
      <c r="B506" s="135" t="s">
        <v>399</v>
      </c>
      <c r="C506" s="135" t="s">
        <v>402</v>
      </c>
      <c r="D506" s="135" t="s">
        <v>2538</v>
      </c>
      <c r="E506" s="135" t="s">
        <v>1707</v>
      </c>
      <c r="F506" s="135">
        <v>2500</v>
      </c>
      <c r="G506" s="135">
        <v>0</v>
      </c>
      <c r="H506" s="135">
        <v>10.4</v>
      </c>
      <c r="I506" s="135">
        <v>4.5999999999999996</v>
      </c>
      <c r="J506" s="135">
        <v>0</v>
      </c>
      <c r="K506" s="135">
        <v>0</v>
      </c>
      <c r="L506" s="135">
        <v>40</v>
      </c>
      <c r="M506" s="135">
        <v>0</v>
      </c>
      <c r="N506" s="135">
        <v>0</v>
      </c>
    </row>
    <row r="507" spans="1:16" x14ac:dyDescent="0.3">
      <c r="A507" s="135" t="s">
        <v>337</v>
      </c>
      <c r="B507" s="135" t="s">
        <v>399</v>
      </c>
      <c r="C507" s="135" t="s">
        <v>43</v>
      </c>
      <c r="D507" s="135" t="s">
        <v>1904</v>
      </c>
      <c r="E507" s="135" t="s">
        <v>1710</v>
      </c>
      <c r="F507" s="135">
        <v>2500</v>
      </c>
      <c r="G507" s="135">
        <v>0</v>
      </c>
      <c r="H507" s="135">
        <v>8</v>
      </c>
      <c r="I507" s="135">
        <v>6.3</v>
      </c>
      <c r="J507" s="135">
        <v>0</v>
      </c>
      <c r="K507" s="135">
        <v>0</v>
      </c>
      <c r="L507" s="135">
        <v>40</v>
      </c>
      <c r="M507" s="135">
        <v>0</v>
      </c>
      <c r="N507" s="135">
        <v>0</v>
      </c>
      <c r="O507" s="135">
        <v>13.2</v>
      </c>
      <c r="P507" s="135">
        <v>5.3</v>
      </c>
    </row>
    <row r="508" spans="1:16" x14ac:dyDescent="0.3">
      <c r="A508" s="135" t="s">
        <v>545</v>
      </c>
      <c r="B508" s="135" t="s">
        <v>399</v>
      </c>
      <c r="C508" s="135" t="s">
        <v>402</v>
      </c>
      <c r="D508" s="135" t="s">
        <v>2538</v>
      </c>
      <c r="E508" s="135" t="s">
        <v>1707</v>
      </c>
      <c r="F508" s="135">
        <v>2500</v>
      </c>
      <c r="G508" s="135">
        <v>0</v>
      </c>
      <c r="H508" s="135">
        <v>0</v>
      </c>
      <c r="J508" s="135">
        <v>0</v>
      </c>
      <c r="K508" s="135">
        <v>0</v>
      </c>
      <c r="L508" s="135">
        <v>40</v>
      </c>
      <c r="M508" s="135">
        <v>0</v>
      </c>
      <c r="N508" s="135">
        <v>0</v>
      </c>
    </row>
    <row r="509" spans="1:16" x14ac:dyDescent="0.3">
      <c r="A509" s="135" t="s">
        <v>359</v>
      </c>
      <c r="B509" s="135" t="s">
        <v>399</v>
      </c>
      <c r="C509" s="135" t="s">
        <v>43</v>
      </c>
      <c r="D509" s="135" t="s">
        <v>1904</v>
      </c>
      <c r="E509" s="135" t="s">
        <v>1710</v>
      </c>
      <c r="F509" s="135">
        <v>2500</v>
      </c>
      <c r="G509" s="135">
        <v>0</v>
      </c>
      <c r="H509" s="135">
        <v>5.6</v>
      </c>
      <c r="I509" s="135">
        <v>3</v>
      </c>
      <c r="J509" s="135">
        <v>0</v>
      </c>
      <c r="K509" s="135">
        <v>0</v>
      </c>
      <c r="L509" s="135">
        <v>40</v>
      </c>
      <c r="M509" s="135">
        <v>0</v>
      </c>
      <c r="N509" s="135">
        <v>0</v>
      </c>
      <c r="O509" s="135">
        <v>0</v>
      </c>
    </row>
    <row r="510" spans="1:16" x14ac:dyDescent="0.3">
      <c r="A510" s="135" t="s">
        <v>342</v>
      </c>
      <c r="B510" s="135" t="s">
        <v>399</v>
      </c>
      <c r="C510" s="135" t="s">
        <v>24</v>
      </c>
      <c r="D510" s="135" t="s">
        <v>1902</v>
      </c>
      <c r="E510" s="135" t="s">
        <v>1708</v>
      </c>
      <c r="F510" s="135">
        <v>2500</v>
      </c>
      <c r="G510" s="135">
        <v>0</v>
      </c>
      <c r="H510" s="135">
        <v>9</v>
      </c>
      <c r="I510" s="135">
        <v>6.4</v>
      </c>
      <c r="J510" s="135">
        <v>0</v>
      </c>
      <c r="K510" s="135">
        <v>0</v>
      </c>
      <c r="L510" s="135">
        <v>40</v>
      </c>
      <c r="M510" s="135">
        <v>37</v>
      </c>
      <c r="N510" s="135">
        <v>0</v>
      </c>
      <c r="O510" s="135">
        <v>3.5</v>
      </c>
      <c r="P510" s="135">
        <v>1.4</v>
      </c>
    </row>
    <row r="511" spans="1:16" x14ac:dyDescent="0.3">
      <c r="A511" s="135" t="s">
        <v>378</v>
      </c>
      <c r="B511" s="135" t="s">
        <v>399</v>
      </c>
      <c r="C511" s="135" t="s">
        <v>10</v>
      </c>
      <c r="D511" s="135" t="s">
        <v>2542</v>
      </c>
      <c r="E511" s="135" t="s">
        <v>1727</v>
      </c>
      <c r="F511" s="135">
        <v>2500</v>
      </c>
      <c r="G511" s="135">
        <v>0</v>
      </c>
      <c r="H511" s="135">
        <v>5.8</v>
      </c>
      <c r="I511" s="135">
        <v>1.5</v>
      </c>
      <c r="J511" s="135">
        <v>0</v>
      </c>
      <c r="K511" s="135">
        <v>0</v>
      </c>
      <c r="L511" s="135">
        <v>40</v>
      </c>
      <c r="M511" s="135">
        <v>0</v>
      </c>
      <c r="N511" s="135">
        <v>0</v>
      </c>
    </row>
    <row r="512" spans="1:16" x14ac:dyDescent="0.3">
      <c r="A512" s="135" t="s">
        <v>352</v>
      </c>
      <c r="B512" s="135" t="s">
        <v>399</v>
      </c>
      <c r="C512" s="135" t="s">
        <v>24</v>
      </c>
      <c r="D512" s="135" t="s">
        <v>1902</v>
      </c>
      <c r="E512" s="135" t="s">
        <v>1708</v>
      </c>
      <c r="F512" s="135">
        <v>2500</v>
      </c>
      <c r="G512" s="135">
        <v>0</v>
      </c>
      <c r="H512" s="135">
        <v>10.4</v>
      </c>
      <c r="I512" s="135">
        <v>3.6</v>
      </c>
      <c r="J512" s="135">
        <v>0</v>
      </c>
      <c r="K512" s="135">
        <v>0</v>
      </c>
      <c r="L512" s="135">
        <v>40</v>
      </c>
      <c r="M512" s="135">
        <v>0</v>
      </c>
      <c r="N512" s="135">
        <v>0</v>
      </c>
      <c r="O512" s="135">
        <v>0</v>
      </c>
    </row>
    <row r="513" spans="1:16" x14ac:dyDescent="0.3">
      <c r="A513" s="135" t="s">
        <v>369</v>
      </c>
      <c r="B513" s="135" t="s">
        <v>399</v>
      </c>
      <c r="C513" s="135" t="s">
        <v>10</v>
      </c>
      <c r="D513" s="135" t="s">
        <v>2542</v>
      </c>
      <c r="E513" s="135" t="s">
        <v>1727</v>
      </c>
      <c r="F513" s="135">
        <v>2500</v>
      </c>
      <c r="G513" s="135">
        <v>0</v>
      </c>
      <c r="H513" s="135">
        <v>4.4000000000000004</v>
      </c>
      <c r="I513" s="135">
        <v>1.6</v>
      </c>
      <c r="J513" s="135">
        <v>0</v>
      </c>
      <c r="K513" s="135">
        <v>0</v>
      </c>
      <c r="L513" s="135">
        <v>40</v>
      </c>
      <c r="M513" s="135">
        <v>0</v>
      </c>
      <c r="N513" s="135">
        <v>0</v>
      </c>
      <c r="O513" s="135">
        <v>3.8</v>
      </c>
      <c r="P513" s="135">
        <v>1.5</v>
      </c>
    </row>
    <row r="514" spans="1:16" x14ac:dyDescent="0.3">
      <c r="A514" s="135" t="s">
        <v>555</v>
      </c>
      <c r="B514" s="135" t="s">
        <v>399</v>
      </c>
      <c r="C514" s="135" t="s">
        <v>14</v>
      </c>
      <c r="D514" s="135" t="s">
        <v>2545</v>
      </c>
      <c r="E514" s="135" t="s">
        <v>1724</v>
      </c>
      <c r="F514" s="135">
        <v>2500</v>
      </c>
      <c r="G514" s="135">
        <v>0</v>
      </c>
      <c r="H514" s="135">
        <v>0</v>
      </c>
      <c r="J514" s="135">
        <v>0</v>
      </c>
      <c r="K514" s="135">
        <v>0</v>
      </c>
      <c r="L514" s="135">
        <v>40</v>
      </c>
      <c r="M514" s="135">
        <v>0</v>
      </c>
      <c r="N514" s="135">
        <v>0</v>
      </c>
    </row>
    <row r="515" spans="1:16" x14ac:dyDescent="0.3">
      <c r="A515" s="135" t="s">
        <v>361</v>
      </c>
      <c r="B515" s="135" t="s">
        <v>399</v>
      </c>
      <c r="C515" s="135" t="s">
        <v>561</v>
      </c>
      <c r="D515" s="135" t="s">
        <v>1906</v>
      </c>
      <c r="E515" s="135" t="s">
        <v>1736</v>
      </c>
      <c r="F515" s="135">
        <v>2500</v>
      </c>
      <c r="G515" s="135">
        <v>0</v>
      </c>
      <c r="H515" s="135">
        <v>7.8</v>
      </c>
      <c r="I515" s="135">
        <v>2.6</v>
      </c>
      <c r="J515" s="135">
        <v>0</v>
      </c>
      <c r="K515" s="135">
        <v>0</v>
      </c>
      <c r="L515" s="135">
        <v>40</v>
      </c>
      <c r="M515" s="135">
        <v>53</v>
      </c>
      <c r="N515" s="135">
        <v>0</v>
      </c>
      <c r="O515" s="135">
        <v>5</v>
      </c>
      <c r="P515" s="135">
        <v>2</v>
      </c>
    </row>
    <row r="516" spans="1:16" x14ac:dyDescent="0.3">
      <c r="A516" s="135" t="s">
        <v>330</v>
      </c>
      <c r="B516" s="135" t="s">
        <v>399</v>
      </c>
      <c r="C516" s="135" t="s">
        <v>32</v>
      </c>
      <c r="D516" s="135" t="s">
        <v>2544</v>
      </c>
      <c r="E516" s="135" t="s">
        <v>1734</v>
      </c>
      <c r="F516" s="135">
        <v>2500</v>
      </c>
      <c r="G516" s="135">
        <v>0</v>
      </c>
      <c r="H516" s="135">
        <v>17.2</v>
      </c>
      <c r="I516" s="135">
        <v>10.1</v>
      </c>
      <c r="J516" s="135">
        <v>4.96</v>
      </c>
      <c r="K516" s="135">
        <v>4.96</v>
      </c>
      <c r="L516" s="135">
        <v>40</v>
      </c>
      <c r="M516" s="135">
        <v>0</v>
      </c>
      <c r="N516" s="135">
        <v>2</v>
      </c>
    </row>
    <row r="517" spans="1:16" x14ac:dyDescent="0.3">
      <c r="A517" s="135" t="s">
        <v>484</v>
      </c>
      <c r="B517" s="135" t="s">
        <v>396</v>
      </c>
      <c r="C517" s="135" t="s">
        <v>561</v>
      </c>
      <c r="D517" s="135" t="s">
        <v>1906</v>
      </c>
      <c r="E517" s="135" t="s">
        <v>1709</v>
      </c>
      <c r="F517" s="135">
        <v>2500</v>
      </c>
      <c r="G517" s="135">
        <v>0</v>
      </c>
      <c r="H517" s="135">
        <v>0</v>
      </c>
      <c r="J517" s="135">
        <v>0</v>
      </c>
      <c r="K517" s="135">
        <v>0</v>
      </c>
      <c r="L517" s="135">
        <v>40</v>
      </c>
      <c r="M517" s="135">
        <v>0</v>
      </c>
      <c r="N517" s="135">
        <v>0</v>
      </c>
    </row>
    <row r="518" spans="1:16" x14ac:dyDescent="0.3">
      <c r="A518" s="135" t="s">
        <v>553</v>
      </c>
      <c r="B518" s="135" t="s">
        <v>399</v>
      </c>
      <c r="C518" s="135" t="s">
        <v>561</v>
      </c>
      <c r="D518" s="135" t="s">
        <v>1906</v>
      </c>
      <c r="E518" s="135" t="s">
        <v>1736</v>
      </c>
      <c r="F518" s="135">
        <v>2500</v>
      </c>
      <c r="G518" s="135">
        <v>0</v>
      </c>
      <c r="H518" s="135">
        <v>0</v>
      </c>
      <c r="J518" s="135">
        <v>0</v>
      </c>
      <c r="K518" s="135">
        <v>0</v>
      </c>
      <c r="L518" s="135">
        <v>40</v>
      </c>
      <c r="M518" s="135">
        <v>0</v>
      </c>
      <c r="N518" s="135">
        <v>0</v>
      </c>
    </row>
    <row r="519" spans="1:16" x14ac:dyDescent="0.3">
      <c r="A519" s="135" t="s">
        <v>350</v>
      </c>
      <c r="B519" s="135" t="s">
        <v>399</v>
      </c>
      <c r="C519" s="135" t="s">
        <v>32</v>
      </c>
      <c r="D519" s="135" t="s">
        <v>2544</v>
      </c>
      <c r="E519" s="135" t="s">
        <v>1734</v>
      </c>
      <c r="F519" s="135">
        <v>2500</v>
      </c>
      <c r="G519" s="135">
        <v>0</v>
      </c>
      <c r="H519" s="135">
        <v>8.1999999999999993</v>
      </c>
      <c r="I519" s="135">
        <v>5.4</v>
      </c>
      <c r="J519" s="135">
        <v>0</v>
      </c>
      <c r="K519" s="135">
        <v>0</v>
      </c>
      <c r="L519" s="135">
        <v>40</v>
      </c>
      <c r="M519" s="135">
        <v>0</v>
      </c>
      <c r="N519" s="135">
        <v>0</v>
      </c>
    </row>
    <row r="520" spans="1:16" x14ac:dyDescent="0.3">
      <c r="A520" s="135" t="s">
        <v>579</v>
      </c>
      <c r="B520" s="135" t="s">
        <v>459</v>
      </c>
      <c r="C520" s="135" t="s">
        <v>32</v>
      </c>
      <c r="D520" s="135" t="s">
        <v>2544</v>
      </c>
      <c r="E520" s="135" t="s">
        <v>1728</v>
      </c>
      <c r="F520" s="135">
        <v>2500</v>
      </c>
      <c r="G520" s="135">
        <v>2.9</v>
      </c>
      <c r="H520" s="135">
        <v>17.600000000000001</v>
      </c>
      <c r="I520" s="135">
        <v>5.4</v>
      </c>
      <c r="J520" s="135">
        <v>7.84</v>
      </c>
      <c r="K520" s="135">
        <v>7.84</v>
      </c>
      <c r="L520" s="135">
        <v>40</v>
      </c>
      <c r="M520" s="135">
        <v>39</v>
      </c>
      <c r="N520" s="135">
        <v>3.1</v>
      </c>
      <c r="O520" s="135">
        <v>13</v>
      </c>
      <c r="P520" s="135">
        <v>5.2</v>
      </c>
    </row>
    <row r="521" spans="1:16" x14ac:dyDescent="0.3">
      <c r="A521" s="135" t="s">
        <v>2548</v>
      </c>
      <c r="B521" s="135" t="s">
        <v>399</v>
      </c>
      <c r="C521" s="135" t="s">
        <v>26</v>
      </c>
      <c r="D521" s="135" t="s">
        <v>2539</v>
      </c>
      <c r="E521" s="135" t="s">
        <v>1728</v>
      </c>
      <c r="F521" s="135">
        <v>2500</v>
      </c>
      <c r="G521" s="135">
        <v>0</v>
      </c>
      <c r="H521" s="135">
        <v>8</v>
      </c>
      <c r="I521" s="135">
        <v>2.4</v>
      </c>
      <c r="J521" s="135">
        <v>0</v>
      </c>
      <c r="K521" s="135">
        <v>0</v>
      </c>
      <c r="L521" s="135">
        <v>40</v>
      </c>
      <c r="M521" s="135">
        <v>0</v>
      </c>
      <c r="N521" s="135">
        <v>0</v>
      </c>
    </row>
    <row r="522" spans="1:16" x14ac:dyDescent="0.3">
      <c r="A522" s="135" t="s">
        <v>310</v>
      </c>
      <c r="B522" s="135" t="s">
        <v>399</v>
      </c>
      <c r="C522" s="135" t="s">
        <v>395</v>
      </c>
      <c r="D522" s="135" t="s">
        <v>2531</v>
      </c>
      <c r="E522" s="135" t="s">
        <v>1726</v>
      </c>
      <c r="F522" s="135">
        <v>2500</v>
      </c>
      <c r="G522" s="135">
        <v>0</v>
      </c>
      <c r="H522" s="135">
        <v>11</v>
      </c>
      <c r="I522" s="135">
        <v>4.5</v>
      </c>
      <c r="J522" s="135">
        <v>0</v>
      </c>
      <c r="K522" s="135">
        <v>0</v>
      </c>
      <c r="L522" s="135">
        <v>40</v>
      </c>
      <c r="M522" s="135">
        <v>0</v>
      </c>
      <c r="N522" s="135">
        <v>0</v>
      </c>
      <c r="O522" s="135">
        <v>2.2999999999999998</v>
      </c>
      <c r="P522" s="135">
        <v>0.9</v>
      </c>
    </row>
    <row r="523" spans="1:16" x14ac:dyDescent="0.3">
      <c r="A523" s="135" t="s">
        <v>542</v>
      </c>
      <c r="B523" s="135" t="s">
        <v>399</v>
      </c>
      <c r="C523" s="135" t="s">
        <v>26</v>
      </c>
      <c r="D523" s="135" t="s">
        <v>2539</v>
      </c>
      <c r="E523" s="135" t="s">
        <v>1728</v>
      </c>
      <c r="F523" s="135">
        <v>2500</v>
      </c>
      <c r="G523" s="135">
        <v>0</v>
      </c>
      <c r="H523" s="135">
        <v>0</v>
      </c>
      <c r="J523" s="135">
        <v>0</v>
      </c>
      <c r="K523" s="135">
        <v>0</v>
      </c>
      <c r="L523" s="135">
        <v>40</v>
      </c>
      <c r="M523" s="135">
        <v>0</v>
      </c>
      <c r="N523" s="135">
        <v>0</v>
      </c>
    </row>
    <row r="524" spans="1:16" x14ac:dyDescent="0.3">
      <c r="A524" s="135" t="s">
        <v>557</v>
      </c>
      <c r="B524" s="135" t="s">
        <v>399</v>
      </c>
      <c r="C524" s="135" t="s">
        <v>26</v>
      </c>
      <c r="D524" s="135" t="s">
        <v>2539</v>
      </c>
      <c r="E524" s="135" t="s">
        <v>1728</v>
      </c>
      <c r="F524" s="135">
        <v>2500</v>
      </c>
      <c r="G524" s="135">
        <v>0</v>
      </c>
      <c r="H524" s="135">
        <v>0</v>
      </c>
      <c r="J524" s="135">
        <v>0</v>
      </c>
      <c r="K524" s="135">
        <v>0</v>
      </c>
      <c r="L524" s="135">
        <v>40</v>
      </c>
      <c r="M524" s="135">
        <v>0</v>
      </c>
      <c r="N524" s="135">
        <v>0</v>
      </c>
      <c r="O524" s="135">
        <v>2.2999999999999998</v>
      </c>
      <c r="P524" s="135">
        <v>0.9</v>
      </c>
    </row>
    <row r="525" spans="1:16" x14ac:dyDescent="0.3">
      <c r="A525" s="135" t="s">
        <v>547</v>
      </c>
      <c r="B525" s="135" t="s">
        <v>399</v>
      </c>
      <c r="C525" s="135" t="s">
        <v>14</v>
      </c>
      <c r="D525" s="135" t="s">
        <v>2545</v>
      </c>
      <c r="E525" s="135" t="s">
        <v>1724</v>
      </c>
      <c r="F525" s="135">
        <v>2500</v>
      </c>
      <c r="G525" s="135">
        <v>0</v>
      </c>
      <c r="H525" s="135">
        <v>0</v>
      </c>
      <c r="J525" s="135">
        <v>0</v>
      </c>
      <c r="K525" s="135">
        <v>0</v>
      </c>
      <c r="L525" s="135">
        <v>40</v>
      </c>
      <c r="M525" s="135">
        <v>0</v>
      </c>
      <c r="N525" s="135">
        <v>0</v>
      </c>
    </row>
    <row r="526" spans="1:16" x14ac:dyDescent="0.3">
      <c r="A526" s="135" t="s">
        <v>362</v>
      </c>
      <c r="B526" s="135" t="s">
        <v>399</v>
      </c>
      <c r="C526" s="135" t="s">
        <v>57</v>
      </c>
      <c r="D526" s="135" t="s">
        <v>2541</v>
      </c>
      <c r="E526" s="135" t="s">
        <v>1720</v>
      </c>
      <c r="F526" s="135">
        <v>2500</v>
      </c>
      <c r="G526" s="135">
        <v>0</v>
      </c>
      <c r="H526" s="135">
        <v>7.6</v>
      </c>
      <c r="I526" s="135">
        <v>3</v>
      </c>
      <c r="J526" s="135">
        <v>0</v>
      </c>
      <c r="K526" s="135">
        <v>0</v>
      </c>
      <c r="L526" s="135">
        <v>40</v>
      </c>
      <c r="M526" s="135">
        <v>0</v>
      </c>
      <c r="N526" s="135">
        <v>0</v>
      </c>
      <c r="O526" s="135">
        <v>8.6</v>
      </c>
      <c r="P526" s="135">
        <v>3.4</v>
      </c>
    </row>
    <row r="527" spans="1:16" x14ac:dyDescent="0.3">
      <c r="A527" s="135" t="s">
        <v>371</v>
      </c>
      <c r="B527" s="135" t="s">
        <v>399</v>
      </c>
      <c r="C527" s="135" t="s">
        <v>24</v>
      </c>
      <c r="D527" s="135" t="s">
        <v>1902</v>
      </c>
      <c r="E527" s="135" t="s">
        <v>1708</v>
      </c>
      <c r="F527" s="135">
        <v>2500</v>
      </c>
      <c r="G527" s="135">
        <v>0</v>
      </c>
      <c r="H527" s="135">
        <v>9.6</v>
      </c>
      <c r="I527" s="135">
        <v>4.8</v>
      </c>
      <c r="J527" s="135">
        <v>0</v>
      </c>
      <c r="K527" s="135">
        <v>0</v>
      </c>
      <c r="L527" s="135">
        <v>40</v>
      </c>
      <c r="M527" s="135">
        <v>0</v>
      </c>
      <c r="N527" s="135">
        <v>0</v>
      </c>
      <c r="O527" s="135">
        <v>1</v>
      </c>
      <c r="P527" s="135">
        <v>0.4</v>
      </c>
    </row>
    <row r="528" spans="1:16" x14ac:dyDescent="0.3">
      <c r="A528" s="135" t="s">
        <v>346</v>
      </c>
      <c r="B528" s="135" t="s">
        <v>399</v>
      </c>
      <c r="C528" s="135" t="s">
        <v>30</v>
      </c>
      <c r="D528" s="135" t="s">
        <v>2543</v>
      </c>
      <c r="E528" s="135" t="s">
        <v>1725</v>
      </c>
      <c r="F528" s="135">
        <v>2500</v>
      </c>
      <c r="G528" s="135">
        <v>0</v>
      </c>
      <c r="H528" s="135">
        <v>9.4</v>
      </c>
      <c r="I528" s="135">
        <v>4.8</v>
      </c>
      <c r="J528" s="135">
        <v>0</v>
      </c>
      <c r="K528" s="135">
        <v>0</v>
      </c>
      <c r="L528" s="135">
        <v>40</v>
      </c>
      <c r="M528" s="135">
        <v>0</v>
      </c>
      <c r="N528" s="135">
        <v>0</v>
      </c>
    </row>
    <row r="529" spans="1:16" x14ac:dyDescent="0.3">
      <c r="A529" s="135" t="s">
        <v>367</v>
      </c>
      <c r="B529" s="135" t="s">
        <v>399</v>
      </c>
      <c r="C529" s="135" t="s">
        <v>4</v>
      </c>
      <c r="D529" s="135" t="s">
        <v>2530</v>
      </c>
      <c r="E529" s="135" t="s">
        <v>1320</v>
      </c>
      <c r="F529" s="135">
        <v>2500</v>
      </c>
      <c r="G529" s="135">
        <v>0</v>
      </c>
      <c r="H529" s="135">
        <v>4.4000000000000004</v>
      </c>
      <c r="I529" s="135">
        <v>2.2999999999999998</v>
      </c>
      <c r="J529" s="135">
        <v>0</v>
      </c>
      <c r="K529" s="135">
        <v>0</v>
      </c>
      <c r="L529" s="135">
        <v>40</v>
      </c>
      <c r="M529" s="135">
        <v>66</v>
      </c>
      <c r="N529" s="135">
        <v>0</v>
      </c>
      <c r="O529" s="135">
        <v>1.4</v>
      </c>
      <c r="P529" s="135">
        <v>0.6</v>
      </c>
    </row>
    <row r="530" spans="1:16" x14ac:dyDescent="0.3">
      <c r="A530" s="135" t="s">
        <v>347</v>
      </c>
      <c r="B530" s="135" t="s">
        <v>399</v>
      </c>
      <c r="C530" s="135" t="s">
        <v>4</v>
      </c>
      <c r="D530" s="135" t="s">
        <v>2530</v>
      </c>
      <c r="E530" s="135" t="s">
        <v>1320</v>
      </c>
      <c r="F530" s="135">
        <v>2500</v>
      </c>
      <c r="G530" s="135">
        <v>0</v>
      </c>
      <c r="H530" s="135">
        <v>13.2</v>
      </c>
      <c r="I530" s="135">
        <v>4.7</v>
      </c>
      <c r="J530" s="135">
        <v>0</v>
      </c>
      <c r="K530" s="135">
        <v>0</v>
      </c>
      <c r="L530" s="135">
        <v>40</v>
      </c>
      <c r="M530" s="135">
        <v>0</v>
      </c>
      <c r="N530" s="135">
        <v>0</v>
      </c>
    </row>
    <row r="531" spans="1:16" x14ac:dyDescent="0.3">
      <c r="A531" s="135" t="s">
        <v>537</v>
      </c>
      <c r="B531" s="135" t="s">
        <v>399</v>
      </c>
      <c r="C531" s="135" t="s">
        <v>30</v>
      </c>
      <c r="D531" s="135" t="s">
        <v>2543</v>
      </c>
      <c r="E531" s="135" t="s">
        <v>1725</v>
      </c>
      <c r="F531" s="135">
        <v>2500</v>
      </c>
      <c r="G531" s="135">
        <v>0</v>
      </c>
      <c r="H531" s="135">
        <v>0</v>
      </c>
      <c r="J531" s="135">
        <v>0</v>
      </c>
      <c r="K531" s="135">
        <v>0</v>
      </c>
      <c r="L531" s="135">
        <v>40</v>
      </c>
      <c r="M531" s="135">
        <v>0</v>
      </c>
      <c r="N531" s="135">
        <v>0</v>
      </c>
    </row>
    <row r="532" spans="1:16" x14ac:dyDescent="0.3">
      <c r="A532" s="135" t="s">
        <v>531</v>
      </c>
      <c r="B532" s="135" t="s">
        <v>399</v>
      </c>
      <c r="C532" s="135" t="s">
        <v>30</v>
      </c>
      <c r="D532" s="135" t="s">
        <v>2543</v>
      </c>
      <c r="E532" s="135" t="s">
        <v>1725</v>
      </c>
      <c r="F532" s="135">
        <v>2500</v>
      </c>
      <c r="G532" s="135">
        <v>0</v>
      </c>
      <c r="H532" s="135">
        <v>11.8</v>
      </c>
      <c r="J532" s="135">
        <v>0</v>
      </c>
      <c r="K532" s="135">
        <v>0</v>
      </c>
      <c r="L532" s="135">
        <v>40</v>
      </c>
      <c r="M532" s="135">
        <v>0</v>
      </c>
      <c r="N532" s="135">
        <v>0</v>
      </c>
      <c r="O532" s="135">
        <v>8.9</v>
      </c>
      <c r="P532" s="135">
        <v>3.6</v>
      </c>
    </row>
    <row r="533" spans="1:16" x14ac:dyDescent="0.3">
      <c r="A533" s="135" t="s">
        <v>380</v>
      </c>
      <c r="B533" s="135" t="s">
        <v>399</v>
      </c>
      <c r="C533" s="135" t="s">
        <v>30</v>
      </c>
      <c r="D533" s="135" t="s">
        <v>2543</v>
      </c>
      <c r="E533" s="135" t="s">
        <v>1725</v>
      </c>
      <c r="F533" s="135">
        <v>2500</v>
      </c>
      <c r="G533" s="135">
        <v>0</v>
      </c>
      <c r="H533" s="135">
        <v>2.6</v>
      </c>
      <c r="I533" s="135">
        <v>1.7</v>
      </c>
      <c r="J533" s="135">
        <v>0</v>
      </c>
      <c r="K533" s="135">
        <v>0</v>
      </c>
      <c r="L533" s="135">
        <v>40</v>
      </c>
      <c r="M533" s="135">
        <v>24</v>
      </c>
      <c r="N533" s="135">
        <v>0</v>
      </c>
      <c r="O533" s="135">
        <v>0</v>
      </c>
    </row>
    <row r="534" spans="1:16" x14ac:dyDescent="0.3">
      <c r="A534" s="135" t="s">
        <v>590</v>
      </c>
      <c r="B534" s="135" t="s">
        <v>459</v>
      </c>
      <c r="C534" s="135" t="s">
        <v>30</v>
      </c>
      <c r="D534" s="135" t="s">
        <v>2543</v>
      </c>
      <c r="E534" s="135" t="s">
        <v>1735</v>
      </c>
      <c r="F534" s="135">
        <v>2500</v>
      </c>
      <c r="G534" s="135">
        <v>2</v>
      </c>
      <c r="H534" s="135">
        <v>14</v>
      </c>
      <c r="I534" s="135">
        <v>5.0999999999999996</v>
      </c>
      <c r="J534" s="135">
        <v>6.02</v>
      </c>
      <c r="K534" s="135">
        <v>6.02</v>
      </c>
      <c r="L534" s="135">
        <v>40</v>
      </c>
      <c r="M534" s="135">
        <v>0</v>
      </c>
      <c r="N534" s="135">
        <v>2.4</v>
      </c>
      <c r="O534" s="135">
        <v>4</v>
      </c>
      <c r="P534" s="135">
        <v>1.6</v>
      </c>
    </row>
    <row r="535" spans="1:16" x14ac:dyDescent="0.3">
      <c r="A535" s="135" t="s">
        <v>1254</v>
      </c>
      <c r="B535" s="135" t="s">
        <v>399</v>
      </c>
      <c r="C535" s="135" t="s">
        <v>18</v>
      </c>
      <c r="D535" s="135" t="s">
        <v>1898</v>
      </c>
      <c r="E535" s="135" t="s">
        <v>1731</v>
      </c>
      <c r="F535" s="135">
        <v>2500</v>
      </c>
      <c r="G535" s="135">
        <v>0</v>
      </c>
      <c r="H535" s="135">
        <v>11.8</v>
      </c>
      <c r="J535" s="135">
        <v>0</v>
      </c>
      <c r="K535" s="135">
        <v>0</v>
      </c>
      <c r="L535" s="135">
        <v>40</v>
      </c>
      <c r="M535" s="135">
        <v>0</v>
      </c>
      <c r="N535" s="135">
        <v>0</v>
      </c>
    </row>
    <row r="536" spans="1:16" x14ac:dyDescent="0.3">
      <c r="A536" s="135" t="s">
        <v>556</v>
      </c>
      <c r="B536" s="135" t="s">
        <v>399</v>
      </c>
      <c r="C536" s="135" t="s">
        <v>37</v>
      </c>
      <c r="D536" s="135" t="s">
        <v>2525</v>
      </c>
      <c r="E536" s="135" t="s">
        <v>1705</v>
      </c>
      <c r="F536" s="135">
        <v>2500</v>
      </c>
      <c r="G536" s="135">
        <v>0</v>
      </c>
      <c r="H536" s="135">
        <v>0</v>
      </c>
      <c r="J536" s="135">
        <v>0</v>
      </c>
      <c r="K536" s="135">
        <v>0</v>
      </c>
      <c r="L536" s="135">
        <v>40</v>
      </c>
      <c r="M536" s="135">
        <v>0</v>
      </c>
      <c r="N536" s="135">
        <v>0</v>
      </c>
    </row>
    <row r="537" spans="1:16" x14ac:dyDescent="0.3">
      <c r="A537" s="135" t="s">
        <v>384</v>
      </c>
      <c r="B537" s="135" t="s">
        <v>399</v>
      </c>
      <c r="C537" s="135" t="s">
        <v>57</v>
      </c>
      <c r="D537" s="135" t="s">
        <v>2541</v>
      </c>
      <c r="E537" s="135" t="s">
        <v>1720</v>
      </c>
      <c r="F537" s="135">
        <v>2500</v>
      </c>
      <c r="G537" s="135">
        <v>0</v>
      </c>
      <c r="H537" s="135">
        <v>5.8</v>
      </c>
      <c r="I537" s="135">
        <v>1.2</v>
      </c>
      <c r="J537" s="135">
        <v>0</v>
      </c>
      <c r="K537" s="135">
        <v>0</v>
      </c>
      <c r="L537" s="135">
        <v>40</v>
      </c>
      <c r="M537" s="135">
        <v>0</v>
      </c>
      <c r="N537" s="135">
        <v>0</v>
      </c>
    </row>
    <row r="538" spans="1:16" x14ac:dyDescent="0.3">
      <c r="A538" s="135" t="s">
        <v>577</v>
      </c>
      <c r="B538" s="135" t="s">
        <v>459</v>
      </c>
      <c r="C538" s="135" t="s">
        <v>16</v>
      </c>
      <c r="D538" s="135" t="s">
        <v>2532</v>
      </c>
      <c r="E538" s="135" t="s">
        <v>1704</v>
      </c>
      <c r="F538" s="135">
        <v>2400</v>
      </c>
      <c r="G538" s="135">
        <v>1</v>
      </c>
      <c r="H538" s="135">
        <v>16.3</v>
      </c>
      <c r="I538" s="135">
        <v>7.6</v>
      </c>
      <c r="J538" s="135">
        <v>6.1</v>
      </c>
      <c r="K538" s="135">
        <v>6.1</v>
      </c>
      <c r="L538" s="135">
        <v>40</v>
      </c>
      <c r="M538" s="135">
        <v>0</v>
      </c>
      <c r="N538" s="135">
        <v>2.5</v>
      </c>
      <c r="O538" s="135">
        <v>10</v>
      </c>
      <c r="P538" s="135">
        <v>4.2</v>
      </c>
    </row>
    <row r="539" spans="1:16" x14ac:dyDescent="0.3">
      <c r="A539" s="135" t="s">
        <v>574</v>
      </c>
      <c r="B539" s="135" t="s">
        <v>459</v>
      </c>
      <c r="C539" s="135" t="s">
        <v>398</v>
      </c>
      <c r="D539" s="135" t="s">
        <v>2546</v>
      </c>
      <c r="E539" s="135" t="s">
        <v>1730</v>
      </c>
      <c r="F539" s="135">
        <v>2400</v>
      </c>
      <c r="G539" s="135">
        <v>0.8</v>
      </c>
      <c r="H539" s="135">
        <v>16.399999999999999</v>
      </c>
      <c r="I539" s="135">
        <v>4.3</v>
      </c>
      <c r="J539" s="135">
        <v>5.97</v>
      </c>
      <c r="K539" s="135">
        <v>5.97</v>
      </c>
      <c r="L539" s="135">
        <v>40</v>
      </c>
      <c r="M539" s="135">
        <v>55</v>
      </c>
      <c r="N539" s="135">
        <v>2.5</v>
      </c>
      <c r="O539" s="135">
        <v>2</v>
      </c>
      <c r="P539" s="135">
        <v>0.8</v>
      </c>
    </row>
    <row r="540" spans="1:16" x14ac:dyDescent="0.3">
      <c r="A540" s="135" t="s">
        <v>585</v>
      </c>
      <c r="B540" s="135" t="s">
        <v>459</v>
      </c>
      <c r="C540" s="135" t="s">
        <v>18</v>
      </c>
      <c r="D540" s="135" t="s">
        <v>1898</v>
      </c>
      <c r="E540" s="135" t="s">
        <v>1718</v>
      </c>
      <c r="F540" s="135">
        <v>2400</v>
      </c>
      <c r="G540" s="135">
        <v>2</v>
      </c>
      <c r="H540" s="135">
        <v>15.5</v>
      </c>
      <c r="I540" s="135">
        <v>7.6</v>
      </c>
      <c r="J540" s="135">
        <v>6.52</v>
      </c>
      <c r="K540" s="135">
        <v>6.52</v>
      </c>
      <c r="L540" s="135">
        <v>40</v>
      </c>
      <c r="M540" s="135">
        <v>0</v>
      </c>
      <c r="N540" s="135">
        <v>2.7</v>
      </c>
      <c r="O540" s="135">
        <v>8</v>
      </c>
      <c r="P540" s="135">
        <v>3.3</v>
      </c>
    </row>
    <row r="541" spans="1:16" x14ac:dyDescent="0.3">
      <c r="A541" s="135" t="s">
        <v>583</v>
      </c>
      <c r="B541" s="135" t="s">
        <v>459</v>
      </c>
      <c r="C541" s="135" t="s">
        <v>26</v>
      </c>
      <c r="D541" s="135" t="s">
        <v>2539</v>
      </c>
      <c r="E541" s="135" t="s">
        <v>1733</v>
      </c>
      <c r="F541" s="135">
        <v>2400</v>
      </c>
      <c r="G541" s="135">
        <v>1.3</v>
      </c>
      <c r="H541" s="135">
        <v>17.5</v>
      </c>
      <c r="I541" s="135">
        <v>5.9</v>
      </c>
      <c r="J541" s="135">
        <v>6.67</v>
      </c>
      <c r="K541" s="135">
        <v>6.67</v>
      </c>
      <c r="L541" s="135">
        <v>40</v>
      </c>
      <c r="M541" s="135">
        <v>0</v>
      </c>
      <c r="N541" s="135">
        <v>2.8</v>
      </c>
      <c r="O541" s="135">
        <v>1</v>
      </c>
      <c r="P541" s="135">
        <v>0.4</v>
      </c>
    </row>
    <row r="542" spans="1:16" x14ac:dyDescent="0.3">
      <c r="A542" s="135" t="s">
        <v>592</v>
      </c>
      <c r="B542" s="135" t="s">
        <v>459</v>
      </c>
      <c r="C542" s="135" t="s">
        <v>14</v>
      </c>
      <c r="D542" s="135" t="s">
        <v>2545</v>
      </c>
      <c r="E542" s="135" t="s">
        <v>1705</v>
      </c>
      <c r="F542" s="135">
        <v>2300</v>
      </c>
      <c r="G542" s="135">
        <v>0</v>
      </c>
      <c r="H542" s="135">
        <v>17.399999999999999</v>
      </c>
      <c r="I542" s="135">
        <v>5.3</v>
      </c>
      <c r="J542" s="135">
        <v>5.82</v>
      </c>
      <c r="K542" s="135">
        <v>5.82</v>
      </c>
      <c r="L542" s="135">
        <v>40</v>
      </c>
      <c r="M542" s="135">
        <v>0</v>
      </c>
      <c r="N542" s="135">
        <v>2.5</v>
      </c>
      <c r="O542" s="135">
        <v>12</v>
      </c>
      <c r="P542" s="135">
        <v>5.2</v>
      </c>
    </row>
    <row r="543" spans="1:16" x14ac:dyDescent="0.3">
      <c r="A543" s="135" t="s">
        <v>588</v>
      </c>
      <c r="B543" s="135" t="s">
        <v>459</v>
      </c>
      <c r="C543" s="135" t="s">
        <v>407</v>
      </c>
      <c r="D543" s="135" t="s">
        <v>2540</v>
      </c>
      <c r="E543" s="135" t="s">
        <v>1726</v>
      </c>
      <c r="F543" s="135">
        <v>2300</v>
      </c>
      <c r="G543" s="135">
        <v>1.6</v>
      </c>
      <c r="H543" s="135">
        <v>16.600000000000001</v>
      </c>
      <c r="I543" s="135">
        <v>4.8</v>
      </c>
      <c r="J543" s="135">
        <v>6.6</v>
      </c>
      <c r="K543" s="135">
        <v>6.6</v>
      </c>
      <c r="L543" s="135">
        <v>40</v>
      </c>
      <c r="M543" s="135">
        <v>23</v>
      </c>
      <c r="N543" s="135">
        <v>2.9</v>
      </c>
      <c r="O543" s="135">
        <v>12</v>
      </c>
      <c r="P543" s="135">
        <v>5.2</v>
      </c>
    </row>
    <row r="544" spans="1:16" x14ac:dyDescent="0.3">
      <c r="A544" s="135" t="s">
        <v>591</v>
      </c>
      <c r="B544" s="135" t="s">
        <v>459</v>
      </c>
      <c r="C544" s="135" t="s">
        <v>404</v>
      </c>
      <c r="D544" s="135" t="s">
        <v>1901</v>
      </c>
      <c r="E544" s="135" t="s">
        <v>1731</v>
      </c>
      <c r="F544" s="135">
        <v>2200</v>
      </c>
      <c r="G544" s="135">
        <v>0.4</v>
      </c>
      <c r="H544" s="135">
        <v>14.5</v>
      </c>
      <c r="I544" s="135">
        <v>4.5999999999999996</v>
      </c>
      <c r="J544" s="135">
        <v>5.1100000000000003</v>
      </c>
      <c r="K544" s="135">
        <v>5.1100000000000003</v>
      </c>
      <c r="L544" s="135">
        <v>40</v>
      </c>
      <c r="M544" s="135">
        <v>0</v>
      </c>
      <c r="N544" s="135">
        <v>2.2999999999999998</v>
      </c>
      <c r="O544" s="135">
        <v>-2</v>
      </c>
    </row>
    <row r="545" spans="1:16" x14ac:dyDescent="0.3">
      <c r="A545" s="135" t="s">
        <v>586</v>
      </c>
      <c r="B545" s="135" t="s">
        <v>459</v>
      </c>
      <c r="C545" s="135" t="s">
        <v>50</v>
      </c>
      <c r="D545" s="135" t="s">
        <v>2524</v>
      </c>
      <c r="E545" s="135" t="s">
        <v>1725</v>
      </c>
      <c r="F545" s="135">
        <v>2000</v>
      </c>
      <c r="G545" s="135">
        <v>0</v>
      </c>
      <c r="H545" s="135">
        <v>17.8</v>
      </c>
      <c r="I545" s="135">
        <v>5.7</v>
      </c>
      <c r="J545" s="135">
        <v>4.8499999999999996</v>
      </c>
      <c r="K545" s="135">
        <v>4.8499999999999996</v>
      </c>
      <c r="L545" s="135">
        <v>40</v>
      </c>
      <c r="M545" s="135">
        <v>0</v>
      </c>
      <c r="N545" s="135">
        <v>2.4</v>
      </c>
      <c r="O545" s="135">
        <v>11</v>
      </c>
      <c r="P545" s="135">
        <v>5.5</v>
      </c>
    </row>
    <row r="546" spans="1:16" x14ac:dyDescent="0.3">
      <c r="A546" s="135" t="s">
        <v>578</v>
      </c>
      <c r="B546" s="135" t="s">
        <v>459</v>
      </c>
      <c r="C546" s="135" t="s">
        <v>52</v>
      </c>
      <c r="D546" s="135" t="s">
        <v>1711</v>
      </c>
      <c r="E546" s="135" t="s">
        <v>1712</v>
      </c>
      <c r="F546" s="135">
        <v>2400</v>
      </c>
      <c r="G546" s="135">
        <v>0</v>
      </c>
      <c r="H546" s="135">
        <v>13.6</v>
      </c>
      <c r="I546" s="135">
        <v>4.5999999999999996</v>
      </c>
      <c r="J546" s="135">
        <v>6.14</v>
      </c>
      <c r="K546" s="135">
        <v>4.4000000000000004</v>
      </c>
      <c r="L546" s="135">
        <v>100</v>
      </c>
      <c r="M546" s="135">
        <v>23</v>
      </c>
      <c r="N546" s="135">
        <v>1.83</v>
      </c>
      <c r="O546" s="135">
        <v>4</v>
      </c>
      <c r="P546" s="135">
        <v>1.7</v>
      </c>
    </row>
    <row r="547" spans="1:16" x14ac:dyDescent="0.3">
      <c r="A547" s="135" t="s">
        <v>591</v>
      </c>
      <c r="B547" s="135" t="s">
        <v>459</v>
      </c>
      <c r="C547" s="135" t="s">
        <v>404</v>
      </c>
      <c r="D547" s="135" t="s">
        <v>1898</v>
      </c>
      <c r="E547" s="135" t="s">
        <v>1718</v>
      </c>
      <c r="F547" s="135">
        <v>2300</v>
      </c>
      <c r="G547" s="135">
        <v>0.2</v>
      </c>
      <c r="H547" s="135">
        <v>14.3</v>
      </c>
      <c r="I547" s="135">
        <v>4.5999999999999996</v>
      </c>
      <c r="J547" s="135">
        <v>6.62</v>
      </c>
      <c r="K547" s="135">
        <v>4.93</v>
      </c>
      <c r="L547" s="135">
        <v>100</v>
      </c>
      <c r="M547" s="135">
        <v>0</v>
      </c>
      <c r="N547" s="135">
        <v>2.14</v>
      </c>
      <c r="O547" s="135">
        <v>9</v>
      </c>
      <c r="P547" s="135">
        <v>3.9</v>
      </c>
    </row>
    <row r="548" spans="1:16" x14ac:dyDescent="0.3">
      <c r="A548" s="135" t="s">
        <v>589</v>
      </c>
      <c r="B548" s="135" t="s">
        <v>459</v>
      </c>
      <c r="C548" s="135" t="s">
        <v>561</v>
      </c>
      <c r="D548" s="135" t="s">
        <v>1900</v>
      </c>
      <c r="E548" s="135" t="s">
        <v>1704</v>
      </c>
      <c r="F548" s="135">
        <v>2300</v>
      </c>
      <c r="G548" s="135">
        <v>0</v>
      </c>
      <c r="H548" s="135">
        <v>19.600000000000001</v>
      </c>
      <c r="I548" s="135">
        <v>5.6</v>
      </c>
      <c r="J548" s="135">
        <v>6.73</v>
      </c>
      <c r="K548" s="135">
        <v>6.25</v>
      </c>
      <c r="L548" s="135">
        <v>100</v>
      </c>
      <c r="M548" s="135">
        <v>0</v>
      </c>
      <c r="N548" s="135">
        <v>2.72</v>
      </c>
      <c r="O548" s="135">
        <v>1</v>
      </c>
      <c r="P548" s="135">
        <v>0.4</v>
      </c>
    </row>
    <row r="549" spans="1:16" x14ac:dyDescent="0.3">
      <c r="A549" s="135" t="s">
        <v>586</v>
      </c>
      <c r="B549" s="135" t="s">
        <v>459</v>
      </c>
      <c r="C549" s="135" t="s">
        <v>50</v>
      </c>
      <c r="D549" s="135" t="s">
        <v>1897</v>
      </c>
      <c r="E549" s="135" t="s">
        <v>1735</v>
      </c>
      <c r="F549" s="135">
        <v>2300</v>
      </c>
      <c r="G549" s="135">
        <v>0</v>
      </c>
      <c r="H549" s="135">
        <v>18</v>
      </c>
      <c r="I549" s="135">
        <v>5.7</v>
      </c>
      <c r="J549" s="135">
        <v>5.7</v>
      </c>
      <c r="K549" s="135">
        <v>4.97</v>
      </c>
      <c r="L549" s="135">
        <v>100</v>
      </c>
      <c r="M549" s="135">
        <v>0</v>
      </c>
      <c r="N549" s="135">
        <v>2.16</v>
      </c>
      <c r="O549" s="135">
        <v>0</v>
      </c>
    </row>
    <row r="550" spans="1:16" x14ac:dyDescent="0.3">
      <c r="A550" s="135" t="s">
        <v>590</v>
      </c>
      <c r="B550" s="135" t="s">
        <v>459</v>
      </c>
      <c r="C550" s="135" t="s">
        <v>30</v>
      </c>
      <c r="D550" s="135" t="s">
        <v>1905</v>
      </c>
      <c r="E550" s="135" t="s">
        <v>1720</v>
      </c>
      <c r="F550" s="135">
        <v>2200</v>
      </c>
      <c r="G550" s="135">
        <v>1.3</v>
      </c>
      <c r="H550" s="135">
        <v>13.3</v>
      </c>
      <c r="I550" s="135">
        <v>5.0999999999999996</v>
      </c>
      <c r="J550" s="135">
        <v>6.71</v>
      </c>
      <c r="K550" s="135">
        <v>5.33</v>
      </c>
      <c r="L550" s="135">
        <v>100</v>
      </c>
      <c r="M550" s="135">
        <v>18</v>
      </c>
      <c r="N550" s="135">
        <v>2.42</v>
      </c>
      <c r="O550" s="135">
        <v>7</v>
      </c>
      <c r="P550" s="135">
        <v>3.2</v>
      </c>
    </row>
    <row r="551" spans="1:16" x14ac:dyDescent="0.3">
      <c r="A551" s="135" t="s">
        <v>584</v>
      </c>
      <c r="B551" s="135" t="s">
        <v>459</v>
      </c>
      <c r="C551" s="135" t="s">
        <v>401</v>
      </c>
      <c r="D551" s="135" t="s">
        <v>1721</v>
      </c>
      <c r="E551" s="135" t="s">
        <v>1722</v>
      </c>
      <c r="F551" s="135">
        <v>2200</v>
      </c>
      <c r="G551" s="135">
        <v>0</v>
      </c>
      <c r="H551" s="135">
        <v>14.9</v>
      </c>
      <c r="I551" s="135">
        <v>6.4</v>
      </c>
      <c r="J551" s="135">
        <v>5.87</v>
      </c>
      <c r="K551" s="135">
        <v>4.53</v>
      </c>
      <c r="L551" s="135">
        <v>100</v>
      </c>
      <c r="M551" s="135">
        <v>19</v>
      </c>
      <c r="N551" s="135">
        <v>2.06</v>
      </c>
      <c r="O551" s="135">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C18" sqref="A2:Q41"/>
    </sheetView>
  </sheetViews>
  <sheetFormatPr defaultRowHeight="14.4" x14ac:dyDescent="0.3"/>
  <cols>
    <col min="1" max="1" width="8.88671875" style="135"/>
    <col min="2" max="2" width="16.44140625" style="135" bestFit="1" customWidth="1"/>
    <col min="3" max="6" width="8.88671875" style="135"/>
    <col min="7" max="7" width="9.6640625" style="135" customWidth="1"/>
    <col min="8" max="8" width="9.109375" style="135" customWidth="1"/>
    <col min="9" max="11" width="8.88671875" style="135"/>
    <col min="12" max="12" width="9.6640625" style="135" customWidth="1"/>
    <col min="13" max="13" width="10" style="135" customWidth="1"/>
    <col min="14" max="14" width="9.44140625" style="135" customWidth="1"/>
    <col min="15" max="16384" width="8.88671875" style="135"/>
  </cols>
  <sheetData>
    <row r="1" spans="1:17" x14ac:dyDescent="0.3">
      <c r="A1" s="394" t="s">
        <v>2443</v>
      </c>
      <c r="B1" s="394" t="s">
        <v>1</v>
      </c>
      <c r="C1" s="394" t="s">
        <v>387</v>
      </c>
      <c r="D1" s="394" t="s">
        <v>608</v>
      </c>
      <c r="E1" s="394" t="s">
        <v>419</v>
      </c>
      <c r="F1" s="394" t="s">
        <v>2444</v>
      </c>
      <c r="G1" s="394" t="s">
        <v>1919</v>
      </c>
      <c r="H1" s="394" t="s">
        <v>799</v>
      </c>
      <c r="I1" s="394" t="s">
        <v>605</v>
      </c>
      <c r="J1" s="394" t="s">
        <v>2445</v>
      </c>
      <c r="K1" s="394" t="s">
        <v>2446</v>
      </c>
      <c r="L1" s="394" t="s">
        <v>800</v>
      </c>
      <c r="M1" s="394" t="s">
        <v>801</v>
      </c>
      <c r="N1" s="394" t="s">
        <v>392</v>
      </c>
      <c r="O1" s="394" t="s">
        <v>2447</v>
      </c>
      <c r="P1" s="394" t="s">
        <v>2448</v>
      </c>
      <c r="Q1" s="394" t="s">
        <v>2449</v>
      </c>
    </row>
    <row r="2" spans="1:17" x14ac:dyDescent="0.3">
      <c r="A2" s="504">
        <v>1</v>
      </c>
      <c r="B2" s="504" t="s">
        <v>8</v>
      </c>
      <c r="C2" s="504" t="s">
        <v>404</v>
      </c>
      <c r="D2" s="504">
        <v>93</v>
      </c>
      <c r="E2" s="504">
        <v>140</v>
      </c>
      <c r="F2" s="282">
        <v>0.66400000000000003</v>
      </c>
      <c r="G2" s="504">
        <v>1062</v>
      </c>
      <c r="H2" s="504">
        <v>8</v>
      </c>
      <c r="I2" s="504">
        <v>1</v>
      </c>
      <c r="J2" s="504">
        <v>7.6</v>
      </c>
      <c r="K2" s="504">
        <v>11.4</v>
      </c>
      <c r="L2" s="504">
        <v>4</v>
      </c>
      <c r="M2" s="504">
        <v>14</v>
      </c>
      <c r="N2" s="504">
        <v>0</v>
      </c>
      <c r="O2" s="504">
        <v>3.5</v>
      </c>
      <c r="P2" s="504">
        <v>72</v>
      </c>
      <c r="Q2" s="504">
        <v>24</v>
      </c>
    </row>
    <row r="3" spans="1:17" x14ac:dyDescent="0.3">
      <c r="A3" s="504">
        <v>2</v>
      </c>
      <c r="B3" s="504" t="s">
        <v>25</v>
      </c>
      <c r="C3" s="504" t="s">
        <v>26</v>
      </c>
      <c r="D3" s="504">
        <v>81</v>
      </c>
      <c r="E3" s="504">
        <v>120</v>
      </c>
      <c r="F3" s="282">
        <v>0.67500000000000004</v>
      </c>
      <c r="G3" s="504">
        <v>985</v>
      </c>
      <c r="H3" s="504">
        <v>7</v>
      </c>
      <c r="I3" s="504">
        <v>2</v>
      </c>
      <c r="J3" s="504">
        <v>8.1999999999999993</v>
      </c>
      <c r="K3" s="504">
        <v>12.2</v>
      </c>
      <c r="L3" s="504">
        <v>6</v>
      </c>
      <c r="M3" s="504">
        <v>47</v>
      </c>
      <c r="N3" s="504">
        <v>0</v>
      </c>
      <c r="O3" s="504">
        <v>7.8</v>
      </c>
      <c r="P3" s="504">
        <v>68</v>
      </c>
      <c r="Q3" s="504">
        <v>22.7</v>
      </c>
    </row>
    <row r="4" spans="1:17" x14ac:dyDescent="0.3">
      <c r="A4" s="504">
        <v>3</v>
      </c>
      <c r="B4" s="504" t="s">
        <v>49</v>
      </c>
      <c r="C4" s="504" t="s">
        <v>50</v>
      </c>
      <c r="D4" s="504">
        <v>73</v>
      </c>
      <c r="E4" s="504">
        <v>103</v>
      </c>
      <c r="F4" s="282">
        <v>0.70899999999999996</v>
      </c>
      <c r="G4" s="504">
        <v>970</v>
      </c>
      <c r="H4" s="504">
        <v>7</v>
      </c>
      <c r="I4" s="504">
        <v>1</v>
      </c>
      <c r="J4" s="504">
        <v>9.4</v>
      </c>
      <c r="K4" s="504">
        <v>13.3</v>
      </c>
      <c r="L4" s="504">
        <v>8</v>
      </c>
      <c r="M4" s="504">
        <v>33</v>
      </c>
      <c r="N4" s="504">
        <v>0</v>
      </c>
      <c r="O4" s="504">
        <v>4.0999999999999996</v>
      </c>
      <c r="P4" s="504">
        <v>68</v>
      </c>
      <c r="Q4" s="504">
        <v>22.7</v>
      </c>
    </row>
    <row r="5" spans="1:17" x14ac:dyDescent="0.3">
      <c r="A5" s="504">
        <v>4</v>
      </c>
      <c r="B5" s="504" t="s">
        <v>5</v>
      </c>
      <c r="C5" s="504" t="s">
        <v>395</v>
      </c>
      <c r="D5" s="504">
        <v>55</v>
      </c>
      <c r="E5" s="504">
        <v>94</v>
      </c>
      <c r="F5" s="282">
        <v>0.58499999999999996</v>
      </c>
      <c r="G5" s="504">
        <v>617</v>
      </c>
      <c r="H5" s="504">
        <v>7</v>
      </c>
      <c r="I5" s="504">
        <v>1</v>
      </c>
      <c r="J5" s="504">
        <v>6.6</v>
      </c>
      <c r="K5" s="504">
        <v>11.2</v>
      </c>
      <c r="L5" s="504">
        <v>12</v>
      </c>
      <c r="M5" s="504">
        <v>67</v>
      </c>
      <c r="N5" s="504">
        <v>2</v>
      </c>
      <c r="O5" s="504">
        <v>5.6</v>
      </c>
      <c r="P5" s="504">
        <v>67</v>
      </c>
      <c r="Q5" s="504">
        <v>22.5</v>
      </c>
    </row>
    <row r="6" spans="1:17" x14ac:dyDescent="0.3">
      <c r="A6" s="504">
        <v>5</v>
      </c>
      <c r="B6" s="504" t="s">
        <v>21</v>
      </c>
      <c r="C6" s="504" t="s">
        <v>22</v>
      </c>
      <c r="D6" s="504">
        <v>63</v>
      </c>
      <c r="E6" s="504">
        <v>108</v>
      </c>
      <c r="F6" s="282">
        <v>0.58299999999999996</v>
      </c>
      <c r="G6" s="504">
        <v>809</v>
      </c>
      <c r="H6" s="504">
        <v>5</v>
      </c>
      <c r="I6" s="504">
        <v>5</v>
      </c>
      <c r="J6" s="504">
        <v>7.5</v>
      </c>
      <c r="K6" s="504">
        <v>12.8</v>
      </c>
      <c r="L6" s="504">
        <v>24</v>
      </c>
      <c r="M6" s="504">
        <v>117</v>
      </c>
      <c r="N6" s="504">
        <v>2</v>
      </c>
      <c r="O6" s="504">
        <v>4.9000000000000004</v>
      </c>
      <c r="P6" s="504">
        <v>64</v>
      </c>
      <c r="Q6" s="504">
        <v>21.4</v>
      </c>
    </row>
    <row r="7" spans="1:17" x14ac:dyDescent="0.3">
      <c r="A7" s="504">
        <v>6</v>
      </c>
      <c r="B7" s="504" t="s">
        <v>56</v>
      </c>
      <c r="C7" s="504" t="s">
        <v>57</v>
      </c>
      <c r="D7" s="504">
        <v>73</v>
      </c>
      <c r="E7" s="504">
        <v>113</v>
      </c>
      <c r="F7" s="282">
        <v>0.64600000000000002</v>
      </c>
      <c r="G7" s="504">
        <v>894</v>
      </c>
      <c r="H7" s="504">
        <v>5</v>
      </c>
      <c r="I7" s="504">
        <v>4</v>
      </c>
      <c r="J7" s="504">
        <v>7.9</v>
      </c>
      <c r="K7" s="504">
        <v>12.2</v>
      </c>
      <c r="L7" s="504">
        <v>12</v>
      </c>
      <c r="M7" s="504">
        <v>54</v>
      </c>
      <c r="N7" s="504">
        <v>1</v>
      </c>
      <c r="O7" s="504">
        <v>4.5</v>
      </c>
      <c r="P7" s="504">
        <v>57</v>
      </c>
      <c r="Q7" s="504">
        <v>19.100000000000001</v>
      </c>
    </row>
    <row r="8" spans="1:17" x14ac:dyDescent="0.3">
      <c r="A8" s="504">
        <v>7</v>
      </c>
      <c r="B8" s="504" t="s">
        <v>15</v>
      </c>
      <c r="C8" s="504" t="s">
        <v>16</v>
      </c>
      <c r="D8" s="504">
        <v>76</v>
      </c>
      <c r="E8" s="504">
        <v>124</v>
      </c>
      <c r="F8" s="282">
        <v>0.61299999999999999</v>
      </c>
      <c r="G8" s="504">
        <v>913</v>
      </c>
      <c r="H8" s="504">
        <v>6</v>
      </c>
      <c r="I8" s="504">
        <v>2</v>
      </c>
      <c r="J8" s="504">
        <v>7.4</v>
      </c>
      <c r="K8" s="504">
        <v>12</v>
      </c>
      <c r="L8" s="504">
        <v>6</v>
      </c>
      <c r="M8" s="504">
        <v>43</v>
      </c>
      <c r="N8" s="504">
        <v>0</v>
      </c>
      <c r="O8" s="504">
        <v>7.2</v>
      </c>
      <c r="P8" s="504">
        <v>57</v>
      </c>
      <c r="Q8" s="504">
        <v>18.899999999999999</v>
      </c>
    </row>
    <row r="9" spans="1:17" x14ac:dyDescent="0.3">
      <c r="A9" s="504">
        <v>8</v>
      </c>
      <c r="B9" s="504" t="s">
        <v>44</v>
      </c>
      <c r="C9" s="504" t="s">
        <v>401</v>
      </c>
      <c r="D9" s="504">
        <v>86</v>
      </c>
      <c r="E9" s="504">
        <v>143</v>
      </c>
      <c r="F9" s="282">
        <v>0.60099999999999998</v>
      </c>
      <c r="G9" s="504">
        <v>929</v>
      </c>
      <c r="H9" s="504">
        <v>8</v>
      </c>
      <c r="I9" s="504">
        <v>6</v>
      </c>
      <c r="J9" s="504">
        <v>6.5</v>
      </c>
      <c r="K9" s="504">
        <v>10.8</v>
      </c>
      <c r="L9" s="504">
        <v>11</v>
      </c>
      <c r="M9" s="504">
        <v>25</v>
      </c>
      <c r="N9" s="504">
        <v>0</v>
      </c>
      <c r="O9" s="504">
        <v>2.2999999999999998</v>
      </c>
      <c r="P9" s="504">
        <v>56</v>
      </c>
      <c r="Q9" s="504">
        <v>18.600000000000001</v>
      </c>
    </row>
    <row r="10" spans="1:17" x14ac:dyDescent="0.3">
      <c r="A10" s="504">
        <v>9</v>
      </c>
      <c r="B10" s="504" t="s">
        <v>3</v>
      </c>
      <c r="C10" s="504" t="s">
        <v>4</v>
      </c>
      <c r="D10" s="504">
        <v>79</v>
      </c>
      <c r="E10" s="504">
        <v>118</v>
      </c>
      <c r="F10" s="282">
        <v>0.66900000000000004</v>
      </c>
      <c r="G10" s="504">
        <v>867</v>
      </c>
      <c r="H10" s="504">
        <v>5</v>
      </c>
      <c r="I10" s="504">
        <v>1</v>
      </c>
      <c r="J10" s="504">
        <v>7.3</v>
      </c>
      <c r="K10" s="504">
        <v>11</v>
      </c>
      <c r="L10" s="504">
        <v>5</v>
      </c>
      <c r="M10" s="504">
        <v>25</v>
      </c>
      <c r="N10" s="504">
        <v>0</v>
      </c>
      <c r="O10" s="504">
        <v>5</v>
      </c>
      <c r="P10" s="504">
        <v>55</v>
      </c>
      <c r="Q10" s="504">
        <v>18.399999999999999</v>
      </c>
    </row>
    <row r="11" spans="1:17" x14ac:dyDescent="0.3">
      <c r="A11" s="504">
        <v>10</v>
      </c>
      <c r="B11" s="504" t="s">
        <v>450</v>
      </c>
      <c r="C11" s="504" t="s">
        <v>39</v>
      </c>
      <c r="D11" s="504">
        <v>66</v>
      </c>
      <c r="E11" s="504">
        <v>102</v>
      </c>
      <c r="F11" s="282">
        <v>0.64700000000000002</v>
      </c>
      <c r="G11" s="504">
        <v>769</v>
      </c>
      <c r="H11" s="504">
        <v>5</v>
      </c>
      <c r="I11" s="504">
        <v>0</v>
      </c>
      <c r="J11" s="504">
        <v>7.5</v>
      </c>
      <c r="K11" s="504">
        <v>11.7</v>
      </c>
      <c r="L11" s="504">
        <v>9</v>
      </c>
      <c r="M11" s="504">
        <v>21</v>
      </c>
      <c r="N11" s="504">
        <v>0</v>
      </c>
      <c r="O11" s="504">
        <v>2.2999999999999998</v>
      </c>
      <c r="P11" s="504">
        <v>53</v>
      </c>
      <c r="Q11" s="504">
        <v>17.600000000000001</v>
      </c>
    </row>
    <row r="12" spans="1:17" x14ac:dyDescent="0.3">
      <c r="A12" s="504">
        <v>11</v>
      </c>
      <c r="B12" s="504" t="s">
        <v>444</v>
      </c>
      <c r="C12" s="504" t="s">
        <v>52</v>
      </c>
      <c r="D12" s="504">
        <v>66</v>
      </c>
      <c r="E12" s="504">
        <v>99</v>
      </c>
      <c r="F12" s="282">
        <v>0.66700000000000004</v>
      </c>
      <c r="G12" s="504">
        <v>767</v>
      </c>
      <c r="H12" s="504">
        <v>1</v>
      </c>
      <c r="I12" s="504">
        <v>0</v>
      </c>
      <c r="J12" s="504">
        <v>7.7</v>
      </c>
      <c r="K12" s="504">
        <v>11.6</v>
      </c>
      <c r="L12" s="504">
        <v>7</v>
      </c>
      <c r="M12" s="504">
        <v>54</v>
      </c>
      <c r="N12" s="504">
        <v>2</v>
      </c>
      <c r="O12" s="504">
        <v>7.7</v>
      </c>
      <c r="P12" s="504">
        <v>52</v>
      </c>
      <c r="Q12" s="504">
        <v>17.399999999999999</v>
      </c>
    </row>
    <row r="13" spans="1:17" x14ac:dyDescent="0.3">
      <c r="A13" s="504">
        <v>12</v>
      </c>
      <c r="B13" s="504" t="s">
        <v>40</v>
      </c>
      <c r="C13" s="504" t="s">
        <v>407</v>
      </c>
      <c r="D13" s="504">
        <v>68</v>
      </c>
      <c r="E13" s="504">
        <v>99</v>
      </c>
      <c r="F13" s="282">
        <v>0.68700000000000006</v>
      </c>
      <c r="G13" s="504">
        <v>793</v>
      </c>
      <c r="H13" s="504">
        <v>5</v>
      </c>
      <c r="I13" s="504">
        <v>0</v>
      </c>
      <c r="J13" s="504">
        <v>8</v>
      </c>
      <c r="K13" s="504">
        <v>11.7</v>
      </c>
      <c r="L13" s="504">
        <v>4</v>
      </c>
      <c r="M13" s="504">
        <v>21</v>
      </c>
      <c r="N13" s="504">
        <v>0</v>
      </c>
      <c r="O13" s="504">
        <v>5.3</v>
      </c>
      <c r="P13" s="504">
        <v>50</v>
      </c>
      <c r="Q13" s="504">
        <v>16.600000000000001</v>
      </c>
    </row>
    <row r="14" spans="1:17" x14ac:dyDescent="0.3">
      <c r="A14" s="504">
        <v>13</v>
      </c>
      <c r="B14" s="504" t="s">
        <v>19</v>
      </c>
      <c r="C14" s="504" t="s">
        <v>20</v>
      </c>
      <c r="D14" s="504">
        <v>70</v>
      </c>
      <c r="E14" s="504">
        <v>118</v>
      </c>
      <c r="F14" s="282">
        <v>0.59299999999999997</v>
      </c>
      <c r="G14" s="504">
        <v>816</v>
      </c>
      <c r="H14" s="504">
        <v>6</v>
      </c>
      <c r="I14" s="504">
        <v>4</v>
      </c>
      <c r="J14" s="504">
        <v>6.9</v>
      </c>
      <c r="K14" s="504">
        <v>11.7</v>
      </c>
      <c r="L14" s="504">
        <v>3</v>
      </c>
      <c r="M14" s="504">
        <v>19</v>
      </c>
      <c r="N14" s="504">
        <v>0</v>
      </c>
      <c r="O14" s="504">
        <v>6.3</v>
      </c>
      <c r="P14" s="504">
        <v>49</v>
      </c>
      <c r="Q14" s="504">
        <v>16.2</v>
      </c>
    </row>
    <row r="15" spans="1:17" x14ac:dyDescent="0.3">
      <c r="A15" s="504">
        <v>14</v>
      </c>
      <c r="B15" s="504" t="s">
        <v>17</v>
      </c>
      <c r="C15" s="504" t="s">
        <v>18</v>
      </c>
      <c r="D15" s="504">
        <v>79</v>
      </c>
      <c r="E15" s="504">
        <v>124</v>
      </c>
      <c r="F15" s="282">
        <v>0.63700000000000001</v>
      </c>
      <c r="G15" s="504">
        <v>989</v>
      </c>
      <c r="H15" s="504">
        <v>3</v>
      </c>
      <c r="I15" s="504">
        <v>3</v>
      </c>
      <c r="J15" s="504">
        <v>8</v>
      </c>
      <c r="K15" s="504">
        <v>12.5</v>
      </c>
      <c r="L15" s="504">
        <v>6</v>
      </c>
      <c r="M15" s="504">
        <v>23</v>
      </c>
      <c r="N15" s="504">
        <v>0</v>
      </c>
      <c r="O15" s="504">
        <v>3.8</v>
      </c>
      <c r="P15" s="504">
        <v>48</v>
      </c>
      <c r="Q15" s="504">
        <v>16</v>
      </c>
    </row>
    <row r="16" spans="1:17" x14ac:dyDescent="0.3">
      <c r="A16" s="504">
        <v>15</v>
      </c>
      <c r="B16" s="504" t="s">
        <v>1240</v>
      </c>
      <c r="C16" s="504" t="s">
        <v>70</v>
      </c>
      <c r="D16" s="504">
        <v>63</v>
      </c>
      <c r="E16" s="504">
        <v>94</v>
      </c>
      <c r="F16" s="282">
        <v>0.67</v>
      </c>
      <c r="G16" s="504">
        <v>756</v>
      </c>
      <c r="H16" s="504">
        <v>5</v>
      </c>
      <c r="I16" s="504">
        <v>3</v>
      </c>
      <c r="J16" s="504">
        <v>8</v>
      </c>
      <c r="K16" s="504">
        <v>12</v>
      </c>
      <c r="L16" s="504">
        <v>9</v>
      </c>
      <c r="M16" s="504">
        <v>32</v>
      </c>
      <c r="N16" s="504">
        <v>0</v>
      </c>
      <c r="O16" s="504">
        <v>3.6</v>
      </c>
      <c r="P16" s="504">
        <v>47</v>
      </c>
      <c r="Q16" s="504">
        <v>15.8</v>
      </c>
    </row>
    <row r="17" spans="1:17" x14ac:dyDescent="0.3">
      <c r="A17" s="504">
        <v>16</v>
      </c>
      <c r="B17" s="504" t="s">
        <v>27</v>
      </c>
      <c r="C17" s="504" t="s">
        <v>28</v>
      </c>
      <c r="D17" s="504">
        <v>75</v>
      </c>
      <c r="E17" s="504">
        <v>115</v>
      </c>
      <c r="F17" s="282">
        <v>0.65200000000000002</v>
      </c>
      <c r="G17" s="504">
        <v>938</v>
      </c>
      <c r="H17" s="504">
        <v>2</v>
      </c>
      <c r="I17" s="504">
        <v>2</v>
      </c>
      <c r="J17" s="504">
        <v>8.1999999999999993</v>
      </c>
      <c r="K17" s="504">
        <v>12.5</v>
      </c>
      <c r="L17" s="504">
        <v>11</v>
      </c>
      <c r="M17" s="504">
        <v>54</v>
      </c>
      <c r="N17" s="504">
        <v>0</v>
      </c>
      <c r="O17" s="504">
        <v>4.9000000000000004</v>
      </c>
      <c r="P17" s="504">
        <v>47</v>
      </c>
      <c r="Q17" s="504">
        <v>15.6</v>
      </c>
    </row>
    <row r="18" spans="1:17" x14ac:dyDescent="0.3">
      <c r="A18" s="504">
        <v>17</v>
      </c>
      <c r="B18" s="504" t="s">
        <v>23</v>
      </c>
      <c r="C18" s="504" t="s">
        <v>24</v>
      </c>
      <c r="D18" s="504">
        <v>68</v>
      </c>
      <c r="E18" s="504">
        <v>118</v>
      </c>
      <c r="F18" s="282">
        <v>0.57599999999999996</v>
      </c>
      <c r="G18" s="504">
        <v>866</v>
      </c>
      <c r="H18" s="504">
        <v>5</v>
      </c>
      <c r="I18" s="504">
        <v>4</v>
      </c>
      <c r="J18" s="504">
        <v>7.3</v>
      </c>
      <c r="K18" s="504">
        <v>12.7</v>
      </c>
      <c r="L18" s="504">
        <v>2</v>
      </c>
      <c r="M18" s="504">
        <v>1</v>
      </c>
      <c r="N18" s="504">
        <v>0</v>
      </c>
      <c r="O18" s="504">
        <v>0.5</v>
      </c>
      <c r="P18" s="504">
        <v>47</v>
      </c>
      <c r="Q18" s="504">
        <v>15.6</v>
      </c>
    </row>
    <row r="19" spans="1:17" x14ac:dyDescent="0.3">
      <c r="A19" s="504">
        <v>18</v>
      </c>
      <c r="B19" s="504" t="s">
        <v>9</v>
      </c>
      <c r="C19" s="504" t="s">
        <v>10</v>
      </c>
      <c r="D19" s="504">
        <v>47</v>
      </c>
      <c r="E19" s="504">
        <v>77</v>
      </c>
      <c r="F19" s="282">
        <v>0.61</v>
      </c>
      <c r="G19" s="504">
        <v>527</v>
      </c>
      <c r="H19" s="504">
        <v>3</v>
      </c>
      <c r="I19" s="504">
        <v>2</v>
      </c>
      <c r="J19" s="504">
        <v>6.8</v>
      </c>
      <c r="K19" s="504">
        <v>11.2</v>
      </c>
      <c r="L19" s="504">
        <v>16</v>
      </c>
      <c r="M19" s="504">
        <v>112</v>
      </c>
      <c r="N19" s="504">
        <v>1</v>
      </c>
      <c r="O19" s="504">
        <v>7</v>
      </c>
      <c r="P19" s="504">
        <v>46</v>
      </c>
      <c r="Q19" s="504">
        <v>15.4</v>
      </c>
    </row>
    <row r="20" spans="1:17" x14ac:dyDescent="0.3">
      <c r="A20" s="504">
        <v>19</v>
      </c>
      <c r="B20" s="504" t="s">
        <v>11</v>
      </c>
      <c r="C20" s="504" t="s">
        <v>12</v>
      </c>
      <c r="D20" s="504">
        <v>79</v>
      </c>
      <c r="E20" s="504">
        <v>127</v>
      </c>
      <c r="F20" s="282">
        <v>0.622</v>
      </c>
      <c r="G20" s="504">
        <v>843</v>
      </c>
      <c r="H20" s="504">
        <v>5</v>
      </c>
      <c r="I20" s="504">
        <v>6</v>
      </c>
      <c r="J20" s="504">
        <v>6.6</v>
      </c>
      <c r="K20" s="504">
        <v>10.7</v>
      </c>
      <c r="L20" s="504">
        <v>8</v>
      </c>
      <c r="M20" s="504">
        <v>53</v>
      </c>
      <c r="N20" s="504">
        <v>0</v>
      </c>
      <c r="O20" s="504">
        <v>6.6</v>
      </c>
      <c r="P20" s="504">
        <v>45</v>
      </c>
      <c r="Q20" s="504">
        <v>15</v>
      </c>
    </row>
    <row r="21" spans="1:17" x14ac:dyDescent="0.3">
      <c r="A21" s="504">
        <v>20</v>
      </c>
      <c r="B21" s="504" t="s">
        <v>35</v>
      </c>
      <c r="C21" s="504" t="s">
        <v>397</v>
      </c>
      <c r="D21" s="504">
        <v>79</v>
      </c>
      <c r="E21" s="504">
        <v>118</v>
      </c>
      <c r="F21" s="282">
        <v>0.66900000000000004</v>
      </c>
      <c r="G21" s="504">
        <v>786</v>
      </c>
      <c r="H21" s="504">
        <v>3</v>
      </c>
      <c r="I21" s="504">
        <v>1</v>
      </c>
      <c r="J21" s="504">
        <v>6.7</v>
      </c>
      <c r="K21" s="504">
        <v>9.9</v>
      </c>
      <c r="L21" s="504">
        <v>9</v>
      </c>
      <c r="M21" s="504">
        <v>14</v>
      </c>
      <c r="N21" s="504">
        <v>1</v>
      </c>
      <c r="O21" s="504">
        <v>1.6</v>
      </c>
      <c r="P21" s="504">
        <v>45</v>
      </c>
      <c r="Q21" s="504">
        <v>14.9</v>
      </c>
    </row>
    <row r="22" spans="1:17" x14ac:dyDescent="0.3">
      <c r="A22" s="504">
        <v>21</v>
      </c>
      <c r="B22" s="504" t="s">
        <v>36</v>
      </c>
      <c r="C22" s="504" t="s">
        <v>37</v>
      </c>
      <c r="D22" s="504">
        <v>76</v>
      </c>
      <c r="E22" s="504">
        <v>107</v>
      </c>
      <c r="F22" s="282">
        <v>0.71</v>
      </c>
      <c r="G22" s="504">
        <v>925</v>
      </c>
      <c r="H22" s="504">
        <v>4</v>
      </c>
      <c r="I22" s="504">
        <v>3</v>
      </c>
      <c r="J22" s="504">
        <v>8.6</v>
      </c>
      <c r="K22" s="504">
        <v>12.2</v>
      </c>
      <c r="L22" s="504">
        <v>4</v>
      </c>
      <c r="M22" s="504">
        <v>-4</v>
      </c>
      <c r="N22" s="504">
        <v>0</v>
      </c>
      <c r="O22" s="504">
        <v>-1</v>
      </c>
      <c r="P22" s="504">
        <v>45</v>
      </c>
      <c r="Q22" s="504">
        <v>14.9</v>
      </c>
    </row>
    <row r="23" spans="1:17" x14ac:dyDescent="0.3">
      <c r="A23" s="504">
        <v>22</v>
      </c>
      <c r="B23" s="504" t="s">
        <v>31</v>
      </c>
      <c r="C23" s="504" t="s">
        <v>32</v>
      </c>
      <c r="D23" s="504">
        <v>77</v>
      </c>
      <c r="E23" s="504">
        <v>119</v>
      </c>
      <c r="F23" s="282">
        <v>0.64700000000000002</v>
      </c>
      <c r="G23" s="504">
        <v>774</v>
      </c>
      <c r="H23" s="504">
        <v>3</v>
      </c>
      <c r="I23" s="504">
        <v>4</v>
      </c>
      <c r="J23" s="504">
        <v>6.5</v>
      </c>
      <c r="K23" s="504">
        <v>10.1</v>
      </c>
      <c r="L23" s="504">
        <v>8</v>
      </c>
      <c r="M23" s="504">
        <v>10</v>
      </c>
      <c r="N23" s="504">
        <v>1</v>
      </c>
      <c r="O23" s="504">
        <v>1.3</v>
      </c>
      <c r="P23" s="504">
        <v>40</v>
      </c>
      <c r="Q23" s="504">
        <v>13.3</v>
      </c>
    </row>
    <row r="24" spans="1:17" x14ac:dyDescent="0.3">
      <c r="A24" s="504">
        <v>23</v>
      </c>
      <c r="B24" s="504" t="s">
        <v>47</v>
      </c>
      <c r="C24" s="504" t="s">
        <v>398</v>
      </c>
      <c r="D24" s="504">
        <v>53</v>
      </c>
      <c r="E24" s="504">
        <v>96</v>
      </c>
      <c r="F24" s="282">
        <v>0.55200000000000005</v>
      </c>
      <c r="G24" s="504">
        <v>532</v>
      </c>
      <c r="H24" s="504">
        <v>3</v>
      </c>
      <c r="I24" s="504">
        <v>3</v>
      </c>
      <c r="J24" s="504">
        <v>5.5</v>
      </c>
      <c r="K24" s="504">
        <v>10</v>
      </c>
      <c r="L24" s="504">
        <v>17</v>
      </c>
      <c r="M24" s="504">
        <v>75</v>
      </c>
      <c r="N24" s="504">
        <v>1</v>
      </c>
      <c r="O24" s="504">
        <v>4.4000000000000004</v>
      </c>
      <c r="P24" s="504">
        <v>39</v>
      </c>
      <c r="Q24" s="504">
        <v>13.1</v>
      </c>
    </row>
    <row r="25" spans="1:17" x14ac:dyDescent="0.3">
      <c r="A25" s="504">
        <v>24</v>
      </c>
      <c r="B25" s="504" t="s">
        <v>29</v>
      </c>
      <c r="C25" s="504" t="s">
        <v>30</v>
      </c>
      <c r="D25" s="504">
        <v>67</v>
      </c>
      <c r="E25" s="504">
        <v>107</v>
      </c>
      <c r="F25" s="282">
        <v>0.626</v>
      </c>
      <c r="G25" s="504">
        <v>723</v>
      </c>
      <c r="H25" s="504">
        <v>4</v>
      </c>
      <c r="I25" s="504">
        <v>4</v>
      </c>
      <c r="J25" s="504">
        <v>6.8</v>
      </c>
      <c r="K25" s="504">
        <v>10.8</v>
      </c>
      <c r="L25" s="504">
        <v>9</v>
      </c>
      <c r="M25" s="504">
        <v>52</v>
      </c>
      <c r="N25" s="504">
        <v>0</v>
      </c>
      <c r="O25" s="504">
        <v>5.8</v>
      </c>
      <c r="P25" s="504">
        <v>38</v>
      </c>
      <c r="Q25" s="504">
        <v>12.7</v>
      </c>
    </row>
    <row r="26" spans="1:17" x14ac:dyDescent="0.3">
      <c r="A26" s="504">
        <v>25</v>
      </c>
      <c r="B26" s="504" t="s">
        <v>6</v>
      </c>
      <c r="C26" s="504" t="s">
        <v>7</v>
      </c>
      <c r="D26" s="504">
        <v>64</v>
      </c>
      <c r="E26" s="504">
        <v>101</v>
      </c>
      <c r="F26" s="282">
        <v>0.63400000000000001</v>
      </c>
      <c r="G26" s="504">
        <v>755</v>
      </c>
      <c r="H26" s="504">
        <v>2</v>
      </c>
      <c r="I26" s="504">
        <v>1</v>
      </c>
      <c r="J26" s="504">
        <v>7.5</v>
      </c>
      <c r="K26" s="504">
        <v>11.8</v>
      </c>
      <c r="L26" s="504">
        <v>10</v>
      </c>
      <c r="M26" s="504">
        <v>33</v>
      </c>
      <c r="N26" s="504">
        <v>0</v>
      </c>
      <c r="O26" s="504">
        <v>3.3</v>
      </c>
      <c r="P26" s="504">
        <v>38</v>
      </c>
      <c r="Q26" s="504">
        <v>12.5</v>
      </c>
    </row>
    <row r="27" spans="1:17" x14ac:dyDescent="0.3">
      <c r="A27" s="504">
        <v>26</v>
      </c>
      <c r="B27" s="504" t="s">
        <v>429</v>
      </c>
      <c r="C27" s="504" t="s">
        <v>402</v>
      </c>
      <c r="D27" s="504">
        <v>42</v>
      </c>
      <c r="E27" s="504">
        <v>60</v>
      </c>
      <c r="F27" s="282">
        <v>0.7</v>
      </c>
      <c r="G27" s="504">
        <v>498</v>
      </c>
      <c r="H27" s="504">
        <v>4</v>
      </c>
      <c r="I27" s="504">
        <v>0</v>
      </c>
      <c r="J27" s="504">
        <v>8.3000000000000007</v>
      </c>
      <c r="K27" s="504">
        <v>11.9</v>
      </c>
      <c r="L27" s="504">
        <v>4</v>
      </c>
      <c r="M27" s="504">
        <v>12</v>
      </c>
      <c r="N27" s="504">
        <v>0</v>
      </c>
      <c r="O27" s="504">
        <v>3</v>
      </c>
      <c r="P27" s="504">
        <v>35</v>
      </c>
      <c r="Q27" s="504">
        <v>17.7</v>
      </c>
    </row>
    <row r="28" spans="1:17" x14ac:dyDescent="0.3">
      <c r="A28" s="504">
        <v>27</v>
      </c>
      <c r="B28" s="504" t="s">
        <v>42</v>
      </c>
      <c r="C28" s="504" t="s">
        <v>43</v>
      </c>
      <c r="D28" s="504">
        <v>65</v>
      </c>
      <c r="E28" s="504">
        <v>109</v>
      </c>
      <c r="F28" s="282">
        <v>0.59599999999999997</v>
      </c>
      <c r="G28" s="504">
        <v>695</v>
      </c>
      <c r="H28" s="504">
        <v>3</v>
      </c>
      <c r="I28" s="504">
        <v>4</v>
      </c>
      <c r="J28" s="504">
        <v>6.4</v>
      </c>
      <c r="K28" s="504">
        <v>10.7</v>
      </c>
      <c r="L28" s="504">
        <v>7</v>
      </c>
      <c r="M28" s="504">
        <v>24</v>
      </c>
      <c r="N28" s="504">
        <v>0</v>
      </c>
      <c r="O28" s="504">
        <v>3.4</v>
      </c>
      <c r="P28" s="504">
        <v>34</v>
      </c>
      <c r="Q28" s="504">
        <v>11.4</v>
      </c>
    </row>
    <row r="29" spans="1:17" x14ac:dyDescent="0.3">
      <c r="A29" s="504">
        <v>28</v>
      </c>
      <c r="B29" s="504" t="s">
        <v>411</v>
      </c>
      <c r="C29" s="504" t="s">
        <v>34</v>
      </c>
      <c r="D29" s="504">
        <v>63</v>
      </c>
      <c r="E29" s="504">
        <v>113</v>
      </c>
      <c r="F29" s="282">
        <v>0.55800000000000005</v>
      </c>
      <c r="G29" s="504">
        <v>751</v>
      </c>
      <c r="H29" s="504">
        <v>3</v>
      </c>
      <c r="I29" s="504">
        <v>7</v>
      </c>
      <c r="J29" s="504">
        <v>6.6</v>
      </c>
      <c r="K29" s="504">
        <v>11.9</v>
      </c>
      <c r="L29" s="504">
        <v>12</v>
      </c>
      <c r="M29" s="504">
        <v>58</v>
      </c>
      <c r="N29" s="504">
        <v>0</v>
      </c>
      <c r="O29" s="504">
        <v>4.8</v>
      </c>
      <c r="P29" s="504">
        <v>34</v>
      </c>
      <c r="Q29" s="504">
        <v>11.3</v>
      </c>
    </row>
    <row r="30" spans="1:17" x14ac:dyDescent="0.3">
      <c r="A30" s="504">
        <v>29</v>
      </c>
      <c r="B30" s="504" t="s">
        <v>38</v>
      </c>
      <c r="C30" s="504" t="s">
        <v>41</v>
      </c>
      <c r="D30" s="504">
        <v>40</v>
      </c>
      <c r="E30" s="504">
        <v>59</v>
      </c>
      <c r="F30" s="282">
        <v>0.67800000000000005</v>
      </c>
      <c r="G30" s="504">
        <v>457</v>
      </c>
      <c r="H30" s="504">
        <v>3</v>
      </c>
      <c r="I30" s="504">
        <v>0</v>
      </c>
      <c r="J30" s="504">
        <v>7.7</v>
      </c>
      <c r="K30" s="504">
        <v>11.4</v>
      </c>
      <c r="L30" s="504">
        <v>3</v>
      </c>
      <c r="M30" s="504">
        <v>-5</v>
      </c>
      <c r="N30" s="504">
        <v>0</v>
      </c>
      <c r="O30" s="504">
        <v>-1.7</v>
      </c>
      <c r="P30" s="504">
        <v>30</v>
      </c>
      <c r="Q30" s="504">
        <v>14.9</v>
      </c>
    </row>
    <row r="31" spans="1:17" x14ac:dyDescent="0.3">
      <c r="A31" s="504">
        <v>30</v>
      </c>
      <c r="B31" s="504" t="s">
        <v>63</v>
      </c>
      <c r="C31" s="504" t="s">
        <v>409</v>
      </c>
      <c r="D31" s="504">
        <v>49</v>
      </c>
      <c r="E31" s="504">
        <v>91</v>
      </c>
      <c r="F31" s="282">
        <v>0.53800000000000003</v>
      </c>
      <c r="G31" s="504">
        <v>559</v>
      </c>
      <c r="H31" s="504">
        <v>2</v>
      </c>
      <c r="I31" s="504">
        <v>3</v>
      </c>
      <c r="J31" s="504">
        <v>6.1</v>
      </c>
      <c r="K31" s="504">
        <v>11.4</v>
      </c>
      <c r="L31" s="504">
        <v>8</v>
      </c>
      <c r="M31" s="504">
        <v>16</v>
      </c>
      <c r="N31" s="504">
        <v>0</v>
      </c>
      <c r="O31" s="504">
        <v>2</v>
      </c>
      <c r="P31" s="504">
        <v>26</v>
      </c>
      <c r="Q31" s="504">
        <v>8.6999999999999993</v>
      </c>
    </row>
    <row r="32" spans="1:17" x14ac:dyDescent="0.3">
      <c r="A32" s="504">
        <v>31</v>
      </c>
      <c r="B32" s="504" t="s">
        <v>45</v>
      </c>
      <c r="C32" s="504" t="s">
        <v>46</v>
      </c>
      <c r="D32" s="504">
        <v>39</v>
      </c>
      <c r="E32" s="504">
        <v>61</v>
      </c>
      <c r="F32" s="282">
        <v>0.63900000000000001</v>
      </c>
      <c r="G32" s="504">
        <v>395</v>
      </c>
      <c r="H32" s="504">
        <v>2</v>
      </c>
      <c r="I32" s="504">
        <v>0</v>
      </c>
      <c r="J32" s="504">
        <v>6.5</v>
      </c>
      <c r="K32" s="504">
        <v>10.1</v>
      </c>
      <c r="L32" s="504">
        <v>3</v>
      </c>
      <c r="M32" s="504">
        <v>-3</v>
      </c>
      <c r="N32" s="504">
        <v>0</v>
      </c>
      <c r="O32" s="504">
        <v>-1</v>
      </c>
      <c r="P32" s="504">
        <v>22</v>
      </c>
      <c r="Q32" s="504">
        <v>10.8</v>
      </c>
    </row>
    <row r="33" spans="1:17" x14ac:dyDescent="0.3">
      <c r="A33" s="504">
        <v>32</v>
      </c>
      <c r="B33" s="504" t="s">
        <v>449</v>
      </c>
      <c r="C33" s="504" t="s">
        <v>402</v>
      </c>
      <c r="D33" s="504">
        <v>17</v>
      </c>
      <c r="E33" s="504">
        <v>28</v>
      </c>
      <c r="F33" s="282">
        <v>0.60699999999999998</v>
      </c>
      <c r="G33" s="504">
        <v>195</v>
      </c>
      <c r="H33" s="504">
        <v>0</v>
      </c>
      <c r="I33" s="504">
        <v>0</v>
      </c>
      <c r="J33" s="504">
        <v>7</v>
      </c>
      <c r="K33" s="504">
        <v>11.5</v>
      </c>
      <c r="L33" s="504">
        <v>12</v>
      </c>
      <c r="M33" s="504">
        <v>60</v>
      </c>
      <c r="N33" s="504">
        <v>1</v>
      </c>
      <c r="O33" s="504">
        <v>5</v>
      </c>
      <c r="P33" s="504">
        <v>20</v>
      </c>
      <c r="Q33" s="504">
        <v>9.9</v>
      </c>
    </row>
    <row r="34" spans="1:17" x14ac:dyDescent="0.3">
      <c r="A34" s="504">
        <v>33</v>
      </c>
      <c r="B34" s="504" t="s">
        <v>13</v>
      </c>
      <c r="C34" s="504" t="s">
        <v>14</v>
      </c>
      <c r="D34" s="504">
        <v>20</v>
      </c>
      <c r="E34" s="504">
        <v>33</v>
      </c>
      <c r="F34" s="282">
        <v>0.60599999999999998</v>
      </c>
      <c r="G34" s="504">
        <v>260</v>
      </c>
      <c r="H34" s="504">
        <v>2</v>
      </c>
      <c r="I34" s="504">
        <v>2</v>
      </c>
      <c r="J34" s="504">
        <v>7.9</v>
      </c>
      <c r="K34" s="504">
        <v>13</v>
      </c>
      <c r="L34" s="504">
        <v>2</v>
      </c>
      <c r="M34" s="504">
        <v>0</v>
      </c>
      <c r="N34" s="504">
        <v>0</v>
      </c>
      <c r="O34" s="504">
        <v>0</v>
      </c>
      <c r="P34" s="504">
        <v>14</v>
      </c>
      <c r="Q34" s="504">
        <v>14.4</v>
      </c>
    </row>
    <row r="35" spans="1:17" x14ac:dyDescent="0.3">
      <c r="A35" s="504">
        <v>34</v>
      </c>
      <c r="B35" s="504" t="s">
        <v>48</v>
      </c>
      <c r="C35" s="504" t="s">
        <v>46</v>
      </c>
      <c r="D35" s="504">
        <v>28</v>
      </c>
      <c r="E35" s="504">
        <v>46</v>
      </c>
      <c r="F35" s="282">
        <v>0.60899999999999999</v>
      </c>
      <c r="G35" s="504">
        <v>373</v>
      </c>
      <c r="H35" s="504">
        <v>1</v>
      </c>
      <c r="I35" s="504">
        <v>2</v>
      </c>
      <c r="J35" s="504">
        <v>8.1</v>
      </c>
      <c r="K35" s="504">
        <v>13.3</v>
      </c>
      <c r="L35" s="504">
        <v>2</v>
      </c>
      <c r="M35" s="504">
        <v>12</v>
      </c>
      <c r="N35" s="504">
        <v>0</v>
      </c>
      <c r="O35" s="504">
        <v>6</v>
      </c>
      <c r="P35" s="504">
        <v>14</v>
      </c>
      <c r="Q35" s="504">
        <v>7.1</v>
      </c>
    </row>
    <row r="36" spans="1:17" x14ac:dyDescent="0.3">
      <c r="A36" s="504">
        <v>35</v>
      </c>
      <c r="B36" s="504" t="s">
        <v>72</v>
      </c>
      <c r="C36" s="504" t="s">
        <v>41</v>
      </c>
      <c r="D36" s="504">
        <v>18</v>
      </c>
      <c r="E36" s="504">
        <v>33</v>
      </c>
      <c r="F36" s="282">
        <v>0.54500000000000004</v>
      </c>
      <c r="G36" s="504">
        <v>236</v>
      </c>
      <c r="H36" s="504">
        <v>0</v>
      </c>
      <c r="I36" s="504">
        <v>0</v>
      </c>
      <c r="J36" s="504">
        <v>7.2</v>
      </c>
      <c r="K36" s="504">
        <v>13.1</v>
      </c>
      <c r="L36" s="504">
        <v>2</v>
      </c>
      <c r="M36" s="504">
        <v>8</v>
      </c>
      <c r="N36" s="504">
        <v>0</v>
      </c>
      <c r="O36" s="504">
        <v>4</v>
      </c>
      <c r="P36" s="504">
        <v>10</v>
      </c>
      <c r="Q36" s="504">
        <v>10.199999999999999</v>
      </c>
    </row>
    <row r="37" spans="1:17" x14ac:dyDescent="0.3">
      <c r="A37" s="504">
        <v>36</v>
      </c>
      <c r="B37" s="504" t="s">
        <v>431</v>
      </c>
      <c r="C37" s="504" t="s">
        <v>14</v>
      </c>
      <c r="D37" s="504">
        <v>12</v>
      </c>
      <c r="E37" s="504">
        <v>26</v>
      </c>
      <c r="F37" s="282">
        <v>0.46200000000000002</v>
      </c>
      <c r="G37" s="504">
        <v>190</v>
      </c>
      <c r="H37" s="504">
        <v>0</v>
      </c>
      <c r="I37" s="504">
        <v>1</v>
      </c>
      <c r="J37" s="504">
        <v>7.3</v>
      </c>
      <c r="K37" s="504">
        <v>15.8</v>
      </c>
      <c r="L37" s="504">
        <v>5</v>
      </c>
      <c r="M37" s="504">
        <v>37</v>
      </c>
      <c r="N37" s="504">
        <v>0</v>
      </c>
      <c r="O37" s="504">
        <v>7.4</v>
      </c>
      <c r="P37" s="504">
        <v>9</v>
      </c>
      <c r="Q37" s="504">
        <v>9.3000000000000007</v>
      </c>
    </row>
    <row r="38" spans="1:17" x14ac:dyDescent="0.3">
      <c r="A38" s="504">
        <v>37</v>
      </c>
      <c r="B38" s="504" t="s">
        <v>445</v>
      </c>
      <c r="C38" s="504" t="s">
        <v>14</v>
      </c>
      <c r="D38" s="504">
        <v>21</v>
      </c>
      <c r="E38" s="504">
        <v>33</v>
      </c>
      <c r="F38" s="282">
        <v>0.63600000000000001</v>
      </c>
      <c r="G38" s="504">
        <v>244</v>
      </c>
      <c r="H38" s="504">
        <v>0</v>
      </c>
      <c r="I38" s="504">
        <v>0</v>
      </c>
      <c r="J38" s="504">
        <v>7.4</v>
      </c>
      <c r="K38" s="504">
        <v>11.6</v>
      </c>
      <c r="L38" s="504">
        <v>2</v>
      </c>
      <c r="M38" s="504">
        <v>-1</v>
      </c>
      <c r="N38" s="504">
        <v>0</v>
      </c>
      <c r="O38" s="504">
        <v>-0.5</v>
      </c>
      <c r="P38" s="504">
        <v>8</v>
      </c>
      <c r="Q38" s="504">
        <v>7.7</v>
      </c>
    </row>
    <row r="39" spans="1:17" x14ac:dyDescent="0.3">
      <c r="A39" s="504">
        <v>38</v>
      </c>
      <c r="B39" s="504" t="s">
        <v>446</v>
      </c>
      <c r="C39" s="504" t="s">
        <v>7</v>
      </c>
      <c r="D39" s="504">
        <v>7</v>
      </c>
      <c r="E39" s="504">
        <v>9</v>
      </c>
      <c r="F39" s="282">
        <v>0.77800000000000002</v>
      </c>
      <c r="G39" s="504">
        <v>65</v>
      </c>
      <c r="H39" s="504">
        <v>1</v>
      </c>
      <c r="I39" s="504">
        <v>1</v>
      </c>
      <c r="J39" s="504">
        <v>7.2</v>
      </c>
      <c r="K39" s="504">
        <v>9.3000000000000007</v>
      </c>
      <c r="L39" s="504">
        <v>2</v>
      </c>
      <c r="M39" s="504">
        <v>-2</v>
      </c>
      <c r="N39" s="504">
        <v>0</v>
      </c>
      <c r="O39" s="504">
        <v>-1</v>
      </c>
      <c r="P39" s="504">
        <v>4</v>
      </c>
      <c r="Q39" s="504">
        <v>4.4000000000000004</v>
      </c>
    </row>
    <row r="40" spans="1:17" x14ac:dyDescent="0.3">
      <c r="A40" s="504">
        <v>39</v>
      </c>
      <c r="B40" s="504" t="s">
        <v>1242</v>
      </c>
      <c r="C40" s="504" t="s">
        <v>10</v>
      </c>
      <c r="D40" s="504">
        <v>1</v>
      </c>
      <c r="E40" s="504">
        <v>1</v>
      </c>
      <c r="F40" s="282">
        <v>1</v>
      </c>
      <c r="G40" s="504">
        <v>10</v>
      </c>
      <c r="H40" s="504">
        <v>0</v>
      </c>
      <c r="I40" s="504">
        <v>0</v>
      </c>
      <c r="J40" s="504">
        <v>10</v>
      </c>
      <c r="K40" s="504">
        <v>10</v>
      </c>
      <c r="L40" s="504">
        <v>2</v>
      </c>
      <c r="M40" s="504">
        <v>2</v>
      </c>
      <c r="N40" s="504">
        <v>0</v>
      </c>
      <c r="O40" s="504">
        <v>1</v>
      </c>
      <c r="P40" s="504">
        <v>1</v>
      </c>
      <c r="Q40" s="504">
        <v>0.6</v>
      </c>
    </row>
    <row r="41" spans="1:17" x14ac:dyDescent="0.3">
      <c r="A41" s="504">
        <v>40</v>
      </c>
      <c r="B41" s="504" t="s">
        <v>78</v>
      </c>
      <c r="C41" s="504" t="s">
        <v>24</v>
      </c>
      <c r="D41" s="504">
        <v>1</v>
      </c>
      <c r="E41" s="504">
        <v>4</v>
      </c>
      <c r="F41" s="282">
        <v>0.25</v>
      </c>
      <c r="G41" s="504">
        <v>11</v>
      </c>
      <c r="H41" s="504">
        <v>0</v>
      </c>
      <c r="I41" s="504">
        <v>0</v>
      </c>
      <c r="J41" s="504">
        <v>2.8</v>
      </c>
      <c r="K41" s="504">
        <v>11</v>
      </c>
      <c r="L41" s="504">
        <v>0</v>
      </c>
      <c r="M41" s="504">
        <v>0</v>
      </c>
      <c r="N41" s="504">
        <v>0</v>
      </c>
      <c r="O41" s="504">
        <v>0</v>
      </c>
      <c r="P41" s="504">
        <v>0</v>
      </c>
      <c r="Q41" s="504">
        <v>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workbookViewId="0">
      <selection activeCell="E15" sqref="A2:M76"/>
    </sheetView>
  </sheetViews>
  <sheetFormatPr defaultRowHeight="14.4" x14ac:dyDescent="0.3"/>
  <cols>
    <col min="1" max="3" width="8.88671875" style="135"/>
    <col min="4" max="4" width="10.33203125" style="135" customWidth="1"/>
    <col min="5" max="5" width="10" style="135" customWidth="1"/>
    <col min="6" max="6" width="9.44140625" style="135" customWidth="1"/>
    <col min="7" max="8" width="8.88671875" style="135"/>
    <col min="9" max="9" width="9.109375" style="135" customWidth="1"/>
    <col min="10" max="16384" width="8.88671875" style="135"/>
  </cols>
  <sheetData>
    <row r="1" spans="1:13" x14ac:dyDescent="0.3">
      <c r="A1" s="394" t="s">
        <v>2443</v>
      </c>
      <c r="B1" s="394" t="s">
        <v>1</v>
      </c>
      <c r="C1" s="394" t="s">
        <v>387</v>
      </c>
      <c r="D1" s="394" t="s">
        <v>2450</v>
      </c>
      <c r="E1" s="394" t="s">
        <v>801</v>
      </c>
      <c r="F1" s="394" t="s">
        <v>392</v>
      </c>
      <c r="G1" s="394" t="s">
        <v>2447</v>
      </c>
      <c r="H1" s="394" t="s">
        <v>389</v>
      </c>
      <c r="I1" s="394" t="s">
        <v>826</v>
      </c>
      <c r="J1" s="394" t="s">
        <v>393</v>
      </c>
      <c r="K1" s="394" t="s">
        <v>2451</v>
      </c>
      <c r="L1" s="394" t="s">
        <v>2448</v>
      </c>
      <c r="M1" s="394" t="s">
        <v>2449</v>
      </c>
    </row>
    <row r="2" spans="1:13" x14ac:dyDescent="0.3">
      <c r="A2" s="504">
        <v>1</v>
      </c>
      <c r="B2" s="504" t="s">
        <v>98</v>
      </c>
      <c r="C2" s="504" t="s">
        <v>24</v>
      </c>
      <c r="D2" s="504">
        <v>47</v>
      </c>
      <c r="E2" s="504">
        <v>217</v>
      </c>
      <c r="F2" s="504">
        <v>3</v>
      </c>
      <c r="G2" s="504">
        <v>4.5999999999999996</v>
      </c>
      <c r="H2" s="504">
        <v>10</v>
      </c>
      <c r="I2" s="504">
        <v>169</v>
      </c>
      <c r="J2" s="504">
        <v>0</v>
      </c>
      <c r="K2" s="504">
        <v>16.899999999999999</v>
      </c>
      <c r="L2" s="504">
        <v>57</v>
      </c>
      <c r="M2" s="504">
        <v>18.899999999999999</v>
      </c>
    </row>
    <row r="3" spans="1:13" x14ac:dyDescent="0.3">
      <c r="A3" s="504">
        <v>2</v>
      </c>
      <c r="B3" s="504" t="s">
        <v>128</v>
      </c>
      <c r="C3" s="504" t="s">
        <v>30</v>
      </c>
      <c r="D3" s="504">
        <v>41</v>
      </c>
      <c r="E3" s="504">
        <v>245</v>
      </c>
      <c r="F3" s="504">
        <v>1</v>
      </c>
      <c r="G3" s="504">
        <v>6</v>
      </c>
      <c r="H3" s="504">
        <v>17</v>
      </c>
      <c r="I3" s="504">
        <v>132</v>
      </c>
      <c r="J3" s="504">
        <v>2</v>
      </c>
      <c r="K3" s="504">
        <v>7.8</v>
      </c>
      <c r="L3" s="504">
        <v>54</v>
      </c>
      <c r="M3" s="504">
        <v>17.899999999999999</v>
      </c>
    </row>
    <row r="4" spans="1:13" x14ac:dyDescent="0.3">
      <c r="A4" s="504">
        <v>3</v>
      </c>
      <c r="B4" s="504" t="s">
        <v>88</v>
      </c>
      <c r="C4" s="504" t="s">
        <v>20</v>
      </c>
      <c r="D4" s="504">
        <v>66</v>
      </c>
      <c r="E4" s="504">
        <v>258</v>
      </c>
      <c r="F4" s="504">
        <v>2</v>
      </c>
      <c r="G4" s="504">
        <v>3.9</v>
      </c>
      <c r="H4" s="504">
        <v>14</v>
      </c>
      <c r="I4" s="504">
        <v>89</v>
      </c>
      <c r="J4" s="504">
        <v>1</v>
      </c>
      <c r="K4" s="504">
        <v>6.4</v>
      </c>
      <c r="L4" s="504">
        <v>53</v>
      </c>
      <c r="M4" s="504">
        <v>17.600000000000001</v>
      </c>
    </row>
    <row r="5" spans="1:13" x14ac:dyDescent="0.3">
      <c r="A5" s="504">
        <v>4</v>
      </c>
      <c r="B5" s="504" t="s">
        <v>101</v>
      </c>
      <c r="C5" s="504" t="s">
        <v>402</v>
      </c>
      <c r="D5" s="504">
        <v>75</v>
      </c>
      <c r="E5" s="504">
        <v>298</v>
      </c>
      <c r="F5" s="504">
        <v>4</v>
      </c>
      <c r="G5" s="504">
        <v>4</v>
      </c>
      <c r="H5" s="504">
        <v>0</v>
      </c>
      <c r="I5" s="504">
        <v>0</v>
      </c>
      <c r="J5" s="504">
        <v>0</v>
      </c>
      <c r="K5" s="504">
        <v>0</v>
      </c>
      <c r="L5" s="504">
        <v>52</v>
      </c>
      <c r="M5" s="504">
        <v>17.3</v>
      </c>
    </row>
    <row r="6" spans="1:13" x14ac:dyDescent="0.3">
      <c r="A6" s="504">
        <v>5</v>
      </c>
      <c r="B6" s="504" t="s">
        <v>135</v>
      </c>
      <c r="C6" s="504" t="s">
        <v>50</v>
      </c>
      <c r="D6" s="504">
        <v>32</v>
      </c>
      <c r="E6" s="504">
        <v>110</v>
      </c>
      <c r="F6" s="504">
        <v>4</v>
      </c>
      <c r="G6" s="504">
        <v>3.4</v>
      </c>
      <c r="H6" s="504">
        <v>10</v>
      </c>
      <c r="I6" s="504">
        <v>167</v>
      </c>
      <c r="J6" s="504">
        <v>0</v>
      </c>
      <c r="K6" s="504">
        <v>16.7</v>
      </c>
      <c r="L6" s="504">
        <v>52</v>
      </c>
      <c r="M6" s="504">
        <v>17.2</v>
      </c>
    </row>
    <row r="7" spans="1:13" x14ac:dyDescent="0.3">
      <c r="A7" s="504">
        <v>6</v>
      </c>
      <c r="B7" s="504" t="s">
        <v>115</v>
      </c>
      <c r="C7" s="504" t="s">
        <v>34</v>
      </c>
      <c r="D7" s="504">
        <v>67</v>
      </c>
      <c r="E7" s="504">
        <v>261</v>
      </c>
      <c r="F7" s="504">
        <v>3</v>
      </c>
      <c r="G7" s="504">
        <v>3.9</v>
      </c>
      <c r="H7" s="504">
        <v>9</v>
      </c>
      <c r="I7" s="504">
        <v>67</v>
      </c>
      <c r="J7" s="504">
        <v>0</v>
      </c>
      <c r="K7" s="504">
        <v>7.4</v>
      </c>
      <c r="L7" s="504">
        <v>51</v>
      </c>
      <c r="M7" s="504">
        <v>16.899999999999999</v>
      </c>
    </row>
    <row r="8" spans="1:13" x14ac:dyDescent="0.3">
      <c r="A8" s="504">
        <v>7</v>
      </c>
      <c r="B8" s="504" t="s">
        <v>119</v>
      </c>
      <c r="C8" s="504" t="s">
        <v>407</v>
      </c>
      <c r="D8" s="504">
        <v>54</v>
      </c>
      <c r="E8" s="504">
        <v>194</v>
      </c>
      <c r="F8" s="504">
        <v>4</v>
      </c>
      <c r="G8" s="504">
        <v>3.6</v>
      </c>
      <c r="H8" s="504">
        <v>7</v>
      </c>
      <c r="I8" s="504">
        <v>61</v>
      </c>
      <c r="J8" s="504">
        <v>0</v>
      </c>
      <c r="K8" s="504">
        <v>8.6999999999999993</v>
      </c>
      <c r="L8" s="504">
        <v>50</v>
      </c>
      <c r="M8" s="504">
        <v>16.5</v>
      </c>
    </row>
    <row r="9" spans="1:13" x14ac:dyDescent="0.3">
      <c r="A9" s="504">
        <v>8</v>
      </c>
      <c r="B9" s="504" t="s">
        <v>104</v>
      </c>
      <c r="C9" s="504" t="s">
        <v>398</v>
      </c>
      <c r="D9" s="504">
        <v>58</v>
      </c>
      <c r="E9" s="504">
        <v>225</v>
      </c>
      <c r="F9" s="504">
        <v>4</v>
      </c>
      <c r="G9" s="504">
        <v>3.9</v>
      </c>
      <c r="H9" s="504">
        <v>6</v>
      </c>
      <c r="I9" s="504">
        <v>25</v>
      </c>
      <c r="J9" s="504">
        <v>0</v>
      </c>
      <c r="K9" s="504">
        <v>4.2</v>
      </c>
      <c r="L9" s="504">
        <v>47</v>
      </c>
      <c r="M9" s="504">
        <v>15.7</v>
      </c>
    </row>
    <row r="10" spans="1:13" x14ac:dyDescent="0.3">
      <c r="A10" s="504">
        <v>9</v>
      </c>
      <c r="B10" s="504" t="s">
        <v>93</v>
      </c>
      <c r="C10" s="504" t="s">
        <v>10</v>
      </c>
      <c r="D10" s="504">
        <v>48</v>
      </c>
      <c r="E10" s="504">
        <v>227</v>
      </c>
      <c r="F10" s="504">
        <v>3</v>
      </c>
      <c r="G10" s="504">
        <v>4.7</v>
      </c>
      <c r="H10" s="504">
        <v>11</v>
      </c>
      <c r="I10" s="504">
        <v>49</v>
      </c>
      <c r="J10" s="504">
        <v>0</v>
      </c>
      <c r="K10" s="504">
        <v>4.5</v>
      </c>
      <c r="L10" s="504">
        <v>46</v>
      </c>
      <c r="M10" s="504">
        <v>15.2</v>
      </c>
    </row>
    <row r="11" spans="1:13" x14ac:dyDescent="0.3">
      <c r="A11" s="504">
        <v>10</v>
      </c>
      <c r="B11" s="504" t="s">
        <v>106</v>
      </c>
      <c r="C11" s="504" t="s">
        <v>70</v>
      </c>
      <c r="D11" s="504">
        <v>54</v>
      </c>
      <c r="E11" s="504">
        <v>203</v>
      </c>
      <c r="F11" s="504">
        <v>2</v>
      </c>
      <c r="G11" s="504">
        <v>3.8</v>
      </c>
      <c r="H11" s="504">
        <v>8</v>
      </c>
      <c r="I11" s="504">
        <v>70</v>
      </c>
      <c r="J11" s="504">
        <v>1</v>
      </c>
      <c r="K11" s="504">
        <v>8.8000000000000007</v>
      </c>
      <c r="L11" s="504">
        <v>45</v>
      </c>
      <c r="M11" s="504">
        <v>15.1</v>
      </c>
    </row>
    <row r="12" spans="1:13" x14ac:dyDescent="0.3">
      <c r="A12" s="504">
        <v>11</v>
      </c>
      <c r="B12" s="504" t="s">
        <v>95</v>
      </c>
      <c r="C12" s="504" t="s">
        <v>14</v>
      </c>
      <c r="D12" s="504">
        <v>45</v>
      </c>
      <c r="E12" s="504">
        <v>274</v>
      </c>
      <c r="F12" s="504">
        <v>2</v>
      </c>
      <c r="G12" s="504">
        <v>6.1</v>
      </c>
      <c r="H12" s="504">
        <v>3</v>
      </c>
      <c r="I12" s="504">
        <v>31</v>
      </c>
      <c r="J12" s="504">
        <v>0</v>
      </c>
      <c r="K12" s="504">
        <v>10.3</v>
      </c>
      <c r="L12" s="504">
        <v>43</v>
      </c>
      <c r="M12" s="504">
        <v>14.2</v>
      </c>
    </row>
    <row r="13" spans="1:13" x14ac:dyDescent="0.3">
      <c r="A13" s="504">
        <v>12</v>
      </c>
      <c r="B13" s="504" t="s">
        <v>125</v>
      </c>
      <c r="C13" s="504" t="s">
        <v>397</v>
      </c>
      <c r="D13" s="504">
        <v>41</v>
      </c>
      <c r="E13" s="504">
        <v>202</v>
      </c>
      <c r="F13" s="504">
        <v>1</v>
      </c>
      <c r="G13" s="504">
        <v>4.9000000000000004</v>
      </c>
      <c r="H13" s="504">
        <v>10</v>
      </c>
      <c r="I13" s="504">
        <v>185</v>
      </c>
      <c r="J13" s="504">
        <v>0</v>
      </c>
      <c r="K13" s="504">
        <v>18.5</v>
      </c>
      <c r="L13" s="504">
        <v>41</v>
      </c>
      <c r="M13" s="504">
        <v>13.6</v>
      </c>
    </row>
    <row r="14" spans="1:13" x14ac:dyDescent="0.3">
      <c r="A14" s="504">
        <v>13</v>
      </c>
      <c r="B14" s="504" t="s">
        <v>84</v>
      </c>
      <c r="C14" s="504" t="s">
        <v>50</v>
      </c>
      <c r="D14" s="504">
        <v>42</v>
      </c>
      <c r="E14" s="504">
        <v>265</v>
      </c>
      <c r="F14" s="504">
        <v>0</v>
      </c>
      <c r="G14" s="504">
        <v>6.3</v>
      </c>
      <c r="H14" s="504">
        <v>9</v>
      </c>
      <c r="I14" s="504">
        <v>75</v>
      </c>
      <c r="J14" s="504">
        <v>1</v>
      </c>
      <c r="K14" s="504">
        <v>8.3000000000000007</v>
      </c>
      <c r="L14" s="504">
        <v>40</v>
      </c>
      <c r="M14" s="504">
        <v>13.3</v>
      </c>
    </row>
    <row r="15" spans="1:13" x14ac:dyDescent="0.3">
      <c r="A15" s="504">
        <v>14</v>
      </c>
      <c r="B15" s="504" t="s">
        <v>428</v>
      </c>
      <c r="C15" s="504" t="s">
        <v>52</v>
      </c>
      <c r="D15" s="504">
        <v>71</v>
      </c>
      <c r="E15" s="504">
        <v>274</v>
      </c>
      <c r="F15" s="504">
        <v>2</v>
      </c>
      <c r="G15" s="504">
        <v>3.9</v>
      </c>
      <c r="H15" s="504">
        <v>5</v>
      </c>
      <c r="I15" s="504">
        <v>25</v>
      </c>
      <c r="J15" s="504">
        <v>0</v>
      </c>
      <c r="K15" s="504">
        <v>5</v>
      </c>
      <c r="L15" s="504">
        <v>40</v>
      </c>
      <c r="M15" s="504">
        <v>13.3</v>
      </c>
    </row>
    <row r="16" spans="1:13" x14ac:dyDescent="0.3">
      <c r="A16" s="504">
        <v>15</v>
      </c>
      <c r="B16" s="504" t="s">
        <v>82</v>
      </c>
      <c r="C16" s="504" t="s">
        <v>4</v>
      </c>
      <c r="D16" s="504">
        <v>32</v>
      </c>
      <c r="E16" s="504">
        <v>153</v>
      </c>
      <c r="F16" s="504">
        <v>3</v>
      </c>
      <c r="G16" s="504">
        <v>4.8</v>
      </c>
      <c r="H16" s="504">
        <v>8</v>
      </c>
      <c r="I16" s="504">
        <v>58</v>
      </c>
      <c r="J16" s="504">
        <v>0</v>
      </c>
      <c r="K16" s="504">
        <v>7.3</v>
      </c>
      <c r="L16" s="504">
        <v>39</v>
      </c>
      <c r="M16" s="504">
        <v>13</v>
      </c>
    </row>
    <row r="17" spans="1:13" x14ac:dyDescent="0.3">
      <c r="A17" s="504">
        <v>16</v>
      </c>
      <c r="B17" s="504" t="s">
        <v>145</v>
      </c>
      <c r="C17" s="504" t="s">
        <v>7</v>
      </c>
      <c r="D17" s="504">
        <v>45</v>
      </c>
      <c r="E17" s="504">
        <v>232</v>
      </c>
      <c r="F17" s="504">
        <v>2</v>
      </c>
      <c r="G17" s="504">
        <v>5.2</v>
      </c>
      <c r="H17" s="504">
        <v>7</v>
      </c>
      <c r="I17" s="504">
        <v>36</v>
      </c>
      <c r="J17" s="504">
        <v>0</v>
      </c>
      <c r="K17" s="504">
        <v>5.0999999999999996</v>
      </c>
      <c r="L17" s="504">
        <v>37</v>
      </c>
      <c r="M17" s="504">
        <v>12.3</v>
      </c>
    </row>
    <row r="18" spans="1:13" x14ac:dyDescent="0.3">
      <c r="A18" s="504">
        <v>17</v>
      </c>
      <c r="B18" s="504" t="s">
        <v>102</v>
      </c>
      <c r="C18" s="504" t="s">
        <v>28</v>
      </c>
      <c r="D18" s="504">
        <v>37</v>
      </c>
      <c r="E18" s="504">
        <v>150</v>
      </c>
      <c r="F18" s="504">
        <v>3</v>
      </c>
      <c r="G18" s="504">
        <v>4.0999999999999996</v>
      </c>
      <c r="H18" s="504">
        <v>3</v>
      </c>
      <c r="I18" s="504">
        <v>37</v>
      </c>
      <c r="J18" s="504">
        <v>0</v>
      </c>
      <c r="K18" s="504">
        <v>12.3</v>
      </c>
      <c r="L18" s="504">
        <v>37</v>
      </c>
      <c r="M18" s="504">
        <v>12.2</v>
      </c>
    </row>
    <row r="19" spans="1:13" x14ac:dyDescent="0.3">
      <c r="A19" s="504">
        <v>18</v>
      </c>
      <c r="B19" s="504" t="s">
        <v>87</v>
      </c>
      <c r="C19" s="504" t="s">
        <v>16</v>
      </c>
      <c r="D19" s="504">
        <v>48</v>
      </c>
      <c r="E19" s="504">
        <v>185</v>
      </c>
      <c r="F19" s="504">
        <v>1</v>
      </c>
      <c r="G19" s="504">
        <v>3.9</v>
      </c>
      <c r="H19" s="504">
        <v>8</v>
      </c>
      <c r="I19" s="504">
        <v>39</v>
      </c>
      <c r="J19" s="504">
        <v>1</v>
      </c>
      <c r="K19" s="504">
        <v>4.9000000000000004</v>
      </c>
      <c r="L19" s="504">
        <v>34</v>
      </c>
      <c r="M19" s="504">
        <v>11.5</v>
      </c>
    </row>
    <row r="20" spans="1:13" x14ac:dyDescent="0.3">
      <c r="A20" s="504">
        <v>19</v>
      </c>
      <c r="B20" s="504" t="s">
        <v>129</v>
      </c>
      <c r="C20" s="504" t="s">
        <v>26</v>
      </c>
      <c r="D20" s="504">
        <v>28</v>
      </c>
      <c r="E20" s="504">
        <v>91</v>
      </c>
      <c r="F20" s="504">
        <v>1</v>
      </c>
      <c r="G20" s="504">
        <v>3.3</v>
      </c>
      <c r="H20" s="504">
        <v>16</v>
      </c>
      <c r="I20" s="504">
        <v>130</v>
      </c>
      <c r="J20" s="504">
        <v>1</v>
      </c>
      <c r="K20" s="504">
        <v>8.1</v>
      </c>
      <c r="L20" s="504">
        <v>34</v>
      </c>
      <c r="M20" s="504">
        <v>11.4</v>
      </c>
    </row>
    <row r="21" spans="1:13" x14ac:dyDescent="0.3">
      <c r="A21" s="504">
        <v>20</v>
      </c>
      <c r="B21" s="504" t="s">
        <v>122</v>
      </c>
      <c r="C21" s="504" t="s">
        <v>43</v>
      </c>
      <c r="D21" s="504">
        <v>74</v>
      </c>
      <c r="E21" s="504">
        <v>269</v>
      </c>
      <c r="F21" s="504">
        <v>0</v>
      </c>
      <c r="G21" s="504">
        <v>3.6</v>
      </c>
      <c r="H21" s="504">
        <v>10</v>
      </c>
      <c r="I21" s="504">
        <v>52</v>
      </c>
      <c r="J21" s="504">
        <v>0</v>
      </c>
      <c r="K21" s="504">
        <v>5.2</v>
      </c>
      <c r="L21" s="504">
        <v>32</v>
      </c>
      <c r="M21" s="504">
        <v>10.7</v>
      </c>
    </row>
    <row r="22" spans="1:13" x14ac:dyDescent="0.3">
      <c r="A22" s="504">
        <v>21</v>
      </c>
      <c r="B22" s="504" t="s">
        <v>114</v>
      </c>
      <c r="C22" s="504" t="s">
        <v>401</v>
      </c>
      <c r="D22" s="504">
        <v>26</v>
      </c>
      <c r="E22" s="504">
        <v>88</v>
      </c>
      <c r="F22" s="504">
        <v>1</v>
      </c>
      <c r="G22" s="504">
        <v>3.4</v>
      </c>
      <c r="H22" s="504">
        <v>12</v>
      </c>
      <c r="I22" s="504">
        <v>105</v>
      </c>
      <c r="J22" s="504">
        <v>1</v>
      </c>
      <c r="K22" s="504">
        <v>8.8000000000000007</v>
      </c>
      <c r="L22" s="504">
        <v>31</v>
      </c>
      <c r="M22" s="504">
        <v>10.4</v>
      </c>
    </row>
    <row r="23" spans="1:13" x14ac:dyDescent="0.3">
      <c r="A23" s="504">
        <v>22</v>
      </c>
      <c r="B23" s="504" t="s">
        <v>83</v>
      </c>
      <c r="C23" s="504" t="s">
        <v>409</v>
      </c>
      <c r="D23" s="504">
        <v>63</v>
      </c>
      <c r="E23" s="504">
        <v>183</v>
      </c>
      <c r="F23" s="504">
        <v>2</v>
      </c>
      <c r="G23" s="504">
        <v>2.9</v>
      </c>
      <c r="H23" s="504">
        <v>3</v>
      </c>
      <c r="I23" s="504">
        <v>9</v>
      </c>
      <c r="J23" s="504">
        <v>0</v>
      </c>
      <c r="K23" s="504">
        <v>3</v>
      </c>
      <c r="L23" s="504">
        <v>31</v>
      </c>
      <c r="M23" s="504">
        <v>10.4</v>
      </c>
    </row>
    <row r="24" spans="1:13" x14ac:dyDescent="0.3">
      <c r="A24" s="504">
        <v>23</v>
      </c>
      <c r="B24" s="504" t="s">
        <v>89</v>
      </c>
      <c r="C24" s="504" t="s">
        <v>404</v>
      </c>
      <c r="D24" s="504">
        <v>36</v>
      </c>
      <c r="E24" s="504">
        <v>165</v>
      </c>
      <c r="F24" s="504">
        <v>0</v>
      </c>
      <c r="G24" s="504">
        <v>4.5999999999999996</v>
      </c>
      <c r="H24" s="504">
        <v>10</v>
      </c>
      <c r="I24" s="504">
        <v>76</v>
      </c>
      <c r="J24" s="504">
        <v>1</v>
      </c>
      <c r="K24" s="504">
        <v>7.6</v>
      </c>
      <c r="L24" s="504">
        <v>30</v>
      </c>
      <c r="M24" s="504">
        <v>10</v>
      </c>
    </row>
    <row r="25" spans="1:13" x14ac:dyDescent="0.3">
      <c r="A25" s="504">
        <v>24</v>
      </c>
      <c r="B25" s="504" t="s">
        <v>111</v>
      </c>
      <c r="C25" s="504" t="s">
        <v>39</v>
      </c>
      <c r="D25" s="504">
        <v>33</v>
      </c>
      <c r="E25" s="504">
        <v>104</v>
      </c>
      <c r="F25" s="504">
        <v>3</v>
      </c>
      <c r="G25" s="504">
        <v>3.2</v>
      </c>
      <c r="H25" s="504">
        <v>1</v>
      </c>
      <c r="I25" s="504">
        <v>3</v>
      </c>
      <c r="J25" s="504">
        <v>0</v>
      </c>
      <c r="K25" s="504">
        <v>3</v>
      </c>
      <c r="L25" s="504">
        <v>29</v>
      </c>
      <c r="M25" s="504">
        <v>9.6</v>
      </c>
    </row>
    <row r="26" spans="1:13" x14ac:dyDescent="0.3">
      <c r="A26" s="504">
        <v>25</v>
      </c>
      <c r="B26" s="504" t="s">
        <v>126</v>
      </c>
      <c r="C26" s="504" t="s">
        <v>39</v>
      </c>
      <c r="D26" s="504">
        <v>19</v>
      </c>
      <c r="E26" s="504">
        <v>51</v>
      </c>
      <c r="F26" s="504">
        <v>0</v>
      </c>
      <c r="G26" s="504">
        <v>2.7</v>
      </c>
      <c r="H26" s="504">
        <v>10</v>
      </c>
      <c r="I26" s="504">
        <v>160</v>
      </c>
      <c r="J26" s="504">
        <v>1</v>
      </c>
      <c r="K26" s="504">
        <v>16</v>
      </c>
      <c r="L26" s="504">
        <v>27</v>
      </c>
      <c r="M26" s="504">
        <v>9</v>
      </c>
    </row>
    <row r="27" spans="1:13" x14ac:dyDescent="0.3">
      <c r="A27" s="504">
        <v>26</v>
      </c>
      <c r="B27" s="504" t="s">
        <v>109</v>
      </c>
      <c r="C27" s="504" t="s">
        <v>46</v>
      </c>
      <c r="D27" s="504">
        <v>31</v>
      </c>
      <c r="E27" s="504">
        <v>116</v>
      </c>
      <c r="F27" s="504">
        <v>2</v>
      </c>
      <c r="G27" s="504">
        <v>3.7</v>
      </c>
      <c r="H27" s="504">
        <v>5</v>
      </c>
      <c r="I27" s="504">
        <v>27</v>
      </c>
      <c r="J27" s="504">
        <v>0</v>
      </c>
      <c r="K27" s="504">
        <v>5.4</v>
      </c>
      <c r="L27" s="504">
        <v>24</v>
      </c>
      <c r="M27" s="504">
        <v>8.1</v>
      </c>
    </row>
    <row r="28" spans="1:13" x14ac:dyDescent="0.3">
      <c r="A28" s="504">
        <v>27</v>
      </c>
      <c r="B28" s="504" t="s">
        <v>127</v>
      </c>
      <c r="C28" s="504" t="s">
        <v>37</v>
      </c>
      <c r="D28" s="504">
        <v>31</v>
      </c>
      <c r="E28" s="504">
        <v>147</v>
      </c>
      <c r="F28" s="504">
        <v>1</v>
      </c>
      <c r="G28" s="504">
        <v>4.7</v>
      </c>
      <c r="H28" s="504">
        <v>8</v>
      </c>
      <c r="I28" s="504">
        <v>75</v>
      </c>
      <c r="J28" s="504">
        <v>0</v>
      </c>
      <c r="K28" s="504">
        <v>9.4</v>
      </c>
      <c r="L28" s="504">
        <v>24</v>
      </c>
      <c r="M28" s="504">
        <v>8.1</v>
      </c>
    </row>
    <row r="29" spans="1:13" x14ac:dyDescent="0.3">
      <c r="A29" s="504">
        <v>28</v>
      </c>
      <c r="B29" s="504" t="s">
        <v>121</v>
      </c>
      <c r="C29" s="504" t="s">
        <v>18</v>
      </c>
      <c r="D29" s="504">
        <v>37</v>
      </c>
      <c r="E29" s="504">
        <v>150</v>
      </c>
      <c r="F29" s="504">
        <v>1</v>
      </c>
      <c r="G29" s="504">
        <v>4.0999999999999996</v>
      </c>
      <c r="H29" s="504">
        <v>4</v>
      </c>
      <c r="I29" s="504">
        <v>27</v>
      </c>
      <c r="J29" s="504">
        <v>0</v>
      </c>
      <c r="K29" s="504">
        <v>6.8</v>
      </c>
      <c r="L29" s="504">
        <v>24</v>
      </c>
      <c r="M29" s="504">
        <v>7.9</v>
      </c>
    </row>
    <row r="30" spans="1:13" x14ac:dyDescent="0.3">
      <c r="A30" s="504">
        <v>29</v>
      </c>
      <c r="B30" s="504" t="s">
        <v>96</v>
      </c>
      <c r="C30" s="504" t="s">
        <v>395</v>
      </c>
      <c r="D30" s="504">
        <v>43</v>
      </c>
      <c r="E30" s="504">
        <v>214</v>
      </c>
      <c r="F30" s="504">
        <v>0</v>
      </c>
      <c r="G30" s="504">
        <v>5</v>
      </c>
      <c r="H30" s="504">
        <v>2</v>
      </c>
      <c r="I30" s="504">
        <v>19</v>
      </c>
      <c r="J30" s="504">
        <v>0</v>
      </c>
      <c r="K30" s="504">
        <v>9.5</v>
      </c>
      <c r="L30" s="504">
        <v>23</v>
      </c>
      <c r="M30" s="504">
        <v>7.8</v>
      </c>
    </row>
    <row r="31" spans="1:13" x14ac:dyDescent="0.3">
      <c r="A31" s="504">
        <v>30</v>
      </c>
      <c r="B31" s="504" t="s">
        <v>113</v>
      </c>
      <c r="C31" s="504" t="s">
        <v>28</v>
      </c>
      <c r="D31" s="504">
        <v>15</v>
      </c>
      <c r="E31" s="504">
        <v>50</v>
      </c>
      <c r="F31" s="504">
        <v>0</v>
      </c>
      <c r="G31" s="504">
        <v>3.3</v>
      </c>
      <c r="H31" s="504">
        <v>16</v>
      </c>
      <c r="I31" s="504">
        <v>141</v>
      </c>
      <c r="J31" s="504">
        <v>1</v>
      </c>
      <c r="K31" s="504">
        <v>8.8000000000000007</v>
      </c>
      <c r="L31" s="504">
        <v>23</v>
      </c>
      <c r="M31" s="504">
        <v>7.7</v>
      </c>
    </row>
    <row r="32" spans="1:13" x14ac:dyDescent="0.3">
      <c r="A32" s="504">
        <v>31</v>
      </c>
      <c r="B32" s="504" t="s">
        <v>512</v>
      </c>
      <c r="C32" s="504" t="s">
        <v>4</v>
      </c>
      <c r="D32" s="504">
        <v>15</v>
      </c>
      <c r="E32" s="504">
        <v>129</v>
      </c>
      <c r="F32" s="504">
        <v>1</v>
      </c>
      <c r="G32" s="504">
        <v>8.6</v>
      </c>
      <c r="H32" s="504">
        <v>4</v>
      </c>
      <c r="I32" s="504">
        <v>34</v>
      </c>
      <c r="J32" s="504">
        <v>0</v>
      </c>
      <c r="K32" s="504">
        <v>8.5</v>
      </c>
      <c r="L32" s="504">
        <v>22</v>
      </c>
      <c r="M32" s="504">
        <v>7.4</v>
      </c>
    </row>
    <row r="33" spans="1:13" x14ac:dyDescent="0.3">
      <c r="A33" s="504">
        <v>32</v>
      </c>
      <c r="B33" s="504" t="s">
        <v>110</v>
      </c>
      <c r="C33" s="504" t="s">
        <v>26</v>
      </c>
      <c r="D33" s="504">
        <v>18</v>
      </c>
      <c r="E33" s="504">
        <v>101</v>
      </c>
      <c r="F33" s="504">
        <v>0</v>
      </c>
      <c r="G33" s="504">
        <v>5.6</v>
      </c>
      <c r="H33" s="504">
        <v>5</v>
      </c>
      <c r="I33" s="504">
        <v>57</v>
      </c>
      <c r="J33" s="504">
        <v>1</v>
      </c>
      <c r="K33" s="504">
        <v>11.4</v>
      </c>
      <c r="L33" s="504">
        <v>22</v>
      </c>
      <c r="M33" s="504">
        <v>10.9</v>
      </c>
    </row>
    <row r="34" spans="1:13" x14ac:dyDescent="0.3">
      <c r="A34" s="504">
        <v>33</v>
      </c>
      <c r="B34" s="504" t="s">
        <v>107</v>
      </c>
      <c r="C34" s="504" t="s">
        <v>407</v>
      </c>
      <c r="D34" s="504">
        <v>19</v>
      </c>
      <c r="E34" s="504">
        <v>116</v>
      </c>
      <c r="F34" s="504">
        <v>0</v>
      </c>
      <c r="G34" s="504">
        <v>6.1</v>
      </c>
      <c r="H34" s="504">
        <v>6</v>
      </c>
      <c r="I34" s="504">
        <v>35</v>
      </c>
      <c r="J34" s="504">
        <v>1</v>
      </c>
      <c r="K34" s="504">
        <v>5.8</v>
      </c>
      <c r="L34" s="504">
        <v>21</v>
      </c>
      <c r="M34" s="504">
        <v>10.6</v>
      </c>
    </row>
    <row r="35" spans="1:13" x14ac:dyDescent="0.3">
      <c r="A35" s="504">
        <v>34</v>
      </c>
      <c r="B35" s="504" t="s">
        <v>92</v>
      </c>
      <c r="C35" s="504" t="s">
        <v>12</v>
      </c>
      <c r="D35" s="504">
        <v>34</v>
      </c>
      <c r="E35" s="504">
        <v>84</v>
      </c>
      <c r="F35" s="504">
        <v>1</v>
      </c>
      <c r="G35" s="504">
        <v>2.5</v>
      </c>
      <c r="H35" s="504">
        <v>14</v>
      </c>
      <c r="I35" s="504">
        <v>51</v>
      </c>
      <c r="J35" s="504">
        <v>0</v>
      </c>
      <c r="K35" s="504">
        <v>3.6</v>
      </c>
      <c r="L35" s="504">
        <v>20</v>
      </c>
      <c r="M35" s="504">
        <v>6.5</v>
      </c>
    </row>
    <row r="36" spans="1:13" x14ac:dyDescent="0.3">
      <c r="A36" s="504">
        <v>35</v>
      </c>
      <c r="B36" s="504" t="s">
        <v>120</v>
      </c>
      <c r="C36" s="504" t="s">
        <v>14</v>
      </c>
      <c r="D36" s="504">
        <v>16</v>
      </c>
      <c r="E36" s="504">
        <v>103</v>
      </c>
      <c r="F36" s="504">
        <v>0</v>
      </c>
      <c r="G36" s="504">
        <v>6.4</v>
      </c>
      <c r="H36" s="504">
        <v>12</v>
      </c>
      <c r="I36" s="504">
        <v>84</v>
      </c>
      <c r="J36" s="504">
        <v>0</v>
      </c>
      <c r="K36" s="504">
        <v>7</v>
      </c>
      <c r="L36" s="504">
        <v>19</v>
      </c>
      <c r="M36" s="504">
        <v>6.2</v>
      </c>
    </row>
    <row r="37" spans="1:13" x14ac:dyDescent="0.3">
      <c r="A37" s="504">
        <v>36</v>
      </c>
      <c r="B37" s="504" t="s">
        <v>162</v>
      </c>
      <c r="C37" s="504" t="s">
        <v>22</v>
      </c>
      <c r="D37" s="504">
        <v>24</v>
      </c>
      <c r="E37" s="504">
        <v>135</v>
      </c>
      <c r="F37" s="504">
        <v>0</v>
      </c>
      <c r="G37" s="504">
        <v>5.6</v>
      </c>
      <c r="H37" s="504">
        <v>9</v>
      </c>
      <c r="I37" s="504">
        <v>69</v>
      </c>
      <c r="J37" s="504">
        <v>0</v>
      </c>
      <c r="K37" s="504">
        <v>7.7</v>
      </c>
      <c r="L37" s="504">
        <v>18</v>
      </c>
      <c r="M37" s="504">
        <v>6.1</v>
      </c>
    </row>
    <row r="38" spans="1:13" x14ac:dyDescent="0.3">
      <c r="A38" s="504">
        <v>37</v>
      </c>
      <c r="B38" s="504" t="s">
        <v>148</v>
      </c>
      <c r="C38" s="504" t="s">
        <v>52</v>
      </c>
      <c r="D38" s="504">
        <v>17</v>
      </c>
      <c r="E38" s="504">
        <v>61</v>
      </c>
      <c r="F38" s="504">
        <v>2</v>
      </c>
      <c r="G38" s="504">
        <v>3.6</v>
      </c>
      <c r="H38" s="504">
        <v>1</v>
      </c>
      <c r="I38" s="504">
        <v>2</v>
      </c>
      <c r="J38" s="504">
        <v>0</v>
      </c>
      <c r="K38" s="504">
        <v>2</v>
      </c>
      <c r="L38" s="504">
        <v>18</v>
      </c>
      <c r="M38" s="504">
        <v>6.1</v>
      </c>
    </row>
    <row r="39" spans="1:13" x14ac:dyDescent="0.3">
      <c r="A39" s="504">
        <v>38</v>
      </c>
      <c r="B39" s="504" t="s">
        <v>141</v>
      </c>
      <c r="C39" s="504" t="s">
        <v>18</v>
      </c>
      <c r="D39" s="504">
        <v>12</v>
      </c>
      <c r="E39" s="504">
        <v>47</v>
      </c>
      <c r="F39" s="504">
        <v>1</v>
      </c>
      <c r="G39" s="504">
        <v>3.9</v>
      </c>
      <c r="H39" s="504">
        <v>6</v>
      </c>
      <c r="I39" s="504">
        <v>66</v>
      </c>
      <c r="J39" s="504">
        <v>0</v>
      </c>
      <c r="K39" s="504">
        <v>11</v>
      </c>
      <c r="L39" s="504">
        <v>17</v>
      </c>
      <c r="M39" s="504">
        <v>5.8</v>
      </c>
    </row>
    <row r="40" spans="1:13" x14ac:dyDescent="0.3">
      <c r="A40" s="504">
        <v>39</v>
      </c>
      <c r="B40" s="504" t="s">
        <v>156</v>
      </c>
      <c r="C40" s="504" t="s">
        <v>16</v>
      </c>
      <c r="D40" s="504">
        <v>8</v>
      </c>
      <c r="E40" s="504">
        <v>23</v>
      </c>
      <c r="F40" s="504">
        <v>2</v>
      </c>
      <c r="G40" s="504">
        <v>2.9</v>
      </c>
      <c r="H40" s="504">
        <v>2</v>
      </c>
      <c r="I40" s="504">
        <v>15</v>
      </c>
      <c r="J40" s="504">
        <v>0</v>
      </c>
      <c r="K40" s="504">
        <v>7.5</v>
      </c>
      <c r="L40" s="504">
        <v>16</v>
      </c>
      <c r="M40" s="504">
        <v>5.3</v>
      </c>
    </row>
    <row r="41" spans="1:13" x14ac:dyDescent="0.3">
      <c r="A41" s="504">
        <v>40</v>
      </c>
      <c r="B41" s="504" t="s">
        <v>522</v>
      </c>
      <c r="C41" s="504" t="s">
        <v>39</v>
      </c>
      <c r="D41" s="504">
        <v>20</v>
      </c>
      <c r="E41" s="504">
        <v>96</v>
      </c>
      <c r="F41" s="504">
        <v>1</v>
      </c>
      <c r="G41" s="504">
        <v>4.8</v>
      </c>
      <c r="H41" s="504">
        <v>0</v>
      </c>
      <c r="I41" s="504">
        <v>0</v>
      </c>
      <c r="J41" s="504">
        <v>0</v>
      </c>
      <c r="K41" s="504">
        <v>0</v>
      </c>
      <c r="L41" s="504">
        <v>16</v>
      </c>
      <c r="M41" s="504">
        <v>5.2</v>
      </c>
    </row>
    <row r="42" spans="1:13" x14ac:dyDescent="0.3">
      <c r="A42" s="504">
        <v>41</v>
      </c>
      <c r="B42" s="504" t="s">
        <v>149</v>
      </c>
      <c r="C42" s="504" t="s">
        <v>32</v>
      </c>
      <c r="D42" s="504">
        <v>33</v>
      </c>
      <c r="E42" s="504">
        <v>119</v>
      </c>
      <c r="F42" s="504">
        <v>0</v>
      </c>
      <c r="G42" s="504">
        <v>3.6</v>
      </c>
      <c r="H42" s="504">
        <v>4</v>
      </c>
      <c r="I42" s="504">
        <v>29</v>
      </c>
      <c r="J42" s="504">
        <v>0</v>
      </c>
      <c r="K42" s="504">
        <v>7.3</v>
      </c>
      <c r="L42" s="504">
        <v>15</v>
      </c>
      <c r="M42" s="504">
        <v>4.9000000000000004</v>
      </c>
    </row>
    <row r="43" spans="1:13" x14ac:dyDescent="0.3">
      <c r="A43" s="504">
        <v>42</v>
      </c>
      <c r="B43" s="504" t="s">
        <v>164</v>
      </c>
      <c r="C43" s="504" t="s">
        <v>39</v>
      </c>
      <c r="D43" s="504">
        <v>14</v>
      </c>
      <c r="E43" s="504">
        <v>86</v>
      </c>
      <c r="F43" s="504">
        <v>1</v>
      </c>
      <c r="G43" s="504">
        <v>6.1</v>
      </c>
      <c r="H43" s="504">
        <v>0</v>
      </c>
      <c r="I43" s="504">
        <v>0</v>
      </c>
      <c r="J43" s="504">
        <v>0</v>
      </c>
      <c r="K43" s="504">
        <v>0</v>
      </c>
      <c r="L43" s="504">
        <v>15</v>
      </c>
      <c r="M43" s="504">
        <v>4.9000000000000004</v>
      </c>
    </row>
    <row r="44" spans="1:13" x14ac:dyDescent="0.3">
      <c r="A44" s="504">
        <v>43</v>
      </c>
      <c r="B44" s="504" t="s">
        <v>458</v>
      </c>
      <c r="C44" s="504" t="s">
        <v>30</v>
      </c>
      <c r="D44" s="504">
        <v>24</v>
      </c>
      <c r="E44" s="504">
        <v>88</v>
      </c>
      <c r="F44" s="504">
        <v>0</v>
      </c>
      <c r="G44" s="504">
        <v>3.7</v>
      </c>
      <c r="H44" s="504">
        <v>3</v>
      </c>
      <c r="I44" s="504">
        <v>50</v>
      </c>
      <c r="J44" s="504">
        <v>0</v>
      </c>
      <c r="K44" s="504">
        <v>16.7</v>
      </c>
      <c r="L44" s="504">
        <v>14</v>
      </c>
      <c r="M44" s="504">
        <v>4.5999999999999996</v>
      </c>
    </row>
    <row r="45" spans="1:13" x14ac:dyDescent="0.3">
      <c r="A45" s="504">
        <v>44</v>
      </c>
      <c r="B45" s="504" t="s">
        <v>461</v>
      </c>
      <c r="C45" s="504" t="s">
        <v>4</v>
      </c>
      <c r="D45" s="504">
        <v>18</v>
      </c>
      <c r="E45" s="504">
        <v>117</v>
      </c>
      <c r="F45" s="504">
        <v>0</v>
      </c>
      <c r="G45" s="504">
        <v>6.5</v>
      </c>
      <c r="H45" s="504">
        <v>3</v>
      </c>
      <c r="I45" s="504">
        <v>21</v>
      </c>
      <c r="J45" s="504">
        <v>0</v>
      </c>
      <c r="K45" s="504">
        <v>7</v>
      </c>
      <c r="L45" s="504">
        <v>14</v>
      </c>
      <c r="M45" s="504">
        <v>4.5999999999999996</v>
      </c>
    </row>
    <row r="46" spans="1:13" x14ac:dyDescent="0.3">
      <c r="A46" s="504">
        <v>45</v>
      </c>
      <c r="B46" s="504" t="s">
        <v>99</v>
      </c>
      <c r="C46" s="504" t="s">
        <v>32</v>
      </c>
      <c r="D46" s="504">
        <v>31</v>
      </c>
      <c r="E46" s="504">
        <v>98</v>
      </c>
      <c r="F46" s="504">
        <v>0</v>
      </c>
      <c r="G46" s="504">
        <v>3.2</v>
      </c>
      <c r="H46" s="504">
        <v>12</v>
      </c>
      <c r="I46" s="504">
        <v>36</v>
      </c>
      <c r="J46" s="504">
        <v>0</v>
      </c>
      <c r="K46" s="504">
        <v>3</v>
      </c>
      <c r="L46" s="504">
        <v>13</v>
      </c>
      <c r="M46" s="504">
        <v>4.5</v>
      </c>
    </row>
    <row r="47" spans="1:13" x14ac:dyDescent="0.3">
      <c r="A47" s="504">
        <v>46</v>
      </c>
      <c r="B47" s="504" t="s">
        <v>520</v>
      </c>
      <c r="C47" s="504" t="s">
        <v>26</v>
      </c>
      <c r="D47" s="504">
        <v>16</v>
      </c>
      <c r="E47" s="504">
        <v>70</v>
      </c>
      <c r="F47" s="504">
        <v>1</v>
      </c>
      <c r="G47" s="504">
        <v>4.4000000000000004</v>
      </c>
      <c r="H47" s="504">
        <v>1</v>
      </c>
      <c r="I47" s="504">
        <v>-3</v>
      </c>
      <c r="J47" s="504">
        <v>0</v>
      </c>
      <c r="K47" s="504">
        <v>-3</v>
      </c>
      <c r="L47" s="504">
        <v>13</v>
      </c>
      <c r="M47" s="504">
        <v>4.2</v>
      </c>
    </row>
    <row r="48" spans="1:13" x14ac:dyDescent="0.3">
      <c r="A48" s="504">
        <v>47</v>
      </c>
      <c r="B48" s="504" t="s">
        <v>516</v>
      </c>
      <c r="C48" s="504" t="s">
        <v>57</v>
      </c>
      <c r="D48" s="504">
        <v>11</v>
      </c>
      <c r="E48" s="504">
        <v>49</v>
      </c>
      <c r="F48" s="504">
        <v>1</v>
      </c>
      <c r="G48" s="504">
        <v>4.5</v>
      </c>
      <c r="H48" s="504">
        <v>4</v>
      </c>
      <c r="I48" s="504">
        <v>17</v>
      </c>
      <c r="J48" s="504">
        <v>0</v>
      </c>
      <c r="K48" s="504">
        <v>4.3</v>
      </c>
      <c r="L48" s="504">
        <v>13</v>
      </c>
      <c r="M48" s="504">
        <v>4.2</v>
      </c>
    </row>
    <row r="49" spans="1:13" x14ac:dyDescent="0.3">
      <c r="A49" s="504">
        <v>48</v>
      </c>
      <c r="B49" s="504" t="s">
        <v>152</v>
      </c>
      <c r="C49" s="504" t="s">
        <v>404</v>
      </c>
      <c r="D49" s="504">
        <v>1</v>
      </c>
      <c r="E49" s="504">
        <v>1</v>
      </c>
      <c r="F49" s="504">
        <v>0</v>
      </c>
      <c r="G49" s="504">
        <v>1</v>
      </c>
      <c r="H49" s="504">
        <v>11</v>
      </c>
      <c r="I49" s="504">
        <v>63</v>
      </c>
      <c r="J49" s="504">
        <v>1</v>
      </c>
      <c r="K49" s="504">
        <v>5.7</v>
      </c>
      <c r="L49" s="504">
        <v>12</v>
      </c>
      <c r="M49" s="504">
        <v>4.0999999999999996</v>
      </c>
    </row>
    <row r="50" spans="1:13" x14ac:dyDescent="0.3">
      <c r="A50" s="504">
        <v>49</v>
      </c>
      <c r="B50" s="504" t="s">
        <v>153</v>
      </c>
      <c r="C50" s="504" t="s">
        <v>37</v>
      </c>
      <c r="D50" s="504">
        <v>11</v>
      </c>
      <c r="E50" s="504">
        <v>52</v>
      </c>
      <c r="F50" s="504">
        <v>1</v>
      </c>
      <c r="G50" s="504">
        <v>4.7</v>
      </c>
      <c r="H50" s="504">
        <v>2</v>
      </c>
      <c r="I50" s="504">
        <v>12</v>
      </c>
      <c r="J50" s="504">
        <v>0</v>
      </c>
      <c r="K50" s="504">
        <v>6</v>
      </c>
      <c r="L50" s="504">
        <v>12</v>
      </c>
      <c r="M50" s="504">
        <v>6.2</v>
      </c>
    </row>
    <row r="51" spans="1:13" x14ac:dyDescent="0.3">
      <c r="A51" s="504">
        <v>50</v>
      </c>
      <c r="B51" s="504" t="s">
        <v>167</v>
      </c>
      <c r="C51" s="504" t="s">
        <v>57</v>
      </c>
      <c r="D51" s="504">
        <v>3</v>
      </c>
      <c r="E51" s="504">
        <v>24</v>
      </c>
      <c r="F51" s="504">
        <v>0</v>
      </c>
      <c r="G51" s="504">
        <v>8</v>
      </c>
      <c r="H51" s="504">
        <v>4</v>
      </c>
      <c r="I51" s="504">
        <v>39</v>
      </c>
      <c r="J51" s="504">
        <v>1</v>
      </c>
      <c r="K51" s="504">
        <v>9.8000000000000007</v>
      </c>
      <c r="L51" s="504">
        <v>12</v>
      </c>
      <c r="M51" s="504">
        <v>6.2</v>
      </c>
    </row>
    <row r="52" spans="1:13" x14ac:dyDescent="0.3">
      <c r="A52" s="504">
        <v>51</v>
      </c>
      <c r="B52" s="504" t="s">
        <v>464</v>
      </c>
      <c r="C52" s="504" t="s">
        <v>46</v>
      </c>
      <c r="D52" s="504">
        <v>12</v>
      </c>
      <c r="E52" s="504">
        <v>67</v>
      </c>
      <c r="F52" s="504">
        <v>0</v>
      </c>
      <c r="G52" s="504">
        <v>5.6</v>
      </c>
      <c r="H52" s="504">
        <v>6</v>
      </c>
      <c r="I52" s="504">
        <v>56</v>
      </c>
      <c r="J52" s="504">
        <v>0</v>
      </c>
      <c r="K52" s="504">
        <v>9.3000000000000007</v>
      </c>
      <c r="L52" s="504">
        <v>12</v>
      </c>
      <c r="M52" s="504">
        <v>6.2</v>
      </c>
    </row>
    <row r="53" spans="1:13" x14ac:dyDescent="0.3">
      <c r="A53" s="504">
        <v>52</v>
      </c>
      <c r="B53" s="504" t="s">
        <v>103</v>
      </c>
      <c r="C53" s="504" t="s">
        <v>24</v>
      </c>
      <c r="D53" s="504">
        <v>19</v>
      </c>
      <c r="E53" s="504">
        <v>61</v>
      </c>
      <c r="F53" s="504">
        <v>1</v>
      </c>
      <c r="G53" s="504">
        <v>3.2</v>
      </c>
      <c r="H53" s="504">
        <v>0</v>
      </c>
      <c r="I53" s="504">
        <v>0</v>
      </c>
      <c r="J53" s="504">
        <v>0</v>
      </c>
      <c r="K53" s="504">
        <v>0</v>
      </c>
      <c r="L53" s="504">
        <v>12</v>
      </c>
      <c r="M53" s="504">
        <v>4</v>
      </c>
    </row>
    <row r="54" spans="1:13" x14ac:dyDescent="0.3">
      <c r="A54" s="504">
        <v>53</v>
      </c>
      <c r="B54" s="504" t="s">
        <v>86</v>
      </c>
      <c r="C54" s="504" t="s">
        <v>401</v>
      </c>
      <c r="D54" s="504">
        <v>25</v>
      </c>
      <c r="E54" s="504">
        <v>85</v>
      </c>
      <c r="F54" s="504">
        <v>0</v>
      </c>
      <c r="G54" s="504">
        <v>3.4</v>
      </c>
      <c r="H54" s="504">
        <v>5</v>
      </c>
      <c r="I54" s="504">
        <v>34</v>
      </c>
      <c r="J54" s="504">
        <v>0</v>
      </c>
      <c r="K54" s="504">
        <v>6.8</v>
      </c>
      <c r="L54" s="504">
        <v>12</v>
      </c>
      <c r="M54" s="504">
        <v>6</v>
      </c>
    </row>
    <row r="55" spans="1:13" x14ac:dyDescent="0.3">
      <c r="A55" s="504">
        <v>54</v>
      </c>
      <c r="B55" s="504" t="s">
        <v>94</v>
      </c>
      <c r="C55" s="504" t="s">
        <v>37</v>
      </c>
      <c r="D55" s="504">
        <v>31</v>
      </c>
      <c r="E55" s="504">
        <v>102</v>
      </c>
      <c r="F55" s="504">
        <v>0</v>
      </c>
      <c r="G55" s="504">
        <v>3.3</v>
      </c>
      <c r="H55" s="504">
        <v>3</v>
      </c>
      <c r="I55" s="504">
        <v>16</v>
      </c>
      <c r="J55" s="504">
        <v>0</v>
      </c>
      <c r="K55" s="504">
        <v>5.3</v>
      </c>
      <c r="L55" s="504">
        <v>12</v>
      </c>
      <c r="M55" s="504">
        <v>5.9</v>
      </c>
    </row>
    <row r="56" spans="1:13" x14ac:dyDescent="0.3">
      <c r="A56" s="504">
        <v>55</v>
      </c>
      <c r="B56" s="504" t="s">
        <v>1556</v>
      </c>
      <c r="C56" s="504" t="s">
        <v>70</v>
      </c>
      <c r="D56" s="504">
        <v>2</v>
      </c>
      <c r="E56" s="504">
        <v>30</v>
      </c>
      <c r="F56" s="504">
        <v>1</v>
      </c>
      <c r="G56" s="504">
        <v>15</v>
      </c>
      <c r="H56" s="504">
        <v>2</v>
      </c>
      <c r="I56" s="504">
        <v>24</v>
      </c>
      <c r="J56" s="504">
        <v>0</v>
      </c>
      <c r="K56" s="504">
        <v>12</v>
      </c>
      <c r="L56" s="504">
        <v>11</v>
      </c>
      <c r="M56" s="504">
        <v>3.8</v>
      </c>
    </row>
    <row r="57" spans="1:13" x14ac:dyDescent="0.3">
      <c r="A57" s="504">
        <v>56</v>
      </c>
      <c r="B57" s="504" t="s">
        <v>139</v>
      </c>
      <c r="C57" s="504" t="s">
        <v>57</v>
      </c>
      <c r="D57" s="504">
        <v>12</v>
      </c>
      <c r="E57" s="504">
        <v>42</v>
      </c>
      <c r="F57" s="504">
        <v>1</v>
      </c>
      <c r="G57" s="504">
        <v>3.5</v>
      </c>
      <c r="H57" s="504">
        <v>4</v>
      </c>
      <c r="I57" s="504">
        <v>31</v>
      </c>
      <c r="J57" s="504">
        <v>0</v>
      </c>
      <c r="K57" s="504">
        <v>7.8</v>
      </c>
      <c r="L57" s="504">
        <v>11</v>
      </c>
      <c r="M57" s="504">
        <v>5.7</v>
      </c>
    </row>
    <row r="58" spans="1:13" x14ac:dyDescent="0.3">
      <c r="A58" s="504">
        <v>57</v>
      </c>
      <c r="B58" s="504" t="s">
        <v>134</v>
      </c>
      <c r="C58" s="504" t="s">
        <v>52</v>
      </c>
      <c r="D58" s="504">
        <v>4</v>
      </c>
      <c r="E58" s="504">
        <v>7</v>
      </c>
      <c r="F58" s="504">
        <v>1</v>
      </c>
      <c r="G58" s="504">
        <v>1.8</v>
      </c>
      <c r="H58" s="504">
        <v>3</v>
      </c>
      <c r="I58" s="504">
        <v>42</v>
      </c>
      <c r="J58" s="504">
        <v>0</v>
      </c>
      <c r="K58" s="504">
        <v>14</v>
      </c>
      <c r="L58" s="504">
        <v>11</v>
      </c>
      <c r="M58" s="504">
        <v>3.6</v>
      </c>
    </row>
    <row r="59" spans="1:13" x14ac:dyDescent="0.3">
      <c r="A59" s="504">
        <v>58</v>
      </c>
      <c r="B59" s="504" t="s">
        <v>430</v>
      </c>
      <c r="C59" s="504" t="s">
        <v>57</v>
      </c>
      <c r="D59" s="504">
        <v>16</v>
      </c>
      <c r="E59" s="504">
        <v>47</v>
      </c>
      <c r="F59" s="504">
        <v>0</v>
      </c>
      <c r="G59" s="504">
        <v>2.9</v>
      </c>
      <c r="H59" s="504">
        <v>3</v>
      </c>
      <c r="I59" s="504">
        <v>62</v>
      </c>
      <c r="J59" s="504">
        <v>0</v>
      </c>
      <c r="K59" s="504">
        <v>20.7</v>
      </c>
      <c r="L59" s="504">
        <v>11</v>
      </c>
      <c r="M59" s="504">
        <v>5.5</v>
      </c>
    </row>
    <row r="60" spans="1:13" x14ac:dyDescent="0.3">
      <c r="A60" s="504">
        <v>59</v>
      </c>
      <c r="B60" s="504" t="s">
        <v>131</v>
      </c>
      <c r="C60" s="504" t="s">
        <v>398</v>
      </c>
      <c r="D60" s="504">
        <v>21</v>
      </c>
      <c r="E60" s="504">
        <v>49</v>
      </c>
      <c r="F60" s="504">
        <v>1</v>
      </c>
      <c r="G60" s="504">
        <v>2.2999999999999998</v>
      </c>
      <c r="H60" s="504">
        <v>3</v>
      </c>
      <c r="I60" s="504">
        <v>20</v>
      </c>
      <c r="J60" s="504">
        <v>0</v>
      </c>
      <c r="K60" s="504">
        <v>6.7</v>
      </c>
      <c r="L60" s="504">
        <v>11</v>
      </c>
      <c r="M60" s="504">
        <v>3.6</v>
      </c>
    </row>
    <row r="61" spans="1:13" x14ac:dyDescent="0.3">
      <c r="A61" s="504">
        <v>60</v>
      </c>
      <c r="B61" s="504" t="s">
        <v>124</v>
      </c>
      <c r="C61" s="504" t="s">
        <v>34</v>
      </c>
      <c r="D61" s="504">
        <v>9</v>
      </c>
      <c r="E61" s="504">
        <v>73</v>
      </c>
      <c r="F61" s="504">
        <v>0</v>
      </c>
      <c r="G61" s="504">
        <v>8.1</v>
      </c>
      <c r="H61" s="504">
        <v>9</v>
      </c>
      <c r="I61" s="504">
        <v>49</v>
      </c>
      <c r="J61" s="504">
        <v>0</v>
      </c>
      <c r="K61" s="504">
        <v>5.4</v>
      </c>
      <c r="L61" s="504">
        <v>10</v>
      </c>
      <c r="M61" s="504">
        <v>3.4</v>
      </c>
    </row>
    <row r="62" spans="1:13" x14ac:dyDescent="0.3">
      <c r="A62" s="504">
        <v>61</v>
      </c>
      <c r="B62" s="504" t="s">
        <v>154</v>
      </c>
      <c r="C62" s="504" t="s">
        <v>4</v>
      </c>
      <c r="D62" s="504">
        <v>3</v>
      </c>
      <c r="E62" s="504">
        <v>13</v>
      </c>
      <c r="F62" s="504">
        <v>1</v>
      </c>
      <c r="G62" s="504">
        <v>4.3</v>
      </c>
      <c r="H62" s="504">
        <v>2</v>
      </c>
      <c r="I62" s="504">
        <v>28</v>
      </c>
      <c r="J62" s="504">
        <v>0</v>
      </c>
      <c r="K62" s="504">
        <v>14</v>
      </c>
      <c r="L62" s="504">
        <v>10</v>
      </c>
      <c r="M62" s="504">
        <v>3.4</v>
      </c>
    </row>
    <row r="63" spans="1:13" x14ac:dyDescent="0.3">
      <c r="A63" s="504">
        <v>62</v>
      </c>
      <c r="B63" s="504" t="s">
        <v>97</v>
      </c>
      <c r="C63" s="504" t="s">
        <v>397</v>
      </c>
      <c r="D63" s="504">
        <v>12</v>
      </c>
      <c r="E63" s="504">
        <v>63</v>
      </c>
      <c r="F63" s="504">
        <v>0</v>
      </c>
      <c r="G63" s="504">
        <v>5.3</v>
      </c>
      <c r="H63" s="504">
        <v>10</v>
      </c>
      <c r="I63" s="504">
        <v>34</v>
      </c>
      <c r="J63" s="504">
        <v>0</v>
      </c>
      <c r="K63" s="504">
        <v>3.4</v>
      </c>
      <c r="L63" s="504">
        <v>10</v>
      </c>
      <c r="M63" s="504">
        <v>3.2</v>
      </c>
    </row>
    <row r="64" spans="1:13" x14ac:dyDescent="0.3">
      <c r="A64" s="504">
        <v>63</v>
      </c>
      <c r="B64" s="504" t="s">
        <v>118</v>
      </c>
      <c r="C64" s="504" t="s">
        <v>10</v>
      </c>
      <c r="D64" s="504">
        <v>3</v>
      </c>
      <c r="E64" s="504">
        <v>20</v>
      </c>
      <c r="F64" s="504">
        <v>0</v>
      </c>
      <c r="G64" s="504">
        <v>6.7</v>
      </c>
      <c r="H64" s="504">
        <v>2</v>
      </c>
      <c r="I64" s="504">
        <v>14</v>
      </c>
      <c r="J64" s="504">
        <v>1</v>
      </c>
      <c r="K64" s="504">
        <v>7</v>
      </c>
      <c r="L64" s="504">
        <v>9</v>
      </c>
      <c r="M64" s="504">
        <v>3.1</v>
      </c>
    </row>
    <row r="65" spans="1:13" x14ac:dyDescent="0.3">
      <c r="A65" s="504">
        <v>64</v>
      </c>
      <c r="B65" s="504" t="s">
        <v>466</v>
      </c>
      <c r="C65" s="504" t="s">
        <v>16</v>
      </c>
      <c r="D65" s="504">
        <v>4</v>
      </c>
      <c r="E65" s="504">
        <v>7</v>
      </c>
      <c r="F65" s="504">
        <v>0</v>
      </c>
      <c r="G65" s="504">
        <v>1.8</v>
      </c>
      <c r="H65" s="504">
        <v>10</v>
      </c>
      <c r="I65" s="504">
        <v>84</v>
      </c>
      <c r="J65" s="504">
        <v>0</v>
      </c>
      <c r="K65" s="504">
        <v>8.4</v>
      </c>
      <c r="L65" s="504">
        <v>9</v>
      </c>
      <c r="M65" s="504">
        <v>3</v>
      </c>
    </row>
    <row r="66" spans="1:13" x14ac:dyDescent="0.3">
      <c r="A66" s="504">
        <v>65</v>
      </c>
      <c r="B66" s="504" t="s">
        <v>137</v>
      </c>
      <c r="C66" s="504" t="s">
        <v>402</v>
      </c>
      <c r="D66" s="504">
        <v>8</v>
      </c>
      <c r="E66" s="504">
        <v>35</v>
      </c>
      <c r="F66" s="504">
        <v>0</v>
      </c>
      <c r="G66" s="504">
        <v>4.4000000000000004</v>
      </c>
      <c r="H66" s="504">
        <v>8</v>
      </c>
      <c r="I66" s="504">
        <v>52</v>
      </c>
      <c r="J66" s="504">
        <v>0</v>
      </c>
      <c r="K66" s="504">
        <v>6.5</v>
      </c>
      <c r="L66" s="504">
        <v>9</v>
      </c>
      <c r="M66" s="504">
        <v>2.9</v>
      </c>
    </row>
    <row r="67" spans="1:13" x14ac:dyDescent="0.3">
      <c r="A67" s="504">
        <v>66</v>
      </c>
      <c r="B67" s="504" t="s">
        <v>90</v>
      </c>
      <c r="C67" s="504" t="s">
        <v>22</v>
      </c>
      <c r="D67" s="504">
        <v>20</v>
      </c>
      <c r="E67" s="504">
        <v>73</v>
      </c>
      <c r="F67" s="504">
        <v>0</v>
      </c>
      <c r="G67" s="504">
        <v>3.7</v>
      </c>
      <c r="H67" s="504">
        <v>2</v>
      </c>
      <c r="I67" s="504">
        <v>7</v>
      </c>
      <c r="J67" s="504">
        <v>0</v>
      </c>
      <c r="K67" s="504">
        <v>3.5</v>
      </c>
      <c r="L67" s="504">
        <v>8</v>
      </c>
      <c r="M67" s="504">
        <v>4</v>
      </c>
    </row>
    <row r="68" spans="1:13" x14ac:dyDescent="0.3">
      <c r="A68" s="504">
        <v>67</v>
      </c>
      <c r="B68" s="504" t="s">
        <v>168</v>
      </c>
      <c r="C68" s="504" t="s">
        <v>404</v>
      </c>
      <c r="D68" s="504">
        <v>4</v>
      </c>
      <c r="E68" s="504">
        <v>9</v>
      </c>
      <c r="F68" s="504">
        <v>1</v>
      </c>
      <c r="G68" s="504">
        <v>2.2999999999999998</v>
      </c>
      <c r="H68" s="504">
        <v>2</v>
      </c>
      <c r="I68" s="504">
        <v>8</v>
      </c>
      <c r="J68" s="504">
        <v>0</v>
      </c>
      <c r="K68" s="504">
        <v>4</v>
      </c>
      <c r="L68" s="504">
        <v>8</v>
      </c>
      <c r="M68" s="504">
        <v>2.6</v>
      </c>
    </row>
    <row r="69" spans="1:13" x14ac:dyDescent="0.3">
      <c r="A69" s="504">
        <v>68</v>
      </c>
      <c r="B69" s="504" t="s">
        <v>177</v>
      </c>
      <c r="C69" s="504" t="s">
        <v>12</v>
      </c>
      <c r="D69" s="504">
        <v>0</v>
      </c>
      <c r="E69" s="504">
        <v>0</v>
      </c>
      <c r="F69" s="504">
        <v>0</v>
      </c>
      <c r="G69" s="504">
        <v>0</v>
      </c>
      <c r="H69" s="504">
        <v>1</v>
      </c>
      <c r="I69" s="504">
        <v>15</v>
      </c>
      <c r="J69" s="504">
        <v>1</v>
      </c>
      <c r="K69" s="504">
        <v>15</v>
      </c>
      <c r="L69" s="504">
        <v>8</v>
      </c>
      <c r="M69" s="504">
        <v>3.8</v>
      </c>
    </row>
    <row r="70" spans="1:13" x14ac:dyDescent="0.3">
      <c r="A70" s="504">
        <v>69</v>
      </c>
      <c r="B70" s="504" t="s">
        <v>100</v>
      </c>
      <c r="C70" s="504" t="s">
        <v>7</v>
      </c>
      <c r="D70" s="504">
        <v>19</v>
      </c>
      <c r="E70" s="504">
        <v>25</v>
      </c>
      <c r="F70" s="504">
        <v>0</v>
      </c>
      <c r="G70" s="504">
        <v>1.3</v>
      </c>
      <c r="H70" s="504">
        <v>6</v>
      </c>
      <c r="I70" s="504">
        <v>41</v>
      </c>
      <c r="J70" s="504">
        <v>0</v>
      </c>
      <c r="K70" s="504">
        <v>6.8</v>
      </c>
      <c r="L70" s="504">
        <v>7</v>
      </c>
      <c r="M70" s="504">
        <v>3.3</v>
      </c>
    </row>
    <row r="71" spans="1:13" x14ac:dyDescent="0.3">
      <c r="A71" s="504">
        <v>70</v>
      </c>
      <c r="B71" s="504" t="s">
        <v>764</v>
      </c>
      <c r="C71" s="504" t="s">
        <v>70</v>
      </c>
      <c r="D71" s="504">
        <v>16</v>
      </c>
      <c r="E71" s="504">
        <v>62</v>
      </c>
      <c r="F71" s="504">
        <v>0</v>
      </c>
      <c r="G71" s="504">
        <v>3.9</v>
      </c>
      <c r="H71" s="504">
        <v>2</v>
      </c>
      <c r="I71" s="504">
        <v>22</v>
      </c>
      <c r="J71" s="504">
        <v>0</v>
      </c>
      <c r="K71" s="504">
        <v>11</v>
      </c>
      <c r="L71" s="504">
        <v>6</v>
      </c>
      <c r="M71" s="504">
        <v>2.1</v>
      </c>
    </row>
    <row r="72" spans="1:13" x14ac:dyDescent="0.3">
      <c r="A72" s="504">
        <v>71</v>
      </c>
      <c r="B72" s="504" t="s">
        <v>150</v>
      </c>
      <c r="C72" s="504" t="s">
        <v>22</v>
      </c>
      <c r="D72" s="504">
        <v>12</v>
      </c>
      <c r="E72" s="504">
        <v>47</v>
      </c>
      <c r="F72" s="504">
        <v>0</v>
      </c>
      <c r="G72" s="504">
        <v>3.9</v>
      </c>
      <c r="H72" s="504">
        <v>1</v>
      </c>
      <c r="I72" s="504">
        <v>11</v>
      </c>
      <c r="J72" s="504">
        <v>0</v>
      </c>
      <c r="K72" s="504">
        <v>11</v>
      </c>
      <c r="L72" s="504">
        <v>6</v>
      </c>
      <c r="M72" s="504">
        <v>5.8</v>
      </c>
    </row>
    <row r="73" spans="1:13" x14ac:dyDescent="0.3">
      <c r="A73" s="504">
        <v>72</v>
      </c>
      <c r="B73" s="504" t="s">
        <v>143</v>
      </c>
      <c r="C73" s="504" t="s">
        <v>41</v>
      </c>
      <c r="D73" s="504">
        <v>19</v>
      </c>
      <c r="E73" s="504">
        <v>53</v>
      </c>
      <c r="F73" s="504">
        <v>0</v>
      </c>
      <c r="G73" s="504">
        <v>2.8</v>
      </c>
      <c r="H73" s="504">
        <v>3</v>
      </c>
      <c r="I73" s="504">
        <v>4</v>
      </c>
      <c r="J73" s="504">
        <v>0</v>
      </c>
      <c r="K73" s="504">
        <v>1.3</v>
      </c>
      <c r="L73" s="504">
        <v>6</v>
      </c>
      <c r="M73" s="504">
        <v>1.9</v>
      </c>
    </row>
    <row r="74" spans="1:13" x14ac:dyDescent="0.3">
      <c r="A74" s="504">
        <v>73</v>
      </c>
      <c r="B74" s="504" t="s">
        <v>85</v>
      </c>
      <c r="C74" s="504" t="s">
        <v>41</v>
      </c>
      <c r="D74" s="504">
        <v>31</v>
      </c>
      <c r="E74" s="504">
        <v>50</v>
      </c>
      <c r="F74" s="504">
        <v>0</v>
      </c>
      <c r="G74" s="504">
        <v>1.6</v>
      </c>
      <c r="H74" s="504">
        <v>2</v>
      </c>
      <c r="I74" s="504">
        <v>7</v>
      </c>
      <c r="J74" s="504">
        <v>0</v>
      </c>
      <c r="K74" s="504">
        <v>3.5</v>
      </c>
      <c r="L74" s="504">
        <v>6</v>
      </c>
      <c r="M74" s="504">
        <v>2.9</v>
      </c>
    </row>
    <row r="75" spans="1:13" x14ac:dyDescent="0.3">
      <c r="A75" s="504">
        <v>74</v>
      </c>
      <c r="B75" s="504" t="s">
        <v>161</v>
      </c>
      <c r="C75" s="504" t="s">
        <v>41</v>
      </c>
      <c r="D75" s="504">
        <v>16</v>
      </c>
      <c r="E75" s="504">
        <v>42</v>
      </c>
      <c r="F75" s="504">
        <v>0</v>
      </c>
      <c r="G75" s="504">
        <v>2.6</v>
      </c>
      <c r="H75" s="504">
        <v>2</v>
      </c>
      <c r="I75" s="504">
        <v>15</v>
      </c>
      <c r="J75" s="504">
        <v>0</v>
      </c>
      <c r="K75" s="504">
        <v>7.5</v>
      </c>
      <c r="L75" s="504">
        <v>6</v>
      </c>
      <c r="M75" s="504">
        <v>1.9</v>
      </c>
    </row>
    <row r="76" spans="1:13" x14ac:dyDescent="0.3">
      <c r="A76" s="504">
        <v>75</v>
      </c>
      <c r="B76" s="504" t="s">
        <v>151</v>
      </c>
      <c r="C76" s="504" t="s">
        <v>409</v>
      </c>
      <c r="D76" s="504">
        <v>4</v>
      </c>
      <c r="E76" s="504">
        <v>32</v>
      </c>
      <c r="F76" s="504">
        <v>0</v>
      </c>
      <c r="G76" s="504">
        <v>8</v>
      </c>
      <c r="H76" s="504">
        <v>3</v>
      </c>
      <c r="I76" s="504">
        <v>24</v>
      </c>
      <c r="J76" s="504">
        <v>0</v>
      </c>
      <c r="K76" s="504">
        <v>8</v>
      </c>
      <c r="L76" s="504">
        <v>6</v>
      </c>
      <c r="M76" s="504">
        <v>1.9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1"/>
  <sheetViews>
    <sheetView topLeftCell="A4" workbookViewId="0">
      <selection activeCell="J19" sqref="J19"/>
    </sheetView>
  </sheetViews>
  <sheetFormatPr defaultRowHeight="14.4" x14ac:dyDescent="0.3"/>
  <cols>
    <col min="1" max="1" width="8.88671875" style="135"/>
    <col min="2" max="2" width="16.5546875" style="135" bestFit="1" customWidth="1"/>
    <col min="3" max="4" width="8.88671875" style="135"/>
    <col min="5" max="5" width="9.109375" style="135" customWidth="1"/>
    <col min="6" max="7" width="8.88671875" style="135"/>
    <col min="8" max="8" width="10.33203125" style="135" customWidth="1"/>
    <col min="9" max="9" width="10" style="135" customWidth="1"/>
    <col min="10" max="10" width="9.44140625" style="135" customWidth="1"/>
    <col min="11" max="16384" width="8.88671875" style="135"/>
  </cols>
  <sheetData>
    <row r="1" spans="1:13" x14ac:dyDescent="0.3">
      <c r="A1" s="394" t="s">
        <v>2443</v>
      </c>
      <c r="B1" s="394" t="s">
        <v>1</v>
      </c>
      <c r="C1" s="394" t="s">
        <v>387</v>
      </c>
      <c r="D1" s="394" t="s">
        <v>389</v>
      </c>
      <c r="E1" s="394" t="s">
        <v>826</v>
      </c>
      <c r="F1" s="394" t="s">
        <v>393</v>
      </c>
      <c r="G1" s="394" t="s">
        <v>2451</v>
      </c>
      <c r="H1" s="394" t="s">
        <v>2450</v>
      </c>
      <c r="I1" s="394" t="s">
        <v>801</v>
      </c>
      <c r="J1" s="394" t="s">
        <v>392</v>
      </c>
      <c r="K1" s="394" t="s">
        <v>2447</v>
      </c>
      <c r="L1" s="394" t="s">
        <v>2448</v>
      </c>
      <c r="M1" s="394" t="s">
        <v>2449</v>
      </c>
    </row>
    <row r="2" spans="1:13" x14ac:dyDescent="0.3">
      <c r="A2" s="504">
        <v>1</v>
      </c>
      <c r="B2" s="504" t="s">
        <v>173</v>
      </c>
      <c r="C2" s="504" t="s">
        <v>26</v>
      </c>
      <c r="D2" s="504">
        <v>18</v>
      </c>
      <c r="E2" s="504">
        <v>408</v>
      </c>
      <c r="F2" s="504">
        <v>2</v>
      </c>
      <c r="G2" s="504">
        <v>22.7</v>
      </c>
      <c r="H2" s="504">
        <v>0</v>
      </c>
      <c r="I2" s="504">
        <v>0</v>
      </c>
      <c r="J2" s="504">
        <v>0</v>
      </c>
      <c r="K2" s="504">
        <v>0</v>
      </c>
      <c r="L2" s="504">
        <v>53</v>
      </c>
      <c r="M2" s="504">
        <v>17.600000000000001</v>
      </c>
    </row>
    <row r="3" spans="1:13" x14ac:dyDescent="0.3">
      <c r="A3" s="504">
        <v>2</v>
      </c>
      <c r="B3" s="504" t="s">
        <v>217</v>
      </c>
      <c r="C3" s="504" t="s">
        <v>401</v>
      </c>
      <c r="D3" s="504">
        <v>21</v>
      </c>
      <c r="E3" s="504">
        <v>301</v>
      </c>
      <c r="F3" s="504">
        <v>3</v>
      </c>
      <c r="G3" s="504">
        <v>14.3</v>
      </c>
      <c r="H3" s="504">
        <v>0</v>
      </c>
      <c r="I3" s="504">
        <v>0</v>
      </c>
      <c r="J3" s="504">
        <v>0</v>
      </c>
      <c r="K3" s="504">
        <v>0</v>
      </c>
      <c r="L3" s="504">
        <v>48</v>
      </c>
      <c r="M3" s="504">
        <v>16</v>
      </c>
    </row>
    <row r="4" spans="1:13" x14ac:dyDescent="0.3">
      <c r="A4" s="504">
        <v>3</v>
      </c>
      <c r="B4" s="504" t="s">
        <v>427</v>
      </c>
      <c r="C4" s="504" t="s">
        <v>395</v>
      </c>
      <c r="D4" s="504">
        <v>17</v>
      </c>
      <c r="E4" s="504">
        <v>206</v>
      </c>
      <c r="F4" s="504">
        <v>4</v>
      </c>
      <c r="G4" s="504">
        <v>12.1</v>
      </c>
      <c r="H4" s="504">
        <v>0</v>
      </c>
      <c r="I4" s="504">
        <v>0</v>
      </c>
      <c r="J4" s="504">
        <v>0</v>
      </c>
      <c r="K4" s="504">
        <v>0</v>
      </c>
      <c r="L4" s="504">
        <v>45</v>
      </c>
      <c r="M4" s="504">
        <v>14.9</v>
      </c>
    </row>
    <row r="5" spans="1:13" x14ac:dyDescent="0.3">
      <c r="A5" s="504">
        <v>4</v>
      </c>
      <c r="B5" s="504" t="s">
        <v>187</v>
      </c>
      <c r="C5" s="504" t="s">
        <v>20</v>
      </c>
      <c r="D5" s="504">
        <v>24</v>
      </c>
      <c r="E5" s="504">
        <v>305</v>
      </c>
      <c r="F5" s="504">
        <v>2</v>
      </c>
      <c r="G5" s="504">
        <v>12.7</v>
      </c>
      <c r="H5" s="504">
        <v>0</v>
      </c>
      <c r="I5" s="504">
        <v>0</v>
      </c>
      <c r="J5" s="504">
        <v>0</v>
      </c>
      <c r="K5" s="504">
        <v>0</v>
      </c>
      <c r="L5" s="504">
        <v>43</v>
      </c>
      <c r="M5" s="504">
        <v>14.2</v>
      </c>
    </row>
    <row r="6" spans="1:13" x14ac:dyDescent="0.3">
      <c r="A6" s="504">
        <v>5</v>
      </c>
      <c r="B6" s="504" t="s">
        <v>193</v>
      </c>
      <c r="C6" s="504" t="s">
        <v>24</v>
      </c>
      <c r="D6" s="504">
        <v>21</v>
      </c>
      <c r="E6" s="504">
        <v>222</v>
      </c>
      <c r="F6" s="504">
        <v>3</v>
      </c>
      <c r="G6" s="504">
        <v>10.6</v>
      </c>
      <c r="H6" s="504">
        <v>0</v>
      </c>
      <c r="I6" s="504">
        <v>0</v>
      </c>
      <c r="J6" s="504">
        <v>0</v>
      </c>
      <c r="K6" s="504">
        <v>0</v>
      </c>
      <c r="L6" s="504">
        <v>40</v>
      </c>
      <c r="M6" s="504">
        <v>13.4</v>
      </c>
    </row>
    <row r="7" spans="1:13" x14ac:dyDescent="0.3">
      <c r="A7" s="504">
        <v>6</v>
      </c>
      <c r="B7" s="504" t="s">
        <v>192</v>
      </c>
      <c r="C7" s="504" t="s">
        <v>7</v>
      </c>
      <c r="D7" s="504">
        <v>20</v>
      </c>
      <c r="E7" s="504">
        <v>276</v>
      </c>
      <c r="F7" s="504">
        <v>2</v>
      </c>
      <c r="G7" s="504">
        <v>13.8</v>
      </c>
      <c r="H7" s="504">
        <v>1</v>
      </c>
      <c r="I7" s="504">
        <v>-4</v>
      </c>
      <c r="J7" s="504">
        <v>0</v>
      </c>
      <c r="K7" s="504">
        <v>-4</v>
      </c>
      <c r="L7" s="504">
        <v>39</v>
      </c>
      <c r="M7" s="504">
        <v>13.1</v>
      </c>
    </row>
    <row r="8" spans="1:13" x14ac:dyDescent="0.3">
      <c r="A8" s="504">
        <v>7</v>
      </c>
      <c r="B8" s="504" t="s">
        <v>218</v>
      </c>
      <c r="C8" s="504" t="s">
        <v>41</v>
      </c>
      <c r="D8" s="504">
        <v>20</v>
      </c>
      <c r="E8" s="504">
        <v>325</v>
      </c>
      <c r="F8" s="504">
        <v>1</v>
      </c>
      <c r="G8" s="504">
        <v>16.3</v>
      </c>
      <c r="H8" s="504">
        <v>1</v>
      </c>
      <c r="I8" s="504">
        <v>-1</v>
      </c>
      <c r="J8" s="504">
        <v>0</v>
      </c>
      <c r="K8" s="504">
        <v>-1</v>
      </c>
      <c r="L8" s="504">
        <v>38</v>
      </c>
      <c r="M8" s="504">
        <v>12.8</v>
      </c>
    </row>
    <row r="9" spans="1:13" x14ac:dyDescent="0.3">
      <c r="A9" s="504">
        <v>8</v>
      </c>
      <c r="B9" s="504" t="s">
        <v>768</v>
      </c>
      <c r="C9" s="504" t="s">
        <v>22</v>
      </c>
      <c r="D9" s="504">
        <v>13</v>
      </c>
      <c r="E9" s="504">
        <v>199</v>
      </c>
      <c r="F9" s="504">
        <v>3</v>
      </c>
      <c r="G9" s="504">
        <v>15.3</v>
      </c>
      <c r="H9" s="504">
        <v>0</v>
      </c>
      <c r="I9" s="504">
        <v>0</v>
      </c>
      <c r="J9" s="504">
        <v>0</v>
      </c>
      <c r="K9" s="504">
        <v>0</v>
      </c>
      <c r="L9" s="504">
        <v>38</v>
      </c>
      <c r="M9" s="504">
        <v>12.6</v>
      </c>
    </row>
    <row r="10" spans="1:13" x14ac:dyDescent="0.3">
      <c r="A10" s="504">
        <v>9</v>
      </c>
      <c r="B10" s="504" t="s">
        <v>205</v>
      </c>
      <c r="C10" s="504" t="s">
        <v>57</v>
      </c>
      <c r="D10" s="504">
        <v>24</v>
      </c>
      <c r="E10" s="504">
        <v>316</v>
      </c>
      <c r="F10" s="504">
        <v>1</v>
      </c>
      <c r="G10" s="504">
        <v>13.2</v>
      </c>
      <c r="H10" s="504">
        <v>2</v>
      </c>
      <c r="I10" s="504">
        <v>16</v>
      </c>
      <c r="J10" s="504">
        <v>0</v>
      </c>
      <c r="K10" s="504">
        <v>8</v>
      </c>
      <c r="L10" s="504">
        <v>37</v>
      </c>
      <c r="M10" s="504">
        <v>12.4</v>
      </c>
    </row>
    <row r="11" spans="1:13" x14ac:dyDescent="0.3">
      <c r="A11" s="504">
        <v>10</v>
      </c>
      <c r="B11" s="504" t="s">
        <v>275</v>
      </c>
      <c r="C11" s="504" t="s">
        <v>32</v>
      </c>
      <c r="D11" s="504">
        <v>10</v>
      </c>
      <c r="E11" s="504">
        <v>166</v>
      </c>
      <c r="F11" s="504">
        <v>3</v>
      </c>
      <c r="G11" s="504">
        <v>16.600000000000001</v>
      </c>
      <c r="H11" s="504">
        <v>2</v>
      </c>
      <c r="I11" s="504">
        <v>16</v>
      </c>
      <c r="J11" s="504">
        <v>0</v>
      </c>
      <c r="K11" s="504">
        <v>8</v>
      </c>
      <c r="L11" s="504">
        <v>36</v>
      </c>
      <c r="M11" s="504">
        <v>12.1</v>
      </c>
    </row>
    <row r="12" spans="1:13" x14ac:dyDescent="0.3">
      <c r="A12" s="504">
        <v>11</v>
      </c>
      <c r="B12" s="504" t="s">
        <v>206</v>
      </c>
      <c r="C12" s="504" t="s">
        <v>404</v>
      </c>
      <c r="D12" s="504">
        <v>15</v>
      </c>
      <c r="E12" s="504">
        <v>224</v>
      </c>
      <c r="F12" s="504">
        <v>2</v>
      </c>
      <c r="G12" s="504">
        <v>14.9</v>
      </c>
      <c r="H12" s="504">
        <v>2</v>
      </c>
      <c r="I12" s="504">
        <v>17</v>
      </c>
      <c r="J12" s="504">
        <v>0</v>
      </c>
      <c r="K12" s="504">
        <v>8.5</v>
      </c>
      <c r="L12" s="504">
        <v>36</v>
      </c>
      <c r="M12" s="504">
        <v>12</v>
      </c>
    </row>
    <row r="13" spans="1:13" x14ac:dyDescent="0.3">
      <c r="A13" s="504">
        <v>12</v>
      </c>
      <c r="B13" s="504" t="s">
        <v>195</v>
      </c>
      <c r="C13" s="504" t="s">
        <v>28</v>
      </c>
      <c r="D13" s="504">
        <v>22</v>
      </c>
      <c r="E13" s="504">
        <v>295</v>
      </c>
      <c r="F13" s="504">
        <v>1</v>
      </c>
      <c r="G13" s="504">
        <v>13.4</v>
      </c>
      <c r="H13" s="504">
        <v>0</v>
      </c>
      <c r="I13" s="504">
        <v>0</v>
      </c>
      <c r="J13" s="504">
        <v>0</v>
      </c>
      <c r="K13" s="504">
        <v>0</v>
      </c>
      <c r="L13" s="504">
        <v>36</v>
      </c>
      <c r="M13" s="504">
        <v>11.8</v>
      </c>
    </row>
    <row r="14" spans="1:13" x14ac:dyDescent="0.3">
      <c r="A14" s="504">
        <v>13</v>
      </c>
      <c r="B14" s="504" t="s">
        <v>213</v>
      </c>
      <c r="C14" s="504" t="s">
        <v>16</v>
      </c>
      <c r="D14" s="504">
        <v>18</v>
      </c>
      <c r="E14" s="504">
        <v>294</v>
      </c>
      <c r="F14" s="504">
        <v>1</v>
      </c>
      <c r="G14" s="504">
        <v>16.3</v>
      </c>
      <c r="H14" s="504">
        <v>0</v>
      </c>
      <c r="I14" s="504">
        <v>0</v>
      </c>
      <c r="J14" s="504">
        <v>0</v>
      </c>
      <c r="K14" s="504">
        <v>0</v>
      </c>
      <c r="L14" s="504">
        <v>35</v>
      </c>
      <c r="M14" s="504">
        <v>11.8</v>
      </c>
    </row>
    <row r="15" spans="1:13" x14ac:dyDescent="0.3">
      <c r="A15" s="504">
        <v>14</v>
      </c>
      <c r="B15" s="504" t="s">
        <v>454</v>
      </c>
      <c r="C15" s="504" t="s">
        <v>37</v>
      </c>
      <c r="D15" s="504">
        <v>16</v>
      </c>
      <c r="E15" s="504">
        <v>233</v>
      </c>
      <c r="F15" s="504">
        <v>2</v>
      </c>
      <c r="G15" s="504">
        <v>14.6</v>
      </c>
      <c r="H15" s="504">
        <v>0</v>
      </c>
      <c r="I15" s="504">
        <v>0</v>
      </c>
      <c r="J15" s="504">
        <v>0</v>
      </c>
      <c r="K15" s="504">
        <v>0</v>
      </c>
      <c r="L15" s="504">
        <v>35</v>
      </c>
      <c r="M15" s="504">
        <v>11.8</v>
      </c>
    </row>
    <row r="16" spans="1:13" x14ac:dyDescent="0.3">
      <c r="A16" s="504">
        <v>15</v>
      </c>
      <c r="B16" s="504" t="s">
        <v>227</v>
      </c>
      <c r="C16" s="504" t="s">
        <v>404</v>
      </c>
      <c r="D16" s="504">
        <v>14</v>
      </c>
      <c r="E16" s="504">
        <v>226</v>
      </c>
      <c r="F16" s="504">
        <v>2</v>
      </c>
      <c r="G16" s="504">
        <v>16.100000000000001</v>
      </c>
      <c r="H16" s="504">
        <v>0</v>
      </c>
      <c r="I16" s="504">
        <v>0</v>
      </c>
      <c r="J16" s="504">
        <v>0</v>
      </c>
      <c r="K16" s="504">
        <v>0</v>
      </c>
      <c r="L16" s="504">
        <v>35</v>
      </c>
      <c r="M16" s="504">
        <v>17.3</v>
      </c>
    </row>
    <row r="17" spans="1:13" x14ac:dyDescent="0.3">
      <c r="A17" s="504">
        <v>16</v>
      </c>
      <c r="B17" s="504" t="s">
        <v>189</v>
      </c>
      <c r="C17" s="504" t="s">
        <v>43</v>
      </c>
      <c r="D17" s="504">
        <v>16</v>
      </c>
      <c r="E17" s="504">
        <v>223</v>
      </c>
      <c r="F17" s="504">
        <v>2</v>
      </c>
      <c r="G17" s="504">
        <v>13.9</v>
      </c>
      <c r="H17" s="504">
        <v>0</v>
      </c>
      <c r="I17" s="504">
        <v>0</v>
      </c>
      <c r="J17" s="504">
        <v>0</v>
      </c>
      <c r="K17" s="504">
        <v>0</v>
      </c>
      <c r="L17" s="504">
        <v>34</v>
      </c>
      <c r="M17" s="504">
        <v>11.4</v>
      </c>
    </row>
    <row r="18" spans="1:13" x14ac:dyDescent="0.3">
      <c r="A18" s="504">
        <v>17</v>
      </c>
      <c r="B18" s="504" t="s">
        <v>479</v>
      </c>
      <c r="C18" s="504" t="s">
        <v>14</v>
      </c>
      <c r="D18" s="504">
        <v>14</v>
      </c>
      <c r="E18" s="504">
        <v>244</v>
      </c>
      <c r="F18" s="504">
        <v>0</v>
      </c>
      <c r="G18" s="504">
        <v>17.399999999999999</v>
      </c>
      <c r="H18" s="504">
        <v>4</v>
      </c>
      <c r="I18" s="504">
        <v>21</v>
      </c>
      <c r="J18" s="504">
        <v>1</v>
      </c>
      <c r="K18" s="504">
        <v>5.3</v>
      </c>
      <c r="L18" s="504">
        <v>34</v>
      </c>
      <c r="M18" s="504">
        <v>11.3</v>
      </c>
    </row>
    <row r="19" spans="1:13" x14ac:dyDescent="0.3">
      <c r="A19" s="504">
        <v>18</v>
      </c>
      <c r="B19" s="504" t="s">
        <v>241</v>
      </c>
      <c r="C19" s="504" t="s">
        <v>407</v>
      </c>
      <c r="D19" s="504">
        <v>17</v>
      </c>
      <c r="E19" s="504">
        <v>229</v>
      </c>
      <c r="F19" s="504">
        <v>2</v>
      </c>
      <c r="G19" s="504">
        <v>13.5</v>
      </c>
      <c r="H19" s="504">
        <v>1</v>
      </c>
      <c r="I19" s="504">
        <v>-1</v>
      </c>
      <c r="J19" s="504">
        <v>0</v>
      </c>
      <c r="K19" s="504">
        <v>-1</v>
      </c>
      <c r="L19" s="504">
        <v>33</v>
      </c>
      <c r="M19" s="504">
        <v>10.9</v>
      </c>
    </row>
    <row r="20" spans="1:13" x14ac:dyDescent="0.3">
      <c r="A20" s="504">
        <v>19</v>
      </c>
      <c r="B20" s="504" t="s">
        <v>203</v>
      </c>
      <c r="C20" s="504" t="s">
        <v>70</v>
      </c>
      <c r="D20" s="504">
        <v>17</v>
      </c>
      <c r="E20" s="504">
        <v>205</v>
      </c>
      <c r="F20" s="504">
        <v>2</v>
      </c>
      <c r="G20" s="504">
        <v>12.1</v>
      </c>
      <c r="H20" s="504">
        <v>0</v>
      </c>
      <c r="I20" s="504">
        <v>0</v>
      </c>
      <c r="J20" s="504">
        <v>0</v>
      </c>
      <c r="K20" s="504">
        <v>0</v>
      </c>
      <c r="L20" s="504">
        <v>33</v>
      </c>
      <c r="M20" s="504">
        <v>10.8</v>
      </c>
    </row>
    <row r="21" spans="1:13" x14ac:dyDescent="0.3">
      <c r="A21" s="504">
        <v>20</v>
      </c>
      <c r="B21" s="504" t="s">
        <v>211</v>
      </c>
      <c r="C21" s="504" t="s">
        <v>39</v>
      </c>
      <c r="D21" s="504">
        <v>15</v>
      </c>
      <c r="E21" s="504">
        <v>204</v>
      </c>
      <c r="F21" s="504">
        <v>2</v>
      </c>
      <c r="G21" s="504">
        <v>13.6</v>
      </c>
      <c r="H21" s="504">
        <v>0</v>
      </c>
      <c r="I21" s="504">
        <v>0</v>
      </c>
      <c r="J21" s="504">
        <v>0</v>
      </c>
      <c r="K21" s="504">
        <v>0</v>
      </c>
      <c r="L21" s="504">
        <v>32</v>
      </c>
      <c r="M21" s="504">
        <v>10.8</v>
      </c>
    </row>
    <row r="22" spans="1:13" x14ac:dyDescent="0.3">
      <c r="A22" s="504">
        <v>21</v>
      </c>
      <c r="B22" s="504" t="s">
        <v>197</v>
      </c>
      <c r="C22" s="504" t="s">
        <v>34</v>
      </c>
      <c r="D22" s="504">
        <v>9</v>
      </c>
      <c r="E22" s="504">
        <v>194</v>
      </c>
      <c r="F22" s="504">
        <v>2</v>
      </c>
      <c r="G22" s="504">
        <v>21.6</v>
      </c>
      <c r="H22" s="504">
        <v>0</v>
      </c>
      <c r="I22" s="504">
        <v>0</v>
      </c>
      <c r="J22" s="504">
        <v>0</v>
      </c>
      <c r="K22" s="504">
        <v>0</v>
      </c>
      <c r="L22" s="504">
        <v>31</v>
      </c>
      <c r="M22" s="504">
        <v>10.5</v>
      </c>
    </row>
    <row r="23" spans="1:13" x14ac:dyDescent="0.3">
      <c r="A23" s="504">
        <v>22</v>
      </c>
      <c r="B23" s="504" t="s">
        <v>188</v>
      </c>
      <c r="C23" s="504" t="s">
        <v>50</v>
      </c>
      <c r="D23" s="504">
        <v>10</v>
      </c>
      <c r="E23" s="504">
        <v>188</v>
      </c>
      <c r="F23" s="504">
        <v>2</v>
      </c>
      <c r="G23" s="504">
        <v>18.8</v>
      </c>
      <c r="H23" s="504">
        <v>0</v>
      </c>
      <c r="I23" s="504">
        <v>0</v>
      </c>
      <c r="J23" s="504">
        <v>0</v>
      </c>
      <c r="K23" s="504">
        <v>0</v>
      </c>
      <c r="L23" s="504">
        <v>31</v>
      </c>
      <c r="M23" s="504">
        <v>10.3</v>
      </c>
    </row>
    <row r="24" spans="1:13" x14ac:dyDescent="0.3">
      <c r="A24" s="504">
        <v>23</v>
      </c>
      <c r="B24" s="504" t="s">
        <v>194</v>
      </c>
      <c r="C24" s="504" t="s">
        <v>12</v>
      </c>
      <c r="D24" s="504">
        <v>16</v>
      </c>
      <c r="E24" s="504">
        <v>183</v>
      </c>
      <c r="F24" s="504">
        <v>2</v>
      </c>
      <c r="G24" s="504">
        <v>11.4</v>
      </c>
      <c r="H24" s="504">
        <v>0</v>
      </c>
      <c r="I24" s="504">
        <v>0</v>
      </c>
      <c r="J24" s="504">
        <v>0</v>
      </c>
      <c r="K24" s="504">
        <v>0</v>
      </c>
      <c r="L24" s="504">
        <v>30</v>
      </c>
      <c r="M24" s="504">
        <v>10.1</v>
      </c>
    </row>
    <row r="25" spans="1:13" x14ac:dyDescent="0.3">
      <c r="A25" s="504">
        <v>24</v>
      </c>
      <c r="B25" s="504" t="s">
        <v>463</v>
      </c>
      <c r="C25" s="504" t="s">
        <v>43</v>
      </c>
      <c r="D25" s="504">
        <v>12</v>
      </c>
      <c r="E25" s="504">
        <v>242</v>
      </c>
      <c r="F25" s="504">
        <v>1</v>
      </c>
      <c r="G25" s="504">
        <v>20.2</v>
      </c>
      <c r="H25" s="504">
        <v>0</v>
      </c>
      <c r="I25" s="504">
        <v>0</v>
      </c>
      <c r="J25" s="504">
        <v>0</v>
      </c>
      <c r="K25" s="504">
        <v>0</v>
      </c>
      <c r="L25" s="504">
        <v>30</v>
      </c>
      <c r="M25" s="504">
        <v>10.1</v>
      </c>
    </row>
    <row r="26" spans="1:13" x14ac:dyDescent="0.3">
      <c r="A26" s="504">
        <v>25</v>
      </c>
      <c r="B26" s="504" t="s">
        <v>226</v>
      </c>
      <c r="C26" s="504" t="s">
        <v>18</v>
      </c>
      <c r="D26" s="504">
        <v>14</v>
      </c>
      <c r="E26" s="504">
        <v>238</v>
      </c>
      <c r="F26" s="504">
        <v>1</v>
      </c>
      <c r="G26" s="504">
        <v>17</v>
      </c>
      <c r="H26" s="504">
        <v>0</v>
      </c>
      <c r="I26" s="504">
        <v>0</v>
      </c>
      <c r="J26" s="504">
        <v>0</v>
      </c>
      <c r="K26" s="504">
        <v>0</v>
      </c>
      <c r="L26" s="504">
        <v>30</v>
      </c>
      <c r="M26" s="504">
        <v>9.9</v>
      </c>
    </row>
    <row r="27" spans="1:13" x14ac:dyDescent="0.3">
      <c r="A27" s="504">
        <v>26</v>
      </c>
      <c r="B27" s="504" t="s">
        <v>238</v>
      </c>
      <c r="C27" s="504" t="s">
        <v>18</v>
      </c>
      <c r="D27" s="504">
        <v>16</v>
      </c>
      <c r="E27" s="504">
        <v>175</v>
      </c>
      <c r="F27" s="504">
        <v>2</v>
      </c>
      <c r="G27" s="504">
        <v>10.9</v>
      </c>
      <c r="H27" s="504">
        <v>0</v>
      </c>
      <c r="I27" s="504">
        <v>0</v>
      </c>
      <c r="J27" s="504">
        <v>0</v>
      </c>
      <c r="K27" s="504">
        <v>0</v>
      </c>
      <c r="L27" s="504">
        <v>30</v>
      </c>
      <c r="M27" s="504">
        <v>9.8000000000000007</v>
      </c>
    </row>
    <row r="28" spans="1:13" x14ac:dyDescent="0.3">
      <c r="A28" s="504">
        <v>27</v>
      </c>
      <c r="B28" s="504" t="s">
        <v>433</v>
      </c>
      <c r="C28" s="504" t="s">
        <v>14</v>
      </c>
      <c r="D28" s="504">
        <v>7</v>
      </c>
      <c r="E28" s="504">
        <v>173</v>
      </c>
      <c r="F28" s="504">
        <v>2</v>
      </c>
      <c r="G28" s="504">
        <v>24.7</v>
      </c>
      <c r="H28" s="504">
        <v>0</v>
      </c>
      <c r="I28" s="504">
        <v>0</v>
      </c>
      <c r="J28" s="504">
        <v>0</v>
      </c>
      <c r="K28" s="504">
        <v>0</v>
      </c>
      <c r="L28" s="504">
        <v>29</v>
      </c>
      <c r="M28" s="504">
        <v>14.7</v>
      </c>
    </row>
    <row r="29" spans="1:13" x14ac:dyDescent="0.3">
      <c r="A29" s="504">
        <v>28</v>
      </c>
      <c r="B29" s="504" t="s">
        <v>191</v>
      </c>
      <c r="C29" s="504" t="s">
        <v>37</v>
      </c>
      <c r="D29" s="504">
        <v>19</v>
      </c>
      <c r="E29" s="504">
        <v>280</v>
      </c>
      <c r="F29" s="504">
        <v>0</v>
      </c>
      <c r="G29" s="504">
        <v>14.7</v>
      </c>
      <c r="H29" s="504">
        <v>0</v>
      </c>
      <c r="I29" s="504">
        <v>0</v>
      </c>
      <c r="J29" s="504">
        <v>0</v>
      </c>
      <c r="K29" s="504">
        <v>0</v>
      </c>
      <c r="L29" s="504">
        <v>28</v>
      </c>
      <c r="M29" s="504">
        <v>9.3000000000000007</v>
      </c>
    </row>
    <row r="30" spans="1:13" x14ac:dyDescent="0.3">
      <c r="A30" s="504">
        <v>29</v>
      </c>
      <c r="B30" s="504" t="s">
        <v>204</v>
      </c>
      <c r="C30" s="504" t="s">
        <v>4</v>
      </c>
      <c r="D30" s="504">
        <v>19</v>
      </c>
      <c r="E30" s="504">
        <v>220</v>
      </c>
      <c r="F30" s="504">
        <v>1</v>
      </c>
      <c r="G30" s="504">
        <v>11.6</v>
      </c>
      <c r="H30" s="504">
        <v>0</v>
      </c>
      <c r="I30" s="504">
        <v>0</v>
      </c>
      <c r="J30" s="504">
        <v>0</v>
      </c>
      <c r="K30" s="504">
        <v>0</v>
      </c>
      <c r="L30" s="504">
        <v>28</v>
      </c>
      <c r="M30" s="504">
        <v>9.3000000000000007</v>
      </c>
    </row>
    <row r="31" spans="1:13" x14ac:dyDescent="0.3">
      <c r="A31" s="504">
        <v>30</v>
      </c>
      <c r="B31" s="504" t="s">
        <v>199</v>
      </c>
      <c r="C31" s="504" t="s">
        <v>70</v>
      </c>
      <c r="D31" s="504">
        <v>15</v>
      </c>
      <c r="E31" s="504">
        <v>238</v>
      </c>
      <c r="F31" s="504">
        <v>1</v>
      </c>
      <c r="G31" s="504">
        <v>15.9</v>
      </c>
      <c r="H31" s="504">
        <v>0</v>
      </c>
      <c r="I31" s="504">
        <v>0</v>
      </c>
      <c r="J31" s="504">
        <v>0</v>
      </c>
      <c r="K31" s="504">
        <v>0</v>
      </c>
      <c r="L31" s="504">
        <v>28</v>
      </c>
      <c r="M31" s="504">
        <v>9.3000000000000007</v>
      </c>
    </row>
    <row r="32" spans="1:13" x14ac:dyDescent="0.3">
      <c r="A32" s="504">
        <v>31</v>
      </c>
      <c r="B32" s="504" t="s">
        <v>208</v>
      </c>
      <c r="C32" s="504" t="s">
        <v>46</v>
      </c>
      <c r="D32" s="504">
        <v>14</v>
      </c>
      <c r="E32" s="504">
        <v>271</v>
      </c>
      <c r="F32" s="504">
        <v>0</v>
      </c>
      <c r="G32" s="504">
        <v>19.399999999999999</v>
      </c>
      <c r="H32" s="504">
        <v>0</v>
      </c>
      <c r="I32" s="504">
        <v>0</v>
      </c>
      <c r="J32" s="504">
        <v>0</v>
      </c>
      <c r="K32" s="504">
        <v>0</v>
      </c>
      <c r="L32" s="504">
        <v>27</v>
      </c>
      <c r="M32" s="504">
        <v>9</v>
      </c>
    </row>
    <row r="33" spans="1:13" x14ac:dyDescent="0.3">
      <c r="A33" s="504">
        <v>32</v>
      </c>
      <c r="B33" s="504" t="s">
        <v>210</v>
      </c>
      <c r="C33" s="504" t="s">
        <v>4</v>
      </c>
      <c r="D33" s="504">
        <v>15</v>
      </c>
      <c r="E33" s="504">
        <v>270</v>
      </c>
      <c r="F33" s="504">
        <v>0</v>
      </c>
      <c r="G33" s="504">
        <v>18</v>
      </c>
      <c r="H33" s="504">
        <v>0</v>
      </c>
      <c r="I33" s="504">
        <v>0</v>
      </c>
      <c r="J33" s="504">
        <v>0</v>
      </c>
      <c r="K33" s="504">
        <v>0</v>
      </c>
      <c r="L33" s="504">
        <v>27</v>
      </c>
      <c r="M33" s="504">
        <v>9</v>
      </c>
    </row>
    <row r="34" spans="1:13" x14ac:dyDescent="0.3">
      <c r="A34" s="504">
        <v>33</v>
      </c>
      <c r="B34" s="504" t="s">
        <v>505</v>
      </c>
      <c r="C34" s="504" t="s">
        <v>407</v>
      </c>
      <c r="D34" s="504">
        <v>11</v>
      </c>
      <c r="E34" s="504">
        <v>201</v>
      </c>
      <c r="F34" s="504">
        <v>1</v>
      </c>
      <c r="G34" s="504">
        <v>18.3</v>
      </c>
      <c r="H34" s="504">
        <v>0</v>
      </c>
      <c r="I34" s="504">
        <v>0</v>
      </c>
      <c r="J34" s="504">
        <v>0</v>
      </c>
      <c r="K34" s="504">
        <v>0</v>
      </c>
      <c r="L34" s="504">
        <v>26</v>
      </c>
      <c r="M34" s="504">
        <v>8.6999999999999993</v>
      </c>
    </row>
    <row r="35" spans="1:13" x14ac:dyDescent="0.3">
      <c r="A35" s="504">
        <v>34</v>
      </c>
      <c r="B35" s="504" t="s">
        <v>457</v>
      </c>
      <c r="C35" s="504" t="s">
        <v>404</v>
      </c>
      <c r="D35" s="504">
        <v>17</v>
      </c>
      <c r="E35" s="504">
        <v>185</v>
      </c>
      <c r="F35" s="504">
        <v>1</v>
      </c>
      <c r="G35" s="504">
        <v>10.9</v>
      </c>
      <c r="H35" s="504">
        <v>0</v>
      </c>
      <c r="I35" s="504">
        <v>0</v>
      </c>
      <c r="J35" s="504">
        <v>0</v>
      </c>
      <c r="K35" s="504">
        <v>0</v>
      </c>
      <c r="L35" s="504">
        <v>25</v>
      </c>
      <c r="M35" s="504">
        <v>8.1999999999999993</v>
      </c>
    </row>
    <row r="36" spans="1:13" x14ac:dyDescent="0.3">
      <c r="A36" s="504">
        <v>35</v>
      </c>
      <c r="B36" s="504" t="s">
        <v>269</v>
      </c>
      <c r="C36" s="504" t="s">
        <v>34</v>
      </c>
      <c r="D36" s="504">
        <v>17</v>
      </c>
      <c r="E36" s="504">
        <v>183</v>
      </c>
      <c r="F36" s="504">
        <v>1</v>
      </c>
      <c r="G36" s="504">
        <v>10.8</v>
      </c>
      <c r="H36" s="504">
        <v>0</v>
      </c>
      <c r="I36" s="504">
        <v>0</v>
      </c>
      <c r="J36" s="504">
        <v>0</v>
      </c>
      <c r="K36" s="504">
        <v>0</v>
      </c>
      <c r="L36" s="504">
        <v>24</v>
      </c>
      <c r="M36" s="504">
        <v>8.1</v>
      </c>
    </row>
    <row r="37" spans="1:13" x14ac:dyDescent="0.3">
      <c r="A37" s="504">
        <v>36</v>
      </c>
      <c r="B37" s="504" t="s">
        <v>214</v>
      </c>
      <c r="C37" s="504" t="s">
        <v>409</v>
      </c>
      <c r="D37" s="504">
        <v>14</v>
      </c>
      <c r="E37" s="504">
        <v>145</v>
      </c>
      <c r="F37" s="504">
        <v>1</v>
      </c>
      <c r="G37" s="504">
        <v>10.4</v>
      </c>
      <c r="H37" s="504">
        <v>5</v>
      </c>
      <c r="I37" s="504">
        <v>30</v>
      </c>
      <c r="J37" s="504">
        <v>0</v>
      </c>
      <c r="K37" s="504">
        <v>6</v>
      </c>
      <c r="L37" s="504">
        <v>24</v>
      </c>
      <c r="M37" s="504">
        <v>7.8</v>
      </c>
    </row>
    <row r="38" spans="1:13" x14ac:dyDescent="0.3">
      <c r="A38" s="504">
        <v>37</v>
      </c>
      <c r="B38" s="504" t="s">
        <v>456</v>
      </c>
      <c r="C38" s="504" t="s">
        <v>37</v>
      </c>
      <c r="D38" s="504">
        <v>11</v>
      </c>
      <c r="E38" s="504">
        <v>195</v>
      </c>
      <c r="F38" s="504">
        <v>1</v>
      </c>
      <c r="G38" s="504">
        <v>17.7</v>
      </c>
      <c r="H38" s="504">
        <v>0</v>
      </c>
      <c r="I38" s="504">
        <v>0</v>
      </c>
      <c r="J38" s="504">
        <v>0</v>
      </c>
      <c r="K38" s="504">
        <v>0</v>
      </c>
      <c r="L38" s="504">
        <v>24</v>
      </c>
      <c r="M38" s="504">
        <v>7.8</v>
      </c>
    </row>
    <row r="39" spans="1:13" x14ac:dyDescent="0.3">
      <c r="A39" s="504">
        <v>38</v>
      </c>
      <c r="B39" s="504" t="s">
        <v>201</v>
      </c>
      <c r="C39" s="504" t="s">
        <v>397</v>
      </c>
      <c r="D39" s="504">
        <v>15</v>
      </c>
      <c r="E39" s="504">
        <v>166</v>
      </c>
      <c r="F39" s="504">
        <v>1</v>
      </c>
      <c r="G39" s="504">
        <v>11.1</v>
      </c>
      <c r="H39" s="504">
        <v>1</v>
      </c>
      <c r="I39" s="504">
        <v>-1</v>
      </c>
      <c r="J39" s="504">
        <v>0</v>
      </c>
      <c r="K39" s="504">
        <v>-1</v>
      </c>
      <c r="L39" s="504">
        <v>23</v>
      </c>
      <c r="M39" s="504">
        <v>7.5</v>
      </c>
    </row>
    <row r="40" spans="1:13" x14ac:dyDescent="0.3">
      <c r="A40" s="504">
        <v>39</v>
      </c>
      <c r="B40" s="504" t="s">
        <v>410</v>
      </c>
      <c r="C40" s="504" t="s">
        <v>26</v>
      </c>
      <c r="D40" s="504">
        <v>11</v>
      </c>
      <c r="E40" s="504">
        <v>105</v>
      </c>
      <c r="F40" s="504">
        <v>2</v>
      </c>
      <c r="G40" s="504">
        <v>9.5</v>
      </c>
      <c r="H40" s="504">
        <v>0</v>
      </c>
      <c r="I40" s="504">
        <v>0</v>
      </c>
      <c r="J40" s="504">
        <v>0</v>
      </c>
      <c r="K40" s="504">
        <v>0</v>
      </c>
      <c r="L40" s="504">
        <v>23</v>
      </c>
      <c r="M40" s="504">
        <v>7.5</v>
      </c>
    </row>
    <row r="41" spans="1:13" x14ac:dyDescent="0.3">
      <c r="A41" s="504">
        <v>40</v>
      </c>
      <c r="B41" s="504" t="s">
        <v>228</v>
      </c>
      <c r="C41" s="504" t="s">
        <v>402</v>
      </c>
      <c r="D41" s="504">
        <v>9</v>
      </c>
      <c r="E41" s="504">
        <v>121</v>
      </c>
      <c r="F41" s="504">
        <v>2</v>
      </c>
      <c r="G41" s="504">
        <v>13.4</v>
      </c>
      <c r="H41" s="504">
        <v>0</v>
      </c>
      <c r="I41" s="504">
        <v>0</v>
      </c>
      <c r="J41" s="504">
        <v>0</v>
      </c>
      <c r="K41" s="504">
        <v>0</v>
      </c>
      <c r="L41" s="504">
        <v>22</v>
      </c>
      <c r="M41" s="504">
        <v>7.4</v>
      </c>
    </row>
    <row r="42" spans="1:13" x14ac:dyDescent="0.3">
      <c r="A42" s="504">
        <v>41</v>
      </c>
      <c r="B42" s="504" t="s">
        <v>262</v>
      </c>
      <c r="C42" s="504" t="s">
        <v>57</v>
      </c>
      <c r="D42" s="504">
        <v>11</v>
      </c>
      <c r="E42" s="504">
        <v>157</v>
      </c>
      <c r="F42" s="504">
        <v>1</v>
      </c>
      <c r="G42" s="504">
        <v>14.3</v>
      </c>
      <c r="H42" s="504">
        <v>0</v>
      </c>
      <c r="I42" s="504">
        <v>0</v>
      </c>
      <c r="J42" s="504">
        <v>0</v>
      </c>
      <c r="K42" s="504">
        <v>0</v>
      </c>
      <c r="L42" s="504">
        <v>22</v>
      </c>
      <c r="M42" s="504">
        <v>10.9</v>
      </c>
    </row>
    <row r="43" spans="1:13" x14ac:dyDescent="0.3">
      <c r="A43" s="504">
        <v>42</v>
      </c>
      <c r="B43" s="504" t="s">
        <v>240</v>
      </c>
      <c r="C43" s="504" t="s">
        <v>52</v>
      </c>
      <c r="D43" s="504">
        <v>20</v>
      </c>
      <c r="E43" s="504">
        <v>213</v>
      </c>
      <c r="F43" s="504">
        <v>0</v>
      </c>
      <c r="G43" s="504">
        <v>10.7</v>
      </c>
      <c r="H43" s="504">
        <v>0</v>
      </c>
      <c r="I43" s="504">
        <v>0</v>
      </c>
      <c r="J43" s="504">
        <v>0</v>
      </c>
      <c r="K43" s="504">
        <v>0</v>
      </c>
      <c r="L43" s="504">
        <v>21</v>
      </c>
      <c r="M43" s="504">
        <v>7.1</v>
      </c>
    </row>
    <row r="44" spans="1:13" x14ac:dyDescent="0.3">
      <c r="A44" s="504">
        <v>43</v>
      </c>
      <c r="B44" s="504" t="s">
        <v>234</v>
      </c>
      <c r="C44" s="504" t="s">
        <v>52</v>
      </c>
      <c r="D44" s="504">
        <v>11</v>
      </c>
      <c r="E44" s="504">
        <v>150</v>
      </c>
      <c r="F44" s="504">
        <v>1</v>
      </c>
      <c r="G44" s="504">
        <v>13.6</v>
      </c>
      <c r="H44" s="504">
        <v>0</v>
      </c>
      <c r="I44" s="504">
        <v>0</v>
      </c>
      <c r="J44" s="504">
        <v>0</v>
      </c>
      <c r="K44" s="504">
        <v>0</v>
      </c>
      <c r="L44" s="504">
        <v>21</v>
      </c>
      <c r="M44" s="504">
        <v>7</v>
      </c>
    </row>
    <row r="45" spans="1:13" x14ac:dyDescent="0.3">
      <c r="A45" s="504">
        <v>44</v>
      </c>
      <c r="B45" s="504" t="s">
        <v>198</v>
      </c>
      <c r="C45" s="504" t="s">
        <v>402</v>
      </c>
      <c r="D45" s="504">
        <v>18</v>
      </c>
      <c r="E45" s="504">
        <v>180</v>
      </c>
      <c r="F45" s="504">
        <v>0</v>
      </c>
      <c r="G45" s="504">
        <v>10</v>
      </c>
      <c r="H45" s="504">
        <v>6</v>
      </c>
      <c r="I45" s="504">
        <v>30</v>
      </c>
      <c r="J45" s="504">
        <v>0</v>
      </c>
      <c r="K45" s="504">
        <v>5</v>
      </c>
      <c r="L45" s="504">
        <v>21</v>
      </c>
      <c r="M45" s="504">
        <v>7</v>
      </c>
    </row>
    <row r="46" spans="1:13" x14ac:dyDescent="0.3">
      <c r="A46" s="504">
        <v>45</v>
      </c>
      <c r="B46" s="504" t="s">
        <v>315</v>
      </c>
      <c r="C46" s="504" t="s">
        <v>20</v>
      </c>
      <c r="D46" s="504">
        <v>7</v>
      </c>
      <c r="E46" s="504">
        <v>203</v>
      </c>
      <c r="F46" s="504">
        <v>0</v>
      </c>
      <c r="G46" s="504">
        <v>29</v>
      </c>
      <c r="H46" s="504">
        <v>1</v>
      </c>
      <c r="I46" s="504">
        <v>6</v>
      </c>
      <c r="J46" s="504">
        <v>0</v>
      </c>
      <c r="K46" s="504">
        <v>6</v>
      </c>
      <c r="L46" s="504">
        <v>21</v>
      </c>
      <c r="M46" s="504">
        <v>7</v>
      </c>
    </row>
    <row r="47" spans="1:13" x14ac:dyDescent="0.3">
      <c r="A47" s="504">
        <v>46</v>
      </c>
      <c r="B47" s="504" t="s">
        <v>270</v>
      </c>
      <c r="C47" s="504" t="s">
        <v>401</v>
      </c>
      <c r="D47" s="504">
        <v>18</v>
      </c>
      <c r="E47" s="504">
        <v>201</v>
      </c>
      <c r="F47" s="504">
        <v>0</v>
      </c>
      <c r="G47" s="504">
        <v>11.2</v>
      </c>
      <c r="H47" s="504">
        <v>1</v>
      </c>
      <c r="I47" s="504">
        <v>7</v>
      </c>
      <c r="J47" s="504">
        <v>0</v>
      </c>
      <c r="K47" s="504">
        <v>7</v>
      </c>
      <c r="L47" s="504">
        <v>21</v>
      </c>
      <c r="M47" s="504">
        <v>6.9</v>
      </c>
    </row>
    <row r="48" spans="1:13" x14ac:dyDescent="0.3">
      <c r="A48" s="504">
        <v>47</v>
      </c>
      <c r="B48" s="504" t="s">
        <v>291</v>
      </c>
      <c r="C48" s="504" t="s">
        <v>24</v>
      </c>
      <c r="D48" s="504">
        <v>6</v>
      </c>
      <c r="E48" s="504">
        <v>145</v>
      </c>
      <c r="F48" s="504">
        <v>1</v>
      </c>
      <c r="G48" s="504">
        <v>24.2</v>
      </c>
      <c r="H48" s="504">
        <v>0</v>
      </c>
      <c r="I48" s="504">
        <v>0</v>
      </c>
      <c r="J48" s="504">
        <v>0</v>
      </c>
      <c r="K48" s="504">
        <v>0</v>
      </c>
      <c r="L48" s="504">
        <v>21</v>
      </c>
      <c r="M48" s="504">
        <v>6.8</v>
      </c>
    </row>
    <row r="49" spans="1:13" x14ac:dyDescent="0.3">
      <c r="A49" s="504">
        <v>48</v>
      </c>
      <c r="B49" s="504" t="s">
        <v>242</v>
      </c>
      <c r="C49" s="504" t="s">
        <v>395</v>
      </c>
      <c r="D49" s="504">
        <v>8</v>
      </c>
      <c r="E49" s="504">
        <v>99</v>
      </c>
      <c r="F49" s="504">
        <v>2</v>
      </c>
      <c r="G49" s="504">
        <v>12.4</v>
      </c>
      <c r="H49" s="504">
        <v>0</v>
      </c>
      <c r="I49" s="504">
        <v>0</v>
      </c>
      <c r="J49" s="504">
        <v>0</v>
      </c>
      <c r="K49" s="504">
        <v>0</v>
      </c>
      <c r="L49" s="504">
        <v>20</v>
      </c>
      <c r="M49" s="504">
        <v>6.6</v>
      </c>
    </row>
    <row r="50" spans="1:13" x14ac:dyDescent="0.3">
      <c r="A50" s="504">
        <v>49</v>
      </c>
      <c r="B50" s="504" t="s">
        <v>219</v>
      </c>
      <c r="C50" s="504" t="s">
        <v>24</v>
      </c>
      <c r="D50" s="504">
        <v>9</v>
      </c>
      <c r="E50" s="504">
        <v>134</v>
      </c>
      <c r="F50" s="504">
        <v>1</v>
      </c>
      <c r="G50" s="504">
        <v>14.9</v>
      </c>
      <c r="H50" s="504">
        <v>0</v>
      </c>
      <c r="I50" s="504">
        <v>0</v>
      </c>
      <c r="J50" s="504">
        <v>0</v>
      </c>
      <c r="K50" s="504">
        <v>0</v>
      </c>
      <c r="L50" s="504">
        <v>19</v>
      </c>
      <c r="M50" s="504">
        <v>6.5</v>
      </c>
    </row>
    <row r="51" spans="1:13" x14ac:dyDescent="0.3">
      <c r="A51" s="504">
        <v>50</v>
      </c>
      <c r="B51" s="504" t="s">
        <v>258</v>
      </c>
      <c r="C51" s="504" t="s">
        <v>57</v>
      </c>
      <c r="D51" s="504">
        <v>8</v>
      </c>
      <c r="E51" s="504">
        <v>131</v>
      </c>
      <c r="F51" s="504">
        <v>1</v>
      </c>
      <c r="G51" s="504">
        <v>16.399999999999999</v>
      </c>
      <c r="H51" s="504">
        <v>0</v>
      </c>
      <c r="I51" s="504">
        <v>0</v>
      </c>
      <c r="J51" s="504">
        <v>0</v>
      </c>
      <c r="K51" s="504">
        <v>0</v>
      </c>
      <c r="L51" s="504">
        <v>19</v>
      </c>
      <c r="M51" s="504">
        <v>6.4</v>
      </c>
    </row>
    <row r="52" spans="1:13" x14ac:dyDescent="0.3">
      <c r="A52" s="504">
        <v>51</v>
      </c>
      <c r="B52" s="504" t="s">
        <v>245</v>
      </c>
      <c r="C52" s="504" t="s">
        <v>4</v>
      </c>
      <c r="D52" s="504">
        <v>7</v>
      </c>
      <c r="E52" s="504">
        <v>71</v>
      </c>
      <c r="F52" s="504">
        <v>2</v>
      </c>
      <c r="G52" s="504">
        <v>10.1</v>
      </c>
      <c r="H52" s="504">
        <v>0</v>
      </c>
      <c r="I52" s="504">
        <v>0</v>
      </c>
      <c r="J52" s="504">
        <v>0</v>
      </c>
      <c r="K52" s="504">
        <v>0</v>
      </c>
      <c r="L52" s="504">
        <v>19</v>
      </c>
      <c r="M52" s="504">
        <v>6.4</v>
      </c>
    </row>
    <row r="53" spans="1:13" x14ac:dyDescent="0.3">
      <c r="A53" s="504">
        <v>52</v>
      </c>
      <c r="B53" s="504" t="s">
        <v>256</v>
      </c>
      <c r="C53" s="504" t="s">
        <v>46</v>
      </c>
      <c r="D53" s="504">
        <v>11</v>
      </c>
      <c r="E53" s="504">
        <v>130</v>
      </c>
      <c r="F53" s="504">
        <v>1</v>
      </c>
      <c r="G53" s="504">
        <v>11.8</v>
      </c>
      <c r="H53" s="504">
        <v>0</v>
      </c>
      <c r="I53" s="504">
        <v>0</v>
      </c>
      <c r="J53" s="504">
        <v>0</v>
      </c>
      <c r="K53" s="504">
        <v>0</v>
      </c>
      <c r="L53" s="504">
        <v>19</v>
      </c>
      <c r="M53" s="504">
        <v>6.3</v>
      </c>
    </row>
    <row r="54" spans="1:13" x14ac:dyDescent="0.3">
      <c r="A54" s="504">
        <v>53</v>
      </c>
      <c r="B54" s="504" t="s">
        <v>277</v>
      </c>
      <c r="C54" s="504" t="s">
        <v>50</v>
      </c>
      <c r="D54" s="504">
        <v>11</v>
      </c>
      <c r="E54" s="504">
        <v>130</v>
      </c>
      <c r="F54" s="504">
        <v>1</v>
      </c>
      <c r="G54" s="504">
        <v>11.8</v>
      </c>
      <c r="H54" s="504">
        <v>0</v>
      </c>
      <c r="I54" s="504">
        <v>0</v>
      </c>
      <c r="J54" s="504">
        <v>0</v>
      </c>
      <c r="K54" s="504">
        <v>0</v>
      </c>
      <c r="L54" s="504">
        <v>19</v>
      </c>
      <c r="M54" s="504">
        <v>6.3</v>
      </c>
    </row>
    <row r="55" spans="1:13" x14ac:dyDescent="0.3">
      <c r="A55" s="504">
        <v>54</v>
      </c>
      <c r="B55" s="504" t="s">
        <v>276</v>
      </c>
      <c r="C55" s="504" t="s">
        <v>402</v>
      </c>
      <c r="D55" s="504">
        <v>8</v>
      </c>
      <c r="E55" s="504">
        <v>122</v>
      </c>
      <c r="F55" s="504">
        <v>1</v>
      </c>
      <c r="G55" s="504">
        <v>15.3</v>
      </c>
      <c r="H55" s="504">
        <v>0</v>
      </c>
      <c r="I55" s="504">
        <v>0</v>
      </c>
      <c r="J55" s="504">
        <v>0</v>
      </c>
      <c r="K55" s="504">
        <v>0</v>
      </c>
      <c r="L55" s="504">
        <v>18</v>
      </c>
      <c r="M55" s="504">
        <v>6.1</v>
      </c>
    </row>
    <row r="56" spans="1:13" x14ac:dyDescent="0.3">
      <c r="A56" s="504">
        <v>55</v>
      </c>
      <c r="B56" s="504" t="s">
        <v>272</v>
      </c>
      <c r="C56" s="504" t="s">
        <v>39</v>
      </c>
      <c r="D56" s="504">
        <v>11</v>
      </c>
      <c r="E56" s="504">
        <v>120</v>
      </c>
      <c r="F56" s="504">
        <v>1</v>
      </c>
      <c r="G56" s="504">
        <v>10.9</v>
      </c>
      <c r="H56" s="504">
        <v>0</v>
      </c>
      <c r="I56" s="504">
        <v>0</v>
      </c>
      <c r="J56" s="504">
        <v>0</v>
      </c>
      <c r="K56" s="504">
        <v>0</v>
      </c>
      <c r="L56" s="504">
        <v>18</v>
      </c>
      <c r="M56" s="504">
        <v>6</v>
      </c>
    </row>
    <row r="57" spans="1:13" x14ac:dyDescent="0.3">
      <c r="A57" s="504">
        <v>56</v>
      </c>
      <c r="B57" s="504" t="s">
        <v>237</v>
      </c>
      <c r="C57" s="504" t="s">
        <v>409</v>
      </c>
      <c r="D57" s="504">
        <v>14</v>
      </c>
      <c r="E57" s="504">
        <v>199</v>
      </c>
      <c r="F57" s="504">
        <v>0</v>
      </c>
      <c r="G57" s="504">
        <v>14.2</v>
      </c>
      <c r="H57" s="504">
        <v>0</v>
      </c>
      <c r="I57" s="504">
        <v>0</v>
      </c>
      <c r="J57" s="504">
        <v>0</v>
      </c>
      <c r="K57" s="504">
        <v>0</v>
      </c>
      <c r="L57" s="504">
        <v>18</v>
      </c>
      <c r="M57" s="504">
        <v>6</v>
      </c>
    </row>
    <row r="58" spans="1:13" x14ac:dyDescent="0.3">
      <c r="A58" s="504">
        <v>57</v>
      </c>
      <c r="B58" s="504" t="s">
        <v>202</v>
      </c>
      <c r="C58" s="504" t="s">
        <v>12</v>
      </c>
      <c r="D58" s="504">
        <v>13</v>
      </c>
      <c r="E58" s="504">
        <v>179</v>
      </c>
      <c r="F58" s="504">
        <v>0</v>
      </c>
      <c r="G58" s="504">
        <v>13.8</v>
      </c>
      <c r="H58" s="504">
        <v>0</v>
      </c>
      <c r="I58" s="504">
        <v>0</v>
      </c>
      <c r="J58" s="504">
        <v>0</v>
      </c>
      <c r="K58" s="504">
        <v>0</v>
      </c>
      <c r="L58" s="504">
        <v>18</v>
      </c>
      <c r="M58" s="504">
        <v>6</v>
      </c>
    </row>
    <row r="59" spans="1:13" x14ac:dyDescent="0.3">
      <c r="A59" s="504">
        <v>58</v>
      </c>
      <c r="B59" s="504" t="s">
        <v>306</v>
      </c>
      <c r="C59" s="504" t="s">
        <v>10</v>
      </c>
      <c r="D59" s="504">
        <v>3</v>
      </c>
      <c r="E59" s="504">
        <v>118</v>
      </c>
      <c r="F59" s="504">
        <v>1</v>
      </c>
      <c r="G59" s="504">
        <v>39.299999999999997</v>
      </c>
      <c r="H59" s="504">
        <v>0</v>
      </c>
      <c r="I59" s="504">
        <v>0</v>
      </c>
      <c r="J59" s="504">
        <v>0</v>
      </c>
      <c r="K59" s="504">
        <v>0</v>
      </c>
      <c r="L59" s="504">
        <v>18</v>
      </c>
      <c r="M59" s="504">
        <v>5.9</v>
      </c>
    </row>
    <row r="60" spans="1:13" x14ac:dyDescent="0.3">
      <c r="A60" s="504">
        <v>59</v>
      </c>
      <c r="B60" s="504" t="s">
        <v>2452</v>
      </c>
      <c r="C60" s="504" t="s">
        <v>32</v>
      </c>
      <c r="D60" s="504">
        <v>16</v>
      </c>
      <c r="E60" s="504">
        <v>170</v>
      </c>
      <c r="F60" s="504">
        <v>0</v>
      </c>
      <c r="G60" s="504">
        <v>10.6</v>
      </c>
      <c r="H60" s="504">
        <v>0</v>
      </c>
      <c r="I60" s="504">
        <v>0</v>
      </c>
      <c r="J60" s="504">
        <v>0</v>
      </c>
      <c r="K60" s="504">
        <v>0</v>
      </c>
      <c r="L60" s="504">
        <v>17</v>
      </c>
      <c r="M60" s="504">
        <v>5.7</v>
      </c>
    </row>
    <row r="61" spans="1:13" x14ac:dyDescent="0.3">
      <c r="A61" s="504">
        <v>60</v>
      </c>
      <c r="B61" s="504" t="s">
        <v>243</v>
      </c>
      <c r="C61" s="504" t="s">
        <v>398</v>
      </c>
      <c r="D61" s="504">
        <v>8</v>
      </c>
      <c r="E61" s="504">
        <v>103</v>
      </c>
      <c r="F61" s="504">
        <v>1</v>
      </c>
      <c r="G61" s="504">
        <v>12.9</v>
      </c>
      <c r="H61" s="504">
        <v>0</v>
      </c>
      <c r="I61" s="504">
        <v>0</v>
      </c>
      <c r="J61" s="504">
        <v>0</v>
      </c>
      <c r="K61" s="504">
        <v>0</v>
      </c>
      <c r="L61" s="504">
        <v>16</v>
      </c>
      <c r="M61" s="504">
        <v>5.4</v>
      </c>
    </row>
    <row r="62" spans="1:13" x14ac:dyDescent="0.3">
      <c r="A62" s="504">
        <v>61</v>
      </c>
      <c r="B62" s="504" t="s">
        <v>260</v>
      </c>
      <c r="C62" s="504" t="s">
        <v>28</v>
      </c>
      <c r="D62" s="504">
        <v>9</v>
      </c>
      <c r="E62" s="504">
        <v>164</v>
      </c>
      <c r="F62" s="504">
        <v>0</v>
      </c>
      <c r="G62" s="504">
        <v>18.2</v>
      </c>
      <c r="H62" s="504">
        <v>1</v>
      </c>
      <c r="I62" s="504">
        <v>-2</v>
      </c>
      <c r="J62" s="504">
        <v>0</v>
      </c>
      <c r="K62" s="504">
        <v>-2</v>
      </c>
      <c r="L62" s="504">
        <v>16</v>
      </c>
      <c r="M62" s="504">
        <v>5.4</v>
      </c>
    </row>
    <row r="63" spans="1:13" x14ac:dyDescent="0.3">
      <c r="A63" s="504">
        <v>62</v>
      </c>
      <c r="B63" s="504" t="s">
        <v>190</v>
      </c>
      <c r="C63" s="504" t="s">
        <v>34</v>
      </c>
      <c r="D63" s="504">
        <v>12</v>
      </c>
      <c r="E63" s="504">
        <v>160</v>
      </c>
      <c r="F63" s="504">
        <v>0</v>
      </c>
      <c r="G63" s="504">
        <v>13.3</v>
      </c>
      <c r="H63" s="504">
        <v>0</v>
      </c>
      <c r="I63" s="504">
        <v>0</v>
      </c>
      <c r="J63" s="504">
        <v>0</v>
      </c>
      <c r="K63" s="504">
        <v>0</v>
      </c>
      <c r="L63" s="504">
        <v>16</v>
      </c>
      <c r="M63" s="504">
        <v>5.3</v>
      </c>
    </row>
    <row r="64" spans="1:13" x14ac:dyDescent="0.3">
      <c r="A64" s="504">
        <v>63</v>
      </c>
      <c r="B64" s="504" t="s">
        <v>1248</v>
      </c>
      <c r="C64" s="504" t="s">
        <v>20</v>
      </c>
      <c r="D64" s="504">
        <v>9</v>
      </c>
      <c r="E64" s="504">
        <v>100</v>
      </c>
      <c r="F64" s="504">
        <v>1</v>
      </c>
      <c r="G64" s="504">
        <v>11.1</v>
      </c>
      <c r="H64" s="504">
        <v>0</v>
      </c>
      <c r="I64" s="504">
        <v>0</v>
      </c>
      <c r="J64" s="504">
        <v>0</v>
      </c>
      <c r="K64" s="504">
        <v>0</v>
      </c>
      <c r="L64" s="504">
        <v>16</v>
      </c>
      <c r="M64" s="504">
        <v>5.3</v>
      </c>
    </row>
    <row r="65" spans="1:13" x14ac:dyDescent="0.3">
      <c r="A65" s="504">
        <v>64</v>
      </c>
      <c r="B65" s="504" t="s">
        <v>519</v>
      </c>
      <c r="C65" s="504" t="s">
        <v>30</v>
      </c>
      <c r="D65" s="504">
        <v>14</v>
      </c>
      <c r="E65" s="504">
        <v>157</v>
      </c>
      <c r="F65" s="504">
        <v>0</v>
      </c>
      <c r="G65" s="504">
        <v>11.2</v>
      </c>
      <c r="H65" s="504">
        <v>0</v>
      </c>
      <c r="I65" s="504">
        <v>0</v>
      </c>
      <c r="J65" s="504">
        <v>0</v>
      </c>
      <c r="K65" s="504">
        <v>0</v>
      </c>
      <c r="L65" s="504">
        <v>16</v>
      </c>
      <c r="M65" s="504">
        <v>5.2</v>
      </c>
    </row>
    <row r="66" spans="1:13" x14ac:dyDescent="0.3">
      <c r="A66" s="504">
        <v>65</v>
      </c>
      <c r="B66" s="504" t="s">
        <v>284</v>
      </c>
      <c r="C66" s="504" t="s">
        <v>50</v>
      </c>
      <c r="D66" s="504">
        <v>4</v>
      </c>
      <c r="E66" s="504">
        <v>34</v>
      </c>
      <c r="F66" s="504">
        <v>2</v>
      </c>
      <c r="G66" s="504">
        <v>8.5</v>
      </c>
      <c r="H66" s="504">
        <v>0</v>
      </c>
      <c r="I66" s="504">
        <v>0</v>
      </c>
      <c r="J66" s="504">
        <v>0</v>
      </c>
      <c r="K66" s="504">
        <v>0</v>
      </c>
      <c r="L66" s="504">
        <v>15</v>
      </c>
      <c r="M66" s="504">
        <v>5.0999999999999996</v>
      </c>
    </row>
    <row r="67" spans="1:13" x14ac:dyDescent="0.3">
      <c r="A67" s="504">
        <v>66</v>
      </c>
      <c r="B67" s="504" t="s">
        <v>283</v>
      </c>
      <c r="C67" s="504" t="s">
        <v>16</v>
      </c>
      <c r="D67" s="504">
        <v>8</v>
      </c>
      <c r="E67" s="504">
        <v>151</v>
      </c>
      <c r="F67" s="504">
        <v>0</v>
      </c>
      <c r="G67" s="504">
        <v>18.899999999999999</v>
      </c>
      <c r="H67" s="504">
        <v>0</v>
      </c>
      <c r="I67" s="504">
        <v>0</v>
      </c>
      <c r="J67" s="504">
        <v>0</v>
      </c>
      <c r="K67" s="504">
        <v>0</v>
      </c>
      <c r="L67" s="504">
        <v>15</v>
      </c>
      <c r="M67" s="504">
        <v>5</v>
      </c>
    </row>
    <row r="68" spans="1:13" x14ac:dyDescent="0.3">
      <c r="A68" s="504">
        <v>67</v>
      </c>
      <c r="B68" s="504" t="s">
        <v>474</v>
      </c>
      <c r="C68" s="504" t="s">
        <v>10</v>
      </c>
      <c r="D68" s="504">
        <v>4</v>
      </c>
      <c r="E68" s="504">
        <v>89</v>
      </c>
      <c r="F68" s="504">
        <v>1</v>
      </c>
      <c r="G68" s="504">
        <v>22.3</v>
      </c>
      <c r="H68" s="504">
        <v>0</v>
      </c>
      <c r="I68" s="504">
        <v>0</v>
      </c>
      <c r="J68" s="504">
        <v>0</v>
      </c>
      <c r="K68" s="504">
        <v>0</v>
      </c>
      <c r="L68" s="504">
        <v>15</v>
      </c>
      <c r="M68" s="504">
        <v>7.5</v>
      </c>
    </row>
    <row r="69" spans="1:13" x14ac:dyDescent="0.3">
      <c r="A69" s="504">
        <v>68</v>
      </c>
      <c r="B69" s="504" t="s">
        <v>216</v>
      </c>
      <c r="C69" s="504" t="s">
        <v>395</v>
      </c>
      <c r="D69" s="504">
        <v>12</v>
      </c>
      <c r="E69" s="504">
        <v>132</v>
      </c>
      <c r="F69" s="504">
        <v>0</v>
      </c>
      <c r="G69" s="504">
        <v>11</v>
      </c>
      <c r="H69" s="504">
        <v>4</v>
      </c>
      <c r="I69" s="504">
        <v>12</v>
      </c>
      <c r="J69" s="504">
        <v>0</v>
      </c>
      <c r="K69" s="504">
        <v>3</v>
      </c>
      <c r="L69" s="504">
        <v>14</v>
      </c>
      <c r="M69" s="504">
        <v>4.8</v>
      </c>
    </row>
    <row r="70" spans="1:13" x14ac:dyDescent="0.3">
      <c r="A70" s="504">
        <v>69</v>
      </c>
      <c r="B70" s="504" t="s">
        <v>301</v>
      </c>
      <c r="C70" s="504" t="s">
        <v>409</v>
      </c>
      <c r="D70" s="504">
        <v>6</v>
      </c>
      <c r="E70" s="504">
        <v>84</v>
      </c>
      <c r="F70" s="504">
        <v>1</v>
      </c>
      <c r="G70" s="504">
        <v>14</v>
      </c>
      <c r="H70" s="504">
        <v>0</v>
      </c>
      <c r="I70" s="504">
        <v>0</v>
      </c>
      <c r="J70" s="504">
        <v>0</v>
      </c>
      <c r="K70" s="504">
        <v>0</v>
      </c>
      <c r="L70" s="504">
        <v>14</v>
      </c>
      <c r="M70" s="504">
        <v>4.8</v>
      </c>
    </row>
    <row r="71" spans="1:13" x14ac:dyDescent="0.3">
      <c r="A71" s="504">
        <v>70</v>
      </c>
      <c r="B71" s="504" t="s">
        <v>432</v>
      </c>
      <c r="C71" s="504" t="s">
        <v>46</v>
      </c>
      <c r="D71" s="504">
        <v>13</v>
      </c>
      <c r="E71" s="504">
        <v>132</v>
      </c>
      <c r="F71" s="504">
        <v>0</v>
      </c>
      <c r="G71" s="504">
        <v>10.199999999999999</v>
      </c>
      <c r="H71" s="504">
        <v>1</v>
      </c>
      <c r="I71" s="504">
        <v>9</v>
      </c>
      <c r="J71" s="504">
        <v>0</v>
      </c>
      <c r="K71" s="504">
        <v>9</v>
      </c>
      <c r="L71" s="504">
        <v>14</v>
      </c>
      <c r="M71" s="504">
        <v>4.7</v>
      </c>
    </row>
    <row r="72" spans="1:13" x14ac:dyDescent="0.3">
      <c r="A72" s="504">
        <v>71</v>
      </c>
      <c r="B72" s="504" t="s">
        <v>278</v>
      </c>
      <c r="C72" s="504" t="s">
        <v>12</v>
      </c>
      <c r="D72" s="504">
        <v>12</v>
      </c>
      <c r="E72" s="504">
        <v>141</v>
      </c>
      <c r="F72" s="504">
        <v>0</v>
      </c>
      <c r="G72" s="504">
        <v>11.8</v>
      </c>
      <c r="H72" s="504">
        <v>0</v>
      </c>
      <c r="I72" s="504">
        <v>0</v>
      </c>
      <c r="J72" s="504">
        <v>0</v>
      </c>
      <c r="K72" s="504">
        <v>0</v>
      </c>
      <c r="L72" s="504">
        <v>14</v>
      </c>
      <c r="M72" s="504">
        <v>4.7</v>
      </c>
    </row>
    <row r="73" spans="1:13" x14ac:dyDescent="0.3">
      <c r="A73" s="504">
        <v>72</v>
      </c>
      <c r="B73" s="504" t="s">
        <v>220</v>
      </c>
      <c r="C73" s="504" t="s">
        <v>18</v>
      </c>
      <c r="D73" s="504">
        <v>13</v>
      </c>
      <c r="E73" s="504">
        <v>135</v>
      </c>
      <c r="F73" s="504">
        <v>0</v>
      </c>
      <c r="G73" s="504">
        <v>10.4</v>
      </c>
      <c r="H73" s="504">
        <v>0</v>
      </c>
      <c r="I73" s="504">
        <v>0</v>
      </c>
      <c r="J73" s="504">
        <v>0</v>
      </c>
      <c r="K73" s="504">
        <v>0</v>
      </c>
      <c r="L73" s="504">
        <v>14</v>
      </c>
      <c r="M73" s="504">
        <v>4.5</v>
      </c>
    </row>
    <row r="74" spans="1:13" x14ac:dyDescent="0.3">
      <c r="A74" s="504">
        <v>73</v>
      </c>
      <c r="B74" s="504" t="s">
        <v>223</v>
      </c>
      <c r="C74" s="504" t="s">
        <v>16</v>
      </c>
      <c r="D74" s="504">
        <v>7</v>
      </c>
      <c r="E74" s="504">
        <v>73</v>
      </c>
      <c r="F74" s="504">
        <v>1</v>
      </c>
      <c r="G74" s="504">
        <v>10.4</v>
      </c>
      <c r="H74" s="504">
        <v>0</v>
      </c>
      <c r="I74" s="504">
        <v>0</v>
      </c>
      <c r="J74" s="504">
        <v>0</v>
      </c>
      <c r="K74" s="504">
        <v>0</v>
      </c>
      <c r="L74" s="504">
        <v>13</v>
      </c>
      <c r="M74" s="504">
        <v>6.7</v>
      </c>
    </row>
    <row r="75" spans="1:13" x14ac:dyDescent="0.3">
      <c r="A75" s="504">
        <v>74</v>
      </c>
      <c r="B75" s="504" t="s">
        <v>222</v>
      </c>
      <c r="C75" s="504" t="s">
        <v>22</v>
      </c>
      <c r="D75" s="504">
        <v>6</v>
      </c>
      <c r="E75" s="504">
        <v>118</v>
      </c>
      <c r="F75" s="504">
        <v>0</v>
      </c>
      <c r="G75" s="504">
        <v>19.7</v>
      </c>
      <c r="H75" s="504">
        <v>4</v>
      </c>
      <c r="I75" s="504">
        <v>30</v>
      </c>
      <c r="J75" s="504">
        <v>0</v>
      </c>
      <c r="K75" s="504">
        <v>7.5</v>
      </c>
      <c r="L75" s="504">
        <v>13</v>
      </c>
      <c r="M75" s="504">
        <v>4.3</v>
      </c>
    </row>
    <row r="76" spans="1:13" x14ac:dyDescent="0.3">
      <c r="A76" s="504">
        <v>75</v>
      </c>
      <c r="B76" s="504" t="s">
        <v>292</v>
      </c>
      <c r="C76" s="504" t="s">
        <v>41</v>
      </c>
      <c r="D76" s="504">
        <v>11</v>
      </c>
      <c r="E76" s="504">
        <v>124</v>
      </c>
      <c r="F76" s="504">
        <v>0</v>
      </c>
      <c r="G76" s="504">
        <v>11.3</v>
      </c>
      <c r="H76" s="504">
        <v>0</v>
      </c>
      <c r="I76" s="504">
        <v>0</v>
      </c>
      <c r="J76" s="504">
        <v>0</v>
      </c>
      <c r="K76" s="504">
        <v>0</v>
      </c>
      <c r="L76" s="504">
        <v>12</v>
      </c>
      <c r="M76" s="504">
        <v>4.0999999999999996</v>
      </c>
    </row>
    <row r="77" spans="1:13" x14ac:dyDescent="0.3">
      <c r="A77" s="504">
        <v>76</v>
      </c>
      <c r="B77" s="504" t="s">
        <v>224</v>
      </c>
      <c r="C77" s="504" t="s">
        <v>7</v>
      </c>
      <c r="D77" s="504">
        <v>7</v>
      </c>
      <c r="E77" s="504">
        <v>116</v>
      </c>
      <c r="F77" s="504">
        <v>0</v>
      </c>
      <c r="G77" s="504">
        <v>16.600000000000001</v>
      </c>
      <c r="H77" s="504">
        <v>0</v>
      </c>
      <c r="I77" s="504">
        <v>0</v>
      </c>
      <c r="J77" s="504">
        <v>0</v>
      </c>
      <c r="K77" s="504">
        <v>0</v>
      </c>
      <c r="L77" s="504">
        <v>12</v>
      </c>
      <c r="M77" s="504">
        <v>3.9</v>
      </c>
    </row>
    <row r="78" spans="1:13" x14ac:dyDescent="0.3">
      <c r="A78" s="504">
        <v>77</v>
      </c>
      <c r="B78" s="504" t="s">
        <v>294</v>
      </c>
      <c r="C78" s="504" t="s">
        <v>398</v>
      </c>
      <c r="D78" s="504">
        <v>12</v>
      </c>
      <c r="E78" s="504">
        <v>114</v>
      </c>
      <c r="F78" s="504">
        <v>0</v>
      </c>
      <c r="G78" s="504">
        <v>9.5</v>
      </c>
      <c r="H78" s="504">
        <v>0</v>
      </c>
      <c r="I78" s="504">
        <v>0</v>
      </c>
      <c r="J78" s="504">
        <v>0</v>
      </c>
      <c r="K78" s="504">
        <v>0</v>
      </c>
      <c r="L78" s="504">
        <v>11</v>
      </c>
      <c r="M78" s="504">
        <v>3.8</v>
      </c>
    </row>
    <row r="79" spans="1:13" x14ac:dyDescent="0.3">
      <c r="A79" s="504">
        <v>78</v>
      </c>
      <c r="B79" s="504" t="s">
        <v>230</v>
      </c>
      <c r="C79" s="504" t="s">
        <v>52</v>
      </c>
      <c r="D79" s="504">
        <v>7</v>
      </c>
      <c r="E79" s="504">
        <v>122</v>
      </c>
      <c r="F79" s="504">
        <v>0</v>
      </c>
      <c r="G79" s="504">
        <v>17.399999999999999</v>
      </c>
      <c r="H79" s="504">
        <v>0</v>
      </c>
      <c r="I79" s="504">
        <v>0</v>
      </c>
      <c r="J79" s="504">
        <v>0</v>
      </c>
      <c r="K79" s="504">
        <v>0</v>
      </c>
      <c r="L79" s="504">
        <v>10</v>
      </c>
      <c r="M79" s="504">
        <v>3.4</v>
      </c>
    </row>
    <row r="80" spans="1:13" x14ac:dyDescent="0.3">
      <c r="A80" s="504">
        <v>79</v>
      </c>
      <c r="B80" s="504" t="s">
        <v>285</v>
      </c>
      <c r="C80" s="504" t="s">
        <v>397</v>
      </c>
      <c r="D80" s="504">
        <v>9</v>
      </c>
      <c r="E80" s="504">
        <v>102</v>
      </c>
      <c r="F80" s="504">
        <v>0</v>
      </c>
      <c r="G80" s="504">
        <v>11.3</v>
      </c>
      <c r="H80" s="504">
        <v>0</v>
      </c>
      <c r="I80" s="504">
        <v>0</v>
      </c>
      <c r="J80" s="504">
        <v>0</v>
      </c>
      <c r="K80" s="504">
        <v>0</v>
      </c>
      <c r="L80" s="504">
        <v>10</v>
      </c>
      <c r="M80" s="504">
        <v>3.4</v>
      </c>
    </row>
    <row r="81" spans="1:13" x14ac:dyDescent="0.3">
      <c r="A81" s="504">
        <v>80</v>
      </c>
      <c r="B81" s="504" t="s">
        <v>465</v>
      </c>
      <c r="C81" s="504" t="s">
        <v>28</v>
      </c>
      <c r="D81" s="504">
        <v>11</v>
      </c>
      <c r="E81" s="504">
        <v>120</v>
      </c>
      <c r="F81" s="504">
        <v>0</v>
      </c>
      <c r="G81" s="504">
        <v>10.9</v>
      </c>
      <c r="H81" s="504">
        <v>0</v>
      </c>
      <c r="I81" s="504">
        <v>0</v>
      </c>
      <c r="J81" s="504">
        <v>0</v>
      </c>
      <c r="K81" s="504">
        <v>0</v>
      </c>
      <c r="L81" s="504">
        <v>10</v>
      </c>
      <c r="M81" s="504">
        <v>3.3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
  <sheetViews>
    <sheetView workbookViewId="0">
      <selection activeCell="B7" sqref="B7"/>
    </sheetView>
  </sheetViews>
  <sheetFormatPr defaultRowHeight="14.4" x14ac:dyDescent="0.3"/>
  <cols>
    <col min="1" max="1" width="8.88671875" style="135"/>
    <col min="2" max="2" width="19.77734375" style="135" bestFit="1" customWidth="1"/>
    <col min="3" max="4" width="8.88671875" style="135"/>
    <col min="5" max="5" width="9.109375" style="135" customWidth="1"/>
    <col min="6" max="7" width="8.88671875" style="135"/>
    <col min="8" max="8" width="10.33203125" style="135" customWidth="1"/>
    <col min="9" max="9" width="10" style="135" customWidth="1"/>
    <col min="10" max="10" width="9.44140625" style="135" customWidth="1"/>
    <col min="11" max="16384" width="8.88671875" style="135"/>
  </cols>
  <sheetData>
    <row r="1" spans="1:13" x14ac:dyDescent="0.3">
      <c r="A1" s="394" t="s">
        <v>2443</v>
      </c>
      <c r="B1" s="394" t="s">
        <v>1</v>
      </c>
      <c r="C1" s="394" t="s">
        <v>387</v>
      </c>
      <c r="D1" s="394" t="s">
        <v>389</v>
      </c>
      <c r="E1" s="394" t="s">
        <v>826</v>
      </c>
      <c r="F1" s="394" t="s">
        <v>393</v>
      </c>
      <c r="G1" s="394" t="s">
        <v>2451</v>
      </c>
      <c r="H1" s="394" t="s">
        <v>2450</v>
      </c>
      <c r="I1" s="394" t="s">
        <v>801</v>
      </c>
      <c r="J1" s="394" t="s">
        <v>392</v>
      </c>
      <c r="K1" s="394" t="s">
        <v>2447</v>
      </c>
      <c r="L1" s="394" t="s">
        <v>2448</v>
      </c>
      <c r="M1" s="394" t="s">
        <v>2449</v>
      </c>
    </row>
    <row r="2" spans="1:13" x14ac:dyDescent="0.3">
      <c r="A2" s="504">
        <v>1</v>
      </c>
      <c r="B2" s="504" t="s">
        <v>319</v>
      </c>
      <c r="C2" s="504" t="s">
        <v>22</v>
      </c>
      <c r="D2" s="504">
        <v>18</v>
      </c>
      <c r="E2" s="504">
        <v>259</v>
      </c>
      <c r="F2" s="504">
        <v>1</v>
      </c>
      <c r="G2" s="504">
        <v>14.4</v>
      </c>
      <c r="H2" s="504">
        <v>0</v>
      </c>
      <c r="I2" s="504">
        <v>0</v>
      </c>
      <c r="J2" s="504">
        <v>0</v>
      </c>
      <c r="K2" s="504">
        <v>0</v>
      </c>
      <c r="L2" s="504">
        <v>32</v>
      </c>
      <c r="M2" s="504">
        <v>10.6</v>
      </c>
    </row>
    <row r="3" spans="1:13" x14ac:dyDescent="0.3">
      <c r="A3" s="504">
        <v>2</v>
      </c>
      <c r="B3" s="504" t="s">
        <v>331</v>
      </c>
      <c r="C3" s="504" t="s">
        <v>41</v>
      </c>
      <c r="D3" s="504">
        <v>14</v>
      </c>
      <c r="E3" s="504">
        <v>166</v>
      </c>
      <c r="F3" s="504">
        <v>2</v>
      </c>
      <c r="G3" s="504">
        <v>11.9</v>
      </c>
      <c r="H3" s="504">
        <v>0</v>
      </c>
      <c r="I3" s="504">
        <v>0</v>
      </c>
      <c r="J3" s="504">
        <v>0</v>
      </c>
      <c r="K3" s="504">
        <v>0</v>
      </c>
      <c r="L3" s="504">
        <v>29</v>
      </c>
      <c r="M3" s="504">
        <v>9.5</v>
      </c>
    </row>
    <row r="4" spans="1:13" x14ac:dyDescent="0.3">
      <c r="A4" s="504">
        <v>3</v>
      </c>
      <c r="B4" s="504" t="s">
        <v>323</v>
      </c>
      <c r="C4" s="504" t="s">
        <v>397</v>
      </c>
      <c r="D4" s="504">
        <v>17</v>
      </c>
      <c r="E4" s="504">
        <v>197</v>
      </c>
      <c r="F4" s="504">
        <v>1</v>
      </c>
      <c r="G4" s="504">
        <v>11.6</v>
      </c>
      <c r="H4" s="504">
        <v>0</v>
      </c>
      <c r="I4" s="504">
        <v>0</v>
      </c>
      <c r="J4" s="504">
        <v>0</v>
      </c>
      <c r="K4" s="504">
        <v>0</v>
      </c>
      <c r="L4" s="504">
        <v>26</v>
      </c>
      <c r="M4" s="504">
        <v>8.6</v>
      </c>
    </row>
    <row r="5" spans="1:13" x14ac:dyDescent="0.3">
      <c r="A5" s="504">
        <v>4</v>
      </c>
      <c r="B5" s="504" t="s">
        <v>368</v>
      </c>
      <c r="C5" s="504" t="s">
        <v>16</v>
      </c>
      <c r="D5" s="504">
        <v>13</v>
      </c>
      <c r="E5" s="504">
        <v>137</v>
      </c>
      <c r="F5" s="504">
        <v>2</v>
      </c>
      <c r="G5" s="504">
        <v>10.5</v>
      </c>
      <c r="H5" s="504">
        <v>0</v>
      </c>
      <c r="I5" s="504">
        <v>0</v>
      </c>
      <c r="J5" s="504">
        <v>0</v>
      </c>
      <c r="K5" s="504">
        <v>0</v>
      </c>
      <c r="L5" s="504">
        <v>26</v>
      </c>
      <c r="M5" s="504">
        <v>8.6</v>
      </c>
    </row>
    <row r="6" spans="1:13" x14ac:dyDescent="0.3">
      <c r="A6" s="504">
        <v>5</v>
      </c>
      <c r="B6" s="504" t="s">
        <v>334</v>
      </c>
      <c r="C6" s="504" t="s">
        <v>46</v>
      </c>
      <c r="D6" s="504">
        <v>15</v>
      </c>
      <c r="E6" s="504">
        <v>125</v>
      </c>
      <c r="F6" s="504">
        <v>2</v>
      </c>
      <c r="G6" s="504">
        <v>8.3000000000000007</v>
      </c>
      <c r="H6" s="504">
        <v>0</v>
      </c>
      <c r="I6" s="504">
        <v>0</v>
      </c>
      <c r="J6" s="504">
        <v>0</v>
      </c>
      <c r="K6" s="504">
        <v>0</v>
      </c>
      <c r="L6" s="504">
        <v>25</v>
      </c>
      <c r="M6" s="504">
        <v>8.1999999999999993</v>
      </c>
    </row>
    <row r="7" spans="1:13" x14ac:dyDescent="0.3">
      <c r="A7" s="504">
        <v>6</v>
      </c>
      <c r="B7" s="504" t="s">
        <v>332</v>
      </c>
      <c r="C7" s="504" t="s">
        <v>26</v>
      </c>
      <c r="D7" s="504">
        <v>14</v>
      </c>
      <c r="E7" s="504">
        <v>168</v>
      </c>
      <c r="F7" s="504">
        <v>1</v>
      </c>
      <c r="G7" s="504">
        <v>12</v>
      </c>
      <c r="H7" s="504">
        <v>0</v>
      </c>
      <c r="I7" s="504">
        <v>0</v>
      </c>
      <c r="J7" s="504">
        <v>0</v>
      </c>
      <c r="K7" s="504">
        <v>0</v>
      </c>
      <c r="L7" s="504">
        <v>23</v>
      </c>
      <c r="M7" s="504">
        <v>7.6</v>
      </c>
    </row>
    <row r="8" spans="1:13" x14ac:dyDescent="0.3">
      <c r="A8" s="504">
        <v>7</v>
      </c>
      <c r="B8" s="504" t="s">
        <v>335</v>
      </c>
      <c r="C8" s="504" t="s">
        <v>50</v>
      </c>
      <c r="D8" s="504">
        <v>14</v>
      </c>
      <c r="E8" s="504">
        <v>154</v>
      </c>
      <c r="F8" s="504">
        <v>1</v>
      </c>
      <c r="G8" s="504">
        <v>11</v>
      </c>
      <c r="H8" s="504">
        <v>0</v>
      </c>
      <c r="I8" s="504">
        <v>0</v>
      </c>
      <c r="J8" s="504">
        <v>0</v>
      </c>
      <c r="K8" s="504">
        <v>0</v>
      </c>
      <c r="L8" s="504">
        <v>21</v>
      </c>
      <c r="M8" s="504">
        <v>7.1</v>
      </c>
    </row>
    <row r="9" spans="1:13" x14ac:dyDescent="0.3">
      <c r="A9" s="504">
        <v>8</v>
      </c>
      <c r="B9" s="504" t="s">
        <v>338</v>
      </c>
      <c r="C9" s="504" t="s">
        <v>398</v>
      </c>
      <c r="D9" s="504">
        <v>5</v>
      </c>
      <c r="E9" s="504">
        <v>93</v>
      </c>
      <c r="F9" s="504">
        <v>2</v>
      </c>
      <c r="G9" s="504">
        <v>18.600000000000001</v>
      </c>
      <c r="H9" s="504">
        <v>0</v>
      </c>
      <c r="I9" s="504">
        <v>0</v>
      </c>
      <c r="J9" s="504">
        <v>0</v>
      </c>
      <c r="K9" s="504">
        <v>0</v>
      </c>
      <c r="L9" s="504">
        <v>21</v>
      </c>
      <c r="M9" s="504">
        <v>7.1</v>
      </c>
    </row>
    <row r="10" spans="1:13" x14ac:dyDescent="0.3">
      <c r="A10" s="504">
        <v>9</v>
      </c>
      <c r="B10" s="504" t="s">
        <v>340</v>
      </c>
      <c r="C10" s="504" t="s">
        <v>401</v>
      </c>
      <c r="D10" s="504">
        <v>11</v>
      </c>
      <c r="E10" s="504">
        <v>92</v>
      </c>
      <c r="F10" s="504">
        <v>2</v>
      </c>
      <c r="G10" s="504">
        <v>8.4</v>
      </c>
      <c r="H10" s="504">
        <v>0</v>
      </c>
      <c r="I10" s="504">
        <v>0</v>
      </c>
      <c r="J10" s="504">
        <v>0</v>
      </c>
      <c r="K10" s="504">
        <v>0</v>
      </c>
      <c r="L10" s="504">
        <v>21</v>
      </c>
      <c r="M10" s="504">
        <v>7.1</v>
      </c>
    </row>
    <row r="11" spans="1:13" x14ac:dyDescent="0.3">
      <c r="A11" s="504">
        <v>10</v>
      </c>
      <c r="B11" s="504" t="s">
        <v>326</v>
      </c>
      <c r="C11" s="504" t="s">
        <v>12</v>
      </c>
      <c r="D11" s="504">
        <v>11</v>
      </c>
      <c r="E11" s="504">
        <v>148</v>
      </c>
      <c r="F11" s="504">
        <v>1</v>
      </c>
      <c r="G11" s="504">
        <v>13.5</v>
      </c>
      <c r="H11" s="504">
        <v>0</v>
      </c>
      <c r="I11" s="504">
        <v>0</v>
      </c>
      <c r="J11" s="504">
        <v>0</v>
      </c>
      <c r="K11" s="504">
        <v>0</v>
      </c>
      <c r="L11" s="504">
        <v>21</v>
      </c>
      <c r="M11" s="504">
        <v>6.9</v>
      </c>
    </row>
    <row r="12" spans="1:13" x14ac:dyDescent="0.3">
      <c r="A12" s="504">
        <v>11</v>
      </c>
      <c r="B12" s="504" t="s">
        <v>336</v>
      </c>
      <c r="C12" s="504" t="s">
        <v>402</v>
      </c>
      <c r="D12" s="504">
        <v>10</v>
      </c>
      <c r="E12" s="504">
        <v>138</v>
      </c>
      <c r="F12" s="504">
        <v>1</v>
      </c>
      <c r="G12" s="504">
        <v>13.8</v>
      </c>
      <c r="H12" s="504">
        <v>1</v>
      </c>
      <c r="I12" s="504">
        <v>6</v>
      </c>
      <c r="J12" s="504">
        <v>0</v>
      </c>
      <c r="K12" s="504">
        <v>6</v>
      </c>
      <c r="L12" s="504">
        <v>20</v>
      </c>
      <c r="M12" s="504">
        <v>6.8</v>
      </c>
    </row>
    <row r="13" spans="1:13" x14ac:dyDescent="0.3">
      <c r="A13" s="504">
        <v>12</v>
      </c>
      <c r="B13" s="504" t="s">
        <v>308</v>
      </c>
      <c r="C13" s="504" t="s">
        <v>404</v>
      </c>
      <c r="D13" s="504">
        <v>10</v>
      </c>
      <c r="E13" s="504">
        <v>144</v>
      </c>
      <c r="F13" s="504">
        <v>1</v>
      </c>
      <c r="G13" s="504">
        <v>14.4</v>
      </c>
      <c r="H13" s="504">
        <v>0</v>
      </c>
      <c r="I13" s="504">
        <v>0</v>
      </c>
      <c r="J13" s="504">
        <v>0</v>
      </c>
      <c r="K13" s="504">
        <v>0</v>
      </c>
      <c r="L13" s="504">
        <v>20</v>
      </c>
      <c r="M13" s="504">
        <v>6.8</v>
      </c>
    </row>
    <row r="14" spans="1:13" x14ac:dyDescent="0.3">
      <c r="A14" s="504">
        <v>13</v>
      </c>
      <c r="B14" s="504" t="s">
        <v>328</v>
      </c>
      <c r="C14" s="504" t="s">
        <v>7</v>
      </c>
      <c r="D14" s="504">
        <v>10</v>
      </c>
      <c r="E14" s="504">
        <v>153</v>
      </c>
      <c r="F14" s="504">
        <v>1</v>
      </c>
      <c r="G14" s="504">
        <v>15.3</v>
      </c>
      <c r="H14" s="504">
        <v>0</v>
      </c>
      <c r="I14" s="504">
        <v>0</v>
      </c>
      <c r="J14" s="504">
        <v>0</v>
      </c>
      <c r="K14" s="504">
        <v>0</v>
      </c>
      <c r="L14" s="504">
        <v>19</v>
      </c>
      <c r="M14" s="504">
        <v>6.4</v>
      </c>
    </row>
    <row r="15" spans="1:13" x14ac:dyDescent="0.3">
      <c r="A15" s="504">
        <v>14</v>
      </c>
      <c r="B15" s="504" t="s">
        <v>215</v>
      </c>
      <c r="C15" s="504" t="s">
        <v>18</v>
      </c>
      <c r="D15" s="504">
        <v>16</v>
      </c>
      <c r="E15" s="504">
        <v>190</v>
      </c>
      <c r="F15" s="504">
        <v>0</v>
      </c>
      <c r="G15" s="504">
        <v>11.9</v>
      </c>
      <c r="H15" s="504">
        <v>0</v>
      </c>
      <c r="I15" s="504">
        <v>0</v>
      </c>
      <c r="J15" s="504">
        <v>0</v>
      </c>
      <c r="K15" s="504">
        <v>0</v>
      </c>
      <c r="L15" s="504">
        <v>19</v>
      </c>
      <c r="M15" s="504">
        <v>6.3</v>
      </c>
    </row>
    <row r="16" spans="1:13" x14ac:dyDescent="0.3">
      <c r="A16" s="504">
        <v>15</v>
      </c>
      <c r="B16" s="504" t="s">
        <v>320</v>
      </c>
      <c r="C16" s="504" t="s">
        <v>30</v>
      </c>
      <c r="D16" s="504">
        <v>9</v>
      </c>
      <c r="E16" s="504">
        <v>125</v>
      </c>
      <c r="F16" s="504">
        <v>1</v>
      </c>
      <c r="G16" s="504">
        <v>13.9</v>
      </c>
      <c r="H16" s="504">
        <v>0</v>
      </c>
      <c r="I16" s="504">
        <v>0</v>
      </c>
      <c r="J16" s="504">
        <v>0</v>
      </c>
      <c r="K16" s="504">
        <v>0</v>
      </c>
      <c r="L16" s="504">
        <v>19</v>
      </c>
      <c r="M16" s="504">
        <v>9.3000000000000007</v>
      </c>
    </row>
    <row r="17" spans="1:13" x14ac:dyDescent="0.3">
      <c r="A17" s="504">
        <v>16</v>
      </c>
      <c r="B17" s="504" t="s">
        <v>532</v>
      </c>
      <c r="C17" s="504" t="s">
        <v>32</v>
      </c>
      <c r="D17" s="504">
        <v>18</v>
      </c>
      <c r="E17" s="504">
        <v>183</v>
      </c>
      <c r="F17" s="504">
        <v>0</v>
      </c>
      <c r="G17" s="504">
        <v>10.199999999999999</v>
      </c>
      <c r="H17" s="504">
        <v>0</v>
      </c>
      <c r="I17" s="504">
        <v>0</v>
      </c>
      <c r="J17" s="504">
        <v>0</v>
      </c>
      <c r="K17" s="504">
        <v>0</v>
      </c>
      <c r="L17" s="504">
        <v>18</v>
      </c>
      <c r="M17" s="504">
        <v>6.1</v>
      </c>
    </row>
    <row r="18" spans="1:13" x14ac:dyDescent="0.3">
      <c r="A18" s="504">
        <v>17</v>
      </c>
      <c r="B18" s="504" t="s">
        <v>357</v>
      </c>
      <c r="C18" s="504" t="s">
        <v>16</v>
      </c>
      <c r="D18" s="504">
        <v>9</v>
      </c>
      <c r="E18" s="504">
        <v>113</v>
      </c>
      <c r="F18" s="504">
        <v>1</v>
      </c>
      <c r="G18" s="504">
        <v>12.6</v>
      </c>
      <c r="H18" s="504">
        <v>0</v>
      </c>
      <c r="I18" s="504">
        <v>0</v>
      </c>
      <c r="J18" s="504">
        <v>0</v>
      </c>
      <c r="K18" s="504">
        <v>0</v>
      </c>
      <c r="L18" s="504">
        <v>17</v>
      </c>
      <c r="M18" s="504">
        <v>5.8</v>
      </c>
    </row>
    <row r="19" spans="1:13" x14ac:dyDescent="0.3">
      <c r="A19" s="504">
        <v>18</v>
      </c>
      <c r="B19" s="504" t="s">
        <v>344</v>
      </c>
      <c r="C19" s="504" t="s">
        <v>4</v>
      </c>
      <c r="D19" s="504">
        <v>11</v>
      </c>
      <c r="E19" s="504">
        <v>102</v>
      </c>
      <c r="F19" s="504">
        <v>1</v>
      </c>
      <c r="G19" s="504">
        <v>9.3000000000000007</v>
      </c>
      <c r="H19" s="504">
        <v>0</v>
      </c>
      <c r="I19" s="504">
        <v>0</v>
      </c>
      <c r="J19" s="504">
        <v>0</v>
      </c>
      <c r="K19" s="504">
        <v>0</v>
      </c>
      <c r="L19" s="504">
        <v>16</v>
      </c>
      <c r="M19" s="504">
        <v>5.4</v>
      </c>
    </row>
    <row r="20" spans="1:13" x14ac:dyDescent="0.3">
      <c r="A20" s="504">
        <v>19</v>
      </c>
      <c r="B20" s="504" t="s">
        <v>361</v>
      </c>
      <c r="C20" s="504" t="s">
        <v>12</v>
      </c>
      <c r="D20" s="504">
        <v>7</v>
      </c>
      <c r="E20" s="504">
        <v>85</v>
      </c>
      <c r="F20" s="504">
        <v>1</v>
      </c>
      <c r="G20" s="504">
        <v>12.1</v>
      </c>
      <c r="H20" s="504">
        <v>0</v>
      </c>
      <c r="I20" s="504">
        <v>0</v>
      </c>
      <c r="J20" s="504">
        <v>0</v>
      </c>
      <c r="K20" s="504">
        <v>0</v>
      </c>
      <c r="L20" s="504">
        <v>15</v>
      </c>
      <c r="M20" s="504">
        <v>4.8</v>
      </c>
    </row>
    <row r="21" spans="1:13" x14ac:dyDescent="0.3">
      <c r="A21" s="504">
        <v>20</v>
      </c>
      <c r="B21" s="504" t="s">
        <v>329</v>
      </c>
      <c r="C21" s="504" t="s">
        <v>52</v>
      </c>
      <c r="D21" s="504">
        <v>14</v>
      </c>
      <c r="E21" s="504">
        <v>142</v>
      </c>
      <c r="F21" s="504">
        <v>0</v>
      </c>
      <c r="G21" s="504">
        <v>10.1</v>
      </c>
      <c r="H21" s="504">
        <v>0</v>
      </c>
      <c r="I21" s="504">
        <v>0</v>
      </c>
      <c r="J21" s="504">
        <v>0</v>
      </c>
      <c r="K21" s="504">
        <v>0</v>
      </c>
      <c r="L21" s="504">
        <v>14</v>
      </c>
      <c r="M21" s="504">
        <v>4.7</v>
      </c>
    </row>
    <row r="22" spans="1:13" x14ac:dyDescent="0.3">
      <c r="A22" s="504">
        <v>21</v>
      </c>
      <c r="B22" s="504" t="s">
        <v>354</v>
      </c>
      <c r="C22" s="504" t="s">
        <v>20</v>
      </c>
      <c r="D22" s="504">
        <v>10</v>
      </c>
      <c r="E22" s="504">
        <v>70</v>
      </c>
      <c r="F22" s="504">
        <v>1</v>
      </c>
      <c r="G22" s="504">
        <v>7</v>
      </c>
      <c r="H22" s="504">
        <v>0</v>
      </c>
      <c r="I22" s="504">
        <v>0</v>
      </c>
      <c r="J22" s="504">
        <v>0</v>
      </c>
      <c r="K22" s="504">
        <v>0</v>
      </c>
      <c r="L22" s="504">
        <v>13</v>
      </c>
      <c r="M22" s="504">
        <v>4.3</v>
      </c>
    </row>
    <row r="23" spans="1:13" x14ac:dyDescent="0.3">
      <c r="A23" s="504">
        <v>22</v>
      </c>
      <c r="B23" s="504" t="s">
        <v>377</v>
      </c>
      <c r="C23" s="504" t="s">
        <v>39</v>
      </c>
      <c r="D23" s="504">
        <v>7</v>
      </c>
      <c r="E23" s="504">
        <v>68</v>
      </c>
      <c r="F23" s="504">
        <v>1</v>
      </c>
      <c r="G23" s="504">
        <v>9.6999999999999993</v>
      </c>
      <c r="H23" s="504">
        <v>0</v>
      </c>
      <c r="I23" s="504">
        <v>0</v>
      </c>
      <c r="J23" s="504">
        <v>0</v>
      </c>
      <c r="K23" s="504">
        <v>0</v>
      </c>
      <c r="L23" s="504">
        <v>13</v>
      </c>
      <c r="M23" s="504">
        <v>6.4</v>
      </c>
    </row>
    <row r="24" spans="1:13" x14ac:dyDescent="0.3">
      <c r="A24" s="504">
        <v>23</v>
      </c>
      <c r="B24" s="504" t="s">
        <v>341</v>
      </c>
      <c r="C24" s="504" t="s">
        <v>57</v>
      </c>
      <c r="D24" s="504">
        <v>8</v>
      </c>
      <c r="E24" s="504">
        <v>60</v>
      </c>
      <c r="F24" s="504">
        <v>1</v>
      </c>
      <c r="G24" s="504">
        <v>7.5</v>
      </c>
      <c r="H24" s="504">
        <v>0</v>
      </c>
      <c r="I24" s="504">
        <v>0</v>
      </c>
      <c r="J24" s="504">
        <v>0</v>
      </c>
      <c r="K24" s="504">
        <v>0</v>
      </c>
      <c r="L24" s="504">
        <v>12</v>
      </c>
      <c r="M24" s="504">
        <v>4</v>
      </c>
    </row>
    <row r="25" spans="1:13" x14ac:dyDescent="0.3">
      <c r="A25" s="504">
        <v>24</v>
      </c>
      <c r="B25" s="504" t="s">
        <v>327</v>
      </c>
      <c r="C25" s="504" t="s">
        <v>395</v>
      </c>
      <c r="D25" s="504">
        <v>5</v>
      </c>
      <c r="E25" s="504">
        <v>56</v>
      </c>
      <c r="F25" s="504">
        <v>1</v>
      </c>
      <c r="G25" s="504">
        <v>11.2</v>
      </c>
      <c r="H25" s="504">
        <v>0</v>
      </c>
      <c r="I25" s="504">
        <v>0</v>
      </c>
      <c r="J25" s="504">
        <v>0</v>
      </c>
      <c r="K25" s="504">
        <v>0</v>
      </c>
      <c r="L25" s="504">
        <v>12</v>
      </c>
      <c r="M25" s="504">
        <v>3.9</v>
      </c>
    </row>
    <row r="26" spans="1:13" x14ac:dyDescent="0.3">
      <c r="A26" s="504">
        <v>25</v>
      </c>
      <c r="B26" s="504" t="s">
        <v>339</v>
      </c>
      <c r="C26" s="504" t="s">
        <v>37</v>
      </c>
      <c r="D26" s="504">
        <v>8</v>
      </c>
      <c r="E26" s="504">
        <v>50</v>
      </c>
      <c r="F26" s="504">
        <v>1</v>
      </c>
      <c r="G26" s="504">
        <v>6.3</v>
      </c>
      <c r="H26" s="504">
        <v>0</v>
      </c>
      <c r="I26" s="504">
        <v>0</v>
      </c>
      <c r="J26" s="504">
        <v>0</v>
      </c>
      <c r="K26" s="504">
        <v>0</v>
      </c>
      <c r="L26" s="504">
        <v>11</v>
      </c>
      <c r="M26" s="504">
        <v>3.7</v>
      </c>
    </row>
    <row r="27" spans="1:13" x14ac:dyDescent="0.3">
      <c r="A27" s="504">
        <v>26</v>
      </c>
      <c r="B27" s="504" t="s">
        <v>324</v>
      </c>
      <c r="C27" s="504" t="s">
        <v>401</v>
      </c>
      <c r="D27" s="504">
        <v>3</v>
      </c>
      <c r="E27" s="504">
        <v>44</v>
      </c>
      <c r="F27" s="504">
        <v>1</v>
      </c>
      <c r="G27" s="504">
        <v>14.7</v>
      </c>
      <c r="H27" s="504">
        <v>0</v>
      </c>
      <c r="I27" s="504">
        <v>0</v>
      </c>
      <c r="J27" s="504">
        <v>0</v>
      </c>
      <c r="K27" s="504">
        <v>0</v>
      </c>
      <c r="L27" s="504">
        <v>10</v>
      </c>
      <c r="M27" s="504">
        <v>5.2</v>
      </c>
    </row>
    <row r="28" spans="1:13" x14ac:dyDescent="0.3">
      <c r="A28" s="504">
        <v>27</v>
      </c>
      <c r="B28" s="504" t="s">
        <v>322</v>
      </c>
      <c r="C28" s="504" t="s">
        <v>14</v>
      </c>
      <c r="D28" s="504">
        <v>9</v>
      </c>
      <c r="E28" s="504">
        <v>103</v>
      </c>
      <c r="F28" s="504">
        <v>0</v>
      </c>
      <c r="G28" s="504">
        <v>11.4</v>
      </c>
      <c r="H28" s="504">
        <v>0</v>
      </c>
      <c r="I28" s="504">
        <v>0</v>
      </c>
      <c r="J28" s="504">
        <v>0</v>
      </c>
      <c r="K28" s="504">
        <v>0</v>
      </c>
      <c r="L28" s="504">
        <v>10</v>
      </c>
      <c r="M28" s="504">
        <v>3.4</v>
      </c>
    </row>
    <row r="29" spans="1:13" x14ac:dyDescent="0.3">
      <c r="A29" s="504">
        <v>28</v>
      </c>
      <c r="B29" s="504" t="s">
        <v>383</v>
      </c>
      <c r="C29" s="504" t="s">
        <v>28</v>
      </c>
      <c r="D29" s="504">
        <v>7</v>
      </c>
      <c r="E29" s="504">
        <v>99</v>
      </c>
      <c r="F29" s="504">
        <v>0</v>
      </c>
      <c r="G29" s="504">
        <v>14.1</v>
      </c>
      <c r="H29" s="504">
        <v>0</v>
      </c>
      <c r="I29" s="504">
        <v>0</v>
      </c>
      <c r="J29" s="504">
        <v>0</v>
      </c>
      <c r="K29" s="504">
        <v>0</v>
      </c>
      <c r="L29" s="504">
        <v>10</v>
      </c>
      <c r="M29" s="504">
        <v>3.3</v>
      </c>
    </row>
    <row r="30" spans="1:13" x14ac:dyDescent="0.3">
      <c r="A30" s="504">
        <v>29</v>
      </c>
      <c r="B30" s="504" t="s">
        <v>558</v>
      </c>
      <c r="C30" s="504" t="s">
        <v>50</v>
      </c>
      <c r="D30" s="504">
        <v>4</v>
      </c>
      <c r="E30" s="504">
        <v>98</v>
      </c>
      <c r="F30" s="504">
        <v>0</v>
      </c>
      <c r="G30" s="504">
        <v>24.5</v>
      </c>
      <c r="H30" s="504">
        <v>0</v>
      </c>
      <c r="I30" s="504">
        <v>0</v>
      </c>
      <c r="J30" s="504">
        <v>0</v>
      </c>
      <c r="K30" s="504">
        <v>0</v>
      </c>
      <c r="L30" s="504">
        <v>10</v>
      </c>
      <c r="M30" s="504">
        <v>3.3</v>
      </c>
    </row>
    <row r="31" spans="1:13" x14ac:dyDescent="0.3">
      <c r="A31" s="504">
        <v>30</v>
      </c>
      <c r="B31" s="504" t="s">
        <v>325</v>
      </c>
      <c r="C31" s="504" t="s">
        <v>407</v>
      </c>
      <c r="D31" s="504">
        <v>6</v>
      </c>
      <c r="E31" s="504">
        <v>35</v>
      </c>
      <c r="F31" s="504">
        <v>1</v>
      </c>
      <c r="G31" s="504">
        <v>5.8</v>
      </c>
      <c r="H31" s="504">
        <v>0</v>
      </c>
      <c r="I31" s="504">
        <v>0</v>
      </c>
      <c r="J31" s="504">
        <v>0</v>
      </c>
      <c r="K31" s="504">
        <v>0</v>
      </c>
      <c r="L31" s="504">
        <v>10</v>
      </c>
      <c r="M31" s="504">
        <v>4.8</v>
      </c>
    </row>
    <row r="32" spans="1:13" x14ac:dyDescent="0.3">
      <c r="A32" s="504">
        <v>31</v>
      </c>
      <c r="B32" s="504" t="s">
        <v>1560</v>
      </c>
      <c r="C32" s="504" t="s">
        <v>20</v>
      </c>
      <c r="D32" s="504">
        <v>2</v>
      </c>
      <c r="E32" s="504">
        <v>26</v>
      </c>
      <c r="F32" s="504">
        <v>1</v>
      </c>
      <c r="G32" s="504">
        <v>13</v>
      </c>
      <c r="H32" s="504">
        <v>0</v>
      </c>
      <c r="I32" s="504">
        <v>0</v>
      </c>
      <c r="J32" s="504">
        <v>0</v>
      </c>
      <c r="K32" s="504">
        <v>0</v>
      </c>
      <c r="L32" s="504">
        <v>9</v>
      </c>
      <c r="M32" s="504">
        <v>2.9</v>
      </c>
    </row>
    <row r="33" spans="1:13" x14ac:dyDescent="0.3">
      <c r="A33" s="504">
        <v>32</v>
      </c>
      <c r="B33" s="504" t="s">
        <v>263</v>
      </c>
      <c r="C33" s="504" t="s">
        <v>409</v>
      </c>
      <c r="D33" s="504">
        <v>6</v>
      </c>
      <c r="E33" s="504">
        <v>76</v>
      </c>
      <c r="F33" s="504">
        <v>0</v>
      </c>
      <c r="G33" s="504">
        <v>12.7</v>
      </c>
      <c r="H33" s="504">
        <v>0</v>
      </c>
      <c r="I33" s="504">
        <v>0</v>
      </c>
      <c r="J33" s="504">
        <v>0</v>
      </c>
      <c r="K33" s="504">
        <v>0</v>
      </c>
      <c r="L33" s="504">
        <v>8</v>
      </c>
      <c r="M33" s="504">
        <v>2.5</v>
      </c>
    </row>
    <row r="34" spans="1:13" x14ac:dyDescent="0.3">
      <c r="A34" s="504">
        <v>33</v>
      </c>
      <c r="B34" s="504" t="s">
        <v>559</v>
      </c>
      <c r="C34" s="504" t="s">
        <v>407</v>
      </c>
      <c r="D34" s="504">
        <v>6</v>
      </c>
      <c r="E34" s="504">
        <v>96</v>
      </c>
      <c r="F34" s="504">
        <v>0</v>
      </c>
      <c r="G34" s="504">
        <v>16</v>
      </c>
      <c r="H34" s="504">
        <v>0</v>
      </c>
      <c r="I34" s="504">
        <v>0</v>
      </c>
      <c r="J34" s="504">
        <v>0</v>
      </c>
      <c r="K34" s="504">
        <v>0</v>
      </c>
      <c r="L34" s="504">
        <v>8</v>
      </c>
      <c r="M34" s="504">
        <v>2.5</v>
      </c>
    </row>
    <row r="35" spans="1:13" x14ac:dyDescent="0.3">
      <c r="A35" s="504">
        <v>34</v>
      </c>
      <c r="B35" s="504" t="s">
        <v>337</v>
      </c>
      <c r="C35" s="504" t="s">
        <v>43</v>
      </c>
      <c r="D35" s="504">
        <v>11</v>
      </c>
      <c r="E35" s="504">
        <v>74</v>
      </c>
      <c r="F35" s="504">
        <v>0</v>
      </c>
      <c r="G35" s="504">
        <v>6.7</v>
      </c>
      <c r="H35" s="504">
        <v>0</v>
      </c>
      <c r="I35" s="504">
        <v>0</v>
      </c>
      <c r="J35" s="504">
        <v>0</v>
      </c>
      <c r="K35" s="504">
        <v>0</v>
      </c>
      <c r="L35" s="504">
        <v>7</v>
      </c>
      <c r="M35" s="504">
        <v>2.5</v>
      </c>
    </row>
    <row r="36" spans="1:13" x14ac:dyDescent="0.3">
      <c r="A36" s="504">
        <v>35</v>
      </c>
      <c r="B36" s="504" t="s">
        <v>366</v>
      </c>
      <c r="C36" s="504" t="s">
        <v>70</v>
      </c>
      <c r="D36" s="504">
        <v>7</v>
      </c>
      <c r="E36" s="504">
        <v>74</v>
      </c>
      <c r="F36" s="504">
        <v>0</v>
      </c>
      <c r="G36" s="504">
        <v>10.6</v>
      </c>
      <c r="H36" s="504">
        <v>0</v>
      </c>
      <c r="I36" s="504">
        <v>0</v>
      </c>
      <c r="J36" s="504">
        <v>0</v>
      </c>
      <c r="K36" s="504">
        <v>0</v>
      </c>
      <c r="L36" s="504">
        <v>7</v>
      </c>
      <c r="M36" s="504">
        <v>3.7</v>
      </c>
    </row>
    <row r="37" spans="1:13" x14ac:dyDescent="0.3">
      <c r="A37" s="504">
        <v>36</v>
      </c>
      <c r="B37" s="504" t="s">
        <v>343</v>
      </c>
      <c r="C37" s="504" t="s">
        <v>39</v>
      </c>
      <c r="D37" s="504">
        <v>4</v>
      </c>
      <c r="E37" s="504">
        <v>72</v>
      </c>
      <c r="F37" s="504">
        <v>0</v>
      </c>
      <c r="G37" s="504">
        <v>18</v>
      </c>
      <c r="H37" s="504">
        <v>0</v>
      </c>
      <c r="I37" s="504">
        <v>0</v>
      </c>
      <c r="J37" s="504">
        <v>0</v>
      </c>
      <c r="K37" s="504">
        <v>0</v>
      </c>
      <c r="L37" s="504">
        <v>7</v>
      </c>
      <c r="M37" s="504">
        <v>2.4</v>
      </c>
    </row>
    <row r="38" spans="1:13" x14ac:dyDescent="0.3">
      <c r="A38" s="504">
        <v>37</v>
      </c>
      <c r="B38" s="504" t="s">
        <v>358</v>
      </c>
      <c r="C38" s="504" t="s">
        <v>401</v>
      </c>
      <c r="D38" s="504">
        <v>2</v>
      </c>
      <c r="E38" s="504">
        <v>11</v>
      </c>
      <c r="F38" s="504">
        <v>1</v>
      </c>
      <c r="G38" s="504">
        <v>5.5</v>
      </c>
      <c r="H38" s="504">
        <v>0</v>
      </c>
      <c r="I38" s="504">
        <v>0</v>
      </c>
      <c r="J38" s="504">
        <v>0</v>
      </c>
      <c r="K38" s="504">
        <v>0</v>
      </c>
      <c r="L38" s="504">
        <v>7</v>
      </c>
      <c r="M38" s="504">
        <v>2.4</v>
      </c>
    </row>
    <row r="39" spans="1:13" x14ac:dyDescent="0.3">
      <c r="A39" s="504">
        <v>38</v>
      </c>
      <c r="B39" s="504" t="s">
        <v>349</v>
      </c>
      <c r="C39" s="504" t="s">
        <v>18</v>
      </c>
      <c r="D39" s="504">
        <v>6</v>
      </c>
      <c r="E39" s="504">
        <v>71</v>
      </c>
      <c r="F39" s="504">
        <v>0</v>
      </c>
      <c r="G39" s="504">
        <v>11.8</v>
      </c>
      <c r="H39" s="504">
        <v>0</v>
      </c>
      <c r="I39" s="504">
        <v>0</v>
      </c>
      <c r="J39" s="504">
        <v>0</v>
      </c>
      <c r="K39" s="504">
        <v>0</v>
      </c>
      <c r="L39" s="504">
        <v>7</v>
      </c>
      <c r="M39" s="504">
        <v>2.4</v>
      </c>
    </row>
    <row r="40" spans="1:13" x14ac:dyDescent="0.3">
      <c r="A40" s="504">
        <v>39</v>
      </c>
      <c r="B40" s="504" t="s">
        <v>1518</v>
      </c>
      <c r="C40" s="504" t="s">
        <v>70</v>
      </c>
      <c r="D40" s="504">
        <v>2</v>
      </c>
      <c r="E40" s="504">
        <v>9</v>
      </c>
      <c r="F40" s="504">
        <v>1</v>
      </c>
      <c r="G40" s="504">
        <v>4.5</v>
      </c>
      <c r="H40" s="504">
        <v>0</v>
      </c>
      <c r="I40" s="504">
        <v>0</v>
      </c>
      <c r="J40" s="504">
        <v>0</v>
      </c>
      <c r="K40" s="504">
        <v>0</v>
      </c>
      <c r="L40" s="504">
        <v>7</v>
      </c>
      <c r="M40" s="504">
        <v>2.2999999999999998</v>
      </c>
    </row>
    <row r="41" spans="1:13" x14ac:dyDescent="0.3">
      <c r="A41" s="504">
        <v>40</v>
      </c>
      <c r="B41" s="504" t="s">
        <v>333</v>
      </c>
      <c r="C41" s="504" t="s">
        <v>10</v>
      </c>
      <c r="D41" s="504">
        <v>7</v>
      </c>
      <c r="E41" s="504">
        <v>67</v>
      </c>
      <c r="F41" s="504">
        <v>0</v>
      </c>
      <c r="G41" s="504">
        <v>9.6</v>
      </c>
      <c r="H41" s="504">
        <v>0</v>
      </c>
      <c r="I41" s="504">
        <v>0</v>
      </c>
      <c r="J41" s="504">
        <v>0</v>
      </c>
      <c r="K41" s="504">
        <v>0</v>
      </c>
      <c r="L41" s="504">
        <v>7</v>
      </c>
      <c r="M41" s="504">
        <v>2.2000000000000002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0"/>
  <sheetViews>
    <sheetView workbookViewId="0">
      <selection activeCell="R3" sqref="Q3:R410"/>
    </sheetView>
  </sheetViews>
  <sheetFormatPr defaultColWidth="8.77734375" defaultRowHeight="14.4" x14ac:dyDescent="0.3"/>
  <cols>
    <col min="1" max="1" width="16.44140625" style="135" bestFit="1" customWidth="1"/>
    <col min="2" max="2" width="11.77734375" style="135" bestFit="1" customWidth="1"/>
    <col min="3" max="3" width="2.109375" style="135" customWidth="1"/>
    <col min="4" max="4" width="18.109375" style="135" bestFit="1" customWidth="1"/>
    <col min="5" max="5" width="11.77734375" style="135" bestFit="1" customWidth="1"/>
    <col min="6" max="6" width="2" style="135" customWidth="1"/>
    <col min="7" max="7" width="16.44140625" style="135" bestFit="1" customWidth="1"/>
    <col min="8" max="8" width="11.77734375" style="135" bestFit="1" customWidth="1"/>
    <col min="9" max="9" width="1.77734375" style="135" customWidth="1"/>
    <col min="10" max="10" width="19.77734375" style="135" bestFit="1" customWidth="1"/>
    <col min="11" max="11" width="11.77734375" style="135" bestFit="1" customWidth="1"/>
    <col min="12" max="12" width="1.44140625" style="135" customWidth="1"/>
    <col min="13" max="13" width="1.109375" style="135" customWidth="1"/>
    <col min="14" max="14" width="20" style="135" bestFit="1" customWidth="1"/>
    <col min="15" max="15" width="11.77734375" style="135" bestFit="1" customWidth="1"/>
    <col min="16" max="16" width="8.77734375" style="135"/>
    <col min="17" max="17" width="20" style="135" bestFit="1" customWidth="1"/>
    <col min="18" max="18" width="11.44140625" style="135" customWidth="1"/>
    <col min="19" max="16384" width="8.77734375" style="135"/>
  </cols>
  <sheetData>
    <row r="1" spans="1:18" x14ac:dyDescent="0.3">
      <c r="A1" s="523" t="s">
        <v>1541</v>
      </c>
      <c r="B1" s="523"/>
      <c r="D1" s="522" t="s">
        <v>394</v>
      </c>
      <c r="E1" s="522"/>
      <c r="G1" s="521" t="s">
        <v>396</v>
      </c>
      <c r="H1" s="521"/>
      <c r="J1" s="520" t="s">
        <v>399</v>
      </c>
      <c r="K1" s="520"/>
      <c r="N1" s="519" t="s">
        <v>1408</v>
      </c>
      <c r="O1" s="519"/>
      <c r="Q1" s="524" t="s">
        <v>1542</v>
      </c>
      <c r="R1" s="524"/>
    </row>
    <row r="2" spans="1:18" x14ac:dyDescent="0.3">
      <c r="A2" s="135" t="s">
        <v>415</v>
      </c>
      <c r="B2" s="135" t="s">
        <v>604</v>
      </c>
      <c r="D2" s="135" t="s">
        <v>415</v>
      </c>
      <c r="E2" s="135" t="s">
        <v>604</v>
      </c>
      <c r="G2" s="135" t="s">
        <v>415</v>
      </c>
      <c r="H2" s="135" t="s">
        <v>604</v>
      </c>
      <c r="J2" s="135" t="s">
        <v>415</v>
      </c>
      <c r="K2" s="135" t="s">
        <v>604</v>
      </c>
      <c r="N2" s="135" t="s">
        <v>415</v>
      </c>
      <c r="O2" s="135" t="s">
        <v>604</v>
      </c>
      <c r="Q2" s="238" t="s">
        <v>415</v>
      </c>
      <c r="R2" s="239" t="s">
        <v>604</v>
      </c>
    </row>
    <row r="3" spans="1:18" x14ac:dyDescent="0.3">
      <c r="A3" s="135" t="s">
        <v>8</v>
      </c>
      <c r="B3" s="6">
        <f>IFERROR(INDEX(QBmatchups3[Projection],MATCH(qbproj[Name],QBmatchups3[Name],0)),"")</f>
        <v>24.660333333333334</v>
      </c>
      <c r="D3" s="135" t="s">
        <v>88</v>
      </c>
      <c r="E3" s="6">
        <f>IFERROR(INDEX(RBmatchups[Projection],MATCH(rbproj[Name],RBmatchups[Name],0)),"")</f>
        <v>6.1514000000000006</v>
      </c>
      <c r="G3" s="135" t="s">
        <v>187</v>
      </c>
      <c r="H3" s="6">
        <f>IFERROR(INDEX(WRmatchups[Projection],MATCH(wrproj[Name],WRmatchups[Name],0)),"")</f>
        <v>26.340266666666672</v>
      </c>
      <c r="J3" s="135" t="s">
        <v>215</v>
      </c>
      <c r="K3" s="6">
        <f>IFERROR(INDEX(TEmatchups[Projection],MATCH(teproj[Name],TEmatchups[Name],0)),"")</f>
        <v>15.337566666666664</v>
      </c>
      <c r="N3" s="135" t="s">
        <v>852</v>
      </c>
      <c r="O3" s="6">
        <f>IFERROR(INDEX(defenses[Projection],MATCH(defproj[Name],defenses[Name],0)),"")</f>
        <v>7.25</v>
      </c>
      <c r="Q3" s="135" t="s">
        <v>8</v>
      </c>
      <c r="R3" s="28">
        <f>IFERROR(INDEX(QBmatchups3[Projection],MATCH(Table66[Name],QBmatchups3[Name],0)),"")</f>
        <v>24.660333333333334</v>
      </c>
    </row>
    <row r="4" spans="1:18" x14ac:dyDescent="0.3">
      <c r="A4" s="135" t="s">
        <v>21</v>
      </c>
      <c r="B4" s="6">
        <f>IFERROR(INDEX(QBmatchups3[Projection],MATCH(qbproj[Name],QBmatchups3[Name],0)),"")</f>
        <v>23.493679999999998</v>
      </c>
      <c r="D4" s="135" t="s">
        <v>98</v>
      </c>
      <c r="E4" s="6">
        <f>IFERROR(INDEX(RBmatchups[Projection],MATCH(rbproj[Name],RBmatchups[Name],0)),"")</f>
        <v>20.334733333333336</v>
      </c>
      <c r="G4" s="135" t="s">
        <v>188</v>
      </c>
      <c r="H4" s="6">
        <f>IFERROR(INDEX(WRmatchups[Projection],MATCH(wrproj[Name],WRmatchups[Name],0)),"")</f>
        <v>23.931900000000002</v>
      </c>
      <c r="J4" s="135" t="s">
        <v>319</v>
      </c>
      <c r="K4" s="6">
        <f>IFERROR(INDEX(TEmatchups[Projection],MATCH(teproj[Name],TEmatchups[Name],0)),"")</f>
        <v>14.649000000000001</v>
      </c>
      <c r="N4" s="135" t="s">
        <v>831</v>
      </c>
      <c r="O4" s="6">
        <f>IFERROR(INDEX(defenses[Projection],MATCH(defproj[Name],defenses[Name],0)),"")</f>
        <v>8.8000000000000007</v>
      </c>
      <c r="Q4" s="135" t="s">
        <v>21</v>
      </c>
      <c r="R4" s="28">
        <f>IFERROR(INDEX(QBmatchups3[Projection],MATCH(Table66[Name],QBmatchups3[Name],0)),"")</f>
        <v>23.493679999999998</v>
      </c>
    </row>
    <row r="5" spans="1:18" x14ac:dyDescent="0.3">
      <c r="A5" s="135" t="s">
        <v>5</v>
      </c>
      <c r="B5" s="6" t="str">
        <f>IFERROR(INDEX(QBmatchups3[Projection],MATCH(qbproj[Name],QBmatchups3[Name],0)),"")</f>
        <v/>
      </c>
      <c r="D5" s="135" t="s">
        <v>122</v>
      </c>
      <c r="E5" s="6">
        <f>IFERROR(INDEX(RBmatchups[Projection],MATCH(rbproj[Name],RBmatchups[Name],0)),"")</f>
        <v>17.922133333333335</v>
      </c>
      <c r="G5" s="135" t="s">
        <v>426</v>
      </c>
      <c r="H5" s="6" t="str">
        <f>IFERROR(INDEX(WRmatchups[Projection],MATCH(wrproj[Name],WRmatchups[Name],0)),"")</f>
        <v/>
      </c>
      <c r="J5" s="135" t="s">
        <v>323</v>
      </c>
      <c r="K5" s="6">
        <f>IFERROR(INDEX(TEmatchups[Projection],MATCH(teproj[Name],TEmatchups[Name],0)),"")</f>
        <v>14.095766666666668</v>
      </c>
      <c r="N5" s="135" t="s">
        <v>850</v>
      </c>
      <c r="O5" s="6">
        <f>IFERROR(INDEX(defenses[Projection],MATCH(defproj[Name],defenses[Name],0)),"")</f>
        <v>7.65</v>
      </c>
      <c r="Q5" s="135" t="s">
        <v>5</v>
      </c>
      <c r="R5" s="28" t="str">
        <f>IFERROR(INDEX(QBmatchups3[Projection],MATCH(Table66[Name],QBmatchups3[Name],0)),"")</f>
        <v/>
      </c>
    </row>
    <row r="6" spans="1:18" x14ac:dyDescent="0.3">
      <c r="A6" s="135" t="s">
        <v>23</v>
      </c>
      <c r="B6" s="6">
        <f>IFERROR(INDEX(QBmatchups3[Projection],MATCH(qbproj[Name],QBmatchups3[Name],0)),"")</f>
        <v>18.491312499999999</v>
      </c>
      <c r="D6" s="135" t="s">
        <v>119</v>
      </c>
      <c r="E6" s="6">
        <f>IFERROR(INDEX(RBmatchups[Projection],MATCH(rbproj[Name],RBmatchups[Name],0)),"")</f>
        <v>18.7941</v>
      </c>
      <c r="G6" s="135" t="s">
        <v>189</v>
      </c>
      <c r="H6" s="6">
        <f>IFERROR(INDEX(WRmatchups[Projection],MATCH(wrproj[Name],WRmatchups[Name],0)),"")</f>
        <v>17.934466666666669</v>
      </c>
      <c r="J6" s="135" t="s">
        <v>320</v>
      </c>
      <c r="K6" s="6">
        <f>IFERROR(INDEX(TEmatchups[Projection],MATCH(teproj[Name],TEmatchups[Name],0)),"")</f>
        <v>11.143333333333334</v>
      </c>
      <c r="N6" s="135" t="s">
        <v>857</v>
      </c>
      <c r="O6" s="6">
        <f>IFERROR(INDEX(defenses[Projection],MATCH(defproj[Name],defenses[Name],0)),"")</f>
        <v>6.9499999999999993</v>
      </c>
      <c r="Q6" s="135" t="s">
        <v>23</v>
      </c>
      <c r="R6" s="28">
        <f>IFERROR(INDEX(QBmatchups3[Projection],MATCH(Table66[Name],QBmatchups3[Name],0)),"")</f>
        <v>18.491312499999999</v>
      </c>
    </row>
    <row r="7" spans="1:18" x14ac:dyDescent="0.3">
      <c r="A7" s="135" t="s">
        <v>25</v>
      </c>
      <c r="B7" s="6">
        <f>IFERROR(INDEX(QBmatchups3[Projection],MATCH(qbproj[Name],QBmatchups3[Name],0)),"")</f>
        <v>20.58186666666667</v>
      </c>
      <c r="D7" s="135" t="s">
        <v>128</v>
      </c>
      <c r="E7" s="6">
        <f>IFERROR(INDEX(RBmatchups[Projection],MATCH(rbproj[Name],RBmatchups[Name],0)),"")</f>
        <v>16.116100000000003</v>
      </c>
      <c r="G7" s="135" t="s">
        <v>194</v>
      </c>
      <c r="H7" s="6">
        <f>IFERROR(INDEX(WRmatchups[Projection],MATCH(wrproj[Name],WRmatchups[Name],0)),"")</f>
        <v>18.4178</v>
      </c>
      <c r="J7" s="135" t="s">
        <v>326</v>
      </c>
      <c r="K7" s="6">
        <f>IFERROR(INDEX(TEmatchups[Projection],MATCH(teproj[Name],TEmatchups[Name],0)),"")</f>
        <v>10.779133333333332</v>
      </c>
      <c r="N7" s="135" t="s">
        <v>835</v>
      </c>
      <c r="O7" s="6">
        <f>IFERROR(INDEX(defenses[Projection],MATCH(defproj[Name],defenses[Name],0)),"")</f>
        <v>6.85</v>
      </c>
      <c r="Q7" s="135" t="s">
        <v>25</v>
      </c>
      <c r="R7" s="28">
        <f>IFERROR(INDEX(QBmatchups3[Projection],MATCH(Table66[Name],QBmatchups3[Name],0)),"")</f>
        <v>20.58186666666667</v>
      </c>
    </row>
    <row r="8" spans="1:18" x14ac:dyDescent="0.3">
      <c r="A8" s="135" t="s">
        <v>11</v>
      </c>
      <c r="B8" s="6">
        <f>IFERROR(INDEX(QBmatchups3[Projection],MATCH(qbproj[Name],QBmatchups3[Name],0)),"")</f>
        <v>19.716062499999996</v>
      </c>
      <c r="D8" s="135" t="s">
        <v>428</v>
      </c>
      <c r="E8" s="6">
        <f>IFERROR(INDEX(RBmatchups[Projection],MATCH(rbproj[Name],RBmatchups[Name],0)),"")</f>
        <v>16.271333333333335</v>
      </c>
      <c r="G8" s="135" t="s">
        <v>206</v>
      </c>
      <c r="H8" s="6">
        <f>IFERROR(INDEX(WRmatchups[Projection],MATCH(wrproj[Name],WRmatchups[Name],0)),"")</f>
        <v>17.075166666666668</v>
      </c>
      <c r="J8" s="135" t="s">
        <v>325</v>
      </c>
      <c r="K8" s="6" t="str">
        <f>IFERROR(INDEX(TEmatchups[Projection],MATCH(teproj[Name],TEmatchups[Name],0)),"")</f>
        <v/>
      </c>
      <c r="N8" s="135" t="s">
        <v>854</v>
      </c>
      <c r="O8" s="6">
        <f>IFERROR(INDEX(defenses[Projection],MATCH(defproj[Name],defenses[Name],0)),"")</f>
        <v>10.3</v>
      </c>
      <c r="Q8" s="135" t="s">
        <v>11</v>
      </c>
      <c r="R8" s="28">
        <f>IFERROR(INDEX(QBmatchups3[Projection],MATCH(Table66[Name],QBmatchups3[Name],0)),"")</f>
        <v>19.716062499999996</v>
      </c>
    </row>
    <row r="9" spans="1:18" x14ac:dyDescent="0.3">
      <c r="A9" s="135" t="s">
        <v>15</v>
      </c>
      <c r="B9" s="6">
        <f>IFERROR(INDEX(QBmatchups3[Projection],MATCH(qbproj[Name],QBmatchups3[Name],0)),"")</f>
        <v>21.70069333333333</v>
      </c>
      <c r="D9" s="135" t="s">
        <v>106</v>
      </c>
      <c r="E9" s="6">
        <f>IFERROR(INDEX(RBmatchups[Projection],MATCH(rbproj[Name],RBmatchups[Name],0)),"")</f>
        <v>16.391866666666665</v>
      </c>
      <c r="G9" s="135" t="s">
        <v>208</v>
      </c>
      <c r="H9" s="6">
        <f>IFERROR(INDEX(WRmatchups[Projection],MATCH(wrproj[Name],WRmatchups[Name],0)),"")</f>
        <v>17.583633333333335</v>
      </c>
      <c r="J9" s="135" t="s">
        <v>329</v>
      </c>
      <c r="K9" s="6">
        <f>IFERROR(INDEX(TEmatchups[Projection],MATCH(teproj[Name],TEmatchups[Name],0)),"")</f>
        <v>10.958033333333333</v>
      </c>
      <c r="N9" s="135" t="s">
        <v>840</v>
      </c>
      <c r="O9" s="6">
        <f>IFERROR(INDEX(defenses[Projection],MATCH(defproj[Name],defenses[Name],0)),"")</f>
        <v>7.15</v>
      </c>
      <c r="Q9" s="135" t="s">
        <v>15</v>
      </c>
      <c r="R9" s="28">
        <f>IFERROR(INDEX(QBmatchups3[Projection],MATCH(Table66[Name],QBmatchups3[Name],0)),"")</f>
        <v>21.70069333333333</v>
      </c>
    </row>
    <row r="10" spans="1:18" x14ac:dyDescent="0.3">
      <c r="A10" s="135" t="s">
        <v>9</v>
      </c>
      <c r="B10" s="6">
        <f>IFERROR(INDEX(QBmatchups3[Projection],MATCH(qbproj[Name],QBmatchups3[Name],0)),"")</f>
        <v>16.788933333333333</v>
      </c>
      <c r="D10" s="135" t="s">
        <v>115</v>
      </c>
      <c r="E10" s="6">
        <f>IFERROR(INDEX(RBmatchups[Projection],MATCH(rbproj[Name],RBmatchups[Name],0)),"")</f>
        <v>15.325533333333333</v>
      </c>
      <c r="G10" s="135" t="s">
        <v>210</v>
      </c>
      <c r="H10" s="6">
        <f>IFERROR(INDEX(WRmatchups[Projection],MATCH(wrproj[Name],WRmatchups[Name],0)),"")</f>
        <v>15.351400000000002</v>
      </c>
      <c r="J10" s="135" t="s">
        <v>308</v>
      </c>
      <c r="K10" s="6">
        <f>IFERROR(INDEX(TEmatchups[Projection],MATCH(teproj[Name],TEmatchups[Name],0)),"")</f>
        <v>10.800766666666668</v>
      </c>
      <c r="N10" s="135" t="s">
        <v>858</v>
      </c>
      <c r="O10" s="6">
        <f>IFERROR(INDEX(defenses[Projection],MATCH(defproj[Name],defenses[Name],0)),"")</f>
        <v>9.3999999999999986</v>
      </c>
      <c r="Q10" s="135" t="s">
        <v>9</v>
      </c>
      <c r="R10" s="28">
        <f>IFERROR(INDEX(QBmatchups3[Projection],MATCH(Table66[Name],QBmatchups3[Name],0)),"")</f>
        <v>16.788933333333333</v>
      </c>
    </row>
    <row r="11" spans="1:18" x14ac:dyDescent="0.3">
      <c r="A11" s="135" t="s">
        <v>19</v>
      </c>
      <c r="B11" s="6">
        <f>IFERROR(INDEX(QBmatchups3[Projection],MATCH(qbproj[Name],QBmatchups3[Name],0)),"")</f>
        <v>19.917200000000001</v>
      </c>
      <c r="D11" s="135" t="s">
        <v>83</v>
      </c>
      <c r="E11" s="6">
        <f>IFERROR(INDEX(RBmatchups[Projection],MATCH(rbproj[Name],RBmatchups[Name],0)),"")</f>
        <v>15.280266666666666</v>
      </c>
      <c r="G11" s="135" t="s">
        <v>427</v>
      </c>
      <c r="H11" s="6" t="str">
        <f>IFERROR(INDEX(WRmatchups[Projection],MATCH(wrproj[Name],WRmatchups[Name],0)),"")</f>
        <v/>
      </c>
      <c r="J11" s="135" t="s">
        <v>332</v>
      </c>
      <c r="K11" s="6">
        <f>IFERROR(INDEX(TEmatchups[Projection],MATCH(teproj[Name],TEmatchups[Name],0)),"")</f>
        <v>10.6943</v>
      </c>
      <c r="N11" s="135" t="s">
        <v>856</v>
      </c>
      <c r="O11" s="6" t="str">
        <f>IFERROR(INDEX(defenses[Projection],MATCH(defproj[Name],defenses[Name],0)),"")</f>
        <v/>
      </c>
      <c r="Q11" s="135" t="s">
        <v>19</v>
      </c>
      <c r="R11" s="28">
        <f>IFERROR(INDEX(QBmatchups3[Projection],MATCH(Table66[Name],QBmatchups3[Name],0)),"")</f>
        <v>19.917200000000001</v>
      </c>
    </row>
    <row r="12" spans="1:18" x14ac:dyDescent="0.3">
      <c r="A12" s="135" t="s">
        <v>49</v>
      </c>
      <c r="B12" s="6">
        <f>IFERROR(INDEX(QBmatchups3[Projection],MATCH(qbproj[Name],QBmatchups3[Name],0)),"")</f>
        <v>18.627797499999996</v>
      </c>
      <c r="D12" s="135" t="s">
        <v>89</v>
      </c>
      <c r="E12" s="6">
        <f>IFERROR(INDEX(RBmatchups[Projection],MATCH(rbproj[Name],RBmatchups[Name],0)),"")</f>
        <v>17.605533333333334</v>
      </c>
      <c r="G12" s="135" t="s">
        <v>193</v>
      </c>
      <c r="H12" s="6">
        <f>IFERROR(INDEX(WRmatchups[Projection],MATCH(wrproj[Name],WRmatchups[Name],0)),"")</f>
        <v>17.536766666666669</v>
      </c>
      <c r="J12" s="135" t="s">
        <v>336</v>
      </c>
      <c r="K12" s="6">
        <f>IFERROR(INDEX(TEmatchups[Projection],MATCH(teproj[Name],TEmatchups[Name],0)),"")</f>
        <v>8.7558000000000007</v>
      </c>
      <c r="N12" s="135" t="s">
        <v>832</v>
      </c>
      <c r="O12" s="6">
        <f>IFERROR(INDEX(defenses[Projection],MATCH(defproj[Name],defenses[Name],0)),"")</f>
        <v>6.3000000000000007</v>
      </c>
      <c r="Q12" s="135" t="s">
        <v>49</v>
      </c>
      <c r="R12" s="28">
        <f>IFERROR(INDEX(QBmatchups3[Projection],MATCH(Table66[Name],QBmatchups3[Name],0)),"")</f>
        <v>18.627797499999996</v>
      </c>
    </row>
    <row r="13" spans="1:18" x14ac:dyDescent="0.3">
      <c r="A13" s="135" t="s">
        <v>40</v>
      </c>
      <c r="B13" s="6">
        <f>IFERROR(INDEX(QBmatchups3[Projection],MATCH(qbproj[Name],QBmatchups3[Name],0)),"")</f>
        <v>19.78631</v>
      </c>
      <c r="D13" s="135" t="s">
        <v>93</v>
      </c>
      <c r="E13" s="6">
        <f>IFERROR(INDEX(RBmatchups[Projection],MATCH(rbproj[Name],RBmatchups[Name],0)),"")</f>
        <v>15.9543</v>
      </c>
      <c r="G13" s="135" t="s">
        <v>768</v>
      </c>
      <c r="H13" s="6">
        <f>IFERROR(INDEX(WRmatchups[Projection],MATCH(wrproj[Name],WRmatchups[Name],0)),"")</f>
        <v>16.460666666666668</v>
      </c>
      <c r="J13" s="135" t="s">
        <v>322</v>
      </c>
      <c r="K13" s="6">
        <f>IFERROR(INDEX(TEmatchups[Projection],MATCH(teproj[Name],TEmatchups[Name],0)),"")</f>
        <v>9.5849333333333337</v>
      </c>
      <c r="N13" s="135" t="s">
        <v>847</v>
      </c>
      <c r="O13" s="6">
        <f>IFERROR(INDEX(defenses[Projection],MATCH(defproj[Name],defenses[Name],0)),"")</f>
        <v>9.6999999999999993</v>
      </c>
      <c r="Q13" s="135" t="s">
        <v>40</v>
      </c>
      <c r="R13" s="28">
        <f>IFERROR(INDEX(QBmatchups3[Projection],MATCH(Table66[Name],QBmatchups3[Name],0)),"")</f>
        <v>19.78631</v>
      </c>
    </row>
    <row r="14" spans="1:18" x14ac:dyDescent="0.3">
      <c r="A14" s="135" t="s">
        <v>6</v>
      </c>
      <c r="B14" s="6">
        <f>IFERROR(INDEX(QBmatchups3[Projection],MATCH(qbproj[Name],QBmatchups3[Name],0)),"")</f>
        <v>18.206666666666667</v>
      </c>
      <c r="D14" s="135" t="s">
        <v>96</v>
      </c>
      <c r="E14" s="6" t="str">
        <f>IFERROR(INDEX(RBmatchups[Projection],MATCH(rbproj[Name],RBmatchups[Name],0)),"")</f>
        <v/>
      </c>
      <c r="G14" s="135" t="s">
        <v>195</v>
      </c>
      <c r="H14" s="6">
        <f>IFERROR(INDEX(WRmatchups[Projection],MATCH(wrproj[Name],WRmatchups[Name],0)),"")</f>
        <v>20.183566666666668</v>
      </c>
      <c r="J14" s="135" t="s">
        <v>357</v>
      </c>
      <c r="K14" s="6">
        <f>IFERROR(INDEX(TEmatchups[Projection],MATCH(teproj[Name],TEmatchups[Name],0)),"")</f>
        <v>9.8072333333333344</v>
      </c>
      <c r="N14" s="135" t="s">
        <v>851</v>
      </c>
      <c r="O14" s="6">
        <f>IFERROR(INDEX(defenses[Projection],MATCH(defproj[Name],defenses[Name],0)),"")</f>
        <v>10.4</v>
      </c>
      <c r="Q14" s="135" t="s">
        <v>6</v>
      </c>
      <c r="R14" s="28">
        <f>IFERROR(INDEX(QBmatchups3[Projection],MATCH(Table66[Name],QBmatchups3[Name],0)),"")</f>
        <v>18.206666666666667</v>
      </c>
    </row>
    <row r="15" spans="1:18" x14ac:dyDescent="0.3">
      <c r="A15" s="135" t="s">
        <v>31</v>
      </c>
      <c r="B15" s="6">
        <f>IFERROR(INDEX(QBmatchups3[Projection],MATCH(qbproj[Name],QBmatchups3[Name],0)),"")</f>
        <v>17.271267500000004</v>
      </c>
      <c r="D15" s="135" t="s">
        <v>114</v>
      </c>
      <c r="E15" s="6">
        <f>IFERROR(INDEX(RBmatchups[Projection],MATCH(rbproj[Name],RBmatchups[Name],0)),"")</f>
        <v>15.82803333333333</v>
      </c>
      <c r="G15" s="135" t="s">
        <v>217</v>
      </c>
      <c r="H15" s="6">
        <f>IFERROR(INDEX(WRmatchups[Projection],MATCH(wrproj[Name],WRmatchups[Name],0)),"")</f>
        <v>16.026766666666667</v>
      </c>
      <c r="J15" s="135" t="s">
        <v>333</v>
      </c>
      <c r="K15" s="6">
        <f>IFERROR(INDEX(TEmatchups[Projection],MATCH(teproj[Name],TEmatchups[Name],0)),"")</f>
        <v>8.1876999999999995</v>
      </c>
      <c r="N15" s="135" t="s">
        <v>841</v>
      </c>
      <c r="O15" s="6">
        <f>IFERROR(INDEX(defenses[Projection],MATCH(defproj[Name],defenses[Name],0)),"")</f>
        <v>5.25</v>
      </c>
      <c r="Q15" s="135" t="s">
        <v>31</v>
      </c>
      <c r="R15" s="28">
        <f>IFERROR(INDEX(QBmatchups3[Projection],MATCH(Table66[Name],QBmatchups3[Name],0)),"")</f>
        <v>17.271267500000004</v>
      </c>
    </row>
    <row r="16" spans="1:18" x14ac:dyDescent="0.3">
      <c r="A16" s="135" t="s">
        <v>27</v>
      </c>
      <c r="B16" s="6">
        <f>IFERROR(INDEX(QBmatchups3[Projection],MATCH(qbproj[Name],QBmatchups3[Name],0)),"")</f>
        <v>19.1974825</v>
      </c>
      <c r="D16" s="135" t="s">
        <v>125</v>
      </c>
      <c r="E16" s="6">
        <f>IFERROR(INDEX(RBmatchups[Projection],MATCH(rbproj[Name],RBmatchups[Name],0)),"")</f>
        <v>10.320133333333334</v>
      </c>
      <c r="G16" s="135" t="s">
        <v>234</v>
      </c>
      <c r="H16" s="6">
        <f>IFERROR(INDEX(WRmatchups[Projection],MATCH(wrproj[Name],WRmatchups[Name],0)),"")</f>
        <v>15.398433333333333</v>
      </c>
      <c r="J16" s="135" t="s">
        <v>335</v>
      </c>
      <c r="K16" s="6">
        <f>IFERROR(INDEX(TEmatchups[Projection],MATCH(teproj[Name],TEmatchups[Name],0)),"")</f>
        <v>9.8369</v>
      </c>
      <c r="N16" s="101" t="s">
        <v>842</v>
      </c>
      <c r="O16" s="6">
        <f>IFERROR(INDEX(defenses[Projection],MATCH(defproj[Name],defenses[Name],0)),"")</f>
        <v>8.0500000000000007</v>
      </c>
      <c r="Q16" s="135" t="s">
        <v>27</v>
      </c>
      <c r="R16" s="28">
        <f>IFERROR(INDEX(QBmatchups3[Projection],MATCH(Table66[Name],QBmatchups3[Name],0)),"")</f>
        <v>19.1974825</v>
      </c>
    </row>
    <row r="17" spans="1:18" x14ac:dyDescent="0.3">
      <c r="A17" s="135" t="s">
        <v>56</v>
      </c>
      <c r="B17" s="6">
        <f>IFERROR(INDEX(QBmatchups3[Projection],MATCH(qbproj[Name],QBmatchups3[Name],0)),"")</f>
        <v>16.966000000000005</v>
      </c>
      <c r="D17" s="135" t="s">
        <v>84</v>
      </c>
      <c r="E17" s="6">
        <f>IFERROR(INDEX(RBmatchups[Projection],MATCH(rbproj[Name],RBmatchups[Name],0)),"")</f>
        <v>14.269733333333335</v>
      </c>
      <c r="G17" s="135" t="s">
        <v>190</v>
      </c>
      <c r="H17" s="6">
        <f>IFERROR(INDEX(WRmatchups[Projection],MATCH(wrproj[Name],WRmatchups[Name],0)),"")</f>
        <v>13.8689</v>
      </c>
      <c r="J17" s="135" t="s">
        <v>331</v>
      </c>
      <c r="K17" s="6">
        <f>IFERROR(INDEX(TEmatchups[Projection],MATCH(teproj[Name],TEmatchups[Name],0)),"")</f>
        <v>11.310799999999999</v>
      </c>
      <c r="N17" s="101" t="s">
        <v>849</v>
      </c>
      <c r="O17" s="6">
        <f>IFERROR(INDEX(defenses[Projection],MATCH(defproj[Name],defenses[Name],0)),"")</f>
        <v>7.5</v>
      </c>
      <c r="Q17" s="135" t="s">
        <v>56</v>
      </c>
      <c r="R17" s="28">
        <f>IFERROR(INDEX(QBmatchups3[Projection],MATCH(Table66[Name],QBmatchups3[Name],0)),"")</f>
        <v>16.966000000000005</v>
      </c>
    </row>
    <row r="18" spans="1:18" x14ac:dyDescent="0.3">
      <c r="A18" s="135" t="s">
        <v>444</v>
      </c>
      <c r="B18" s="6">
        <f>IFERROR(INDEX(QBmatchups3[Projection],MATCH(qbproj[Name],QBmatchups3[Name],0)),"")</f>
        <v>17.72913333333333</v>
      </c>
      <c r="D18" s="135" t="s">
        <v>87</v>
      </c>
      <c r="E18" s="6">
        <f>IFERROR(INDEX(RBmatchups[Projection],MATCH(rbproj[Name],RBmatchups[Name],0)),"")</f>
        <v>13.293800000000001</v>
      </c>
      <c r="G18" s="135" t="s">
        <v>197</v>
      </c>
      <c r="H18" s="6">
        <f>IFERROR(INDEX(WRmatchups[Projection],MATCH(wrproj[Name],WRmatchups[Name],0)),"")</f>
        <v>12.699133333333336</v>
      </c>
      <c r="J18" s="101" t="s">
        <v>354</v>
      </c>
      <c r="K18" s="6">
        <f>IFERROR(INDEX(TEmatchups[Projection],MATCH(teproj[Name],TEmatchups[Name],0)),"")</f>
        <v>8.2797999999999998</v>
      </c>
      <c r="N18" s="101" t="s">
        <v>833</v>
      </c>
      <c r="O18" s="6">
        <f>IFERROR(INDEX(defenses[Projection],MATCH(defproj[Name],defenses[Name],0)),"")</f>
        <v>5.9</v>
      </c>
      <c r="Q18" s="135" t="s">
        <v>444</v>
      </c>
      <c r="R18" s="28">
        <f>IFERROR(INDEX(QBmatchups3[Projection],MATCH(Table66[Name],QBmatchups3[Name],0)),"")</f>
        <v>17.72913333333333</v>
      </c>
    </row>
    <row r="19" spans="1:18" x14ac:dyDescent="0.3">
      <c r="A19" s="135" t="s">
        <v>36</v>
      </c>
      <c r="B19" s="6">
        <f>IFERROR(INDEX(QBmatchups3[Projection],MATCH(qbproj[Name],QBmatchups3[Name],0)),"")</f>
        <v>17.048066666666667</v>
      </c>
      <c r="D19" s="135" t="s">
        <v>101</v>
      </c>
      <c r="E19" s="6">
        <f>IFERROR(INDEX(RBmatchups[Projection],MATCH(rbproj[Name],RBmatchups[Name],0)),"")</f>
        <v>14.517033333333332</v>
      </c>
      <c r="G19" s="135" t="s">
        <v>213</v>
      </c>
      <c r="H19" s="6">
        <f>IFERROR(INDEX(WRmatchups[Projection],MATCH(wrproj[Name],WRmatchups[Name],0)),"")</f>
        <v>17.186600000000002</v>
      </c>
      <c r="J19" s="101" t="s">
        <v>341</v>
      </c>
      <c r="K19" s="6" t="str">
        <f>IFERROR(INDEX(TEmatchups[Projection],MATCH(teproj[Name],TEmatchups[Name],0)),"")</f>
        <v/>
      </c>
      <c r="N19" s="101" t="s">
        <v>830</v>
      </c>
      <c r="O19" s="6" t="str">
        <f>IFERROR(INDEX(defenses[Projection],MATCH(defproj[Name],defenses[Name],0)),"")</f>
        <v/>
      </c>
      <c r="Q19" s="135" t="s">
        <v>36</v>
      </c>
      <c r="R19" s="28">
        <f>IFERROR(INDEX(QBmatchups3[Projection],MATCH(Table66[Name],QBmatchups3[Name],0)),"")</f>
        <v>17.048066666666667</v>
      </c>
    </row>
    <row r="20" spans="1:18" x14ac:dyDescent="0.3">
      <c r="A20" s="135" t="s">
        <v>3</v>
      </c>
      <c r="B20" s="6">
        <f>IFERROR(INDEX(QBmatchups3[Projection],MATCH(qbproj[Name],QBmatchups3[Name],0)),"")</f>
        <v>18.391333333333332</v>
      </c>
      <c r="D20" s="135" t="s">
        <v>95</v>
      </c>
      <c r="E20" s="6">
        <f>IFERROR(INDEX(RBmatchups[Projection],MATCH(rbproj[Name],RBmatchups[Name],0)),"")</f>
        <v>12.5871</v>
      </c>
      <c r="G20" s="135" t="s">
        <v>241</v>
      </c>
      <c r="H20" s="6">
        <f>IFERROR(INDEX(WRmatchups[Projection],MATCH(wrproj[Name],WRmatchups[Name],0)),"")</f>
        <v>15.674033333333334</v>
      </c>
      <c r="J20" s="101" t="s">
        <v>348</v>
      </c>
      <c r="K20" s="6" t="str">
        <f>IFERROR(INDEX(TEmatchups[Projection],MATCH(teproj[Name],TEmatchups[Name],0)),"")</f>
        <v/>
      </c>
      <c r="N20" s="101" t="s">
        <v>834</v>
      </c>
      <c r="O20" s="6">
        <f>IFERROR(INDEX(defenses[Projection],MATCH(defproj[Name],defenses[Name],0)),"")</f>
        <v>6.7</v>
      </c>
      <c r="Q20" s="135" t="s">
        <v>3</v>
      </c>
      <c r="R20" s="28">
        <f>IFERROR(INDEX(QBmatchups3[Projection],MATCH(Table66[Name],QBmatchups3[Name],0)),"")</f>
        <v>18.391333333333332</v>
      </c>
    </row>
    <row r="21" spans="1:18" x14ac:dyDescent="0.3">
      <c r="A21" s="135" t="s">
        <v>29</v>
      </c>
      <c r="B21" s="6">
        <f>IFERROR(INDEX(QBmatchups3[Projection],MATCH(qbproj[Name],QBmatchups3[Name],0)),"")</f>
        <v>15.056133333333335</v>
      </c>
      <c r="D21" s="135" t="s">
        <v>109</v>
      </c>
      <c r="E21" s="6" t="str">
        <f>IFERROR(INDEX(RBmatchups[Projection],MATCH(rbproj[Name],RBmatchups[Name],0)),"")</f>
        <v/>
      </c>
      <c r="G21" s="135" t="s">
        <v>205</v>
      </c>
      <c r="H21" s="6">
        <f>IFERROR(INDEX(WRmatchups[Projection],MATCH(wrproj[Name],WRmatchups[Name],0)),"")</f>
        <v>17.2532</v>
      </c>
      <c r="J21" s="101" t="s">
        <v>334</v>
      </c>
      <c r="K21" s="6">
        <f>IFERROR(INDEX(TEmatchups[Projection],MATCH(teproj[Name],TEmatchups[Name],0)),"")</f>
        <v>10.218033333333333</v>
      </c>
      <c r="N21" s="101" t="s">
        <v>853</v>
      </c>
      <c r="O21" s="6">
        <f>IFERROR(INDEX(defenses[Projection],MATCH(defproj[Name],defenses[Name],0)),"")</f>
        <v>6.25</v>
      </c>
      <c r="Q21" s="135" t="s">
        <v>29</v>
      </c>
      <c r="R21" s="28">
        <f>IFERROR(INDEX(QBmatchups3[Projection],MATCH(Table66[Name],QBmatchups3[Name],0)),"")</f>
        <v>15.056133333333335</v>
      </c>
    </row>
    <row r="22" spans="1:18" x14ac:dyDescent="0.3">
      <c r="A22" s="135" t="s">
        <v>17</v>
      </c>
      <c r="B22" s="6">
        <f>IFERROR(INDEX(QBmatchups3[Projection],MATCH(qbproj[Name],QBmatchups3[Name],0)),"")</f>
        <v>19.848735833333329</v>
      </c>
      <c r="D22" s="135" t="s">
        <v>145</v>
      </c>
      <c r="E22" s="6">
        <f>IFERROR(INDEX(RBmatchups[Projection],MATCH(rbproj[Name],RBmatchups[Name],0)),"")</f>
        <v>12.836433333333334</v>
      </c>
      <c r="G22" s="135" t="s">
        <v>218</v>
      </c>
      <c r="H22" s="6">
        <f>IFERROR(INDEX(WRmatchups[Projection],MATCH(wrproj[Name],WRmatchups[Name],0)),"")</f>
        <v>16.016366666666666</v>
      </c>
      <c r="J22" s="101" t="s">
        <v>344</v>
      </c>
      <c r="K22" s="6">
        <f>IFERROR(INDEX(TEmatchups[Projection],MATCH(teproj[Name],TEmatchups[Name],0)),"")</f>
        <v>8.0628000000000011</v>
      </c>
      <c r="N22" s="101" t="s">
        <v>836</v>
      </c>
      <c r="O22" s="6">
        <f>IFERROR(INDEX(defenses[Projection],MATCH(defproj[Name],defenses[Name],0)),"")</f>
        <v>6</v>
      </c>
      <c r="Q22" s="135" t="s">
        <v>17</v>
      </c>
      <c r="R22" s="28">
        <f>IFERROR(INDEX(QBmatchups3[Projection],MATCH(Table66[Name],QBmatchups3[Name],0)),"")</f>
        <v>19.848735833333329</v>
      </c>
    </row>
    <row r="23" spans="1:18" x14ac:dyDescent="0.3">
      <c r="A23" s="135" t="s">
        <v>44</v>
      </c>
      <c r="B23" s="6">
        <f>IFERROR(INDEX(QBmatchups3[Projection],MATCH(qbproj[Name],QBmatchups3[Name],0)),"")</f>
        <v>17.309315000000002</v>
      </c>
      <c r="D23" s="135" t="s">
        <v>82</v>
      </c>
      <c r="E23" s="6">
        <f>IFERROR(INDEX(RBmatchups[Projection],MATCH(rbproj[Name],RBmatchups[Name],0)),"")</f>
        <v>12.737733333333335</v>
      </c>
      <c r="G23" s="135" t="s">
        <v>227</v>
      </c>
      <c r="H23" s="6">
        <f>IFERROR(INDEX(WRmatchups[Projection],MATCH(wrproj[Name],WRmatchups[Name],0)),"")</f>
        <v>14.241833333333332</v>
      </c>
      <c r="J23" s="101" t="s">
        <v>328</v>
      </c>
      <c r="K23" s="6">
        <f>IFERROR(INDEX(TEmatchups[Projection],MATCH(teproj[Name],TEmatchups[Name],0)),"")</f>
        <v>10.0115</v>
      </c>
      <c r="N23" s="101" t="s">
        <v>839</v>
      </c>
      <c r="O23" s="6">
        <f>IFERROR(INDEX(defenses[Projection],MATCH(defproj[Name],defenses[Name],0)),"")</f>
        <v>7.3</v>
      </c>
      <c r="Q23" s="135" t="s">
        <v>44</v>
      </c>
      <c r="R23" s="28">
        <f>IFERROR(INDEX(QBmatchups3[Projection],MATCH(Table66[Name],QBmatchups3[Name],0)),"")</f>
        <v>17.309315000000002</v>
      </c>
    </row>
    <row r="24" spans="1:18" x14ac:dyDescent="0.3">
      <c r="A24" s="135" t="s">
        <v>411</v>
      </c>
      <c r="B24" s="6">
        <f>IFERROR(INDEX(QBmatchups3[Projection],MATCH(qbproj[Name],QBmatchups3[Name],0)),"")</f>
        <v>15.714735833333332</v>
      </c>
      <c r="D24" s="135" t="s">
        <v>111</v>
      </c>
      <c r="E24" s="6" t="str">
        <f>IFERROR(INDEX(RBmatchups[Projection],MATCH(rbproj[Name],RBmatchups[Name],0)),"")</f>
        <v/>
      </c>
      <c r="G24" s="135" t="s">
        <v>173</v>
      </c>
      <c r="H24" s="6">
        <f>IFERROR(INDEX(WRmatchups[Projection],MATCH(wrproj[Name],WRmatchups[Name],0)),"")</f>
        <v>17.275433333333332</v>
      </c>
      <c r="J24" s="101" t="s">
        <v>338</v>
      </c>
      <c r="K24" s="6" t="str">
        <f>IFERROR(INDEX(TEmatchups[Projection],MATCH(teproj[Name],TEmatchups[Name],0)),"")</f>
        <v/>
      </c>
      <c r="N24" s="101" t="s">
        <v>848</v>
      </c>
      <c r="O24" s="6">
        <f>IFERROR(INDEX(defenses[Projection],MATCH(defproj[Name],defenses[Name],0)),"")</f>
        <v>6.25</v>
      </c>
      <c r="Q24" s="135" t="s">
        <v>411</v>
      </c>
      <c r="R24" s="28">
        <f>IFERROR(INDEX(QBmatchups3[Projection],MATCH(Table66[Name],QBmatchups3[Name],0)),"")</f>
        <v>15.714735833333332</v>
      </c>
    </row>
    <row r="25" spans="1:18" x14ac:dyDescent="0.3">
      <c r="A25" s="135" t="s">
        <v>450</v>
      </c>
      <c r="B25" s="6" t="str">
        <f>IFERROR(INDEX(QBmatchups3[Projection],MATCH(qbproj[Name],QBmatchups3[Name],0)),"")</f>
        <v/>
      </c>
      <c r="D25" s="135" t="s">
        <v>92</v>
      </c>
      <c r="E25" s="6">
        <f>IFERROR(INDEX(RBmatchups[Projection],MATCH(rbproj[Name],RBmatchups[Name],0)),"")</f>
        <v>10.077166666666667</v>
      </c>
      <c r="G25" s="135" t="s">
        <v>216</v>
      </c>
      <c r="H25" s="6" t="str">
        <f>IFERROR(INDEX(WRmatchups[Projection],MATCH(wrproj[Name],WRmatchups[Name],0)),"")</f>
        <v/>
      </c>
      <c r="J25" s="101" t="s">
        <v>366</v>
      </c>
      <c r="K25" s="6" t="str">
        <f>IFERROR(INDEX(TEmatchups[Projection],MATCH(teproj[Name],TEmatchups[Name],0)),"")</f>
        <v/>
      </c>
      <c r="N25" s="101" t="s">
        <v>829</v>
      </c>
      <c r="O25" s="6">
        <f>IFERROR(INDEX(defenses[Projection],MATCH(defproj[Name],defenses[Name],0)),"")</f>
        <v>7.0500000000000007</v>
      </c>
      <c r="Q25" s="135" t="s">
        <v>450</v>
      </c>
      <c r="R25" s="28" t="str">
        <f>IFERROR(INDEX(QBmatchups3[Projection],MATCH(Table66[Name],QBmatchups3[Name],0)),"")</f>
        <v/>
      </c>
    </row>
    <row r="26" spans="1:18" x14ac:dyDescent="0.3">
      <c r="A26" s="135" t="s">
        <v>42</v>
      </c>
      <c r="B26" s="6">
        <f>IFERROR(INDEX(QBmatchups3[Projection],MATCH(qbproj[Name],QBmatchups3[Name],0)),"")</f>
        <v>16.057204166666665</v>
      </c>
      <c r="D26" s="135" t="s">
        <v>94</v>
      </c>
      <c r="E26" s="6">
        <f>IFERROR(INDEX(RBmatchups[Projection],MATCH(rbproj[Name],RBmatchups[Name],0)),"")</f>
        <v>9.6311</v>
      </c>
      <c r="G26" s="135" t="s">
        <v>211</v>
      </c>
      <c r="H26" s="6" t="str">
        <f>IFERROR(INDEX(WRmatchups[Projection],MATCH(wrproj[Name],WRmatchups[Name],0)),"")</f>
        <v/>
      </c>
      <c r="J26" s="101" t="s">
        <v>364</v>
      </c>
      <c r="K26" s="6">
        <f>IFERROR(INDEX(TEmatchups[Projection],MATCH(teproj[Name],TEmatchups[Name],0)),"")</f>
        <v>3.4523999999999999</v>
      </c>
      <c r="N26" s="101" t="s">
        <v>845</v>
      </c>
      <c r="O26" s="6">
        <f>IFERROR(INDEX(defenses[Projection],MATCH(defproj[Name],defenses[Name],0)),"")</f>
        <v>6.45</v>
      </c>
      <c r="Q26" s="135" t="s">
        <v>42</v>
      </c>
      <c r="R26" s="28">
        <f>IFERROR(INDEX(QBmatchups3[Projection],MATCH(Table66[Name],QBmatchups3[Name],0)),"")</f>
        <v>16.057204166666665</v>
      </c>
    </row>
    <row r="27" spans="1:18" x14ac:dyDescent="0.3">
      <c r="A27" s="135" t="s">
        <v>449</v>
      </c>
      <c r="B27" s="6" t="str">
        <f>IFERROR(INDEX(QBmatchups3[Projection],MATCH(qbproj[Name],QBmatchups3[Name],0)),"")</f>
        <v/>
      </c>
      <c r="D27" s="135" t="s">
        <v>113</v>
      </c>
      <c r="E27" s="6">
        <f>IFERROR(INDEX(RBmatchups[Projection],MATCH(rbproj[Name],RBmatchups[Name],0)),"")</f>
        <v>13.344633333333334</v>
      </c>
      <c r="G27" s="135" t="s">
        <v>201</v>
      </c>
      <c r="H27" s="6">
        <f>IFERROR(INDEX(WRmatchups[Projection],MATCH(wrproj[Name],WRmatchups[Name],0)),"")</f>
        <v>16.335666666666668</v>
      </c>
      <c r="J27" s="101" t="s">
        <v>532</v>
      </c>
      <c r="K27" s="6">
        <f>IFERROR(INDEX(TEmatchups[Projection],MATCH(teproj[Name],TEmatchups[Name],0)),"")</f>
        <v>11.679733333333335</v>
      </c>
      <c r="N27" s="101" t="s">
        <v>838</v>
      </c>
      <c r="O27" s="6">
        <f>IFERROR(INDEX(defenses[Projection],MATCH(defproj[Name],defenses[Name],0)),"")</f>
        <v>7.2</v>
      </c>
      <c r="Q27" s="135" t="s">
        <v>449</v>
      </c>
      <c r="R27" s="28" t="str">
        <f>IFERROR(INDEX(QBmatchups3[Projection],MATCH(Table66[Name],QBmatchups3[Name],0)),"")</f>
        <v/>
      </c>
    </row>
    <row r="28" spans="1:18" x14ac:dyDescent="0.3">
      <c r="A28" s="135" t="s">
        <v>35</v>
      </c>
      <c r="B28" s="6">
        <f>IFERROR(INDEX(QBmatchups3[Projection],MATCH(qbproj[Name],QBmatchups3[Name],0)),"")</f>
        <v>16.218980000000002</v>
      </c>
      <c r="D28" s="135" t="s">
        <v>129</v>
      </c>
      <c r="E28" s="6">
        <f>IFERROR(INDEX(RBmatchups[Projection],MATCH(rbproj[Name],RBmatchups[Name],0)),"")</f>
        <v>14.870466666666669</v>
      </c>
      <c r="G28" s="135" t="s">
        <v>219</v>
      </c>
      <c r="H28" s="6">
        <f>IFERROR(INDEX(WRmatchups[Projection],MATCH(wrproj[Name],WRmatchups[Name],0)),"")</f>
        <v>11.438733333333335</v>
      </c>
      <c r="J28" s="101" t="s">
        <v>263</v>
      </c>
      <c r="K28" s="6">
        <f>IFERROR(INDEX(TEmatchups[Projection],MATCH(teproj[Name],TEmatchups[Name],0)),"")</f>
        <v>5.6966333333333337</v>
      </c>
      <c r="N28" s="101" t="s">
        <v>827</v>
      </c>
      <c r="O28" s="6">
        <f>IFERROR(INDEX(defenses[Projection],MATCH(defproj[Name],defenses[Name],0)),"")</f>
        <v>6.2</v>
      </c>
      <c r="Q28" s="135" t="s">
        <v>35</v>
      </c>
      <c r="R28" s="28">
        <f>IFERROR(INDEX(QBmatchups3[Projection],MATCH(Table66[Name],QBmatchups3[Name],0)),"")</f>
        <v>16.218980000000002</v>
      </c>
    </row>
    <row r="29" spans="1:18" x14ac:dyDescent="0.3">
      <c r="A29" s="135" t="s">
        <v>38</v>
      </c>
      <c r="B29" s="6">
        <f>IFERROR(INDEX(QBmatchups3[Projection],MATCH(qbproj[Name],QBmatchups3[Name],0)),"")</f>
        <v>16.256454166666664</v>
      </c>
      <c r="D29" s="135" t="s">
        <v>139</v>
      </c>
      <c r="E29" s="6">
        <f>IFERROR(INDEX(RBmatchups[Projection],MATCH(rbproj[Name],RBmatchups[Name],0)),"")</f>
        <v>7.0811666666666682</v>
      </c>
      <c r="G29" s="135" t="s">
        <v>192</v>
      </c>
      <c r="H29" s="6">
        <f>IFERROR(INDEX(WRmatchups[Projection],MATCH(wrproj[Name],WRmatchups[Name],0)),"")</f>
        <v>15.975766666666669</v>
      </c>
      <c r="J29" s="101" t="s">
        <v>383</v>
      </c>
      <c r="K29" s="6">
        <f>IFERROR(INDEX(TEmatchups[Projection],MATCH(teproj[Name],TEmatchups[Name],0)),"")</f>
        <v>6.1102666666666678</v>
      </c>
      <c r="N29" s="101" t="s">
        <v>855</v>
      </c>
      <c r="O29" s="6">
        <f>IFERROR(INDEX(defenses[Projection],MATCH(defproj[Name],defenses[Name],0)),"")</f>
        <v>7.55</v>
      </c>
      <c r="Q29" s="135" t="s">
        <v>38</v>
      </c>
      <c r="R29" s="28">
        <f>IFERROR(INDEX(QBmatchups3[Projection],MATCH(Table66[Name],QBmatchups3[Name],0)),"")</f>
        <v>16.256454166666664</v>
      </c>
    </row>
    <row r="30" spans="1:18" x14ac:dyDescent="0.3">
      <c r="A30" s="135" t="s">
        <v>47</v>
      </c>
      <c r="B30" s="6">
        <f>IFERROR(INDEX(QBmatchups3[Projection],MATCH(qbproj[Name],QBmatchups3[Name],0)),"")</f>
        <v>16.532745833333337</v>
      </c>
      <c r="D30" s="135" t="s">
        <v>102</v>
      </c>
      <c r="E30" s="6">
        <f>IFERROR(INDEX(RBmatchups[Projection],MATCH(rbproj[Name],RBmatchups[Name],0)),"")</f>
        <v>13.356233333333334</v>
      </c>
      <c r="G30" s="135" t="s">
        <v>199</v>
      </c>
      <c r="H30" s="6">
        <f>IFERROR(INDEX(WRmatchups[Projection],MATCH(wrproj[Name],WRmatchups[Name],0)),"")</f>
        <v>16.717366666666667</v>
      </c>
      <c r="J30" s="101" t="s">
        <v>377</v>
      </c>
      <c r="K30" s="6" t="str">
        <f>IFERROR(INDEX(TEmatchups[Projection],MATCH(teproj[Name],TEmatchups[Name],0)),"")</f>
        <v/>
      </c>
      <c r="N30" s="101" t="s">
        <v>859</v>
      </c>
      <c r="O30" s="6">
        <f>IFERROR(INDEX(defenses[Projection],MATCH(defproj[Name],defenses[Name],0)),"")</f>
        <v>6.9</v>
      </c>
      <c r="Q30" s="135" t="s">
        <v>47</v>
      </c>
      <c r="R30" s="28">
        <f>IFERROR(INDEX(QBmatchups3[Projection],MATCH(Table66[Name],QBmatchups3[Name],0)),"")</f>
        <v>16.532745833333337</v>
      </c>
    </row>
    <row r="31" spans="1:18" x14ac:dyDescent="0.3">
      <c r="A31" s="135" t="s">
        <v>1240</v>
      </c>
      <c r="B31" s="6">
        <f>IFERROR(INDEX(QBmatchups3[Projection],MATCH(qbproj[Name],QBmatchups3[Name],0)),"")</f>
        <v>16.29392</v>
      </c>
      <c r="D31" s="135" t="s">
        <v>104</v>
      </c>
      <c r="E31" s="6">
        <f>IFERROR(INDEX(RBmatchups[Projection],MATCH(rbproj[Name],RBmatchups[Name],0)),"")</f>
        <v>14.833200000000001</v>
      </c>
      <c r="G31" s="135" t="s">
        <v>463</v>
      </c>
      <c r="H31" s="6">
        <f>IFERROR(INDEX(WRmatchups[Projection],MATCH(wrproj[Name],WRmatchups[Name],0)),"")</f>
        <v>12.340933333333334</v>
      </c>
      <c r="J31" s="101" t="s">
        <v>340</v>
      </c>
      <c r="K31" s="6">
        <f>IFERROR(INDEX(TEmatchups[Projection],MATCH(teproj[Name],TEmatchups[Name],0)),"")</f>
        <v>8.2108666666666661</v>
      </c>
      <c r="N31" s="101" t="s">
        <v>843</v>
      </c>
      <c r="O31" s="6">
        <f>IFERROR(INDEX(defenses[Projection],MATCH(defproj[Name],defenses[Name],0)),"")</f>
        <v>5.65</v>
      </c>
      <c r="Q31" s="135" t="s">
        <v>1240</v>
      </c>
      <c r="R31" s="28">
        <f>IFERROR(INDEX(QBmatchups3[Projection],MATCH(Table66[Name],QBmatchups3[Name],0)),"")</f>
        <v>16.29392</v>
      </c>
    </row>
    <row r="32" spans="1:18" x14ac:dyDescent="0.3">
      <c r="A32" s="135" t="s">
        <v>63</v>
      </c>
      <c r="B32" s="6">
        <f>IFERROR(INDEX(QBmatchups3[Projection],MATCH(qbproj[Name],QBmatchups3[Name],0)),"")</f>
        <v>11.576640000000001</v>
      </c>
      <c r="D32" s="135" t="s">
        <v>135</v>
      </c>
      <c r="E32" s="6">
        <f>IFERROR(INDEX(RBmatchups[Projection],MATCH(rbproj[Name],RBmatchups[Name],0)),"")</f>
        <v>12.601766666666666</v>
      </c>
      <c r="G32" s="135" t="s">
        <v>283</v>
      </c>
      <c r="H32" s="6">
        <f>IFERROR(INDEX(WRmatchups[Projection],MATCH(wrproj[Name],WRmatchups[Name],0)),"")</f>
        <v>13.055166666666665</v>
      </c>
      <c r="J32" s="101" t="s">
        <v>343</v>
      </c>
      <c r="K32" s="6" t="str">
        <f>IFERROR(INDEX(TEmatchups[Projection],MATCH(teproj[Name],TEmatchups[Name],0)),"")</f>
        <v/>
      </c>
      <c r="N32" s="101" t="s">
        <v>828</v>
      </c>
      <c r="O32" s="6">
        <f>IFERROR(INDEX(defenses[Projection],MATCH(defproj[Name],defenses[Name],0)),"")</f>
        <v>5.85</v>
      </c>
      <c r="Q32" s="135" t="s">
        <v>63</v>
      </c>
      <c r="R32" s="28">
        <f>IFERROR(INDEX(QBmatchups3[Projection],MATCH(Table66[Name],QBmatchups3[Name],0)),"")</f>
        <v>11.576640000000001</v>
      </c>
    </row>
    <row r="33" spans="1:18" x14ac:dyDescent="0.3">
      <c r="A33" s="135" t="s">
        <v>45</v>
      </c>
      <c r="B33" s="6">
        <f>IFERROR(INDEX(QBmatchups3[Projection],MATCH(qbproj[Name],QBmatchups3[Name],0)),"")</f>
        <v>16.302811666666667</v>
      </c>
      <c r="D33" s="135" t="s">
        <v>143</v>
      </c>
      <c r="E33" s="6">
        <f>IFERROR(INDEX(RBmatchups[Projection],MATCH(rbproj[Name],RBmatchups[Name],0)),"")</f>
        <v>12.909566666666668</v>
      </c>
      <c r="G33" s="135" t="s">
        <v>275</v>
      </c>
      <c r="H33" s="6">
        <f>IFERROR(INDEX(WRmatchups[Projection],MATCH(wrproj[Name],WRmatchups[Name],0)),"")</f>
        <v>10.479633333333334</v>
      </c>
      <c r="J33" s="101" t="s">
        <v>368</v>
      </c>
      <c r="K33" s="6">
        <f>IFERROR(INDEX(TEmatchups[Projection],MATCH(teproj[Name],TEmatchups[Name],0)),"")</f>
        <v>8.2107333333333337</v>
      </c>
      <c r="N33" s="101" t="s">
        <v>846</v>
      </c>
      <c r="O33" s="6">
        <f>IFERROR(INDEX(defenses[Projection],MATCH(defproj[Name],defenses[Name],0)),"")</f>
        <v>5.8</v>
      </c>
      <c r="Q33" s="135" t="s">
        <v>45</v>
      </c>
      <c r="R33" s="28">
        <f>IFERROR(INDEX(QBmatchups3[Projection],MATCH(Table66[Name],QBmatchups3[Name],0)),"")</f>
        <v>16.302811666666667</v>
      </c>
    </row>
    <row r="34" spans="1:18" x14ac:dyDescent="0.3">
      <c r="A34" s="135" t="s">
        <v>445</v>
      </c>
      <c r="B34" s="6">
        <f>IFERROR(INDEX(QBmatchups3[Projection],MATCH(qbproj[Name],QBmatchups3[Name],0)),"")</f>
        <v>14.268399999999998</v>
      </c>
      <c r="D34" s="135" t="s">
        <v>127</v>
      </c>
      <c r="E34" s="6" t="str">
        <f>IFERROR(INDEX(RBmatchups[Projection],MATCH(rbproj[Name],RBmatchups[Name],0)),"")</f>
        <v/>
      </c>
      <c r="G34" s="135" t="s">
        <v>204</v>
      </c>
      <c r="H34" s="6">
        <f>IFERROR(INDEX(WRmatchups[Projection],MATCH(wrproj[Name],WRmatchups[Name],0)),"")</f>
        <v>13.722633333333334</v>
      </c>
      <c r="J34" s="101" t="s">
        <v>330</v>
      </c>
      <c r="K34" s="6">
        <f>IFERROR(INDEX(TEmatchups[Projection],MATCH(teproj[Name],TEmatchups[Name],0)),"")</f>
        <v>3.7538333333333336</v>
      </c>
      <c r="Q34" s="135" t="s">
        <v>445</v>
      </c>
      <c r="R34" s="28">
        <f>IFERROR(INDEX(QBmatchups3[Projection],MATCH(Table66[Name],QBmatchups3[Name],0)),"")</f>
        <v>14.268399999999998</v>
      </c>
    </row>
    <row r="35" spans="1:18" x14ac:dyDescent="0.3">
      <c r="A35" s="135" t="e">
        <v>#REF!</v>
      </c>
      <c r="B35" s="6" t="str">
        <f>IFERROR(INDEX(QBmatchups3[Projection],MATCH(qbproj[Name],QBmatchups3[Name],0)),"")</f>
        <v/>
      </c>
      <c r="D35" s="135" t="s">
        <v>121</v>
      </c>
      <c r="E35" s="6">
        <f>IFERROR(INDEX(RBmatchups[Projection],MATCH(rbproj[Name],RBmatchups[Name],0)),"")</f>
        <v>11.5684</v>
      </c>
      <c r="G35" s="135" t="s">
        <v>202</v>
      </c>
      <c r="H35" s="6">
        <f>IFERROR(INDEX(WRmatchups[Projection],MATCH(wrproj[Name],WRmatchups[Name],0)),"")</f>
        <v>12.092600000000001</v>
      </c>
      <c r="J35" s="101" t="s">
        <v>244</v>
      </c>
      <c r="K35" s="6">
        <f>IFERROR(INDEX(TEmatchups[Projection],MATCH(teproj[Name],TEmatchups[Name],0)),"")</f>
        <v>4.6547666666666672</v>
      </c>
      <c r="Q35" s="135" t="s">
        <v>88</v>
      </c>
      <c r="R35" s="28">
        <f>IFERROR(INDEX(RBmatchups[Projection],MATCH(Table66[Name],RBmatchups[Name],0)),"")</f>
        <v>6.1514000000000006</v>
      </c>
    </row>
    <row r="36" spans="1:18" x14ac:dyDescent="0.3">
      <c r="A36" s="135" t="e">
        <v>#REF!</v>
      </c>
      <c r="B36" s="6" t="str">
        <f>IFERROR(INDEX(QBmatchups3[Projection],MATCH(qbproj[Name],QBmatchups3[Name],0)),"")</f>
        <v/>
      </c>
      <c r="D36" s="135" t="s">
        <v>99</v>
      </c>
      <c r="E36" s="6">
        <f>IFERROR(INDEX(RBmatchups[Projection],MATCH(rbproj[Name],RBmatchups[Name],0)),"")</f>
        <v>9.4296000000000006</v>
      </c>
      <c r="G36" s="135" t="s">
        <v>226</v>
      </c>
      <c r="H36" s="6">
        <f>IFERROR(INDEX(WRmatchups[Projection],MATCH(wrproj[Name],WRmatchups[Name],0)),"")</f>
        <v>13.356300000000001</v>
      </c>
      <c r="J36" s="101" t="s">
        <v>324</v>
      </c>
      <c r="K36" s="6" t="str">
        <f>IFERROR(INDEX(TEmatchups[Projection],MATCH(teproj[Name],TEmatchups[Name],0)),"")</f>
        <v/>
      </c>
      <c r="Q36" s="135" t="s">
        <v>98</v>
      </c>
      <c r="R36" s="28">
        <f>IFERROR(INDEX(RBmatchups[Projection],MATCH(Table66[Name],RBmatchups[Name],0)),"")</f>
        <v>20.334733333333336</v>
      </c>
    </row>
    <row r="37" spans="1:18" x14ac:dyDescent="0.3">
      <c r="A37" s="135" t="e">
        <v>#REF!</v>
      </c>
      <c r="B37" s="6" t="str">
        <f>IFERROR(INDEX(QBmatchups3[Projection],MATCH(qbproj[Name],QBmatchups3[Name],0)),"")</f>
        <v/>
      </c>
      <c r="D37" s="135" t="s">
        <v>150</v>
      </c>
      <c r="E37" s="6">
        <f>IFERROR(INDEX(RBmatchups[Projection],MATCH(rbproj[Name],RBmatchups[Name],0)),"")</f>
        <v>9.2946666666666662</v>
      </c>
      <c r="G37" s="135" t="s">
        <v>454</v>
      </c>
      <c r="H37" s="6">
        <f>IFERROR(INDEX(WRmatchups[Projection],MATCH(wrproj[Name],WRmatchups[Name],0)),"")</f>
        <v>12.239433333333334</v>
      </c>
      <c r="J37" s="101" t="s">
        <v>327</v>
      </c>
      <c r="K37" s="6" t="str">
        <f>IFERROR(INDEX(TEmatchups[Projection],MATCH(teproj[Name],TEmatchups[Name],0)),"")</f>
        <v/>
      </c>
      <c r="Q37" s="135" t="s">
        <v>122</v>
      </c>
      <c r="R37" s="28">
        <f>IFERROR(INDEX(RBmatchups[Projection],MATCH(Table66[Name],RBmatchups[Name],0)),"")</f>
        <v>17.922133333333335</v>
      </c>
    </row>
    <row r="38" spans="1:18" x14ac:dyDescent="0.3">
      <c r="A38" s="135" t="e">
        <v>#REF!</v>
      </c>
      <c r="B38" s="6" t="str">
        <f>IFERROR(INDEX(QBmatchups3[Projection],MATCH(qbproj[Name],QBmatchups3[Name],0)),"")</f>
        <v/>
      </c>
      <c r="D38" s="135" t="s">
        <v>161</v>
      </c>
      <c r="E38" s="6">
        <f>IFERROR(INDEX(RBmatchups[Projection],MATCH(rbproj[Name],RBmatchups[Name],0)),"")</f>
        <v>9.2407666666666657</v>
      </c>
      <c r="G38" s="135" t="s">
        <v>519</v>
      </c>
      <c r="H38" s="6">
        <f>IFERROR(INDEX(WRmatchups[Projection],MATCH(wrproj[Name],WRmatchups[Name],0)),"")</f>
        <v>12.231199999999999</v>
      </c>
      <c r="J38" s="101" t="s">
        <v>339</v>
      </c>
      <c r="K38" s="6">
        <f>IFERROR(INDEX(TEmatchups[Projection],MATCH(teproj[Name],TEmatchups[Name],0)),"")</f>
        <v>4.9331666666666667</v>
      </c>
      <c r="Q38" s="135" t="s">
        <v>119</v>
      </c>
      <c r="R38" s="28">
        <f>IFERROR(INDEX(RBmatchups[Projection],MATCH(Table66[Name],RBmatchups[Name],0)),"")</f>
        <v>18.7941</v>
      </c>
    </row>
    <row r="39" spans="1:18" x14ac:dyDescent="0.3">
      <c r="A39" s="135" t="e">
        <v>#REF!</v>
      </c>
      <c r="B39" s="6" t="str">
        <f>IFERROR(INDEX(QBmatchups3[Projection],MATCH(qbproj[Name],QBmatchups3[Name],0)),"")</f>
        <v/>
      </c>
      <c r="D39" s="135" t="s">
        <v>149</v>
      </c>
      <c r="E39" s="6">
        <f>IFERROR(INDEX(RBmatchups[Projection],MATCH(rbproj[Name],RBmatchups[Name],0)),"")</f>
        <v>8.2827333333333328</v>
      </c>
      <c r="G39" s="135" t="s">
        <v>505</v>
      </c>
      <c r="H39" s="6">
        <f>IFERROR(INDEX(WRmatchups[Projection],MATCH(wrproj[Name],WRmatchups[Name],0)),"")</f>
        <v>11.911633333333334</v>
      </c>
      <c r="J39" s="101" t="s">
        <v>342</v>
      </c>
      <c r="K39" s="6">
        <f>IFERROR(INDEX(TEmatchups[Projection],MATCH(teproj[Name],TEmatchups[Name],0)),"")</f>
        <v>3.9020333333333337</v>
      </c>
      <c r="Q39" s="135" t="s">
        <v>128</v>
      </c>
      <c r="R39" s="28">
        <f>IFERROR(INDEX(RBmatchups[Projection],MATCH(Table66[Name],RBmatchups[Name],0)),"")</f>
        <v>16.116100000000003</v>
      </c>
    </row>
    <row r="40" spans="1:18" x14ac:dyDescent="0.3">
      <c r="A40" s="135" t="e">
        <v>#REF!</v>
      </c>
      <c r="B40" s="6" t="str">
        <f>IFERROR(INDEX(QBmatchups3[Projection],MATCH(qbproj[Name],QBmatchups3[Name],0)),"")</f>
        <v/>
      </c>
      <c r="D40" s="135" t="s">
        <v>100</v>
      </c>
      <c r="E40" s="6" t="str">
        <f>IFERROR(INDEX(RBmatchups[Projection],MATCH(rbproj[Name],RBmatchups[Name],0)),"")</f>
        <v/>
      </c>
      <c r="G40" s="135" t="s">
        <v>277</v>
      </c>
      <c r="H40" s="6">
        <f>IFERROR(INDEX(WRmatchups[Projection],MATCH(wrproj[Name],WRmatchups[Name],0)),"")</f>
        <v>9.9446666666666665</v>
      </c>
      <c r="J40" s="101" t="s">
        <v>551</v>
      </c>
      <c r="K40" s="6" t="str">
        <f>IFERROR(INDEX(TEmatchups[Projection],MATCH(teproj[Name],TEmatchups[Name],0)),"")</f>
        <v/>
      </c>
      <c r="Q40" s="135" t="s">
        <v>428</v>
      </c>
      <c r="R40" s="28">
        <f>IFERROR(INDEX(RBmatchups[Projection],MATCH(Table66[Name],RBmatchups[Name],0)),"")</f>
        <v>16.271333333333335</v>
      </c>
    </row>
    <row r="41" spans="1:18" x14ac:dyDescent="0.3">
      <c r="A41" s="135" t="e">
        <v>#REF!</v>
      </c>
      <c r="B41" s="6" t="str">
        <f>IFERROR(INDEX(QBmatchups3[Projection],MATCH(qbproj[Name],QBmatchups3[Name],0)),"")</f>
        <v/>
      </c>
      <c r="D41" s="135" t="s">
        <v>516</v>
      </c>
      <c r="E41" s="6">
        <f>IFERROR(INDEX(RBmatchups[Projection],MATCH(rbproj[Name],RBmatchups[Name],0)),"")</f>
        <v>8.5944000000000003</v>
      </c>
      <c r="G41" s="135" t="s">
        <v>433</v>
      </c>
      <c r="H41" s="6" t="str">
        <f>IFERROR(INDEX(WRmatchups[Projection],MATCH(wrproj[Name],WRmatchups[Name],0)),"")</f>
        <v/>
      </c>
      <c r="J41" s="101" t="s">
        <v>361</v>
      </c>
      <c r="K41" s="6">
        <f>IFERROR(INDEX(TEmatchups[Projection],MATCH(teproj[Name],TEmatchups[Name],0)),"")</f>
        <v>4.4269333333333334</v>
      </c>
      <c r="Q41" s="135" t="s">
        <v>106</v>
      </c>
      <c r="R41" s="28">
        <f>IFERROR(INDEX(RBmatchups[Projection],MATCH(Table66[Name],RBmatchups[Name],0)),"")</f>
        <v>16.391866666666665</v>
      </c>
    </row>
    <row r="42" spans="1:18" x14ac:dyDescent="0.3">
      <c r="A42" s="135" t="e">
        <v>#REF!</v>
      </c>
      <c r="B42" s="6" t="str">
        <f>IFERROR(INDEX(QBmatchups3[Projection],MATCH(qbproj[Name],QBmatchups3[Name],0)),"")</f>
        <v/>
      </c>
      <c r="D42" s="135" t="s">
        <v>120</v>
      </c>
      <c r="E42" s="6">
        <f>IFERROR(INDEX(RBmatchups[Projection],MATCH(rbproj[Name],RBmatchups[Name],0)),"")</f>
        <v>11.413033333333333</v>
      </c>
      <c r="G42" s="135" t="s">
        <v>262</v>
      </c>
      <c r="H42" s="6">
        <f>IFERROR(INDEX(WRmatchups[Projection],MATCH(wrproj[Name],WRmatchups[Name],0)),"")</f>
        <v>12.460133333333335</v>
      </c>
      <c r="J42" s="101" t="s">
        <v>352</v>
      </c>
      <c r="K42" s="6">
        <f>IFERROR(INDEX(TEmatchups[Projection],MATCH(teproj[Name],TEmatchups[Name],0)),"")</f>
        <v>3.3321000000000001</v>
      </c>
      <c r="Q42" s="135" t="s">
        <v>115</v>
      </c>
      <c r="R42" s="28">
        <f>IFERROR(INDEX(RBmatchups[Projection],MATCH(Table66[Name],RBmatchups[Name],0)),"")</f>
        <v>15.325533333333333</v>
      </c>
    </row>
    <row r="43" spans="1:18" x14ac:dyDescent="0.3">
      <c r="A43" s="135" t="e">
        <v>#REF!</v>
      </c>
      <c r="B43" s="6" t="str">
        <f>IFERROR(INDEX(QBmatchups3[Projection],MATCH(qbproj[Name],QBmatchups3[Name],0)),"")</f>
        <v/>
      </c>
      <c r="D43" s="135" t="s">
        <v>141</v>
      </c>
      <c r="E43" s="6">
        <f>IFERROR(INDEX(RBmatchups[Projection],MATCH(rbproj[Name],RBmatchups[Name],0)),"")</f>
        <v>7.436066666666667</v>
      </c>
      <c r="G43" s="135" t="s">
        <v>198</v>
      </c>
      <c r="H43" s="6">
        <f>IFERROR(INDEX(WRmatchups[Projection],MATCH(wrproj[Name],WRmatchups[Name],0)),"")</f>
        <v>14.017299999999999</v>
      </c>
      <c r="J43" s="101" t="s">
        <v>337</v>
      </c>
      <c r="K43" s="6">
        <f>IFERROR(INDEX(TEmatchups[Projection],MATCH(teproj[Name],TEmatchups[Name],0)),"")</f>
        <v>5.5891999999999999</v>
      </c>
      <c r="Q43" s="135" t="s">
        <v>83</v>
      </c>
      <c r="R43" s="28">
        <f>IFERROR(INDEX(RBmatchups[Projection],MATCH(Table66[Name],RBmatchups[Name],0)),"")</f>
        <v>15.280266666666666</v>
      </c>
    </row>
    <row r="44" spans="1:18" x14ac:dyDescent="0.3">
      <c r="A44" s="135" t="e">
        <v>#REF!</v>
      </c>
      <c r="B44" s="6" t="str">
        <f>IFERROR(INDEX(QBmatchups3[Projection],MATCH(qbproj[Name],QBmatchups3[Name],0)),"")</f>
        <v/>
      </c>
      <c r="D44" s="135" t="s">
        <v>126</v>
      </c>
      <c r="E44" s="6" t="str">
        <f>IFERROR(INDEX(RBmatchups[Projection],MATCH(rbproj[Name],RBmatchups[Name],0)),"")</f>
        <v/>
      </c>
      <c r="G44" s="135" t="s">
        <v>224</v>
      </c>
      <c r="H44" s="6">
        <f>IFERROR(INDEX(WRmatchups[Projection],MATCH(wrproj[Name],WRmatchups[Name],0)),"")</f>
        <v>10.503066666666667</v>
      </c>
      <c r="J44" s="101" t="s">
        <v>353</v>
      </c>
      <c r="K44" s="6">
        <f>IFERROR(INDEX(TEmatchups[Projection],MATCH(teproj[Name],TEmatchups[Name],0)),"")</f>
        <v>1.8236500000000002</v>
      </c>
      <c r="Q44" s="135" t="s">
        <v>89</v>
      </c>
      <c r="R44" s="28">
        <f>IFERROR(INDEX(RBmatchups[Projection],MATCH(Table66[Name],RBmatchups[Name],0)),"")</f>
        <v>17.605533333333334</v>
      </c>
    </row>
    <row r="45" spans="1:18" x14ac:dyDescent="0.3">
      <c r="A45" s="135" t="e">
        <v>#REF!</v>
      </c>
      <c r="B45" s="6" t="str">
        <f>IFERROR(INDEX(QBmatchups3[Projection],MATCH(qbproj[Name],QBmatchups3[Name],0)),"")</f>
        <v/>
      </c>
      <c r="D45" s="135" t="s">
        <v>171</v>
      </c>
      <c r="E45" s="6">
        <f>IFERROR(INDEX(RBmatchups[Projection],MATCH(rbproj[Name],RBmatchups[Name],0)),"")</f>
        <v>4.0844000000000005</v>
      </c>
      <c r="G45" s="135" t="s">
        <v>457</v>
      </c>
      <c r="H45" s="6">
        <f>IFERROR(INDEX(WRmatchups[Projection],MATCH(wrproj[Name],WRmatchups[Name],0)),"")</f>
        <v>10.05255</v>
      </c>
      <c r="J45" s="101" t="s">
        <v>559</v>
      </c>
      <c r="K45" s="6">
        <f>IFERROR(INDEX(TEmatchups[Projection],MATCH(teproj[Name],TEmatchups[Name],0)),"")</f>
        <v>11.321666666666665</v>
      </c>
      <c r="Q45" s="135" t="s">
        <v>93</v>
      </c>
      <c r="R45" s="28">
        <f>IFERROR(INDEX(RBmatchups[Projection],MATCH(Table66[Name],RBmatchups[Name],0)),"")</f>
        <v>15.9543</v>
      </c>
    </row>
    <row r="46" spans="1:18" x14ac:dyDescent="0.3">
      <c r="A46" s="135" t="e">
        <v>#REF!</v>
      </c>
      <c r="B46" s="6" t="str">
        <f>IFERROR(INDEX(QBmatchups3[Projection],MATCH(qbproj[Name],QBmatchups3[Name],0)),"")</f>
        <v/>
      </c>
      <c r="D46" s="135" t="s">
        <v>520</v>
      </c>
      <c r="E46" s="6">
        <f>IFERROR(INDEX(RBmatchups[Projection],MATCH(rbproj[Name],RBmatchups[Name],0)),"")</f>
        <v>9.7207333333333352</v>
      </c>
      <c r="G46" s="135" t="s">
        <v>237</v>
      </c>
      <c r="H46" s="6">
        <f>IFERROR(INDEX(WRmatchups[Projection],MATCH(wrproj[Name],WRmatchups[Name],0)),"")</f>
        <v>8.6849333333333334</v>
      </c>
      <c r="J46" s="101" t="s">
        <v>351</v>
      </c>
      <c r="K46" s="6">
        <f>IFERROR(INDEX(TEmatchups[Projection],MATCH(teproj[Name],TEmatchups[Name],0)),"")</f>
        <v>2.5212666666666665</v>
      </c>
      <c r="Q46" s="135" t="s">
        <v>96</v>
      </c>
      <c r="R46" s="28" t="str">
        <f>IFERROR(INDEX(RBmatchups[Projection],MATCH(Table66[Name],RBmatchups[Name],0)),"")</f>
        <v/>
      </c>
    </row>
    <row r="47" spans="1:18" x14ac:dyDescent="0.3">
      <c r="A47" s="135" t="e">
        <v>#REF!</v>
      </c>
      <c r="B47" s="6" t="str">
        <f>IFERROR(INDEX(QBmatchups3[Projection],MATCH(qbproj[Name],QBmatchups3[Name],0)),"")</f>
        <v/>
      </c>
      <c r="D47" s="135" t="s">
        <v>97</v>
      </c>
      <c r="E47" s="6">
        <f>IFERROR(INDEX(RBmatchups[Projection],MATCH(rbproj[Name],RBmatchups[Name],0)),"")</f>
        <v>4.5388333333333337</v>
      </c>
      <c r="G47" s="135" t="s">
        <v>203</v>
      </c>
      <c r="H47" s="6">
        <f>IFERROR(INDEX(WRmatchups[Projection],MATCH(wrproj[Name],WRmatchups[Name],0)),"")</f>
        <v>15.151566666666668</v>
      </c>
      <c r="J47" s="101" t="s">
        <v>346</v>
      </c>
      <c r="K47" s="6" t="str">
        <f>IFERROR(INDEX(TEmatchups[Projection],MATCH(teproj[Name],TEmatchups[Name],0)),"")</f>
        <v/>
      </c>
      <c r="Q47" s="135" t="s">
        <v>114</v>
      </c>
      <c r="R47" s="28">
        <f>IFERROR(INDEX(RBmatchups[Projection],MATCH(Table66[Name],RBmatchups[Name],0)),"")</f>
        <v>15.82803333333333</v>
      </c>
    </row>
    <row r="48" spans="1:18" x14ac:dyDescent="0.3">
      <c r="A48" s="135" t="e">
        <v>#REF!</v>
      </c>
      <c r="B48" s="6" t="str">
        <f>IFERROR(INDEX(QBmatchups3[Projection],MATCH(qbproj[Name],QBmatchups3[Name],0)),"")</f>
        <v/>
      </c>
      <c r="D48" s="135" t="s">
        <v>137</v>
      </c>
      <c r="E48" s="6">
        <f>IFERROR(INDEX(RBmatchups[Projection],MATCH(rbproj[Name],RBmatchups[Name],0)),"")</f>
        <v>9.326666666666668</v>
      </c>
      <c r="G48" s="135" t="s">
        <v>212</v>
      </c>
      <c r="H48" s="6">
        <f>IFERROR(INDEX(WRmatchups[Projection],MATCH(wrproj[Name],WRmatchups[Name],0)),"")</f>
        <v>11.937066666666666</v>
      </c>
      <c r="J48" s="101" t="s">
        <v>386</v>
      </c>
      <c r="K48" s="6" t="str">
        <f>IFERROR(INDEX(TEmatchups[Projection],MATCH(teproj[Name],TEmatchups[Name],0)),"")</f>
        <v/>
      </c>
      <c r="Q48" s="135" t="s">
        <v>125</v>
      </c>
      <c r="R48" s="28">
        <f>IFERROR(INDEX(RBmatchups[Projection],MATCH(Table66[Name],RBmatchups[Name],0)),"")</f>
        <v>10.320133333333334</v>
      </c>
    </row>
    <row r="49" spans="1:18" x14ac:dyDescent="0.3">
      <c r="A49" s="135" t="e">
        <v>#REF!</v>
      </c>
      <c r="B49" s="6" t="str">
        <f>IFERROR(INDEX(QBmatchups3[Projection],MATCH(qbproj[Name],QBmatchups3[Name],0)),"")</f>
        <v/>
      </c>
      <c r="D49" s="135" t="s">
        <v>458</v>
      </c>
      <c r="E49" s="6" t="str">
        <f>IFERROR(INDEX(RBmatchups[Projection],MATCH(rbproj[Name],RBmatchups[Name],0)),"")</f>
        <v/>
      </c>
      <c r="G49" s="135" t="s">
        <v>315</v>
      </c>
      <c r="H49" s="6">
        <f>IFERROR(INDEX(WRmatchups[Projection],MATCH(wrproj[Name],WRmatchups[Name],0)),"")</f>
        <v>6.0425666666666666</v>
      </c>
      <c r="J49" s="101" t="s">
        <v>345</v>
      </c>
      <c r="K49" s="6">
        <f>IFERROR(INDEX(TEmatchups[Projection],MATCH(teproj[Name],TEmatchups[Name],0)),"")</f>
        <v>5.4503333333333339</v>
      </c>
      <c r="Q49" s="135" t="s">
        <v>84</v>
      </c>
      <c r="R49" s="28">
        <f>IFERROR(INDEX(RBmatchups[Projection],MATCH(Table66[Name],RBmatchups[Name],0)),"")</f>
        <v>14.269733333333335</v>
      </c>
    </row>
    <row r="50" spans="1:18" x14ac:dyDescent="0.3">
      <c r="A50" s="135" t="e">
        <v>#REF!</v>
      </c>
      <c r="B50" s="6" t="str">
        <f>IFERROR(INDEX(QBmatchups3[Projection],MATCH(qbproj[Name],QBmatchups3[Name],0)),"")</f>
        <v/>
      </c>
      <c r="D50" s="135" t="s">
        <v>117</v>
      </c>
      <c r="E50" s="6">
        <f>IFERROR(INDEX(RBmatchups[Projection],MATCH(rbproj[Name],RBmatchups[Name],0)),"")</f>
        <v>3.8882000000000003</v>
      </c>
      <c r="G50" s="135" t="s">
        <v>196</v>
      </c>
      <c r="H50" s="6" t="str">
        <f>IFERROR(INDEX(WRmatchups[Projection],MATCH(wrproj[Name],WRmatchups[Name],0)),"")</f>
        <v/>
      </c>
      <c r="J50" s="101" t="s">
        <v>558</v>
      </c>
      <c r="K50" s="6">
        <f>IFERROR(INDEX(TEmatchups[Projection],MATCH(teproj[Name],TEmatchups[Name],0)),"")</f>
        <v>3.116366666666667</v>
      </c>
      <c r="Q50" s="135" t="s">
        <v>87</v>
      </c>
      <c r="R50" s="28">
        <f>IFERROR(INDEX(RBmatchups[Projection],MATCH(Table66[Name],RBmatchups[Name],0)),"")</f>
        <v>13.293800000000001</v>
      </c>
    </row>
    <row r="51" spans="1:18" x14ac:dyDescent="0.3">
      <c r="A51" s="135" t="e">
        <v>#REF!</v>
      </c>
      <c r="B51" s="6" t="str">
        <f>IFERROR(INDEX(QBmatchups3[Projection],MATCH(qbproj[Name],QBmatchups3[Name],0)),"")</f>
        <v/>
      </c>
      <c r="D51" s="135" t="s">
        <v>162</v>
      </c>
      <c r="E51" s="6">
        <f>IFERROR(INDEX(RBmatchups[Projection],MATCH(rbproj[Name],RBmatchups[Name],0)),"")</f>
        <v>8.2534666666666663</v>
      </c>
      <c r="G51" s="135" t="s">
        <v>456</v>
      </c>
      <c r="H51" s="6">
        <f>IFERROR(INDEX(WRmatchups[Projection],MATCH(wrproj[Name],WRmatchups[Name],0)),"")</f>
        <v>9.6952666666666651</v>
      </c>
      <c r="J51" s="101" t="s">
        <v>350</v>
      </c>
      <c r="K51" s="6">
        <f>IFERROR(INDEX(TEmatchups[Projection],MATCH(teproj[Name],TEmatchups[Name],0)),"")</f>
        <v>0.59470000000000001</v>
      </c>
      <c r="Q51" s="135" t="s">
        <v>101</v>
      </c>
      <c r="R51" s="28">
        <f>IFERROR(INDEX(RBmatchups[Projection],MATCH(Table66[Name],RBmatchups[Name],0)),"")</f>
        <v>14.517033333333332</v>
      </c>
    </row>
    <row r="52" spans="1:18" x14ac:dyDescent="0.3">
      <c r="A52" s="135" t="e">
        <v>#REF!</v>
      </c>
      <c r="B52" s="6" t="str">
        <f>IFERROR(INDEX(QBmatchups3[Projection],MATCH(qbproj[Name],QBmatchups3[Name],0)),"")</f>
        <v/>
      </c>
      <c r="D52" s="135" t="s">
        <v>148</v>
      </c>
      <c r="E52" s="6">
        <f>IFERROR(INDEX(RBmatchups[Projection],MATCH(rbproj[Name],RBmatchups[Name],0)),"")</f>
        <v>4.4879333333333342</v>
      </c>
      <c r="G52" s="135" t="s">
        <v>258</v>
      </c>
      <c r="H52" s="6">
        <f>IFERROR(INDEX(WRmatchups[Projection],MATCH(wrproj[Name],WRmatchups[Name],0)),"")</f>
        <v>8.093</v>
      </c>
      <c r="J52" s="101" t="s">
        <v>769</v>
      </c>
      <c r="K52" s="6">
        <f>IFERROR(INDEX(TEmatchups[Projection],MATCH(teproj[Name],TEmatchups[Name],0)),"")</f>
        <v>1.8531</v>
      </c>
      <c r="Q52" s="135" t="s">
        <v>95</v>
      </c>
      <c r="R52" s="28">
        <f>IFERROR(INDEX(RBmatchups[Projection],MATCH(Table66[Name],RBmatchups[Name],0)),"")</f>
        <v>12.5871</v>
      </c>
    </row>
    <row r="53" spans="1:18" x14ac:dyDescent="0.3">
      <c r="A53" s="135" t="e">
        <v>#REF!</v>
      </c>
      <c r="B53" s="6" t="str">
        <f>IFERROR(INDEX(QBmatchups3[Projection],MATCH(qbproj[Name],QBmatchups3[Name],0)),"")</f>
        <v/>
      </c>
      <c r="D53" s="135" t="s">
        <v>152</v>
      </c>
      <c r="E53" s="6">
        <f>IFERROR(INDEX(RBmatchups[Projection],MATCH(rbproj[Name],RBmatchups[Name],0)),"")</f>
        <v>6.1553333333333331</v>
      </c>
      <c r="G53" s="135" t="s">
        <v>269</v>
      </c>
      <c r="H53" s="6">
        <f>IFERROR(INDEX(WRmatchups[Projection],MATCH(wrproj[Name],WRmatchups[Name],0)),"")</f>
        <v>10.118233333333333</v>
      </c>
      <c r="J53" s="101" t="s">
        <v>362</v>
      </c>
      <c r="K53" s="6">
        <f>IFERROR(INDEX(TEmatchups[Projection],MATCH(teproj[Name],TEmatchups[Name],0)),"")</f>
        <v>8.598233333333333</v>
      </c>
      <c r="Q53" s="135" t="s">
        <v>109</v>
      </c>
      <c r="R53" s="28" t="str">
        <f>IFERROR(INDEX(RBmatchups[Projection],MATCH(Table66[Name],RBmatchups[Name],0)),"")</f>
        <v/>
      </c>
    </row>
    <row r="54" spans="1:18" x14ac:dyDescent="0.3">
      <c r="A54" s="135" t="e">
        <v>#REF!</v>
      </c>
      <c r="B54" s="6" t="str">
        <f>IFERROR(INDEX(QBmatchups3[Projection],MATCH(qbproj[Name],QBmatchups3[Name],0)),"")</f>
        <v/>
      </c>
      <c r="D54" s="135" t="s">
        <v>105</v>
      </c>
      <c r="E54" s="6" t="str">
        <f>IFERROR(INDEX(RBmatchups[Projection],MATCH(rbproj[Name],RBmatchups[Name],0)),"")</f>
        <v/>
      </c>
      <c r="G54" s="135" t="s">
        <v>242</v>
      </c>
      <c r="H54" s="6" t="str">
        <f>IFERROR(INDEX(WRmatchups[Projection],MATCH(wrproj[Name],WRmatchups[Name],0)),"")</f>
        <v/>
      </c>
      <c r="J54" s="101" t="s">
        <v>545</v>
      </c>
      <c r="K54" s="6" t="str">
        <f>IFERROR(INDEX(TEmatchups[Projection],MATCH(teproj[Name],TEmatchups[Name],0)),"")</f>
        <v/>
      </c>
      <c r="Q54" s="135" t="s">
        <v>145</v>
      </c>
      <c r="R54" s="28">
        <f>IFERROR(INDEX(RBmatchups[Projection],MATCH(Table66[Name],RBmatchups[Name],0)),"")</f>
        <v>12.836433333333334</v>
      </c>
    </row>
    <row r="55" spans="1:18" x14ac:dyDescent="0.3">
      <c r="A55" s="135" t="e">
        <v>#REF!</v>
      </c>
      <c r="B55" s="6" t="str">
        <f>IFERROR(INDEX(QBmatchups3[Projection],MATCH(qbproj[Name],QBmatchups3[Name],0)),"")</f>
        <v/>
      </c>
      <c r="D55" s="135" t="s">
        <v>132</v>
      </c>
      <c r="E55" s="6" t="str">
        <f>IFERROR(INDEX(RBmatchups[Projection],MATCH(rbproj[Name],RBmatchups[Name],0)),"")</f>
        <v/>
      </c>
      <c r="G55" s="135" t="s">
        <v>240</v>
      </c>
      <c r="H55" s="6">
        <f>IFERROR(INDEX(WRmatchups[Projection],MATCH(wrproj[Name],WRmatchups[Name],0)),"")</f>
        <v>10.238466666666666</v>
      </c>
      <c r="J55" s="101" t="s">
        <v>374</v>
      </c>
      <c r="K55" s="6">
        <f>IFERROR(INDEX(TEmatchups[Projection],MATCH(teproj[Name],TEmatchups[Name],0)),"")</f>
        <v>1.5384500000000001</v>
      </c>
      <c r="Q55" s="135" t="s">
        <v>82</v>
      </c>
      <c r="R55" s="28">
        <f>IFERROR(INDEX(RBmatchups[Projection],MATCH(Table66[Name],RBmatchups[Name],0)),"")</f>
        <v>12.737733333333335</v>
      </c>
    </row>
    <row r="56" spans="1:18" x14ac:dyDescent="0.3">
      <c r="A56" s="135" t="e">
        <v>#REF!</v>
      </c>
      <c r="B56" s="6" t="str">
        <f>IFERROR(INDEX(QBmatchups3[Projection],MATCH(qbproj[Name],QBmatchups3[Name],0)),"")</f>
        <v/>
      </c>
      <c r="D56" s="135" t="s">
        <v>764</v>
      </c>
      <c r="E56" s="6">
        <f>IFERROR(INDEX(RBmatchups[Projection],MATCH(rbproj[Name],RBmatchups[Name],0)),"")</f>
        <v>5.3167333333333344</v>
      </c>
      <c r="G56" s="135" t="s">
        <v>272</v>
      </c>
      <c r="H56" s="6" t="str">
        <f>IFERROR(INDEX(WRmatchups[Projection],MATCH(wrproj[Name],WRmatchups[Name],0)),"")</f>
        <v/>
      </c>
      <c r="J56" s="101" t="s">
        <v>381</v>
      </c>
      <c r="K56" s="6">
        <f>IFERROR(INDEX(TEmatchups[Projection],MATCH(teproj[Name],TEmatchups[Name],0)),"")</f>
        <v>0.97394999999999998</v>
      </c>
      <c r="Q56" s="135" t="s">
        <v>111</v>
      </c>
      <c r="R56" s="28" t="str">
        <f>IFERROR(INDEX(RBmatchups[Projection],MATCH(Table66[Name],RBmatchups[Name],0)),"")</f>
        <v/>
      </c>
    </row>
    <row r="57" spans="1:18" x14ac:dyDescent="0.3">
      <c r="A57" s="135" t="e">
        <v>#REF!</v>
      </c>
      <c r="B57" s="6" t="str">
        <f>IFERROR(INDEX(QBmatchups3[Projection],MATCH(qbproj[Name],QBmatchups3[Name],0)),"")</f>
        <v/>
      </c>
      <c r="D57" s="135" t="s">
        <v>133</v>
      </c>
      <c r="E57" s="6" t="str">
        <f>IFERROR(INDEX(RBmatchups[Projection],MATCH(rbproj[Name],RBmatchups[Name],0)),"")</f>
        <v/>
      </c>
      <c r="G57" s="135" t="s">
        <v>214</v>
      </c>
      <c r="H57" s="6">
        <f>IFERROR(INDEX(WRmatchups[Projection],MATCH(wrproj[Name],WRmatchups[Name],0)),"")</f>
        <v>9.5974000000000004</v>
      </c>
      <c r="J57" s="101" t="s">
        <v>358</v>
      </c>
      <c r="K57" s="6">
        <f>IFERROR(INDEX(TEmatchups[Projection],MATCH(teproj[Name],TEmatchups[Name],0)),"")</f>
        <v>1.0691999999999999</v>
      </c>
      <c r="Q57" s="135" t="s">
        <v>92</v>
      </c>
      <c r="R57" s="28">
        <f>IFERROR(INDEX(RBmatchups[Projection],MATCH(Table66[Name],RBmatchups[Name],0)),"")</f>
        <v>10.077166666666667</v>
      </c>
    </row>
    <row r="58" spans="1:18" x14ac:dyDescent="0.3">
      <c r="A58" s="135" t="e">
        <v>#REF!</v>
      </c>
      <c r="B58" s="6" t="str">
        <f>IFERROR(INDEX(QBmatchups3[Projection],MATCH(qbproj[Name],QBmatchups3[Name],0)),"")</f>
        <v/>
      </c>
      <c r="D58" s="135" t="s">
        <v>131</v>
      </c>
      <c r="E58" s="6">
        <f>IFERROR(INDEX(RBmatchups[Projection],MATCH(rbproj[Name],RBmatchups[Name],0)),"")</f>
        <v>6.1787666666666672</v>
      </c>
      <c r="G58" s="135" t="s">
        <v>233</v>
      </c>
      <c r="H58" s="6">
        <f>IFERROR(INDEX(WRmatchups[Projection],MATCH(wrproj[Name],WRmatchups[Name],0)),"")</f>
        <v>8.2489999999999988</v>
      </c>
      <c r="J58" s="101" t="s">
        <v>1255</v>
      </c>
      <c r="K58" s="6">
        <f>IFERROR(INDEX(TEmatchups[Projection],MATCH(teproj[Name],TEmatchups[Name],0)),"")</f>
        <v>2.4274500000000003</v>
      </c>
      <c r="Q58" s="135" t="s">
        <v>94</v>
      </c>
      <c r="R58" s="28">
        <f>IFERROR(INDEX(RBmatchups[Projection],MATCH(Table66[Name],RBmatchups[Name],0)),"")</f>
        <v>9.6311</v>
      </c>
    </row>
    <row r="59" spans="1:18" x14ac:dyDescent="0.3">
      <c r="A59" s="135" t="e">
        <v>#REF!</v>
      </c>
      <c r="B59" s="6" t="str">
        <f>IFERROR(INDEX(QBmatchups3[Projection],MATCH(qbproj[Name],QBmatchups3[Name],0)),"")</f>
        <v/>
      </c>
      <c r="D59" s="135" t="s">
        <v>512</v>
      </c>
      <c r="E59" s="6">
        <f>IFERROR(INDEX(RBmatchups[Projection],MATCH(rbproj[Name],RBmatchups[Name],0)),"")</f>
        <v>4.6230000000000002</v>
      </c>
      <c r="G59" s="135" t="s">
        <v>2452</v>
      </c>
      <c r="H59" s="6">
        <f>IFERROR(INDEX(WRmatchups[Projection],MATCH(wrproj[Name],WRmatchups[Name],0)),"")</f>
        <v>13.6053</v>
      </c>
      <c r="J59" s="101" t="s">
        <v>349</v>
      </c>
      <c r="K59" s="6">
        <f>IFERROR(INDEX(TEmatchups[Projection],MATCH(teproj[Name],TEmatchups[Name],0)),"")</f>
        <v>3.1257333333333337</v>
      </c>
      <c r="Q59" s="135" t="s">
        <v>113</v>
      </c>
      <c r="R59" s="28">
        <f>IFERROR(INDEX(RBmatchups[Projection],MATCH(Table66[Name],RBmatchups[Name],0)),"")</f>
        <v>13.344633333333334</v>
      </c>
    </row>
    <row r="60" spans="1:18" x14ac:dyDescent="0.3">
      <c r="A60" s="135" t="e">
        <v>#REF!</v>
      </c>
      <c r="B60" s="6" t="str">
        <f>IFERROR(INDEX(QBmatchups3[Projection],MATCH(qbproj[Name],QBmatchups3[Name],0)),"")</f>
        <v/>
      </c>
      <c r="D60" s="135" t="s">
        <v>461</v>
      </c>
      <c r="E60" s="6">
        <f>IFERROR(INDEX(RBmatchups[Projection],MATCH(rbproj[Name],RBmatchups[Name],0)),"")</f>
        <v>4.7784333333333331</v>
      </c>
      <c r="G60" s="135" t="s">
        <v>432</v>
      </c>
      <c r="H60" s="6">
        <f>IFERROR(INDEX(WRmatchups[Projection],MATCH(wrproj[Name],WRmatchups[Name],0)),"")</f>
        <v>10.776166666666668</v>
      </c>
      <c r="J60" s="101" t="s">
        <v>1253</v>
      </c>
      <c r="K60" s="6">
        <f>IFERROR(INDEX(TEmatchups[Projection],MATCH(teproj[Name],TEmatchups[Name],0)),"")</f>
        <v>2.5562333333333331</v>
      </c>
      <c r="Q60" s="135" t="s">
        <v>129</v>
      </c>
      <c r="R60" s="28">
        <f>IFERROR(INDEX(RBmatchups[Projection],MATCH(Table66[Name],RBmatchups[Name],0)),"")</f>
        <v>14.870466666666669</v>
      </c>
    </row>
    <row r="61" spans="1:18" x14ac:dyDescent="0.3">
      <c r="A61" s="135" t="e">
        <v>#REF!</v>
      </c>
      <c r="B61" s="6" t="str">
        <f>IFERROR(INDEX(QBmatchups3[Projection],MATCH(qbproj[Name],QBmatchups3[Name],0)),"")</f>
        <v/>
      </c>
      <c r="D61" s="135" t="s">
        <v>138</v>
      </c>
      <c r="E61" s="6">
        <f>IFERROR(INDEX(RBmatchups[Projection],MATCH(rbproj[Name],RBmatchups[Name],0)),"")</f>
        <v>4.3145000000000007</v>
      </c>
      <c r="G61" s="135" t="s">
        <v>479</v>
      </c>
      <c r="H61" s="6">
        <f>IFERROR(INDEX(WRmatchups[Projection],MATCH(wrproj[Name],WRmatchups[Name],0)),"")</f>
        <v>13.745433333333335</v>
      </c>
      <c r="J61" s="101" t="s">
        <v>359</v>
      </c>
      <c r="K61" s="6">
        <f>IFERROR(INDEX(TEmatchups[Projection],MATCH(teproj[Name],TEmatchups[Name],0)),"")</f>
        <v>1.0371000000000001</v>
      </c>
      <c r="Q61" s="135" t="s">
        <v>139</v>
      </c>
      <c r="R61" s="28">
        <f>IFERROR(INDEX(RBmatchups[Projection],MATCH(Table66[Name],RBmatchups[Name],0)),"")</f>
        <v>7.0811666666666682</v>
      </c>
    </row>
    <row r="62" spans="1:18" x14ac:dyDescent="0.3">
      <c r="A62" s="135" t="e">
        <v>#REF!</v>
      </c>
      <c r="B62" s="6" t="str">
        <f>IFERROR(INDEX(QBmatchups3[Projection],MATCH(qbproj[Name],QBmatchups3[Name],0)),"")</f>
        <v/>
      </c>
      <c r="D62" s="135" t="s">
        <v>151</v>
      </c>
      <c r="E62" s="6" t="str">
        <f>IFERROR(INDEX(RBmatchups[Projection],MATCH(rbproj[Name],RBmatchups[Name],0)),"")</f>
        <v/>
      </c>
      <c r="G62" s="135" t="s">
        <v>238</v>
      </c>
      <c r="H62" s="6">
        <f>IFERROR(INDEX(WRmatchups[Projection],MATCH(wrproj[Name],WRmatchups[Name],0)),"")</f>
        <v>10.904766666666667</v>
      </c>
      <c r="J62" s="101" t="s">
        <v>356</v>
      </c>
      <c r="K62" s="6">
        <f>IFERROR(INDEX(TEmatchups[Projection],MATCH(teproj[Name],TEmatchups[Name],0)),"")</f>
        <v>1.7901</v>
      </c>
      <c r="Q62" s="135" t="s">
        <v>102</v>
      </c>
      <c r="R62" s="28">
        <f>IFERROR(INDEX(RBmatchups[Projection],MATCH(Table66[Name],RBmatchups[Name],0)),"")</f>
        <v>13.356233333333334</v>
      </c>
    </row>
    <row r="63" spans="1:18" x14ac:dyDescent="0.3">
      <c r="A63" s="135" t="e">
        <v>#REF!</v>
      </c>
      <c r="B63" s="6" t="str">
        <f>IFERROR(INDEX(QBmatchups3[Projection],MATCH(qbproj[Name],QBmatchups3[Name],0)),"")</f>
        <v/>
      </c>
      <c r="D63" s="135" t="s">
        <v>103</v>
      </c>
      <c r="E63" s="6">
        <f>IFERROR(INDEX(RBmatchups[Projection],MATCH(rbproj[Name],RBmatchups[Name],0)),"")</f>
        <v>3.8248333333333333</v>
      </c>
      <c r="G63" s="135" t="s">
        <v>1248</v>
      </c>
      <c r="H63" s="6">
        <f>IFERROR(INDEX(WRmatchups[Projection],MATCH(wrproj[Name],WRmatchups[Name],0)),"")</f>
        <v>4.809166666666667</v>
      </c>
      <c r="J63" s="101" t="s">
        <v>1254</v>
      </c>
      <c r="K63" s="6">
        <f>IFERROR(INDEX(TEmatchups[Projection],MATCH(teproj[Name],TEmatchups[Name],0)),"")</f>
        <v>0.80360000000000009</v>
      </c>
      <c r="Q63" s="135" t="s">
        <v>104</v>
      </c>
      <c r="R63" s="28">
        <f>IFERROR(INDEX(RBmatchups[Projection],MATCH(Table66[Name],RBmatchups[Name],0)),"")</f>
        <v>14.833200000000001</v>
      </c>
    </row>
    <row r="64" spans="1:18" x14ac:dyDescent="0.3">
      <c r="A64" s="135" t="e">
        <v>#REF!</v>
      </c>
      <c r="B64" s="6" t="str">
        <f>IFERROR(INDEX(QBmatchups3[Projection],MATCH(qbproj[Name],QBmatchups3[Name],0)),"")</f>
        <v/>
      </c>
      <c r="D64" s="135" t="s">
        <v>124</v>
      </c>
      <c r="E64" s="6">
        <f>IFERROR(INDEX(RBmatchups[Projection],MATCH(rbproj[Name],RBmatchups[Name],0)),"")</f>
        <v>5.2396666666666674</v>
      </c>
      <c r="G64" s="135" t="s">
        <v>225</v>
      </c>
      <c r="H64" s="6">
        <f>IFERROR(INDEX(WRmatchups[Projection],MATCH(wrproj[Name],WRmatchups[Name],0)),"")</f>
        <v>7.3662000000000001</v>
      </c>
      <c r="J64" s="101" t="s">
        <v>367</v>
      </c>
      <c r="K64" s="6">
        <f>IFERROR(INDEX(TEmatchups[Projection],MATCH(teproj[Name],TEmatchups[Name],0)),"")</f>
        <v>2.6325499999999997</v>
      </c>
      <c r="Q64" s="135" t="s">
        <v>135</v>
      </c>
      <c r="R64" s="28">
        <f>IFERROR(INDEX(RBmatchups[Projection],MATCH(Table66[Name],RBmatchups[Name],0)),"")</f>
        <v>12.601766666666666</v>
      </c>
    </row>
    <row r="65" spans="1:18" x14ac:dyDescent="0.3">
      <c r="A65" s="135" t="e">
        <v>#REF!</v>
      </c>
      <c r="B65" s="6" t="str">
        <f>IFERROR(INDEX(QBmatchups3[Projection],MATCH(qbproj[Name],QBmatchups3[Name],0)),"")</f>
        <v/>
      </c>
      <c r="D65" s="135" t="s">
        <v>130</v>
      </c>
      <c r="E65" s="6">
        <f>IFERROR(INDEX(RBmatchups[Projection],MATCH(rbproj[Name],RBmatchups[Name],0)),"")</f>
        <v>2.7729500000000002</v>
      </c>
      <c r="G65" s="135" t="s">
        <v>260</v>
      </c>
      <c r="H65" s="6">
        <f>IFERROR(INDEX(WRmatchups[Projection],MATCH(wrproj[Name],WRmatchups[Name],0)),"")</f>
        <v>8.6232333333333333</v>
      </c>
      <c r="J65" s="101" t="s">
        <v>557</v>
      </c>
      <c r="K65" s="6">
        <f>IFERROR(INDEX(TEmatchups[Projection],MATCH(teproj[Name],TEmatchups[Name],0)),"")</f>
        <v>1.4045000000000001</v>
      </c>
      <c r="Q65" s="135" t="s">
        <v>143</v>
      </c>
      <c r="R65" s="28">
        <f>IFERROR(INDEX(RBmatchups[Projection],MATCH(Table66[Name],RBmatchups[Name],0)),"")</f>
        <v>12.909566666666668</v>
      </c>
    </row>
    <row r="66" spans="1:18" x14ac:dyDescent="0.3">
      <c r="A66" s="135" t="e">
        <v>#REF!</v>
      </c>
      <c r="B66" s="6" t="str">
        <f>IFERROR(INDEX(QBmatchups3[Projection],MATCH(qbproj[Name],QBmatchups3[Name],0)),"")</f>
        <v/>
      </c>
      <c r="D66" s="135" t="s">
        <v>1519</v>
      </c>
      <c r="E66" s="6">
        <f>IFERROR(INDEX(RBmatchups[Projection],MATCH(rbproj[Name],RBmatchups[Name],0)),"")</f>
        <v>4.7763000000000009</v>
      </c>
      <c r="G66" s="135" t="s">
        <v>265</v>
      </c>
      <c r="H66" s="6">
        <f>IFERROR(INDEX(WRmatchups[Projection],MATCH(wrproj[Name],WRmatchups[Name],0)),"")</f>
        <v>7.1012666666666675</v>
      </c>
      <c r="J66" s="101" t="s">
        <v>1560</v>
      </c>
      <c r="K66" s="6" t="str">
        <f>IFERROR(INDEX(TEmatchups[Projection],MATCH(teproj[Name],TEmatchups[Name],0)),"")</f>
        <v/>
      </c>
      <c r="Q66" s="135" t="s">
        <v>127</v>
      </c>
      <c r="R66" s="28" t="str">
        <f>IFERROR(INDEX(RBmatchups[Projection],MATCH(Table66[Name],RBmatchups[Name],0)),"")</f>
        <v/>
      </c>
    </row>
    <row r="67" spans="1:18" x14ac:dyDescent="0.3">
      <c r="A67" s="135" t="e">
        <v>#REF!</v>
      </c>
      <c r="B67" s="6" t="str">
        <f>IFERROR(INDEX(QBmatchups3[Projection],MATCH(qbproj[Name],QBmatchups3[Name],0)),"")</f>
        <v/>
      </c>
      <c r="D67" s="135" t="s">
        <v>464</v>
      </c>
      <c r="E67" s="6">
        <f>IFERROR(INDEX(RBmatchups[Projection],MATCH(rbproj[Name],RBmatchups[Name],0)),"")</f>
        <v>14.941833333333332</v>
      </c>
      <c r="G67" s="135" t="s">
        <v>294</v>
      </c>
      <c r="H67" s="6">
        <f>IFERROR(INDEX(WRmatchups[Projection],MATCH(wrproj[Name],WRmatchups[Name],0)),"")</f>
        <v>7.4954000000000001</v>
      </c>
      <c r="J67" s="101" t="s">
        <v>546</v>
      </c>
      <c r="K67" s="6">
        <f>IFERROR(INDEX(TEmatchups[Projection],MATCH(teproj[Name],TEmatchups[Name],0)),"")</f>
        <v>0.34870000000000001</v>
      </c>
      <c r="Q67" s="135" t="s">
        <v>121</v>
      </c>
      <c r="R67" s="28">
        <f>IFERROR(INDEX(RBmatchups[Projection],MATCH(Table66[Name],RBmatchups[Name],0)),"")</f>
        <v>11.5684</v>
      </c>
    </row>
    <row r="68" spans="1:18" x14ac:dyDescent="0.3">
      <c r="D68" s="135" t="s">
        <v>164</v>
      </c>
      <c r="E68" s="6" t="str">
        <f>IFERROR(INDEX(RBmatchups[Projection],MATCH(rbproj[Name],RBmatchups[Name],0)),"")</f>
        <v/>
      </c>
      <c r="G68" s="135" t="s">
        <v>207</v>
      </c>
      <c r="H68" s="6">
        <f>IFERROR(INDEX(WRmatchups[Projection],MATCH(wrproj[Name],WRmatchups[Name],0)),"")</f>
        <v>10.621600000000001</v>
      </c>
      <c r="J68" s="101" t="s">
        <v>554</v>
      </c>
      <c r="K68" s="6" t="str">
        <f>IFERROR(INDEX(TEmatchups[Projection],MATCH(teproj[Name],TEmatchups[Name],0)),"")</f>
        <v/>
      </c>
      <c r="Q68" s="135" t="s">
        <v>99</v>
      </c>
      <c r="R68" s="28">
        <f>IFERROR(INDEX(RBmatchups[Projection],MATCH(Table66[Name],RBmatchups[Name],0)),"")</f>
        <v>9.4296000000000006</v>
      </c>
    </row>
    <row r="69" spans="1:18" x14ac:dyDescent="0.3">
      <c r="D69" s="135" t="s">
        <v>118</v>
      </c>
      <c r="E69" s="6">
        <f>IFERROR(INDEX(RBmatchups[Projection],MATCH(rbproj[Name],RBmatchups[Name],0)),"")</f>
        <v>3.5279000000000003</v>
      </c>
      <c r="G69" s="135" t="s">
        <v>292</v>
      </c>
      <c r="H69" s="6">
        <f>IFERROR(INDEX(WRmatchups[Projection],MATCH(wrproj[Name],WRmatchups[Name],0)),"")</f>
        <v>7.8191000000000006</v>
      </c>
      <c r="J69" s="101" t="s">
        <v>360</v>
      </c>
      <c r="K69" s="6">
        <f>IFERROR(INDEX(TEmatchups[Projection],MATCH(teproj[Name],TEmatchups[Name],0)),"")</f>
        <v>1.3160499999999999</v>
      </c>
      <c r="Q69" s="135" t="s">
        <v>150</v>
      </c>
      <c r="R69" s="28">
        <f>IFERROR(INDEX(RBmatchups[Projection],MATCH(Table66[Name],RBmatchups[Name],0)),"")</f>
        <v>9.2946666666666662</v>
      </c>
    </row>
    <row r="70" spans="1:18" x14ac:dyDescent="0.3">
      <c r="D70" s="135" t="s">
        <v>156</v>
      </c>
      <c r="E70" s="6">
        <f>IFERROR(INDEX(RBmatchups[Projection],MATCH(rbproj[Name],RBmatchups[Name],0)),"")</f>
        <v>3.9474999999999998</v>
      </c>
      <c r="G70" s="135" t="s">
        <v>243</v>
      </c>
      <c r="H70" s="6">
        <f>IFERROR(INDEX(WRmatchups[Projection],MATCH(wrproj[Name],WRmatchups[Name],0)),"")</f>
        <v>10.093666666666667</v>
      </c>
      <c r="J70" s="101" t="s">
        <v>547</v>
      </c>
      <c r="K70" s="6">
        <f>IFERROR(INDEX(TEmatchups[Projection],MATCH(teproj[Name],TEmatchups[Name],0)),"")</f>
        <v>0.86280000000000001</v>
      </c>
      <c r="Q70" s="135" t="s">
        <v>161</v>
      </c>
      <c r="R70" s="28">
        <f>IFERROR(INDEX(RBmatchups[Projection],MATCH(Table66[Name],RBmatchups[Name],0)),"")</f>
        <v>9.2407666666666657</v>
      </c>
    </row>
    <row r="71" spans="1:18" x14ac:dyDescent="0.3">
      <c r="D71" s="135" t="s">
        <v>155</v>
      </c>
      <c r="E71" s="6">
        <f>IFERROR(INDEX(RBmatchups[Projection],MATCH(rbproj[Name],RBmatchups[Name],0)),"")</f>
        <v>2.6657999999999999</v>
      </c>
      <c r="G71" s="135" t="s">
        <v>256</v>
      </c>
      <c r="H71" s="6">
        <f>IFERROR(INDEX(WRmatchups[Projection],MATCH(wrproj[Name],WRmatchups[Name],0)),"")</f>
        <v>8.1869333333333323</v>
      </c>
      <c r="J71" s="101" t="s">
        <v>98</v>
      </c>
      <c r="K71" s="6">
        <f>IFERROR(INDEX(TEmatchups[Projection],MATCH(teproj[Name],TEmatchups[Name],0)),"")</f>
        <v>1.0671000000000002</v>
      </c>
      <c r="Q71" s="135" t="s">
        <v>149</v>
      </c>
      <c r="R71" s="28">
        <f>IFERROR(INDEX(RBmatchups[Projection],MATCH(Table66[Name],RBmatchups[Name],0)),"")</f>
        <v>8.2827333333333328</v>
      </c>
    </row>
    <row r="72" spans="1:18" x14ac:dyDescent="0.3">
      <c r="D72" s="135" t="s">
        <v>502</v>
      </c>
      <c r="E72" s="6">
        <f>IFERROR(INDEX(RBmatchups[Projection],MATCH(rbproj[Name],RBmatchups[Name],0)),"")</f>
        <v>2.5109333333333339</v>
      </c>
      <c r="G72" s="135" t="s">
        <v>410</v>
      </c>
      <c r="H72" s="6">
        <f>IFERROR(INDEX(WRmatchups[Projection],MATCH(wrproj[Name],WRmatchups[Name],0)),"")</f>
        <v>8.947633333333334</v>
      </c>
      <c r="J72" s="101" t="s">
        <v>543</v>
      </c>
      <c r="K72" s="6">
        <f>IFERROR(INDEX(TEmatchups[Projection],MATCH(teproj[Name],TEmatchups[Name],0)),"")</f>
        <v>0.8769499999999999</v>
      </c>
      <c r="Q72" s="135" t="s">
        <v>100</v>
      </c>
      <c r="R72" s="28" t="str">
        <f>IFERROR(INDEX(RBmatchups[Projection],MATCH(Table66[Name],RBmatchups[Name],0)),"")</f>
        <v/>
      </c>
    </row>
    <row r="73" spans="1:18" x14ac:dyDescent="0.3">
      <c r="D73" s="135" t="s">
        <v>466</v>
      </c>
      <c r="E73" s="6">
        <f>IFERROR(INDEX(RBmatchups[Projection],MATCH(rbproj[Name],RBmatchups[Name],0)),"")</f>
        <v>4.8096333333333332</v>
      </c>
      <c r="G73" s="135" t="s">
        <v>239</v>
      </c>
      <c r="H73" s="6">
        <f>IFERROR(INDEX(WRmatchups[Projection],MATCH(wrproj[Name],WRmatchups[Name],0)),"")</f>
        <v>8.0688666666666666</v>
      </c>
      <c r="J73" s="101" t="e">
        <v>#REF!</v>
      </c>
      <c r="K73" s="6" t="str">
        <f>IFERROR(INDEX(TEmatchups[Projection],MATCH(teproj[Name],TEmatchups[Name],0)),"")</f>
        <v/>
      </c>
      <c r="Q73" s="135" t="s">
        <v>516</v>
      </c>
      <c r="R73" s="28">
        <f>IFERROR(INDEX(RBmatchups[Projection],MATCH(Table66[Name],RBmatchups[Name],0)),"")</f>
        <v>8.5944000000000003</v>
      </c>
    </row>
    <row r="74" spans="1:18" x14ac:dyDescent="0.3">
      <c r="D74" s="135" t="s">
        <v>159</v>
      </c>
      <c r="E74" s="6" t="str">
        <f>IFERROR(INDEX(RBmatchups[Projection],MATCH(rbproj[Name],RBmatchups[Name],0)),"")</f>
        <v/>
      </c>
      <c r="G74" s="135" t="s">
        <v>462</v>
      </c>
      <c r="H74" s="6">
        <f>IFERROR(INDEX(WRmatchups[Projection],MATCH(wrproj[Name],WRmatchups[Name],0)),"")</f>
        <v>6.594966666666668</v>
      </c>
      <c r="J74" s="101" t="e">
        <v>#REF!</v>
      </c>
      <c r="K74" s="6" t="str">
        <f>IFERROR(INDEX(TEmatchups[Projection],MATCH(teproj[Name],TEmatchups[Name],0)),"")</f>
        <v/>
      </c>
      <c r="Q74" s="135" t="s">
        <v>120</v>
      </c>
      <c r="R74" s="28">
        <f>IFERROR(INDEX(RBmatchups[Projection],MATCH(Table66[Name],RBmatchups[Name],0)),"")</f>
        <v>11.413033333333333</v>
      </c>
    </row>
    <row r="75" spans="1:18" x14ac:dyDescent="0.3">
      <c r="D75" s="135" t="s">
        <v>165</v>
      </c>
      <c r="E75" s="6">
        <f>IFERROR(INDEX(RBmatchups[Projection],MATCH(rbproj[Name],RBmatchups[Name],0)),"")</f>
        <v>1.6093</v>
      </c>
      <c r="G75" s="135" t="s">
        <v>254</v>
      </c>
      <c r="H75" s="6">
        <f>IFERROR(INDEX(WRmatchups[Projection],MATCH(wrproj[Name],WRmatchups[Name],0)),"")</f>
        <v>4.5053666666666663</v>
      </c>
      <c r="J75" s="101" t="e">
        <v>#REF!</v>
      </c>
      <c r="K75" s="6" t="str">
        <f>IFERROR(INDEX(TEmatchups[Projection],MATCH(teproj[Name],TEmatchups[Name],0)),"")</f>
        <v/>
      </c>
      <c r="Q75" s="135" t="s">
        <v>141</v>
      </c>
      <c r="R75" s="28">
        <f>IFERROR(INDEX(RBmatchups[Projection],MATCH(Table66[Name],RBmatchups[Name],0)),"")</f>
        <v>7.436066666666667</v>
      </c>
    </row>
    <row r="76" spans="1:18" x14ac:dyDescent="0.3">
      <c r="D76" s="135" t="s">
        <v>460</v>
      </c>
      <c r="E76" s="6" t="str">
        <f>IFERROR(INDEX(RBmatchups[Projection],MATCH(rbproj[Name],RBmatchups[Name],0)),"")</f>
        <v/>
      </c>
      <c r="G76" s="135" t="s">
        <v>231</v>
      </c>
      <c r="H76" s="6">
        <f>IFERROR(INDEX(WRmatchups[Projection],MATCH(wrproj[Name],WRmatchups[Name],0)),"")</f>
        <v>8.1695666666666682</v>
      </c>
      <c r="J76" s="101" t="e">
        <v>#REF!</v>
      </c>
      <c r="K76" s="6" t="str">
        <f>IFERROR(INDEX(TEmatchups[Projection],MATCH(teproj[Name],TEmatchups[Name],0)),"")</f>
        <v/>
      </c>
      <c r="Q76" s="135" t="s">
        <v>126</v>
      </c>
      <c r="R76" s="28" t="str">
        <f>IFERROR(INDEX(RBmatchups[Projection],MATCH(Table66[Name],RBmatchups[Name],0)),"")</f>
        <v/>
      </c>
    </row>
    <row r="77" spans="1:18" x14ac:dyDescent="0.3">
      <c r="D77" s="135" t="s">
        <v>134</v>
      </c>
      <c r="E77" s="6">
        <f>IFERROR(INDEX(RBmatchups[Projection],MATCH(rbproj[Name],RBmatchups[Name],0)),"")</f>
        <v>4.1347499999999995</v>
      </c>
      <c r="G77" s="135" t="s">
        <v>474</v>
      </c>
      <c r="H77" s="6">
        <f>IFERROR(INDEX(WRmatchups[Projection],MATCH(wrproj[Name],WRmatchups[Name],0)),"")</f>
        <v>5.4580500000000001</v>
      </c>
      <c r="J77" s="101" t="e">
        <v>#REF!</v>
      </c>
      <c r="K77" s="6" t="str">
        <f>IFERROR(INDEX(TEmatchups[Projection],MATCH(teproj[Name],TEmatchups[Name],0)),"")</f>
        <v/>
      </c>
      <c r="Q77" s="135" t="s">
        <v>171</v>
      </c>
      <c r="R77" s="28">
        <f>IFERROR(INDEX(RBmatchups[Projection],MATCH(Table66[Name],RBmatchups[Name],0)),"")</f>
        <v>4.0844000000000005</v>
      </c>
    </row>
    <row r="78" spans="1:18" x14ac:dyDescent="0.3">
      <c r="D78" s="135" t="s">
        <v>169</v>
      </c>
      <c r="E78" s="6">
        <f>IFERROR(INDEX(RBmatchups[Projection],MATCH(rbproj[Name],RBmatchups[Name],0)),"")</f>
        <v>0.66314999999999991</v>
      </c>
      <c r="G78" s="135" t="s">
        <v>276</v>
      </c>
      <c r="H78" s="6">
        <f>IFERROR(INDEX(WRmatchups[Projection],MATCH(wrproj[Name],WRmatchups[Name],0)),"")</f>
        <v>6.5938333333333334</v>
      </c>
      <c r="J78" s="101" t="e">
        <v>#REF!</v>
      </c>
      <c r="K78" s="6" t="str">
        <f>IFERROR(INDEX(TEmatchups[Projection],MATCH(teproj[Name],TEmatchups[Name],0)),"")</f>
        <v/>
      </c>
      <c r="Q78" s="135" t="s">
        <v>520</v>
      </c>
      <c r="R78" s="28">
        <f>IFERROR(INDEX(RBmatchups[Projection],MATCH(Table66[Name],RBmatchups[Name],0)),"")</f>
        <v>9.7207333333333352</v>
      </c>
    </row>
    <row r="79" spans="1:18" x14ac:dyDescent="0.3">
      <c r="D79" s="135" t="s">
        <v>492</v>
      </c>
      <c r="E79" s="6">
        <f>IFERROR(INDEX(RBmatchups[Projection],MATCH(rbproj[Name],RBmatchups[Name],0)),"")</f>
        <v>0.75420000000000009</v>
      </c>
      <c r="G79" s="135" t="s">
        <v>270</v>
      </c>
      <c r="H79" s="6">
        <f>IFERROR(INDEX(WRmatchups[Projection],MATCH(wrproj[Name],WRmatchups[Name],0)),"")</f>
        <v>6.776466666666666</v>
      </c>
      <c r="J79" s="101" t="e">
        <v>#REF!</v>
      </c>
      <c r="K79" s="6" t="str">
        <f>IFERROR(INDEX(TEmatchups[Projection],MATCH(teproj[Name],TEmatchups[Name],0)),"")</f>
        <v/>
      </c>
      <c r="Q79" s="135" t="s">
        <v>97</v>
      </c>
      <c r="R79" s="28">
        <f>IFERROR(INDEX(RBmatchups[Projection],MATCH(Table66[Name],RBmatchups[Name],0)),"")</f>
        <v>4.5388333333333337</v>
      </c>
    </row>
    <row r="80" spans="1:18" x14ac:dyDescent="0.3">
      <c r="D80" s="135" t="s">
        <v>153</v>
      </c>
      <c r="E80" s="6">
        <f>IFERROR(INDEX(RBmatchups[Projection],MATCH(rbproj[Name],RBmatchups[Name],0)),"")</f>
        <v>7.5248999999999997</v>
      </c>
      <c r="G80" s="135" t="s">
        <v>245</v>
      </c>
      <c r="H80" s="6">
        <f>IFERROR(INDEX(WRmatchups[Projection],MATCH(wrproj[Name],WRmatchups[Name],0)),"")</f>
        <v>6.1310333333333329</v>
      </c>
      <c r="J80" s="101" t="e">
        <v>#REF!</v>
      </c>
      <c r="K80" s="6" t="str">
        <f>IFERROR(INDEX(TEmatchups[Projection],MATCH(teproj[Name],TEmatchups[Name],0)),"")</f>
        <v/>
      </c>
      <c r="Q80" s="135" t="s">
        <v>137</v>
      </c>
      <c r="R80" s="28">
        <f>IFERROR(INDEX(RBmatchups[Projection],MATCH(Table66[Name],RBmatchups[Name],0)),"")</f>
        <v>9.326666666666668</v>
      </c>
    </row>
    <row r="81" spans="4:18" x14ac:dyDescent="0.3">
      <c r="D81" s="135" t="s">
        <v>1246</v>
      </c>
      <c r="E81" s="6">
        <f>IFERROR(INDEX(RBmatchups[Projection],MATCH(rbproj[Name],RBmatchups[Name],0)),"")</f>
        <v>1.2345500000000003</v>
      </c>
      <c r="G81" s="135" t="s">
        <v>220</v>
      </c>
      <c r="H81" s="6">
        <f>IFERROR(INDEX(WRmatchups[Projection],MATCH(wrproj[Name],WRmatchups[Name],0)),"")</f>
        <v>9.7402666666666669</v>
      </c>
      <c r="J81" s="101">
        <v>0</v>
      </c>
      <c r="K81" s="6" t="str">
        <f>IFERROR(INDEX(TEmatchups[Projection],MATCH(teproj[Name],TEmatchups[Name],0)),"")</f>
        <v/>
      </c>
      <c r="Q81" s="135" t="s">
        <v>458</v>
      </c>
      <c r="R81" s="28" t="str">
        <f>IFERROR(INDEX(RBmatchups[Projection],MATCH(Table66[Name],RBmatchups[Name],0)),"")</f>
        <v/>
      </c>
    </row>
    <row r="82" spans="4:18" x14ac:dyDescent="0.3">
      <c r="D82" s="135" t="s">
        <v>108</v>
      </c>
      <c r="E82" s="6">
        <f>IFERROR(INDEX(RBmatchups[Projection],MATCH(rbproj[Name],RBmatchups[Name],0)),"")</f>
        <v>3.167533333333334</v>
      </c>
      <c r="G82" s="135" t="s">
        <v>465</v>
      </c>
      <c r="H82" s="6">
        <f>IFERROR(INDEX(WRmatchups[Projection],MATCH(wrproj[Name],WRmatchups[Name],0)),"")</f>
        <v>7.9619</v>
      </c>
      <c r="J82" s="101">
        <v>0</v>
      </c>
      <c r="K82" s="6" t="str">
        <f>IFERROR(INDEX(TEmatchups[Projection],MATCH(teproj[Name],TEmatchups[Name],0)),"")</f>
        <v/>
      </c>
      <c r="Q82" s="135" t="s">
        <v>117</v>
      </c>
      <c r="R82" s="28">
        <f>IFERROR(INDEX(RBmatchups[Projection],MATCH(Table66[Name],RBmatchups[Name],0)),"")</f>
        <v>3.8882000000000003</v>
      </c>
    </row>
    <row r="83" spans="4:18" x14ac:dyDescent="0.3">
      <c r="D83" s="135" t="s">
        <v>1523</v>
      </c>
      <c r="E83" s="6">
        <f>IFERROR(INDEX(RBmatchups[Projection],MATCH(rbproj[Name],RBmatchups[Name],0)),"")</f>
        <v>0.90285000000000004</v>
      </c>
      <c r="G83" s="135" t="s">
        <v>301</v>
      </c>
      <c r="H83" s="6">
        <f>IFERROR(INDEX(WRmatchups[Projection],MATCH(wrproj[Name],WRmatchups[Name],0)),"")</f>
        <v>4.5621</v>
      </c>
      <c r="J83" s="101">
        <v>0</v>
      </c>
      <c r="K83" s="6" t="str">
        <f>IFERROR(INDEX(TEmatchups[Projection],MATCH(teproj[Name],TEmatchups[Name],0)),"")</f>
        <v/>
      </c>
      <c r="Q83" s="135" t="s">
        <v>162</v>
      </c>
      <c r="R83" s="28">
        <f>IFERROR(INDEX(RBmatchups[Projection],MATCH(Table66[Name],RBmatchups[Name],0)),"")</f>
        <v>8.2534666666666663</v>
      </c>
    </row>
    <row r="84" spans="4:18" x14ac:dyDescent="0.3">
      <c r="D84" s="135" t="s">
        <v>154</v>
      </c>
      <c r="E84" s="6">
        <f>IFERROR(INDEX(RBmatchups[Projection],MATCH(rbproj[Name],RBmatchups[Name],0)),"")</f>
        <v>0.83610000000000007</v>
      </c>
      <c r="G84" s="135" t="s">
        <v>285</v>
      </c>
      <c r="H84" s="6">
        <f>IFERROR(INDEX(WRmatchups[Projection],MATCH(wrproj[Name],WRmatchups[Name],0)),"")</f>
        <v>6.1131000000000011</v>
      </c>
      <c r="J84" s="101">
        <v>0</v>
      </c>
      <c r="K84" s="6" t="str">
        <f>IFERROR(INDEX(TEmatchups[Projection],MATCH(teproj[Name],TEmatchups[Name],0)),"")</f>
        <v/>
      </c>
      <c r="Q84" s="135" t="s">
        <v>148</v>
      </c>
      <c r="R84" s="28">
        <f>IFERROR(INDEX(RBmatchups[Projection],MATCH(Table66[Name],RBmatchups[Name],0)),"")</f>
        <v>4.4879333333333342</v>
      </c>
    </row>
    <row r="85" spans="4:18" x14ac:dyDescent="0.3">
      <c r="D85" s="135" t="s">
        <v>400</v>
      </c>
      <c r="E85" s="6" t="str">
        <f>IFERROR(INDEX(RBmatchups[Projection],MATCH(rbproj[Name],RBmatchups[Name],0)),"")</f>
        <v/>
      </c>
      <c r="G85" s="135" t="s">
        <v>222</v>
      </c>
      <c r="H85" s="6">
        <f>IFERROR(INDEX(WRmatchups[Projection],MATCH(wrproj[Name],WRmatchups[Name],0)),"")</f>
        <v>7.1905333333333346</v>
      </c>
      <c r="Q85" s="135" t="s">
        <v>152</v>
      </c>
      <c r="R85" s="28">
        <f>IFERROR(INDEX(RBmatchups[Projection],MATCH(Table66[Name],RBmatchups[Name],0)),"")</f>
        <v>6.1553333333333331</v>
      </c>
    </row>
    <row r="86" spans="4:18" x14ac:dyDescent="0.3">
      <c r="D86" s="135" t="s">
        <v>163</v>
      </c>
      <c r="E86" s="6">
        <f>IFERROR(INDEX(RBmatchups[Projection],MATCH(rbproj[Name],RBmatchups[Name],0)),"")</f>
        <v>0.88525000000000009</v>
      </c>
      <c r="G86" s="135" t="s">
        <v>291</v>
      </c>
      <c r="H86" s="6">
        <f>IFERROR(INDEX(WRmatchups[Projection],MATCH(wrproj[Name],WRmatchups[Name],0)),"")</f>
        <v>4.4222000000000001</v>
      </c>
      <c r="Q86" s="135" t="s">
        <v>105</v>
      </c>
      <c r="R86" s="28" t="str">
        <f>IFERROR(INDEX(RBmatchups[Projection],MATCH(Table66[Name],RBmatchups[Name],0)),"")</f>
        <v/>
      </c>
    </row>
    <row r="87" spans="4:18" x14ac:dyDescent="0.3">
      <c r="D87" s="135" t="s">
        <v>167</v>
      </c>
      <c r="E87" s="6">
        <f>IFERROR(INDEX(RBmatchups[Projection],MATCH(rbproj[Name],RBmatchups[Name],0)),"")</f>
        <v>2.2976000000000001</v>
      </c>
      <c r="G87" s="135" t="s">
        <v>247</v>
      </c>
      <c r="H87" s="6" t="str">
        <f>IFERROR(INDEX(WRmatchups[Projection],MATCH(wrproj[Name],WRmatchups[Name],0)),"")</f>
        <v/>
      </c>
      <c r="Q87" s="135" t="s">
        <v>132</v>
      </c>
      <c r="R87" s="28" t="str">
        <f>IFERROR(INDEX(RBmatchups[Projection],MATCH(Table66[Name],RBmatchups[Name],0)),"")</f>
        <v/>
      </c>
    </row>
    <row r="88" spans="4:18" x14ac:dyDescent="0.3">
      <c r="D88" s="135" t="s">
        <v>142</v>
      </c>
      <c r="E88" s="6">
        <f>IFERROR(INDEX(RBmatchups[Projection],MATCH(rbproj[Name],RBmatchups[Name],0)),"")</f>
        <v>3.5469999999999997</v>
      </c>
      <c r="G88" s="135" t="s">
        <v>306</v>
      </c>
      <c r="H88" s="6">
        <f>IFERROR(INDEX(WRmatchups[Projection],MATCH(wrproj[Name],WRmatchups[Name],0)),"")</f>
        <v>6.5324333333333335</v>
      </c>
      <c r="Q88" s="135" t="s">
        <v>764</v>
      </c>
      <c r="R88" s="28">
        <f>IFERROR(INDEX(RBmatchups[Projection],MATCH(Table66[Name],RBmatchups[Name],0)),"")</f>
        <v>5.3167333333333344</v>
      </c>
    </row>
    <row r="89" spans="4:18" x14ac:dyDescent="0.3">
      <c r="D89" s="135" t="s">
        <v>1245</v>
      </c>
      <c r="E89" s="6">
        <f>IFERROR(INDEX(RBmatchups[Projection],MATCH(rbproj[Name],RBmatchups[Name],0)),"")</f>
        <v>1.56745</v>
      </c>
      <c r="G89" s="135" t="s">
        <v>221</v>
      </c>
      <c r="H89" s="6">
        <f>IFERROR(INDEX(WRmatchups[Projection],MATCH(wrproj[Name],WRmatchups[Name],0)),"")</f>
        <v>3.5394333333333332</v>
      </c>
      <c r="Q89" s="135" t="s">
        <v>133</v>
      </c>
      <c r="R89" s="28" t="str">
        <f>IFERROR(INDEX(RBmatchups[Projection],MATCH(Table66[Name],RBmatchups[Name],0)),"")</f>
        <v/>
      </c>
    </row>
    <row r="90" spans="4:18" x14ac:dyDescent="0.3">
      <c r="D90" s="135" t="s">
        <v>168</v>
      </c>
      <c r="E90" s="6" t="str">
        <f>IFERROR(INDEX(RBmatchups[Projection],MATCH(rbproj[Name],RBmatchups[Name],0)),"")</f>
        <v/>
      </c>
      <c r="G90" s="135" t="s">
        <v>278</v>
      </c>
      <c r="H90" s="6">
        <f>IFERROR(INDEX(WRmatchups[Projection],MATCH(wrproj[Name],WRmatchups[Name],0)),"")</f>
        <v>7.2414000000000005</v>
      </c>
      <c r="Q90" s="135" t="s">
        <v>131</v>
      </c>
      <c r="R90" s="28">
        <f>IFERROR(INDEX(RBmatchups[Projection],MATCH(Table66[Name],RBmatchups[Name],0)),"")</f>
        <v>6.1787666666666672</v>
      </c>
    </row>
    <row r="91" spans="4:18" x14ac:dyDescent="0.3">
      <c r="D91" s="135" t="s">
        <v>494</v>
      </c>
      <c r="E91" s="6">
        <f>IFERROR(INDEX(RBmatchups[Projection],MATCH(rbproj[Name],RBmatchups[Name],0)),"")</f>
        <v>0.43470000000000003</v>
      </c>
      <c r="G91" s="135" t="s">
        <v>293</v>
      </c>
      <c r="H91" s="6">
        <f>IFERROR(INDEX(WRmatchups[Projection],MATCH(wrproj[Name],WRmatchups[Name],0)),"")</f>
        <v>4.2088000000000001</v>
      </c>
      <c r="Q91" s="135" t="s">
        <v>512</v>
      </c>
      <c r="R91" s="28">
        <f>IFERROR(INDEX(RBmatchups[Projection],MATCH(Table66[Name],RBmatchups[Name],0)),"")</f>
        <v>4.6230000000000002</v>
      </c>
    </row>
    <row r="92" spans="4:18" x14ac:dyDescent="0.3">
      <c r="D92" s="135" t="s">
        <v>157</v>
      </c>
      <c r="E92" s="6">
        <f>IFERROR(INDEX(RBmatchups[Projection],MATCH(rbproj[Name],RBmatchups[Name],0)),"")</f>
        <v>0.35034999999999999</v>
      </c>
      <c r="G92" s="135" t="s">
        <v>249</v>
      </c>
      <c r="H92" s="6">
        <f>IFERROR(INDEX(WRmatchups[Projection],MATCH(wrproj[Name],WRmatchups[Name],0)),"")</f>
        <v>7.8642666666666674</v>
      </c>
      <c r="Q92" s="135" t="s">
        <v>461</v>
      </c>
      <c r="R92" s="28">
        <f>IFERROR(INDEX(RBmatchups[Projection],MATCH(Table66[Name],RBmatchups[Name],0)),"")</f>
        <v>4.7784333333333331</v>
      </c>
    </row>
    <row r="93" spans="4:18" x14ac:dyDescent="0.3">
      <c r="D93" s="135" t="s">
        <v>1556</v>
      </c>
      <c r="E93" s="6">
        <f>IFERROR(INDEX(RBmatchups[Projection],MATCH(rbproj[Name],RBmatchups[Name],0)),"")</f>
        <v>0.94579999999999997</v>
      </c>
      <c r="G93" s="135" t="s">
        <v>408</v>
      </c>
      <c r="H93" s="6">
        <f>IFERROR(INDEX(WRmatchups[Projection],MATCH(wrproj[Name],WRmatchups[Name],0)),"")</f>
        <v>2.3890000000000002</v>
      </c>
      <c r="Q93" s="135" t="s">
        <v>138</v>
      </c>
      <c r="R93" s="28">
        <f>IFERROR(INDEX(RBmatchups[Projection],MATCH(Table66[Name],RBmatchups[Name],0)),"")</f>
        <v>4.3145000000000007</v>
      </c>
    </row>
    <row r="94" spans="4:18" x14ac:dyDescent="0.3">
      <c r="D94" s="135" t="s">
        <v>508</v>
      </c>
      <c r="E94" s="6">
        <f>IFERROR(INDEX(RBmatchups[Projection],MATCH(rbproj[Name],RBmatchups[Name],0)),"")</f>
        <v>1.0218500000000001</v>
      </c>
      <c r="G94" s="135" t="s">
        <v>268</v>
      </c>
      <c r="H94" s="6">
        <f>IFERROR(INDEX(WRmatchups[Projection],MATCH(wrproj[Name],WRmatchups[Name],0)),"")</f>
        <v>3.1480333333333337</v>
      </c>
      <c r="Q94" s="135" t="s">
        <v>151</v>
      </c>
      <c r="R94" s="28" t="str">
        <f>IFERROR(INDEX(RBmatchups[Projection],MATCH(Table66[Name],RBmatchups[Name],0)),"")</f>
        <v/>
      </c>
    </row>
    <row r="95" spans="4:18" x14ac:dyDescent="0.3">
      <c r="D95" s="135" t="s">
        <v>1555</v>
      </c>
      <c r="E95" s="6">
        <f>IFERROR(INDEX(RBmatchups[Projection],MATCH(rbproj[Name],RBmatchups[Name],0)),"")</f>
        <v>0.54035000000000011</v>
      </c>
      <c r="G95" s="135" t="s">
        <v>767</v>
      </c>
      <c r="H95" s="6" t="str">
        <f>IFERROR(INDEX(WRmatchups[Projection],MATCH(wrproj[Name],WRmatchups[Name],0)),"")</f>
        <v/>
      </c>
      <c r="Q95" s="135" t="s">
        <v>103</v>
      </c>
      <c r="R95" s="28">
        <f>IFERROR(INDEX(RBmatchups[Projection],MATCH(Table66[Name],RBmatchups[Name],0)),"")</f>
        <v>3.8248333333333333</v>
      </c>
    </row>
    <row r="96" spans="4:18" x14ac:dyDescent="0.3">
      <c r="D96" s="135" t="s">
        <v>182</v>
      </c>
      <c r="E96" s="6">
        <f>IFERROR(INDEX(RBmatchups[Projection],MATCH(rbproj[Name],RBmatchups[Name],0)),"")</f>
        <v>0.64549999999999996</v>
      </c>
      <c r="G96" s="135" t="s">
        <v>228</v>
      </c>
      <c r="H96" s="6">
        <f>IFERROR(INDEX(WRmatchups[Projection],MATCH(wrproj[Name],WRmatchups[Name],0)),"")</f>
        <v>5.3097333333333339</v>
      </c>
      <c r="Q96" s="135" t="s">
        <v>124</v>
      </c>
      <c r="R96" s="28">
        <f>IFERROR(INDEX(RBmatchups[Projection],MATCH(Table66[Name],RBmatchups[Name],0)),"")</f>
        <v>5.2396666666666674</v>
      </c>
    </row>
    <row r="97" spans="4:18" x14ac:dyDescent="0.3">
      <c r="D97" s="135" t="s">
        <v>136</v>
      </c>
      <c r="E97" s="6" t="str">
        <f>IFERROR(INDEX(RBmatchups[Projection],MATCH(rbproj[Name],RBmatchups[Name],0)),"")</f>
        <v/>
      </c>
      <c r="G97" s="135" t="s">
        <v>230</v>
      </c>
      <c r="H97" s="6" t="str">
        <f>IFERROR(INDEX(WRmatchups[Projection],MATCH(wrproj[Name],WRmatchups[Name],0)),"")</f>
        <v/>
      </c>
      <c r="Q97" s="135" t="s">
        <v>130</v>
      </c>
      <c r="R97" s="28">
        <f>IFERROR(INDEX(RBmatchups[Projection],MATCH(Table66[Name],RBmatchups[Name],0)),"")</f>
        <v>2.7729500000000002</v>
      </c>
    </row>
    <row r="98" spans="4:18" x14ac:dyDescent="0.3">
      <c r="D98" s="135" t="s">
        <v>140</v>
      </c>
      <c r="E98" s="6">
        <f>IFERROR(INDEX(RBmatchups[Projection],MATCH(rbproj[Name],RBmatchups[Name],0)),"")</f>
        <v>1.2330500000000002</v>
      </c>
      <c r="G98" s="135" t="s">
        <v>498</v>
      </c>
      <c r="H98" s="6">
        <f>IFERROR(INDEX(WRmatchups[Projection],MATCH(wrproj[Name],WRmatchups[Name],0)),"")</f>
        <v>1.5488500000000001</v>
      </c>
      <c r="Q98" s="135" t="s">
        <v>1519</v>
      </c>
      <c r="R98" s="28">
        <f>IFERROR(INDEX(RBmatchups[Projection],MATCH(Table66[Name],RBmatchups[Name],0)),"")</f>
        <v>4.7763000000000009</v>
      </c>
    </row>
    <row r="99" spans="4:18" x14ac:dyDescent="0.3">
      <c r="D99" s="135" t="s">
        <v>522</v>
      </c>
      <c r="E99" s="6" t="str">
        <f>IFERROR(INDEX(RBmatchups[Projection],MATCH(rbproj[Name],RBmatchups[Name],0)),"")</f>
        <v/>
      </c>
      <c r="G99" s="135" t="s">
        <v>267</v>
      </c>
      <c r="H99" s="6">
        <f>IFERROR(INDEX(WRmatchups[Projection],MATCH(wrproj[Name],WRmatchups[Name],0)),"")</f>
        <v>2.7519</v>
      </c>
      <c r="Q99" s="135" t="s">
        <v>464</v>
      </c>
      <c r="R99" s="28">
        <f>IFERROR(INDEX(RBmatchups[Projection],MATCH(Table66[Name],RBmatchups[Name],0)),"")</f>
        <v>14.941833333333332</v>
      </c>
    </row>
    <row r="100" spans="4:18" x14ac:dyDescent="0.3">
      <c r="D100" s="135" t="s">
        <v>160</v>
      </c>
      <c r="E100" s="6">
        <f>IFERROR(INDEX(RBmatchups[Projection],MATCH(rbproj[Name],RBmatchups[Name],0)),"")</f>
        <v>0.1668</v>
      </c>
      <c r="G100" s="135" t="s">
        <v>257</v>
      </c>
      <c r="H100" s="6">
        <f>IFERROR(INDEX(WRmatchups[Projection],MATCH(wrproj[Name],WRmatchups[Name],0)),"")</f>
        <v>6.4909999999999997</v>
      </c>
      <c r="Q100" s="135" t="s">
        <v>164</v>
      </c>
      <c r="R100" s="28" t="str">
        <f>IFERROR(INDEX(RBmatchups[Projection],MATCH(Table66[Name],RBmatchups[Name],0)),"")</f>
        <v/>
      </c>
    </row>
    <row r="101" spans="4:18" x14ac:dyDescent="0.3">
      <c r="D101" s="135" t="s">
        <v>178</v>
      </c>
      <c r="E101" s="6" t="str">
        <f>IFERROR(INDEX(RBmatchups[Projection],MATCH(rbproj[Name],RBmatchups[Name],0)),"")</f>
        <v/>
      </c>
      <c r="G101" s="135" t="s">
        <v>274</v>
      </c>
      <c r="H101" s="6" t="str">
        <f>IFERROR(INDEX(WRmatchups[Projection],MATCH(wrproj[Name],WRmatchups[Name],0)),"")</f>
        <v/>
      </c>
      <c r="Q101" s="135" t="s">
        <v>118</v>
      </c>
      <c r="R101" s="28">
        <f>IFERROR(INDEX(RBmatchups[Projection],MATCH(Table66[Name],RBmatchups[Name],0)),"")</f>
        <v>3.5279000000000003</v>
      </c>
    </row>
    <row r="102" spans="4:18" x14ac:dyDescent="0.3">
      <c r="D102" s="135">
        <v>0</v>
      </c>
      <c r="E102" s="6" t="str">
        <f>IFERROR(INDEX(RBmatchups[Projection],MATCH(rbproj[Name],RBmatchups[Name],0)),"")</f>
        <v/>
      </c>
      <c r="G102" s="135" t="s">
        <v>246</v>
      </c>
      <c r="H102" s="6">
        <f>IFERROR(INDEX(WRmatchups[Projection],MATCH(wrproj[Name],WRmatchups[Name],0)),"")</f>
        <v>5.6049000000000007</v>
      </c>
      <c r="Q102" s="135" t="s">
        <v>156</v>
      </c>
      <c r="R102" s="28">
        <f>IFERROR(INDEX(RBmatchups[Projection],MATCH(Table66[Name],RBmatchups[Name],0)),"")</f>
        <v>3.9474999999999998</v>
      </c>
    </row>
    <row r="103" spans="4:18" x14ac:dyDescent="0.3">
      <c r="D103" s="135">
        <v>0</v>
      </c>
      <c r="E103" s="6" t="str">
        <f>IFERROR(INDEX(RBmatchups[Projection],MATCH(rbproj[Name],RBmatchups[Name],0)),"")</f>
        <v/>
      </c>
      <c r="G103" s="135" t="s">
        <v>518</v>
      </c>
      <c r="H103" s="6">
        <f>IFERROR(INDEX(WRmatchups[Projection],MATCH(wrproj[Name],WRmatchups[Name],0)),"")</f>
        <v>4.3422499999999999</v>
      </c>
      <c r="Q103" s="135" t="s">
        <v>155</v>
      </c>
      <c r="R103" s="28">
        <f>IFERROR(INDEX(RBmatchups[Projection],MATCH(Table66[Name],RBmatchups[Name],0)),"")</f>
        <v>2.6657999999999999</v>
      </c>
    </row>
    <row r="104" spans="4:18" x14ac:dyDescent="0.3">
      <c r="D104" s="135">
        <v>0</v>
      </c>
      <c r="E104" s="6" t="str">
        <f>IFERROR(INDEX(RBmatchups[Projection],MATCH(rbproj[Name],RBmatchups[Name],0)),"")</f>
        <v/>
      </c>
      <c r="G104" s="135" t="s">
        <v>286</v>
      </c>
      <c r="H104" s="6" t="str">
        <f>IFERROR(INDEX(WRmatchups[Projection],MATCH(wrproj[Name],WRmatchups[Name],0)),"")</f>
        <v/>
      </c>
      <c r="Q104" s="135" t="s">
        <v>502</v>
      </c>
      <c r="R104" s="28">
        <f>IFERROR(INDEX(RBmatchups[Projection],MATCH(Table66[Name],RBmatchups[Name],0)),"")</f>
        <v>2.5109333333333339</v>
      </c>
    </row>
    <row r="105" spans="4:18" x14ac:dyDescent="0.3">
      <c r="D105" s="135">
        <v>0</v>
      </c>
      <c r="E105" s="6" t="str">
        <f>IFERROR(INDEX(RBmatchups[Projection],MATCH(rbproj[Name],RBmatchups[Name],0)),"")</f>
        <v/>
      </c>
      <c r="G105" s="135" t="s">
        <v>248</v>
      </c>
      <c r="H105" s="6">
        <f>IFERROR(INDEX(WRmatchups[Projection],MATCH(wrproj[Name],WRmatchups[Name],0)),"")</f>
        <v>4.4479666666666677</v>
      </c>
      <c r="Q105" s="135" t="s">
        <v>466</v>
      </c>
      <c r="R105" s="28">
        <f>IFERROR(INDEX(RBmatchups[Projection],MATCH(Table66[Name],RBmatchups[Name],0)),"")</f>
        <v>4.8096333333333332</v>
      </c>
    </row>
    <row r="106" spans="4:18" x14ac:dyDescent="0.3">
      <c r="D106" s="135">
        <v>0</v>
      </c>
      <c r="E106" s="6" t="str">
        <f>IFERROR(INDEX(RBmatchups[Projection],MATCH(rbproj[Name],RBmatchups[Name],0)),"")</f>
        <v/>
      </c>
      <c r="G106" s="135" t="s">
        <v>266</v>
      </c>
      <c r="H106" s="6">
        <f>IFERROR(INDEX(WRmatchups[Projection],MATCH(wrproj[Name],WRmatchups[Name],0)),"")</f>
        <v>1.9186000000000001</v>
      </c>
      <c r="Q106" s="135" t="s">
        <v>159</v>
      </c>
      <c r="R106" s="28" t="str">
        <f>IFERROR(INDEX(RBmatchups[Projection],MATCH(Table66[Name],RBmatchups[Name],0)),"")</f>
        <v/>
      </c>
    </row>
    <row r="107" spans="4:18" x14ac:dyDescent="0.3">
      <c r="D107" s="135">
        <v>0</v>
      </c>
      <c r="E107" s="6" t="str">
        <f>IFERROR(INDEX(RBmatchups[Projection],MATCH(rbproj[Name],RBmatchups[Name],0)),"")</f>
        <v/>
      </c>
      <c r="G107" s="135" t="s">
        <v>489</v>
      </c>
      <c r="H107" s="6">
        <f>IFERROR(INDEX(WRmatchups[Projection],MATCH(wrproj[Name],WRmatchups[Name],0)),"")</f>
        <v>2.5519000000000003</v>
      </c>
      <c r="Q107" s="135" t="s">
        <v>165</v>
      </c>
      <c r="R107" s="28">
        <f>IFERROR(INDEX(RBmatchups[Projection],MATCH(Table66[Name],RBmatchups[Name],0)),"")</f>
        <v>1.6093</v>
      </c>
    </row>
    <row r="108" spans="4:18" x14ac:dyDescent="0.3">
      <c r="D108" s="135">
        <v>0</v>
      </c>
      <c r="E108" s="6" t="str">
        <f>IFERROR(INDEX(RBmatchups[Projection],MATCH(rbproj[Name],RBmatchups[Name],0)),"")</f>
        <v/>
      </c>
      <c r="G108" s="135" t="s">
        <v>250</v>
      </c>
      <c r="H108" s="6">
        <f>IFERROR(INDEX(WRmatchups[Projection],MATCH(wrproj[Name],WRmatchups[Name],0)),"")</f>
        <v>1.9818500000000001</v>
      </c>
      <c r="Q108" s="135" t="s">
        <v>460</v>
      </c>
      <c r="R108" s="28" t="str">
        <f>IFERROR(INDEX(RBmatchups[Projection],MATCH(Table66[Name],RBmatchups[Name],0)),"")</f>
        <v/>
      </c>
    </row>
    <row r="109" spans="4:18" x14ac:dyDescent="0.3">
      <c r="D109" s="135">
        <v>0</v>
      </c>
      <c r="E109" s="6" t="str">
        <f>IFERROR(INDEX(RBmatchups[Projection],MATCH(rbproj[Name],RBmatchups[Name],0)),"")</f>
        <v/>
      </c>
      <c r="G109" s="135" t="s">
        <v>284</v>
      </c>
      <c r="H109" s="6">
        <f>IFERROR(INDEX(WRmatchups[Projection],MATCH(wrproj[Name],WRmatchups[Name],0)),"")</f>
        <v>3.5786666666666669</v>
      </c>
      <c r="Q109" s="135" t="s">
        <v>134</v>
      </c>
      <c r="R109" s="28">
        <f>IFERROR(INDEX(RBmatchups[Projection],MATCH(Table66[Name],RBmatchups[Name],0)),"")</f>
        <v>4.1347499999999995</v>
      </c>
    </row>
    <row r="110" spans="4:18" x14ac:dyDescent="0.3">
      <c r="D110" s="135">
        <v>0</v>
      </c>
      <c r="E110" s="6" t="str">
        <f>IFERROR(INDEX(RBmatchups[Projection],MATCH(rbproj[Name],RBmatchups[Name],0)),"")</f>
        <v/>
      </c>
      <c r="G110" s="135" t="s">
        <v>304</v>
      </c>
      <c r="H110" s="6">
        <f>IFERROR(INDEX(WRmatchups[Projection],MATCH(wrproj[Name],WRmatchups[Name],0)),"")</f>
        <v>1.2926000000000002</v>
      </c>
      <c r="Q110" s="135" t="s">
        <v>169</v>
      </c>
      <c r="R110" s="28">
        <f>IFERROR(INDEX(RBmatchups[Projection],MATCH(Table66[Name],RBmatchups[Name],0)),"")</f>
        <v>0.66314999999999991</v>
      </c>
    </row>
    <row r="111" spans="4:18" x14ac:dyDescent="0.3">
      <c r="D111" s="135">
        <v>0</v>
      </c>
      <c r="E111" s="6" t="str">
        <f>IFERROR(INDEX(RBmatchups[Projection],MATCH(rbproj[Name],RBmatchups[Name],0)),"")</f>
        <v/>
      </c>
      <c r="G111" s="135" t="s">
        <v>523</v>
      </c>
      <c r="H111" s="6">
        <f>IFERROR(INDEX(WRmatchups[Projection],MATCH(wrproj[Name],WRmatchups[Name],0)),"")</f>
        <v>3.2053500000000001</v>
      </c>
      <c r="Q111" s="135" t="s">
        <v>492</v>
      </c>
      <c r="R111" s="28">
        <f>IFERROR(INDEX(RBmatchups[Projection],MATCH(Table66[Name],RBmatchups[Name],0)),"")</f>
        <v>0.75420000000000009</v>
      </c>
    </row>
    <row r="112" spans="4:18" x14ac:dyDescent="0.3">
      <c r="D112" s="135">
        <v>0</v>
      </c>
      <c r="E112" s="6" t="str">
        <f>IFERROR(INDEX(RBmatchups[Projection],MATCH(rbproj[Name],RBmatchups[Name],0)),"")</f>
        <v/>
      </c>
      <c r="G112" s="135" t="s">
        <v>289</v>
      </c>
      <c r="H112" s="6" t="str">
        <f>IFERROR(INDEX(WRmatchups[Projection],MATCH(wrproj[Name],WRmatchups[Name],0)),"")</f>
        <v/>
      </c>
      <c r="Q112" s="135" t="s">
        <v>153</v>
      </c>
      <c r="R112" s="28">
        <f>IFERROR(INDEX(RBmatchups[Projection],MATCH(Table66[Name],RBmatchups[Name],0)),"")</f>
        <v>7.5248999999999997</v>
      </c>
    </row>
    <row r="113" spans="4:18" x14ac:dyDescent="0.3">
      <c r="D113" s="135">
        <v>0</v>
      </c>
      <c r="E113" s="6" t="str">
        <f>IFERROR(INDEX(RBmatchups[Projection],MATCH(rbproj[Name],RBmatchups[Name],0)),"")</f>
        <v/>
      </c>
      <c r="G113" s="135" t="s">
        <v>235</v>
      </c>
      <c r="H113" s="6" t="str">
        <f>IFERROR(INDEX(WRmatchups[Projection],MATCH(wrproj[Name],WRmatchups[Name],0)),"")</f>
        <v/>
      </c>
      <c r="Q113" s="135" t="s">
        <v>1246</v>
      </c>
      <c r="R113" s="28">
        <f>IFERROR(INDEX(RBmatchups[Projection],MATCH(Table66[Name],RBmatchups[Name],0)),"")</f>
        <v>1.2345500000000003</v>
      </c>
    </row>
    <row r="114" spans="4:18" x14ac:dyDescent="0.3">
      <c r="D114" s="135">
        <v>0</v>
      </c>
      <c r="E114" s="6" t="str">
        <f>IFERROR(INDEX(RBmatchups[Projection],MATCH(rbproj[Name],RBmatchups[Name],0)),"")</f>
        <v/>
      </c>
      <c r="G114" s="135" t="s">
        <v>316</v>
      </c>
      <c r="H114" s="6">
        <f>IFERROR(INDEX(WRmatchups[Projection],MATCH(wrproj[Name],WRmatchups[Name],0)),"")</f>
        <v>1.8955500000000001</v>
      </c>
      <c r="Q114" s="135" t="s">
        <v>108</v>
      </c>
      <c r="R114" s="28">
        <f>IFERROR(INDEX(RBmatchups[Projection],MATCH(Table66[Name],RBmatchups[Name],0)),"")</f>
        <v>3.167533333333334</v>
      </c>
    </row>
    <row r="115" spans="4:18" x14ac:dyDescent="0.3">
      <c r="D115" s="135">
        <v>0</v>
      </c>
      <c r="E115" s="6" t="str">
        <f>IFERROR(INDEX(RBmatchups[Projection],MATCH(rbproj[Name],RBmatchups[Name],0)),"")</f>
        <v/>
      </c>
      <c r="G115" s="135" t="s">
        <v>313</v>
      </c>
      <c r="H115" s="6">
        <f>IFERROR(INDEX(WRmatchups[Projection],MATCH(wrproj[Name],WRmatchups[Name],0)),"")</f>
        <v>2.8243</v>
      </c>
      <c r="Q115" s="135" t="s">
        <v>1523</v>
      </c>
      <c r="R115" s="28">
        <f>IFERROR(INDEX(RBmatchups[Projection],MATCH(Table66[Name],RBmatchups[Name],0)),"")</f>
        <v>0.90285000000000004</v>
      </c>
    </row>
    <row r="116" spans="4:18" x14ac:dyDescent="0.3">
      <c r="D116" s="135">
        <v>0</v>
      </c>
      <c r="E116" s="6" t="str">
        <f>IFERROR(INDEX(RBmatchups[Projection],MATCH(rbproj[Name],RBmatchups[Name],0)),"")</f>
        <v/>
      </c>
      <c r="G116" s="135" t="s">
        <v>305</v>
      </c>
      <c r="H116" s="6" t="str">
        <f>IFERROR(INDEX(WRmatchups[Projection],MATCH(wrproj[Name],WRmatchups[Name],0)),"")</f>
        <v/>
      </c>
      <c r="Q116" s="135" t="s">
        <v>154</v>
      </c>
      <c r="R116" s="28">
        <f>IFERROR(INDEX(RBmatchups[Projection],MATCH(Table66[Name],RBmatchups[Name],0)),"")</f>
        <v>0.83610000000000007</v>
      </c>
    </row>
    <row r="117" spans="4:18" x14ac:dyDescent="0.3">
      <c r="D117" s="135">
        <v>0</v>
      </c>
      <c r="E117" s="6" t="str">
        <f>IFERROR(INDEX(RBmatchups[Projection],MATCH(rbproj[Name],RBmatchups[Name],0)),"")</f>
        <v/>
      </c>
      <c r="G117" s="135" t="s">
        <v>314</v>
      </c>
      <c r="H117" s="6" t="str">
        <f>IFERROR(INDEX(WRmatchups[Projection],MATCH(wrproj[Name],WRmatchups[Name],0)),"")</f>
        <v/>
      </c>
      <c r="Q117" s="135" t="s">
        <v>400</v>
      </c>
      <c r="R117" s="28" t="str">
        <f>IFERROR(INDEX(RBmatchups[Projection],MATCH(Table66[Name],RBmatchups[Name],0)),"")</f>
        <v/>
      </c>
    </row>
    <row r="118" spans="4:18" x14ac:dyDescent="0.3">
      <c r="D118" s="135">
        <v>0</v>
      </c>
      <c r="E118" s="6" t="str">
        <f>IFERROR(INDEX(RBmatchups[Projection],MATCH(rbproj[Name],RBmatchups[Name],0)),"")</f>
        <v/>
      </c>
      <c r="G118" s="135" t="s">
        <v>264</v>
      </c>
      <c r="H118" s="6">
        <f>IFERROR(INDEX(WRmatchups[Projection],MATCH(wrproj[Name],WRmatchups[Name],0)),"")</f>
        <v>3.2259500000000001</v>
      </c>
      <c r="Q118" s="135" t="s">
        <v>163</v>
      </c>
      <c r="R118" s="28">
        <f>IFERROR(INDEX(RBmatchups[Projection],MATCH(Table66[Name],RBmatchups[Name],0)),"")</f>
        <v>0.88525000000000009</v>
      </c>
    </row>
    <row r="119" spans="4:18" x14ac:dyDescent="0.3">
      <c r="D119" s="135">
        <v>0</v>
      </c>
      <c r="E119" s="6" t="str">
        <f>IFERROR(INDEX(RBmatchups[Projection],MATCH(rbproj[Name],RBmatchups[Name],0)),"")</f>
        <v/>
      </c>
      <c r="G119" s="135" t="s">
        <v>455</v>
      </c>
      <c r="H119" s="6" t="str">
        <f>IFERROR(INDEX(WRmatchups[Projection],MATCH(wrproj[Name],WRmatchups[Name],0)),"")</f>
        <v/>
      </c>
      <c r="Q119" s="135" t="s">
        <v>167</v>
      </c>
      <c r="R119" s="28">
        <f>IFERROR(INDEX(RBmatchups[Projection],MATCH(Table66[Name],RBmatchups[Name],0)),"")</f>
        <v>2.2976000000000001</v>
      </c>
    </row>
    <row r="120" spans="4:18" x14ac:dyDescent="0.3">
      <c r="D120" s="135">
        <v>0</v>
      </c>
      <c r="E120" s="6" t="str">
        <f>IFERROR(INDEX(RBmatchups[Projection],MATCH(rbproj[Name],RBmatchups[Name],0)),"")</f>
        <v/>
      </c>
      <c r="G120" s="135">
        <v>0</v>
      </c>
      <c r="H120" s="6" t="str">
        <f>IFERROR(INDEX(WRmatchups[Projection],MATCH(wrproj[Name],WRmatchups[Name],0)),"")</f>
        <v/>
      </c>
      <c r="Q120" s="135" t="s">
        <v>142</v>
      </c>
      <c r="R120" s="28">
        <f>IFERROR(INDEX(RBmatchups[Projection],MATCH(Table66[Name],RBmatchups[Name],0)),"")</f>
        <v>3.5469999999999997</v>
      </c>
    </row>
    <row r="121" spans="4:18" x14ac:dyDescent="0.3">
      <c r="G121" s="135">
        <v>0</v>
      </c>
      <c r="H121" s="6" t="str">
        <f>IFERROR(INDEX(WRmatchups[Projection],MATCH(wrproj[Name],WRmatchups[Name],0)),"")</f>
        <v/>
      </c>
      <c r="Q121" s="135" t="s">
        <v>1245</v>
      </c>
      <c r="R121" s="28">
        <f>IFERROR(INDEX(RBmatchups[Projection],MATCH(Table66[Name],RBmatchups[Name],0)),"")</f>
        <v>1.56745</v>
      </c>
    </row>
    <row r="122" spans="4:18" x14ac:dyDescent="0.3">
      <c r="G122" s="135">
        <v>0</v>
      </c>
      <c r="H122" s="6" t="str">
        <f>IFERROR(INDEX(WRmatchups[Projection],MATCH(wrproj[Name],WRmatchups[Name],0)),"")</f>
        <v/>
      </c>
      <c r="Q122" s="135" t="s">
        <v>168</v>
      </c>
      <c r="R122" s="28" t="str">
        <f>IFERROR(INDEX(RBmatchups[Projection],MATCH(Table66[Name],RBmatchups[Name],0)),"")</f>
        <v/>
      </c>
    </row>
    <row r="123" spans="4:18" x14ac:dyDescent="0.3">
      <c r="G123" s="135">
        <v>0</v>
      </c>
      <c r="H123" s="6" t="str">
        <f>IFERROR(INDEX(WRmatchups[Projection],MATCH(wrproj[Name],WRmatchups[Name],0)),"")</f>
        <v/>
      </c>
      <c r="Q123" s="135" t="s">
        <v>494</v>
      </c>
      <c r="R123" s="28">
        <f>IFERROR(INDEX(RBmatchups[Projection],MATCH(Table66[Name],RBmatchups[Name],0)),"")</f>
        <v>0.43470000000000003</v>
      </c>
    </row>
    <row r="124" spans="4:18" x14ac:dyDescent="0.3">
      <c r="G124" s="135">
        <v>0</v>
      </c>
      <c r="H124" s="6" t="str">
        <f>IFERROR(INDEX(WRmatchups[Projection],MATCH(wrproj[Name],WRmatchups[Name],0)),"")</f>
        <v/>
      </c>
      <c r="Q124" s="135" t="s">
        <v>157</v>
      </c>
      <c r="R124" s="28">
        <f>IFERROR(INDEX(RBmatchups[Projection],MATCH(Table66[Name],RBmatchups[Name],0)),"")</f>
        <v>0.35034999999999999</v>
      </c>
    </row>
    <row r="125" spans="4:18" x14ac:dyDescent="0.3">
      <c r="G125" s="135">
        <v>0</v>
      </c>
      <c r="H125" s="6" t="str">
        <f>IFERROR(INDEX(WRmatchups[Projection],MATCH(wrproj[Name],WRmatchups[Name],0)),"")</f>
        <v/>
      </c>
      <c r="Q125" s="135" t="s">
        <v>1556</v>
      </c>
      <c r="R125" s="28">
        <f>IFERROR(INDEX(RBmatchups[Projection],MATCH(Table66[Name],RBmatchups[Name],0)),"")</f>
        <v>0.94579999999999997</v>
      </c>
    </row>
    <row r="126" spans="4:18" x14ac:dyDescent="0.3">
      <c r="G126" s="135">
        <v>0</v>
      </c>
      <c r="H126" s="6" t="str">
        <f>IFERROR(INDEX(WRmatchups[Projection],MATCH(wrproj[Name],WRmatchups[Name],0)),"")</f>
        <v/>
      </c>
      <c r="Q126" s="135" t="s">
        <v>508</v>
      </c>
      <c r="R126" s="28">
        <f>IFERROR(INDEX(RBmatchups[Projection],MATCH(Table66[Name],RBmatchups[Name],0)),"")</f>
        <v>1.0218500000000001</v>
      </c>
    </row>
    <row r="127" spans="4:18" x14ac:dyDescent="0.3">
      <c r="G127" s="135">
        <v>0</v>
      </c>
      <c r="H127" s="6" t="str">
        <f>IFERROR(INDEX(WRmatchups[Projection],MATCH(wrproj[Name],WRmatchups[Name],0)),"")</f>
        <v/>
      </c>
      <c r="Q127" s="135" t="s">
        <v>1555</v>
      </c>
      <c r="R127" s="28">
        <f>IFERROR(INDEX(RBmatchups[Projection],MATCH(Table66[Name],RBmatchups[Name],0)),"")</f>
        <v>0.54035000000000011</v>
      </c>
    </row>
    <row r="128" spans="4:18" x14ac:dyDescent="0.3">
      <c r="G128" s="135">
        <v>0</v>
      </c>
      <c r="H128" s="6" t="str">
        <f>IFERROR(INDEX(WRmatchups[Projection],MATCH(wrproj[Name],WRmatchups[Name],0)),"")</f>
        <v/>
      </c>
      <c r="Q128" s="135" t="s">
        <v>182</v>
      </c>
      <c r="R128" s="28">
        <f>IFERROR(INDEX(RBmatchups[Projection],MATCH(Table66[Name],RBmatchups[Name],0)),"")</f>
        <v>0.64549999999999996</v>
      </c>
    </row>
    <row r="129" spans="7:18" x14ac:dyDescent="0.3">
      <c r="G129" s="135">
        <v>0</v>
      </c>
      <c r="H129" s="6" t="str">
        <f>IFERROR(INDEX(WRmatchups[Projection],MATCH(wrproj[Name],WRmatchups[Name],0)),"")</f>
        <v/>
      </c>
      <c r="Q129" s="135" t="s">
        <v>136</v>
      </c>
      <c r="R129" s="28" t="str">
        <f>IFERROR(INDEX(RBmatchups[Projection],MATCH(Table66[Name],RBmatchups[Name],0)),"")</f>
        <v/>
      </c>
    </row>
    <row r="130" spans="7:18" x14ac:dyDescent="0.3">
      <c r="G130" s="135">
        <v>0</v>
      </c>
      <c r="H130" s="6" t="str">
        <f>IFERROR(INDEX(WRmatchups[Projection],MATCH(wrproj[Name],WRmatchups[Name],0)),"")</f>
        <v/>
      </c>
      <c r="Q130" s="135" t="s">
        <v>140</v>
      </c>
      <c r="R130" s="28">
        <f>IFERROR(INDEX(RBmatchups[Projection],MATCH(Table66[Name],RBmatchups[Name],0)),"")</f>
        <v>1.2330500000000002</v>
      </c>
    </row>
    <row r="131" spans="7:18" x14ac:dyDescent="0.3">
      <c r="G131" s="135">
        <v>0</v>
      </c>
      <c r="H131" s="6" t="str">
        <f>IFERROR(INDEX(WRmatchups[Projection],MATCH(wrproj[Name],WRmatchups[Name],0)),"")</f>
        <v/>
      </c>
      <c r="Q131" s="135" t="s">
        <v>522</v>
      </c>
      <c r="R131" s="28" t="str">
        <f>IFERROR(INDEX(RBmatchups[Projection],MATCH(Table66[Name],RBmatchups[Name],0)),"")</f>
        <v/>
      </c>
    </row>
    <row r="132" spans="7:18" x14ac:dyDescent="0.3">
      <c r="G132" s="135">
        <v>0</v>
      </c>
      <c r="H132" s="6" t="str">
        <f>IFERROR(INDEX(WRmatchups[Projection],MATCH(wrproj[Name],WRmatchups[Name],0)),"")</f>
        <v/>
      </c>
      <c r="Q132" s="135" t="s">
        <v>160</v>
      </c>
      <c r="R132" s="28">
        <f>IFERROR(INDEX(RBmatchups[Projection],MATCH(Table66[Name],RBmatchups[Name],0)),"")</f>
        <v>0.1668</v>
      </c>
    </row>
    <row r="133" spans="7:18" x14ac:dyDescent="0.3">
      <c r="G133" s="135">
        <v>0</v>
      </c>
      <c r="H133" s="6" t="str">
        <f>IFERROR(INDEX(WRmatchups[Projection],MATCH(wrproj[Name],WRmatchups[Name],0)),"")</f>
        <v/>
      </c>
      <c r="Q133" s="135" t="s">
        <v>178</v>
      </c>
      <c r="R133" s="28" t="str">
        <f>IFERROR(INDEX(RBmatchups[Projection],MATCH(Table66[Name],RBmatchups[Name],0)),"")</f>
        <v/>
      </c>
    </row>
    <row r="134" spans="7:18" x14ac:dyDescent="0.3">
      <c r="G134" s="135">
        <v>0</v>
      </c>
      <c r="H134" s="6" t="str">
        <f>IFERROR(INDEX(WRmatchups[Projection],MATCH(wrproj[Name],WRmatchups[Name],0)),"")</f>
        <v/>
      </c>
      <c r="Q134" s="135" t="s">
        <v>187</v>
      </c>
      <c r="R134" s="28">
        <f>IFERROR(INDEX(WRmatchups[Projection],MATCH(Table66[Name],WRmatchups[Name],0)),"")</f>
        <v>26.340266666666672</v>
      </c>
    </row>
    <row r="135" spans="7:18" x14ac:dyDescent="0.3">
      <c r="G135" s="135">
        <v>0</v>
      </c>
      <c r="H135" s="6" t="str">
        <f>IFERROR(INDEX(WRmatchups[Projection],MATCH(wrproj[Name],WRmatchups[Name],0)),"")</f>
        <v/>
      </c>
      <c r="Q135" s="135" t="s">
        <v>188</v>
      </c>
      <c r="R135" s="28">
        <f>IFERROR(INDEX(WRmatchups[Projection],MATCH(Table66[Name],WRmatchups[Name],0)),"")</f>
        <v>23.931900000000002</v>
      </c>
    </row>
    <row r="136" spans="7:18" x14ac:dyDescent="0.3">
      <c r="G136" s="135">
        <v>0</v>
      </c>
      <c r="H136" s="6" t="str">
        <f>IFERROR(INDEX(WRmatchups[Projection],MATCH(wrproj[Name],WRmatchups[Name],0)),"")</f>
        <v/>
      </c>
      <c r="Q136" s="135" t="s">
        <v>426</v>
      </c>
      <c r="R136" s="28" t="str">
        <f>IFERROR(INDEX(WRmatchups[Projection],MATCH(Table66[Name],WRmatchups[Name],0)),"")</f>
        <v/>
      </c>
    </row>
    <row r="137" spans="7:18" x14ac:dyDescent="0.3">
      <c r="G137" s="135">
        <v>0</v>
      </c>
      <c r="H137" s="6" t="str">
        <f>IFERROR(INDEX(WRmatchups[Projection],MATCH(wrproj[Name],WRmatchups[Name],0)),"")</f>
        <v/>
      </c>
      <c r="Q137" s="135" t="s">
        <v>189</v>
      </c>
      <c r="R137" s="28">
        <f>IFERROR(INDEX(WRmatchups[Projection],MATCH(Table66[Name],WRmatchups[Name],0)),"")</f>
        <v>17.934466666666669</v>
      </c>
    </row>
    <row r="138" spans="7:18" x14ac:dyDescent="0.3">
      <c r="G138" s="135">
        <v>0</v>
      </c>
      <c r="H138" s="6" t="str">
        <f>IFERROR(INDEX(WRmatchups[Projection],MATCH(wrproj[Name],WRmatchups[Name],0)),"")</f>
        <v/>
      </c>
      <c r="Q138" s="135" t="s">
        <v>194</v>
      </c>
      <c r="R138" s="28">
        <f>IFERROR(INDEX(WRmatchups[Projection],MATCH(Table66[Name],WRmatchups[Name],0)),"")</f>
        <v>18.4178</v>
      </c>
    </row>
    <row r="139" spans="7:18" x14ac:dyDescent="0.3">
      <c r="G139" s="135">
        <v>0</v>
      </c>
      <c r="H139" s="6" t="str">
        <f>IFERROR(INDEX(WRmatchups[Projection],MATCH(wrproj[Name],WRmatchups[Name],0)),"")</f>
        <v/>
      </c>
      <c r="Q139" s="135" t="s">
        <v>206</v>
      </c>
      <c r="R139" s="28">
        <f>IFERROR(INDEX(WRmatchups[Projection],MATCH(Table66[Name],WRmatchups[Name],0)),"")</f>
        <v>17.075166666666668</v>
      </c>
    </row>
    <row r="140" spans="7:18" x14ac:dyDescent="0.3">
      <c r="G140" s="135">
        <v>0</v>
      </c>
      <c r="H140" s="6" t="str">
        <f>IFERROR(INDEX(WRmatchups[Projection],MATCH(wrproj[Name],WRmatchups[Name],0)),"")</f>
        <v/>
      </c>
      <c r="Q140" s="135" t="s">
        <v>208</v>
      </c>
      <c r="R140" s="28">
        <f>IFERROR(INDEX(WRmatchups[Projection],MATCH(Table66[Name],WRmatchups[Name],0)),"")</f>
        <v>17.583633333333335</v>
      </c>
    </row>
    <row r="141" spans="7:18" x14ac:dyDescent="0.3">
      <c r="G141" s="135">
        <v>0</v>
      </c>
      <c r="H141" s="6" t="str">
        <f>IFERROR(INDEX(WRmatchups[Projection],MATCH(wrproj[Name],WRmatchups[Name],0)),"")</f>
        <v/>
      </c>
      <c r="Q141" s="135" t="s">
        <v>210</v>
      </c>
      <c r="R141" s="28">
        <f>IFERROR(INDEX(WRmatchups[Projection],MATCH(Table66[Name],WRmatchups[Name],0)),"")</f>
        <v>15.351400000000002</v>
      </c>
    </row>
    <row r="142" spans="7:18" x14ac:dyDescent="0.3">
      <c r="G142" s="135">
        <v>0</v>
      </c>
      <c r="H142" s="6" t="str">
        <f>IFERROR(INDEX(WRmatchups[Projection],MATCH(wrproj[Name],WRmatchups[Name],0)),"")</f>
        <v/>
      </c>
      <c r="Q142" s="135" t="s">
        <v>427</v>
      </c>
      <c r="R142" s="28" t="str">
        <f>IFERROR(INDEX(WRmatchups[Projection],MATCH(Table66[Name],WRmatchups[Name],0)),"")</f>
        <v/>
      </c>
    </row>
    <row r="143" spans="7:18" x14ac:dyDescent="0.3">
      <c r="G143" s="135">
        <v>0</v>
      </c>
      <c r="H143" s="6" t="str">
        <f>IFERROR(INDEX(WRmatchups[Projection],MATCH(wrproj[Name],WRmatchups[Name],0)),"")</f>
        <v/>
      </c>
      <c r="Q143" s="135" t="s">
        <v>193</v>
      </c>
      <c r="R143" s="28">
        <f>IFERROR(INDEX(WRmatchups[Projection],MATCH(Table66[Name],WRmatchups[Name],0)),"")</f>
        <v>17.536766666666669</v>
      </c>
    </row>
    <row r="144" spans="7:18" x14ac:dyDescent="0.3">
      <c r="G144" s="135">
        <v>0</v>
      </c>
      <c r="H144" s="6" t="str">
        <f>IFERROR(INDEX(WRmatchups[Projection],MATCH(wrproj[Name],WRmatchups[Name],0)),"")</f>
        <v/>
      </c>
      <c r="Q144" s="135" t="s">
        <v>768</v>
      </c>
      <c r="R144" s="28">
        <f>IFERROR(INDEX(WRmatchups[Projection],MATCH(Table66[Name],WRmatchups[Name],0)),"")</f>
        <v>16.460666666666668</v>
      </c>
    </row>
    <row r="145" spans="7:18" x14ac:dyDescent="0.3">
      <c r="G145" s="135">
        <v>0</v>
      </c>
      <c r="H145" s="6" t="str">
        <f>IFERROR(INDEX(WRmatchups[Projection],MATCH(wrproj[Name],WRmatchups[Name],0)),"")</f>
        <v/>
      </c>
      <c r="Q145" s="135" t="s">
        <v>195</v>
      </c>
      <c r="R145" s="28">
        <f>IFERROR(INDEX(WRmatchups[Projection],MATCH(Table66[Name],WRmatchups[Name],0)),"")</f>
        <v>20.183566666666668</v>
      </c>
    </row>
    <row r="146" spans="7:18" x14ac:dyDescent="0.3">
      <c r="G146" s="135">
        <v>0</v>
      </c>
      <c r="H146" s="6" t="str">
        <f>IFERROR(INDEX(WRmatchups[Projection],MATCH(wrproj[Name],WRmatchups[Name],0)),"")</f>
        <v/>
      </c>
      <c r="Q146" s="135" t="s">
        <v>217</v>
      </c>
      <c r="R146" s="28">
        <f>IFERROR(INDEX(WRmatchups[Projection],MATCH(Table66[Name],WRmatchups[Name],0)),"")</f>
        <v>16.026766666666667</v>
      </c>
    </row>
    <row r="147" spans="7:18" x14ac:dyDescent="0.3">
      <c r="G147" s="135">
        <v>0</v>
      </c>
      <c r="H147" s="6" t="str">
        <f>IFERROR(INDEX(WRmatchups[Projection],MATCH(wrproj[Name],WRmatchups[Name],0)),"")</f>
        <v/>
      </c>
      <c r="Q147" s="135" t="s">
        <v>234</v>
      </c>
      <c r="R147" s="28">
        <f>IFERROR(INDEX(WRmatchups[Projection],MATCH(Table66[Name],WRmatchups[Name],0)),"")</f>
        <v>15.398433333333333</v>
      </c>
    </row>
    <row r="148" spans="7:18" x14ac:dyDescent="0.3">
      <c r="G148" s="135">
        <v>0</v>
      </c>
      <c r="H148" s="6" t="str">
        <f>IFERROR(INDEX(WRmatchups[Projection],MATCH(wrproj[Name],WRmatchups[Name],0)),"")</f>
        <v/>
      </c>
      <c r="Q148" s="135" t="s">
        <v>190</v>
      </c>
      <c r="R148" s="28">
        <f>IFERROR(INDEX(WRmatchups[Projection],MATCH(Table66[Name],WRmatchups[Name],0)),"")</f>
        <v>13.8689</v>
      </c>
    </row>
    <row r="149" spans="7:18" x14ac:dyDescent="0.3">
      <c r="G149" s="135">
        <v>0</v>
      </c>
      <c r="H149" s="6" t="str">
        <f>IFERROR(INDEX(WRmatchups[Projection],MATCH(wrproj[Name],WRmatchups[Name],0)),"")</f>
        <v/>
      </c>
      <c r="Q149" s="135" t="s">
        <v>197</v>
      </c>
      <c r="R149" s="28">
        <f>IFERROR(INDEX(WRmatchups[Projection],MATCH(Table66[Name],WRmatchups[Name],0)),"")</f>
        <v>12.699133333333336</v>
      </c>
    </row>
    <row r="150" spans="7:18" x14ac:dyDescent="0.3">
      <c r="G150" s="135">
        <v>0</v>
      </c>
      <c r="H150" s="6" t="str">
        <f>IFERROR(INDEX(WRmatchups[Projection],MATCH(wrproj[Name],WRmatchups[Name],0)),"")</f>
        <v/>
      </c>
      <c r="Q150" s="135" t="s">
        <v>213</v>
      </c>
      <c r="R150" s="28">
        <f>IFERROR(INDEX(WRmatchups[Projection],MATCH(Table66[Name],WRmatchups[Name],0)),"")</f>
        <v>17.186600000000002</v>
      </c>
    </row>
    <row r="151" spans="7:18" x14ac:dyDescent="0.3">
      <c r="G151" s="135">
        <v>0</v>
      </c>
      <c r="H151" s="6" t="str">
        <f>IFERROR(INDEX(WRmatchups[Projection],MATCH(wrproj[Name],WRmatchups[Name],0)),"")</f>
        <v/>
      </c>
      <c r="Q151" s="135" t="s">
        <v>241</v>
      </c>
      <c r="R151" s="28">
        <f>IFERROR(INDEX(WRmatchups[Projection],MATCH(Table66[Name],WRmatchups[Name],0)),"")</f>
        <v>15.674033333333334</v>
      </c>
    </row>
    <row r="152" spans="7:18" x14ac:dyDescent="0.3">
      <c r="G152" s="135">
        <v>0</v>
      </c>
      <c r="H152" s="6" t="str">
        <f>IFERROR(INDEX(WRmatchups[Projection],MATCH(wrproj[Name],WRmatchups[Name],0)),"")</f>
        <v/>
      </c>
      <c r="Q152" s="135" t="s">
        <v>205</v>
      </c>
      <c r="R152" s="28">
        <f>IFERROR(INDEX(WRmatchups[Projection],MATCH(Table66[Name],WRmatchups[Name],0)),"")</f>
        <v>17.2532</v>
      </c>
    </row>
    <row r="153" spans="7:18" x14ac:dyDescent="0.3">
      <c r="G153" s="135">
        <v>0</v>
      </c>
      <c r="H153" s="6" t="str">
        <f>IFERROR(INDEX(WRmatchups[Projection],MATCH(wrproj[Name],WRmatchups[Name],0)),"")</f>
        <v/>
      </c>
      <c r="Q153" s="135" t="s">
        <v>218</v>
      </c>
      <c r="R153" s="28">
        <f>IFERROR(INDEX(WRmatchups[Projection],MATCH(Table66[Name],WRmatchups[Name],0)),"")</f>
        <v>16.016366666666666</v>
      </c>
    </row>
    <row r="154" spans="7:18" x14ac:dyDescent="0.3">
      <c r="G154" s="135">
        <v>0</v>
      </c>
      <c r="H154" s="6" t="str">
        <f>IFERROR(INDEX(WRmatchups[Projection],MATCH(wrproj[Name],WRmatchups[Name],0)),"")</f>
        <v/>
      </c>
      <c r="Q154" s="135" t="s">
        <v>227</v>
      </c>
      <c r="R154" s="28">
        <f>IFERROR(INDEX(WRmatchups[Projection],MATCH(Table66[Name],WRmatchups[Name],0)),"")</f>
        <v>14.241833333333332</v>
      </c>
    </row>
    <row r="155" spans="7:18" x14ac:dyDescent="0.3">
      <c r="G155" s="135">
        <v>0</v>
      </c>
      <c r="H155" s="6" t="str">
        <f>IFERROR(INDEX(WRmatchups[Projection],MATCH(wrproj[Name],WRmatchups[Name],0)),"")</f>
        <v/>
      </c>
      <c r="Q155" s="135" t="s">
        <v>173</v>
      </c>
      <c r="R155" s="28">
        <f>IFERROR(INDEX(WRmatchups[Projection],MATCH(Table66[Name],WRmatchups[Name],0)),"")</f>
        <v>17.275433333333332</v>
      </c>
    </row>
    <row r="156" spans="7:18" x14ac:dyDescent="0.3">
      <c r="G156" s="135">
        <v>0</v>
      </c>
      <c r="H156" s="6" t="str">
        <f>IFERROR(INDEX(WRmatchups[Projection],MATCH(wrproj[Name],WRmatchups[Name],0)),"")</f>
        <v/>
      </c>
      <c r="Q156" s="135" t="s">
        <v>216</v>
      </c>
      <c r="R156" s="28" t="str">
        <f>IFERROR(INDEX(WRmatchups[Projection],MATCH(Table66[Name],WRmatchups[Name],0)),"")</f>
        <v/>
      </c>
    </row>
    <row r="157" spans="7:18" x14ac:dyDescent="0.3">
      <c r="G157" s="135">
        <v>0</v>
      </c>
      <c r="H157" s="6" t="str">
        <f>IFERROR(INDEX(WRmatchups[Projection],MATCH(wrproj[Name],WRmatchups[Name],0)),"")</f>
        <v/>
      </c>
      <c r="Q157" s="135" t="s">
        <v>211</v>
      </c>
      <c r="R157" s="28" t="str">
        <f>IFERROR(INDEX(WRmatchups[Projection],MATCH(Table66[Name],WRmatchups[Name],0)),"")</f>
        <v/>
      </c>
    </row>
    <row r="158" spans="7:18" x14ac:dyDescent="0.3">
      <c r="G158" s="135">
        <v>0</v>
      </c>
      <c r="H158" s="6" t="str">
        <f>IFERROR(INDEX(WRmatchups[Projection],MATCH(wrproj[Name],WRmatchups[Name],0)),"")</f>
        <v/>
      </c>
      <c r="Q158" s="135" t="s">
        <v>201</v>
      </c>
      <c r="R158" s="28">
        <f>IFERROR(INDEX(WRmatchups[Projection],MATCH(Table66[Name],WRmatchups[Name],0)),"")</f>
        <v>16.335666666666668</v>
      </c>
    </row>
    <row r="159" spans="7:18" x14ac:dyDescent="0.3">
      <c r="G159" s="135">
        <v>0</v>
      </c>
      <c r="H159" s="6" t="str">
        <f>IFERROR(INDEX(WRmatchups[Projection],MATCH(wrproj[Name],WRmatchups[Name],0)),"")</f>
        <v/>
      </c>
      <c r="Q159" s="135" t="s">
        <v>219</v>
      </c>
      <c r="R159" s="28">
        <f>IFERROR(INDEX(WRmatchups[Projection],MATCH(Table66[Name],WRmatchups[Name],0)),"")</f>
        <v>11.438733333333335</v>
      </c>
    </row>
    <row r="160" spans="7:18" x14ac:dyDescent="0.3">
      <c r="G160" s="135">
        <v>0</v>
      </c>
      <c r="H160" s="6" t="str">
        <f>IFERROR(INDEX(WRmatchups[Projection],MATCH(wrproj[Name],WRmatchups[Name],0)),"")</f>
        <v/>
      </c>
      <c r="Q160" s="135" t="s">
        <v>192</v>
      </c>
      <c r="R160" s="28">
        <f>IFERROR(INDEX(WRmatchups[Projection],MATCH(Table66[Name],WRmatchups[Name],0)),"")</f>
        <v>15.975766666666669</v>
      </c>
    </row>
    <row r="161" spans="7:18" x14ac:dyDescent="0.3">
      <c r="G161" s="135">
        <v>0</v>
      </c>
      <c r="H161" s="6" t="str">
        <f>IFERROR(INDEX(WRmatchups[Projection],MATCH(wrproj[Name],WRmatchups[Name],0)),"")</f>
        <v/>
      </c>
      <c r="Q161" s="135" t="s">
        <v>199</v>
      </c>
      <c r="R161" s="28">
        <f>IFERROR(INDEX(WRmatchups[Projection],MATCH(Table66[Name],WRmatchups[Name],0)),"")</f>
        <v>16.717366666666667</v>
      </c>
    </row>
    <row r="162" spans="7:18" x14ac:dyDescent="0.3">
      <c r="G162" s="135">
        <v>0</v>
      </c>
      <c r="H162" s="6" t="str">
        <f>IFERROR(INDEX(WRmatchups[Projection],MATCH(wrproj[Name],WRmatchups[Name],0)),"")</f>
        <v/>
      </c>
      <c r="Q162" s="135" t="s">
        <v>463</v>
      </c>
      <c r="R162" s="28">
        <f>IFERROR(INDEX(WRmatchups[Projection],MATCH(Table66[Name],WRmatchups[Name],0)),"")</f>
        <v>12.340933333333334</v>
      </c>
    </row>
    <row r="163" spans="7:18" x14ac:dyDescent="0.3">
      <c r="G163" s="135">
        <v>0</v>
      </c>
      <c r="H163" s="6" t="str">
        <f>IFERROR(INDEX(WRmatchups[Projection],MATCH(wrproj[Name],WRmatchups[Name],0)),"")</f>
        <v/>
      </c>
      <c r="Q163" s="135" t="s">
        <v>283</v>
      </c>
      <c r="R163" s="28">
        <f>IFERROR(INDEX(WRmatchups[Projection],MATCH(Table66[Name],WRmatchups[Name],0)),"")</f>
        <v>13.055166666666665</v>
      </c>
    </row>
    <row r="164" spans="7:18" x14ac:dyDescent="0.3">
      <c r="G164" s="135">
        <v>0</v>
      </c>
      <c r="H164" s="6" t="str">
        <f>IFERROR(INDEX(WRmatchups[Projection],MATCH(wrproj[Name],WRmatchups[Name],0)),"")</f>
        <v/>
      </c>
      <c r="Q164" s="135" t="s">
        <v>275</v>
      </c>
      <c r="R164" s="28">
        <f>IFERROR(INDEX(WRmatchups[Projection],MATCH(Table66[Name],WRmatchups[Name],0)),"")</f>
        <v>10.479633333333334</v>
      </c>
    </row>
    <row r="165" spans="7:18" x14ac:dyDescent="0.3">
      <c r="G165" s="135">
        <v>0</v>
      </c>
      <c r="H165" s="6" t="str">
        <f>IFERROR(INDEX(WRmatchups[Projection],MATCH(wrproj[Name],WRmatchups[Name],0)),"")</f>
        <v/>
      </c>
      <c r="Q165" s="135" t="s">
        <v>204</v>
      </c>
      <c r="R165" s="28">
        <f>IFERROR(INDEX(WRmatchups[Projection],MATCH(Table66[Name],WRmatchups[Name],0)),"")</f>
        <v>13.722633333333334</v>
      </c>
    </row>
    <row r="166" spans="7:18" x14ac:dyDescent="0.3">
      <c r="Q166" s="135" t="s">
        <v>202</v>
      </c>
      <c r="R166" s="28">
        <f>IFERROR(INDEX(WRmatchups[Projection],MATCH(Table66[Name],WRmatchups[Name],0)),"")</f>
        <v>12.092600000000001</v>
      </c>
    </row>
    <row r="167" spans="7:18" x14ac:dyDescent="0.3">
      <c r="Q167" s="135" t="s">
        <v>226</v>
      </c>
      <c r="R167" s="28">
        <f>IFERROR(INDEX(WRmatchups[Projection],MATCH(Table66[Name],WRmatchups[Name],0)),"")</f>
        <v>13.356300000000001</v>
      </c>
    </row>
    <row r="168" spans="7:18" x14ac:dyDescent="0.3">
      <c r="Q168" s="135" t="s">
        <v>454</v>
      </c>
      <c r="R168" s="28">
        <f>IFERROR(INDEX(WRmatchups[Projection],MATCH(Table66[Name],WRmatchups[Name],0)),"")</f>
        <v>12.239433333333334</v>
      </c>
    </row>
    <row r="169" spans="7:18" x14ac:dyDescent="0.3">
      <c r="Q169" s="135" t="s">
        <v>519</v>
      </c>
      <c r="R169" s="28">
        <f>IFERROR(INDEX(WRmatchups[Projection],MATCH(Table66[Name],WRmatchups[Name],0)),"")</f>
        <v>12.231199999999999</v>
      </c>
    </row>
    <row r="170" spans="7:18" x14ac:dyDescent="0.3">
      <c r="Q170" s="135" t="s">
        <v>505</v>
      </c>
      <c r="R170" s="28">
        <f>IFERROR(INDEX(WRmatchups[Projection],MATCH(Table66[Name],WRmatchups[Name],0)),"")</f>
        <v>11.911633333333334</v>
      </c>
    </row>
    <row r="171" spans="7:18" x14ac:dyDescent="0.3">
      <c r="Q171" s="135" t="s">
        <v>277</v>
      </c>
      <c r="R171" s="28">
        <f>IFERROR(INDEX(WRmatchups[Projection],MATCH(Table66[Name],WRmatchups[Name],0)),"")</f>
        <v>9.9446666666666665</v>
      </c>
    </row>
    <row r="172" spans="7:18" x14ac:dyDescent="0.3">
      <c r="Q172" s="135" t="s">
        <v>433</v>
      </c>
      <c r="R172" s="28" t="str">
        <f>IFERROR(INDEX(WRmatchups[Projection],MATCH(Table66[Name],WRmatchups[Name],0)),"")</f>
        <v/>
      </c>
    </row>
    <row r="173" spans="7:18" x14ac:dyDescent="0.3">
      <c r="Q173" s="135" t="s">
        <v>262</v>
      </c>
      <c r="R173" s="28">
        <f>IFERROR(INDEX(WRmatchups[Projection],MATCH(Table66[Name],WRmatchups[Name],0)),"")</f>
        <v>12.460133333333335</v>
      </c>
    </row>
    <row r="174" spans="7:18" x14ac:dyDescent="0.3">
      <c r="Q174" s="135" t="s">
        <v>198</v>
      </c>
      <c r="R174" s="28">
        <f>IFERROR(INDEX(WRmatchups[Projection],MATCH(Table66[Name],WRmatchups[Name],0)),"")</f>
        <v>14.017299999999999</v>
      </c>
    </row>
    <row r="175" spans="7:18" x14ac:dyDescent="0.3">
      <c r="Q175" s="135" t="s">
        <v>224</v>
      </c>
      <c r="R175" s="28">
        <f>IFERROR(INDEX(WRmatchups[Projection],MATCH(Table66[Name],WRmatchups[Name],0)),"")</f>
        <v>10.503066666666667</v>
      </c>
    </row>
    <row r="176" spans="7:18" x14ac:dyDescent="0.3">
      <c r="Q176" s="135" t="s">
        <v>457</v>
      </c>
      <c r="R176" s="28">
        <f>IFERROR(INDEX(WRmatchups[Projection],MATCH(Table66[Name],WRmatchups[Name],0)),"")</f>
        <v>10.05255</v>
      </c>
    </row>
    <row r="177" spans="17:18" x14ac:dyDescent="0.3">
      <c r="Q177" s="135" t="s">
        <v>237</v>
      </c>
      <c r="R177" s="28">
        <f>IFERROR(INDEX(WRmatchups[Projection],MATCH(Table66[Name],WRmatchups[Name],0)),"")</f>
        <v>8.6849333333333334</v>
      </c>
    </row>
    <row r="178" spans="17:18" x14ac:dyDescent="0.3">
      <c r="Q178" s="135" t="s">
        <v>203</v>
      </c>
      <c r="R178" s="28">
        <f>IFERROR(INDEX(WRmatchups[Projection],MATCH(Table66[Name],WRmatchups[Name],0)),"")</f>
        <v>15.151566666666668</v>
      </c>
    </row>
    <row r="179" spans="17:18" x14ac:dyDescent="0.3">
      <c r="Q179" s="135" t="s">
        <v>212</v>
      </c>
      <c r="R179" s="28">
        <f>IFERROR(INDEX(WRmatchups[Projection],MATCH(Table66[Name],WRmatchups[Name],0)),"")</f>
        <v>11.937066666666666</v>
      </c>
    </row>
    <row r="180" spans="17:18" x14ac:dyDescent="0.3">
      <c r="Q180" s="135" t="s">
        <v>315</v>
      </c>
      <c r="R180" s="28">
        <f>IFERROR(INDEX(WRmatchups[Projection],MATCH(Table66[Name],WRmatchups[Name],0)),"")</f>
        <v>6.0425666666666666</v>
      </c>
    </row>
    <row r="181" spans="17:18" x14ac:dyDescent="0.3">
      <c r="Q181" s="135" t="s">
        <v>196</v>
      </c>
      <c r="R181" s="28" t="str">
        <f>IFERROR(INDEX(WRmatchups[Projection],MATCH(Table66[Name],WRmatchups[Name],0)),"")</f>
        <v/>
      </c>
    </row>
    <row r="182" spans="17:18" x14ac:dyDescent="0.3">
      <c r="Q182" s="135" t="s">
        <v>456</v>
      </c>
      <c r="R182" s="28">
        <f>IFERROR(INDEX(WRmatchups[Projection],MATCH(Table66[Name],WRmatchups[Name],0)),"")</f>
        <v>9.6952666666666651</v>
      </c>
    </row>
    <row r="183" spans="17:18" x14ac:dyDescent="0.3">
      <c r="Q183" s="135" t="s">
        <v>258</v>
      </c>
      <c r="R183" s="28">
        <f>IFERROR(INDEX(WRmatchups[Projection],MATCH(Table66[Name],WRmatchups[Name],0)),"")</f>
        <v>8.093</v>
      </c>
    </row>
    <row r="184" spans="17:18" x14ac:dyDescent="0.3">
      <c r="Q184" s="135" t="s">
        <v>269</v>
      </c>
      <c r="R184" s="28">
        <f>IFERROR(INDEX(WRmatchups[Projection],MATCH(Table66[Name],WRmatchups[Name],0)),"")</f>
        <v>10.118233333333333</v>
      </c>
    </row>
    <row r="185" spans="17:18" x14ac:dyDescent="0.3">
      <c r="Q185" s="135" t="s">
        <v>242</v>
      </c>
      <c r="R185" s="28" t="str">
        <f>IFERROR(INDEX(WRmatchups[Projection],MATCH(Table66[Name],WRmatchups[Name],0)),"")</f>
        <v/>
      </c>
    </row>
    <row r="186" spans="17:18" x14ac:dyDescent="0.3">
      <c r="Q186" s="135" t="s">
        <v>240</v>
      </c>
      <c r="R186" s="28">
        <f>IFERROR(INDEX(WRmatchups[Projection],MATCH(Table66[Name],WRmatchups[Name],0)),"")</f>
        <v>10.238466666666666</v>
      </c>
    </row>
    <row r="187" spans="17:18" x14ac:dyDescent="0.3">
      <c r="Q187" s="135" t="s">
        <v>272</v>
      </c>
      <c r="R187" s="28" t="str">
        <f>IFERROR(INDEX(WRmatchups[Projection],MATCH(Table66[Name],WRmatchups[Name],0)),"")</f>
        <v/>
      </c>
    </row>
    <row r="188" spans="17:18" x14ac:dyDescent="0.3">
      <c r="Q188" s="135" t="s">
        <v>214</v>
      </c>
      <c r="R188" s="28">
        <f>IFERROR(INDEX(WRmatchups[Projection],MATCH(Table66[Name],WRmatchups[Name],0)),"")</f>
        <v>9.5974000000000004</v>
      </c>
    </row>
    <row r="189" spans="17:18" x14ac:dyDescent="0.3">
      <c r="Q189" s="135" t="s">
        <v>233</v>
      </c>
      <c r="R189" s="28">
        <f>IFERROR(INDEX(WRmatchups[Projection],MATCH(Table66[Name],WRmatchups[Name],0)),"")</f>
        <v>8.2489999999999988</v>
      </c>
    </row>
    <row r="190" spans="17:18" x14ac:dyDescent="0.3">
      <c r="Q190" s="135" t="s">
        <v>2452</v>
      </c>
      <c r="R190" s="28">
        <f>IFERROR(INDEX(WRmatchups[Projection],MATCH(Table66[Name],WRmatchups[Name],0)),"")</f>
        <v>13.6053</v>
      </c>
    </row>
    <row r="191" spans="17:18" x14ac:dyDescent="0.3">
      <c r="Q191" s="135" t="s">
        <v>432</v>
      </c>
      <c r="R191" s="28">
        <f>IFERROR(INDEX(WRmatchups[Projection],MATCH(Table66[Name],WRmatchups[Name],0)),"")</f>
        <v>10.776166666666668</v>
      </c>
    </row>
    <row r="192" spans="17:18" x14ac:dyDescent="0.3">
      <c r="Q192" s="135" t="s">
        <v>479</v>
      </c>
      <c r="R192" s="28">
        <f>IFERROR(INDEX(WRmatchups[Projection],MATCH(Table66[Name],WRmatchups[Name],0)),"")</f>
        <v>13.745433333333335</v>
      </c>
    </row>
    <row r="193" spans="17:18" x14ac:dyDescent="0.3">
      <c r="Q193" s="135" t="s">
        <v>238</v>
      </c>
      <c r="R193" s="28">
        <f>IFERROR(INDEX(WRmatchups[Projection],MATCH(Table66[Name],WRmatchups[Name],0)),"")</f>
        <v>10.904766666666667</v>
      </c>
    </row>
    <row r="194" spans="17:18" x14ac:dyDescent="0.3">
      <c r="Q194" s="135" t="s">
        <v>1248</v>
      </c>
      <c r="R194" s="28">
        <f>IFERROR(INDEX(WRmatchups[Projection],MATCH(Table66[Name],WRmatchups[Name],0)),"")</f>
        <v>4.809166666666667</v>
      </c>
    </row>
    <row r="195" spans="17:18" x14ac:dyDescent="0.3">
      <c r="Q195" s="135" t="s">
        <v>225</v>
      </c>
      <c r="R195" s="28">
        <f>IFERROR(INDEX(WRmatchups[Projection],MATCH(Table66[Name],WRmatchups[Name],0)),"")</f>
        <v>7.3662000000000001</v>
      </c>
    </row>
    <row r="196" spans="17:18" x14ac:dyDescent="0.3">
      <c r="Q196" s="135" t="s">
        <v>260</v>
      </c>
      <c r="R196" s="28">
        <f>IFERROR(INDEX(WRmatchups[Projection],MATCH(Table66[Name],WRmatchups[Name],0)),"")</f>
        <v>8.6232333333333333</v>
      </c>
    </row>
    <row r="197" spans="17:18" x14ac:dyDescent="0.3">
      <c r="Q197" s="135" t="s">
        <v>265</v>
      </c>
      <c r="R197" s="28">
        <f>IFERROR(INDEX(WRmatchups[Projection],MATCH(Table66[Name],WRmatchups[Name],0)),"")</f>
        <v>7.1012666666666675</v>
      </c>
    </row>
    <row r="198" spans="17:18" x14ac:dyDescent="0.3">
      <c r="Q198" s="135" t="s">
        <v>294</v>
      </c>
      <c r="R198" s="28">
        <f>IFERROR(INDEX(WRmatchups[Projection],MATCH(Table66[Name],WRmatchups[Name],0)),"")</f>
        <v>7.4954000000000001</v>
      </c>
    </row>
    <row r="199" spans="17:18" x14ac:dyDescent="0.3">
      <c r="Q199" s="135" t="s">
        <v>207</v>
      </c>
      <c r="R199" s="28">
        <f>IFERROR(INDEX(WRmatchups[Projection],MATCH(Table66[Name],WRmatchups[Name],0)),"")</f>
        <v>10.621600000000001</v>
      </c>
    </row>
    <row r="200" spans="17:18" x14ac:dyDescent="0.3">
      <c r="Q200" s="135" t="s">
        <v>292</v>
      </c>
      <c r="R200" s="28">
        <f>IFERROR(INDEX(WRmatchups[Projection],MATCH(Table66[Name],WRmatchups[Name],0)),"")</f>
        <v>7.8191000000000006</v>
      </c>
    </row>
    <row r="201" spans="17:18" x14ac:dyDescent="0.3">
      <c r="Q201" s="135" t="s">
        <v>243</v>
      </c>
      <c r="R201" s="28">
        <f>IFERROR(INDEX(WRmatchups[Projection],MATCH(Table66[Name],WRmatchups[Name],0)),"")</f>
        <v>10.093666666666667</v>
      </c>
    </row>
    <row r="202" spans="17:18" x14ac:dyDescent="0.3">
      <c r="Q202" s="135" t="s">
        <v>256</v>
      </c>
      <c r="R202" s="28">
        <f>IFERROR(INDEX(WRmatchups[Projection],MATCH(Table66[Name],WRmatchups[Name],0)),"")</f>
        <v>8.1869333333333323</v>
      </c>
    </row>
    <row r="203" spans="17:18" x14ac:dyDescent="0.3">
      <c r="Q203" s="135" t="s">
        <v>410</v>
      </c>
      <c r="R203" s="28">
        <f>IFERROR(INDEX(WRmatchups[Projection],MATCH(Table66[Name],WRmatchups[Name],0)),"")</f>
        <v>8.947633333333334</v>
      </c>
    </row>
    <row r="204" spans="17:18" x14ac:dyDescent="0.3">
      <c r="Q204" s="135" t="s">
        <v>239</v>
      </c>
      <c r="R204" s="28">
        <f>IFERROR(INDEX(WRmatchups[Projection],MATCH(Table66[Name],WRmatchups[Name],0)),"")</f>
        <v>8.0688666666666666</v>
      </c>
    </row>
    <row r="205" spans="17:18" x14ac:dyDescent="0.3">
      <c r="Q205" s="135" t="s">
        <v>462</v>
      </c>
      <c r="R205" s="28">
        <f>IFERROR(INDEX(WRmatchups[Projection],MATCH(Table66[Name],WRmatchups[Name],0)),"")</f>
        <v>6.594966666666668</v>
      </c>
    </row>
    <row r="206" spans="17:18" x14ac:dyDescent="0.3">
      <c r="Q206" s="135" t="s">
        <v>254</v>
      </c>
      <c r="R206" s="28">
        <f>IFERROR(INDEX(WRmatchups[Projection],MATCH(Table66[Name],WRmatchups[Name],0)),"")</f>
        <v>4.5053666666666663</v>
      </c>
    </row>
    <row r="207" spans="17:18" x14ac:dyDescent="0.3">
      <c r="Q207" s="135" t="s">
        <v>231</v>
      </c>
      <c r="R207" s="28">
        <f>IFERROR(INDEX(WRmatchups[Projection],MATCH(Table66[Name],WRmatchups[Name],0)),"")</f>
        <v>8.1695666666666682</v>
      </c>
    </row>
    <row r="208" spans="17:18" x14ac:dyDescent="0.3">
      <c r="Q208" s="135" t="s">
        <v>474</v>
      </c>
      <c r="R208" s="28">
        <f>IFERROR(INDEX(WRmatchups[Projection],MATCH(Table66[Name],WRmatchups[Name],0)),"")</f>
        <v>5.4580500000000001</v>
      </c>
    </row>
    <row r="209" spans="17:18" x14ac:dyDescent="0.3">
      <c r="Q209" s="135" t="s">
        <v>276</v>
      </c>
      <c r="R209" s="28">
        <f>IFERROR(INDEX(WRmatchups[Projection],MATCH(Table66[Name],WRmatchups[Name],0)),"")</f>
        <v>6.5938333333333334</v>
      </c>
    </row>
    <row r="210" spans="17:18" x14ac:dyDescent="0.3">
      <c r="Q210" s="135" t="s">
        <v>270</v>
      </c>
      <c r="R210" s="28">
        <f>IFERROR(INDEX(WRmatchups[Projection],MATCH(Table66[Name],WRmatchups[Name],0)),"")</f>
        <v>6.776466666666666</v>
      </c>
    </row>
    <row r="211" spans="17:18" x14ac:dyDescent="0.3">
      <c r="Q211" s="135" t="s">
        <v>245</v>
      </c>
      <c r="R211" s="28">
        <f>IFERROR(INDEX(WRmatchups[Projection],MATCH(Table66[Name],WRmatchups[Name],0)),"")</f>
        <v>6.1310333333333329</v>
      </c>
    </row>
    <row r="212" spans="17:18" x14ac:dyDescent="0.3">
      <c r="Q212" s="135" t="s">
        <v>220</v>
      </c>
      <c r="R212" s="28">
        <f>IFERROR(INDEX(WRmatchups[Projection],MATCH(Table66[Name],WRmatchups[Name],0)),"")</f>
        <v>9.7402666666666669</v>
      </c>
    </row>
    <row r="213" spans="17:18" x14ac:dyDescent="0.3">
      <c r="Q213" s="135" t="s">
        <v>465</v>
      </c>
      <c r="R213" s="28">
        <f>IFERROR(INDEX(WRmatchups[Projection],MATCH(Table66[Name],WRmatchups[Name],0)),"")</f>
        <v>7.9619</v>
      </c>
    </row>
    <row r="214" spans="17:18" x14ac:dyDescent="0.3">
      <c r="Q214" s="135" t="s">
        <v>301</v>
      </c>
      <c r="R214" s="28">
        <f>IFERROR(INDEX(WRmatchups[Projection],MATCH(Table66[Name],WRmatchups[Name],0)),"")</f>
        <v>4.5621</v>
      </c>
    </row>
    <row r="215" spans="17:18" x14ac:dyDescent="0.3">
      <c r="Q215" s="135" t="s">
        <v>285</v>
      </c>
      <c r="R215" s="28">
        <f>IFERROR(INDEX(WRmatchups[Projection],MATCH(Table66[Name],WRmatchups[Name],0)),"")</f>
        <v>6.1131000000000011</v>
      </c>
    </row>
    <row r="216" spans="17:18" x14ac:dyDescent="0.3">
      <c r="Q216" s="135" t="s">
        <v>222</v>
      </c>
      <c r="R216" s="28">
        <f>IFERROR(INDEX(WRmatchups[Projection],MATCH(Table66[Name],WRmatchups[Name],0)),"")</f>
        <v>7.1905333333333346</v>
      </c>
    </row>
    <row r="217" spans="17:18" x14ac:dyDescent="0.3">
      <c r="Q217" s="135" t="s">
        <v>291</v>
      </c>
      <c r="R217" s="28">
        <f>IFERROR(INDEX(WRmatchups[Projection],MATCH(Table66[Name],WRmatchups[Name],0)),"")</f>
        <v>4.4222000000000001</v>
      </c>
    </row>
    <row r="218" spans="17:18" x14ac:dyDescent="0.3">
      <c r="Q218" s="135" t="s">
        <v>247</v>
      </c>
      <c r="R218" s="28" t="str">
        <f>IFERROR(INDEX(WRmatchups[Projection],MATCH(Table66[Name],WRmatchups[Name],0)),"")</f>
        <v/>
      </c>
    </row>
    <row r="219" spans="17:18" x14ac:dyDescent="0.3">
      <c r="Q219" s="135" t="s">
        <v>306</v>
      </c>
      <c r="R219" s="28">
        <f>IFERROR(INDEX(WRmatchups[Projection],MATCH(Table66[Name],WRmatchups[Name],0)),"")</f>
        <v>6.5324333333333335</v>
      </c>
    </row>
    <row r="220" spans="17:18" x14ac:dyDescent="0.3">
      <c r="Q220" s="135" t="s">
        <v>221</v>
      </c>
      <c r="R220" s="28">
        <f>IFERROR(INDEX(WRmatchups[Projection],MATCH(Table66[Name],WRmatchups[Name],0)),"")</f>
        <v>3.5394333333333332</v>
      </c>
    </row>
    <row r="221" spans="17:18" x14ac:dyDescent="0.3">
      <c r="Q221" s="135" t="s">
        <v>278</v>
      </c>
      <c r="R221" s="28">
        <f>IFERROR(INDEX(WRmatchups[Projection],MATCH(Table66[Name],WRmatchups[Name],0)),"")</f>
        <v>7.2414000000000005</v>
      </c>
    </row>
    <row r="222" spans="17:18" x14ac:dyDescent="0.3">
      <c r="Q222" s="135" t="s">
        <v>293</v>
      </c>
      <c r="R222" s="28">
        <f>IFERROR(INDEX(WRmatchups[Projection],MATCH(Table66[Name],WRmatchups[Name],0)),"")</f>
        <v>4.2088000000000001</v>
      </c>
    </row>
    <row r="223" spans="17:18" x14ac:dyDescent="0.3">
      <c r="Q223" s="135" t="s">
        <v>249</v>
      </c>
      <c r="R223" s="28">
        <f>IFERROR(INDEX(WRmatchups[Projection],MATCH(Table66[Name],WRmatchups[Name],0)),"")</f>
        <v>7.8642666666666674</v>
      </c>
    </row>
    <row r="224" spans="17:18" x14ac:dyDescent="0.3">
      <c r="Q224" s="135" t="s">
        <v>408</v>
      </c>
      <c r="R224" s="28">
        <f>IFERROR(INDEX(WRmatchups[Projection],MATCH(Table66[Name],WRmatchups[Name],0)),"")</f>
        <v>2.3890000000000002</v>
      </c>
    </row>
    <row r="225" spans="17:18" x14ac:dyDescent="0.3">
      <c r="Q225" s="135" t="s">
        <v>268</v>
      </c>
      <c r="R225" s="28">
        <f>IFERROR(INDEX(WRmatchups[Projection],MATCH(Table66[Name],WRmatchups[Name],0)),"")</f>
        <v>3.1480333333333337</v>
      </c>
    </row>
    <row r="226" spans="17:18" x14ac:dyDescent="0.3">
      <c r="Q226" s="135" t="s">
        <v>767</v>
      </c>
      <c r="R226" s="28" t="str">
        <f>IFERROR(INDEX(WRmatchups[Projection],MATCH(Table66[Name],WRmatchups[Name],0)),"")</f>
        <v/>
      </c>
    </row>
    <row r="227" spans="17:18" x14ac:dyDescent="0.3">
      <c r="Q227" s="135" t="s">
        <v>228</v>
      </c>
      <c r="R227" s="28">
        <f>IFERROR(INDEX(WRmatchups[Projection],MATCH(Table66[Name],WRmatchups[Name],0)),"")</f>
        <v>5.3097333333333339</v>
      </c>
    </row>
    <row r="228" spans="17:18" x14ac:dyDescent="0.3">
      <c r="Q228" s="135" t="s">
        <v>230</v>
      </c>
      <c r="R228" s="28" t="str">
        <f>IFERROR(INDEX(WRmatchups[Projection],MATCH(Table66[Name],WRmatchups[Name],0)),"")</f>
        <v/>
      </c>
    </row>
    <row r="229" spans="17:18" x14ac:dyDescent="0.3">
      <c r="Q229" s="135" t="s">
        <v>498</v>
      </c>
      <c r="R229" s="28">
        <f>IFERROR(INDEX(WRmatchups[Projection],MATCH(Table66[Name],WRmatchups[Name],0)),"")</f>
        <v>1.5488500000000001</v>
      </c>
    </row>
    <row r="230" spans="17:18" x14ac:dyDescent="0.3">
      <c r="Q230" s="135" t="s">
        <v>267</v>
      </c>
      <c r="R230" s="28">
        <f>IFERROR(INDEX(WRmatchups[Projection],MATCH(Table66[Name],WRmatchups[Name],0)),"")</f>
        <v>2.7519</v>
      </c>
    </row>
    <row r="231" spans="17:18" x14ac:dyDescent="0.3">
      <c r="Q231" s="135" t="s">
        <v>257</v>
      </c>
      <c r="R231" s="28">
        <f>IFERROR(INDEX(WRmatchups[Projection],MATCH(Table66[Name],WRmatchups[Name],0)),"")</f>
        <v>6.4909999999999997</v>
      </c>
    </row>
    <row r="232" spans="17:18" x14ac:dyDescent="0.3">
      <c r="Q232" s="135" t="s">
        <v>274</v>
      </c>
      <c r="R232" s="28" t="str">
        <f>IFERROR(INDEX(WRmatchups[Projection],MATCH(Table66[Name],WRmatchups[Name],0)),"")</f>
        <v/>
      </c>
    </row>
    <row r="233" spans="17:18" x14ac:dyDescent="0.3">
      <c r="Q233" s="135" t="s">
        <v>246</v>
      </c>
      <c r="R233" s="28">
        <f>IFERROR(INDEX(WRmatchups[Projection],MATCH(Table66[Name],WRmatchups[Name],0)),"")</f>
        <v>5.6049000000000007</v>
      </c>
    </row>
    <row r="234" spans="17:18" x14ac:dyDescent="0.3">
      <c r="Q234" s="135" t="s">
        <v>518</v>
      </c>
      <c r="R234" s="28">
        <f>IFERROR(INDEX(WRmatchups[Projection],MATCH(Table66[Name],WRmatchups[Name],0)),"")</f>
        <v>4.3422499999999999</v>
      </c>
    </row>
    <row r="235" spans="17:18" x14ac:dyDescent="0.3">
      <c r="Q235" s="135" t="s">
        <v>286</v>
      </c>
      <c r="R235" s="28" t="str">
        <f>IFERROR(INDEX(WRmatchups[Projection],MATCH(Table66[Name],WRmatchups[Name],0)),"")</f>
        <v/>
      </c>
    </row>
    <row r="236" spans="17:18" x14ac:dyDescent="0.3">
      <c r="Q236" s="135" t="s">
        <v>248</v>
      </c>
      <c r="R236" s="28">
        <f>IFERROR(INDEX(WRmatchups[Projection],MATCH(Table66[Name],WRmatchups[Name],0)),"")</f>
        <v>4.4479666666666677</v>
      </c>
    </row>
    <row r="237" spans="17:18" x14ac:dyDescent="0.3">
      <c r="Q237" s="135" t="s">
        <v>266</v>
      </c>
      <c r="R237" s="28">
        <f>IFERROR(INDEX(WRmatchups[Projection],MATCH(Table66[Name],WRmatchups[Name],0)),"")</f>
        <v>1.9186000000000001</v>
      </c>
    </row>
    <row r="238" spans="17:18" x14ac:dyDescent="0.3">
      <c r="Q238" s="135" t="s">
        <v>489</v>
      </c>
      <c r="R238" s="28">
        <f>IFERROR(INDEX(WRmatchups[Projection],MATCH(Table66[Name],WRmatchups[Name],0)),"")</f>
        <v>2.5519000000000003</v>
      </c>
    </row>
    <row r="239" spans="17:18" x14ac:dyDescent="0.3">
      <c r="Q239" s="135" t="s">
        <v>250</v>
      </c>
      <c r="R239" s="28">
        <f>IFERROR(INDEX(WRmatchups[Projection],MATCH(Table66[Name],WRmatchups[Name],0)),"")</f>
        <v>1.9818500000000001</v>
      </c>
    </row>
    <row r="240" spans="17:18" x14ac:dyDescent="0.3">
      <c r="Q240" s="135" t="s">
        <v>284</v>
      </c>
      <c r="R240" s="28">
        <f>IFERROR(INDEX(WRmatchups[Projection],MATCH(Table66[Name],WRmatchups[Name],0)),"")</f>
        <v>3.5786666666666669</v>
      </c>
    </row>
    <row r="241" spans="17:18" x14ac:dyDescent="0.3">
      <c r="Q241" s="135" t="s">
        <v>304</v>
      </c>
      <c r="R241" s="28">
        <f>IFERROR(INDEX(WRmatchups[Projection],MATCH(Table66[Name],WRmatchups[Name],0)),"")</f>
        <v>1.2926000000000002</v>
      </c>
    </row>
    <row r="242" spans="17:18" x14ac:dyDescent="0.3">
      <c r="Q242" s="135" t="s">
        <v>523</v>
      </c>
      <c r="R242" s="28">
        <f>IFERROR(INDEX(WRmatchups[Projection],MATCH(Table66[Name],WRmatchups[Name],0)),"")</f>
        <v>3.2053500000000001</v>
      </c>
    </row>
    <row r="243" spans="17:18" x14ac:dyDescent="0.3">
      <c r="Q243" s="135" t="s">
        <v>289</v>
      </c>
      <c r="R243" s="28" t="str">
        <f>IFERROR(INDEX(WRmatchups[Projection],MATCH(Table66[Name],WRmatchups[Name],0)),"")</f>
        <v/>
      </c>
    </row>
    <row r="244" spans="17:18" x14ac:dyDescent="0.3">
      <c r="Q244" s="135" t="s">
        <v>235</v>
      </c>
      <c r="R244" s="28" t="str">
        <f>IFERROR(INDEX(WRmatchups[Projection],MATCH(Table66[Name],WRmatchups[Name],0)),"")</f>
        <v/>
      </c>
    </row>
    <row r="245" spans="17:18" x14ac:dyDescent="0.3">
      <c r="Q245" s="135" t="s">
        <v>316</v>
      </c>
      <c r="R245" s="28">
        <f>IFERROR(INDEX(WRmatchups[Projection],MATCH(Table66[Name],WRmatchups[Name],0)),"")</f>
        <v>1.8955500000000001</v>
      </c>
    </row>
    <row r="246" spans="17:18" x14ac:dyDescent="0.3">
      <c r="Q246" s="135" t="s">
        <v>313</v>
      </c>
      <c r="R246" s="28">
        <f>IFERROR(INDEX(WRmatchups[Projection],MATCH(Table66[Name],WRmatchups[Name],0)),"")</f>
        <v>2.8243</v>
      </c>
    </row>
    <row r="247" spans="17:18" x14ac:dyDescent="0.3">
      <c r="Q247" s="135" t="s">
        <v>305</v>
      </c>
      <c r="R247" s="28" t="str">
        <f>IFERROR(INDEX(WRmatchups[Projection],MATCH(Table66[Name],WRmatchups[Name],0)),"")</f>
        <v/>
      </c>
    </row>
    <row r="248" spans="17:18" x14ac:dyDescent="0.3">
      <c r="Q248" s="135" t="s">
        <v>314</v>
      </c>
      <c r="R248" s="28" t="str">
        <f>IFERROR(INDEX(WRmatchups[Projection],MATCH(Table66[Name],WRmatchups[Name],0)),"")</f>
        <v/>
      </c>
    </row>
    <row r="249" spans="17:18" x14ac:dyDescent="0.3">
      <c r="Q249" s="135" t="s">
        <v>264</v>
      </c>
      <c r="R249" s="28">
        <f>IFERROR(INDEX(WRmatchups[Projection],MATCH(Table66[Name],WRmatchups[Name],0)),"")</f>
        <v>3.2259500000000001</v>
      </c>
    </row>
    <row r="250" spans="17:18" x14ac:dyDescent="0.3">
      <c r="Q250" s="135" t="s">
        <v>455</v>
      </c>
      <c r="R250" s="28" t="str">
        <f>IFERROR(INDEX(WRmatchups[Projection],MATCH(Table66[Name],WRmatchups[Name],0)),"")</f>
        <v/>
      </c>
    </row>
    <row r="251" spans="17:18" x14ac:dyDescent="0.3">
      <c r="Q251" s="135" t="s">
        <v>215</v>
      </c>
      <c r="R251" s="28">
        <f>IFERROR(INDEX(TEmatchups[Projection],MATCH(Table66[Name],TEmatchups[Name],0)),"")</f>
        <v>15.337566666666664</v>
      </c>
    </row>
    <row r="252" spans="17:18" x14ac:dyDescent="0.3">
      <c r="Q252" s="135" t="s">
        <v>319</v>
      </c>
      <c r="R252" s="28">
        <f>IFERROR(INDEX(TEmatchups[Projection],MATCH(Table66[Name],TEmatchups[Name],0)),"")</f>
        <v>14.649000000000001</v>
      </c>
    </row>
    <row r="253" spans="17:18" x14ac:dyDescent="0.3">
      <c r="Q253" s="135" t="s">
        <v>323</v>
      </c>
      <c r="R253" s="28">
        <f>IFERROR(INDEX(TEmatchups[Projection],MATCH(Table66[Name],TEmatchups[Name],0)),"")</f>
        <v>14.095766666666668</v>
      </c>
    </row>
    <row r="254" spans="17:18" x14ac:dyDescent="0.3">
      <c r="Q254" s="135" t="s">
        <v>320</v>
      </c>
      <c r="R254" s="28">
        <f>IFERROR(INDEX(TEmatchups[Projection],MATCH(Table66[Name],TEmatchups[Name],0)),"")</f>
        <v>11.143333333333334</v>
      </c>
    </row>
    <row r="255" spans="17:18" x14ac:dyDescent="0.3">
      <c r="Q255" s="135" t="s">
        <v>326</v>
      </c>
      <c r="R255" s="28">
        <f>IFERROR(INDEX(TEmatchups[Projection],MATCH(Table66[Name],TEmatchups[Name],0)),"")</f>
        <v>10.779133333333332</v>
      </c>
    </row>
    <row r="256" spans="17:18" x14ac:dyDescent="0.3">
      <c r="Q256" s="135" t="s">
        <v>325</v>
      </c>
      <c r="R256" s="28" t="str">
        <f>IFERROR(INDEX(TEmatchups[Projection],MATCH(Table66[Name],TEmatchups[Name],0)),"")</f>
        <v/>
      </c>
    </row>
    <row r="257" spans="17:18" x14ac:dyDescent="0.3">
      <c r="Q257" s="135" t="s">
        <v>329</v>
      </c>
      <c r="R257" s="28">
        <f>IFERROR(INDEX(TEmatchups[Projection],MATCH(Table66[Name],TEmatchups[Name],0)),"")</f>
        <v>10.958033333333333</v>
      </c>
    </row>
    <row r="258" spans="17:18" x14ac:dyDescent="0.3">
      <c r="Q258" s="135" t="s">
        <v>308</v>
      </c>
      <c r="R258" s="28">
        <f>IFERROR(INDEX(TEmatchups[Projection],MATCH(Table66[Name],TEmatchups[Name],0)),"")</f>
        <v>10.800766666666668</v>
      </c>
    </row>
    <row r="259" spans="17:18" x14ac:dyDescent="0.3">
      <c r="Q259" s="135" t="s">
        <v>332</v>
      </c>
      <c r="R259" s="28">
        <f>IFERROR(INDEX(TEmatchups[Projection],MATCH(Table66[Name],TEmatchups[Name],0)),"")</f>
        <v>10.6943</v>
      </c>
    </row>
    <row r="260" spans="17:18" x14ac:dyDescent="0.3">
      <c r="Q260" s="135" t="s">
        <v>336</v>
      </c>
      <c r="R260" s="28">
        <f>IFERROR(INDEX(TEmatchups[Projection],MATCH(Table66[Name],TEmatchups[Name],0)),"")</f>
        <v>8.7558000000000007</v>
      </c>
    </row>
    <row r="261" spans="17:18" x14ac:dyDescent="0.3">
      <c r="Q261" s="135" t="s">
        <v>322</v>
      </c>
      <c r="R261" s="28">
        <f>IFERROR(INDEX(TEmatchups[Projection],MATCH(Table66[Name],TEmatchups[Name],0)),"")</f>
        <v>9.5849333333333337</v>
      </c>
    </row>
    <row r="262" spans="17:18" x14ac:dyDescent="0.3">
      <c r="Q262" s="135" t="s">
        <v>357</v>
      </c>
      <c r="R262" s="28">
        <f>IFERROR(INDEX(TEmatchups[Projection],MATCH(Table66[Name],TEmatchups[Name],0)),"")</f>
        <v>9.8072333333333344</v>
      </c>
    </row>
    <row r="263" spans="17:18" x14ac:dyDescent="0.3">
      <c r="Q263" s="135" t="s">
        <v>333</v>
      </c>
      <c r="R263" s="28">
        <f>IFERROR(INDEX(TEmatchups[Projection],MATCH(Table66[Name],TEmatchups[Name],0)),"")</f>
        <v>8.1876999999999995</v>
      </c>
    </row>
    <row r="264" spans="17:18" x14ac:dyDescent="0.3">
      <c r="Q264" s="135" t="s">
        <v>335</v>
      </c>
      <c r="R264" s="28">
        <f>IFERROR(INDEX(TEmatchups[Projection],MATCH(Table66[Name],TEmatchups[Name],0)),"")</f>
        <v>9.8369</v>
      </c>
    </row>
    <row r="265" spans="17:18" x14ac:dyDescent="0.3">
      <c r="Q265" s="135" t="s">
        <v>331</v>
      </c>
      <c r="R265" s="28">
        <f>IFERROR(INDEX(TEmatchups[Projection],MATCH(Table66[Name],TEmatchups[Name],0)),"")</f>
        <v>11.310799999999999</v>
      </c>
    </row>
    <row r="266" spans="17:18" x14ac:dyDescent="0.3">
      <c r="Q266" s="135" t="s">
        <v>354</v>
      </c>
      <c r="R266" s="28">
        <f>IFERROR(INDEX(TEmatchups[Projection],MATCH(Table66[Name],TEmatchups[Name],0)),"")</f>
        <v>8.2797999999999998</v>
      </c>
    </row>
    <row r="267" spans="17:18" x14ac:dyDescent="0.3">
      <c r="Q267" s="135" t="s">
        <v>341</v>
      </c>
      <c r="R267" s="28" t="str">
        <f>IFERROR(INDEX(TEmatchups[Projection],MATCH(Table66[Name],TEmatchups[Name],0)),"")</f>
        <v/>
      </c>
    </row>
    <row r="268" spans="17:18" x14ac:dyDescent="0.3">
      <c r="Q268" s="135" t="s">
        <v>348</v>
      </c>
      <c r="R268" s="28" t="str">
        <f>IFERROR(INDEX(TEmatchups[Projection],MATCH(Table66[Name],TEmatchups[Name],0)),"")</f>
        <v/>
      </c>
    </row>
    <row r="269" spans="17:18" x14ac:dyDescent="0.3">
      <c r="Q269" s="135" t="s">
        <v>334</v>
      </c>
      <c r="R269" s="28">
        <f>IFERROR(INDEX(TEmatchups[Projection],MATCH(Table66[Name],TEmatchups[Name],0)),"")</f>
        <v>10.218033333333333</v>
      </c>
    </row>
    <row r="270" spans="17:18" x14ac:dyDescent="0.3">
      <c r="Q270" s="135" t="s">
        <v>344</v>
      </c>
      <c r="R270" s="28">
        <f>IFERROR(INDEX(TEmatchups[Projection],MATCH(Table66[Name],TEmatchups[Name],0)),"")</f>
        <v>8.0628000000000011</v>
      </c>
    </row>
    <row r="271" spans="17:18" x14ac:dyDescent="0.3">
      <c r="Q271" s="135" t="s">
        <v>328</v>
      </c>
      <c r="R271" s="28">
        <f>IFERROR(INDEX(TEmatchups[Projection],MATCH(Table66[Name],TEmatchups[Name],0)),"")</f>
        <v>10.0115</v>
      </c>
    </row>
    <row r="272" spans="17:18" x14ac:dyDescent="0.3">
      <c r="Q272" s="135" t="s">
        <v>338</v>
      </c>
      <c r="R272" s="28" t="str">
        <f>IFERROR(INDEX(TEmatchups[Projection],MATCH(Table66[Name],TEmatchups[Name],0)),"")</f>
        <v/>
      </c>
    </row>
    <row r="273" spans="17:18" x14ac:dyDescent="0.3">
      <c r="Q273" s="135" t="s">
        <v>366</v>
      </c>
      <c r="R273" s="28" t="str">
        <f>IFERROR(INDEX(TEmatchups[Projection],MATCH(Table66[Name],TEmatchups[Name],0)),"")</f>
        <v/>
      </c>
    </row>
    <row r="274" spans="17:18" x14ac:dyDescent="0.3">
      <c r="Q274" s="135" t="s">
        <v>364</v>
      </c>
      <c r="R274" s="28">
        <f>IFERROR(INDEX(TEmatchups[Projection],MATCH(Table66[Name],TEmatchups[Name],0)),"")</f>
        <v>3.4523999999999999</v>
      </c>
    </row>
    <row r="275" spans="17:18" x14ac:dyDescent="0.3">
      <c r="Q275" s="135" t="s">
        <v>532</v>
      </c>
      <c r="R275" s="28">
        <f>IFERROR(INDEX(TEmatchups[Projection],MATCH(Table66[Name],TEmatchups[Name],0)),"")</f>
        <v>11.679733333333335</v>
      </c>
    </row>
    <row r="276" spans="17:18" x14ac:dyDescent="0.3">
      <c r="Q276" s="135" t="s">
        <v>263</v>
      </c>
      <c r="R276" s="28">
        <f>IFERROR(INDEX(TEmatchups[Projection],MATCH(Table66[Name],TEmatchups[Name],0)),"")</f>
        <v>5.6966333333333337</v>
      </c>
    </row>
    <row r="277" spans="17:18" x14ac:dyDescent="0.3">
      <c r="Q277" s="135" t="s">
        <v>383</v>
      </c>
      <c r="R277" s="28">
        <f>IFERROR(INDEX(TEmatchups[Projection],MATCH(Table66[Name],TEmatchups[Name],0)),"")</f>
        <v>6.1102666666666678</v>
      </c>
    </row>
    <row r="278" spans="17:18" x14ac:dyDescent="0.3">
      <c r="Q278" s="135" t="s">
        <v>377</v>
      </c>
      <c r="R278" s="28" t="str">
        <f>IFERROR(INDEX(TEmatchups[Projection],MATCH(Table66[Name],TEmatchups[Name],0)),"")</f>
        <v/>
      </c>
    </row>
    <row r="279" spans="17:18" x14ac:dyDescent="0.3">
      <c r="Q279" s="135" t="s">
        <v>340</v>
      </c>
      <c r="R279" s="28">
        <f>IFERROR(INDEX(TEmatchups[Projection],MATCH(Table66[Name],TEmatchups[Name],0)),"")</f>
        <v>8.2108666666666661</v>
      </c>
    </row>
    <row r="280" spans="17:18" x14ac:dyDescent="0.3">
      <c r="Q280" s="135" t="s">
        <v>343</v>
      </c>
      <c r="R280" s="28" t="str">
        <f>IFERROR(INDEX(TEmatchups[Projection],MATCH(Table66[Name],TEmatchups[Name],0)),"")</f>
        <v/>
      </c>
    </row>
    <row r="281" spans="17:18" x14ac:dyDescent="0.3">
      <c r="Q281" s="135" t="s">
        <v>368</v>
      </c>
      <c r="R281" s="28">
        <f>IFERROR(INDEX(TEmatchups[Projection],MATCH(Table66[Name],TEmatchups[Name],0)),"")</f>
        <v>8.2107333333333337</v>
      </c>
    </row>
    <row r="282" spans="17:18" x14ac:dyDescent="0.3">
      <c r="Q282" s="135" t="s">
        <v>330</v>
      </c>
      <c r="R282" s="28">
        <f>IFERROR(INDEX(TEmatchups[Projection],MATCH(Table66[Name],TEmatchups[Name],0)),"")</f>
        <v>3.7538333333333336</v>
      </c>
    </row>
    <row r="283" spans="17:18" x14ac:dyDescent="0.3">
      <c r="Q283" s="135" t="s">
        <v>244</v>
      </c>
      <c r="R283" s="28">
        <f>IFERROR(INDEX(TEmatchups[Projection],MATCH(Table66[Name],TEmatchups[Name],0)),"")</f>
        <v>4.6547666666666672</v>
      </c>
    </row>
    <row r="284" spans="17:18" x14ac:dyDescent="0.3">
      <c r="Q284" s="135" t="s">
        <v>324</v>
      </c>
      <c r="R284" s="28" t="str">
        <f>IFERROR(INDEX(TEmatchups[Projection],MATCH(Table66[Name],TEmatchups[Name],0)),"")</f>
        <v/>
      </c>
    </row>
    <row r="285" spans="17:18" x14ac:dyDescent="0.3">
      <c r="Q285" s="135" t="s">
        <v>327</v>
      </c>
      <c r="R285" s="28" t="str">
        <f>IFERROR(INDEX(TEmatchups[Projection],MATCH(Table66[Name],TEmatchups[Name],0)),"")</f>
        <v/>
      </c>
    </row>
    <row r="286" spans="17:18" x14ac:dyDescent="0.3">
      <c r="Q286" s="135" t="s">
        <v>339</v>
      </c>
      <c r="R286" s="28">
        <f>IFERROR(INDEX(TEmatchups[Projection],MATCH(Table66[Name],TEmatchups[Name],0)),"")</f>
        <v>4.9331666666666667</v>
      </c>
    </row>
    <row r="287" spans="17:18" x14ac:dyDescent="0.3">
      <c r="Q287" s="135" t="s">
        <v>342</v>
      </c>
      <c r="R287" s="28">
        <f>IFERROR(INDEX(TEmatchups[Projection],MATCH(Table66[Name],TEmatchups[Name],0)),"")</f>
        <v>3.9020333333333337</v>
      </c>
    </row>
    <row r="288" spans="17:18" x14ac:dyDescent="0.3">
      <c r="Q288" s="135" t="s">
        <v>551</v>
      </c>
      <c r="R288" s="28" t="str">
        <f>IFERROR(INDEX(TEmatchups[Projection],MATCH(Table66[Name],TEmatchups[Name],0)),"")</f>
        <v/>
      </c>
    </row>
    <row r="289" spans="17:18" x14ac:dyDescent="0.3">
      <c r="Q289" s="135" t="s">
        <v>361</v>
      </c>
      <c r="R289" s="28">
        <f>IFERROR(INDEX(TEmatchups[Projection],MATCH(Table66[Name],TEmatchups[Name],0)),"")</f>
        <v>4.4269333333333334</v>
      </c>
    </row>
    <row r="290" spans="17:18" x14ac:dyDescent="0.3">
      <c r="Q290" s="135" t="s">
        <v>352</v>
      </c>
      <c r="R290" s="28">
        <f>IFERROR(INDEX(TEmatchups[Projection],MATCH(Table66[Name],TEmatchups[Name],0)),"")</f>
        <v>3.3321000000000001</v>
      </c>
    </row>
    <row r="291" spans="17:18" x14ac:dyDescent="0.3">
      <c r="Q291" s="135" t="s">
        <v>337</v>
      </c>
      <c r="R291" s="28">
        <f>IFERROR(INDEX(TEmatchups[Projection],MATCH(Table66[Name],TEmatchups[Name],0)),"")</f>
        <v>5.5891999999999999</v>
      </c>
    </row>
    <row r="292" spans="17:18" x14ac:dyDescent="0.3">
      <c r="Q292" s="135" t="s">
        <v>353</v>
      </c>
      <c r="R292" s="28">
        <f>IFERROR(INDEX(TEmatchups[Projection],MATCH(Table66[Name],TEmatchups[Name],0)),"")</f>
        <v>1.8236500000000002</v>
      </c>
    </row>
    <row r="293" spans="17:18" x14ac:dyDescent="0.3">
      <c r="Q293" s="135" t="s">
        <v>559</v>
      </c>
      <c r="R293" s="28">
        <f>IFERROR(INDEX(TEmatchups[Projection],MATCH(Table66[Name],TEmatchups[Name],0)),"")</f>
        <v>11.321666666666665</v>
      </c>
    </row>
    <row r="294" spans="17:18" x14ac:dyDescent="0.3">
      <c r="Q294" s="135" t="s">
        <v>351</v>
      </c>
      <c r="R294" s="28">
        <f>IFERROR(INDEX(TEmatchups[Projection],MATCH(Table66[Name],TEmatchups[Name],0)),"")</f>
        <v>2.5212666666666665</v>
      </c>
    </row>
    <row r="295" spans="17:18" x14ac:dyDescent="0.3">
      <c r="Q295" s="135" t="s">
        <v>346</v>
      </c>
      <c r="R295" s="28" t="str">
        <f>IFERROR(INDEX(TEmatchups[Projection],MATCH(Table66[Name],TEmatchups[Name],0)),"")</f>
        <v/>
      </c>
    </row>
    <row r="296" spans="17:18" x14ac:dyDescent="0.3">
      <c r="Q296" s="135" t="s">
        <v>386</v>
      </c>
      <c r="R296" s="28" t="str">
        <f>IFERROR(INDEX(TEmatchups[Projection],MATCH(Table66[Name],TEmatchups[Name],0)),"")</f>
        <v/>
      </c>
    </row>
    <row r="297" spans="17:18" x14ac:dyDescent="0.3">
      <c r="Q297" s="135" t="s">
        <v>345</v>
      </c>
      <c r="R297" s="28">
        <f>IFERROR(INDEX(TEmatchups[Projection],MATCH(Table66[Name],TEmatchups[Name],0)),"")</f>
        <v>5.4503333333333339</v>
      </c>
    </row>
    <row r="298" spans="17:18" x14ac:dyDescent="0.3">
      <c r="Q298" s="135" t="s">
        <v>558</v>
      </c>
      <c r="R298" s="28">
        <f>IFERROR(INDEX(TEmatchups[Projection],MATCH(Table66[Name],TEmatchups[Name],0)),"")</f>
        <v>3.116366666666667</v>
      </c>
    </row>
    <row r="299" spans="17:18" x14ac:dyDescent="0.3">
      <c r="Q299" s="135" t="s">
        <v>350</v>
      </c>
      <c r="R299" s="28">
        <f>IFERROR(INDEX(TEmatchups[Projection],MATCH(Table66[Name],TEmatchups[Name],0)),"")</f>
        <v>0.59470000000000001</v>
      </c>
    </row>
    <row r="300" spans="17:18" x14ac:dyDescent="0.3">
      <c r="Q300" s="135" t="s">
        <v>769</v>
      </c>
      <c r="R300" s="28">
        <f>IFERROR(INDEX(TEmatchups[Projection],MATCH(Table66[Name],TEmatchups[Name],0)),"")</f>
        <v>1.8531</v>
      </c>
    </row>
    <row r="301" spans="17:18" x14ac:dyDescent="0.3">
      <c r="Q301" s="135" t="s">
        <v>362</v>
      </c>
      <c r="R301" s="28">
        <f>IFERROR(INDEX(TEmatchups[Projection],MATCH(Table66[Name],TEmatchups[Name],0)),"")</f>
        <v>8.598233333333333</v>
      </c>
    </row>
    <row r="302" spans="17:18" x14ac:dyDescent="0.3">
      <c r="Q302" s="135" t="s">
        <v>545</v>
      </c>
      <c r="R302" s="28" t="str">
        <f>IFERROR(INDEX(TEmatchups[Projection],MATCH(Table66[Name],TEmatchups[Name],0)),"")</f>
        <v/>
      </c>
    </row>
    <row r="303" spans="17:18" x14ac:dyDescent="0.3">
      <c r="Q303" s="135" t="s">
        <v>374</v>
      </c>
      <c r="R303" s="28">
        <f>IFERROR(INDEX(TEmatchups[Projection],MATCH(Table66[Name],TEmatchups[Name],0)),"")</f>
        <v>1.5384500000000001</v>
      </c>
    </row>
    <row r="304" spans="17:18" x14ac:dyDescent="0.3">
      <c r="Q304" s="135" t="s">
        <v>381</v>
      </c>
      <c r="R304" s="28">
        <f>IFERROR(INDEX(TEmatchups[Projection],MATCH(Table66[Name],TEmatchups[Name],0)),"")</f>
        <v>0.97394999999999998</v>
      </c>
    </row>
    <row r="305" spans="17:18" x14ac:dyDescent="0.3">
      <c r="Q305" s="135" t="s">
        <v>358</v>
      </c>
      <c r="R305" s="28">
        <f>IFERROR(INDEX(TEmatchups[Projection],MATCH(Table66[Name],TEmatchups[Name],0)),"")</f>
        <v>1.0691999999999999</v>
      </c>
    </row>
    <row r="306" spans="17:18" x14ac:dyDescent="0.3">
      <c r="Q306" s="135" t="s">
        <v>1255</v>
      </c>
      <c r="R306" s="28">
        <f>IFERROR(INDEX(TEmatchups[Projection],MATCH(Table66[Name],TEmatchups[Name],0)),"")</f>
        <v>2.4274500000000003</v>
      </c>
    </row>
    <row r="307" spans="17:18" x14ac:dyDescent="0.3">
      <c r="Q307" s="135" t="s">
        <v>349</v>
      </c>
      <c r="R307" s="28">
        <f>IFERROR(INDEX(TEmatchups[Projection],MATCH(Table66[Name],TEmatchups[Name],0)),"")</f>
        <v>3.1257333333333337</v>
      </c>
    </row>
    <row r="308" spans="17:18" x14ac:dyDescent="0.3">
      <c r="Q308" s="135" t="s">
        <v>1253</v>
      </c>
      <c r="R308" s="28">
        <f>IFERROR(INDEX(TEmatchups[Projection],MATCH(Table66[Name],TEmatchups[Name],0)),"")</f>
        <v>2.5562333333333331</v>
      </c>
    </row>
    <row r="309" spans="17:18" x14ac:dyDescent="0.3">
      <c r="Q309" s="135" t="s">
        <v>359</v>
      </c>
      <c r="R309" s="28">
        <f>IFERROR(INDEX(TEmatchups[Projection],MATCH(Table66[Name],TEmatchups[Name],0)),"")</f>
        <v>1.0371000000000001</v>
      </c>
    </row>
    <row r="310" spans="17:18" x14ac:dyDescent="0.3">
      <c r="Q310" s="135" t="s">
        <v>356</v>
      </c>
      <c r="R310" s="28">
        <f>IFERROR(INDEX(TEmatchups[Projection],MATCH(Table66[Name],TEmatchups[Name],0)),"")</f>
        <v>1.7901</v>
      </c>
    </row>
    <row r="311" spans="17:18" x14ac:dyDescent="0.3">
      <c r="Q311" s="135" t="s">
        <v>1254</v>
      </c>
      <c r="R311" s="28">
        <f>IFERROR(INDEX(TEmatchups[Projection],MATCH(Table66[Name],TEmatchups[Name],0)),"")</f>
        <v>0.80360000000000009</v>
      </c>
    </row>
    <row r="312" spans="17:18" x14ac:dyDescent="0.3">
      <c r="Q312" s="135" t="s">
        <v>367</v>
      </c>
      <c r="R312" s="28">
        <f>IFERROR(INDEX(TEmatchups[Projection],MATCH(Table66[Name],TEmatchups[Name],0)),"")</f>
        <v>2.6325499999999997</v>
      </c>
    </row>
    <row r="313" spans="17:18" x14ac:dyDescent="0.3">
      <c r="Q313" s="135" t="s">
        <v>557</v>
      </c>
      <c r="R313" s="28">
        <f>IFERROR(INDEX(TEmatchups[Projection],MATCH(Table66[Name],TEmatchups[Name],0)),"")</f>
        <v>1.4045000000000001</v>
      </c>
    </row>
    <row r="314" spans="17:18" x14ac:dyDescent="0.3">
      <c r="Q314" s="135" t="s">
        <v>1560</v>
      </c>
      <c r="R314" s="28" t="str">
        <f>IFERROR(INDEX(TEmatchups[Projection],MATCH(Table66[Name],TEmatchups[Name],0)),"")</f>
        <v/>
      </c>
    </row>
    <row r="315" spans="17:18" x14ac:dyDescent="0.3">
      <c r="Q315" s="135" t="s">
        <v>546</v>
      </c>
      <c r="R315" s="28">
        <f>IFERROR(INDEX(TEmatchups[Projection],MATCH(Table66[Name],TEmatchups[Name],0)),"")</f>
        <v>0.34870000000000001</v>
      </c>
    </row>
    <row r="316" spans="17:18" x14ac:dyDescent="0.3">
      <c r="Q316" s="135" t="s">
        <v>554</v>
      </c>
      <c r="R316" s="28" t="str">
        <f>IFERROR(INDEX(TEmatchups[Projection],MATCH(Table66[Name],TEmatchups[Name],0)),"")</f>
        <v/>
      </c>
    </row>
    <row r="317" spans="17:18" x14ac:dyDescent="0.3">
      <c r="Q317" s="135" t="s">
        <v>360</v>
      </c>
      <c r="R317" s="28">
        <f>IFERROR(INDEX(TEmatchups[Projection],MATCH(Table66[Name],TEmatchups[Name],0)),"")</f>
        <v>1.3160499999999999</v>
      </c>
    </row>
    <row r="318" spans="17:18" x14ac:dyDescent="0.3">
      <c r="Q318" s="135" t="s">
        <v>547</v>
      </c>
      <c r="R318" s="28">
        <f>IFERROR(INDEX(TEmatchups[Projection],MATCH(Table66[Name],TEmatchups[Name],0)),"")</f>
        <v>0.86280000000000001</v>
      </c>
    </row>
    <row r="319" spans="17:18" x14ac:dyDescent="0.3">
      <c r="Q319" s="135" t="s">
        <v>98</v>
      </c>
      <c r="R319" s="28">
        <f>IFERROR(INDEX(TEmatchups[Projection],MATCH(Table66[Name],TEmatchups[Name],0)),"")</f>
        <v>1.0671000000000002</v>
      </c>
    </row>
    <row r="320" spans="17:18" x14ac:dyDescent="0.3">
      <c r="Q320" s="135" t="s">
        <v>543</v>
      </c>
      <c r="R320" s="28">
        <f>IFERROR(INDEX(TEmatchups[Projection],MATCH(Table66[Name],TEmatchups[Name],0)),"")</f>
        <v>0.8769499999999999</v>
      </c>
    </row>
    <row r="321" spans="17:18" x14ac:dyDescent="0.3">
      <c r="Q321" s="135" t="s">
        <v>1262</v>
      </c>
      <c r="R321" s="28">
        <v>9.3666666666666671</v>
      </c>
    </row>
    <row r="322" spans="17:18" x14ac:dyDescent="0.3">
      <c r="Q322" s="135" t="s">
        <v>1279</v>
      </c>
      <c r="R322" s="28">
        <v>9.1</v>
      </c>
    </row>
    <row r="323" spans="17:18" x14ac:dyDescent="0.3">
      <c r="Q323" s="135" t="s">
        <v>1271</v>
      </c>
      <c r="R323" s="28">
        <v>9</v>
      </c>
    </row>
    <row r="324" spans="17:18" x14ac:dyDescent="0.3">
      <c r="Q324" s="135" t="s">
        <v>1267</v>
      </c>
      <c r="R324" s="28">
        <v>8.0666666666666682</v>
      </c>
    </row>
    <row r="325" spans="17:18" x14ac:dyDescent="0.3">
      <c r="Q325" s="135" t="s">
        <v>1273</v>
      </c>
      <c r="R325" s="28">
        <v>8.2333333333333325</v>
      </c>
    </row>
    <row r="326" spans="17:18" x14ac:dyDescent="0.3">
      <c r="Q326" s="135" t="s">
        <v>1266</v>
      </c>
      <c r="R326" s="28">
        <v>8.5333333333333332</v>
      </c>
    </row>
    <row r="327" spans="17:18" x14ac:dyDescent="0.3">
      <c r="Q327" s="135" t="s">
        <v>1263</v>
      </c>
      <c r="R327" s="28">
        <v>9.1</v>
      </c>
    </row>
    <row r="328" spans="17:18" x14ac:dyDescent="0.3">
      <c r="Q328" s="135" t="s">
        <v>1260</v>
      </c>
      <c r="R328" s="28">
        <v>8.9666666666666668</v>
      </c>
    </row>
    <row r="329" spans="17:18" x14ac:dyDescent="0.3">
      <c r="Q329" s="135" t="s">
        <v>1268</v>
      </c>
      <c r="R329" s="28">
        <v>8.2333333333333343</v>
      </c>
    </row>
    <row r="330" spans="17:18" x14ac:dyDescent="0.3">
      <c r="Q330" s="135" t="s">
        <v>1258</v>
      </c>
      <c r="R330" s="28">
        <v>8.0333333333333332</v>
      </c>
    </row>
    <row r="331" spans="17:18" x14ac:dyDescent="0.3">
      <c r="Q331" s="135" t="s">
        <v>1259</v>
      </c>
      <c r="R331" s="28">
        <v>8.8333333333333339</v>
      </c>
    </row>
    <row r="332" spans="17:18" x14ac:dyDescent="0.3">
      <c r="Q332" s="135" t="s">
        <v>1768</v>
      </c>
      <c r="R332" s="28">
        <v>8.3666666666666671</v>
      </c>
    </row>
    <row r="333" spans="17:18" x14ac:dyDescent="0.3">
      <c r="Q333" s="135" t="s">
        <v>1275</v>
      </c>
      <c r="R333" s="28">
        <v>7.9666666666666659</v>
      </c>
    </row>
    <row r="334" spans="17:18" x14ac:dyDescent="0.3">
      <c r="Q334" s="135" t="s">
        <v>1286</v>
      </c>
      <c r="R334" s="28">
        <v>8.5666666666666682</v>
      </c>
    </row>
    <row r="335" spans="17:18" x14ac:dyDescent="0.3">
      <c r="Q335" s="135" t="s">
        <v>1265</v>
      </c>
      <c r="R335" s="28">
        <v>8.2999999999999989</v>
      </c>
    </row>
    <row r="336" spans="17:18" x14ac:dyDescent="0.3">
      <c r="Q336" s="135" t="s">
        <v>1277</v>
      </c>
      <c r="R336" s="28">
        <v>8.0666666666666682</v>
      </c>
    </row>
    <row r="337" spans="17:18" x14ac:dyDescent="0.3">
      <c r="Q337" s="135" t="s">
        <v>1264</v>
      </c>
      <c r="R337" s="28">
        <v>7.833333333333333</v>
      </c>
    </row>
    <row r="338" spans="17:18" x14ac:dyDescent="0.3">
      <c r="Q338" s="135" t="s">
        <v>1269</v>
      </c>
      <c r="R338" s="28">
        <v>7.9333333333333336</v>
      </c>
    </row>
    <row r="339" spans="17:18" x14ac:dyDescent="0.3">
      <c r="Q339" s="135" t="s">
        <v>1281</v>
      </c>
      <c r="R339" s="28">
        <v>7.7666666666666666</v>
      </c>
    </row>
    <row r="340" spans="17:18" x14ac:dyDescent="0.3">
      <c r="Q340" s="135" t="s">
        <v>1261</v>
      </c>
      <c r="R340" s="28">
        <v>7.8666666666666671</v>
      </c>
    </row>
    <row r="341" spans="17:18" x14ac:dyDescent="0.3">
      <c r="Q341" s="135" t="s">
        <v>1278</v>
      </c>
      <c r="R341" s="28">
        <v>7.7</v>
      </c>
    </row>
    <row r="342" spans="17:18" x14ac:dyDescent="0.3">
      <c r="Q342" s="135" t="s">
        <v>1274</v>
      </c>
      <c r="R342" s="28">
        <v>7.333333333333333</v>
      </c>
    </row>
    <row r="343" spans="17:18" x14ac:dyDescent="0.3">
      <c r="Q343" s="135" t="s">
        <v>1272</v>
      </c>
      <c r="R343" s="28">
        <v>7.7333333333333343</v>
      </c>
    </row>
    <row r="344" spans="17:18" x14ac:dyDescent="0.3">
      <c r="Q344" s="135" t="s">
        <v>1287</v>
      </c>
      <c r="R344" s="28">
        <v>7.3</v>
      </c>
    </row>
    <row r="345" spans="17:18" x14ac:dyDescent="0.3">
      <c r="Q345" s="135" t="s">
        <v>1285</v>
      </c>
      <c r="R345" s="28">
        <v>7.666666666666667</v>
      </c>
    </row>
    <row r="346" spans="17:18" x14ac:dyDescent="0.3">
      <c r="Q346" s="135" t="s">
        <v>1270</v>
      </c>
      <c r="R346" s="28">
        <v>7.4333333333333327</v>
      </c>
    </row>
    <row r="347" spans="17:18" x14ac:dyDescent="0.3">
      <c r="Q347" s="135" t="s">
        <v>1280</v>
      </c>
      <c r="R347" s="28">
        <v>7.3</v>
      </c>
    </row>
    <row r="348" spans="17:18" x14ac:dyDescent="0.3">
      <c r="Q348" s="135" t="s">
        <v>1283</v>
      </c>
      <c r="R348" s="28">
        <v>7.666666666666667</v>
      </c>
    </row>
    <row r="349" spans="17:18" x14ac:dyDescent="0.3">
      <c r="Q349" s="135" t="s">
        <v>1284</v>
      </c>
      <c r="R349" s="28">
        <v>7.5</v>
      </c>
    </row>
    <row r="350" spans="17:18" x14ac:dyDescent="0.3">
      <c r="Q350" s="135" t="s">
        <v>1282</v>
      </c>
      <c r="R350" s="28">
        <v>7.1999999999999993</v>
      </c>
    </row>
    <row r="351" spans="17:18" x14ac:dyDescent="0.3">
      <c r="Q351" s="135" t="s">
        <v>852</v>
      </c>
      <c r="R351" s="28">
        <v>9.75</v>
      </c>
    </row>
    <row r="352" spans="17:18" x14ac:dyDescent="0.3">
      <c r="Q352" s="135" t="s">
        <v>831</v>
      </c>
      <c r="R352" s="28">
        <v>9.6999999999999993</v>
      </c>
    </row>
    <row r="353" spans="17:18" x14ac:dyDescent="0.3">
      <c r="Q353" s="135" t="s">
        <v>850</v>
      </c>
      <c r="R353" s="28">
        <v>9.5</v>
      </c>
    </row>
    <row r="354" spans="17:18" x14ac:dyDescent="0.3">
      <c r="Q354" s="135" t="s">
        <v>857</v>
      </c>
      <c r="R354" s="28">
        <v>9.4499999999999993</v>
      </c>
    </row>
    <row r="355" spans="17:18" x14ac:dyDescent="0.3">
      <c r="Q355" s="135" t="s">
        <v>835</v>
      </c>
      <c r="R355" s="28">
        <v>9.4</v>
      </c>
    </row>
    <row r="356" spans="17:18" x14ac:dyDescent="0.3">
      <c r="Q356" s="135" t="s">
        <v>854</v>
      </c>
      <c r="R356" s="28">
        <v>9.35</v>
      </c>
    </row>
    <row r="357" spans="17:18" x14ac:dyDescent="0.3">
      <c r="Q357" s="135" t="s">
        <v>840</v>
      </c>
      <c r="R357" s="28">
        <v>9.0500000000000007</v>
      </c>
    </row>
    <row r="358" spans="17:18" x14ac:dyDescent="0.3">
      <c r="Q358" s="135" t="s">
        <v>858</v>
      </c>
      <c r="R358" s="28">
        <v>8.8999999999999986</v>
      </c>
    </row>
    <row r="359" spans="17:18" x14ac:dyDescent="0.3">
      <c r="Q359" s="135" t="s">
        <v>856</v>
      </c>
      <c r="R359" s="28">
        <v>8.65</v>
      </c>
    </row>
    <row r="360" spans="17:18" x14ac:dyDescent="0.3">
      <c r="Q360" s="135" t="s">
        <v>832</v>
      </c>
      <c r="R360" s="28">
        <v>8.4499999999999993</v>
      </c>
    </row>
    <row r="361" spans="17:18" x14ac:dyDescent="0.3">
      <c r="Q361" s="135" t="s">
        <v>847</v>
      </c>
      <c r="R361" s="28">
        <v>8.35</v>
      </c>
    </row>
    <row r="362" spans="17:18" x14ac:dyDescent="0.3">
      <c r="Q362" s="135" t="s">
        <v>851</v>
      </c>
      <c r="R362" s="28">
        <v>8.3000000000000007</v>
      </c>
    </row>
    <row r="363" spans="17:18" x14ac:dyDescent="0.3">
      <c r="Q363" s="135" t="s">
        <v>841</v>
      </c>
      <c r="R363" s="28">
        <v>8.1499999999999986</v>
      </c>
    </row>
    <row r="364" spans="17:18" x14ac:dyDescent="0.3">
      <c r="Q364" s="135" t="s">
        <v>842</v>
      </c>
      <c r="R364" s="28">
        <v>7.5500000000000007</v>
      </c>
    </row>
    <row r="365" spans="17:18" x14ac:dyDescent="0.3">
      <c r="Q365" s="135" t="s">
        <v>849</v>
      </c>
      <c r="R365" s="28">
        <v>7.4499999999999993</v>
      </c>
    </row>
    <row r="366" spans="17:18" x14ac:dyDescent="0.3">
      <c r="Q366" s="135" t="s">
        <v>833</v>
      </c>
      <c r="R366" s="28">
        <v>7.25</v>
      </c>
    </row>
    <row r="367" spans="17:18" x14ac:dyDescent="0.3">
      <c r="Q367" s="135" t="s">
        <v>830</v>
      </c>
      <c r="R367" s="28">
        <v>7.2</v>
      </c>
    </row>
    <row r="368" spans="17:18" x14ac:dyDescent="0.3">
      <c r="Q368" s="135" t="s">
        <v>834</v>
      </c>
      <c r="R368" s="28">
        <v>7.1</v>
      </c>
    </row>
    <row r="369" spans="17:18" x14ac:dyDescent="0.3">
      <c r="Q369" s="135" t="s">
        <v>853</v>
      </c>
      <c r="R369" s="28">
        <v>7.1</v>
      </c>
    </row>
    <row r="370" spans="17:18" x14ac:dyDescent="0.3">
      <c r="Q370" s="135" t="s">
        <v>836</v>
      </c>
      <c r="R370" s="28">
        <v>7.0500000000000007</v>
      </c>
    </row>
    <row r="371" spans="17:18" x14ac:dyDescent="0.3">
      <c r="Q371" s="135" t="s">
        <v>839</v>
      </c>
      <c r="R371" s="28">
        <v>7.0500000000000007</v>
      </c>
    </row>
    <row r="372" spans="17:18" x14ac:dyDescent="0.3">
      <c r="Q372" s="135" t="s">
        <v>848</v>
      </c>
      <c r="R372" s="28">
        <v>7.05</v>
      </c>
    </row>
    <row r="373" spans="17:18" x14ac:dyDescent="0.3">
      <c r="Q373" s="135" t="s">
        <v>829</v>
      </c>
      <c r="R373" s="28">
        <v>7</v>
      </c>
    </row>
    <row r="374" spans="17:18" x14ac:dyDescent="0.3">
      <c r="Q374" s="135" t="s">
        <v>845</v>
      </c>
      <c r="R374" s="28">
        <v>6.95</v>
      </c>
    </row>
    <row r="375" spans="17:18" x14ac:dyDescent="0.3">
      <c r="Q375" s="135" t="s">
        <v>838</v>
      </c>
      <c r="R375" s="28">
        <v>6.9</v>
      </c>
    </row>
    <row r="376" spans="17:18" x14ac:dyDescent="0.3">
      <c r="Q376" s="135" t="s">
        <v>827</v>
      </c>
      <c r="R376" s="28">
        <v>6.8</v>
      </c>
    </row>
    <row r="377" spans="17:18" x14ac:dyDescent="0.3">
      <c r="Q377" s="135" t="s">
        <v>855</v>
      </c>
      <c r="R377" s="28">
        <v>6.6</v>
      </c>
    </row>
    <row r="378" spans="17:18" x14ac:dyDescent="0.3">
      <c r="Q378" s="135" t="s">
        <v>859</v>
      </c>
      <c r="R378" s="28">
        <v>6.55</v>
      </c>
    </row>
    <row r="379" spans="17:18" x14ac:dyDescent="0.3">
      <c r="Q379" s="135" t="s">
        <v>843</v>
      </c>
      <c r="R379" s="28">
        <v>6.45</v>
      </c>
    </row>
    <row r="380" spans="17:18" x14ac:dyDescent="0.3">
      <c r="Q380" s="135" t="s">
        <v>828</v>
      </c>
      <c r="R380" s="28">
        <v>6.25</v>
      </c>
    </row>
    <row r="381" spans="17:18" x14ac:dyDescent="0.3">
      <c r="Q381" s="135" t="s">
        <v>846</v>
      </c>
      <c r="R381" s="28">
        <v>6.05</v>
      </c>
    </row>
    <row r="382" spans="17:18" x14ac:dyDescent="0.3">
      <c r="R382" s="28" t="s">
        <v>2521</v>
      </c>
    </row>
    <row r="383" spans="17:18" x14ac:dyDescent="0.3">
      <c r="R383" s="28" t="s">
        <v>2521</v>
      </c>
    </row>
    <row r="384" spans="17:18" x14ac:dyDescent="0.3">
      <c r="R384" s="28" t="s">
        <v>2521</v>
      </c>
    </row>
    <row r="385" spans="18:18" x14ac:dyDescent="0.3">
      <c r="R385" s="28" t="s">
        <v>2521</v>
      </c>
    </row>
    <row r="386" spans="18:18" x14ac:dyDescent="0.3">
      <c r="R386" s="28" t="s">
        <v>2521</v>
      </c>
    </row>
    <row r="387" spans="18:18" x14ac:dyDescent="0.3">
      <c r="R387" s="28" t="s">
        <v>2521</v>
      </c>
    </row>
    <row r="388" spans="18:18" x14ac:dyDescent="0.3">
      <c r="R388" s="28" t="s">
        <v>2521</v>
      </c>
    </row>
    <row r="389" spans="18:18" x14ac:dyDescent="0.3">
      <c r="R389" s="28" t="s">
        <v>2521</v>
      </c>
    </row>
    <row r="390" spans="18:18" x14ac:dyDescent="0.3">
      <c r="R390" s="28" t="s">
        <v>2521</v>
      </c>
    </row>
    <row r="391" spans="18:18" x14ac:dyDescent="0.3">
      <c r="R391" s="28" t="s">
        <v>2521</v>
      </c>
    </row>
    <row r="392" spans="18:18" x14ac:dyDescent="0.3">
      <c r="R392" s="28" t="s">
        <v>2521</v>
      </c>
    </row>
    <row r="393" spans="18:18" x14ac:dyDescent="0.3">
      <c r="R393" s="28" t="s">
        <v>2521</v>
      </c>
    </row>
    <row r="394" spans="18:18" x14ac:dyDescent="0.3">
      <c r="R394" s="28" t="s">
        <v>2521</v>
      </c>
    </row>
    <row r="395" spans="18:18" x14ac:dyDescent="0.3">
      <c r="R395" s="28" t="s">
        <v>2521</v>
      </c>
    </row>
    <row r="396" spans="18:18" x14ac:dyDescent="0.3">
      <c r="R396" s="28" t="s">
        <v>2521</v>
      </c>
    </row>
    <row r="397" spans="18:18" x14ac:dyDescent="0.3">
      <c r="R397" s="28" t="s">
        <v>2521</v>
      </c>
    </row>
    <row r="398" spans="18:18" x14ac:dyDescent="0.3">
      <c r="R398" s="28" t="s">
        <v>2521</v>
      </c>
    </row>
    <row r="399" spans="18:18" x14ac:dyDescent="0.3">
      <c r="R399" s="28" t="s">
        <v>2521</v>
      </c>
    </row>
    <row r="400" spans="18:18" x14ac:dyDescent="0.3">
      <c r="R400" s="28" t="s">
        <v>2521</v>
      </c>
    </row>
    <row r="401" spans="18:18" x14ac:dyDescent="0.3">
      <c r="R401" s="28" t="s">
        <v>2521</v>
      </c>
    </row>
    <row r="402" spans="18:18" x14ac:dyDescent="0.3">
      <c r="R402" s="28" t="s">
        <v>2521</v>
      </c>
    </row>
    <row r="403" spans="18:18" x14ac:dyDescent="0.3">
      <c r="R403" s="28" t="s">
        <v>2521</v>
      </c>
    </row>
    <row r="404" spans="18:18" x14ac:dyDescent="0.3">
      <c r="R404" s="28" t="s">
        <v>2521</v>
      </c>
    </row>
    <row r="405" spans="18:18" x14ac:dyDescent="0.3">
      <c r="R405" s="28" t="s">
        <v>2521</v>
      </c>
    </row>
    <row r="406" spans="18:18" x14ac:dyDescent="0.3">
      <c r="R406" s="28" t="s">
        <v>2521</v>
      </c>
    </row>
    <row r="407" spans="18:18" x14ac:dyDescent="0.3">
      <c r="R407" s="28" t="s">
        <v>2521</v>
      </c>
    </row>
    <row r="408" spans="18:18" x14ac:dyDescent="0.3">
      <c r="R408" s="28" t="s">
        <v>2521</v>
      </c>
    </row>
    <row r="409" spans="18:18" x14ac:dyDescent="0.3">
      <c r="R409" s="28" t="s">
        <v>2521</v>
      </c>
    </row>
    <row r="410" spans="18:18" x14ac:dyDescent="0.3">
      <c r="R410" s="28" t="s">
        <v>2521</v>
      </c>
    </row>
  </sheetData>
  <mergeCells count="6">
    <mergeCell ref="Q1:R1"/>
    <mergeCell ref="A1:B1"/>
    <mergeCell ref="D1:E1"/>
    <mergeCell ref="G1:H1"/>
    <mergeCell ref="J1:K1"/>
    <mergeCell ref="N1:O1"/>
  </mergeCells>
  <conditionalFormatting sqref="B3:B67">
    <cfRule type="colorScale" priority="7">
      <colorScale>
        <cfvo type="min"/>
        <cfvo type="percentile" val="50"/>
        <cfvo type="max"/>
        <color rgb="FFF8696B"/>
        <color rgb="FFFFEB84"/>
        <color rgb="FF63BE7B"/>
      </colorScale>
    </cfRule>
  </conditionalFormatting>
  <conditionalFormatting sqref="E4:E120">
    <cfRule type="colorScale" priority="6">
      <colorScale>
        <cfvo type="min"/>
        <cfvo type="percentile" val="50"/>
        <cfvo type="max"/>
        <color rgb="FFF8696B"/>
        <color rgb="FFFFEB84"/>
        <color rgb="FF63BE7B"/>
      </colorScale>
    </cfRule>
  </conditionalFormatting>
  <conditionalFormatting sqref="H4:H165">
    <cfRule type="colorScale" priority="8">
      <colorScale>
        <cfvo type="min"/>
        <cfvo type="percentile" val="50"/>
        <cfvo type="max"/>
        <color rgb="FFF8696B"/>
        <color rgb="FFFFEB84"/>
        <color rgb="FF63BE7B"/>
      </colorScale>
    </cfRule>
  </conditionalFormatting>
  <conditionalFormatting sqref="K4:K84">
    <cfRule type="colorScale" priority="9">
      <colorScale>
        <cfvo type="min"/>
        <cfvo type="percentile" val="50"/>
        <cfvo type="max"/>
        <color rgb="FFF8696B"/>
        <color rgb="FFFFEB84"/>
        <color rgb="FF63BE7B"/>
      </colorScale>
    </cfRule>
  </conditionalFormatting>
  <conditionalFormatting sqref="O4:O33">
    <cfRule type="colorScale" priority="11">
      <colorScale>
        <cfvo type="min"/>
        <cfvo type="percentile" val="50"/>
        <cfvo type="max"/>
        <color rgb="FFF8696B"/>
        <color rgb="FFFFEB84"/>
        <color rgb="FF63BE7B"/>
      </colorScale>
    </cfRule>
  </conditionalFormatting>
  <conditionalFormatting sqref="E3:E120">
    <cfRule type="colorScale" priority="5">
      <colorScale>
        <cfvo type="min"/>
        <cfvo type="percentile" val="50"/>
        <cfvo type="max"/>
        <color rgb="FFF8696B"/>
        <color rgb="FFFFEB84"/>
        <color rgb="FF63BE7B"/>
      </colorScale>
    </cfRule>
  </conditionalFormatting>
  <conditionalFormatting sqref="H3:H165">
    <cfRule type="colorScale" priority="4">
      <colorScale>
        <cfvo type="min"/>
        <cfvo type="percentile" val="50"/>
        <cfvo type="max"/>
        <color rgb="FFF8696B"/>
        <color rgb="FFFFEB84"/>
        <color rgb="FF63BE7B"/>
      </colorScale>
    </cfRule>
  </conditionalFormatting>
  <conditionalFormatting sqref="K3:K84">
    <cfRule type="colorScale" priority="3">
      <colorScale>
        <cfvo type="min"/>
        <cfvo type="percentile" val="50"/>
        <cfvo type="max"/>
        <color rgb="FFF8696B"/>
        <color rgb="FFFFEB84"/>
        <color rgb="FF63BE7B"/>
      </colorScale>
    </cfRule>
  </conditionalFormatting>
  <conditionalFormatting sqref="O3:O33">
    <cfRule type="colorScale" priority="1">
      <colorScale>
        <cfvo type="min"/>
        <cfvo type="percentile" val="50"/>
        <cfvo type="max"/>
        <color rgb="FFF8696B"/>
        <color rgb="FFFFEB84"/>
        <color rgb="FF63BE7B"/>
      </colorScale>
    </cfRule>
  </conditionalFormatting>
  <conditionalFormatting sqref="R3:R410">
    <cfRule type="colorScale" priority="12">
      <colorScale>
        <cfvo type="min"/>
        <cfvo type="percentile" val="50"/>
        <cfvo type="max"/>
        <color rgb="FFF8696B"/>
        <color rgb="FFFFEB84"/>
        <color rgb="FF63BE7B"/>
      </colorScale>
    </cfRule>
  </conditionalFormatting>
  <pageMargins left="0.7" right="0.7" top="0.75" bottom="0.75" header="0.3" footer="0.3"/>
  <pageSetup orientation="portrait" horizontalDpi="4294967293" verticalDpi="4294967293" r:id="rId1"/>
  <tableParts count="6">
    <tablePart r:id="rId2"/>
    <tablePart r:id="rId3"/>
    <tablePart r:id="rId4"/>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CO92"/>
  <sheetViews>
    <sheetView tabSelected="1" zoomScale="90" zoomScaleNormal="90" workbookViewId="0">
      <pane xSplit="4" ySplit="10" topLeftCell="E11" activePane="bottomRight" state="frozen"/>
      <selection activeCell="A2" sqref="A2"/>
      <selection pane="topRight" activeCell="A2" sqref="A2"/>
      <selection pane="bottomLeft" activeCell="A2" sqref="A2"/>
      <selection pane="bottomRight"/>
    </sheetView>
  </sheetViews>
  <sheetFormatPr defaultColWidth="8.88671875" defaultRowHeight="14.4" x14ac:dyDescent="0.3"/>
  <cols>
    <col min="1" max="1" width="2.5546875" style="135" customWidth="1"/>
    <col min="2" max="2" width="18.21875" style="135" bestFit="1" customWidth="1"/>
    <col min="3" max="3" width="8" style="135" bestFit="1" customWidth="1"/>
    <col min="4" max="4" width="11" style="135" bestFit="1" customWidth="1"/>
    <col min="5" max="5" width="6.77734375" style="135" bestFit="1" customWidth="1"/>
    <col min="6" max="6" width="7.21875" style="135" bestFit="1" customWidth="1"/>
    <col min="7" max="7" width="12.109375" style="135" bestFit="1" customWidth="1"/>
    <col min="8" max="8" width="8.33203125" style="135" bestFit="1" customWidth="1"/>
    <col min="9" max="9" width="12" style="135" bestFit="1" customWidth="1"/>
    <col min="10" max="10" width="11.109375" style="135" bestFit="1" customWidth="1"/>
    <col min="11" max="11" width="12" style="135" bestFit="1" customWidth="1"/>
    <col min="12" max="12" width="9.5546875" style="135" bestFit="1" customWidth="1"/>
    <col min="13" max="13" width="12.109375" style="135" bestFit="1" customWidth="1"/>
    <col min="14" max="14" width="9.88671875" style="135" bestFit="1" customWidth="1"/>
    <col min="15" max="15" width="11.88671875" style="135" bestFit="1" customWidth="1"/>
    <col min="16" max="16" width="9.5546875" style="135" bestFit="1" customWidth="1"/>
    <col min="17" max="17" width="10.88671875" style="135" bestFit="1" customWidth="1"/>
    <col min="18" max="18" width="11.88671875" style="135" bestFit="1" customWidth="1"/>
    <col min="19" max="19" width="11.77734375" style="135" bestFit="1" customWidth="1"/>
    <col min="20" max="20" width="12.5546875" style="135" bestFit="1" customWidth="1"/>
    <col min="21" max="22" width="13.109375" style="135" bestFit="1" customWidth="1"/>
    <col min="23" max="23" width="11" style="135" bestFit="1" customWidth="1"/>
    <col min="24" max="24" width="10.5546875" style="135" bestFit="1" customWidth="1"/>
    <col min="25" max="25" width="12.6640625" style="135" bestFit="1" customWidth="1"/>
    <col min="26" max="26" width="10.21875" style="135" bestFit="1" customWidth="1"/>
    <col min="27" max="27" width="11.88671875" style="135" bestFit="1" customWidth="1"/>
    <col min="28" max="28" width="12.44140625" style="135" bestFit="1" customWidth="1"/>
    <col min="29" max="29" width="13.33203125" style="135" bestFit="1" customWidth="1"/>
    <col min="30" max="30" width="8.21875" style="135" bestFit="1" customWidth="1"/>
    <col min="31" max="31" width="15.44140625" style="135" hidden="1" customWidth="1"/>
    <col min="32" max="32" width="10.77734375" style="135" hidden="1" customWidth="1"/>
    <col min="33" max="33" width="10.44140625" style="135" bestFit="1" customWidth="1"/>
    <col min="34" max="34" width="11.33203125" style="135" hidden="1" customWidth="1"/>
    <col min="35" max="37" width="7.44140625" style="135" hidden="1" customWidth="1"/>
    <col min="38" max="38" width="7.21875" style="135" hidden="1" customWidth="1"/>
    <col min="39" max="41" width="9.77734375" style="135" hidden="1" customWidth="1"/>
    <col min="42" max="42" width="9.6640625" style="135" hidden="1" customWidth="1"/>
    <col min="43" max="45" width="9.44140625" style="135" hidden="1" customWidth="1"/>
    <col min="46" max="46" width="9.33203125" style="135" hidden="1" customWidth="1"/>
    <col min="47" max="49" width="7" style="135" hidden="1" customWidth="1"/>
    <col min="50" max="50" width="6.6640625" style="135" hidden="1" customWidth="1"/>
    <col min="51" max="52" width="7.6640625" style="135" hidden="1" customWidth="1"/>
    <col min="53" max="53" width="7.6640625" style="6" hidden="1" customWidth="1"/>
    <col min="54" max="54" width="7.5546875" style="135" hidden="1" customWidth="1"/>
    <col min="55" max="56" width="11.6640625" style="135" hidden="1" customWidth="1"/>
    <col min="57" max="57" width="11.5546875" style="135" hidden="1" customWidth="1"/>
    <col min="58" max="60" width="13.77734375" style="135" hidden="1" customWidth="1"/>
    <col min="61" max="61" width="13.6640625" style="135" hidden="1" customWidth="1"/>
    <col min="62" max="66" width="0" style="135" hidden="1" customWidth="1"/>
    <col min="67" max="16384" width="8.88671875" style="135"/>
  </cols>
  <sheetData>
    <row r="1" spans="1:93" x14ac:dyDescent="0.3">
      <c r="A1" s="269"/>
      <c r="B1" s="273"/>
      <c r="C1" s="274"/>
      <c r="D1" s="275"/>
      <c r="E1" s="9"/>
      <c r="F1" s="9"/>
      <c r="G1" s="12"/>
      <c r="H1" s="12"/>
      <c r="I1" s="12"/>
      <c r="J1" s="12"/>
      <c r="K1" s="12"/>
      <c r="L1" s="12"/>
      <c r="M1" s="12"/>
      <c r="N1" s="12"/>
      <c r="O1" s="33"/>
      <c r="P1" s="12"/>
      <c r="Q1" s="11"/>
      <c r="R1" s="12"/>
      <c r="S1" s="21"/>
      <c r="T1" s="12"/>
      <c r="U1" s="12"/>
      <c r="V1" s="12"/>
      <c r="W1" s="12"/>
      <c r="X1" s="12"/>
      <c r="Y1" s="12"/>
      <c r="Z1" s="12"/>
      <c r="AA1" s="12"/>
      <c r="AB1" s="12"/>
      <c r="AC1" s="12"/>
      <c r="AD1" s="12"/>
      <c r="AE1" s="12"/>
      <c r="AF1" s="12"/>
      <c r="AG1" s="12"/>
      <c r="AH1" s="12"/>
      <c r="AI1" s="12"/>
      <c r="AJ1" s="12"/>
      <c r="AK1" s="12"/>
      <c r="AL1" s="12"/>
      <c r="AM1" s="12"/>
      <c r="AN1" s="12"/>
      <c r="AO1" s="9"/>
      <c r="AP1" s="9"/>
      <c r="AQ1" s="9"/>
      <c r="AR1" s="9"/>
      <c r="AS1" s="9"/>
      <c r="AT1" s="9"/>
      <c r="AU1" s="9"/>
      <c r="AV1" s="9"/>
      <c r="AW1" s="9"/>
      <c r="AX1" s="9"/>
      <c r="AY1" s="171"/>
      <c r="AZ1" s="9"/>
      <c r="BA1" s="40"/>
      <c r="BB1" s="9"/>
      <c r="BC1" s="9"/>
      <c r="BD1" s="9"/>
      <c r="BE1" s="9"/>
      <c r="BF1" s="9"/>
      <c r="BG1" s="9"/>
      <c r="BH1" s="9"/>
      <c r="BI1" s="9"/>
      <c r="BJ1" s="9"/>
      <c r="BK1" s="9"/>
      <c r="BL1" s="9"/>
      <c r="BM1" s="9"/>
      <c r="BN1" s="9"/>
      <c r="BO1" s="9"/>
      <c r="BP1" s="9"/>
      <c r="BQ1" s="9"/>
      <c r="BR1" s="9"/>
      <c r="BS1" s="9"/>
      <c r="BT1" s="9"/>
      <c r="BU1" s="9"/>
      <c r="BV1" s="9"/>
      <c r="BW1" s="9"/>
      <c r="BX1" s="9"/>
      <c r="BY1" s="9"/>
      <c r="BZ1" s="9"/>
    </row>
    <row r="2" spans="1:93" x14ac:dyDescent="0.3">
      <c r="A2" s="271"/>
      <c r="B2" s="105"/>
      <c r="C2" s="276"/>
      <c r="D2" s="277"/>
      <c r="E2" s="9"/>
      <c r="F2" s="9"/>
      <c r="G2" s="12"/>
      <c r="H2" s="12"/>
      <c r="I2" s="12"/>
      <c r="J2" s="12"/>
      <c r="K2" s="12"/>
      <c r="L2" s="12"/>
      <c r="M2" s="12"/>
      <c r="N2" s="12"/>
      <c r="O2" s="33"/>
      <c r="P2" s="12"/>
      <c r="Q2" s="11"/>
      <c r="R2" s="12"/>
      <c r="S2" s="21"/>
      <c r="T2" s="12"/>
      <c r="U2" s="12"/>
      <c r="V2" s="12"/>
      <c r="W2" s="12"/>
      <c r="X2" s="12"/>
      <c r="Y2" s="12"/>
      <c r="Z2" s="12"/>
      <c r="AA2" s="12"/>
      <c r="AB2" s="12"/>
      <c r="AC2" s="12"/>
      <c r="AD2" s="12"/>
      <c r="AE2" s="12"/>
      <c r="AF2" s="12"/>
      <c r="AG2" s="12"/>
      <c r="AH2" s="12"/>
      <c r="AI2" s="12"/>
      <c r="AJ2" s="12"/>
      <c r="AK2" s="12"/>
      <c r="AL2" s="12"/>
      <c r="AM2" s="12"/>
      <c r="AN2" s="12"/>
      <c r="AO2" s="9"/>
      <c r="AP2" s="9"/>
      <c r="AQ2" s="9"/>
      <c r="AR2" s="9"/>
      <c r="AS2" s="9"/>
      <c r="AT2" s="9"/>
      <c r="AU2" s="9"/>
      <c r="AV2" s="9"/>
      <c r="AW2" s="9"/>
      <c r="AX2" s="9"/>
      <c r="AY2" s="171"/>
      <c r="AZ2" s="9"/>
      <c r="BA2" s="40"/>
      <c r="BB2" s="9"/>
      <c r="BC2" s="9"/>
      <c r="BD2" s="9"/>
      <c r="BE2" s="9"/>
      <c r="BF2" s="9"/>
      <c r="BG2" s="9"/>
      <c r="BH2" s="9"/>
      <c r="BI2" s="9"/>
      <c r="BJ2" s="9"/>
      <c r="BK2" s="9"/>
      <c r="BL2" s="9"/>
      <c r="BM2" s="9"/>
      <c r="BN2" s="9"/>
      <c r="BO2" s="9"/>
      <c r="BP2" s="9"/>
      <c r="BQ2" s="9"/>
      <c r="BR2" s="9"/>
      <c r="BS2" s="9"/>
      <c r="BT2" s="9"/>
      <c r="BU2" s="9"/>
      <c r="BV2" s="9"/>
      <c r="BW2" s="9"/>
      <c r="BX2" s="9"/>
      <c r="BY2" s="9"/>
      <c r="BZ2" s="9"/>
    </row>
    <row r="3" spans="1:93" x14ac:dyDescent="0.3">
      <c r="A3" s="271"/>
      <c r="B3" s="105"/>
      <c r="C3" s="276"/>
      <c r="D3" s="277"/>
      <c r="E3" s="9"/>
      <c r="F3" s="9"/>
      <c r="G3" s="12"/>
      <c r="H3" s="12"/>
      <c r="I3" s="12"/>
      <c r="J3" s="12"/>
      <c r="K3" s="12"/>
      <c r="L3" s="12"/>
      <c r="M3" s="12"/>
      <c r="N3" s="12"/>
      <c r="O3" s="33"/>
      <c r="P3" s="12"/>
      <c r="Q3" s="11"/>
      <c r="R3" s="12"/>
      <c r="S3" s="21"/>
      <c r="T3" s="12"/>
      <c r="U3" s="12"/>
      <c r="V3" s="12"/>
      <c r="W3" s="12"/>
      <c r="X3" s="12"/>
      <c r="Y3" s="12"/>
      <c r="Z3" s="12"/>
      <c r="AA3" s="12"/>
      <c r="AB3" s="12"/>
      <c r="AC3" s="12"/>
      <c r="AD3" s="12"/>
      <c r="AE3" s="12"/>
      <c r="AF3" s="12"/>
      <c r="AG3" s="12"/>
      <c r="AH3" s="12"/>
      <c r="AI3" s="12"/>
      <c r="AJ3" s="12"/>
      <c r="AK3" s="12"/>
      <c r="AL3" s="12"/>
      <c r="AM3" s="12"/>
      <c r="AN3" s="12"/>
      <c r="AO3" s="9"/>
      <c r="AP3" s="9"/>
      <c r="AQ3" s="9"/>
      <c r="AR3" s="9"/>
      <c r="AS3" s="9"/>
      <c r="AT3" s="9"/>
      <c r="AU3" s="9"/>
      <c r="AV3" s="9"/>
      <c r="AW3" s="9"/>
      <c r="AX3" s="9"/>
      <c r="AY3" s="171"/>
      <c r="AZ3" s="9"/>
      <c r="BA3" s="40"/>
      <c r="BB3" s="9"/>
      <c r="BC3" s="9"/>
      <c r="BD3" s="9"/>
      <c r="BE3" s="9"/>
      <c r="BF3" s="9"/>
      <c r="BG3" s="9"/>
      <c r="BH3" s="9"/>
      <c r="BI3" s="9"/>
      <c r="BJ3" s="9"/>
      <c r="BK3" s="9"/>
      <c r="BL3" s="9"/>
      <c r="BM3" s="9"/>
      <c r="BN3" s="9"/>
      <c r="BO3" s="9"/>
      <c r="BP3" s="9"/>
      <c r="BQ3" s="9"/>
      <c r="BR3" s="9"/>
      <c r="BS3" s="9"/>
      <c r="BT3" s="9"/>
      <c r="BU3" s="9"/>
      <c r="BV3" s="9"/>
      <c r="BW3" s="9"/>
      <c r="BX3" s="9"/>
      <c r="BY3" s="9"/>
      <c r="BZ3" s="9"/>
    </row>
    <row r="4" spans="1:93" x14ac:dyDescent="0.3">
      <c r="A4" s="271"/>
      <c r="B4" s="105"/>
      <c r="C4" s="276"/>
      <c r="D4" s="277"/>
      <c r="E4" s="9"/>
      <c r="F4" s="9"/>
      <c r="G4" s="12"/>
      <c r="H4" s="12"/>
      <c r="I4" s="12"/>
      <c r="J4" s="12"/>
      <c r="K4" s="12"/>
      <c r="L4" s="12"/>
      <c r="M4" s="12"/>
      <c r="N4" s="12"/>
      <c r="O4" s="33"/>
      <c r="P4" s="12"/>
      <c r="Q4" s="11"/>
      <c r="R4" s="12"/>
      <c r="S4" s="21"/>
      <c r="T4" s="12"/>
      <c r="U4" s="12"/>
      <c r="V4" s="12"/>
      <c r="W4" s="12"/>
      <c r="X4" s="12"/>
      <c r="Y4" s="12"/>
      <c r="Z4" s="12"/>
      <c r="AA4" s="12"/>
      <c r="AB4" s="12"/>
      <c r="AC4" s="12"/>
      <c r="AD4" s="12"/>
      <c r="AE4" s="12"/>
      <c r="AF4" s="12"/>
      <c r="AG4" s="12"/>
      <c r="AH4" s="12"/>
      <c r="AI4" s="12"/>
      <c r="AJ4" s="12"/>
      <c r="AK4" s="12"/>
      <c r="AL4" s="12"/>
      <c r="AM4" s="12"/>
      <c r="AN4" s="12"/>
      <c r="AO4" s="9"/>
      <c r="AP4" s="9"/>
      <c r="AQ4" s="9"/>
      <c r="AR4" s="9"/>
      <c r="AS4" s="9"/>
      <c r="AT4" s="9"/>
      <c r="AU4" s="9"/>
      <c r="AV4" s="9"/>
      <c r="AW4" s="9"/>
      <c r="AX4" s="9"/>
      <c r="AY4" s="171"/>
      <c r="AZ4" s="9"/>
      <c r="BA4" s="40"/>
      <c r="BB4" s="9"/>
      <c r="BC4" s="9"/>
      <c r="BD4" s="9"/>
      <c r="BE4" s="9"/>
      <c r="BF4" s="9"/>
      <c r="BG4" s="9"/>
      <c r="BH4" s="9"/>
      <c r="BI4" s="9"/>
      <c r="BJ4" s="9"/>
      <c r="BK4" s="9"/>
      <c r="BL4" s="9"/>
      <c r="BM4" s="9"/>
      <c r="BN4" s="9"/>
      <c r="BO4" s="9"/>
      <c r="BP4" s="9"/>
      <c r="BQ4" s="9"/>
      <c r="BR4" s="9"/>
      <c r="BS4" s="9"/>
      <c r="BT4" s="9"/>
      <c r="BU4" s="9"/>
      <c r="BV4" s="9"/>
      <c r="BW4" s="9"/>
      <c r="BX4" s="9"/>
      <c r="BY4" s="9"/>
      <c r="BZ4" s="9"/>
    </row>
    <row r="5" spans="1:93" x14ac:dyDescent="0.3">
      <c r="A5" s="534" t="s">
        <v>414</v>
      </c>
      <c r="B5" s="535"/>
      <c r="C5" s="535"/>
      <c r="D5" s="536"/>
      <c r="E5" s="13"/>
      <c r="F5" s="13"/>
      <c r="G5" s="12"/>
      <c r="H5" s="12"/>
      <c r="I5" s="12"/>
      <c r="J5" s="12"/>
      <c r="K5" s="12"/>
      <c r="L5" s="12"/>
      <c r="M5" s="12"/>
      <c r="N5" s="12"/>
      <c r="O5" s="33"/>
      <c r="P5" s="12"/>
      <c r="Q5" s="11"/>
      <c r="R5" s="12"/>
      <c r="S5" s="21"/>
      <c r="T5" s="12"/>
      <c r="U5" s="12"/>
      <c r="V5" s="12"/>
      <c r="W5" s="12"/>
      <c r="X5" s="12"/>
      <c r="Y5" s="12"/>
      <c r="Z5" s="12"/>
      <c r="AA5" s="12"/>
      <c r="AB5" s="12"/>
      <c r="AC5" s="12"/>
      <c r="AD5" s="12"/>
      <c r="AE5" s="12"/>
      <c r="AF5" s="12"/>
      <c r="AG5" s="12"/>
      <c r="AH5" s="12"/>
      <c r="AI5" s="12"/>
      <c r="AJ5" s="12"/>
      <c r="AK5" s="12"/>
      <c r="AL5" s="12"/>
      <c r="AM5" s="12"/>
      <c r="AN5" s="12"/>
      <c r="AO5" s="9"/>
      <c r="AP5" s="9"/>
      <c r="AQ5" s="9"/>
      <c r="AR5" s="9"/>
      <c r="AS5" s="9"/>
      <c r="AT5" s="9"/>
      <c r="AU5" s="9"/>
      <c r="AV5" s="9"/>
      <c r="AW5" s="9"/>
      <c r="AX5" s="9"/>
      <c r="AY5" s="171"/>
      <c r="AZ5" s="9"/>
      <c r="BA5" s="40"/>
      <c r="BB5" s="9"/>
      <c r="BC5" s="9"/>
      <c r="BD5" s="9"/>
      <c r="BE5" s="9"/>
      <c r="BF5" s="9"/>
      <c r="BG5" s="9"/>
      <c r="BH5" s="9"/>
      <c r="BI5" s="9"/>
      <c r="BJ5" s="9"/>
      <c r="BK5" s="9"/>
      <c r="BL5" s="9"/>
      <c r="BM5" s="9"/>
      <c r="BN5" s="9"/>
      <c r="BO5" s="9"/>
      <c r="BP5" s="9"/>
      <c r="BQ5" s="9"/>
      <c r="BR5" s="9"/>
      <c r="BS5" s="9"/>
      <c r="BT5" s="9"/>
      <c r="BU5" s="9"/>
      <c r="BV5" s="9"/>
      <c r="BW5" s="9"/>
      <c r="BX5" s="9"/>
      <c r="BY5" s="9"/>
      <c r="BZ5" s="9"/>
    </row>
    <row r="6" spans="1:93" x14ac:dyDescent="0.3">
      <c r="A6" s="271"/>
      <c r="B6" s="105"/>
      <c r="C6" s="276"/>
      <c r="D6" s="277"/>
      <c r="E6" s="9"/>
      <c r="F6" s="9"/>
      <c r="G6" s="12"/>
      <c r="H6" s="12"/>
      <c r="I6" s="12"/>
      <c r="J6" s="12"/>
      <c r="K6" s="12"/>
      <c r="L6" s="12"/>
      <c r="M6" s="12"/>
      <c r="N6" s="12"/>
      <c r="O6" s="33"/>
      <c r="P6" s="12"/>
      <c r="Q6" s="11"/>
      <c r="R6" s="12"/>
      <c r="S6" s="21"/>
      <c r="T6" s="12"/>
      <c r="U6" s="12"/>
      <c r="V6" s="12"/>
      <c r="W6" s="12"/>
      <c r="X6" s="12"/>
      <c r="Y6" s="12"/>
      <c r="Z6" s="12"/>
      <c r="AA6" s="12"/>
      <c r="AB6" s="12"/>
      <c r="AC6" s="12"/>
      <c r="AD6" s="12"/>
      <c r="AE6" s="12"/>
      <c r="AF6" s="12"/>
      <c r="AG6" s="12"/>
      <c r="AH6" s="12"/>
      <c r="AI6" s="12"/>
      <c r="AJ6" s="12"/>
      <c r="AK6" s="12"/>
      <c r="AL6" s="12"/>
      <c r="AM6" s="12"/>
      <c r="AN6" s="12"/>
      <c r="AO6" s="9"/>
      <c r="AP6" s="9"/>
      <c r="AQ6" s="9"/>
      <c r="AR6" s="9"/>
      <c r="AS6" s="9"/>
      <c r="AT6" s="9"/>
      <c r="AU6" s="9"/>
      <c r="AV6" s="9"/>
      <c r="AW6" s="9"/>
      <c r="AX6" s="9"/>
      <c r="AY6" s="171"/>
      <c r="AZ6" s="9"/>
      <c r="BA6" s="40"/>
      <c r="BB6" s="9"/>
      <c r="BC6" s="9"/>
      <c r="BD6" s="9"/>
      <c r="BE6" s="9"/>
      <c r="BF6" s="9"/>
      <c r="BG6" s="9"/>
      <c r="BH6" s="9"/>
      <c r="BI6" s="9"/>
      <c r="BJ6" s="9"/>
      <c r="BK6" s="9"/>
      <c r="BL6" s="9"/>
      <c r="BM6" s="9"/>
      <c r="BN6" s="9"/>
      <c r="BO6" s="9"/>
      <c r="BP6" s="9"/>
      <c r="BQ6" s="9"/>
      <c r="BR6" s="9"/>
      <c r="BS6" s="9"/>
      <c r="BT6" s="9"/>
      <c r="BU6" s="9"/>
      <c r="BV6" s="9"/>
      <c r="BW6" s="9"/>
      <c r="BX6" s="9"/>
      <c r="BY6" s="9"/>
      <c r="BZ6" s="9"/>
    </row>
    <row r="7" spans="1:93" x14ac:dyDescent="0.3">
      <c r="A7" s="271"/>
      <c r="B7" s="105"/>
      <c r="C7" s="276"/>
      <c r="D7" s="277"/>
      <c r="E7" s="9"/>
      <c r="F7" s="9"/>
      <c r="G7" s="12"/>
      <c r="H7" s="12"/>
      <c r="I7" s="12"/>
      <c r="J7" s="12"/>
      <c r="K7" s="12"/>
      <c r="L7" s="12"/>
      <c r="M7" s="12"/>
      <c r="N7" s="12"/>
      <c r="O7" s="33"/>
      <c r="P7" s="12"/>
      <c r="Q7" s="11"/>
      <c r="R7" s="12"/>
      <c r="S7" s="21"/>
      <c r="T7" s="12"/>
      <c r="U7" s="12"/>
      <c r="V7" s="12"/>
      <c r="W7" s="12"/>
      <c r="X7" s="12"/>
      <c r="Y7" s="12"/>
      <c r="Z7" s="12"/>
      <c r="AA7" s="12"/>
      <c r="AB7" s="12"/>
      <c r="AC7" s="12"/>
      <c r="AD7" s="12"/>
      <c r="AE7" s="12"/>
      <c r="AF7" s="12"/>
      <c r="AG7" s="12"/>
      <c r="AH7" s="12"/>
      <c r="AI7" s="12"/>
      <c r="AJ7" s="12"/>
      <c r="AK7" s="12"/>
      <c r="AL7" s="12"/>
      <c r="AM7" s="12"/>
      <c r="AN7" s="12"/>
      <c r="AO7" s="9"/>
      <c r="AP7" s="9"/>
      <c r="AQ7" s="9"/>
      <c r="AR7" s="9"/>
      <c r="AS7" s="9"/>
      <c r="AT7" s="9"/>
      <c r="AU7" s="9"/>
      <c r="AV7" s="9"/>
      <c r="AW7" s="9"/>
      <c r="AX7" s="9"/>
      <c r="AY7" s="171"/>
      <c r="AZ7" s="9"/>
      <c r="BA7" s="40"/>
      <c r="BB7" s="9"/>
      <c r="BC7" s="9"/>
      <c r="BD7" s="9"/>
      <c r="BE7" s="9"/>
      <c r="BF7" s="9"/>
      <c r="BG7" s="9"/>
      <c r="BH7" s="9"/>
      <c r="BI7" s="9"/>
      <c r="BJ7" s="9"/>
      <c r="BK7" s="9"/>
      <c r="BL7" s="9"/>
      <c r="BM7" s="9"/>
      <c r="BN7" s="9"/>
      <c r="BO7" s="9"/>
      <c r="BP7" s="9"/>
      <c r="BQ7" s="9"/>
      <c r="BR7" s="9"/>
      <c r="BS7" s="9"/>
      <c r="BT7" s="9"/>
      <c r="BU7" s="9"/>
      <c r="BV7" s="9"/>
      <c r="BW7" s="9"/>
      <c r="BX7" s="9"/>
      <c r="BY7" s="9"/>
      <c r="BZ7" s="9"/>
    </row>
    <row r="8" spans="1:93" ht="15" thickBot="1" x14ac:dyDescent="0.35">
      <c r="A8" s="528" t="s">
        <v>2522</v>
      </c>
      <c r="B8" s="529"/>
      <c r="C8" s="529"/>
      <c r="D8" s="530"/>
      <c r="E8" s="12"/>
      <c r="F8" s="12"/>
      <c r="G8" s="12"/>
      <c r="H8" s="12"/>
      <c r="I8" s="12"/>
      <c r="J8" s="12"/>
      <c r="K8" s="12"/>
      <c r="L8" s="12"/>
      <c r="M8" s="12"/>
      <c r="N8" s="12"/>
      <c r="O8" s="33"/>
      <c r="P8" s="12"/>
      <c r="Q8" s="11"/>
      <c r="R8" s="12"/>
      <c r="S8" s="21"/>
      <c r="T8" s="12"/>
      <c r="U8" s="12"/>
      <c r="V8" s="12"/>
      <c r="W8" s="12"/>
      <c r="X8" s="12"/>
      <c r="Y8" s="12"/>
      <c r="Z8" s="12"/>
      <c r="AA8" s="12"/>
      <c r="AB8" s="12"/>
      <c r="AC8" s="12"/>
      <c r="AD8" s="12"/>
      <c r="AE8" s="12"/>
      <c r="AF8" s="12"/>
      <c r="AG8" s="12"/>
      <c r="AH8" s="12"/>
      <c r="AI8" s="12"/>
      <c r="AJ8" s="12"/>
      <c r="AK8" s="12"/>
      <c r="AL8" s="12"/>
      <c r="AM8" s="12"/>
      <c r="AN8" s="12"/>
      <c r="AO8" s="9"/>
      <c r="AP8" s="9"/>
      <c r="AQ8" s="9"/>
      <c r="AR8" s="9"/>
      <c r="AS8" s="9"/>
      <c r="AT8" s="9"/>
      <c r="AU8" s="9"/>
      <c r="AV8" s="9"/>
      <c r="AW8" s="9"/>
      <c r="AX8" s="9"/>
      <c r="AY8" s="171"/>
      <c r="AZ8" s="9"/>
      <c r="BA8" s="40"/>
      <c r="BB8" s="9"/>
      <c r="BC8" s="9"/>
      <c r="BD8" s="9"/>
      <c r="BE8" s="9"/>
      <c r="BF8" s="9"/>
      <c r="BG8" s="9"/>
      <c r="BH8" s="9"/>
      <c r="BI8" s="9"/>
      <c r="BJ8" s="9"/>
      <c r="BK8" s="9"/>
      <c r="BL8" s="9"/>
      <c r="BM8" s="9"/>
      <c r="BN8" s="9"/>
      <c r="BO8" s="9"/>
      <c r="BP8" s="9"/>
      <c r="BQ8" s="9"/>
      <c r="BR8" s="9"/>
      <c r="BS8" s="9"/>
      <c r="BT8" s="9"/>
      <c r="BU8" s="9"/>
      <c r="BV8" s="9"/>
      <c r="BW8" s="9"/>
      <c r="BX8" s="9"/>
      <c r="BY8" s="9"/>
      <c r="BZ8" s="9"/>
    </row>
    <row r="9" spans="1:93" ht="15" thickBot="1" x14ac:dyDescent="0.35">
      <c r="A9" s="531">
        <v>42641</v>
      </c>
      <c r="B9" s="532"/>
      <c r="C9" s="532"/>
      <c r="D9" s="533"/>
      <c r="E9" s="9"/>
      <c r="F9" s="9"/>
      <c r="G9" s="537" t="s">
        <v>2454</v>
      </c>
      <c r="H9" s="538"/>
      <c r="I9" s="538"/>
      <c r="J9" s="538"/>
      <c r="K9" s="538"/>
      <c r="L9" s="539"/>
      <c r="M9" s="540" t="s">
        <v>2457</v>
      </c>
      <c r="N9" s="541"/>
      <c r="O9" s="542"/>
      <c r="P9" s="409"/>
      <c r="Q9" s="525" t="s">
        <v>2594</v>
      </c>
      <c r="R9" s="526"/>
      <c r="S9" s="526"/>
      <c r="T9" s="526"/>
      <c r="U9" s="526"/>
      <c r="V9" s="526"/>
      <c r="W9" s="526"/>
      <c r="X9" s="526"/>
      <c r="Y9" s="526"/>
      <c r="Z9" s="526"/>
      <c r="AA9" s="526"/>
      <c r="AB9" s="526"/>
      <c r="AC9" s="527"/>
      <c r="AD9" s="9"/>
      <c r="AE9" s="9"/>
      <c r="AF9" s="9"/>
      <c r="AG9" s="9"/>
      <c r="AH9" s="9"/>
      <c r="AI9" s="9"/>
      <c r="AJ9" s="9"/>
      <c r="AK9" s="9"/>
      <c r="AL9" s="9"/>
      <c r="AM9" s="9"/>
      <c r="AN9" s="9"/>
      <c r="AO9" s="9"/>
      <c r="AP9" s="9"/>
      <c r="AQ9" s="9"/>
      <c r="AR9" s="9"/>
      <c r="AS9" s="9"/>
      <c r="AT9" s="9"/>
      <c r="AU9" s="9"/>
      <c r="AV9" s="9"/>
      <c r="AW9" s="9"/>
      <c r="AX9" s="9"/>
      <c r="AY9" s="9"/>
      <c r="AZ9" s="9"/>
      <c r="BA9" s="40"/>
      <c r="BB9" s="9"/>
      <c r="BC9" s="9"/>
      <c r="BD9" s="9"/>
      <c r="BE9" s="9"/>
      <c r="BF9" s="9"/>
      <c r="BG9" s="9"/>
      <c r="BH9" s="9"/>
      <c r="BI9" s="9"/>
      <c r="BJ9" s="9"/>
      <c r="BK9" s="9"/>
      <c r="BL9" s="9"/>
      <c r="BM9" s="9"/>
      <c r="BN9" s="9"/>
      <c r="BO9" s="9"/>
      <c r="BP9" s="9"/>
      <c r="BQ9" s="9"/>
      <c r="BR9" s="9"/>
      <c r="BS9" s="9"/>
      <c r="BT9" s="9"/>
      <c r="BU9" s="9"/>
      <c r="BV9" s="9"/>
      <c r="BW9" s="9"/>
      <c r="BX9" s="9"/>
      <c r="BY9" s="9"/>
      <c r="BZ9" s="9"/>
    </row>
    <row r="10" spans="1:93" x14ac:dyDescent="0.3">
      <c r="A10" s="35" t="s">
        <v>0</v>
      </c>
      <c r="B10" s="35" t="s">
        <v>415</v>
      </c>
      <c r="C10" s="197" t="s">
        <v>416</v>
      </c>
      <c r="D10" s="197" t="s">
        <v>1912</v>
      </c>
      <c r="E10" s="35" t="s">
        <v>387</v>
      </c>
      <c r="F10" s="35" t="s">
        <v>81</v>
      </c>
      <c r="G10" s="402" t="s">
        <v>798</v>
      </c>
      <c r="H10" s="403" t="s">
        <v>2444</v>
      </c>
      <c r="I10" s="403" t="s">
        <v>1919</v>
      </c>
      <c r="J10" s="404" t="s">
        <v>2455</v>
      </c>
      <c r="K10" s="403" t="s">
        <v>801</v>
      </c>
      <c r="L10" s="404" t="s">
        <v>2456</v>
      </c>
      <c r="M10" s="399" t="s">
        <v>1606</v>
      </c>
      <c r="N10" s="400" t="s">
        <v>1607</v>
      </c>
      <c r="O10" s="401" t="s">
        <v>2294</v>
      </c>
      <c r="P10" s="35" t="s">
        <v>425</v>
      </c>
      <c r="Q10" s="402" t="s">
        <v>1411</v>
      </c>
      <c r="R10" s="403" t="s">
        <v>418</v>
      </c>
      <c r="S10" s="428" t="s">
        <v>420</v>
      </c>
      <c r="T10" s="403" t="s">
        <v>390</v>
      </c>
      <c r="U10" s="403" t="s">
        <v>421</v>
      </c>
      <c r="V10" s="403" t="s">
        <v>799</v>
      </c>
      <c r="W10" s="403" t="s">
        <v>605</v>
      </c>
      <c r="X10" s="429" t="s">
        <v>422</v>
      </c>
      <c r="Y10" s="403" t="s">
        <v>423</v>
      </c>
      <c r="Z10" s="403" t="s">
        <v>424</v>
      </c>
      <c r="AA10" s="430" t="s">
        <v>1672</v>
      </c>
      <c r="AB10" s="403" t="s">
        <v>604</v>
      </c>
      <c r="AC10" s="404" t="s">
        <v>1592</v>
      </c>
      <c r="AD10" s="198" t="s">
        <v>749</v>
      </c>
      <c r="AE10" s="198" t="s">
        <v>1674</v>
      </c>
      <c r="AF10" s="198" t="s">
        <v>1675</v>
      </c>
      <c r="AG10" s="213" t="s">
        <v>1412</v>
      </c>
      <c r="AH10" s="213" t="s">
        <v>1543</v>
      </c>
      <c r="AI10" s="46" t="s">
        <v>786</v>
      </c>
      <c r="AJ10" s="46" t="s">
        <v>771</v>
      </c>
      <c r="AK10" s="46" t="s">
        <v>772</v>
      </c>
      <c r="AL10" s="46" t="s">
        <v>1332</v>
      </c>
      <c r="AM10" s="46" t="s">
        <v>787</v>
      </c>
      <c r="AN10" s="46" t="s">
        <v>773</v>
      </c>
      <c r="AO10" s="46" t="s">
        <v>774</v>
      </c>
      <c r="AP10" s="46" t="s">
        <v>1333</v>
      </c>
      <c r="AQ10" s="46" t="s">
        <v>788</v>
      </c>
      <c r="AR10" s="46" t="s">
        <v>776</v>
      </c>
      <c r="AS10" s="46" t="s">
        <v>777</v>
      </c>
      <c r="AT10" s="46" t="s">
        <v>1334</v>
      </c>
      <c r="AU10" s="46" t="s">
        <v>789</v>
      </c>
      <c r="AV10" s="46" t="s">
        <v>778</v>
      </c>
      <c r="AW10" s="46" t="s">
        <v>779</v>
      </c>
      <c r="AX10" s="46" t="s">
        <v>1335</v>
      </c>
      <c r="AY10" s="46" t="s">
        <v>790</v>
      </c>
      <c r="AZ10" s="46" t="s">
        <v>791</v>
      </c>
      <c r="BA10" s="46" t="s">
        <v>792</v>
      </c>
      <c r="BB10" s="46" t="s">
        <v>1336</v>
      </c>
      <c r="BC10" s="46" t="s">
        <v>1339</v>
      </c>
      <c r="BD10" s="46" t="s">
        <v>1338</v>
      </c>
      <c r="BE10" s="46" t="s">
        <v>1340</v>
      </c>
      <c r="BF10" s="46" t="s">
        <v>793</v>
      </c>
      <c r="BG10" s="46" t="s">
        <v>780</v>
      </c>
      <c r="BH10" s="46" t="s">
        <v>781</v>
      </c>
      <c r="BI10" s="46" t="s">
        <v>1337</v>
      </c>
      <c r="BJ10" s="46" t="s">
        <v>794</v>
      </c>
      <c r="BK10" s="46" t="s">
        <v>795</v>
      </c>
      <c r="BL10" s="46" t="s">
        <v>796</v>
      </c>
      <c r="BM10" s="46" t="s">
        <v>1341</v>
      </c>
      <c r="BN10" s="41" t="s">
        <v>1562</v>
      </c>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row>
    <row r="11" spans="1:93" x14ac:dyDescent="0.3">
      <c r="A11" s="37">
        <f>QBstats1!AL5</f>
        <v>20.3</v>
      </c>
      <c r="B11" s="127" t="str">
        <f>QBstats1!D5</f>
        <v>Drew Brees</v>
      </c>
      <c r="C11" s="172">
        <f>IFERROR(INDEX(Salaries[DraftKings (Price)],MATCH(QBmatchups3[[#This Row],[Name]],Salaries[Player],0)),"")</f>
        <v>7600</v>
      </c>
      <c r="D11" s="172">
        <f>IFERROR(INDEX(DK_Salary_Changes[WeekChange],MATCH(QBmatchups3[[#This Row],[Name]],DK_Salary_Changes[Player],0)),"")</f>
        <v>-300</v>
      </c>
      <c r="E11" s="237" t="str">
        <f>IFERROR(INDEX(Salaries[Team],MATCH(QBmatchups3[[#This Row],[Name]],Salaries[Player],0)),"")</f>
        <v>NO</v>
      </c>
      <c r="F11" s="14" t="str">
        <f>IFERROR(INDEX(Salaries[Opp],MATCH(QBmatchups3[[#This Row],[Team]],Salaries[Team],0)),"")</f>
        <v>@SD</v>
      </c>
      <c r="G11" s="405">
        <f>IFERROR(INDEX(QBYTD[Att],MATCH(QBmatchups3[Name],QBYTD[Player],0)),"")</f>
        <v>140</v>
      </c>
      <c r="H11" s="406">
        <f>IFERROR(INDEX(QBYTD[%],MATCH(QBmatchups3[Name],QBYTD[Player],0)),"")</f>
        <v>0.66400000000000003</v>
      </c>
      <c r="I11" s="407">
        <f>IFERROR(INDEX(QBYTD[Pass Yds],MATCH(QBmatchups3[Name],QBYTD[Player],0)),"")</f>
        <v>1062</v>
      </c>
      <c r="J11" s="407">
        <f>IFERROR(INDEX(QBYTD[Pass TD],MATCH(QBmatchups3[Name],QBYTD[Player],0)),"")</f>
        <v>8</v>
      </c>
      <c r="K11" s="407">
        <f>IFERROR(INDEX(QBYTD[Rush Yds],MATCH(QBmatchups3[Name],QBYTD[Player],0)),"")</f>
        <v>14</v>
      </c>
      <c r="L11" s="408">
        <f>IFERROR(INDEX(QBYTD[Rush TD],MATCH(QBmatchups3[Name],QBYTD[Player],0)),"")</f>
        <v>0</v>
      </c>
      <c r="M11" s="416">
        <f>IFERROR(INDEX(Salaries[O/U],MATCH(QBmatchups3[[#This Row],[Team]],Salaries[Team],0)),"")</f>
        <v>53.5</v>
      </c>
      <c r="N11" s="14">
        <f>IFERROR(INDEX(Salaries[Team O/U],MATCH(QBmatchups3[[#This Row],[Team]],Salaries[Team],0)),"")</f>
        <v>24.75</v>
      </c>
      <c r="O11" s="417">
        <f>IFERROR(INDEX(Salaries[Spread],MATCH(QBmatchups3[[#This Row],[Team]],Salaries[Team],0)),"")</f>
        <v>4</v>
      </c>
      <c r="P11" s="424">
        <f>IFERROR(INDEX(QBallowed[DVP],MATCH(QBmatchups3[[#This Row],[Opp]],QBallowed[Team],0)),IFERROR(INDEX(QBallowed[DVP],MATCH(QBmatchups3[[#This Row],[Opp]],QBallowed[OPP],0)),""))</f>
        <v>8</v>
      </c>
      <c r="Q11" s="431">
        <f>AVERAGE(QBmatchups3[[#This Row],[Att1]:[Atta]])</f>
        <v>42.31</v>
      </c>
      <c r="R11" s="32">
        <f>AVERAGE(QBmatchups3[[#This Row],[Comp1]:[Compa]])</f>
        <v>27.358999999999998</v>
      </c>
      <c r="S11" s="18">
        <f>SUM(QBmatchups3[[#This Row],[Comp]]/QBmatchups3[[#This Row],[Attempts]])</f>
        <v>0.64663200189080583</v>
      </c>
      <c r="T11" s="32">
        <f>AVERAGE(QBmatchups3[[#This Row],[Yards1]:[Yardsa]])</f>
        <v>334.4733333333333</v>
      </c>
      <c r="U11" s="19">
        <f>SUM(QBmatchups3[[#This Row],[Yards]]/QBmatchups3[[#This Row],[Attempts]])</f>
        <v>7.9053021350350576</v>
      </c>
      <c r="V11" s="32">
        <f>AVERAGE(QBmatchups3[[#This Row],[TD1]:[Tda]])</f>
        <v>2.1766666666666667</v>
      </c>
      <c r="W11" s="32">
        <f>AVERAGE(QBmatchups3[[#This Row],[INT1]:[INTa]])</f>
        <v>0.89166666666666661</v>
      </c>
      <c r="X11" s="19">
        <f>AVERAGE(QBmatchups3[[#This Row],[RushAtt1]:[RushAtta]])</f>
        <v>1.0129999999999999</v>
      </c>
      <c r="Y11" s="129">
        <f>AVERAGE(QBmatchups3[[#This Row],[RushYards1]:[RushYardsa]])</f>
        <v>3.4039999999999999</v>
      </c>
      <c r="Z11" s="32">
        <f>AVERAGE(QBmatchups3[[#This Row],[RushTD1]:[RushTDa]])</f>
        <v>2.1000000000000001E-2</v>
      </c>
      <c r="AA11" s="8">
        <f>_xlfn.RANK.EQ(QBmatchups3[[#This Row],[Projection]],QBmatchups3[Projection],0)</f>
        <v>1</v>
      </c>
      <c r="AB11" s="44">
        <f>SUM(QBmatchups3[[#This Row],[Yards]]*0.04)+(QBmatchups3[[#This Row],[Pass TD]]*4)+(QBmatchups3[[#This Row],[RushYards]]*0.1)+(QBmatchups3[[#This Row],[RushTD]]*6)+(QBmatchups3[[#This Row],[INT]]*-1)+(QBmatchups3[[#This Row],[300+]])</f>
        <v>24.660333333333334</v>
      </c>
      <c r="AC11" s="432">
        <f>_xlfn.RANK.EQ(QBmatchups3[[#This Row],[$/FP]],QBmatchups3[$/FP],1)</f>
        <v>3</v>
      </c>
      <c r="AD11" s="426">
        <f>SUM(QBmatchups3[[#This Row],[Salary]]/QBmatchups3[[#This Row],[Projection]])</f>
        <v>308.18723726362174</v>
      </c>
      <c r="AE11" s="315">
        <f>_xlfn.RANK.EQ(QBmatchups3[[#This Row],[Average]],QBmatchups3[Average],1)</f>
        <v>1</v>
      </c>
      <c r="AF11" s="315">
        <f>AVERAGE(QBmatchups3[[#This Row],[Proj Rank]],QBmatchups3[[#This Row],[Value Rank]])</f>
        <v>2</v>
      </c>
      <c r="AG11" s="212">
        <f>QBmatchups3[[#This Row],[Salary]]/50000</f>
        <v>0.152</v>
      </c>
      <c r="AH11" s="212"/>
      <c r="AI11" s="32">
        <f>IFERROR(INDEX(QBstats1[Pass Att],MATCH(QBmatchups3[[#This Row],[Name]],QBstats1[Player],0)),"0")</f>
        <v>44.33</v>
      </c>
      <c r="AJ11" s="32">
        <f>IFERROR(INDEX(QBstats2[PassAtt],MATCH(QBmatchups3[[#This Row],[Name]],QBstats2[Player],0)),"0")</f>
        <v>46.1</v>
      </c>
      <c r="AK11" s="130">
        <f>IFERROR(INDEX(QBstats3[PassAtt],MATCH(QBmatchups3[[#This Row],[Name]],QBstats3[Player],0)),"0")</f>
        <v>36.5</v>
      </c>
      <c r="AL11" s="32" t="str">
        <f>IFERROR(INDEX(QBallowed[Att],MATCH(QBmatchups3[[#This Row],[Opp]],QBallowed[Team],0)),"0")</f>
        <v>0</v>
      </c>
      <c r="AM11" s="32">
        <f>IFERROR(INDEX(QBstats1[Pass Comp],MATCH(QBmatchups3[[#This Row],[Name]],QBstats1[Player],0)),"0")</f>
        <v>28.977</v>
      </c>
      <c r="AN11" s="32">
        <f>IFERROR(INDEX(QBstats2[PassComp],MATCH(QBmatchups3[[#This Row],[Name]],QBstats2[Player],0)),"0")</f>
        <v>29.8</v>
      </c>
      <c r="AO11" s="32">
        <f>IFERROR(INDEX(QBstats3[PassComp],MATCH(QBmatchups3[[#This Row],[Name]],QBstats3[Player],0)),"0")</f>
        <v>23.3</v>
      </c>
      <c r="AP11" s="32" t="str">
        <f>IFERROR(INDEX(QBallowed[Cmp],MATCH(QBmatchups3[[#This Row],[Opp]],QBallowed[Team],0)),"0")</f>
        <v>0</v>
      </c>
      <c r="AQ11" s="32">
        <f>IFERROR(INDEX(QBstats1[Pass Yds],MATCH(QBmatchups3[[#This Row],[Name]],QBstats1[Player],0)),"0")</f>
        <v>322.92</v>
      </c>
      <c r="AR11" s="32">
        <f>IFERROR(INDEX(QBstats2[PassYards],MATCH(QBmatchups3[[#This Row],[Name]],QBstats2[Player],0)),"0")</f>
        <v>363.1</v>
      </c>
      <c r="AS11" s="32">
        <f>IFERROR(INDEX(QBstats3[PassYards],MATCH(QBmatchups3[[#This Row],[Name]],QBstats3[Player],0)),"0")</f>
        <v>317.39999999999998</v>
      </c>
      <c r="AT11" s="32" t="str">
        <f>IFERROR(INDEX(QBallowed[Yards],MATCH(QBmatchups3[[#This Row],[Opp]],QBallowed[Team],0)),"0")</f>
        <v>0</v>
      </c>
      <c r="AU11" s="32">
        <f>IFERROR(INDEX(QBstats1[Pass TD],MATCH(QBmatchups3[[#This Row],[Name]],QBstats1[Player],0)),"0")</f>
        <v>2.0299999999999998</v>
      </c>
      <c r="AV11" s="32">
        <f>IFERROR(INDEX(QBstats2[PassTD],MATCH(QBmatchups3[[#This Row],[Name]],QBstats2[Player],0)),"0")</f>
        <v>2.2999999999999998</v>
      </c>
      <c r="AW11" s="32">
        <f>IFERROR(INDEX(QBstats3[PassTD],MATCH(QBmatchups3[[#This Row],[Name]],QBstats3[Player],0)),"0")</f>
        <v>2.2000000000000002</v>
      </c>
      <c r="AX11" s="32" t="str">
        <f>IFERROR(INDEX(QBallowed[TD],MATCH(QBmatchups3[[#This Row],[Opp]],QBallowed[Team],0)),"0")</f>
        <v>0</v>
      </c>
      <c r="AY11" s="32">
        <f>IFERROR(INDEX(QBstats1[INT],MATCH(QBmatchups3[[#This Row],[Name]],QBstats1[Player],0)),"0")</f>
        <v>0.97499999999999998</v>
      </c>
      <c r="AZ11" s="32">
        <f>IFERROR(INDEX(QBstats2[Int],MATCH(QBmatchups3[[#This Row],[Name]],QBstats2[Player],0)),"0")</f>
        <v>1</v>
      </c>
      <c r="BA11" s="32">
        <f>IFERROR(INDEX(QBstats3[INT],MATCH(QBmatchups3[[#This Row],[Name]],QBstats3[Player],0)),"0")</f>
        <v>0.7</v>
      </c>
      <c r="BB11" s="32" t="str">
        <f>IFERROR(INDEX(QBallowed[INT],MATCH(QBmatchups3[[#This Row],[Opp]],QBallowed[Team],0)),"0")</f>
        <v>0</v>
      </c>
      <c r="BC11" s="32">
        <f>IFERROR(INDEX(QBstats1[Rush Att],MATCH(QBmatchups3[[#This Row],[Name]],QBstats1[Player],0)),"0")</f>
        <v>1.226</v>
      </c>
      <c r="BD11" s="32">
        <f>IFERROR(INDEX(QBstats3[Rush Att],MATCH(QBmatchups3[[#This Row],[Name]],QBstats3[Player],0)),"0")</f>
        <v>0.8</v>
      </c>
      <c r="BE11" s="32" t="str">
        <f>IFERROR(INDEX(QBallowed[RushAtt],MATCH(QBmatchups3[[#This Row],[Opp]],QBallowed[Team],0)),"0")</f>
        <v>0</v>
      </c>
      <c r="BF11" s="32">
        <f>IFERROR(INDEX(QBstats1[Rush Yds],MATCH(QBmatchups3[[#This Row],[Name]],QBstats1[Player],0)),"0")</f>
        <v>3.8119999999999998</v>
      </c>
      <c r="BG11" s="32">
        <f>IFERROR(INDEX(QBstats2[RushYards],MATCH(QBmatchups3[[#This Row],[Name]],QBstats2[Player],0)),"0")</f>
        <v>4.9000000000000004</v>
      </c>
      <c r="BH11" s="32">
        <f>IFERROR(INDEX(QBstats3[RushYards],MATCH(QBmatchups3[[#This Row],[Name]],QBstats3[Player],0)),"0")</f>
        <v>1.5</v>
      </c>
      <c r="BI11" s="32" t="str">
        <f>IFERROR(INDEX(QBallowed[RushYard],MATCH(QBmatchups3[[#This Row],[Opp]],QBallowed[Team],0)),"0")</f>
        <v>0</v>
      </c>
      <c r="BJ11" s="32">
        <f>IFERROR(INDEX(QBstats1[Rush TD],MATCH(QBmatchups3[[#This Row],[Name]],QBstats1[Player],0)),"0")</f>
        <v>4.2000000000000003E-2</v>
      </c>
      <c r="BK11" s="32" t="str">
        <f>IFERROR(INDEX(QBstats2[RushTD],MATCH(QBmatchups3[[#This Row],[Name]],QBstats2[Player],0)),"0")</f>
        <v>0.1</v>
      </c>
      <c r="BL11" s="32">
        <f>IFERROR(INDEX(QBstats3[RushTD],MATCH(QBmatchups3[[#This Row],[Name]],QBstats3[Player],0)),"0")</f>
        <v>0</v>
      </c>
      <c r="BM11" s="32" t="str">
        <f>IFERROR(INDEX(QBallowed[RushTD],MATCH(QBmatchups3[[#This Row],[Opp]],QBallowed[Team],0)),"0")</f>
        <v>0</v>
      </c>
      <c r="BN11" s="265">
        <f>IF(QBmatchups3[[#This Row],[Yards]]&gt;=300,3,0)</f>
        <v>3</v>
      </c>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row>
    <row r="12" spans="1:93" x14ac:dyDescent="0.3">
      <c r="A12" s="37">
        <f>QBstats1!AL2</f>
        <v>23.6</v>
      </c>
      <c r="B12" s="34" t="str">
        <f>QBstats1!D2</f>
        <v>Cam Newton</v>
      </c>
      <c r="C12" s="172">
        <f>IFERROR(INDEX(Salaries[DraftKings (Price)],MATCH(QBmatchups3[[#This Row],[Name]],Salaries[Player],0)),"")</f>
        <v>7800</v>
      </c>
      <c r="D12" s="172">
        <f>IFERROR(INDEX(DK_Salary_Changes[WeekChange],MATCH(QBmatchups3[[#This Row],[Name]],DK_Salary_Changes[Player],0)),"")</f>
        <v>0</v>
      </c>
      <c r="E12" s="14" t="str">
        <f>IFERROR(INDEX(Salaries[Team],MATCH(QBmatchups3[[#This Row],[Name]],Salaries[Player],0)),"")</f>
        <v>CAR</v>
      </c>
      <c r="F12" s="14" t="str">
        <f>IFERROR(INDEX(Salaries[Opp],MATCH(QBmatchups3[[#This Row],[Team]],Salaries[Team],0)),"")</f>
        <v>@ATL</v>
      </c>
      <c r="G12" s="405">
        <f>IFERROR(INDEX(QBYTD[Att],MATCH(QBmatchups3[Name],QBYTD[Player],0)),"")</f>
        <v>108</v>
      </c>
      <c r="H12" s="406">
        <f>IFERROR(INDEX(QBYTD[%],MATCH(QBmatchups3[Name],QBYTD[Player],0)),"")</f>
        <v>0.58299999999999996</v>
      </c>
      <c r="I12" s="407">
        <f>IFERROR(INDEX(QBYTD[Pass Yds],MATCH(QBmatchups3[Name],QBYTD[Player],0)),"")</f>
        <v>809</v>
      </c>
      <c r="J12" s="407">
        <f>IFERROR(INDEX(QBYTD[Pass TD],MATCH(QBmatchups3[Name],QBYTD[Player],0)),"")</f>
        <v>5</v>
      </c>
      <c r="K12" s="407">
        <f>IFERROR(INDEX(QBYTD[Rush Yds],MATCH(QBmatchups3[Name],QBYTD[Player],0)),"")</f>
        <v>117</v>
      </c>
      <c r="L12" s="408">
        <f>IFERROR(INDEX(QBYTD[Rush TD],MATCH(QBmatchups3[Name],QBYTD[Player],0)),"")</f>
        <v>2</v>
      </c>
      <c r="M12" s="416">
        <f>IFERROR(INDEX(Salaries[O/U],MATCH(QBmatchups3[[#This Row],[Team]],Salaries[Team],0)),"")</f>
        <v>50</v>
      </c>
      <c r="N12" s="14">
        <f>IFERROR(INDEX(Salaries[Team O/U],MATCH(QBmatchups3[[#This Row],[Team]],Salaries[Team],0)),"")</f>
        <v>26.5</v>
      </c>
      <c r="O12" s="417">
        <f>IFERROR(INDEX(Salaries[Spread],MATCH(QBmatchups3[[#This Row],[Team]],Salaries[Team],0)),"")</f>
        <v>-3</v>
      </c>
      <c r="P12" s="424">
        <f>IFERROR(INDEX(QBallowed[DVP],MATCH(QBmatchups3[[#This Row],[Opp]],QBallowed[Team],0)),IFERROR(INDEX(QBallowed[DVP],MATCH(QBmatchups3[[#This Row],[Opp]],QBallowed[OPP],0)),""))</f>
        <v>7</v>
      </c>
      <c r="Q12" s="431">
        <f>AVERAGE(QBmatchups3[[#This Row],[Att1]:[Atta]])</f>
        <v>33.168666666666667</v>
      </c>
      <c r="R12" s="32">
        <f>AVERAGE(QBmatchups3[[#This Row],[Comp1]:[Compa]])</f>
        <v>20.655000000000001</v>
      </c>
      <c r="S12" s="18">
        <f>SUM(QBmatchups3[[#This Row],[Comp]]/QBmatchups3[[#This Row],[Attempts]])</f>
        <v>0.62272626776274798</v>
      </c>
      <c r="T12" s="32">
        <f>AVERAGE(QBmatchups3[[#This Row],[Yards1]:[Yardsa]])</f>
        <v>252.74199999999999</v>
      </c>
      <c r="U12" s="19">
        <f>SUM(QBmatchups3[[#This Row],[Yards]]/QBmatchups3[[#This Row],[Attempts]])</f>
        <v>7.6199023174481937</v>
      </c>
      <c r="V12" s="32">
        <f>AVERAGE(QBmatchups3[[#This Row],[TD1]:[Tda]])</f>
        <v>1.9093333333333333</v>
      </c>
      <c r="W12" s="32">
        <f>AVERAGE(QBmatchups3[[#This Row],[INT1]:[INTa]])</f>
        <v>0.81699999999999995</v>
      </c>
      <c r="X12" s="19">
        <f>AVERAGE(QBmatchups3[[#This Row],[RushAtt1]:[RushAtta]])</f>
        <v>7.1240000000000006</v>
      </c>
      <c r="Y12" s="32">
        <f>AVERAGE(QBmatchups3[[#This Row],[RushYards1]:[RushYardsa]])</f>
        <v>39.806666666666665</v>
      </c>
      <c r="Z12" s="32">
        <f>AVERAGE(QBmatchups3[[#This Row],[RushTD1]:[RushTDa]])</f>
        <v>0.43049999999999999</v>
      </c>
      <c r="AA12" s="8">
        <f>_xlfn.RANK.EQ(QBmatchups3[[#This Row],[Projection]],QBmatchups3[Projection],0)</f>
        <v>2</v>
      </c>
      <c r="AB12" s="45">
        <f>SUM(QBmatchups3[[#This Row],[Yards]]*0.04)+(QBmatchups3[[#This Row],[Pass TD]]*4)+(QBmatchups3[[#This Row],[RushYards]]*0.1)+(QBmatchups3[[#This Row],[RushTD]]*6)+(QBmatchups3[[#This Row],[INT]]*-1)+(QBmatchups3[[#This Row],[300+]])</f>
        <v>23.493679999999998</v>
      </c>
      <c r="AC12" s="433">
        <f>_xlfn.RANK.EQ(QBmatchups3[[#This Row],[$/FP]],QBmatchups3[$/FP],1)</f>
        <v>13</v>
      </c>
      <c r="AD12" s="427">
        <f>SUM(QBmatchups3[[#This Row],[Salary]]/QBmatchups3[[#This Row],[Projection]])</f>
        <v>332.00418155010203</v>
      </c>
      <c r="AE12" s="316">
        <f>_xlfn.RANK.EQ(QBmatchups3[[#This Row],[Average]],QBmatchups3[Average],1)</f>
        <v>2</v>
      </c>
      <c r="AF12" s="316">
        <f>AVERAGE(QBmatchups3[[#This Row],[Proj Rank]],QBmatchups3[[#This Row],[Value Rank]])</f>
        <v>7.5</v>
      </c>
      <c r="AG12" s="214">
        <f>QBmatchups3[[#This Row],[Salary]]/50000</f>
        <v>0.156</v>
      </c>
      <c r="AH12" s="214"/>
      <c r="AI12" s="32">
        <f>IFERROR(INDEX(QBstats1[Pass Att],MATCH(QBmatchups3[[#This Row],[Name]],QBstats1[Player],0)),"0")</f>
        <v>36.606000000000002</v>
      </c>
      <c r="AJ12" s="32">
        <f>IFERROR(INDEX(QBstats2[PassAtt],MATCH(QBmatchups3[[#This Row],[Name]],QBstats2[Player],0)),"0")</f>
        <v>32.4</v>
      </c>
      <c r="AK12" s="45">
        <f>IFERROR(INDEX(QBstats3[PassAtt],MATCH(QBmatchups3[[#This Row],[Name]],QBstats3[Player],0)),"0")</f>
        <v>30.5</v>
      </c>
      <c r="AL12" s="32" t="str">
        <f>IFERROR(INDEX(QBallowed[Att],MATCH(QBmatchups3[[#This Row],[Opp]],QBallowed[Team],0)),"0")</f>
        <v>0</v>
      </c>
      <c r="AM12" s="32">
        <f>IFERROR(INDEX(QBstats1[Pass Comp],MATCH(QBmatchups3[[#This Row],[Name]],QBstats1[Player],0)),"0")</f>
        <v>23.765000000000001</v>
      </c>
      <c r="AN12" s="14">
        <f>IFERROR(INDEX(QBstats2[PassComp],MATCH(QBmatchups3[[#This Row],[Name]],QBstats2[Player],0)),"0")</f>
        <v>19.100000000000001</v>
      </c>
      <c r="AO12" s="14">
        <f>IFERROR(INDEX(QBstats3[PassComp],MATCH(QBmatchups3[[#This Row],[Name]],QBstats3[Player],0)),"0")</f>
        <v>19.100000000000001</v>
      </c>
      <c r="AP12" s="32" t="str">
        <f>IFERROR(INDEX(QBallowed[Cmp],MATCH(QBmatchups3[[#This Row],[Opp]],QBallowed[Team],0)),"0")</f>
        <v>0</v>
      </c>
      <c r="AQ12" s="32">
        <f>IFERROR(INDEX(QBstats1[Pass Yds],MATCH(QBmatchups3[[#This Row],[Name]],QBstats1[Player],0)),"0")</f>
        <v>276.62599999999998</v>
      </c>
      <c r="AR12" s="14">
        <f>IFERROR(INDEX(QBstats2[PassYards],MATCH(QBmatchups3[[#This Row],[Name]],QBstats2[Player],0)),"0")</f>
        <v>244</v>
      </c>
      <c r="AS12" s="14">
        <f>IFERROR(INDEX(QBstats3[PassYards],MATCH(QBmatchups3[[#This Row],[Name]],QBstats3[Player],0)),"0")</f>
        <v>237.6</v>
      </c>
      <c r="AT12" s="32" t="str">
        <f>IFERROR(INDEX(QBallowed[Yards],MATCH(QBmatchups3[[#This Row],[Opp]],QBallowed[Team],0)),"0")</f>
        <v>0</v>
      </c>
      <c r="AU12" s="32">
        <f>IFERROR(INDEX(QBstats1[Pass TD],MATCH(QBmatchups3[[#This Row],[Name]],QBstats1[Player],0)),"0")</f>
        <v>1.9279999999999999</v>
      </c>
      <c r="AV12" s="14">
        <f>IFERROR(INDEX(QBstats2[PassTD],MATCH(QBmatchups3[[#This Row],[Name]],QBstats2[Player],0)),"0")</f>
        <v>1.8</v>
      </c>
      <c r="AW12" s="14">
        <f>IFERROR(INDEX(QBstats3[PassTD],MATCH(QBmatchups3[[#This Row],[Name]],QBstats3[Player],0)),"0")</f>
        <v>2</v>
      </c>
      <c r="AX12" s="32" t="str">
        <f>IFERROR(INDEX(QBallowed[TD],MATCH(QBmatchups3[[#This Row],[Opp]],QBallowed[Team],0)),"0")</f>
        <v>0</v>
      </c>
      <c r="AY12" s="32">
        <f>IFERROR(INDEX(QBstats1[INT],MATCH(QBmatchups3[[#This Row],[Name]],QBstats1[Player],0)),"0")</f>
        <v>0.93400000000000005</v>
      </c>
      <c r="AZ12" s="14" t="str">
        <f>IFERROR(INDEX(QBstats2[Int],MATCH(QBmatchups3[[#This Row],[Name]],QBstats2[Player],0)),"0")</f>
        <v>0.6</v>
      </c>
      <c r="BA12" s="14">
        <f>IFERROR(INDEX(QBstats3[INT],MATCH(QBmatchups3[[#This Row],[Name]],QBstats3[Player],0)),"0")</f>
        <v>0.7</v>
      </c>
      <c r="BB12" s="32" t="str">
        <f>IFERROR(INDEX(QBallowed[INT],MATCH(QBmatchups3[[#This Row],[Opp]],QBallowed[Team],0)),"0")</f>
        <v>0</v>
      </c>
      <c r="BC12" s="32">
        <f>IFERROR(INDEX(QBstats1[Rush Att],MATCH(QBmatchups3[[#This Row],[Name]],QBstats1[Player],0)),"0")</f>
        <v>6.9480000000000004</v>
      </c>
      <c r="BD12" s="14">
        <f>IFERROR(INDEX(QBstats3[Rush Att],MATCH(QBmatchups3[[#This Row],[Name]],QBstats3[Player],0)),"0")</f>
        <v>7.3</v>
      </c>
      <c r="BE12" s="14" t="str">
        <f>IFERROR(INDEX(QBallowed[RushAtt],MATCH(QBmatchups3[[#This Row],[Opp]],QBallowed[Team],0)),"0")</f>
        <v>0</v>
      </c>
      <c r="BF12" s="32">
        <f>IFERROR(INDEX(QBstats1[Rush Yds],MATCH(QBmatchups3[[#This Row],[Name]],QBstats1[Player],0)),"0")</f>
        <v>34.619999999999997</v>
      </c>
      <c r="BG12" s="14">
        <f>IFERROR(INDEX(QBstats2[RushYards],MATCH(QBmatchups3[[#This Row],[Name]],QBstats2[Player],0)),"0")</f>
        <v>42.1</v>
      </c>
      <c r="BH12" s="14">
        <f>IFERROR(INDEX(QBstats3[RushYards],MATCH(QBmatchups3[[#This Row],[Name]],QBstats3[Player],0)),"0")</f>
        <v>42.7</v>
      </c>
      <c r="BI12" s="32" t="str">
        <f>IFERROR(INDEX(QBallowed[RushYard],MATCH(QBmatchups3[[#This Row],[Opp]],QBallowed[Team],0)),"0")</f>
        <v>0</v>
      </c>
      <c r="BJ12" s="32">
        <f>IFERROR(INDEX(QBstats1[Rush TD],MATCH(QBmatchups3[[#This Row],[Name]],QBstats1[Player],0)),"0")</f>
        <v>0.46100000000000002</v>
      </c>
      <c r="BK12" s="14" t="str">
        <f>IFERROR(INDEX(QBstats2[RushTD],MATCH(QBmatchups3[[#This Row],[Name]],QBstats2[Player],0)),"0")</f>
        <v>0.6</v>
      </c>
      <c r="BL12" s="14">
        <f>IFERROR(INDEX(QBstats3[RushTD],MATCH(QBmatchups3[[#This Row],[Name]],QBstats3[Player],0)),"0")</f>
        <v>0.4</v>
      </c>
      <c r="BM12" s="32" t="str">
        <f>IFERROR(INDEX(QBallowed[RushTD],MATCH(QBmatchups3[[#This Row],[Opp]],QBallowed[Team],0)),"0")</f>
        <v>0</v>
      </c>
      <c r="BN12" s="266">
        <f>IF(QBmatchups3[[#This Row],[Yards]]&gt;=300,3,0)</f>
        <v>0</v>
      </c>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row>
    <row r="13" spans="1:93" x14ac:dyDescent="0.3">
      <c r="A13" s="37">
        <f>QBstats1!AL3</f>
        <v>21.2</v>
      </c>
      <c r="B13" s="34" t="str">
        <f>QBstats1!D3</f>
        <v>Andrew Luck</v>
      </c>
      <c r="C13" s="172">
        <f>IFERROR(INDEX(Salaries[DraftKings (Price)],MATCH(QBmatchups3[[#This Row],[Name]],Salaries[Player],0)),"")</f>
        <v>7400</v>
      </c>
      <c r="D13" s="172">
        <f>IFERROR(INDEX(DK_Salary_Changes[WeekChange],MATCH(QBmatchups3[[#This Row],[Name]],DK_Salary_Changes[Player],0)),"")</f>
        <v>-200</v>
      </c>
      <c r="E13" s="14" t="str">
        <f>IFERROR(INDEX(Salaries[Team],MATCH(QBmatchups3[[#This Row],[Name]],Salaries[Player],0)),"")</f>
        <v>IND</v>
      </c>
      <c r="F13" s="14" t="str">
        <f>IFERROR(INDEX(Salaries[Opp],MATCH(QBmatchups3[[#This Row],[Team]],Salaries[Team],0)),"")</f>
        <v>@JAX</v>
      </c>
      <c r="G13" s="405">
        <f>IFERROR(INDEX(QBYTD[Att],MATCH(QBmatchups3[Name],QBYTD[Player],0)),"")</f>
        <v>124</v>
      </c>
      <c r="H13" s="406">
        <f>IFERROR(INDEX(QBYTD[%],MATCH(QBmatchups3[Name],QBYTD[Player],0)),"")</f>
        <v>0.61299999999999999</v>
      </c>
      <c r="I13" s="407">
        <f>IFERROR(INDEX(QBYTD[Pass Yds],MATCH(QBmatchups3[Name],QBYTD[Player],0)),"")</f>
        <v>913</v>
      </c>
      <c r="J13" s="407">
        <f>IFERROR(INDEX(QBYTD[Pass TD],MATCH(QBmatchups3[Name],QBYTD[Player],0)),"")</f>
        <v>6</v>
      </c>
      <c r="K13" s="407">
        <f>IFERROR(INDEX(QBYTD[Rush Yds],MATCH(QBmatchups3[Name],QBYTD[Player],0)),"")</f>
        <v>43</v>
      </c>
      <c r="L13" s="408">
        <f>IFERROR(INDEX(QBYTD[Rush TD],MATCH(QBmatchups3[Name],QBYTD[Player],0)),"")</f>
        <v>0</v>
      </c>
      <c r="M13" s="416">
        <f>IFERROR(INDEX(Salaries[O/U],MATCH(QBmatchups3[[#This Row],[Team]],Salaries[Team],0)),"")</f>
        <v>49.5</v>
      </c>
      <c r="N13" s="14">
        <f>IFERROR(INDEX(Salaries[Team O/U],MATCH(QBmatchups3[[#This Row],[Team]],Salaries[Team],0)),"")</f>
        <v>26</v>
      </c>
      <c r="O13" s="417">
        <f>IFERROR(INDEX(Salaries[Spread],MATCH(QBmatchups3[[#This Row],[Team]],Salaries[Team],0)),"")</f>
        <v>-2.5</v>
      </c>
      <c r="P13" s="424">
        <f>IFERROR(INDEX(QBallowed[DVP],MATCH(QBmatchups3[[#This Row],[Opp]],QBallowed[Team],0)),IFERROR(INDEX(QBallowed[DVP],MATCH(QBmatchups3[[#This Row],[Opp]],QBallowed[OPP],0)),""))</f>
        <v>29</v>
      </c>
      <c r="Q13" s="431">
        <f>AVERAGE(QBmatchups3[[#This Row],[Att1]:[Atta]])</f>
        <v>39.768333333333338</v>
      </c>
      <c r="R13" s="32">
        <f>AVERAGE(QBmatchups3[[#This Row],[Comp1]:[Compa]])</f>
        <v>24.508666666666667</v>
      </c>
      <c r="S13" s="18">
        <f>SUM(QBmatchups3[[#This Row],[Comp]]/QBmatchups3[[#This Row],[Attempts]])</f>
        <v>0.61628598969028947</v>
      </c>
      <c r="T13" s="32">
        <f>AVERAGE(QBmatchups3[[#This Row],[Yards1]:[Yardsa]])</f>
        <v>286.37899999999996</v>
      </c>
      <c r="U13" s="19">
        <f>SUM(QBmatchups3[[#This Row],[Yards]]/QBmatchups3[[#This Row],[Attempts]])</f>
        <v>7.2011818448514298</v>
      </c>
      <c r="V13" s="32">
        <f>AVERAGE(QBmatchups3[[#This Row],[TD1]:[Tda]])</f>
        <v>2.1173333333333333</v>
      </c>
      <c r="W13" s="32">
        <f>AVERAGE(QBmatchups3[[#This Row],[INT1]:[INTa]])</f>
        <v>1.0813333333333335</v>
      </c>
      <c r="X13" s="19">
        <f>AVERAGE(QBmatchups3[[#This Row],[RushAtt1]:[RushAtta]])</f>
        <v>3.1615000000000002</v>
      </c>
      <c r="Y13" s="32">
        <f>AVERAGE(QBmatchups3[[#This Row],[RushYards1]:[RushYardsa]])</f>
        <v>17.505333333333336</v>
      </c>
      <c r="Z13" s="32">
        <f>AVERAGE(QBmatchups3[[#This Row],[RushTD1]:[RushTDa]])</f>
        <v>0.1845</v>
      </c>
      <c r="AA13" s="8">
        <f>_xlfn.RANK.EQ(QBmatchups3[[#This Row],[Projection]],QBmatchups3[Projection],0)</f>
        <v>3</v>
      </c>
      <c r="AB13" s="45">
        <f>SUM(QBmatchups3[[#This Row],[Yards]]*0.04)+(QBmatchups3[[#This Row],[Pass TD]]*4)+(QBmatchups3[[#This Row],[RushYards]]*0.1)+(QBmatchups3[[#This Row],[RushTD]]*6)+(QBmatchups3[[#This Row],[INT]]*-1)+(QBmatchups3[[#This Row],[300+]])</f>
        <v>21.70069333333333</v>
      </c>
      <c r="AC13" s="433">
        <f>_xlfn.RANK.EQ(QBmatchups3[[#This Row],[$/FP]],QBmatchups3[$/FP],1)</f>
        <v>16</v>
      </c>
      <c r="AD13" s="427">
        <f>SUM(QBmatchups3[[#This Row],[Salary]]/QBmatchups3[[#This Row],[Projection]])</f>
        <v>341.00292955309573</v>
      </c>
      <c r="AE13" s="316">
        <f>_xlfn.RANK.EQ(QBmatchups3[[#This Row],[Average]],QBmatchups3[Average],1)</f>
        <v>6</v>
      </c>
      <c r="AF13" s="316">
        <f>AVERAGE(QBmatchups3[[#This Row],[Proj Rank]],QBmatchups3[[#This Row],[Value Rank]])</f>
        <v>9.5</v>
      </c>
      <c r="AG13" s="214">
        <f>QBmatchups3[[#This Row],[Salary]]/50000</f>
        <v>0.14799999999999999</v>
      </c>
      <c r="AH13" s="214"/>
      <c r="AI13" s="32">
        <f>IFERROR(INDEX(QBstats1[Pass Att],MATCH(QBmatchups3[[#This Row],[Name]],QBstats1[Player],0)),"0")</f>
        <v>38.604999999999997</v>
      </c>
      <c r="AJ13" s="32">
        <f>IFERROR(INDEX(QBstats2[PassAtt],MATCH(QBmatchups3[[#This Row],[Name]],QBstats2[Player],0)),"0")</f>
        <v>43.2</v>
      </c>
      <c r="AK13" s="45">
        <f>IFERROR(INDEX(QBstats3[PassAtt],MATCH(QBmatchups3[[#This Row],[Name]],QBstats3[Player],0)),"0")</f>
        <v>37.5</v>
      </c>
      <c r="AL13" s="32" t="str">
        <f>IFERROR(INDEX(QBallowed[Att],MATCH(QBmatchups3[[#This Row],[Opp]],QBallowed[Team],0)),"0")</f>
        <v>0</v>
      </c>
      <c r="AM13" s="32">
        <f>IFERROR(INDEX(QBstats1[Pass Comp],MATCH(QBmatchups3[[#This Row],[Name]],QBstats1[Player],0)),"0")</f>
        <v>25.026</v>
      </c>
      <c r="AN13" s="14">
        <f>IFERROR(INDEX(QBstats2[PassComp],MATCH(QBmatchups3[[#This Row],[Name]],QBstats2[Player],0)),"0")</f>
        <v>25.3</v>
      </c>
      <c r="AO13" s="14">
        <f>IFERROR(INDEX(QBstats3[PassComp],MATCH(QBmatchups3[[#This Row],[Name]],QBstats3[Player],0)),"0")</f>
        <v>23.2</v>
      </c>
      <c r="AP13" s="32" t="str">
        <f>IFERROR(INDEX(QBallowed[Cmp],MATCH(QBmatchups3[[#This Row],[Opp]],QBallowed[Team],0)),"0")</f>
        <v>0</v>
      </c>
      <c r="AQ13" s="32">
        <f>IFERROR(INDEX(QBstats1[Pass Yds],MATCH(QBmatchups3[[#This Row],[Name]],QBstats1[Player],0)),"0")</f>
        <v>284.73700000000002</v>
      </c>
      <c r="AR13" s="14">
        <f>IFERROR(INDEX(QBstats2[PassYards],MATCH(QBmatchups3[[#This Row],[Name]],QBstats2[Player],0)),"0")</f>
        <v>288.89999999999998</v>
      </c>
      <c r="AS13" s="14">
        <f>IFERROR(INDEX(QBstats3[PassYards],MATCH(QBmatchups3[[#This Row],[Name]],QBstats3[Player],0)),"0")</f>
        <v>285.5</v>
      </c>
      <c r="AT13" s="32" t="str">
        <f>IFERROR(INDEX(QBallowed[Yards],MATCH(QBmatchups3[[#This Row],[Opp]],QBallowed[Team],0)),"0")</f>
        <v>0</v>
      </c>
      <c r="AU13" s="32">
        <f>IFERROR(INDEX(QBstats1[Pass TD],MATCH(QBmatchups3[[#This Row],[Name]],QBstats1[Player],0)),"0")</f>
        <v>1.952</v>
      </c>
      <c r="AV13" s="14">
        <f>IFERROR(INDEX(QBstats2[PassTD],MATCH(QBmatchups3[[#This Row],[Name]],QBstats2[Player],0)),"0")</f>
        <v>2</v>
      </c>
      <c r="AW13" s="14">
        <f>IFERROR(INDEX(QBstats3[PassTD],MATCH(QBmatchups3[[#This Row],[Name]],QBstats3[Player],0)),"0")</f>
        <v>2.4</v>
      </c>
      <c r="AX13" s="32" t="str">
        <f>IFERROR(INDEX(QBallowed[TD],MATCH(QBmatchups3[[#This Row],[Opp]],QBallowed[Team],0)),"0")</f>
        <v>0</v>
      </c>
      <c r="AY13" s="32">
        <f>IFERROR(INDEX(QBstats1[INT],MATCH(QBmatchups3[[#This Row],[Name]],QBstats1[Player],0)),"0")</f>
        <v>0.94399999999999995</v>
      </c>
      <c r="AZ13" s="14">
        <f>IFERROR(INDEX(QBstats2[Int],MATCH(QBmatchups3[[#This Row],[Name]],QBstats2[Player],0)),"0")</f>
        <v>1.2</v>
      </c>
      <c r="BA13" s="14">
        <f>IFERROR(INDEX(QBstats3[INT],MATCH(QBmatchups3[[#This Row],[Name]],QBstats3[Player],0)),"0")</f>
        <v>1.1000000000000001</v>
      </c>
      <c r="BB13" s="32" t="str">
        <f>IFERROR(INDEX(QBallowed[INT],MATCH(QBmatchups3[[#This Row],[Opp]],QBallowed[Team],0)),"0")</f>
        <v>0</v>
      </c>
      <c r="BC13" s="32">
        <f>IFERROR(INDEX(QBstats1[Rush Att],MATCH(QBmatchups3[[#This Row],[Name]],QBstats1[Player],0)),"0")</f>
        <v>2.7229999999999999</v>
      </c>
      <c r="BD13" s="14">
        <f>IFERROR(INDEX(QBstats3[Rush Att],MATCH(QBmatchups3[[#This Row],[Name]],QBstats3[Player],0)),"0")</f>
        <v>3.6</v>
      </c>
      <c r="BE13" s="14" t="str">
        <f>IFERROR(INDEX(QBallowed[RushAtt],MATCH(QBmatchups3[[#This Row],[Opp]],QBallowed[Team],0)),"0")</f>
        <v>0</v>
      </c>
      <c r="BF13" s="32">
        <f>IFERROR(INDEX(QBstats1[Rush Yds],MATCH(QBmatchups3[[#This Row],[Name]],QBstats1[Player],0)),"0")</f>
        <v>17.216000000000001</v>
      </c>
      <c r="BG13" s="14">
        <f>IFERROR(INDEX(QBstats2[RushYards],MATCH(QBmatchups3[[#This Row],[Name]],QBstats2[Player],0)),"0")</f>
        <v>17.3</v>
      </c>
      <c r="BH13" s="14">
        <f>IFERROR(INDEX(QBstats3[RushYards],MATCH(QBmatchups3[[#This Row],[Name]],QBstats3[Player],0)),"0")</f>
        <v>18</v>
      </c>
      <c r="BI13" s="32" t="str">
        <f>IFERROR(INDEX(QBallowed[RushYard],MATCH(QBmatchups3[[#This Row],[Opp]],QBallowed[Team],0)),"0")</f>
        <v>0</v>
      </c>
      <c r="BJ13" s="32">
        <f>IFERROR(INDEX(QBstats1[Rush TD],MATCH(QBmatchups3[[#This Row],[Name]],QBstats1[Player],0)),"0")</f>
        <v>0.26900000000000002</v>
      </c>
      <c r="BK13" s="14" t="str">
        <f>IFERROR(INDEX(QBstats2[RushTD],MATCH(QBmatchups3[[#This Row],[Name]],QBstats2[Player],0)),"0")</f>
        <v>0.2</v>
      </c>
      <c r="BL13" s="14">
        <f>IFERROR(INDEX(QBstats3[RushTD],MATCH(QBmatchups3[[#This Row],[Name]],QBstats3[Player],0)),"0")</f>
        <v>0.1</v>
      </c>
      <c r="BM13" s="32" t="str">
        <f>IFERROR(INDEX(QBallowed[RushTD],MATCH(QBmatchups3[[#This Row],[Opp]],QBallowed[Team],0)),"0")</f>
        <v>0</v>
      </c>
      <c r="BN13" s="266">
        <f>IF(QBmatchups3[[#This Row],[Yards]]&gt;=300,3,0)</f>
        <v>0</v>
      </c>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row>
    <row r="14" spans="1:93" x14ac:dyDescent="0.3">
      <c r="A14" s="37">
        <f>QBstats1!AL7</f>
        <v>19.899999999999999</v>
      </c>
      <c r="B14" s="34" t="str">
        <f>QBstats1!D7</f>
        <v>Matthew Stafford</v>
      </c>
      <c r="C14" s="172">
        <f>IFERROR(INDEX(Salaries[DraftKings (Price)],MATCH(QBmatchups3[[#This Row],[Name]],Salaries[Player],0)),"")</f>
        <v>7300</v>
      </c>
      <c r="D14" s="172">
        <f>IFERROR(INDEX(DK_Salary_Changes[WeekChange],MATCH(QBmatchups3[[#This Row],[Name]],DK_Salary_Changes[Player],0)),"")</f>
        <v>500</v>
      </c>
      <c r="E14" s="14" t="str">
        <f>IFERROR(INDEX(Salaries[Team],MATCH(QBmatchups3[[#This Row],[Name]],Salaries[Player],0)),"")</f>
        <v>DET</v>
      </c>
      <c r="F14" s="14" t="str">
        <f>IFERROR(INDEX(Salaries[Opp],MATCH(QBmatchups3[[#This Row],[Team]],Salaries[Team],0)),"")</f>
        <v>@CHI</v>
      </c>
      <c r="G14" s="405">
        <f>IFERROR(INDEX(QBYTD[Att],MATCH(QBmatchups3[Name],QBYTD[Player],0)),"")</f>
        <v>120</v>
      </c>
      <c r="H14" s="406">
        <f>IFERROR(INDEX(QBYTD[%],MATCH(QBmatchups3[Name],QBYTD[Player],0)),"")</f>
        <v>0.67500000000000004</v>
      </c>
      <c r="I14" s="407">
        <f>IFERROR(INDEX(QBYTD[Pass Yds],MATCH(QBmatchups3[Name],QBYTD[Player],0)),"")</f>
        <v>985</v>
      </c>
      <c r="J14" s="407">
        <f>IFERROR(INDEX(QBYTD[Pass TD],MATCH(QBmatchups3[Name],QBYTD[Player],0)),"")</f>
        <v>7</v>
      </c>
      <c r="K14" s="407">
        <f>IFERROR(INDEX(QBYTD[Rush Yds],MATCH(QBmatchups3[Name],QBYTD[Player],0)),"")</f>
        <v>47</v>
      </c>
      <c r="L14" s="408">
        <f>IFERROR(INDEX(QBYTD[Rush TD],MATCH(QBmatchups3[Name],QBYTD[Player],0)),"")</f>
        <v>0</v>
      </c>
      <c r="M14" s="416">
        <f>IFERROR(INDEX(Salaries[O/U],MATCH(QBmatchups3[[#This Row],[Team]],Salaries[Team],0)),"")</f>
        <v>46.5</v>
      </c>
      <c r="N14" s="14">
        <f>IFERROR(INDEX(Salaries[Team O/U],MATCH(QBmatchups3[[#This Row],[Team]],Salaries[Team],0)),"")</f>
        <v>24.75</v>
      </c>
      <c r="O14" s="417">
        <f>IFERROR(INDEX(Salaries[Spread],MATCH(QBmatchups3[[#This Row],[Team]],Salaries[Team],0)),"")</f>
        <v>-3</v>
      </c>
      <c r="P14" s="424">
        <f>IFERROR(INDEX(QBallowed[DVP],MATCH(QBmatchups3[[#This Row],[Opp]],QBallowed[Team],0)),IFERROR(INDEX(QBallowed[DVP],MATCH(QBmatchups3[[#This Row],[Opp]],QBallowed[OPP],0)),""))</f>
        <v>23</v>
      </c>
      <c r="Q14" s="431">
        <f>AVERAGE(QBmatchups3[[#This Row],[Att1]:[Atta]])</f>
        <v>37.040333333333329</v>
      </c>
      <c r="R14" s="32">
        <f>AVERAGE(QBmatchups3[[#This Row],[Comp1]:[Compa]])</f>
        <v>24.731999999999999</v>
      </c>
      <c r="S14" s="18">
        <f>SUM(QBmatchups3[[#This Row],[Comp]]/QBmatchups3[[#This Row],[Attempts]])</f>
        <v>0.66770457429288799</v>
      </c>
      <c r="T14" s="32">
        <f>AVERAGE(QBmatchups3[[#This Row],[Yards1]:[Yardsa]])</f>
        <v>286.45333333333332</v>
      </c>
      <c r="U14" s="19">
        <f>SUM(QBmatchups3[[#This Row],[Yards]]/QBmatchups3[[#This Row],[Attempts]])</f>
        <v>7.7335517138974632</v>
      </c>
      <c r="V14" s="32">
        <f>AVERAGE(QBmatchups3[[#This Row],[TD1]:[Tda]])</f>
        <v>1.986666666666667</v>
      </c>
      <c r="W14" s="32">
        <f>AVERAGE(QBmatchups3[[#This Row],[INT1]:[INTa]])</f>
        <v>0.69500000000000006</v>
      </c>
      <c r="X14" s="19">
        <f>AVERAGE(QBmatchups3[[#This Row],[RushAtt1]:[RushAtta]])</f>
        <v>2.6665000000000001</v>
      </c>
      <c r="Y14" s="32">
        <f>AVERAGE(QBmatchups3[[#This Row],[RushYards1]:[RushYardsa]])</f>
        <v>10.980666666666666</v>
      </c>
      <c r="Z14" s="32">
        <f>AVERAGE(QBmatchups3[[#This Row],[RushTD1]:[RushTDa]])</f>
        <v>0.129</v>
      </c>
      <c r="AA14" s="8">
        <f>_xlfn.RANK.EQ(QBmatchups3[[#This Row],[Projection]],QBmatchups3[Projection],0)</f>
        <v>4</v>
      </c>
      <c r="AB14" s="45">
        <f>SUM(QBmatchups3[[#This Row],[Yards]]*0.04)+(QBmatchups3[[#This Row],[Pass TD]]*4)+(QBmatchups3[[#This Row],[RushYards]]*0.1)+(QBmatchups3[[#This Row],[RushTD]]*6)+(QBmatchups3[[#This Row],[INT]]*-1)+(QBmatchups3[[#This Row],[300+]])</f>
        <v>20.58186666666667</v>
      </c>
      <c r="AC14" s="433">
        <f>_xlfn.RANK.EQ(QBmatchups3[[#This Row],[$/FP]],QBmatchups3[$/FP],1)</f>
        <v>23</v>
      </c>
      <c r="AD14" s="427">
        <f>SUM(QBmatchups3[[#This Row],[Salary]]/QBmatchups3[[#This Row],[Projection]])</f>
        <v>354.68114327174726</v>
      </c>
      <c r="AE14" s="316">
        <f>_xlfn.RANK.EQ(QBmatchups3[[#This Row],[Average]],QBmatchups3[Average],1)</f>
        <v>12</v>
      </c>
      <c r="AF14" s="316">
        <f>AVERAGE(QBmatchups3[[#This Row],[Proj Rank]],QBmatchups3[[#This Row],[Value Rank]])</f>
        <v>13.5</v>
      </c>
      <c r="AG14" s="214">
        <f>QBmatchups3[[#This Row],[Salary]]/50000</f>
        <v>0.14599999999999999</v>
      </c>
      <c r="AH14" s="214"/>
      <c r="AI14" s="32">
        <f>IFERROR(INDEX(QBstats1[Pass Att],MATCH(QBmatchups3[[#This Row],[Name]],QBstats1[Player],0)),"0")</f>
        <v>36.320999999999998</v>
      </c>
      <c r="AJ14" s="32">
        <f>IFERROR(INDEX(QBstats2[PassAtt],MATCH(QBmatchups3[[#This Row],[Name]],QBstats2[Player],0)),"0")</f>
        <v>40.5</v>
      </c>
      <c r="AK14" s="45">
        <f>IFERROR(INDEX(QBstats3[PassAtt],MATCH(QBmatchups3[[#This Row],[Name]],QBstats3[Player],0)),"0")</f>
        <v>34.299999999999997</v>
      </c>
      <c r="AL14" s="32" t="str">
        <f>IFERROR(INDEX(QBallowed[Att],MATCH(QBmatchups3[[#This Row],[Opp]],QBallowed[Team],0)),"0")</f>
        <v>0</v>
      </c>
      <c r="AM14" s="32">
        <f>IFERROR(INDEX(QBstats1[Pass Comp],MATCH(QBmatchups3[[#This Row],[Name]],QBstats1[Player],0)),"0")</f>
        <v>24.696000000000002</v>
      </c>
      <c r="AN14" s="14">
        <f>IFERROR(INDEX(QBstats2[PassComp],MATCH(QBmatchups3[[#This Row],[Name]],QBstats2[Player],0)),"0")</f>
        <v>26.8</v>
      </c>
      <c r="AO14" s="14">
        <f>IFERROR(INDEX(QBstats3[PassComp],MATCH(QBmatchups3[[#This Row],[Name]],QBstats3[Player],0)),"0")</f>
        <v>22.7</v>
      </c>
      <c r="AP14" s="32" t="str">
        <f>IFERROR(INDEX(QBallowed[Cmp],MATCH(QBmatchups3[[#This Row],[Opp]],QBallowed[Team],0)),"0")</f>
        <v>0</v>
      </c>
      <c r="AQ14" s="32">
        <f>IFERROR(INDEX(QBstats1[Pass Yds],MATCH(QBmatchups3[[#This Row],[Name]],QBstats1[Player],0)),"0")</f>
        <v>280.76</v>
      </c>
      <c r="AR14" s="14">
        <f>IFERROR(INDEX(QBstats2[PassYards],MATCH(QBmatchups3[[#This Row],[Name]],QBstats2[Player],0)),"0")</f>
        <v>303.10000000000002</v>
      </c>
      <c r="AS14" s="14">
        <f>IFERROR(INDEX(QBstats3[PassYards],MATCH(QBmatchups3[[#This Row],[Name]],QBstats3[Player],0)),"0")</f>
        <v>275.5</v>
      </c>
      <c r="AT14" s="32" t="str">
        <f>IFERROR(INDEX(QBallowed[Yards],MATCH(QBmatchups3[[#This Row],[Opp]],QBallowed[Team],0)),"0")</f>
        <v>0</v>
      </c>
      <c r="AU14" s="32">
        <f>IFERROR(INDEX(QBstats1[Pass TD],MATCH(QBmatchups3[[#This Row],[Name]],QBstats1[Player],0)),"0")</f>
        <v>1.86</v>
      </c>
      <c r="AV14" s="14">
        <f>IFERROR(INDEX(QBstats2[PassTD],MATCH(QBmatchups3[[#This Row],[Name]],QBstats2[Player],0)),"0")</f>
        <v>2.2000000000000002</v>
      </c>
      <c r="AW14" s="14">
        <f>IFERROR(INDEX(QBstats3[PassTD],MATCH(QBmatchups3[[#This Row],[Name]],QBstats3[Player],0)),"0")</f>
        <v>1.9</v>
      </c>
      <c r="AX14" s="32" t="str">
        <f>IFERROR(INDEX(QBallowed[TD],MATCH(QBmatchups3[[#This Row],[Opp]],QBallowed[Team],0)),"0")</f>
        <v>0</v>
      </c>
      <c r="AY14" s="32">
        <f>IFERROR(INDEX(QBstats1[INT],MATCH(QBmatchups3[[#This Row],[Name]],QBstats1[Player],0)),"0")</f>
        <v>0.79</v>
      </c>
      <c r="AZ14" s="14" t="str">
        <f>IFERROR(INDEX(QBstats2[Int],MATCH(QBmatchups3[[#This Row],[Name]],QBstats2[Player],0)),"0")</f>
        <v>0.9</v>
      </c>
      <c r="BA14" s="14">
        <f>IFERROR(INDEX(QBstats3[INT],MATCH(QBmatchups3[[#This Row],[Name]],QBstats3[Player],0)),"0")</f>
        <v>0.6</v>
      </c>
      <c r="BB14" s="32" t="str">
        <f>IFERROR(INDEX(QBallowed[INT],MATCH(QBmatchups3[[#This Row],[Opp]],QBallowed[Team],0)),"0")</f>
        <v>0</v>
      </c>
      <c r="BC14" s="32">
        <f>IFERROR(INDEX(QBstats1[Rush Att],MATCH(QBmatchups3[[#This Row],[Name]],QBstats1[Player],0)),"0")</f>
        <v>2.8330000000000002</v>
      </c>
      <c r="BD14" s="14">
        <f>IFERROR(INDEX(QBstats3[Rush Att],MATCH(QBmatchups3[[#This Row],[Name]],QBstats3[Player],0)),"0")</f>
        <v>2.5</v>
      </c>
      <c r="BE14" s="14" t="str">
        <f>IFERROR(INDEX(QBallowed[RushAtt],MATCH(QBmatchups3[[#This Row],[Opp]],QBallowed[Team],0)),"0")</f>
        <v>0</v>
      </c>
      <c r="BF14" s="32">
        <f>IFERROR(INDEX(QBstats1[Rush Yds],MATCH(QBmatchups3[[#This Row],[Name]],QBstats1[Player],0)),"0")</f>
        <v>13.942</v>
      </c>
      <c r="BG14" s="14">
        <f>IFERROR(INDEX(QBstats2[RushYards],MATCH(QBmatchups3[[#This Row],[Name]],QBstats2[Player],0)),"0")</f>
        <v>7.5</v>
      </c>
      <c r="BH14" s="14">
        <f>IFERROR(INDEX(QBstats3[RushYards],MATCH(QBmatchups3[[#This Row],[Name]],QBstats3[Player],0)),"0")</f>
        <v>11.5</v>
      </c>
      <c r="BI14" s="32" t="str">
        <f>IFERROR(INDEX(QBallowed[RushYard],MATCH(QBmatchups3[[#This Row],[Opp]],QBallowed[Team],0)),"0")</f>
        <v>0</v>
      </c>
      <c r="BJ14" s="32">
        <f>IFERROR(INDEX(QBstats1[Rush TD],MATCH(QBmatchups3[[#This Row],[Name]],QBstats1[Player],0)),"0")</f>
        <v>0.158</v>
      </c>
      <c r="BK14" s="14" t="str">
        <f>IFERROR(INDEX(QBstats2[RushTD],MATCH(QBmatchups3[[#This Row],[Name]],QBstats2[Player],0)),"0")</f>
        <v>0.1</v>
      </c>
      <c r="BL14" s="14">
        <f>IFERROR(INDEX(QBstats3[RushTD],MATCH(QBmatchups3[[#This Row],[Name]],QBstats3[Player],0)),"0")</f>
        <v>0.1</v>
      </c>
      <c r="BM14" s="32" t="str">
        <f>IFERROR(INDEX(QBallowed[RushTD],MATCH(QBmatchups3[[#This Row],[Opp]],QBallowed[Team],0)),"0")</f>
        <v>0</v>
      </c>
      <c r="BN14" s="266">
        <f>IF(QBmatchups3[[#This Row],[Yards]]&gt;=300,3,0)</f>
        <v>0</v>
      </c>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row>
    <row r="15" spans="1:93" x14ac:dyDescent="0.3">
      <c r="A15" s="37">
        <f>QBstats1!AL10</f>
        <v>19.100000000000001</v>
      </c>
      <c r="B15" s="34" t="str">
        <f>QBstats1!D10</f>
        <v>Ben Roethlisberger</v>
      </c>
      <c r="C15" s="172">
        <f>IFERROR(INDEX(Salaries[DraftKings (Price)],MATCH(QBmatchups3[[#This Row],[Name]],Salaries[Player],0)),"")</f>
        <v>7100</v>
      </c>
      <c r="D15" s="172">
        <f>IFERROR(INDEX(DK_Salary_Changes[WeekChange],MATCH(QBmatchups3[[#This Row],[Name]],DK_Salary_Changes[Player],0)),"")</f>
        <v>-200</v>
      </c>
      <c r="E15" s="14" t="str">
        <f>IFERROR(INDEX(Salaries[Team],MATCH(QBmatchups3[[#This Row],[Name]],Salaries[Player],0)),"")</f>
        <v>PIT</v>
      </c>
      <c r="F15" s="14" t="str">
        <f>IFERROR(INDEX(Salaries[Opp],MATCH(QBmatchups3[[#This Row],[Team]],Salaries[Team],0)),"")</f>
        <v>KC</v>
      </c>
      <c r="G15" s="405">
        <f>IFERROR(INDEX(QBYTD[Att],MATCH(QBmatchups3[Name],QBYTD[Player],0)),"")</f>
        <v>118</v>
      </c>
      <c r="H15" s="406">
        <f>IFERROR(INDEX(QBYTD[%],MATCH(QBmatchups3[Name],QBYTD[Player],0)),"")</f>
        <v>0.59299999999999997</v>
      </c>
      <c r="I15" s="407">
        <f>IFERROR(INDEX(QBYTD[Pass Yds],MATCH(QBmatchups3[Name],QBYTD[Player],0)),"")</f>
        <v>816</v>
      </c>
      <c r="J15" s="407">
        <f>IFERROR(INDEX(QBYTD[Pass TD],MATCH(QBmatchups3[Name],QBYTD[Player],0)),"")</f>
        <v>6</v>
      </c>
      <c r="K15" s="407">
        <f>IFERROR(INDEX(QBYTD[Rush Yds],MATCH(QBmatchups3[Name],QBYTD[Player],0)),"")</f>
        <v>19</v>
      </c>
      <c r="L15" s="408">
        <f>IFERROR(INDEX(QBYTD[Rush TD],MATCH(QBmatchups3[Name],QBYTD[Player],0)),"")</f>
        <v>0</v>
      </c>
      <c r="M15" s="416">
        <f>IFERROR(INDEX(Salaries[O/U],MATCH(QBmatchups3[[#This Row],[Team]],Salaries[Team],0)),"")</f>
        <v>47.5</v>
      </c>
      <c r="N15" s="14">
        <f>IFERROR(INDEX(Salaries[Team O/U],MATCH(QBmatchups3[[#This Row],[Team]],Salaries[Team],0)),"")</f>
        <v>26.5</v>
      </c>
      <c r="O15" s="417">
        <f>IFERROR(INDEX(Salaries[Spread],MATCH(QBmatchups3[[#This Row],[Team]],Salaries[Team],0)),"")</f>
        <v>-5.5</v>
      </c>
      <c r="P15" s="424">
        <f>IFERROR(INDEX(QBallowed[DVP],MATCH(QBmatchups3[[#This Row],[Opp]],QBallowed[Team],0)),IFERROR(INDEX(QBallowed[DVP],MATCH(QBmatchups3[[#This Row],[Opp]],QBallowed[OPP],0)),""))</f>
        <v>15</v>
      </c>
      <c r="Q15" s="431">
        <f>AVERAGE(QBmatchups3[[#This Row],[Att1]:[Atta]])</f>
        <v>39.085124999999998</v>
      </c>
      <c r="R15" s="32">
        <f>AVERAGE(QBmatchups3[[#This Row],[Comp1]:[Compa]])</f>
        <v>24.324750000000002</v>
      </c>
      <c r="S15" s="18">
        <f>SUM(QBmatchups3[[#This Row],[Comp]]/QBmatchups3[[#This Row],[Attempts]])</f>
        <v>0.62235313306532869</v>
      </c>
      <c r="T15" s="32">
        <f>AVERAGE(QBmatchups3[[#This Row],[Yards1]:[Yardsa]])</f>
        <v>293.35500000000002</v>
      </c>
      <c r="U15" s="19">
        <f>SUM(QBmatchups3[[#This Row],[Yards]]/QBmatchups3[[#This Row],[Attempts]])</f>
        <v>7.5055407907739848</v>
      </c>
      <c r="V15" s="32">
        <f>AVERAGE(QBmatchups3[[#This Row],[TD1]:[Tda]])</f>
        <v>1.9580000000000002</v>
      </c>
      <c r="W15" s="32">
        <f>AVERAGE(QBmatchups3[[#This Row],[INT1]:[INTa]])</f>
        <v>0.98625000000000007</v>
      </c>
      <c r="X15" s="19">
        <f>AVERAGE(QBmatchups3[[#This Row],[RushAtt1]:[RushAtta]])</f>
        <v>2.0794999999999999</v>
      </c>
      <c r="Y15" s="32">
        <f>AVERAGE(QBmatchups3[[#This Row],[RushYards1]:[RushYardsa]])</f>
        <v>7.7124999999999995</v>
      </c>
      <c r="Z15" s="32">
        <f>AVERAGE(QBmatchups3[[#This Row],[RushTD1]:[RushTDa]])</f>
        <v>9.4333333333333338E-2</v>
      </c>
      <c r="AA15" s="8">
        <f>_xlfn.RANK.EQ(QBmatchups3[[#This Row],[Projection]],QBmatchups3[Projection],0)</f>
        <v>5</v>
      </c>
      <c r="AB15" s="45">
        <f>SUM(QBmatchups3[[#This Row],[Yards]]*0.04)+(QBmatchups3[[#This Row],[Pass TD]]*4)+(QBmatchups3[[#This Row],[RushYards]]*0.1)+(QBmatchups3[[#This Row],[RushTD]]*6)+(QBmatchups3[[#This Row],[INT]]*-1)+(QBmatchups3[[#This Row],[300+]])</f>
        <v>19.917200000000001</v>
      </c>
      <c r="AC15" s="433">
        <f>_xlfn.RANK.EQ(QBmatchups3[[#This Row],[$/FP]],QBmatchups3[$/FP],1)</f>
        <v>24</v>
      </c>
      <c r="AD15" s="427">
        <f>SUM(QBmatchups3[[#This Row],[Salary]]/QBmatchups3[[#This Row],[Projection]])</f>
        <v>356.47580985279052</v>
      </c>
      <c r="AE15" s="316">
        <f>_xlfn.RANK.EQ(QBmatchups3[[#This Row],[Average]],QBmatchups3[Average],1)</f>
        <v>16</v>
      </c>
      <c r="AF15" s="316">
        <f>AVERAGE(QBmatchups3[[#This Row],[Proj Rank]],QBmatchups3[[#This Row],[Value Rank]])</f>
        <v>14.5</v>
      </c>
      <c r="AG15" s="214">
        <f>QBmatchups3[[#This Row],[Salary]]/50000</f>
        <v>0.14199999999999999</v>
      </c>
      <c r="AH15" s="214"/>
      <c r="AI15" s="32">
        <f>IFERROR(INDEX(QBstats1[Pass Att],MATCH(QBmatchups3[[#This Row],[Name]],QBstats1[Player],0)),"0")</f>
        <v>36.978000000000002</v>
      </c>
      <c r="AJ15" s="32">
        <f>IFERROR(INDEX(QBstats2[PassAtt],MATCH(QBmatchups3[[#This Row],[Name]],QBstats2[Player],0)),"0")</f>
        <v>45.7</v>
      </c>
      <c r="AK15" s="45">
        <f>IFERROR(INDEX(QBstats3[PassAtt],MATCH(QBmatchups3[[#This Row],[Name]],QBstats3[Player],0)),"0")</f>
        <v>39.6</v>
      </c>
      <c r="AL15" s="32">
        <f>IFERROR(INDEX(QBallowed[Att],MATCH(QBmatchups3[[#This Row],[Opp]],QBallowed[Team],0)),"0")</f>
        <v>34.0625</v>
      </c>
      <c r="AM15" s="32">
        <f>IFERROR(INDEX(QBstats1[Pass Comp],MATCH(QBmatchups3[[#This Row],[Name]],QBstats1[Player],0)),"0")</f>
        <v>21.724</v>
      </c>
      <c r="AN15" s="14">
        <f>IFERROR(INDEX(QBstats2[PassComp],MATCH(QBmatchups3[[#This Row],[Name]],QBstats2[Player],0)),"0")</f>
        <v>27.2</v>
      </c>
      <c r="AO15" s="14">
        <f>IFERROR(INDEX(QBstats3[PassComp],MATCH(QBmatchups3[[#This Row],[Name]],QBstats3[Player],0)),"0")</f>
        <v>26.5</v>
      </c>
      <c r="AP15" s="32">
        <f>IFERROR(INDEX(QBallowed[Cmp],MATCH(QBmatchups3[[#This Row],[Opp]],QBallowed[Team],0)),"0")</f>
        <v>21.875</v>
      </c>
      <c r="AQ15" s="32">
        <f>IFERROR(INDEX(QBstats1[Pass Yds],MATCH(QBmatchups3[[#This Row],[Name]],QBstats1[Player],0)),"0")</f>
        <v>303.22000000000003</v>
      </c>
      <c r="AR15" s="14">
        <f>IFERROR(INDEX(QBstats2[PassYards],MATCH(QBmatchups3[[#This Row],[Name]],QBstats2[Player],0)),"0")</f>
        <v>306.2</v>
      </c>
      <c r="AS15" s="14">
        <f>IFERROR(INDEX(QBstats3[PassYards],MATCH(QBmatchups3[[#This Row],[Name]],QBstats3[Player],0)),"0")</f>
        <v>317</v>
      </c>
      <c r="AT15" s="32">
        <f>IFERROR(INDEX(QBallowed[Yards],MATCH(QBmatchups3[[#This Row],[Opp]],QBallowed[Team],0)),"0")</f>
        <v>247</v>
      </c>
      <c r="AU15" s="32">
        <f>IFERROR(INDEX(QBstats1[Pass TD],MATCH(QBmatchups3[[#This Row],[Name]],QBstats1[Player],0)),"0")</f>
        <v>1.857</v>
      </c>
      <c r="AV15" s="14">
        <f>IFERROR(INDEX(QBstats2[PassTD],MATCH(QBmatchups3[[#This Row],[Name]],QBstats2[Player],0)),"0")</f>
        <v>2</v>
      </c>
      <c r="AW15" s="14">
        <f>IFERROR(INDEX(QBstats3[PassTD],MATCH(QBmatchups3[[#This Row],[Name]],QBstats3[Player],0)),"0")</f>
        <v>2.1</v>
      </c>
      <c r="AX15" s="32">
        <f>IFERROR(INDEX(QBallowed[TD],MATCH(QBmatchups3[[#This Row],[Opp]],QBallowed[Team],0)),"0")</f>
        <v>1.875</v>
      </c>
      <c r="AY15" s="32">
        <f>IFERROR(INDEX(QBstats1[INT],MATCH(QBmatchups3[[#This Row],[Name]],QBstats1[Player],0)),"0")</f>
        <v>0.87</v>
      </c>
      <c r="AZ15" s="14">
        <f>IFERROR(INDEX(QBstats2[Int],MATCH(QBmatchups3[[#This Row],[Name]],QBstats2[Player],0)),"0")</f>
        <v>1.5</v>
      </c>
      <c r="BA15" s="14">
        <f>IFERROR(INDEX(QBstats3[INT],MATCH(QBmatchups3[[#This Row],[Name]],QBstats3[Player],0)),"0")</f>
        <v>1.2</v>
      </c>
      <c r="BB15" s="32">
        <f>IFERROR(INDEX(QBallowed[INT],MATCH(QBmatchups3[[#This Row],[Opp]],QBallowed[Team],0)),"0")</f>
        <v>0.375</v>
      </c>
      <c r="BC15" s="32">
        <f>IFERROR(INDEX(QBstats1[Rush Att],MATCH(QBmatchups3[[#This Row],[Name]],QBstats1[Player],0)),"0")</f>
        <v>1.901</v>
      </c>
      <c r="BD15" s="14">
        <f>IFERROR(INDEX(QBstats3[Rush Att],MATCH(QBmatchups3[[#This Row],[Name]],QBstats3[Player],0)),"0")</f>
        <v>1.4</v>
      </c>
      <c r="BE15" s="14">
        <f>IFERROR(INDEX(QBallowed[RushAtt],MATCH(QBmatchups3[[#This Row],[Opp]],QBallowed[Team],0)),"0")</f>
        <v>2.9375</v>
      </c>
      <c r="BF15" s="32">
        <f>IFERROR(INDEX(QBstats1[Rush Yds],MATCH(QBmatchups3[[#This Row],[Name]],QBstats1[Player],0)),"0")</f>
        <v>5.3</v>
      </c>
      <c r="BG15" s="14">
        <f>IFERROR(INDEX(QBstats2[RushYards],MATCH(QBmatchups3[[#This Row],[Name]],QBstats2[Player],0)),"0")</f>
        <v>11.4</v>
      </c>
      <c r="BH15" s="14">
        <f>IFERROR(INDEX(QBstats3[RushYards],MATCH(QBmatchups3[[#This Row],[Name]],QBstats3[Player],0)),"0")</f>
        <v>3.9</v>
      </c>
      <c r="BI15" s="32">
        <f>IFERROR(INDEX(QBallowed[RushYard],MATCH(QBmatchups3[[#This Row],[Opp]],QBallowed[Team],0)),"0")</f>
        <v>10.25</v>
      </c>
      <c r="BJ15" s="32">
        <f>IFERROR(INDEX(QBstats1[Rush TD],MATCH(QBmatchups3[[#This Row],[Name]],QBstats1[Player],0)),"0")</f>
        <v>5.8000000000000003E-2</v>
      </c>
      <c r="BK15" s="14" t="str">
        <f>IFERROR(INDEX(QBstats2[RushTD],MATCH(QBmatchups3[[#This Row],[Name]],QBstats2[Player],0)),"0")</f>
        <v>0.2</v>
      </c>
      <c r="BL15" s="14">
        <f>IFERROR(INDEX(QBstats3[RushTD],MATCH(QBmatchups3[[#This Row],[Name]],QBstats3[Player],0)),"0")</f>
        <v>0.1</v>
      </c>
      <c r="BM15" s="32">
        <f>IFERROR(INDEX(QBallowed[RushTD],MATCH(QBmatchups3[[#This Row],[Opp]],QBallowed[Team],0)),"0")</f>
        <v>0.125</v>
      </c>
      <c r="BN15" s="266">
        <f>IF(QBmatchups3[[#This Row],[Yards]]&gt;=300,3,0)</f>
        <v>0</v>
      </c>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row>
    <row r="16" spans="1:93" x14ac:dyDescent="0.3">
      <c r="A16" s="37">
        <f>QBstats1!AL8</f>
        <v>19.899999999999999</v>
      </c>
      <c r="B16" s="34" t="str">
        <f>QBstats1!D8</f>
        <v>Kirk Cousins</v>
      </c>
      <c r="C16" s="172">
        <f>IFERROR(INDEX(Salaries[DraftKings (Price)],MATCH(QBmatchups3[[#This Row],[Name]],Salaries[Player],0)),"")</f>
        <v>6500</v>
      </c>
      <c r="D16" s="172">
        <f>IFERROR(INDEX(DK_Salary_Changes[WeekChange],MATCH(QBmatchups3[[#This Row],[Name]],DK_Salary_Changes[Player],0)),"")</f>
        <v>100</v>
      </c>
      <c r="E16" s="14" t="str">
        <f>IFERROR(INDEX(Salaries[Team],MATCH(QBmatchups3[[#This Row],[Name]],Salaries[Player],0)),"")</f>
        <v>WAS</v>
      </c>
      <c r="F16" s="14" t="str">
        <f>IFERROR(INDEX(Salaries[Opp],MATCH(QBmatchups3[[#This Row],[Team]],Salaries[Team],0)),"")</f>
        <v>CLE</v>
      </c>
      <c r="G16" s="405">
        <f>IFERROR(INDEX(QBYTD[Att],MATCH(QBmatchups3[Name],QBYTD[Player],0)),"")</f>
        <v>124</v>
      </c>
      <c r="H16" s="406">
        <f>IFERROR(INDEX(QBYTD[%],MATCH(QBmatchups3[Name],QBYTD[Player],0)),"")</f>
        <v>0.63700000000000001</v>
      </c>
      <c r="I16" s="407">
        <f>IFERROR(INDEX(QBYTD[Pass Yds],MATCH(QBmatchups3[Name],QBYTD[Player],0)),"")</f>
        <v>989</v>
      </c>
      <c r="J16" s="407">
        <f>IFERROR(INDEX(QBYTD[Pass TD],MATCH(QBmatchups3[Name],QBYTD[Player],0)),"")</f>
        <v>3</v>
      </c>
      <c r="K16" s="407">
        <f>IFERROR(INDEX(QBYTD[Rush Yds],MATCH(QBmatchups3[Name],QBYTD[Player],0)),"")</f>
        <v>23</v>
      </c>
      <c r="L16" s="408">
        <f>IFERROR(INDEX(QBYTD[Rush TD],MATCH(QBmatchups3[Name],QBYTD[Player],0)),"")</f>
        <v>0</v>
      </c>
      <c r="M16" s="416">
        <f>IFERROR(INDEX(Salaries[O/U],MATCH(QBmatchups3[[#This Row],[Team]],Salaries[Team],0)),"")</f>
        <v>45.5</v>
      </c>
      <c r="N16" s="14">
        <f>IFERROR(INDEX(Salaries[Team O/U],MATCH(QBmatchups3[[#This Row],[Team]],Salaries[Team],0)),"")</f>
        <v>26.75</v>
      </c>
      <c r="O16" s="417">
        <f>IFERROR(INDEX(Salaries[Spread],MATCH(QBmatchups3[[#This Row],[Team]],Salaries[Team],0)),"")</f>
        <v>-8</v>
      </c>
      <c r="P16" s="424">
        <f>IFERROR(INDEX(QBallowed[DVP],MATCH(QBmatchups3[[#This Row],[Opp]],QBallowed[Team],0)),IFERROR(INDEX(QBallowed[DVP],MATCH(QBmatchups3[[#This Row],[Opp]],QBallowed[OPP],0)),""))</f>
        <v>27</v>
      </c>
      <c r="Q16" s="431">
        <f>AVERAGE(QBmatchups3[[#This Row],[Att1]:[Atta]])</f>
        <v>35.366375000000005</v>
      </c>
      <c r="R16" s="32">
        <f>AVERAGE(QBmatchups3[[#This Row],[Comp1]:[Compa]])</f>
        <v>22.58175</v>
      </c>
      <c r="S16" s="18">
        <f>SUM(QBmatchups3[[#This Row],[Comp]]/QBmatchups3[[#This Row],[Attempts]])</f>
        <v>0.6385090357719726</v>
      </c>
      <c r="T16" s="32">
        <f>AVERAGE(QBmatchups3[[#This Row],[Yards1]:[Yardsa]])</f>
        <v>278.90787499999999</v>
      </c>
      <c r="U16" s="19">
        <f>SUM(QBmatchups3[[#This Row],[Yards]]/QBmatchups3[[#This Row],[Attempts]])</f>
        <v>7.8862443493289867</v>
      </c>
      <c r="V16" s="32">
        <f>AVERAGE(QBmatchups3[[#This Row],[TD1]:[Tda]])</f>
        <v>1.9653749999999999</v>
      </c>
      <c r="W16" s="32">
        <f>AVERAGE(QBmatchups3[[#This Row],[INT1]:[INTa]])</f>
        <v>0.89516666666666678</v>
      </c>
      <c r="X16" s="19">
        <f>AVERAGE(QBmatchups3[[#This Row],[RushAtt1]:[RushAtta]])</f>
        <v>2.9863333333333331</v>
      </c>
      <c r="Y16" s="32">
        <f>AVERAGE(QBmatchups3[[#This Row],[RushYards1]:[RushYardsa]])</f>
        <v>9.8808749999999996</v>
      </c>
      <c r="Z16" s="32">
        <f>AVERAGE(QBmatchups3[[#This Row],[RushTD1]:[RushTDa]])</f>
        <v>0.123</v>
      </c>
      <c r="AA16" s="8">
        <f>_xlfn.RANK.EQ(QBmatchups3[[#This Row],[Projection]],QBmatchups3[Projection],0)</f>
        <v>6</v>
      </c>
      <c r="AB16" s="45">
        <f>SUM(QBmatchups3[[#This Row],[Yards]]*0.04)+(QBmatchups3[[#This Row],[Pass TD]]*4)+(QBmatchups3[[#This Row],[RushYards]]*0.1)+(QBmatchups3[[#This Row],[RushTD]]*6)+(QBmatchups3[[#This Row],[INT]]*-1)+(QBmatchups3[[#This Row],[300+]])</f>
        <v>19.848735833333329</v>
      </c>
      <c r="AC16" s="433">
        <f>_xlfn.RANK.EQ(QBmatchups3[[#This Row],[$/FP]],QBmatchups3[$/FP],1)</f>
        <v>11</v>
      </c>
      <c r="AD16" s="427">
        <f>SUM(QBmatchups3[[#This Row],[Salary]]/QBmatchups3[[#This Row],[Projection]])</f>
        <v>327.47677507421452</v>
      </c>
      <c r="AE16" s="316">
        <f>_xlfn.RANK.EQ(QBmatchups3[[#This Row],[Average]],QBmatchups3[Average],1)</f>
        <v>4</v>
      </c>
      <c r="AF16" s="316">
        <f>AVERAGE(QBmatchups3[[#This Row],[Proj Rank]],QBmatchups3[[#This Row],[Value Rank]])</f>
        <v>8.5</v>
      </c>
      <c r="AG16" s="214">
        <f>QBmatchups3[[#This Row],[Salary]]/50000</f>
        <v>0.13</v>
      </c>
      <c r="AH16" s="214"/>
      <c r="AI16" s="32">
        <f>IFERROR(INDEX(QBstats1[Pass Att],MATCH(QBmatchups3[[#This Row],[Name]],QBstats1[Player],0)),"0")</f>
        <v>39.103000000000002</v>
      </c>
      <c r="AJ16" s="32">
        <f>IFERROR(INDEX(QBstats2[PassAtt],MATCH(QBmatchups3[[#This Row],[Name]],QBstats2[Player],0)),"0")</f>
        <v>33</v>
      </c>
      <c r="AK16" s="45">
        <f>IFERROR(INDEX(QBstats3[PassAtt],MATCH(QBmatchups3[[#This Row],[Name]],QBstats3[Player],0)),"0")</f>
        <v>32.799999999999997</v>
      </c>
      <c r="AL16" s="32">
        <f>IFERROR(INDEX(QBallowed[Att],MATCH(QBmatchups3[[#This Row],[Opp]],QBallowed[Team],0)),"0")</f>
        <v>36.5625</v>
      </c>
      <c r="AM16" s="32">
        <f>IFERROR(INDEX(QBstats1[Pass Comp],MATCH(QBmatchups3[[#This Row],[Name]],QBstats1[Player],0)),"0")</f>
        <v>24.302</v>
      </c>
      <c r="AN16" s="14">
        <f>IFERROR(INDEX(QBstats2[PassComp],MATCH(QBmatchups3[[#This Row],[Name]],QBstats2[Player],0)),"0")</f>
        <v>22.1</v>
      </c>
      <c r="AO16" s="14">
        <f>IFERROR(INDEX(QBstats3[PassComp],MATCH(QBmatchups3[[#This Row],[Name]],QBstats3[Player],0)),"0")</f>
        <v>21.8</v>
      </c>
      <c r="AP16" s="32">
        <f>IFERROR(INDEX(QBallowed[Cmp],MATCH(QBmatchups3[[#This Row],[Opp]],QBallowed[Team],0)),"0")</f>
        <v>22.125</v>
      </c>
      <c r="AQ16" s="32">
        <f>IFERROR(INDEX(QBstats1[Pass Yds],MATCH(QBmatchups3[[#This Row],[Name]],QBstats1[Player],0)),"0")</f>
        <v>289.11900000000003</v>
      </c>
      <c r="AR16" s="14">
        <f>IFERROR(INDEX(QBstats2[PassYards],MATCH(QBmatchups3[[#This Row],[Name]],QBstats2[Player],0)),"0")</f>
        <v>267.3</v>
      </c>
      <c r="AS16" s="14">
        <f>IFERROR(INDEX(QBstats3[PassYards],MATCH(QBmatchups3[[#This Row],[Name]],QBstats3[Player],0)),"0")</f>
        <v>286.39999999999998</v>
      </c>
      <c r="AT16" s="32">
        <f>IFERROR(INDEX(QBallowed[Yards],MATCH(QBmatchups3[[#This Row],[Opp]],QBallowed[Team],0)),"0")</f>
        <v>272.8125</v>
      </c>
      <c r="AU16" s="32">
        <f>IFERROR(INDEX(QBstats1[Pass TD],MATCH(QBmatchups3[[#This Row],[Name]],QBstats1[Player],0)),"0")</f>
        <v>1.9490000000000001</v>
      </c>
      <c r="AV16" s="14">
        <f>IFERROR(INDEX(QBstats2[PassTD],MATCH(QBmatchups3[[#This Row],[Name]],QBstats2[Player],0)),"0")</f>
        <v>2</v>
      </c>
      <c r="AW16" s="14">
        <f>IFERROR(INDEX(QBstats3[PassTD],MATCH(QBmatchups3[[#This Row],[Name]],QBstats3[Player],0)),"0")</f>
        <v>2.1</v>
      </c>
      <c r="AX16" s="32">
        <f>IFERROR(INDEX(QBallowed[TD],MATCH(QBmatchups3[[#This Row],[Opp]],QBallowed[Team],0)),"0")</f>
        <v>1.8125</v>
      </c>
      <c r="AY16" s="32">
        <f>IFERROR(INDEX(QBstats1[INT],MATCH(QBmatchups3[[#This Row],[Name]],QBstats1[Player],0)),"0")</f>
        <v>0.92300000000000004</v>
      </c>
      <c r="AZ16" s="14" t="str">
        <f>IFERROR(INDEX(QBstats2[Int],MATCH(QBmatchups3[[#This Row],[Name]],QBstats2[Player],0)),"0")</f>
        <v>0.7</v>
      </c>
      <c r="BA16" s="14">
        <f>IFERROR(INDEX(QBstats3[INT],MATCH(QBmatchups3[[#This Row],[Name]],QBstats3[Player],0)),"0")</f>
        <v>0.7</v>
      </c>
      <c r="BB16" s="32">
        <f>IFERROR(INDEX(QBallowed[INT],MATCH(QBmatchups3[[#This Row],[Opp]],QBallowed[Team],0)),"0")</f>
        <v>1.0625</v>
      </c>
      <c r="BC16" s="32">
        <f>IFERROR(INDEX(QBstats1[Rush Att],MATCH(QBmatchups3[[#This Row],[Name]],QBstats1[Player],0)),"0")</f>
        <v>3.0840000000000001</v>
      </c>
      <c r="BD16" s="14">
        <f>IFERROR(INDEX(QBstats3[Rush Att],MATCH(QBmatchups3[[#This Row],[Name]],QBstats3[Player],0)),"0")</f>
        <v>2.5</v>
      </c>
      <c r="BE16" s="14">
        <f>IFERROR(INDEX(QBallowed[RushAtt],MATCH(QBmatchups3[[#This Row],[Opp]],QBallowed[Team],0)),"0")</f>
        <v>3.375</v>
      </c>
      <c r="BF16" s="32">
        <f>IFERROR(INDEX(QBstats1[Rush Yds],MATCH(QBmatchups3[[#This Row],[Name]],QBstats1[Player],0)),"0")</f>
        <v>9.9109999999999996</v>
      </c>
      <c r="BG16" s="14">
        <f>IFERROR(INDEX(QBstats2[RushYards],MATCH(QBmatchups3[[#This Row],[Name]],QBstats2[Player],0)),"0")</f>
        <v>8.3000000000000007</v>
      </c>
      <c r="BH16" s="14">
        <f>IFERROR(INDEX(QBstats3[RushYards],MATCH(QBmatchups3[[#This Row],[Name]],QBstats3[Player],0)),"0")</f>
        <v>6.5</v>
      </c>
      <c r="BI16" s="32">
        <f>IFERROR(INDEX(QBallowed[RushYard],MATCH(QBmatchups3[[#This Row],[Opp]],QBallowed[Team],0)),"0")</f>
        <v>14.8125</v>
      </c>
      <c r="BJ16" s="32">
        <f>IFERROR(INDEX(QBstats1[Rush TD],MATCH(QBmatchups3[[#This Row],[Name]],QBstats1[Player],0)),"0")</f>
        <v>0.14399999999999999</v>
      </c>
      <c r="BK16" s="14" t="str">
        <f>IFERROR(INDEX(QBstats2[RushTD],MATCH(QBmatchups3[[#This Row],[Name]],QBstats2[Player],0)),"0")</f>
        <v>0.1</v>
      </c>
      <c r="BL16" s="14">
        <f>IFERROR(INDEX(QBstats3[RushTD],MATCH(QBmatchups3[[#This Row],[Name]],QBstats3[Player],0)),"0")</f>
        <v>0.1</v>
      </c>
      <c r="BM16" s="32">
        <f>IFERROR(INDEX(QBallowed[RushTD],MATCH(QBmatchups3[[#This Row],[Opp]],QBallowed[Team],0)),"0")</f>
        <v>0.125</v>
      </c>
      <c r="BN16" s="266">
        <f>IF(QBmatchups3[[#This Row],[Yards]]&gt;=300,3,0)</f>
        <v>0</v>
      </c>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row>
    <row r="17" spans="1:93" x14ac:dyDescent="0.3">
      <c r="A17" s="37">
        <f>QBstats1!AL6</f>
        <v>20.100000000000001</v>
      </c>
      <c r="B17" s="34" t="str">
        <f>QBstats1!D6</f>
        <v>Philip Rivers</v>
      </c>
      <c r="C17" s="172">
        <f>IFERROR(INDEX(Salaries[DraftKings (Price)],MATCH(QBmatchups3[[#This Row],[Name]],Salaries[Player],0)),"")</f>
        <v>6900</v>
      </c>
      <c r="D17" s="172">
        <f>IFERROR(INDEX(DK_Salary_Changes[WeekChange],MATCH(QBmatchups3[[#This Row],[Name]],DK_Salary_Changes[Player],0)),"")</f>
        <v>200</v>
      </c>
      <c r="E17" s="14" t="str">
        <f>IFERROR(INDEX(Salaries[Team],MATCH(QBmatchups3[[#This Row],[Name]],Salaries[Player],0)),"")</f>
        <v>SD</v>
      </c>
      <c r="F17" s="14" t="str">
        <f>IFERROR(INDEX(Salaries[Opp],MATCH(QBmatchups3[[#This Row],[Team]],Salaries[Team],0)),"")</f>
        <v>NO</v>
      </c>
      <c r="G17" s="405">
        <f>IFERROR(INDEX(QBYTD[Att],MATCH(QBmatchups3[Name],QBYTD[Player],0)),"")</f>
        <v>99</v>
      </c>
      <c r="H17" s="406">
        <f>IFERROR(INDEX(QBYTD[%],MATCH(QBmatchups3[Name],QBYTD[Player],0)),"")</f>
        <v>0.68700000000000006</v>
      </c>
      <c r="I17" s="407">
        <f>IFERROR(INDEX(QBYTD[Pass Yds],MATCH(QBmatchups3[Name],QBYTD[Player],0)),"")</f>
        <v>793</v>
      </c>
      <c r="J17" s="407">
        <f>IFERROR(INDEX(QBYTD[Pass TD],MATCH(QBmatchups3[Name],QBYTD[Player],0)),"")</f>
        <v>5</v>
      </c>
      <c r="K17" s="407">
        <f>IFERROR(INDEX(QBYTD[Rush Yds],MATCH(QBmatchups3[Name],QBYTD[Player],0)),"")</f>
        <v>21</v>
      </c>
      <c r="L17" s="408">
        <f>IFERROR(INDEX(QBYTD[Rush TD],MATCH(QBmatchups3[Name],QBYTD[Player],0)),"")</f>
        <v>0</v>
      </c>
      <c r="M17" s="416">
        <f>IFERROR(INDEX(Salaries[O/U],MATCH(QBmatchups3[[#This Row],[Team]],Salaries[Team],0)),"")</f>
        <v>53.5</v>
      </c>
      <c r="N17" s="14">
        <f>IFERROR(INDEX(Salaries[Team O/U],MATCH(QBmatchups3[[#This Row],[Team]],Salaries[Team],0)),"")</f>
        <v>28.75</v>
      </c>
      <c r="O17" s="417">
        <f>IFERROR(INDEX(Salaries[Spread],MATCH(QBmatchups3[[#This Row],[Team]],Salaries[Team],0)),"")</f>
        <v>-4</v>
      </c>
      <c r="P17" s="424">
        <f>IFERROR(INDEX(QBallowed[DVP],MATCH(QBmatchups3[[#This Row],[Opp]],QBallowed[Team],0)),IFERROR(INDEX(QBallowed[DVP],MATCH(QBmatchups3[[#This Row],[Opp]],QBallowed[OPP],0)),""))</f>
        <v>32</v>
      </c>
      <c r="Q17" s="431">
        <f>AVERAGE(QBmatchups3[[#This Row],[Att1]:[Atta]])</f>
        <v>36.923625000000001</v>
      </c>
      <c r="R17" s="32">
        <f>AVERAGE(QBmatchups3[[#This Row],[Comp1]:[Compa]])</f>
        <v>23.228375</v>
      </c>
      <c r="S17" s="18">
        <f>SUM(QBmatchups3[[#This Row],[Comp]]/QBmatchups3[[#This Row],[Attempts]])</f>
        <v>0.62909248482509506</v>
      </c>
      <c r="T17" s="32">
        <f>AVERAGE(QBmatchups3[[#This Row],[Yards1]:[Yardsa]])</f>
        <v>289.90712500000001</v>
      </c>
      <c r="U17" s="19">
        <f>SUM(QBmatchups3[[#This Row],[Yards]]/QBmatchups3[[#This Row],[Attempts]])</f>
        <v>7.8515347558643009</v>
      </c>
      <c r="V17" s="32">
        <f>AVERAGE(QBmatchups3[[#This Row],[TD1]:[Tda]])</f>
        <v>1.9802499999999998</v>
      </c>
      <c r="W17" s="32">
        <f>AVERAGE(QBmatchups3[[#This Row],[INT1]:[INTa]])</f>
        <v>0.88949999999999996</v>
      </c>
      <c r="X17" s="19">
        <f>AVERAGE(QBmatchups3[[#This Row],[RushAtt1]:[RushAtta]])</f>
        <v>1.8711666666666666</v>
      </c>
      <c r="Y17" s="32">
        <f>AVERAGE(QBmatchups3[[#This Row],[RushYards1]:[RushYardsa]])</f>
        <v>6.97525</v>
      </c>
      <c r="Z17" s="32">
        <f>AVERAGE(QBmatchups3[[#This Row],[RushTD1]:[RushTDa]])</f>
        <v>7.6833333333333337E-2</v>
      </c>
      <c r="AA17" s="8">
        <f>_xlfn.RANK.EQ(QBmatchups3[[#This Row],[Projection]],QBmatchups3[Projection],0)</f>
        <v>7</v>
      </c>
      <c r="AB17" s="45">
        <f>SUM(QBmatchups3[[#This Row],[Yards]]*0.04)+(QBmatchups3[[#This Row],[Pass TD]]*4)+(QBmatchups3[[#This Row],[RushYards]]*0.1)+(QBmatchups3[[#This Row],[RushTD]]*6)+(QBmatchups3[[#This Row],[INT]]*-1)+(QBmatchups3[[#This Row],[300+]])</f>
        <v>19.78631</v>
      </c>
      <c r="AC17" s="433">
        <f>_xlfn.RANK.EQ(QBmatchups3[[#This Row],[$/FP]],QBmatchups3[$/FP],1)</f>
        <v>20</v>
      </c>
      <c r="AD17" s="427">
        <f>SUM(QBmatchups3[[#This Row],[Salary]]/QBmatchups3[[#This Row],[Projection]])</f>
        <v>348.72596254683162</v>
      </c>
      <c r="AE17" s="316">
        <f>_xlfn.RANK.EQ(QBmatchups3[[#This Row],[Average]],QBmatchups3[Average],1)</f>
        <v>12</v>
      </c>
      <c r="AF17" s="316">
        <f>AVERAGE(QBmatchups3[[#This Row],[Proj Rank]],QBmatchups3[[#This Row],[Value Rank]])</f>
        <v>13.5</v>
      </c>
      <c r="AG17" s="214">
        <f>QBmatchups3[[#This Row],[Salary]]/50000</f>
        <v>0.13800000000000001</v>
      </c>
      <c r="AH17" s="214"/>
      <c r="AI17" s="32">
        <f>IFERROR(INDEX(QBstats1[Pass Att],MATCH(QBmatchups3[[#This Row],[Name]],QBstats1[Player],0)),"0")</f>
        <v>36.781999999999996</v>
      </c>
      <c r="AJ17" s="32">
        <f>IFERROR(INDEX(QBstats2[PassAtt],MATCH(QBmatchups3[[#This Row],[Name]],QBstats2[Player],0)),"0")</f>
        <v>38.700000000000003</v>
      </c>
      <c r="AK17" s="45">
        <f>IFERROR(INDEX(QBstats3[PassAtt],MATCH(QBmatchups3[[#This Row],[Name]],QBstats3[Player],0)),"0")</f>
        <v>36.4</v>
      </c>
      <c r="AL17" s="32">
        <f>IFERROR(INDEX(QBallowed[Att],MATCH(QBmatchups3[[#This Row],[Opp]],QBallowed[Team],0)),"0")</f>
        <v>35.8125</v>
      </c>
      <c r="AM17" s="32">
        <f>IFERROR(INDEX(QBstats1[Pass Comp],MATCH(QBmatchups3[[#This Row],[Name]],QBstats1[Player],0)),"0")</f>
        <v>25.475999999999999</v>
      </c>
      <c r="AN17" s="14">
        <f>IFERROR(INDEX(QBstats2[PassComp],MATCH(QBmatchups3[[#This Row],[Name]],QBstats2[Player],0)),"0")</f>
        <v>24</v>
      </c>
      <c r="AO17" s="14">
        <f>IFERROR(INDEX(QBstats3[PassComp],MATCH(QBmatchups3[[#This Row],[Name]],QBstats3[Player],0)),"0")</f>
        <v>22</v>
      </c>
      <c r="AP17" s="32">
        <f>IFERROR(INDEX(QBallowed[Cmp],MATCH(QBmatchups3[[#This Row],[Opp]],QBallowed[Team],0)),"0")</f>
        <v>21.4375</v>
      </c>
      <c r="AQ17" s="32">
        <f>IFERROR(INDEX(QBstats1[Pass Yds],MATCH(QBmatchups3[[#This Row],[Name]],QBstats1[Player],0)),"0")</f>
        <v>303.11599999999999</v>
      </c>
      <c r="AR17" s="14">
        <f>IFERROR(INDEX(QBstats2[PassYards],MATCH(QBmatchups3[[#This Row],[Name]],QBstats2[Player],0)),"0")</f>
        <v>293.60000000000002</v>
      </c>
      <c r="AS17" s="14">
        <f>IFERROR(INDEX(QBstats3[PassYards],MATCH(QBmatchups3[[#This Row],[Name]],QBstats3[Player],0)),"0")</f>
        <v>315.60000000000002</v>
      </c>
      <c r="AT17" s="32">
        <f>IFERROR(INDEX(QBallowed[Yards],MATCH(QBmatchups3[[#This Row],[Opp]],QBallowed[Team],0)),"0")</f>
        <v>247.3125</v>
      </c>
      <c r="AU17" s="32">
        <f>IFERROR(INDEX(QBstats1[Pass TD],MATCH(QBmatchups3[[#This Row],[Name]],QBstats1[Player],0)),"0")</f>
        <v>2.121</v>
      </c>
      <c r="AV17" s="14">
        <f>IFERROR(INDEX(QBstats2[PassTD],MATCH(QBmatchups3[[#This Row],[Name]],QBstats2[Player],0)),"0")</f>
        <v>2.2000000000000002</v>
      </c>
      <c r="AW17" s="14">
        <f>IFERROR(INDEX(QBstats3[PassTD],MATCH(QBmatchups3[[#This Row],[Name]],QBstats3[Player],0)),"0")</f>
        <v>2.1</v>
      </c>
      <c r="AX17" s="32">
        <f>IFERROR(INDEX(QBallowed[TD],MATCH(QBmatchups3[[#This Row],[Opp]],QBallowed[Team],0)),"0")</f>
        <v>1.5</v>
      </c>
      <c r="AY17" s="32">
        <f>IFERROR(INDEX(QBstats1[INT],MATCH(QBmatchups3[[#This Row],[Name]],QBstats1[Player],0)),"0")</f>
        <v>0.78100000000000003</v>
      </c>
      <c r="AZ17" s="14" t="str">
        <f>IFERROR(INDEX(QBstats2[Int],MATCH(QBmatchups3[[#This Row],[Name]],QBstats2[Player],0)),"0")</f>
        <v>0.8</v>
      </c>
      <c r="BA17" s="14">
        <f>IFERROR(INDEX(QBstats3[INT],MATCH(QBmatchups3[[#This Row],[Name]],QBstats3[Player],0)),"0")</f>
        <v>0.7</v>
      </c>
      <c r="BB17" s="32">
        <f>IFERROR(INDEX(QBallowed[INT],MATCH(QBmatchups3[[#This Row],[Opp]],QBallowed[Team],0)),"0")</f>
        <v>1.1875</v>
      </c>
      <c r="BC17" s="32">
        <f>IFERROR(INDEX(QBstats1[Rush Att],MATCH(QBmatchups3[[#This Row],[Name]],QBstats1[Player],0)),"0")</f>
        <v>0.65100000000000002</v>
      </c>
      <c r="BD17" s="14">
        <f>IFERROR(INDEX(QBstats3[Rush Att],MATCH(QBmatchups3[[#This Row],[Name]],QBstats3[Player],0)),"0")</f>
        <v>1.4</v>
      </c>
      <c r="BE17" s="14">
        <f>IFERROR(INDEX(QBallowed[RushAtt],MATCH(QBmatchups3[[#This Row],[Opp]],QBallowed[Team],0)),"0")</f>
        <v>3.5625</v>
      </c>
      <c r="BF17" s="32">
        <f>IFERROR(INDEX(QBstats1[Rush Yds],MATCH(QBmatchups3[[#This Row],[Name]],QBstats1[Player],0)),"0")</f>
        <v>2.1760000000000002</v>
      </c>
      <c r="BG17" s="14">
        <f>IFERROR(INDEX(QBstats2[RushYards],MATCH(QBmatchups3[[#This Row],[Name]],QBstats2[Player],0)),"0")</f>
        <v>5</v>
      </c>
      <c r="BH17" s="14">
        <f>IFERROR(INDEX(QBstats3[RushYards],MATCH(QBmatchups3[[#This Row],[Name]],QBstats3[Player],0)),"0")</f>
        <v>4.0999999999999996</v>
      </c>
      <c r="BI17" s="32">
        <f>IFERROR(INDEX(QBallowed[RushYard],MATCH(QBmatchups3[[#This Row],[Opp]],QBallowed[Team],0)),"0")</f>
        <v>16.625</v>
      </c>
      <c r="BJ17" s="32">
        <f>IFERROR(INDEX(QBstats1[Rush TD],MATCH(QBmatchups3[[#This Row],[Name]],QBstats1[Player],0)),"0")</f>
        <v>6.8000000000000005E-2</v>
      </c>
      <c r="BK17" s="14" t="str">
        <f>IFERROR(INDEX(QBstats2[RushTD],MATCH(QBmatchups3[[#This Row],[Name]],QBstats2[Player],0)),"0")</f>
        <v>0</v>
      </c>
      <c r="BL17" s="14">
        <f>IFERROR(INDEX(QBstats3[RushTD],MATCH(QBmatchups3[[#This Row],[Name]],QBstats3[Player],0)),"0")</f>
        <v>0.1</v>
      </c>
      <c r="BM17" s="32">
        <f>IFERROR(INDEX(QBallowed[RushTD],MATCH(QBmatchups3[[#This Row],[Opp]],QBallowed[Team],0)),"0")</f>
        <v>6.25E-2</v>
      </c>
      <c r="BN17" s="266">
        <f>IF(QBmatchups3[[#This Row],[Yards]]&gt;=300,3,0)</f>
        <v>0</v>
      </c>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row>
    <row r="18" spans="1:93" x14ac:dyDescent="0.3">
      <c r="A18" s="37">
        <f>QBstats1!AL4</f>
        <v>20.7</v>
      </c>
      <c r="B18" s="127" t="str">
        <f>QBstats1!D4</f>
        <v>Blake Bortles</v>
      </c>
      <c r="C18" s="172">
        <f>IFERROR(INDEX(Salaries[DraftKings (Price)],MATCH(QBmatchups3[[#This Row],[Name]],Salaries[Player],0)),"")</f>
        <v>6400</v>
      </c>
      <c r="D18" s="172">
        <f>IFERROR(INDEX(DK_Salary_Changes[WeekChange],MATCH(QBmatchups3[[#This Row],[Name]],DK_Salary_Changes[Player],0)),"")</f>
        <v>-100</v>
      </c>
      <c r="E18" s="237" t="str">
        <f>IFERROR(INDEX(Salaries[Team],MATCH(QBmatchups3[[#This Row],[Name]],Salaries[Player],0)),"")</f>
        <v>JAX</v>
      </c>
      <c r="F18" s="14" t="str">
        <f>IFERROR(INDEX(Salaries[Opp],MATCH(QBmatchups3[[#This Row],[Team]],Salaries[Team],0)),"")</f>
        <v>IND</v>
      </c>
      <c r="G18" s="405">
        <f>IFERROR(INDEX(QBYTD[Att],MATCH(QBmatchups3[Name],QBYTD[Player],0)),"")</f>
        <v>127</v>
      </c>
      <c r="H18" s="406">
        <f>IFERROR(INDEX(QBYTD[%],MATCH(QBmatchups3[Name],QBYTD[Player],0)),"")</f>
        <v>0.622</v>
      </c>
      <c r="I18" s="407">
        <f>IFERROR(INDEX(QBYTD[Pass Yds],MATCH(QBmatchups3[Name],QBYTD[Player],0)),"")</f>
        <v>843</v>
      </c>
      <c r="J18" s="407">
        <f>IFERROR(INDEX(QBYTD[Pass TD],MATCH(QBmatchups3[Name],QBYTD[Player],0)),"")</f>
        <v>5</v>
      </c>
      <c r="K18" s="407">
        <f>IFERROR(INDEX(QBYTD[Rush Yds],MATCH(QBmatchups3[Name],QBYTD[Player],0)),"")</f>
        <v>53</v>
      </c>
      <c r="L18" s="408">
        <f>IFERROR(INDEX(QBYTD[Rush TD],MATCH(QBmatchups3[Name],QBYTD[Player],0)),"")</f>
        <v>0</v>
      </c>
      <c r="M18" s="416">
        <f>IFERROR(INDEX(Salaries[O/U],MATCH(QBmatchups3[[#This Row],[Team]],Salaries[Team],0)),"")</f>
        <v>49.5</v>
      </c>
      <c r="N18" s="14">
        <f>IFERROR(INDEX(Salaries[Team O/U],MATCH(QBmatchups3[[#This Row],[Team]],Salaries[Team],0)),"")</f>
        <v>23.5</v>
      </c>
      <c r="O18" s="417">
        <f>IFERROR(INDEX(Salaries[Spread],MATCH(QBmatchups3[[#This Row],[Team]],Salaries[Team],0)),"")</f>
        <v>2.5</v>
      </c>
      <c r="P18" s="424">
        <f>IFERROR(INDEX(QBallowed[DVP],MATCH(QBmatchups3[[#This Row],[Opp]],QBallowed[Team],0)),IFERROR(INDEX(QBallowed[DVP],MATCH(QBmatchups3[[#This Row],[Opp]],QBallowed[OPP],0)),""))</f>
        <v>25</v>
      </c>
      <c r="Q18" s="431">
        <f>AVERAGE(QBmatchups3[[#This Row],[Att1]:[Atta]])</f>
        <v>37.481749999999998</v>
      </c>
      <c r="R18" s="32">
        <f>AVERAGE(QBmatchups3[[#This Row],[Comp1]:[Compa]])</f>
        <v>23.29975</v>
      </c>
      <c r="S18" s="18">
        <f>SUM(QBmatchups3[[#This Row],[Comp]]/QBmatchups3[[#This Row],[Attempts]])</f>
        <v>0.62162919287386531</v>
      </c>
      <c r="T18" s="32">
        <f>AVERAGE(QBmatchups3[[#This Row],[Yards1]:[Yardsa]])</f>
        <v>270.28312499999998</v>
      </c>
      <c r="U18" s="19">
        <f>SUM(QBmatchups3[[#This Row],[Yards]]/QBmatchups3[[#This Row],[Attempts]])</f>
        <v>7.2110593822326869</v>
      </c>
      <c r="V18" s="32">
        <f>AVERAGE(QBmatchups3[[#This Row],[TD1]:[Tda]])</f>
        <v>1.8988749999999999</v>
      </c>
      <c r="W18" s="32">
        <f>AVERAGE(QBmatchups3[[#This Row],[INT1]:[INTa]])</f>
        <v>1.0306250000000001</v>
      </c>
      <c r="X18" s="19">
        <f>AVERAGE(QBmatchups3[[#This Row],[RushAtt1]:[RushAtta]])</f>
        <v>3.7769999999999997</v>
      </c>
      <c r="Y18" s="129">
        <f>AVERAGE(QBmatchups3[[#This Row],[RushYards1]:[RushYardsa]])</f>
        <v>17.378625</v>
      </c>
      <c r="Z18" s="32">
        <f>AVERAGE(QBmatchups3[[#This Row],[RushTD1]:[RushTDa]])</f>
        <v>0.10033333333333334</v>
      </c>
      <c r="AA18" s="8">
        <f>_xlfn.RANK.EQ(QBmatchups3[[#This Row],[Projection]],QBmatchups3[Projection],0)</f>
        <v>8</v>
      </c>
      <c r="AB18" s="45">
        <f>SUM(QBmatchups3[[#This Row],[Yards]]*0.04)+(QBmatchups3[[#This Row],[Pass TD]]*4)+(QBmatchups3[[#This Row],[RushYards]]*0.1)+(QBmatchups3[[#This Row],[RushTD]]*6)+(QBmatchups3[[#This Row],[INT]]*-1)+(QBmatchups3[[#This Row],[300+]])</f>
        <v>19.716062499999996</v>
      </c>
      <c r="AC18" s="433">
        <f>_xlfn.RANK.EQ(QBmatchups3[[#This Row],[$/FP]],QBmatchups3[$/FP],1)</f>
        <v>10</v>
      </c>
      <c r="AD18" s="427">
        <f>SUM(QBmatchups3[[#This Row],[Salary]]/QBmatchups3[[#This Row],[Projection]])</f>
        <v>324.60842523703712</v>
      </c>
      <c r="AE18" s="316">
        <f>_xlfn.RANK.EQ(QBmatchups3[[#This Row],[Average]],QBmatchups3[Average],1)</f>
        <v>5</v>
      </c>
      <c r="AF18" s="316">
        <f>AVERAGE(QBmatchups3[[#This Row],[Proj Rank]],QBmatchups3[[#This Row],[Value Rank]])</f>
        <v>9</v>
      </c>
      <c r="AG18" s="214">
        <f>QBmatchups3[[#This Row],[Salary]]/50000</f>
        <v>0.128</v>
      </c>
      <c r="AH18" s="214"/>
      <c r="AI18" s="32">
        <f>IFERROR(INDEX(QBstats1[Pass Att],MATCH(QBmatchups3[[#This Row],[Name]],QBstats1[Player],0)),"0")</f>
        <v>40.951999999999998</v>
      </c>
      <c r="AJ18" s="32">
        <f>IFERROR(INDEX(QBstats2[PassAtt],MATCH(QBmatchups3[[#This Row],[Name]],QBstats2[Player],0)),"0")</f>
        <v>41</v>
      </c>
      <c r="AK18" s="130">
        <f>IFERROR(INDEX(QBstats3[PassAtt],MATCH(QBmatchups3[[#This Row],[Name]],QBstats3[Player],0)),"0")</f>
        <v>34.1</v>
      </c>
      <c r="AL18" s="32">
        <f>IFERROR(INDEX(QBallowed[Att],MATCH(QBmatchups3[[#This Row],[Opp]],QBallowed[Team],0)),"0")</f>
        <v>33.875</v>
      </c>
      <c r="AM18" s="32">
        <f>IFERROR(INDEX(QBstats1[Pass Comp],MATCH(QBmatchups3[[#This Row],[Name]],QBstats1[Player],0)),"0")</f>
        <v>27.224</v>
      </c>
      <c r="AN18" s="32">
        <f>IFERROR(INDEX(QBstats2[PassComp],MATCH(QBmatchups3[[#This Row],[Name]],QBstats2[Player],0)),"0")</f>
        <v>24.6</v>
      </c>
      <c r="AO18" s="32">
        <f>IFERROR(INDEX(QBstats3[PassComp],MATCH(QBmatchups3[[#This Row],[Name]],QBstats3[Player],0)),"0")</f>
        <v>19.5</v>
      </c>
      <c r="AP18" s="32">
        <f>IFERROR(INDEX(QBallowed[Cmp],MATCH(QBmatchups3[[#This Row],[Opp]],QBallowed[Team],0)),"0")</f>
        <v>21.875</v>
      </c>
      <c r="AQ18" s="32">
        <f>IFERROR(INDEX(QBstats1[Pass Yds],MATCH(QBmatchups3[[#This Row],[Name]],QBstats1[Player],0)),"0")</f>
        <v>290.87</v>
      </c>
      <c r="AR18" s="32">
        <f>IFERROR(INDEX(QBstats2[PassYards],MATCH(QBmatchups3[[#This Row],[Name]],QBstats2[Player],0)),"0")</f>
        <v>263.5</v>
      </c>
      <c r="AS18" s="32">
        <f>IFERROR(INDEX(QBstats3[PassYards],MATCH(QBmatchups3[[#This Row],[Name]],QBstats3[Player],0)),"0")</f>
        <v>262.7</v>
      </c>
      <c r="AT18" s="32">
        <f>IFERROR(INDEX(QBallowed[Yards],MATCH(QBmatchups3[[#This Row],[Opp]],QBallowed[Team],0)),"0")</f>
        <v>264.0625</v>
      </c>
      <c r="AU18" s="32">
        <f>IFERROR(INDEX(QBstats1[Pass TD],MATCH(QBmatchups3[[#This Row],[Name]],QBstats1[Player],0)),"0")</f>
        <v>1.8580000000000001</v>
      </c>
      <c r="AV18" s="32">
        <f>IFERROR(INDEX(QBstats2[PassTD],MATCH(QBmatchups3[[#This Row],[Name]],QBstats2[Player],0)),"0")</f>
        <v>1.7</v>
      </c>
      <c r="AW18" s="32">
        <f>IFERROR(INDEX(QBstats3[PassTD],MATCH(QBmatchups3[[#This Row],[Name]],QBstats3[Player],0)),"0")</f>
        <v>2.1</v>
      </c>
      <c r="AX18" s="32">
        <f>IFERROR(INDEX(QBallowed[TD],MATCH(QBmatchups3[[#This Row],[Opp]],QBallowed[Team],0)),"0")</f>
        <v>1.9375</v>
      </c>
      <c r="AY18" s="32">
        <f>IFERROR(INDEX(QBstats1[INT],MATCH(QBmatchups3[[#This Row],[Name]],QBstats1[Player],0)),"0")</f>
        <v>1.31</v>
      </c>
      <c r="AZ18" s="32">
        <f>IFERROR(INDEX(QBstats2[Int],MATCH(QBmatchups3[[#This Row],[Name]],QBstats2[Player],0)),"0")</f>
        <v>1.1000000000000001</v>
      </c>
      <c r="BA18" s="32">
        <f>IFERROR(INDEX(QBstats3[INT],MATCH(QBmatchups3[[#This Row],[Name]],QBstats3[Player],0)),"0")</f>
        <v>0.9</v>
      </c>
      <c r="BB18" s="32">
        <f>IFERROR(INDEX(QBallowed[INT],MATCH(QBmatchups3[[#This Row],[Opp]],QBallowed[Team],0)),"0")</f>
        <v>0.8125</v>
      </c>
      <c r="BC18" s="32">
        <f>IFERROR(INDEX(QBstats1[Rush Att],MATCH(QBmatchups3[[#This Row],[Name]],QBstats1[Player],0)),"0")</f>
        <v>5.056</v>
      </c>
      <c r="BD18" s="32">
        <f>IFERROR(INDEX(QBstats3[Rush Att],MATCH(QBmatchups3[[#This Row],[Name]],QBstats3[Player],0)),"0")</f>
        <v>3.4</v>
      </c>
      <c r="BE18" s="32">
        <f>IFERROR(INDEX(QBallowed[RushAtt],MATCH(QBmatchups3[[#This Row],[Opp]],QBallowed[Team],0)),"0")</f>
        <v>2.875</v>
      </c>
      <c r="BF18" s="32">
        <f>IFERROR(INDEX(QBstats1[Rush Yds],MATCH(QBmatchups3[[#This Row],[Name]],QBstats1[Player],0)),"0")</f>
        <v>28.202000000000002</v>
      </c>
      <c r="BG18" s="32">
        <f>IFERROR(INDEX(QBstats2[RushYards],MATCH(QBmatchups3[[#This Row],[Name]],QBstats2[Player],0)),"0")</f>
        <v>13.1</v>
      </c>
      <c r="BH18" s="32">
        <f>IFERROR(INDEX(QBstats3[RushYards],MATCH(QBmatchups3[[#This Row],[Name]],QBstats3[Player],0)),"0")</f>
        <v>19.399999999999999</v>
      </c>
      <c r="BI18" s="32">
        <f>IFERROR(INDEX(QBallowed[RushYard],MATCH(QBmatchups3[[#This Row],[Opp]],QBallowed[Team],0)),"0")</f>
        <v>8.8125</v>
      </c>
      <c r="BJ18" s="32">
        <f>IFERROR(INDEX(QBstats1[Rush TD],MATCH(QBmatchups3[[#This Row],[Name]],QBstats1[Player],0)),"0")</f>
        <v>0.10100000000000001</v>
      </c>
      <c r="BK18" s="32" t="str">
        <f>IFERROR(INDEX(QBstats2[RushTD],MATCH(QBmatchups3[[#This Row],[Name]],QBstats2[Player],0)),"0")</f>
        <v>0.1</v>
      </c>
      <c r="BL18" s="32">
        <f>IFERROR(INDEX(QBstats3[RushTD],MATCH(QBmatchups3[[#This Row],[Name]],QBstats3[Player],0)),"0")</f>
        <v>0.2</v>
      </c>
      <c r="BM18" s="32">
        <f>IFERROR(INDEX(QBallowed[RushTD],MATCH(QBmatchups3[[#This Row],[Opp]],QBallowed[Team],0)),"0")</f>
        <v>0</v>
      </c>
      <c r="BN18" s="266">
        <f>IF(QBmatchups3[[#This Row],[Yards]]&gt;=300,3,0)</f>
        <v>0</v>
      </c>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row>
    <row r="19" spans="1:93" x14ac:dyDescent="0.3">
      <c r="A19" s="37">
        <f>QBstats1!AL9</f>
        <v>19.5</v>
      </c>
      <c r="B19" s="34" t="str">
        <f>QBstats1!D9</f>
        <v>Andy Dalton</v>
      </c>
      <c r="C19" s="172">
        <f>IFERROR(INDEX(Salaries[DraftKings (Price)],MATCH(QBmatchups3[[#This Row],[Name]],Salaries[Player],0)),"")</f>
        <v>6100</v>
      </c>
      <c r="D19" s="172">
        <f>IFERROR(INDEX(DK_Salary_Changes[WeekChange],MATCH(QBmatchups3[[#This Row],[Name]],DK_Salary_Changes[Player],0)),"")</f>
        <v>400</v>
      </c>
      <c r="E19" s="14" t="str">
        <f>IFERROR(INDEX(Salaries[Team],MATCH(QBmatchups3[[#This Row],[Name]],Salaries[Player],0)),"")</f>
        <v>CIN</v>
      </c>
      <c r="F19" s="14" t="str">
        <f>IFERROR(INDEX(Salaries[Opp],MATCH(QBmatchups3[[#This Row],[Team]],Salaries[Team],0)),"")</f>
        <v>MIA</v>
      </c>
      <c r="G19" s="405">
        <f>IFERROR(INDEX(QBYTD[Att],MATCH(QBmatchups3[Name],QBYTD[Player],0)),"")</f>
        <v>115</v>
      </c>
      <c r="H19" s="406">
        <f>IFERROR(INDEX(QBYTD[%],MATCH(QBmatchups3[Name],QBYTD[Player],0)),"")</f>
        <v>0.65200000000000002</v>
      </c>
      <c r="I19" s="407">
        <f>IFERROR(INDEX(QBYTD[Pass Yds],MATCH(QBmatchups3[Name],QBYTD[Player],0)),"")</f>
        <v>938</v>
      </c>
      <c r="J19" s="407">
        <f>IFERROR(INDEX(QBYTD[Pass TD],MATCH(QBmatchups3[Name],QBYTD[Player],0)),"")</f>
        <v>2</v>
      </c>
      <c r="K19" s="407">
        <f>IFERROR(INDEX(QBYTD[Rush Yds],MATCH(QBmatchups3[Name],QBYTD[Player],0)),"")</f>
        <v>54</v>
      </c>
      <c r="L19" s="408">
        <f>IFERROR(INDEX(QBYTD[Rush TD],MATCH(QBmatchups3[Name],QBYTD[Player],0)),"")</f>
        <v>0</v>
      </c>
      <c r="M19" s="416">
        <f>IFERROR(INDEX(Salaries[O/U],MATCH(QBmatchups3[[#This Row],[Team]],Salaries[Team],0)),"")</f>
        <v>44.5</v>
      </c>
      <c r="N19" s="14">
        <f>IFERROR(INDEX(Salaries[Team O/U],MATCH(QBmatchups3[[#This Row],[Team]],Salaries[Team],0)),"")</f>
        <v>25.75</v>
      </c>
      <c r="O19" s="417">
        <f>IFERROR(INDEX(Salaries[Spread],MATCH(QBmatchups3[[#This Row],[Team]],Salaries[Team],0)),"")</f>
        <v>-7</v>
      </c>
      <c r="P19" s="424">
        <f>IFERROR(INDEX(QBallowed[DVP],MATCH(QBmatchups3[[#This Row],[Opp]],QBallowed[Team],0)),IFERROR(INDEX(QBallowed[DVP],MATCH(QBmatchups3[[#This Row],[Opp]],QBallowed[OPP],0)),""))</f>
        <v>19</v>
      </c>
      <c r="Q19" s="431">
        <f>AVERAGE(QBmatchups3[[#This Row],[Att1]:[Atta]])</f>
        <v>34.984375</v>
      </c>
      <c r="R19" s="32">
        <f>AVERAGE(QBmatchups3[[#This Row],[Comp1]:[Compa]])</f>
        <v>21.887875000000001</v>
      </c>
      <c r="S19" s="18">
        <f>SUM(QBmatchups3[[#This Row],[Comp]]/QBmatchups3[[#This Row],[Attempts]])</f>
        <v>0.625647163912461</v>
      </c>
      <c r="T19" s="32">
        <f>AVERAGE(QBmatchups3[[#This Row],[Yards1]:[Yardsa]])</f>
        <v>260.32049999999998</v>
      </c>
      <c r="U19" s="19">
        <f>SUM(QBmatchups3[[#This Row],[Yards]]/QBmatchups3[[#This Row],[Attempts]])</f>
        <v>7.4410504689593564</v>
      </c>
      <c r="V19" s="32">
        <f>AVERAGE(QBmatchups3[[#This Row],[TD1]:[Tda]])</f>
        <v>1.814875</v>
      </c>
      <c r="W19" s="32">
        <f>AVERAGE(QBmatchups3[[#This Row],[INT1]:[INTa]])</f>
        <v>0.95599999999999996</v>
      </c>
      <c r="X19" s="19">
        <f>AVERAGE(QBmatchups3[[#This Row],[RushAtt1]:[RushAtta]])</f>
        <v>4.1623333333333337</v>
      </c>
      <c r="Y19" s="32">
        <f>AVERAGE(QBmatchups3[[#This Row],[RushYards1]:[RushYardsa]])</f>
        <v>17.131625</v>
      </c>
      <c r="Z19" s="32">
        <f>AVERAGE(QBmatchups3[[#This Row],[RushTD1]:[RushTDa]])</f>
        <v>0.128</v>
      </c>
      <c r="AA19" s="8">
        <f>_xlfn.RANK.EQ(QBmatchups3[[#This Row],[Projection]],QBmatchups3[Projection],0)</f>
        <v>9</v>
      </c>
      <c r="AB19" s="45">
        <f>SUM(QBmatchups3[[#This Row],[Yards]]*0.04)+(QBmatchups3[[#This Row],[Pass TD]]*4)+(QBmatchups3[[#This Row],[RushYards]]*0.1)+(QBmatchups3[[#This Row],[RushTD]]*6)+(QBmatchups3[[#This Row],[INT]]*-1)+(QBmatchups3[[#This Row],[300+]])</f>
        <v>19.1974825</v>
      </c>
      <c r="AC19" s="433">
        <f>_xlfn.RANK.EQ(QBmatchups3[[#This Row],[$/FP]],QBmatchups3[$/FP],1)</f>
        <v>6</v>
      </c>
      <c r="AD19" s="427">
        <f>SUM(QBmatchups3[[#This Row],[Salary]]/QBmatchups3[[#This Row],[Projection]])</f>
        <v>317.74999664669576</v>
      </c>
      <c r="AE19" s="316">
        <f>_xlfn.RANK.EQ(QBmatchups3[[#This Row],[Average]],QBmatchups3[Average],1)</f>
        <v>2</v>
      </c>
      <c r="AF19" s="316">
        <f>AVERAGE(QBmatchups3[[#This Row],[Proj Rank]],QBmatchups3[[#This Row],[Value Rank]])</f>
        <v>7.5</v>
      </c>
      <c r="AG19" s="214">
        <f>QBmatchups3[[#This Row],[Salary]]/50000</f>
        <v>0.122</v>
      </c>
      <c r="AH19" s="214"/>
      <c r="AI19" s="32">
        <f>IFERROR(INDEX(QBstats1[Pass Att],MATCH(QBmatchups3[[#This Row],[Name]],QBstats1[Player],0)),"0")</f>
        <v>36.799999999999997</v>
      </c>
      <c r="AJ19" s="32">
        <f>IFERROR(INDEX(QBstats2[PassAtt],MATCH(QBmatchups3[[#This Row],[Name]],QBstats2[Player],0)),"0")</f>
        <v>35.6</v>
      </c>
      <c r="AK19" s="45">
        <f>IFERROR(INDEX(QBstats3[PassAtt],MATCH(QBmatchups3[[#This Row],[Name]],QBstats3[Player],0)),"0")</f>
        <v>29.6</v>
      </c>
      <c r="AL19" s="32">
        <f>IFERROR(INDEX(QBallowed[Att],MATCH(QBmatchups3[[#This Row],[Opp]],QBallowed[Team],0)),"0")</f>
        <v>37.9375</v>
      </c>
      <c r="AM19" s="32">
        <f>IFERROR(INDEX(QBstats1[Pass Comp],MATCH(QBmatchups3[[#This Row],[Name]],QBstats1[Player],0)),"0")</f>
        <v>23.939</v>
      </c>
      <c r="AN19" s="14">
        <f>IFERROR(INDEX(QBstats2[PassComp],MATCH(QBmatchups3[[#This Row],[Name]],QBstats2[Player],0)),"0")</f>
        <v>22.6</v>
      </c>
      <c r="AO19" s="14">
        <f>IFERROR(INDEX(QBstats3[PassComp],MATCH(QBmatchups3[[#This Row],[Name]],QBstats3[Player],0)),"0")</f>
        <v>19.2</v>
      </c>
      <c r="AP19" s="32">
        <f>IFERROR(INDEX(QBallowed[Cmp],MATCH(QBmatchups3[[#This Row],[Opp]],QBallowed[Team],0)),"0")</f>
        <v>21.8125</v>
      </c>
      <c r="AQ19" s="32">
        <f>IFERROR(INDEX(QBstats1[Pass Yds],MATCH(QBmatchups3[[#This Row],[Name]],QBstats1[Player],0)),"0")</f>
        <v>279.13200000000001</v>
      </c>
      <c r="AR19" s="14">
        <f>IFERROR(INDEX(QBstats2[PassYards],MATCH(QBmatchups3[[#This Row],[Name]],QBstats2[Player],0)),"0")</f>
        <v>268.60000000000002</v>
      </c>
      <c r="AS19" s="14">
        <f>IFERROR(INDEX(QBstats3[PassYards],MATCH(QBmatchups3[[#This Row],[Name]],QBstats3[Player],0)),"0")</f>
        <v>244.3</v>
      </c>
      <c r="AT19" s="32">
        <f>IFERROR(INDEX(QBallowed[Yards],MATCH(QBmatchups3[[#This Row],[Opp]],QBallowed[Team],0)),"0")</f>
        <v>249.25</v>
      </c>
      <c r="AU19" s="32">
        <f>IFERROR(INDEX(QBstats1[Pass TD],MATCH(QBmatchups3[[#This Row],[Name]],QBstats1[Player],0)),"0")</f>
        <v>1.7969999999999999</v>
      </c>
      <c r="AV19" s="14">
        <f>IFERROR(INDEX(QBstats2[PassTD],MATCH(QBmatchups3[[#This Row],[Name]],QBstats2[Player],0)),"0")</f>
        <v>2.1</v>
      </c>
      <c r="AW19" s="14">
        <f>IFERROR(INDEX(QBstats3[PassTD],MATCH(QBmatchups3[[#This Row],[Name]],QBstats3[Player],0)),"0")</f>
        <v>1.8</v>
      </c>
      <c r="AX19" s="32">
        <f>IFERROR(INDEX(QBallowed[TD],MATCH(QBmatchups3[[#This Row],[Opp]],QBallowed[Team],0)),"0")</f>
        <v>1.5625</v>
      </c>
      <c r="AY19" s="32">
        <f>IFERROR(INDEX(QBstats1[INT],MATCH(QBmatchups3[[#This Row],[Name]],QBstats1[Player],0)),"0")</f>
        <v>0.79300000000000004</v>
      </c>
      <c r="AZ19" s="14" t="str">
        <f>IFERROR(INDEX(QBstats2[Int],MATCH(QBmatchups3[[#This Row],[Name]],QBstats2[Player],0)),"0")</f>
        <v>0.7</v>
      </c>
      <c r="BA19" s="14">
        <f>IFERROR(INDEX(QBstats3[INT],MATCH(QBmatchups3[[#This Row],[Name]],QBstats3[Player],0)),"0")</f>
        <v>0.7</v>
      </c>
      <c r="BB19" s="32">
        <f>IFERROR(INDEX(QBallowed[INT],MATCH(QBmatchups3[[#This Row],[Opp]],QBallowed[Team],0)),"0")</f>
        <v>1.375</v>
      </c>
      <c r="BC19" s="32">
        <f>IFERROR(INDEX(QBstats1[Rush Att],MATCH(QBmatchups3[[#This Row],[Name]],QBstats1[Player],0)),"0")</f>
        <v>3.4119999999999999</v>
      </c>
      <c r="BD19" s="14">
        <f>IFERROR(INDEX(QBstats3[Rush Att],MATCH(QBmatchups3[[#This Row],[Name]],QBstats3[Player],0)),"0")</f>
        <v>6.2</v>
      </c>
      <c r="BE19" s="14">
        <f>IFERROR(INDEX(QBallowed[RushAtt],MATCH(QBmatchups3[[#This Row],[Opp]],QBallowed[Team],0)),"0")</f>
        <v>2.875</v>
      </c>
      <c r="BF19" s="32">
        <f>IFERROR(INDEX(QBstats1[Rush Yds],MATCH(QBmatchups3[[#This Row],[Name]],QBstats1[Player],0)),"0")</f>
        <v>11.714</v>
      </c>
      <c r="BG19" s="14">
        <f>IFERROR(INDEX(QBstats2[RushYards],MATCH(QBmatchups3[[#This Row],[Name]],QBstats2[Player],0)),"0")</f>
        <v>14.2</v>
      </c>
      <c r="BH19" s="14">
        <f>IFERROR(INDEX(QBstats3[RushYards],MATCH(QBmatchups3[[#This Row],[Name]],QBstats3[Player],0)),"0")</f>
        <v>25.3</v>
      </c>
      <c r="BI19" s="32">
        <f>IFERROR(INDEX(QBallowed[RushYard],MATCH(QBmatchups3[[#This Row],[Opp]],QBallowed[Team],0)),"0")</f>
        <v>17.3125</v>
      </c>
      <c r="BJ19" s="32">
        <f>IFERROR(INDEX(QBstats1[Rush TD],MATCH(QBmatchups3[[#This Row],[Name]],QBstats1[Player],0)),"0")</f>
        <v>0.184</v>
      </c>
      <c r="BK19" s="14" t="str">
        <f>IFERROR(INDEX(QBstats2[RushTD],MATCH(QBmatchups3[[#This Row],[Name]],QBstats2[Player],0)),"0")</f>
        <v>0.1</v>
      </c>
      <c r="BL19" s="14">
        <f>IFERROR(INDEX(QBstats3[RushTD],MATCH(QBmatchups3[[#This Row],[Name]],QBstats3[Player],0)),"0")</f>
        <v>0.2</v>
      </c>
      <c r="BM19" s="32">
        <f>IFERROR(INDEX(QBallowed[RushTD],MATCH(QBmatchups3[[#This Row],[Opp]],QBallowed[Team],0)),"0")</f>
        <v>0</v>
      </c>
      <c r="BN19" s="266">
        <f>IF(QBmatchups3[[#This Row],[Yards]]&gt;=300,3,0)</f>
        <v>0</v>
      </c>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row>
    <row r="20" spans="1:93" x14ac:dyDescent="0.3">
      <c r="A20" s="37">
        <f>QBstats1!AL16</f>
        <v>17.2</v>
      </c>
      <c r="B20" s="34" t="str">
        <f>QBstats1!D16</f>
        <v>Matt Ryan</v>
      </c>
      <c r="C20" s="172">
        <f>IFERROR(INDEX(Salaries[DraftKings (Price)],MATCH(QBmatchups3[[#This Row],[Name]],Salaries[Player],0)),"")</f>
        <v>7000</v>
      </c>
      <c r="D20" s="172">
        <f>IFERROR(INDEX(DK_Salary_Changes[WeekChange],MATCH(QBmatchups3[[#This Row],[Name]],DK_Salary_Changes[Player],0)),"")</f>
        <v>-400</v>
      </c>
      <c r="E20" s="14" t="str">
        <f>IFERROR(INDEX(Salaries[Team],MATCH(QBmatchups3[[#This Row],[Name]],Salaries[Player],0)),"")</f>
        <v>ATL</v>
      </c>
      <c r="F20" s="14" t="str">
        <f>IFERROR(INDEX(Salaries[Opp],MATCH(QBmatchups3[[#This Row],[Team]],Salaries[Team],0)),"")</f>
        <v>CAR</v>
      </c>
      <c r="G20" s="405">
        <f>IFERROR(INDEX(QBYTD[Att],MATCH(QBmatchups3[Name],QBYTD[Player],0)),"")</f>
        <v>103</v>
      </c>
      <c r="H20" s="406">
        <f>IFERROR(INDEX(QBYTD[%],MATCH(QBmatchups3[Name],QBYTD[Player],0)),"")</f>
        <v>0.70899999999999996</v>
      </c>
      <c r="I20" s="407">
        <f>IFERROR(INDEX(QBYTD[Pass Yds],MATCH(QBmatchups3[Name],QBYTD[Player],0)),"")</f>
        <v>970</v>
      </c>
      <c r="J20" s="407">
        <f>IFERROR(INDEX(QBYTD[Pass TD],MATCH(QBmatchups3[Name],QBYTD[Player],0)),"")</f>
        <v>7</v>
      </c>
      <c r="K20" s="407">
        <f>IFERROR(INDEX(QBYTD[Rush Yds],MATCH(QBmatchups3[Name],QBYTD[Player],0)),"")</f>
        <v>33</v>
      </c>
      <c r="L20" s="408">
        <f>IFERROR(INDEX(QBYTD[Rush TD],MATCH(QBmatchups3[Name],QBYTD[Player],0)),"")</f>
        <v>0</v>
      </c>
      <c r="M20" s="416">
        <f>IFERROR(INDEX(Salaries[O/U],MATCH(QBmatchups3[[#This Row],[Team]],Salaries[Team],0)),"")</f>
        <v>50</v>
      </c>
      <c r="N20" s="14">
        <f>IFERROR(INDEX(Salaries[Team O/U],MATCH(QBmatchups3[[#This Row],[Team]],Salaries[Team],0)),"")</f>
        <v>23.5</v>
      </c>
      <c r="O20" s="417">
        <f>IFERROR(INDEX(Salaries[Spread],MATCH(QBmatchups3[[#This Row],[Team]],Salaries[Team],0)),"")</f>
        <v>3</v>
      </c>
      <c r="P20" s="424">
        <f>IFERROR(INDEX(QBallowed[DVP],MATCH(QBmatchups3[[#This Row],[Opp]],QBallowed[Team],0)),IFERROR(INDEX(QBallowed[DVP],MATCH(QBmatchups3[[#This Row],[Opp]],QBallowed[OPP],0)),""))</f>
        <v>9</v>
      </c>
      <c r="Q20" s="431">
        <f>AVERAGE(QBmatchups3[[#This Row],[Att1]:[Atta]])</f>
        <v>37.704374999999999</v>
      </c>
      <c r="R20" s="32">
        <f>AVERAGE(QBmatchups3[[#This Row],[Comp1]:[Compa]])</f>
        <v>24.255500000000001</v>
      </c>
      <c r="S20" s="18">
        <f>SUM(QBmatchups3[[#This Row],[Comp]]/QBmatchups3[[#This Row],[Attempts]])</f>
        <v>0.64330730850199747</v>
      </c>
      <c r="T20" s="32">
        <f>AVERAGE(QBmatchups3[[#This Row],[Yards1]:[Yardsa]])</f>
        <v>277.09587499999998</v>
      </c>
      <c r="U20" s="19">
        <f>SUM(QBmatchups3[[#This Row],[Yards]]/QBmatchups3[[#This Row],[Attempts]])</f>
        <v>7.3491703548991323</v>
      </c>
      <c r="V20" s="32">
        <f>AVERAGE(QBmatchups3[[#This Row],[TD1]:[Tda]])</f>
        <v>1.8027500000000001</v>
      </c>
      <c r="W20" s="32">
        <f>AVERAGE(QBmatchups3[[#This Row],[INT1]:[INTa]])</f>
        <v>1.059625</v>
      </c>
      <c r="X20" s="19">
        <f>AVERAGE(QBmatchups3[[#This Row],[RushAtt1]:[RushAtta]])</f>
        <v>2.5245000000000002</v>
      </c>
      <c r="Y20" s="32">
        <f>AVERAGE(QBmatchups3[[#This Row],[RushYards1]:[RushYardsa]])</f>
        <v>6.5858749999999997</v>
      </c>
      <c r="Z20" s="32">
        <f>AVERAGE(QBmatchups3[[#This Row],[RushTD1]:[RushTDa]])</f>
        <v>0.12233333333333334</v>
      </c>
      <c r="AA20" s="8">
        <f>_xlfn.RANK.EQ(QBmatchups3[[#This Row],[Projection]],QBmatchups3[Projection],0)</f>
        <v>10</v>
      </c>
      <c r="AB20" s="45">
        <f>SUM(QBmatchups3[[#This Row],[Yards]]*0.04)+(QBmatchups3[[#This Row],[Pass TD]]*4)+(QBmatchups3[[#This Row],[RushYards]]*0.1)+(QBmatchups3[[#This Row],[RushTD]]*6)+(QBmatchups3[[#This Row],[INT]]*-1)+(QBmatchups3[[#This Row],[300+]])</f>
        <v>18.627797499999996</v>
      </c>
      <c r="AC20" s="433">
        <f>_xlfn.RANK.EQ(QBmatchups3[[#This Row],[$/FP]],QBmatchups3[$/FP],1)</f>
        <v>30</v>
      </c>
      <c r="AD20" s="427">
        <f>SUM(QBmatchups3[[#This Row],[Salary]]/QBmatchups3[[#This Row],[Projection]])</f>
        <v>375.7824831411229</v>
      </c>
      <c r="AE20" s="316">
        <f>_xlfn.RANK.EQ(QBmatchups3[[#This Row],[Average]],QBmatchups3[Average],1)</f>
        <v>21</v>
      </c>
      <c r="AF20" s="316">
        <f>AVERAGE(QBmatchups3[[#This Row],[Proj Rank]],QBmatchups3[[#This Row],[Value Rank]])</f>
        <v>20</v>
      </c>
      <c r="AG20" s="214">
        <f>QBmatchups3[[#This Row],[Salary]]/50000</f>
        <v>0.14000000000000001</v>
      </c>
      <c r="AH20" s="214"/>
      <c r="AI20" s="32">
        <f>IFERROR(INDEX(QBstats1[Pass Att],MATCH(QBmatchups3[[#This Row],[Name]],QBstats1[Player],0)),"0")</f>
        <v>35.805</v>
      </c>
      <c r="AJ20" s="32">
        <f>IFERROR(INDEX(QBstats2[PassAtt],MATCH(QBmatchups3[[#This Row],[Name]],QBstats2[Player],0)),"0")</f>
        <v>41.3</v>
      </c>
      <c r="AK20" s="45">
        <f>IFERROR(INDEX(QBstats3[PassAtt],MATCH(QBmatchups3[[#This Row],[Name]],QBstats3[Player],0)),"0")</f>
        <v>42.4</v>
      </c>
      <c r="AL20" s="32">
        <f>IFERROR(INDEX(QBallowed[Att],MATCH(QBmatchups3[[#This Row],[Opp]],QBallowed[Team],0)),"0")</f>
        <v>31.3125</v>
      </c>
      <c r="AM20" s="32">
        <f>IFERROR(INDEX(QBstats1[Pass Comp],MATCH(QBmatchups3[[#This Row],[Name]],QBstats1[Player],0)),"0")</f>
        <v>23.047000000000001</v>
      </c>
      <c r="AN20" s="14">
        <f>IFERROR(INDEX(QBstats2[PassComp],MATCH(QBmatchups3[[#This Row],[Name]],QBstats2[Player],0)),"0")</f>
        <v>25.6</v>
      </c>
      <c r="AO20" s="14">
        <f>IFERROR(INDEX(QBstats3[PassComp],MATCH(QBmatchups3[[#This Row],[Name]],QBstats3[Player],0)),"0")</f>
        <v>28.5</v>
      </c>
      <c r="AP20" s="32">
        <f>IFERROR(INDEX(QBallowed[Cmp],MATCH(QBmatchups3[[#This Row],[Opp]],QBallowed[Team],0)),"0")</f>
        <v>19.875</v>
      </c>
      <c r="AQ20" s="32">
        <f>IFERROR(INDEX(QBstats1[Pass Yds],MATCH(QBmatchups3[[#This Row],[Name]],QBstats1[Player],0)),"0")</f>
        <v>272.29599999999999</v>
      </c>
      <c r="AR20" s="14">
        <f>IFERROR(INDEX(QBstats2[PassYards],MATCH(QBmatchups3[[#This Row],[Name]],QBstats2[Player],0)),"0")</f>
        <v>284.3</v>
      </c>
      <c r="AS20" s="14">
        <f>IFERROR(INDEX(QBstats3[PassYards],MATCH(QBmatchups3[[#This Row],[Name]],QBstats3[Player],0)),"0")</f>
        <v>305.10000000000002</v>
      </c>
      <c r="AT20" s="32">
        <f>IFERROR(INDEX(QBallowed[Yards],MATCH(QBmatchups3[[#This Row],[Opp]],QBallowed[Team],0)),"0")</f>
        <v>246.6875</v>
      </c>
      <c r="AU20" s="32">
        <f>IFERROR(INDEX(QBstats1[Pass TD],MATCH(QBmatchups3[[#This Row],[Name]],QBstats1[Player],0)),"0")</f>
        <v>1.786</v>
      </c>
      <c r="AV20" s="14">
        <f>IFERROR(INDEX(QBstats2[PassTD],MATCH(QBmatchups3[[#This Row],[Name]],QBstats2[Player],0)),"0")</f>
        <v>1.9</v>
      </c>
      <c r="AW20" s="14">
        <f>IFERROR(INDEX(QBstats3[PassTD],MATCH(QBmatchups3[[#This Row],[Name]],QBstats3[Player],0)),"0")</f>
        <v>1.4</v>
      </c>
      <c r="AX20" s="32">
        <f>IFERROR(INDEX(QBallowed[TD],MATCH(QBmatchups3[[#This Row],[Opp]],QBallowed[Team],0)),"0")</f>
        <v>2.125</v>
      </c>
      <c r="AY20" s="32">
        <f>IFERROR(INDEX(QBstats1[INT],MATCH(QBmatchups3[[#This Row],[Name]],QBstats1[Player],0)),"0")</f>
        <v>1.0509999999999999</v>
      </c>
      <c r="AZ20" s="14">
        <f>IFERROR(INDEX(QBstats2[Int],MATCH(QBmatchups3[[#This Row],[Name]],QBstats2[Player],0)),"0")</f>
        <v>1.3</v>
      </c>
      <c r="BA20" s="14">
        <f>IFERROR(INDEX(QBstats3[INT],MATCH(QBmatchups3[[#This Row],[Name]],QBstats3[Player],0)),"0")</f>
        <v>1.2</v>
      </c>
      <c r="BB20" s="32">
        <f>IFERROR(INDEX(QBallowed[INT],MATCH(QBmatchups3[[#This Row],[Opp]],QBallowed[Team],0)),"0")</f>
        <v>0.6875</v>
      </c>
      <c r="BC20" s="32">
        <f>IFERROR(INDEX(QBstats1[Rush Att],MATCH(QBmatchups3[[#This Row],[Name]],QBstats1[Player],0)),"0")</f>
        <v>1.786</v>
      </c>
      <c r="BD20" s="14">
        <f>IFERROR(INDEX(QBstats3[Rush Att],MATCH(QBmatchups3[[#This Row],[Name]],QBstats3[Player],0)),"0")</f>
        <v>1.6</v>
      </c>
      <c r="BE20" s="14">
        <f>IFERROR(INDEX(QBallowed[RushAtt],MATCH(QBmatchups3[[#This Row],[Opp]],QBallowed[Team],0)),"0")</f>
        <v>4.1875</v>
      </c>
      <c r="BF20" s="32">
        <f>IFERROR(INDEX(QBstats1[Rush Yds],MATCH(QBmatchups3[[#This Row],[Name]],QBstats1[Player],0)),"0")</f>
        <v>5.681</v>
      </c>
      <c r="BG20" s="14">
        <f>IFERROR(INDEX(QBstats2[RushYards],MATCH(QBmatchups3[[#This Row],[Name]],QBstats2[Player],0)),"0")</f>
        <v>2.1</v>
      </c>
      <c r="BH20" s="14">
        <f>IFERROR(INDEX(QBstats3[RushYards],MATCH(QBmatchups3[[#This Row],[Name]],QBstats3[Player],0)),"0")</f>
        <v>4.5</v>
      </c>
      <c r="BI20" s="32">
        <f>IFERROR(INDEX(QBallowed[RushYard],MATCH(QBmatchups3[[#This Row],[Opp]],QBallowed[Team],0)),"0")</f>
        <v>14.0625</v>
      </c>
      <c r="BJ20" s="32">
        <f>IFERROR(INDEX(QBstats1[Rush TD],MATCH(QBmatchups3[[#This Row],[Name]],QBstats1[Player],0)),"0")</f>
        <v>1.7000000000000001E-2</v>
      </c>
      <c r="BK20" s="14" t="str">
        <f>IFERROR(INDEX(QBstats2[RushTD],MATCH(QBmatchups3[[#This Row],[Name]],QBstats2[Player],0)),"0")</f>
        <v>0</v>
      </c>
      <c r="BL20" s="14">
        <f>IFERROR(INDEX(QBstats3[RushTD],MATCH(QBmatchups3[[#This Row],[Name]],QBstats3[Player],0)),"0")</f>
        <v>0.1</v>
      </c>
      <c r="BM20" s="32">
        <f>IFERROR(INDEX(QBallowed[RushTD],MATCH(QBmatchups3[[#This Row],[Opp]],QBallowed[Team],0)),"0")</f>
        <v>0.25</v>
      </c>
      <c r="BN20" s="266">
        <f>IF(QBmatchups3[[#This Row],[Yards]]&gt;=300,3,0)</f>
        <v>0</v>
      </c>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row>
    <row r="21" spans="1:93" x14ac:dyDescent="0.3">
      <c r="A21" s="37">
        <f>QBstats1!AL11</f>
        <v>17.899999999999999</v>
      </c>
      <c r="B21" s="34" t="str">
        <f>QBstats1!D11</f>
        <v>Carson Palmer</v>
      </c>
      <c r="C21" s="172">
        <f>IFERROR(INDEX(Salaries[DraftKings (Price)],MATCH(QBmatchups3[[#This Row],[Name]],Salaries[Player],0)),"")</f>
        <v>6300</v>
      </c>
      <c r="D21" s="172">
        <f>IFERROR(INDEX(DK_Salary_Changes[WeekChange],MATCH(QBmatchups3[[#This Row],[Name]],DK_Salary_Changes[Player],0)),"")</f>
        <v>-900</v>
      </c>
      <c r="E21" s="14" t="str">
        <f>IFERROR(INDEX(Salaries[Team],MATCH(QBmatchups3[[#This Row],[Name]],Salaries[Player],0)),"")</f>
        <v>ARI</v>
      </c>
      <c r="F21" s="14" t="str">
        <f>IFERROR(INDEX(Salaries[Opp],MATCH(QBmatchups3[[#This Row],[Team]],Salaries[Team],0)),"")</f>
        <v>LA</v>
      </c>
      <c r="G21" s="405">
        <f>IFERROR(INDEX(QBYTD[Att],MATCH(QBmatchups3[Name],QBYTD[Player],0)),"")</f>
        <v>118</v>
      </c>
      <c r="H21" s="406">
        <f>IFERROR(INDEX(QBYTD[%],MATCH(QBmatchups3[Name],QBYTD[Player],0)),"")</f>
        <v>0.57599999999999996</v>
      </c>
      <c r="I21" s="407">
        <f>IFERROR(INDEX(QBYTD[Pass Yds],MATCH(QBmatchups3[Name],QBYTD[Player],0)),"")</f>
        <v>866</v>
      </c>
      <c r="J21" s="407">
        <f>IFERROR(INDEX(QBYTD[Pass TD],MATCH(QBmatchups3[Name],QBYTD[Player],0)),"")</f>
        <v>5</v>
      </c>
      <c r="K21" s="407">
        <f>IFERROR(INDEX(QBYTD[Rush Yds],MATCH(QBmatchups3[Name],QBYTD[Player],0)),"")</f>
        <v>1</v>
      </c>
      <c r="L21" s="408">
        <f>IFERROR(INDEX(QBYTD[Rush TD],MATCH(QBmatchups3[Name],QBYTD[Player],0)),"")</f>
        <v>0</v>
      </c>
      <c r="M21" s="416">
        <f>IFERROR(INDEX(Salaries[O/U],MATCH(QBmatchups3[[#This Row],[Team]],Salaries[Team],0)),"")</f>
        <v>43</v>
      </c>
      <c r="N21" s="14">
        <f>IFERROR(INDEX(Salaries[Team O/U],MATCH(QBmatchups3[[#This Row],[Team]],Salaries[Team],0)),"")</f>
        <v>25.5</v>
      </c>
      <c r="O21" s="417">
        <f>IFERROR(INDEX(Salaries[Spread],MATCH(QBmatchups3[[#This Row],[Team]],Salaries[Team],0)),"")</f>
        <v>-8</v>
      </c>
      <c r="P21" s="424">
        <f>IFERROR(INDEX(QBallowed[DVP],MATCH(QBmatchups3[[#This Row],[Opp]],QBallowed[Team],0)),IFERROR(INDEX(QBallowed[DVP],MATCH(QBmatchups3[[#This Row],[Opp]],QBallowed[OPP],0)),""))</f>
        <v>13</v>
      </c>
      <c r="Q21" s="431">
        <f>AVERAGE(QBmatchups3[[#This Row],[Att1]:[Atta]])</f>
        <v>38.543499999999995</v>
      </c>
      <c r="R21" s="32">
        <f>AVERAGE(QBmatchups3[[#This Row],[Comp1]:[Compa]])</f>
        <v>23.768124999999998</v>
      </c>
      <c r="S21" s="18">
        <f>SUM(QBmatchups3[[#This Row],[Comp]]/QBmatchups3[[#This Row],[Attempts]])</f>
        <v>0.61665715360566631</v>
      </c>
      <c r="T21" s="32">
        <f>AVERAGE(QBmatchups3[[#This Row],[Yards1]:[Yardsa]])</f>
        <v>290.58625000000001</v>
      </c>
      <c r="U21" s="19">
        <f>SUM(QBmatchups3[[#This Row],[Yards]]/QBmatchups3[[#This Row],[Attempts]])</f>
        <v>7.5391765148468624</v>
      </c>
      <c r="V21" s="32">
        <f>AVERAGE(QBmatchups3[[#This Row],[TD1]:[Tda]])</f>
        <v>1.76</v>
      </c>
      <c r="W21" s="32">
        <f>AVERAGE(QBmatchups3[[#This Row],[INT1]:[INTa]])</f>
        <v>0.8125</v>
      </c>
      <c r="X21" s="19">
        <f>AVERAGE(QBmatchups3[[#This Row],[RushAtt1]:[RushAtta]])</f>
        <v>1.3923333333333332</v>
      </c>
      <c r="Y21" s="32">
        <f>AVERAGE(QBmatchups3[[#This Row],[RushYards1]:[RushYardsa]])</f>
        <v>4.7536249999999995</v>
      </c>
      <c r="Z21" s="32">
        <f>AVERAGE(QBmatchups3[[#This Row],[RushTD1]:[RushTDa]])</f>
        <v>2.75E-2</v>
      </c>
      <c r="AA21" s="8">
        <f>_xlfn.RANK.EQ(QBmatchups3[[#This Row],[Projection]],QBmatchups3[Projection],0)</f>
        <v>11</v>
      </c>
      <c r="AB21" s="45">
        <f>SUM(QBmatchups3[[#This Row],[Yards]]*0.04)+(QBmatchups3[[#This Row],[Pass TD]]*4)+(QBmatchups3[[#This Row],[RushYards]]*0.1)+(QBmatchups3[[#This Row],[RushTD]]*6)+(QBmatchups3[[#This Row],[INT]]*-1)+(QBmatchups3[[#This Row],[300+]])</f>
        <v>18.491312499999999</v>
      </c>
      <c r="AC21" s="433">
        <f>_xlfn.RANK.EQ(QBmatchups3[[#This Row],[$/FP]],QBmatchups3[$/FP],1)</f>
        <v>15</v>
      </c>
      <c r="AD21" s="427">
        <f>SUM(QBmatchups3[[#This Row],[Salary]]/QBmatchups3[[#This Row],[Projection]])</f>
        <v>340.70053166858764</v>
      </c>
      <c r="AE21" s="316">
        <f>_xlfn.RANK.EQ(QBmatchups3[[#This Row],[Average]],QBmatchups3[Average],1)</f>
        <v>11</v>
      </c>
      <c r="AF21" s="316">
        <f>AVERAGE(QBmatchups3[[#This Row],[Proj Rank]],QBmatchups3[[#This Row],[Value Rank]])</f>
        <v>13</v>
      </c>
      <c r="AG21" s="214">
        <f>QBmatchups3[[#This Row],[Salary]]/50000</f>
        <v>0.126</v>
      </c>
      <c r="AH21" s="214"/>
      <c r="AI21" s="32">
        <f>IFERROR(INDEX(QBstats1[Pass Att],MATCH(QBmatchups3[[#This Row],[Name]],QBstats1[Player],0)),"0")</f>
        <v>37.223999999999997</v>
      </c>
      <c r="AJ21" s="32">
        <f>IFERROR(INDEX(QBstats2[PassAtt],MATCH(QBmatchups3[[#This Row],[Name]],QBstats2[Player],0)),"0")</f>
        <v>44.5</v>
      </c>
      <c r="AK21" s="32">
        <f>IFERROR(INDEX(QBstats3[PassAtt],MATCH(QBmatchups3[[#This Row],[Name]],QBstats3[Player],0)),"0")</f>
        <v>35.200000000000003</v>
      </c>
      <c r="AL21" s="32">
        <f>IFERROR(INDEX(QBallowed[Att],MATCH(QBmatchups3[[#This Row],[Opp]],QBallowed[Team],0)),"0")</f>
        <v>37.25</v>
      </c>
      <c r="AM21" s="32">
        <f>IFERROR(INDEX(QBstats1[Pass Comp],MATCH(QBmatchups3[[#This Row],[Name]],QBstats1[Player],0)),"0")</f>
        <v>22.31</v>
      </c>
      <c r="AN21" s="14">
        <f>IFERROR(INDEX(QBstats2[PassComp],MATCH(QBmatchups3[[#This Row],[Name]],QBstats2[Player],0)),"0")</f>
        <v>27.4</v>
      </c>
      <c r="AO21" s="14">
        <f>IFERROR(INDEX(QBstats3[PassComp],MATCH(QBmatchups3[[#This Row],[Name]],QBstats3[Player],0)),"0")</f>
        <v>22.8</v>
      </c>
      <c r="AP21" s="32">
        <f>IFERROR(INDEX(QBallowed[Cmp],MATCH(QBmatchups3[[#This Row],[Opp]],QBallowed[Team],0)),"0")</f>
        <v>22.5625</v>
      </c>
      <c r="AQ21" s="32">
        <f>IFERROR(INDEX(QBstats1[Pass Yds],MATCH(QBmatchups3[[#This Row],[Name]],QBstats1[Player],0)),"0")</f>
        <v>289.62</v>
      </c>
      <c r="AR21" s="14">
        <f>IFERROR(INDEX(QBstats2[PassYards],MATCH(QBmatchups3[[#This Row],[Name]],QBstats2[Player],0)),"0")</f>
        <v>311.89999999999998</v>
      </c>
      <c r="AS21" s="14">
        <f>IFERROR(INDEX(QBstats3[PassYards],MATCH(QBmatchups3[[#This Row],[Name]],QBstats3[Player],0)),"0")</f>
        <v>297.7</v>
      </c>
      <c r="AT21" s="32">
        <f>IFERROR(INDEX(QBallowed[Yards],MATCH(QBmatchups3[[#This Row],[Opp]],QBallowed[Team],0)),"0")</f>
        <v>263.125</v>
      </c>
      <c r="AU21" s="32">
        <f>IFERROR(INDEX(QBstats1[Pass TD],MATCH(QBmatchups3[[#This Row],[Name]],QBstats1[Player],0)),"0")</f>
        <v>1.74</v>
      </c>
      <c r="AV21" s="14">
        <f>IFERROR(INDEX(QBstats2[PassTD],MATCH(QBmatchups3[[#This Row],[Name]],QBstats2[Player],0)),"0")</f>
        <v>2</v>
      </c>
      <c r="AW21" s="14">
        <f>IFERROR(INDEX(QBstats3[PassTD],MATCH(QBmatchups3[[#This Row],[Name]],QBstats3[Player],0)),"0")</f>
        <v>1.8</v>
      </c>
      <c r="AX21" s="32">
        <f>IFERROR(INDEX(QBallowed[TD],MATCH(QBmatchups3[[#This Row],[Opp]],QBallowed[Team],0)),"0")</f>
        <v>1.5</v>
      </c>
      <c r="AY21" s="32">
        <f>IFERROR(INDEX(QBstats1[INT],MATCH(QBmatchups3[[#This Row],[Name]],QBstats1[Player],0)),"0")</f>
        <v>0.5</v>
      </c>
      <c r="AZ21" s="14">
        <f>IFERROR(INDEX(QBstats2[Int],MATCH(QBmatchups3[[#This Row],[Name]],QBstats2[Player],0)),"0")</f>
        <v>1.3</v>
      </c>
      <c r="BA21" s="14">
        <f>IFERROR(INDEX(QBstats3[INT],MATCH(QBmatchups3[[#This Row],[Name]],QBstats3[Player],0)),"0")</f>
        <v>0.7</v>
      </c>
      <c r="BB21" s="32">
        <f>IFERROR(INDEX(QBallowed[INT],MATCH(QBmatchups3[[#This Row],[Opp]],QBallowed[Team],0)),"0")</f>
        <v>0.75</v>
      </c>
      <c r="BC21" s="32">
        <f>IFERROR(INDEX(QBstats1[Rush Att],MATCH(QBmatchups3[[#This Row],[Name]],QBstats1[Player],0)),"0")</f>
        <v>0.40200000000000002</v>
      </c>
      <c r="BD21" s="14">
        <f>IFERROR(INDEX(QBstats3[Rush Att],MATCH(QBmatchups3[[#This Row],[Name]],QBstats3[Player],0)),"0")</f>
        <v>1.4</v>
      </c>
      <c r="BE21" s="14">
        <f>IFERROR(INDEX(QBallowed[RushAtt],MATCH(QBmatchups3[[#This Row],[Opp]],QBallowed[Team],0)),"0")</f>
        <v>2.375</v>
      </c>
      <c r="BF21" s="32">
        <f>IFERROR(INDEX(QBstats1[Rush Yds],MATCH(QBmatchups3[[#This Row],[Name]],QBstats1[Player],0)),"0")</f>
        <v>1.127</v>
      </c>
      <c r="BG21" s="14">
        <f>IFERROR(INDEX(QBstats2[RushYards],MATCH(QBmatchups3[[#This Row],[Name]],QBstats2[Player],0)),"0")</f>
        <v>5.0999999999999996</v>
      </c>
      <c r="BH21" s="14">
        <f>IFERROR(INDEX(QBstats3[RushYards],MATCH(QBmatchups3[[#This Row],[Name]],QBstats3[Player],0)),"0")</f>
        <v>1.6</v>
      </c>
      <c r="BI21" s="32">
        <f>IFERROR(INDEX(QBallowed[RushYard],MATCH(QBmatchups3[[#This Row],[Opp]],QBallowed[Team],0)),"0")</f>
        <v>11.1875</v>
      </c>
      <c r="BJ21" s="32">
        <f>IFERROR(INDEX(QBstats1[Rush TD],MATCH(QBmatchups3[[#This Row],[Name]],QBstats1[Player],0)),"0")</f>
        <v>0.02</v>
      </c>
      <c r="BK21" s="14" t="str">
        <f>IFERROR(INDEX(QBstats2[RushTD],MATCH(QBmatchups3[[#This Row],[Name]],QBstats2[Player],0)),"0")</f>
        <v>0.1</v>
      </c>
      <c r="BL21" s="14">
        <f>IFERROR(INDEX(QBstats3[RushTD],MATCH(QBmatchups3[[#This Row],[Name]],QBstats3[Player],0)),"0")</f>
        <v>0</v>
      </c>
      <c r="BM21" s="32">
        <f>IFERROR(INDEX(QBallowed[RushTD],MATCH(QBmatchups3[[#This Row],[Opp]],QBallowed[Team],0)),"0")</f>
        <v>6.25E-2</v>
      </c>
      <c r="BN21" s="266">
        <f>IF(QBmatchups3[[#This Row],[Yards]]&gt;=300,3,0)</f>
        <v>0</v>
      </c>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row>
    <row r="22" spans="1:93" x14ac:dyDescent="0.3">
      <c r="A22" s="37">
        <f>QBstats1!AL15</f>
        <v>16.899999999999999</v>
      </c>
      <c r="B22" s="34" t="str">
        <f>QBstats1!D15</f>
        <v>Derek Carr</v>
      </c>
      <c r="C22" s="172">
        <f>IFERROR(INDEX(Salaries[DraftKings (Price)],MATCH(QBmatchups3[[#This Row],[Name]],Salaries[Player],0)),"")</f>
        <v>6700</v>
      </c>
      <c r="D22" s="172">
        <f>IFERROR(INDEX(DK_Salary_Changes[WeekChange],MATCH(QBmatchups3[[#This Row],[Name]],DK_Salary_Changes[Player],0)),"")</f>
        <v>-200</v>
      </c>
      <c r="E22" s="14" t="str">
        <f>IFERROR(INDEX(Salaries[Team],MATCH(QBmatchups3[[#This Row],[Name]],Salaries[Player],0)),"")</f>
        <v>OAK</v>
      </c>
      <c r="F22" s="14" t="str">
        <f>IFERROR(INDEX(Salaries[Opp],MATCH(QBmatchups3[[#This Row],[Team]],Salaries[Team],0)),"")</f>
        <v>@BAL</v>
      </c>
      <c r="G22" s="405">
        <f>IFERROR(INDEX(QBYTD[Att],MATCH(QBmatchups3[Name],QBYTD[Player],0)),"")</f>
        <v>118</v>
      </c>
      <c r="H22" s="406">
        <f>IFERROR(INDEX(QBYTD[%],MATCH(QBmatchups3[Name],QBYTD[Player],0)),"")</f>
        <v>0.66900000000000004</v>
      </c>
      <c r="I22" s="407">
        <f>IFERROR(INDEX(QBYTD[Pass Yds],MATCH(QBmatchups3[Name],QBYTD[Player],0)),"")</f>
        <v>867</v>
      </c>
      <c r="J22" s="407">
        <f>IFERROR(INDEX(QBYTD[Pass TD],MATCH(QBmatchups3[Name],QBYTD[Player],0)),"")</f>
        <v>5</v>
      </c>
      <c r="K22" s="407">
        <f>IFERROR(INDEX(QBYTD[Rush Yds],MATCH(QBmatchups3[Name],QBYTD[Player],0)),"")</f>
        <v>25</v>
      </c>
      <c r="L22" s="408">
        <f>IFERROR(INDEX(QBYTD[Rush TD],MATCH(QBmatchups3[Name],QBYTD[Player],0)),"")</f>
        <v>0</v>
      </c>
      <c r="M22" s="416">
        <f>IFERROR(INDEX(Salaries[O/U],MATCH(QBmatchups3[[#This Row],[Team]],Salaries[Team],0)),"")</f>
        <v>46.5</v>
      </c>
      <c r="N22" s="14">
        <f>IFERROR(INDEX(Salaries[Team O/U],MATCH(QBmatchups3[[#This Row],[Team]],Salaries[Team],0)),"")</f>
        <v>21.5</v>
      </c>
      <c r="O22" s="417">
        <f>IFERROR(INDEX(Salaries[Spread],MATCH(QBmatchups3[[#This Row],[Team]],Salaries[Team],0)),"")</f>
        <v>3.5</v>
      </c>
      <c r="P22" s="424">
        <f>IFERROR(INDEX(QBallowed[DVP],MATCH(QBmatchups3[[#This Row],[Opp]],QBallowed[Team],0)),IFERROR(INDEX(QBallowed[DVP],MATCH(QBmatchups3[[#This Row],[Opp]],QBallowed[OPP],0)),""))</f>
        <v>17</v>
      </c>
      <c r="Q22" s="431">
        <f>AVERAGE(QBmatchups3[[#This Row],[Att1]:[Atta]])</f>
        <v>39.93033333333333</v>
      </c>
      <c r="R22" s="32">
        <f>AVERAGE(QBmatchups3[[#This Row],[Comp1]:[Compa]])</f>
        <v>23.923000000000002</v>
      </c>
      <c r="S22" s="18">
        <f>SUM(QBmatchups3[[#This Row],[Comp]]/QBmatchups3[[#This Row],[Attempts]])</f>
        <v>0.59911846465928165</v>
      </c>
      <c r="T22" s="32">
        <f>AVERAGE(QBmatchups3[[#This Row],[Yards1]:[Yardsa]])</f>
        <v>271.7233333333333</v>
      </c>
      <c r="U22" s="19">
        <f>SUM(QBmatchups3[[#This Row],[Yards]]/QBmatchups3[[#This Row],[Attempts]])</f>
        <v>6.8049352622484154</v>
      </c>
      <c r="V22" s="32">
        <f>AVERAGE(QBmatchups3[[#This Row],[TD1]:[Tda]])</f>
        <v>1.7226666666666668</v>
      </c>
      <c r="W22" s="32">
        <f>AVERAGE(QBmatchups3[[#This Row],[INT1]:[INTa]])</f>
        <v>1.03</v>
      </c>
      <c r="X22" s="19">
        <f>AVERAGE(QBmatchups3[[#This Row],[RushAtt1]:[RushAtta]])</f>
        <v>2.0419999999999998</v>
      </c>
      <c r="Y22" s="32">
        <f>AVERAGE(QBmatchups3[[#This Row],[RushYards1]:[RushYardsa]])</f>
        <v>10.977333333333332</v>
      </c>
      <c r="Z22" s="32">
        <f>AVERAGE(QBmatchups3[[#This Row],[RushTD1]:[RushTDa]])</f>
        <v>9.4E-2</v>
      </c>
      <c r="AA22" s="8">
        <f>_xlfn.RANK.EQ(QBmatchups3[[#This Row],[Projection]],QBmatchups3[Projection],0)</f>
        <v>12</v>
      </c>
      <c r="AB22" s="45">
        <f>SUM(QBmatchups3[[#This Row],[Yards]]*0.04)+(QBmatchups3[[#This Row],[Pass TD]]*4)+(QBmatchups3[[#This Row],[RushYards]]*0.1)+(QBmatchups3[[#This Row],[RushTD]]*6)+(QBmatchups3[[#This Row],[INT]]*-1)+(QBmatchups3[[#This Row],[300+]])</f>
        <v>18.391333333333332</v>
      </c>
      <c r="AC22" s="433">
        <f>_xlfn.RANK.EQ(QBmatchups3[[#This Row],[$/FP]],QBmatchups3[$/FP],1)</f>
        <v>28</v>
      </c>
      <c r="AD22" s="427">
        <f>SUM(QBmatchups3[[#This Row],[Salary]]/QBmatchups3[[#This Row],[Projection]])</f>
        <v>364.30202631674342</v>
      </c>
      <c r="AE22" s="316">
        <f>_xlfn.RANK.EQ(QBmatchups3[[#This Row],[Average]],QBmatchups3[Average],1)</f>
        <v>21</v>
      </c>
      <c r="AF22" s="316">
        <f>AVERAGE(QBmatchups3[[#This Row],[Proj Rank]],QBmatchups3[[#This Row],[Value Rank]])</f>
        <v>20</v>
      </c>
      <c r="AG22" s="214">
        <f>QBmatchups3[[#This Row],[Salary]]/50000</f>
        <v>0.13400000000000001</v>
      </c>
      <c r="AH22" s="214"/>
      <c r="AI22" s="32">
        <f>IFERROR(INDEX(QBstats1[Pass Att],MATCH(QBmatchups3[[#This Row],[Name]],QBstats1[Player],0)),"0")</f>
        <v>35.591000000000001</v>
      </c>
      <c r="AJ22" s="32">
        <f>IFERROR(INDEX(QBstats2[PassAtt],MATCH(QBmatchups3[[#This Row],[Name]],QBstats2[Player],0)),"0")</f>
        <v>47.6</v>
      </c>
      <c r="AK22" s="45">
        <f>IFERROR(INDEX(QBstats3[PassAtt],MATCH(QBmatchups3[[#This Row],[Name]],QBstats3[Player],0)),"0")</f>
        <v>36.6</v>
      </c>
      <c r="AL22" s="32" t="str">
        <f>IFERROR(INDEX(QBallowed[Att],MATCH(QBmatchups3[[#This Row],[Opp]],QBallowed[Team],0)),"0")</f>
        <v>0</v>
      </c>
      <c r="AM22" s="32">
        <f>IFERROR(INDEX(QBstats1[Pass Comp],MATCH(QBmatchups3[[#This Row],[Name]],QBstats1[Player],0)),"0")</f>
        <v>22.969000000000001</v>
      </c>
      <c r="AN22" s="14">
        <f>IFERROR(INDEX(QBstats2[PassComp],MATCH(QBmatchups3[[#This Row],[Name]],QBstats2[Player],0)),"0")</f>
        <v>27.2</v>
      </c>
      <c r="AO22" s="14">
        <f>IFERROR(INDEX(QBstats3[PassComp],MATCH(QBmatchups3[[#This Row],[Name]],QBstats3[Player],0)),"0")</f>
        <v>21.6</v>
      </c>
      <c r="AP22" s="32" t="str">
        <f>IFERROR(INDEX(QBallowed[Cmp],MATCH(QBmatchups3[[#This Row],[Opp]],QBallowed[Team],0)),"0")</f>
        <v>0</v>
      </c>
      <c r="AQ22" s="32">
        <f>IFERROR(INDEX(QBstats1[Pass Yds],MATCH(QBmatchups3[[#This Row],[Name]],QBstats1[Player],0)),"0")</f>
        <v>263.37</v>
      </c>
      <c r="AR22" s="14">
        <f>IFERROR(INDEX(QBstats2[PassYards],MATCH(QBmatchups3[[#This Row],[Name]],QBstats2[Player],0)),"0")</f>
        <v>292.39999999999998</v>
      </c>
      <c r="AS22" s="14">
        <f>IFERROR(INDEX(QBstats3[PassYards],MATCH(QBmatchups3[[#This Row],[Name]],QBstats3[Player],0)),"0")</f>
        <v>259.39999999999998</v>
      </c>
      <c r="AT22" s="32" t="str">
        <f>IFERROR(INDEX(QBallowed[Yards],MATCH(QBmatchups3[[#This Row],[Opp]],QBallowed[Team],0)),"0")</f>
        <v>0</v>
      </c>
      <c r="AU22" s="32">
        <f>IFERROR(INDEX(QBstats1[Pass TD],MATCH(QBmatchups3[[#This Row],[Name]],QBstats1[Player],0)),"0")</f>
        <v>1.468</v>
      </c>
      <c r="AV22" s="14">
        <f>IFERROR(INDEX(QBstats2[PassTD],MATCH(QBmatchups3[[#This Row],[Name]],QBstats2[Player],0)),"0")</f>
        <v>1.5</v>
      </c>
      <c r="AW22" s="14">
        <f>IFERROR(INDEX(QBstats3[PassTD],MATCH(QBmatchups3[[#This Row],[Name]],QBstats3[Player],0)),"0")</f>
        <v>2.2000000000000002</v>
      </c>
      <c r="AX22" s="32" t="str">
        <f>IFERROR(INDEX(QBallowed[TD],MATCH(QBmatchups3[[#This Row],[Opp]],QBallowed[Team],0)),"0")</f>
        <v>0</v>
      </c>
      <c r="AY22" s="32">
        <f>IFERROR(INDEX(QBstats1[INT],MATCH(QBmatchups3[[#This Row],[Name]],QBstats1[Player],0)),"0")</f>
        <v>0.69</v>
      </c>
      <c r="AZ22" s="14">
        <f>IFERROR(INDEX(QBstats2[Int],MATCH(QBmatchups3[[#This Row],[Name]],QBstats2[Player],0)),"0")</f>
        <v>1.6</v>
      </c>
      <c r="BA22" s="14">
        <f>IFERROR(INDEX(QBstats3[INT],MATCH(QBmatchups3[[#This Row],[Name]],QBstats3[Player],0)),"0")</f>
        <v>0.8</v>
      </c>
      <c r="BB22" s="32" t="str">
        <f>IFERROR(INDEX(QBallowed[INT],MATCH(QBmatchups3[[#This Row],[Opp]],QBallowed[Team],0)),"0")</f>
        <v>0</v>
      </c>
      <c r="BC22" s="32">
        <f>IFERROR(INDEX(QBstats1[Rush Att],MATCH(QBmatchups3[[#This Row],[Name]],QBstats1[Player],0)),"0")</f>
        <v>2.2839999999999998</v>
      </c>
      <c r="BD22" s="14">
        <f>IFERROR(INDEX(QBstats3[Rush Att],MATCH(QBmatchups3[[#This Row],[Name]],QBstats3[Player],0)),"0")</f>
        <v>1.8</v>
      </c>
      <c r="BE22" s="14" t="str">
        <f>IFERROR(INDEX(QBallowed[RushAtt],MATCH(QBmatchups3[[#This Row],[Opp]],QBallowed[Team],0)),"0")</f>
        <v>0</v>
      </c>
      <c r="BF22" s="32">
        <f>IFERROR(INDEX(QBstats1[Rush Yds],MATCH(QBmatchups3[[#This Row],[Name]],QBstats1[Player],0)),"0")</f>
        <v>11.032</v>
      </c>
      <c r="BG22" s="14">
        <f>IFERROR(INDEX(QBstats2[RushYards],MATCH(QBmatchups3[[#This Row],[Name]],QBstats2[Player],0)),"0")</f>
        <v>14.1</v>
      </c>
      <c r="BH22" s="14">
        <f>IFERROR(INDEX(QBstats3[RushYards],MATCH(QBmatchups3[[#This Row],[Name]],QBstats3[Player],0)),"0")</f>
        <v>7.8</v>
      </c>
      <c r="BI22" s="32" t="str">
        <f>IFERROR(INDEX(QBallowed[RushYard],MATCH(QBmatchups3[[#This Row],[Opp]],QBallowed[Team],0)),"0")</f>
        <v>0</v>
      </c>
      <c r="BJ22" s="32">
        <f>IFERROR(INDEX(QBstats1[Rush TD],MATCH(QBmatchups3[[#This Row],[Name]],QBstats1[Player],0)),"0")</f>
        <v>8.7999999999999995E-2</v>
      </c>
      <c r="BK22" s="14" t="str">
        <f>IFERROR(INDEX(QBstats2[RushTD],MATCH(QBmatchups3[[#This Row],[Name]],QBstats2[Player],0)),"0")</f>
        <v>0.1</v>
      </c>
      <c r="BL22" s="14">
        <f>IFERROR(INDEX(QBstats3[RushTD],MATCH(QBmatchups3[[#This Row],[Name]],QBstats3[Player],0)),"0")</f>
        <v>0.1</v>
      </c>
      <c r="BM22" s="32" t="str">
        <f>IFERROR(INDEX(QBallowed[RushTD],MATCH(QBmatchups3[[#This Row],[Opp]],QBallowed[Team],0)),"0")</f>
        <v>0</v>
      </c>
      <c r="BN22" s="266">
        <f>IF(QBmatchups3[[#This Row],[Yards]]&gt;=300,3,0)</f>
        <v>0</v>
      </c>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row>
    <row r="23" spans="1:93" x14ac:dyDescent="0.3">
      <c r="A23" s="37">
        <f>QBstats1!AL12</f>
        <v>17.8</v>
      </c>
      <c r="B23" s="34" t="str">
        <f>QBstats1!D12</f>
        <v>Russell Wilson</v>
      </c>
      <c r="C23" s="172">
        <f>IFERROR(INDEX(Salaries[DraftKings (Price)],MATCH(QBmatchups3[[#This Row],[Name]],Salaries[Player],0)),"")</f>
        <v>6600</v>
      </c>
      <c r="D23" s="172">
        <f>IFERROR(INDEX(DK_Salary_Changes[WeekChange],MATCH(QBmatchups3[[#This Row],[Name]],DK_Salary_Changes[Player],0)),"")</f>
        <v>-500</v>
      </c>
      <c r="E23" s="14" t="str">
        <f>IFERROR(INDEX(Salaries[Team],MATCH(QBmatchups3[[#This Row],[Name]],Salaries[Player],0)),"")</f>
        <v>SEA</v>
      </c>
      <c r="F23" s="14" t="str">
        <f>IFERROR(INDEX(Salaries[Opp],MATCH(QBmatchups3[[#This Row],[Team]],Salaries[Team],0)),"")</f>
        <v>@NYJ</v>
      </c>
      <c r="G23" s="405">
        <f>IFERROR(INDEX(QBYTD[Att],MATCH(QBmatchups3[Name],QBYTD[Player],0)),"")</f>
        <v>101</v>
      </c>
      <c r="H23" s="406">
        <f>IFERROR(INDEX(QBYTD[%],MATCH(QBmatchups3[Name],QBYTD[Player],0)),"")</f>
        <v>0.63400000000000001</v>
      </c>
      <c r="I23" s="407">
        <f>IFERROR(INDEX(QBYTD[Pass Yds],MATCH(QBmatchups3[Name],QBYTD[Player],0)),"")</f>
        <v>755</v>
      </c>
      <c r="J23" s="407">
        <f>IFERROR(INDEX(QBYTD[Pass TD],MATCH(QBmatchups3[Name],QBYTD[Player],0)),"")</f>
        <v>2</v>
      </c>
      <c r="K23" s="407">
        <f>IFERROR(INDEX(QBYTD[Rush Yds],MATCH(QBmatchups3[Name],QBYTD[Player],0)),"")</f>
        <v>33</v>
      </c>
      <c r="L23" s="408">
        <f>IFERROR(INDEX(QBYTD[Rush TD],MATCH(QBmatchups3[Name],QBYTD[Player],0)),"")</f>
        <v>0</v>
      </c>
      <c r="M23" s="416">
        <f>IFERROR(INDEX(Salaries[O/U],MATCH(QBmatchups3[[#This Row],[Team]],Salaries[Team],0)),"")</f>
        <v>40.5</v>
      </c>
      <c r="N23" s="14">
        <f>IFERROR(INDEX(Salaries[Team O/U],MATCH(QBmatchups3[[#This Row],[Team]],Salaries[Team],0)),"")</f>
        <v>21</v>
      </c>
      <c r="O23" s="417">
        <f>IFERROR(INDEX(Salaries[Spread],MATCH(QBmatchups3[[#This Row],[Team]],Salaries[Team],0)),"")</f>
        <v>-1.5</v>
      </c>
      <c r="P23" s="424">
        <f>IFERROR(INDEX(QBallowed[DVP],MATCH(QBmatchups3[[#This Row],[Opp]],QBallowed[Team],0)),IFERROR(INDEX(QBallowed[DVP],MATCH(QBmatchups3[[#This Row],[Opp]],QBallowed[OPP],0)),""))</f>
        <v>10</v>
      </c>
      <c r="Q23" s="431">
        <f>AVERAGE(QBmatchups3[[#This Row],[Att1]:[Atta]])</f>
        <v>31.276999999999997</v>
      </c>
      <c r="R23" s="32">
        <f>AVERAGE(QBmatchups3[[#This Row],[Comp1]:[Compa]])</f>
        <v>20.844333333333335</v>
      </c>
      <c r="S23" s="18">
        <f>SUM(QBmatchups3[[#This Row],[Comp]]/QBmatchups3[[#This Row],[Attempts]])</f>
        <v>0.66644286003559605</v>
      </c>
      <c r="T23" s="32">
        <f>AVERAGE(QBmatchups3[[#This Row],[Yards1]:[Yardsa]])</f>
        <v>246.98</v>
      </c>
      <c r="U23" s="19">
        <f>SUM(QBmatchups3[[#This Row],[Yards]]/QBmatchups3[[#This Row],[Attempts]])</f>
        <v>7.8965373916935775</v>
      </c>
      <c r="V23" s="32">
        <f>AVERAGE(QBmatchups3[[#This Row],[TD1]:[Tda]])</f>
        <v>1.6130000000000002</v>
      </c>
      <c r="W23" s="32">
        <f>AVERAGE(QBmatchups3[[#This Row],[INT1]:[INTa]])</f>
        <v>0.57999999999999996</v>
      </c>
      <c r="X23" s="19">
        <f>AVERAGE(QBmatchups3[[#This Row],[RushAtt1]:[RushAtta]])</f>
        <v>3.6485000000000003</v>
      </c>
      <c r="Y23" s="32">
        <f>AVERAGE(QBmatchups3[[#This Row],[RushYards1]:[RushYardsa]])</f>
        <v>18.734666666666666</v>
      </c>
      <c r="Z23" s="32">
        <f>AVERAGE(QBmatchups3[[#This Row],[RushTD1]:[RushTDa]])</f>
        <v>9.7000000000000003E-2</v>
      </c>
      <c r="AA23" s="8">
        <f>_xlfn.RANK.EQ(QBmatchups3[[#This Row],[Projection]],QBmatchups3[Projection],0)</f>
        <v>13</v>
      </c>
      <c r="AB23" s="45">
        <f>SUM(QBmatchups3[[#This Row],[Yards]]*0.04)+(QBmatchups3[[#This Row],[Pass TD]]*4)+(QBmatchups3[[#This Row],[RushYards]]*0.1)+(QBmatchups3[[#This Row],[RushTD]]*6)+(QBmatchups3[[#This Row],[INT]]*-1)+(QBmatchups3[[#This Row],[300+]])</f>
        <v>18.206666666666667</v>
      </c>
      <c r="AC23" s="433">
        <f>_xlfn.RANK.EQ(QBmatchups3[[#This Row],[$/FP]],QBmatchups3[$/FP],1)</f>
        <v>27</v>
      </c>
      <c r="AD23" s="427">
        <f>SUM(QBmatchups3[[#This Row],[Salary]]/QBmatchups3[[#This Row],[Projection]])</f>
        <v>362.50457707799342</v>
      </c>
      <c r="AE23" s="316">
        <f>_xlfn.RANK.EQ(QBmatchups3[[#This Row],[Average]],QBmatchups3[Average],1)</f>
        <v>21</v>
      </c>
      <c r="AF23" s="316">
        <f>AVERAGE(QBmatchups3[[#This Row],[Proj Rank]],QBmatchups3[[#This Row],[Value Rank]])</f>
        <v>20</v>
      </c>
      <c r="AG23" s="214">
        <f>QBmatchups3[[#This Row],[Salary]]/50000</f>
        <v>0.13200000000000001</v>
      </c>
      <c r="AH23" s="214"/>
      <c r="AI23" s="32">
        <f>IFERROR(INDEX(QBstats1[Pass Att],MATCH(QBmatchups3[[#This Row],[Name]],QBstats1[Player],0)),"0")</f>
        <v>34.930999999999997</v>
      </c>
      <c r="AJ23" s="32">
        <f>IFERROR(INDEX(QBstats2[PassAtt],MATCH(QBmatchups3[[#This Row],[Name]],QBstats2[Player],0)),"0")</f>
        <v>27.3</v>
      </c>
      <c r="AK23" s="45">
        <f>IFERROR(INDEX(QBstats3[PassAtt],MATCH(QBmatchups3[[#This Row],[Name]],QBstats3[Player],0)),"0")</f>
        <v>31.6</v>
      </c>
      <c r="AL23" s="32" t="str">
        <f>IFERROR(INDEX(QBallowed[Att],MATCH(QBmatchups3[[#This Row],[Opp]],QBallowed[Team],0)),"0")</f>
        <v>0</v>
      </c>
      <c r="AM23" s="32">
        <f>IFERROR(INDEX(QBstats1[Pass Comp],MATCH(QBmatchups3[[#This Row],[Name]],QBstats1[Player],0)),"0")</f>
        <v>23.733000000000001</v>
      </c>
      <c r="AN23" s="14">
        <f>IFERROR(INDEX(QBstats2[PassComp],MATCH(QBmatchups3[[#This Row],[Name]],QBstats2[Player],0)),"0")</f>
        <v>17.2</v>
      </c>
      <c r="AO23" s="14">
        <f>IFERROR(INDEX(QBstats3[PassComp],MATCH(QBmatchups3[[#This Row],[Name]],QBstats3[Player],0)),"0")</f>
        <v>21.6</v>
      </c>
      <c r="AP23" s="32" t="str">
        <f>IFERROR(INDEX(QBallowed[Cmp],MATCH(QBmatchups3[[#This Row],[Opp]],QBallowed[Team],0)),"0")</f>
        <v>0</v>
      </c>
      <c r="AQ23" s="32">
        <f>IFERROR(INDEX(QBstats1[Pass Yds],MATCH(QBmatchups3[[#This Row],[Name]],QBstats1[Player],0)),"0")</f>
        <v>282.94</v>
      </c>
      <c r="AR23" s="14">
        <f>IFERROR(INDEX(QBstats2[PassYards],MATCH(QBmatchups3[[#This Row],[Name]],QBstats2[Player],0)),"0")</f>
        <v>207.1</v>
      </c>
      <c r="AS23" s="14">
        <f>IFERROR(INDEX(QBstats3[PassYards],MATCH(QBmatchups3[[#This Row],[Name]],QBstats3[Player],0)),"0")</f>
        <v>250.9</v>
      </c>
      <c r="AT23" s="32" t="str">
        <f>IFERROR(INDEX(QBallowed[Yards],MATCH(QBmatchups3[[#This Row],[Opp]],QBallowed[Team],0)),"0")</f>
        <v>0</v>
      </c>
      <c r="AU23" s="32">
        <f>IFERROR(INDEX(QBstats1[Pass TD],MATCH(QBmatchups3[[#This Row],[Name]],QBstats1[Player],0)),"0")</f>
        <v>1.4390000000000001</v>
      </c>
      <c r="AV23" s="14">
        <f>IFERROR(INDEX(QBstats2[PassTD],MATCH(QBmatchups3[[#This Row],[Name]],QBstats2[Player],0)),"0")</f>
        <v>1.7</v>
      </c>
      <c r="AW23" s="14">
        <f>IFERROR(INDEX(QBstats3[PassTD],MATCH(QBmatchups3[[#This Row],[Name]],QBstats3[Player],0)),"0")</f>
        <v>1.7</v>
      </c>
      <c r="AX23" s="32" t="str">
        <f>IFERROR(INDEX(QBallowed[TD],MATCH(QBmatchups3[[#This Row],[Opp]],QBallowed[Team],0)),"0")</f>
        <v>0</v>
      </c>
      <c r="AY23" s="32">
        <f>IFERROR(INDEX(QBstats1[INT],MATCH(QBmatchups3[[#This Row],[Name]],QBstats1[Player],0)),"0")</f>
        <v>0.46</v>
      </c>
      <c r="AZ23" s="14" t="str">
        <f>IFERROR(INDEX(QBstats2[Int],MATCH(QBmatchups3[[#This Row],[Name]],QBstats2[Player],0)),"0")</f>
        <v>0.4</v>
      </c>
      <c r="BA23" s="14">
        <f>IFERROR(INDEX(QBstats3[INT],MATCH(QBmatchups3[[#This Row],[Name]],QBstats3[Player],0)),"0")</f>
        <v>0.7</v>
      </c>
      <c r="BB23" s="32" t="str">
        <f>IFERROR(INDEX(QBallowed[INT],MATCH(QBmatchups3[[#This Row],[Opp]],QBallowed[Team],0)),"0")</f>
        <v>0</v>
      </c>
      <c r="BC23" s="32">
        <f>IFERROR(INDEX(QBstats1[Rush Att],MATCH(QBmatchups3[[#This Row],[Name]],QBstats1[Player],0)),"0")</f>
        <v>2.7970000000000002</v>
      </c>
      <c r="BD23" s="14">
        <f>IFERROR(INDEX(QBstats3[Rush Att],MATCH(QBmatchups3[[#This Row],[Name]],QBstats3[Player],0)),"0")</f>
        <v>4.5</v>
      </c>
      <c r="BE23" s="14" t="str">
        <f>IFERROR(INDEX(QBallowed[RushAtt],MATCH(QBmatchups3[[#This Row],[Opp]],QBallowed[Team],0)),"0")</f>
        <v>0</v>
      </c>
      <c r="BF23" s="32">
        <f>IFERROR(INDEX(QBstats1[Rush Yds],MATCH(QBmatchups3[[#This Row],[Name]],QBstats1[Player],0)),"0")</f>
        <v>11.603999999999999</v>
      </c>
      <c r="BG23" s="14">
        <f>IFERROR(INDEX(QBstats2[RushYards],MATCH(QBmatchups3[[#This Row],[Name]],QBstats2[Player],0)),"0")</f>
        <v>23.4</v>
      </c>
      <c r="BH23" s="14">
        <f>IFERROR(INDEX(QBstats3[RushYards],MATCH(QBmatchups3[[#This Row],[Name]],QBstats3[Player],0)),"0")</f>
        <v>21.2</v>
      </c>
      <c r="BI23" s="32" t="str">
        <f>IFERROR(INDEX(QBallowed[RushYard],MATCH(QBmatchups3[[#This Row],[Opp]],QBallowed[Team],0)),"0")</f>
        <v>0</v>
      </c>
      <c r="BJ23" s="32">
        <f>IFERROR(INDEX(QBstats1[Rush TD],MATCH(QBmatchups3[[#This Row],[Name]],QBstats1[Player],0)),"0")</f>
        <v>9.4E-2</v>
      </c>
      <c r="BK23" s="14" t="str">
        <f>IFERROR(INDEX(QBstats2[RushTD],MATCH(QBmatchups3[[#This Row],[Name]],QBstats2[Player],0)),"0")</f>
        <v>0.2</v>
      </c>
      <c r="BL23" s="14">
        <f>IFERROR(INDEX(QBstats3[RushTD],MATCH(QBmatchups3[[#This Row],[Name]],QBstats3[Player],0)),"0")</f>
        <v>0.1</v>
      </c>
      <c r="BM23" s="32" t="str">
        <f>IFERROR(INDEX(QBallowed[RushTD],MATCH(QBmatchups3[[#This Row],[Opp]],QBallowed[Team],0)),"0")</f>
        <v>0</v>
      </c>
      <c r="BN23" s="266">
        <f>IF(QBmatchups3[[#This Row],[Yards]]&gt;=300,3,0)</f>
        <v>0</v>
      </c>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row>
    <row r="24" spans="1:93" x14ac:dyDescent="0.3">
      <c r="A24" s="37">
        <f>QBstats1!AL14</f>
        <v>18</v>
      </c>
      <c r="B24" s="34" t="str">
        <f>QBstats1!D14</f>
        <v>Dak Prescott</v>
      </c>
      <c r="C24" s="172">
        <f>IFERROR(INDEX(Salaries[DraftKings (Price)],MATCH(QBmatchups3[[#This Row],[Name]],Salaries[Player],0)),"")</f>
        <v>5700</v>
      </c>
      <c r="D24" s="172">
        <f>IFERROR(INDEX(DK_Salary_Changes[WeekChange],MATCH(QBmatchups3[[#This Row],[Name]],DK_Salary_Changes[Player],0)),"")</f>
        <v>0</v>
      </c>
      <c r="E24" s="14" t="str">
        <f>IFERROR(INDEX(Salaries[Team],MATCH(QBmatchups3[[#This Row],[Name]],Salaries[Player],0)),"")</f>
        <v>DAL</v>
      </c>
      <c r="F24" s="14" t="str">
        <f>IFERROR(INDEX(Salaries[Opp],MATCH(QBmatchups3[[#This Row],[Team]],Salaries[Team],0)),"")</f>
        <v>@SF</v>
      </c>
      <c r="G24" s="405">
        <f>IFERROR(INDEX(QBYTD[Att],MATCH(QBmatchups3[Name],QBYTD[Player],0)),"")</f>
        <v>99</v>
      </c>
      <c r="H24" s="406">
        <f>IFERROR(INDEX(QBYTD[%],MATCH(QBmatchups3[Name],QBYTD[Player],0)),"")</f>
        <v>0.66700000000000004</v>
      </c>
      <c r="I24" s="407">
        <f>IFERROR(INDEX(QBYTD[Pass Yds],MATCH(QBmatchups3[Name],QBYTD[Player],0)),"")</f>
        <v>767</v>
      </c>
      <c r="J24" s="407">
        <f>IFERROR(INDEX(QBYTD[Pass TD],MATCH(QBmatchups3[Name],QBYTD[Player],0)),"")</f>
        <v>1</v>
      </c>
      <c r="K24" s="407">
        <f>IFERROR(INDEX(QBYTD[Rush Yds],MATCH(QBmatchups3[Name],QBYTD[Player],0)),"")</f>
        <v>54</v>
      </c>
      <c r="L24" s="408">
        <f>IFERROR(INDEX(QBYTD[Rush TD],MATCH(QBmatchups3[Name],QBYTD[Player],0)),"")</f>
        <v>2</v>
      </c>
      <c r="M24" s="416">
        <f>IFERROR(INDEX(Salaries[O/U],MATCH(QBmatchups3[[#This Row],[Team]],Salaries[Team],0)),"")</f>
        <v>46</v>
      </c>
      <c r="N24" s="14">
        <f>IFERROR(INDEX(Salaries[Team O/U],MATCH(QBmatchups3[[#This Row],[Team]],Salaries[Team],0)),"")</f>
        <v>24.5</v>
      </c>
      <c r="O24" s="417">
        <f>IFERROR(INDEX(Salaries[Spread],MATCH(QBmatchups3[[#This Row],[Team]],Salaries[Team],0)),"")</f>
        <v>-3</v>
      </c>
      <c r="P24" s="424">
        <f>IFERROR(INDEX(QBallowed[DVP],MATCH(QBmatchups3[[#This Row],[Opp]],QBallowed[Team],0)),IFERROR(INDEX(QBallowed[DVP],MATCH(QBmatchups3[[#This Row],[Opp]],QBallowed[OPP],0)),""))</f>
        <v>11</v>
      </c>
      <c r="Q24" s="431">
        <f>AVERAGE(QBmatchups3[[#This Row],[Att1]:[Atta]])</f>
        <v>29.998333333333335</v>
      </c>
      <c r="R24" s="32">
        <f>AVERAGE(QBmatchups3[[#This Row],[Comp1]:[Compa]])</f>
        <v>18.727</v>
      </c>
      <c r="S24" s="18">
        <f>SUM(QBmatchups3[[#This Row],[Comp]]/QBmatchups3[[#This Row],[Attempts]])</f>
        <v>0.62426801488971606</v>
      </c>
      <c r="T24" s="32">
        <f>AVERAGE(QBmatchups3[[#This Row],[Yards1]:[Yardsa]])</f>
        <v>223.78666666666666</v>
      </c>
      <c r="U24" s="19">
        <f>SUM(QBmatchups3[[#This Row],[Yards]]/QBmatchups3[[#This Row],[Attempts]])</f>
        <v>7.4599699983332401</v>
      </c>
      <c r="V24" s="32">
        <f>AVERAGE(QBmatchups3[[#This Row],[TD1]:[Tda]])</f>
        <v>1.5756666666666665</v>
      </c>
      <c r="W24" s="32">
        <f>AVERAGE(QBmatchups3[[#This Row],[INT1]:[INTa]])</f>
        <v>0.78249999999999997</v>
      </c>
      <c r="X24" s="19">
        <f>AVERAGE(QBmatchups3[[#This Row],[RushAtt1]:[RushAtta]])</f>
        <v>3.9224999999999999</v>
      </c>
      <c r="Y24" s="32">
        <f>AVERAGE(QBmatchups3[[#This Row],[RushYards1]:[RushYardsa]])</f>
        <v>20.844999999999999</v>
      </c>
      <c r="Z24" s="32">
        <f>AVERAGE(QBmatchups3[[#This Row],[RushTD1]:[RushTDa]])</f>
        <v>0.19550000000000001</v>
      </c>
      <c r="AA24" s="8">
        <f>_xlfn.RANK.EQ(QBmatchups3[[#This Row],[Projection]],QBmatchups3[Projection],0)</f>
        <v>14</v>
      </c>
      <c r="AB24" s="45">
        <f>SUM(QBmatchups3[[#This Row],[Yards]]*0.04)+(QBmatchups3[[#This Row],[Pass TD]]*4)+(QBmatchups3[[#This Row],[RushYards]]*0.1)+(QBmatchups3[[#This Row],[RushTD]]*6)+(QBmatchups3[[#This Row],[INT]]*-1)+(QBmatchups3[[#This Row],[300+]])</f>
        <v>17.72913333333333</v>
      </c>
      <c r="AC24" s="433">
        <f>_xlfn.RANK.EQ(QBmatchups3[[#This Row],[$/FP]],QBmatchups3[$/FP],1)</f>
        <v>8</v>
      </c>
      <c r="AD24" s="427">
        <f>SUM(QBmatchups3[[#This Row],[Salary]]/QBmatchups3[[#This Row],[Projection]])</f>
        <v>321.50471728266473</v>
      </c>
      <c r="AE24" s="316">
        <f>_xlfn.RANK.EQ(QBmatchups3[[#This Row],[Average]],QBmatchups3[Average],1)</f>
        <v>9</v>
      </c>
      <c r="AF24" s="316">
        <f>AVERAGE(QBmatchups3[[#This Row],[Proj Rank]],QBmatchups3[[#This Row],[Value Rank]])</f>
        <v>11</v>
      </c>
      <c r="AG24" s="214">
        <f>QBmatchups3[[#This Row],[Salary]]/50000</f>
        <v>0.114</v>
      </c>
      <c r="AH24" s="214"/>
      <c r="AI24" s="32">
        <f>IFERROR(INDEX(QBstats1[Pass Att],MATCH(QBmatchups3[[#This Row],[Name]],QBstats1[Player],0)),"0")</f>
        <v>33.695</v>
      </c>
      <c r="AJ24" s="32">
        <f>IFERROR(INDEX(QBstats2[PassAtt],MATCH(QBmatchups3[[#This Row],[Name]],QBstats2[Player],0)),"0")</f>
        <v>27.6</v>
      </c>
      <c r="AK24" s="45">
        <f>IFERROR(INDEX(QBstats3[PassAtt],MATCH(QBmatchups3[[#This Row],[Name]],QBstats3[Player],0)),"0")</f>
        <v>28.7</v>
      </c>
      <c r="AL24" s="32" t="str">
        <f>IFERROR(INDEX(QBallowed[Att],MATCH(QBmatchups3[[#This Row],[Opp]],QBallowed[Team],0)),"0")</f>
        <v>0</v>
      </c>
      <c r="AM24" s="32">
        <f>IFERROR(INDEX(QBstats1[Pass Comp],MATCH(QBmatchups3[[#This Row],[Name]],QBstats1[Player],0)),"0")</f>
        <v>21.081</v>
      </c>
      <c r="AN24" s="14">
        <f>IFERROR(INDEX(QBstats2[PassComp],MATCH(QBmatchups3[[#This Row],[Name]],QBstats2[Player],0)),"0")</f>
        <v>16.5</v>
      </c>
      <c r="AO24" s="14">
        <f>IFERROR(INDEX(QBstats3[PassComp],MATCH(QBmatchups3[[#This Row],[Name]],QBstats3[Player],0)),"0")</f>
        <v>18.600000000000001</v>
      </c>
      <c r="AP24" s="32" t="str">
        <f>IFERROR(INDEX(QBallowed[Cmp],MATCH(QBmatchups3[[#This Row],[Opp]],QBallowed[Team],0)),"0")</f>
        <v>0</v>
      </c>
      <c r="AQ24" s="32">
        <f>IFERROR(INDEX(QBstats1[Pass Yds],MATCH(QBmatchups3[[#This Row],[Name]],QBstats1[Player],0)),"0")</f>
        <v>243.06</v>
      </c>
      <c r="AR24" s="14">
        <f>IFERROR(INDEX(QBstats2[PassYards],MATCH(QBmatchups3[[#This Row],[Name]],QBstats2[Player],0)),"0")</f>
        <v>205.9</v>
      </c>
      <c r="AS24" s="14">
        <f>IFERROR(INDEX(QBstats3[PassYards],MATCH(QBmatchups3[[#This Row],[Name]],QBstats3[Player],0)),"0")</f>
        <v>222.4</v>
      </c>
      <c r="AT24" s="32" t="str">
        <f>IFERROR(INDEX(QBallowed[Yards],MATCH(QBmatchups3[[#This Row],[Opp]],QBallowed[Team],0)),"0")</f>
        <v>0</v>
      </c>
      <c r="AU24" s="32">
        <f>IFERROR(INDEX(QBstats1[Pass TD],MATCH(QBmatchups3[[#This Row],[Name]],QBstats1[Player],0)),"0")</f>
        <v>1.5269999999999999</v>
      </c>
      <c r="AV24" s="14">
        <f>IFERROR(INDEX(QBstats2[PassTD],MATCH(QBmatchups3[[#This Row],[Name]],QBstats2[Player],0)),"0")</f>
        <v>1.4</v>
      </c>
      <c r="AW24" s="14">
        <f>IFERROR(INDEX(QBstats3[PassTD],MATCH(QBmatchups3[[#This Row],[Name]],QBstats3[Player],0)),"0")</f>
        <v>1.8</v>
      </c>
      <c r="AX24" s="32" t="str">
        <f>IFERROR(INDEX(QBallowed[TD],MATCH(QBmatchups3[[#This Row],[Opp]],QBallowed[Team],0)),"0")</f>
        <v>0</v>
      </c>
      <c r="AY24" s="32">
        <f>IFERROR(INDEX(QBstats1[INT],MATCH(QBmatchups3[[#This Row],[Name]],QBstats1[Player],0)),"0")</f>
        <v>0.86499999999999999</v>
      </c>
      <c r="AZ24" s="14" t="str">
        <f>IFERROR(INDEX(QBstats2[Int],MATCH(QBmatchups3[[#This Row],[Name]],QBstats2[Player],0)),"0")</f>
        <v>0.6</v>
      </c>
      <c r="BA24" s="14">
        <f>IFERROR(INDEX(QBstats3[INT],MATCH(QBmatchups3[[#This Row],[Name]],QBstats3[Player],0)),"0")</f>
        <v>0.7</v>
      </c>
      <c r="BB24" s="32" t="str">
        <f>IFERROR(INDEX(QBallowed[INT],MATCH(QBmatchups3[[#This Row],[Opp]],QBallowed[Team],0)),"0")</f>
        <v>0</v>
      </c>
      <c r="BC24" s="32">
        <f>IFERROR(INDEX(QBstats1[Rush Att],MATCH(QBmatchups3[[#This Row],[Name]],QBstats1[Player],0)),"0")</f>
        <v>3.2450000000000001</v>
      </c>
      <c r="BD24" s="14">
        <f>IFERROR(INDEX(QBstats3[Rush Att],MATCH(QBmatchups3[[#This Row],[Name]],QBstats3[Player],0)),"0")</f>
        <v>4.5999999999999996</v>
      </c>
      <c r="BE24" s="14" t="str">
        <f>IFERROR(INDEX(QBallowed[RushAtt],MATCH(QBmatchups3[[#This Row],[Opp]],QBallowed[Team],0)),"0")</f>
        <v>0</v>
      </c>
      <c r="BF24" s="32">
        <f>IFERROR(INDEX(QBstats1[Rush Yds],MATCH(QBmatchups3[[#This Row],[Name]],QBstats1[Player],0)),"0")</f>
        <v>17.635000000000002</v>
      </c>
      <c r="BG24" s="14">
        <f>IFERROR(INDEX(QBstats2[RushYards],MATCH(QBmatchups3[[#This Row],[Name]],QBstats2[Player],0)),"0")</f>
        <v>17.7</v>
      </c>
      <c r="BH24" s="14">
        <f>IFERROR(INDEX(QBstats3[RushYards],MATCH(QBmatchups3[[#This Row],[Name]],QBstats3[Player],0)),"0")</f>
        <v>27.2</v>
      </c>
      <c r="BI24" s="32" t="str">
        <f>IFERROR(INDEX(QBallowed[RushYard],MATCH(QBmatchups3[[#This Row],[Opp]],QBallowed[Team],0)),"0")</f>
        <v>0</v>
      </c>
      <c r="BJ24" s="32">
        <f>IFERROR(INDEX(QBstats1[Rush TD],MATCH(QBmatchups3[[#This Row],[Name]],QBstats1[Player],0)),"0")</f>
        <v>0.29099999999999998</v>
      </c>
      <c r="BK24" s="14" t="str">
        <f>IFERROR(INDEX(QBstats2[RushTD],MATCH(QBmatchups3[[#This Row],[Name]],QBstats2[Player],0)),"0")</f>
        <v>0.2</v>
      </c>
      <c r="BL24" s="14">
        <f>IFERROR(INDEX(QBstats3[RushTD],MATCH(QBmatchups3[[#This Row],[Name]],QBstats3[Player],0)),"0")</f>
        <v>0.1</v>
      </c>
      <c r="BM24" s="32" t="str">
        <f>IFERROR(INDEX(QBallowed[RushTD],MATCH(QBmatchups3[[#This Row],[Opp]],QBallowed[Team],0)),"0")</f>
        <v>0</v>
      </c>
      <c r="BN24" s="266">
        <f>IF(QBmatchups3[[#This Row],[Yards]]&gt;=300,3,0)</f>
        <v>0</v>
      </c>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row>
    <row r="25" spans="1:93" x14ac:dyDescent="0.3">
      <c r="A25" s="37">
        <f>QBstats1!AL19</f>
        <v>16.899999999999999</v>
      </c>
      <c r="B25" s="34" t="str">
        <f>QBstats1!D19</f>
        <v>Jameis Winston</v>
      </c>
      <c r="C25" s="172">
        <f>IFERROR(INDEX(Salaries[DraftKings (Price)],MATCH(QBmatchups3[[#This Row],[Name]],Salaries[Player],0)),"")</f>
        <v>5400</v>
      </c>
      <c r="D25" s="172">
        <f>IFERROR(INDEX(DK_Salary_Changes[WeekChange],MATCH(QBmatchups3[[#This Row],[Name]],DK_Salary_Changes[Player],0)),"")</f>
        <v>-600</v>
      </c>
      <c r="E25" s="14" t="str">
        <f>IFERROR(INDEX(Salaries[Team],MATCH(QBmatchups3[[#This Row],[Name]],Salaries[Player],0)),"")</f>
        <v>TB</v>
      </c>
      <c r="F25" s="14" t="str">
        <f>IFERROR(INDEX(Salaries[Opp],MATCH(QBmatchups3[[#This Row],[Team]],Salaries[Team],0)),"")</f>
        <v>DEN</v>
      </c>
      <c r="G25" s="405">
        <f>IFERROR(INDEX(QBYTD[Att],MATCH(QBmatchups3[Name],QBYTD[Player],0)),"")</f>
        <v>143</v>
      </c>
      <c r="H25" s="406">
        <f>IFERROR(INDEX(QBYTD[%],MATCH(QBmatchups3[Name],QBYTD[Player],0)),"")</f>
        <v>0.60099999999999998</v>
      </c>
      <c r="I25" s="407">
        <f>IFERROR(INDEX(QBYTD[Pass Yds],MATCH(QBmatchups3[Name],QBYTD[Player],0)),"")</f>
        <v>929</v>
      </c>
      <c r="J25" s="407">
        <f>IFERROR(INDEX(QBYTD[Pass TD],MATCH(QBmatchups3[Name],QBYTD[Player],0)),"")</f>
        <v>8</v>
      </c>
      <c r="K25" s="407">
        <f>IFERROR(INDEX(QBYTD[Rush Yds],MATCH(QBmatchups3[Name],QBYTD[Player],0)),"")</f>
        <v>25</v>
      </c>
      <c r="L25" s="408">
        <f>IFERROR(INDEX(QBYTD[Rush TD],MATCH(QBmatchups3[Name],QBYTD[Player],0)),"")</f>
        <v>0</v>
      </c>
      <c r="M25" s="416">
        <f>IFERROR(INDEX(Salaries[O/U],MATCH(QBmatchups3[[#This Row],[Team]],Salaries[Team],0)),"")</f>
        <v>44</v>
      </c>
      <c r="N25" s="14">
        <f>IFERROR(INDEX(Salaries[Team O/U],MATCH(QBmatchups3[[#This Row],[Team]],Salaries[Team],0)),"")</f>
        <v>20.5</v>
      </c>
      <c r="O25" s="417">
        <f>IFERROR(INDEX(Salaries[Spread],MATCH(QBmatchups3[[#This Row],[Team]],Salaries[Team],0)),"")</f>
        <v>3</v>
      </c>
      <c r="P25" s="424">
        <f>IFERROR(INDEX(QBallowed[DVP],MATCH(QBmatchups3[[#This Row],[Opp]],QBallowed[Team],0)),IFERROR(INDEX(QBallowed[DVP],MATCH(QBmatchups3[[#This Row],[Opp]],QBallowed[OPP],0)),""))</f>
        <v>1</v>
      </c>
      <c r="Q25" s="431">
        <f>AVERAGE(QBmatchups3[[#This Row],[Att1]:[Atta]])</f>
        <v>35.482875</v>
      </c>
      <c r="R25" s="32">
        <f>AVERAGE(QBmatchups3[[#This Row],[Comp1]:[Compa]])</f>
        <v>21.054749999999999</v>
      </c>
      <c r="S25" s="18">
        <f>SUM(QBmatchups3[[#This Row],[Comp]]/QBmatchups3[[#This Row],[Attempts]])</f>
        <v>0.59337779139937219</v>
      </c>
      <c r="T25" s="32">
        <f>AVERAGE(QBmatchups3[[#This Row],[Yards1]:[Yardsa]])</f>
        <v>243.04475000000002</v>
      </c>
      <c r="U25" s="19">
        <f>SUM(QBmatchups3[[#This Row],[Yards]]/QBmatchups3[[#This Row],[Attempts]])</f>
        <v>6.8496352113519556</v>
      </c>
      <c r="V25" s="32">
        <f>AVERAGE(QBmatchups3[[#This Row],[TD1]:[Tda]])</f>
        <v>1.5503749999999998</v>
      </c>
      <c r="W25" s="32">
        <f>AVERAGE(QBmatchups3[[#This Row],[INT1]:[INTa]])</f>
        <v>0.93125000000000002</v>
      </c>
      <c r="X25" s="19">
        <f>AVERAGE(QBmatchups3[[#This Row],[RushAtt1]:[RushAtta]])</f>
        <v>3.342166666666667</v>
      </c>
      <c r="Y25" s="32">
        <f>AVERAGE(QBmatchups3[[#This Row],[RushYards1]:[RushYardsa]])</f>
        <v>13.76275</v>
      </c>
      <c r="Z25" s="32">
        <f>AVERAGE(QBmatchups3[[#This Row],[RushTD1]:[RushTDa]])</f>
        <v>0.15683333333333335</v>
      </c>
      <c r="AA25" s="8">
        <f>_xlfn.RANK.EQ(QBmatchups3[[#This Row],[Projection]],QBmatchups3[Projection],0)</f>
        <v>15</v>
      </c>
      <c r="AB25" s="45">
        <f>SUM(QBmatchups3[[#This Row],[Yards]]*0.04)+(QBmatchups3[[#This Row],[Pass TD]]*4)+(QBmatchups3[[#This Row],[RushYards]]*0.1)+(QBmatchups3[[#This Row],[RushTD]]*6)+(QBmatchups3[[#This Row],[INT]]*-1)+(QBmatchups3[[#This Row],[300+]])</f>
        <v>17.309315000000002</v>
      </c>
      <c r="AC25" s="433">
        <f>_xlfn.RANK.EQ(QBmatchups3[[#This Row],[$/FP]],QBmatchups3[$/FP],1)</f>
        <v>4</v>
      </c>
      <c r="AD25" s="427">
        <f>SUM(QBmatchups3[[#This Row],[Salary]]/QBmatchups3[[#This Row],[Projection]])</f>
        <v>311.97075100892204</v>
      </c>
      <c r="AE25" s="316">
        <f>_xlfn.RANK.EQ(QBmatchups3[[#This Row],[Average]],QBmatchups3[Average],1)</f>
        <v>6</v>
      </c>
      <c r="AF25" s="316">
        <f>AVERAGE(QBmatchups3[[#This Row],[Proj Rank]],QBmatchups3[[#This Row],[Value Rank]])</f>
        <v>9.5</v>
      </c>
      <c r="AG25" s="214">
        <f>QBmatchups3[[#This Row],[Salary]]/50000</f>
        <v>0.108</v>
      </c>
      <c r="AH25" s="214"/>
      <c r="AI25" s="32">
        <f>IFERROR(INDEX(QBstats1[Pass Att],MATCH(QBmatchups3[[#This Row],[Name]],QBstats1[Player],0)),"0")</f>
        <v>38.494</v>
      </c>
      <c r="AJ25" s="32">
        <f>IFERROR(INDEX(QBstats2[PassAtt],MATCH(QBmatchups3[[#This Row],[Name]],QBstats2[Player],0)),"0")</f>
        <v>37.700000000000003</v>
      </c>
      <c r="AK25" s="45">
        <f>IFERROR(INDEX(QBstats3[PassAtt],MATCH(QBmatchups3[[#This Row],[Name]],QBstats3[Player],0)),"0")</f>
        <v>33.799999999999997</v>
      </c>
      <c r="AL25" s="32">
        <f>IFERROR(INDEX(QBallowed[Att],MATCH(QBmatchups3[[#This Row],[Opp]],QBallowed[Team],0)),"0")</f>
        <v>31.9375</v>
      </c>
      <c r="AM25" s="32">
        <f>IFERROR(INDEX(QBstats1[Pass Comp],MATCH(QBmatchups3[[#This Row],[Name]],QBstats1[Player],0)),"0")</f>
        <v>22.893999999999998</v>
      </c>
      <c r="AN25" s="14">
        <f>IFERROR(INDEX(QBstats2[PassComp],MATCH(QBmatchups3[[#This Row],[Name]],QBstats2[Player],0)),"0")</f>
        <v>21.8</v>
      </c>
      <c r="AO25" s="14">
        <f>IFERROR(INDEX(QBstats3[PassComp],MATCH(QBmatchups3[[#This Row],[Name]],QBstats3[Player],0)),"0")</f>
        <v>19.399999999999999</v>
      </c>
      <c r="AP25" s="32">
        <f>IFERROR(INDEX(QBallowed[Cmp],MATCH(QBmatchups3[[#This Row],[Opp]],QBallowed[Team],0)),"0")</f>
        <v>20.125</v>
      </c>
      <c r="AQ25" s="32">
        <f>IFERROR(INDEX(QBstats1[Pass Yds],MATCH(QBmatchups3[[#This Row],[Name]],QBstats1[Player],0)),"0")</f>
        <v>254.20400000000001</v>
      </c>
      <c r="AR25" s="14">
        <f>IFERROR(INDEX(QBstats2[PassYards],MATCH(QBmatchups3[[#This Row],[Name]],QBstats2[Player],0)),"0")</f>
        <v>240.9</v>
      </c>
      <c r="AS25" s="14">
        <f>IFERROR(INDEX(QBstats3[PassYards],MATCH(QBmatchups3[[#This Row],[Name]],QBstats3[Player],0)),"0")</f>
        <v>237.7</v>
      </c>
      <c r="AT25" s="32">
        <f>IFERROR(INDEX(QBallowed[Yards],MATCH(QBmatchups3[[#This Row],[Opp]],QBallowed[Team],0)),"0")</f>
        <v>239.375</v>
      </c>
      <c r="AU25" s="32">
        <f>IFERROR(INDEX(QBstats1[Pass TD],MATCH(QBmatchups3[[#This Row],[Name]],QBstats1[Player],0)),"0")</f>
        <v>1.5640000000000001</v>
      </c>
      <c r="AV25" s="14">
        <f>IFERROR(INDEX(QBstats2[PassTD],MATCH(QBmatchups3[[#This Row],[Name]],QBstats2[Player],0)),"0")</f>
        <v>1.3</v>
      </c>
      <c r="AW25" s="14">
        <f>IFERROR(INDEX(QBstats3[PassTD],MATCH(QBmatchups3[[#This Row],[Name]],QBstats3[Player],0)),"0")</f>
        <v>1.4</v>
      </c>
      <c r="AX25" s="32">
        <f>IFERROR(INDEX(QBallowed[TD],MATCH(QBmatchups3[[#This Row],[Opp]],QBallowed[Team],0)),"0")</f>
        <v>1.9375</v>
      </c>
      <c r="AY25" s="32">
        <f>IFERROR(INDEX(QBstats1[INT],MATCH(QBmatchups3[[#This Row],[Name]],QBstats1[Player],0)),"0")</f>
        <v>1.125</v>
      </c>
      <c r="AZ25" s="14">
        <f>IFERROR(INDEX(QBstats2[Int],MATCH(QBmatchups3[[#This Row],[Name]],QBstats2[Player],0)),"0")</f>
        <v>1.2</v>
      </c>
      <c r="BA25" s="14">
        <f>IFERROR(INDEX(QBstats3[INT],MATCH(QBmatchups3[[#This Row],[Name]],QBstats3[Player],0)),"0")</f>
        <v>0.9</v>
      </c>
      <c r="BB25" s="32">
        <f>IFERROR(INDEX(QBallowed[INT],MATCH(QBmatchups3[[#This Row],[Opp]],QBallowed[Team],0)),"0")</f>
        <v>0.5</v>
      </c>
      <c r="BC25" s="32">
        <f>IFERROR(INDEX(QBstats1[Rush Att],MATCH(QBmatchups3[[#This Row],[Name]],QBstats1[Player],0)),"0")</f>
        <v>3.0640000000000001</v>
      </c>
      <c r="BD25" s="14">
        <f>IFERROR(INDEX(QBstats3[Rush Att],MATCH(QBmatchups3[[#This Row],[Name]],QBstats3[Player],0)),"0")</f>
        <v>3.4</v>
      </c>
      <c r="BE25" s="14">
        <f>IFERROR(INDEX(QBallowed[RushAtt],MATCH(QBmatchups3[[#This Row],[Opp]],QBallowed[Team],0)),"0")</f>
        <v>3.5625</v>
      </c>
      <c r="BF25" s="32">
        <f>IFERROR(INDEX(QBstats1[Rush Yds],MATCH(QBmatchups3[[#This Row],[Name]],QBstats1[Player],0)),"0")</f>
        <v>9.7759999999999998</v>
      </c>
      <c r="BG25" s="14">
        <f>IFERROR(INDEX(QBstats2[RushYards],MATCH(QBmatchups3[[#This Row],[Name]],QBstats2[Player],0)),"0")</f>
        <v>13.7</v>
      </c>
      <c r="BH25" s="14">
        <f>IFERROR(INDEX(QBstats3[RushYards],MATCH(QBmatchups3[[#This Row],[Name]],QBstats3[Player],0)),"0")</f>
        <v>12.7</v>
      </c>
      <c r="BI25" s="32">
        <f>IFERROR(INDEX(QBallowed[RushYard],MATCH(QBmatchups3[[#This Row],[Opp]],QBallowed[Team],0)),"0")</f>
        <v>18.875</v>
      </c>
      <c r="BJ25" s="32">
        <f>IFERROR(INDEX(QBstats1[Rush TD],MATCH(QBmatchups3[[#This Row],[Name]],QBstats1[Player],0)),"0")</f>
        <v>0.183</v>
      </c>
      <c r="BK25" s="14" t="str">
        <f>IFERROR(INDEX(QBstats2[RushTD],MATCH(QBmatchups3[[#This Row],[Name]],QBstats2[Player],0)),"0")</f>
        <v>0.1</v>
      </c>
      <c r="BL25" s="14">
        <f>IFERROR(INDEX(QBstats3[RushTD],MATCH(QBmatchups3[[#This Row],[Name]],QBstats3[Player],0)),"0")</f>
        <v>0.1</v>
      </c>
      <c r="BM25" s="32">
        <f>IFERROR(INDEX(QBallowed[RushTD],MATCH(QBmatchups3[[#This Row],[Opp]],QBallowed[Team],0)),"0")</f>
        <v>0.1875</v>
      </c>
      <c r="BN25" s="266">
        <f>IF(QBmatchups3[[#This Row],[Yards]]&gt;=300,3,0)</f>
        <v>0</v>
      </c>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row>
    <row r="26" spans="1:93" x14ac:dyDescent="0.3">
      <c r="A26" s="37">
        <f>QBstats1!AL13</f>
        <v>18.3</v>
      </c>
      <c r="B26" s="127" t="str">
        <f>QBstats1!D13</f>
        <v>Joe Flacco</v>
      </c>
      <c r="C26" s="172">
        <f>IFERROR(INDEX(Salaries[DraftKings (Price)],MATCH(QBmatchups3[[#This Row],[Name]],Salaries[Player],0)),"")</f>
        <v>5900</v>
      </c>
      <c r="D26" s="172">
        <f>IFERROR(INDEX(DK_Salary_Changes[WeekChange],MATCH(QBmatchups3[[#This Row],[Name]],DK_Salary_Changes[Player],0)),"")</f>
        <v>-200</v>
      </c>
      <c r="E26" s="237" t="str">
        <f>IFERROR(INDEX(Salaries[Team],MATCH(QBmatchups3[[#This Row],[Name]],Salaries[Player],0)),"")</f>
        <v>BAL</v>
      </c>
      <c r="F26" s="14" t="str">
        <f>IFERROR(INDEX(Salaries[Opp],MATCH(QBmatchups3[[#This Row],[Team]],Salaries[Team],0)),"")</f>
        <v>OAK</v>
      </c>
      <c r="G26" s="405">
        <f>IFERROR(INDEX(QBYTD[Att],MATCH(QBmatchups3[Name],QBYTD[Player],0)),"")</f>
        <v>119</v>
      </c>
      <c r="H26" s="406">
        <f>IFERROR(INDEX(QBYTD[%],MATCH(QBmatchups3[Name],QBYTD[Player],0)),"")</f>
        <v>0.64700000000000002</v>
      </c>
      <c r="I26" s="407">
        <f>IFERROR(INDEX(QBYTD[Pass Yds],MATCH(QBmatchups3[Name],QBYTD[Player],0)),"")</f>
        <v>774</v>
      </c>
      <c r="J26" s="407">
        <f>IFERROR(INDEX(QBYTD[Pass TD],MATCH(QBmatchups3[Name],QBYTD[Player],0)),"")</f>
        <v>3</v>
      </c>
      <c r="K26" s="407">
        <f>IFERROR(INDEX(QBYTD[Rush Yds],MATCH(QBmatchups3[Name],QBYTD[Player],0)),"")</f>
        <v>10</v>
      </c>
      <c r="L26" s="408">
        <f>IFERROR(INDEX(QBYTD[Rush TD],MATCH(QBmatchups3[Name],QBYTD[Player],0)),"")</f>
        <v>1</v>
      </c>
      <c r="M26" s="416">
        <f>IFERROR(INDEX(Salaries[O/U],MATCH(QBmatchups3[[#This Row],[Team]],Salaries[Team],0)),"")</f>
        <v>46.5</v>
      </c>
      <c r="N26" s="14">
        <f>IFERROR(INDEX(Salaries[Team O/U],MATCH(QBmatchups3[[#This Row],[Team]],Salaries[Team],0)),"")</f>
        <v>25</v>
      </c>
      <c r="O26" s="417">
        <f>IFERROR(INDEX(Salaries[Spread],MATCH(QBmatchups3[[#This Row],[Team]],Salaries[Team],0)),"")</f>
        <v>-3.5</v>
      </c>
      <c r="P26" s="424">
        <f>IFERROR(INDEX(QBallowed[DVP],MATCH(QBmatchups3[[#This Row],[Opp]],QBallowed[Team],0)),IFERROR(INDEX(QBallowed[DVP],MATCH(QBmatchups3[[#This Row],[Opp]],QBallowed[OPP],0)),""))</f>
        <v>20</v>
      </c>
      <c r="Q26" s="431">
        <f>AVERAGE(QBmatchups3[[#This Row],[Att1]:[Atta]])</f>
        <v>40.360750000000003</v>
      </c>
      <c r="R26" s="32">
        <f>AVERAGE(QBmatchups3[[#This Row],[Comp1]:[Compa]])</f>
        <v>24.984499999999997</v>
      </c>
      <c r="S26" s="18">
        <f>SUM(QBmatchups3[[#This Row],[Comp]]/QBmatchups3[[#This Row],[Attempts]])</f>
        <v>0.61902962655550242</v>
      </c>
      <c r="T26" s="32">
        <f>AVERAGE(QBmatchups3[[#This Row],[Yards1]:[Yardsa]])</f>
        <v>273.11824999999999</v>
      </c>
      <c r="U26" s="19">
        <f>SUM(QBmatchups3[[#This Row],[Yards]]/QBmatchups3[[#This Row],[Attempts]])</f>
        <v>6.7669270268763579</v>
      </c>
      <c r="V26" s="32">
        <f>AVERAGE(QBmatchups3[[#This Row],[TD1]:[Tda]])</f>
        <v>1.614125</v>
      </c>
      <c r="W26" s="32">
        <f>AVERAGE(QBmatchups3[[#This Row],[INT1]:[INTa]])</f>
        <v>1.1910000000000001</v>
      </c>
      <c r="X26" s="19">
        <f>AVERAGE(QBmatchups3[[#This Row],[RushAtt1]:[RushAtta]])</f>
        <v>1.6506666666666667</v>
      </c>
      <c r="Y26" s="129">
        <f>AVERAGE(QBmatchups3[[#This Row],[RushYards1]:[RushYardsa]])</f>
        <v>5.8103749999999996</v>
      </c>
      <c r="Z26" s="32">
        <f>AVERAGE(QBmatchups3[[#This Row],[RushTD1]:[RushTDa]])</f>
        <v>8.3333333333333329E-2</v>
      </c>
      <c r="AA26" s="8">
        <f>_xlfn.RANK.EQ(QBmatchups3[[#This Row],[Projection]],QBmatchups3[Projection],0)</f>
        <v>16</v>
      </c>
      <c r="AB26" s="45">
        <f>SUM(QBmatchups3[[#This Row],[Yards]]*0.04)+(QBmatchups3[[#This Row],[Pass TD]]*4)+(QBmatchups3[[#This Row],[RushYards]]*0.1)+(QBmatchups3[[#This Row],[RushTD]]*6)+(QBmatchups3[[#This Row],[INT]]*-1)+(QBmatchups3[[#This Row],[300+]])</f>
        <v>17.271267500000004</v>
      </c>
      <c r="AC26" s="433">
        <f>_xlfn.RANK.EQ(QBmatchups3[[#This Row],[$/FP]],QBmatchups3[$/FP],1)</f>
        <v>17</v>
      </c>
      <c r="AD26" s="427">
        <f>SUM(QBmatchups3[[#This Row],[Salary]]/QBmatchups3[[#This Row],[Projection]])</f>
        <v>341.60781772385837</v>
      </c>
      <c r="AE26" s="316">
        <f>_xlfn.RANK.EQ(QBmatchups3[[#This Row],[Average]],QBmatchups3[Average],1)</f>
        <v>18</v>
      </c>
      <c r="AF26" s="316">
        <f>AVERAGE(QBmatchups3[[#This Row],[Proj Rank]],QBmatchups3[[#This Row],[Value Rank]])</f>
        <v>16.5</v>
      </c>
      <c r="AG26" s="214">
        <f>QBmatchups3[[#This Row],[Salary]]/50000</f>
        <v>0.11799999999999999</v>
      </c>
      <c r="AH26" s="214"/>
      <c r="AI26" s="32">
        <f>IFERROR(INDEX(QBstats1[Pass Att],MATCH(QBmatchups3[[#This Row],[Name]],QBstats1[Player],0)),"0")</f>
        <v>37.718000000000004</v>
      </c>
      <c r="AJ26" s="32">
        <f>IFERROR(INDEX(QBstats2[PassAtt],MATCH(QBmatchups3[[#This Row],[Name]],QBstats2[Player],0)),"0")</f>
        <v>42.5</v>
      </c>
      <c r="AK26" s="130">
        <f>IFERROR(INDEX(QBstats3[PassAtt],MATCH(QBmatchups3[[#This Row],[Name]],QBstats3[Player],0)),"0")</f>
        <v>40.6</v>
      </c>
      <c r="AL26" s="32">
        <f>IFERROR(INDEX(QBallowed[Att],MATCH(QBmatchups3[[#This Row],[Opp]],QBallowed[Team],0)),"0")</f>
        <v>40.625</v>
      </c>
      <c r="AM26" s="32">
        <f>IFERROR(INDEX(QBstats1[Pass Comp],MATCH(QBmatchups3[[#This Row],[Name]],QBstats1[Player],0)),"0")</f>
        <v>24.663</v>
      </c>
      <c r="AN26" s="32">
        <f>IFERROR(INDEX(QBstats2[PassComp],MATCH(QBmatchups3[[#This Row],[Name]],QBstats2[Player],0)),"0")</f>
        <v>26</v>
      </c>
      <c r="AO26" s="32">
        <f>IFERROR(INDEX(QBstats3[PassComp],MATCH(QBmatchups3[[#This Row],[Name]],QBstats3[Player],0)),"0")</f>
        <v>24.9</v>
      </c>
      <c r="AP26" s="32">
        <f>IFERROR(INDEX(QBallowed[Cmp],MATCH(QBmatchups3[[#This Row],[Opp]],QBallowed[Team],0)),"0")</f>
        <v>24.375</v>
      </c>
      <c r="AQ26" s="32">
        <f>IFERROR(INDEX(QBstats1[Pass Yds],MATCH(QBmatchups3[[#This Row],[Name]],QBstats1[Player],0)),"0")</f>
        <v>282.423</v>
      </c>
      <c r="AR26" s="32">
        <f>IFERROR(INDEX(QBstats2[PassYards],MATCH(QBmatchups3[[#This Row],[Name]],QBstats2[Player],0)),"0")</f>
        <v>281.7</v>
      </c>
      <c r="AS26" s="32">
        <f>IFERROR(INDEX(QBstats3[PassYards],MATCH(QBmatchups3[[#This Row],[Name]],QBstats3[Player],0)),"0")</f>
        <v>275.10000000000002</v>
      </c>
      <c r="AT26" s="32">
        <f>IFERROR(INDEX(QBallowed[Yards],MATCH(QBmatchups3[[#This Row],[Opp]],QBallowed[Team],0)),"0")</f>
        <v>253.25</v>
      </c>
      <c r="AU26" s="32">
        <f>IFERROR(INDEX(QBstats1[Pass TD],MATCH(QBmatchups3[[#This Row],[Name]],QBstats1[Player],0)),"0")</f>
        <v>1.8440000000000001</v>
      </c>
      <c r="AV26" s="32">
        <f>IFERROR(INDEX(QBstats2[PassTD],MATCH(QBmatchups3[[#This Row],[Name]],QBstats2[Player],0)),"0")</f>
        <v>1.6</v>
      </c>
      <c r="AW26" s="32">
        <f>IFERROR(INDEX(QBstats3[PassTD],MATCH(QBmatchups3[[#This Row],[Name]],QBstats3[Player],0)),"0")</f>
        <v>1.7</v>
      </c>
      <c r="AX26" s="32">
        <f>IFERROR(INDEX(QBallowed[TD],MATCH(QBmatchups3[[#This Row],[Opp]],QBallowed[Team],0)),"0")</f>
        <v>1.3125</v>
      </c>
      <c r="AY26" s="32">
        <f>IFERROR(INDEX(QBstats1[INT],MATCH(QBmatchups3[[#This Row],[Name]],QBstats1[Player],0)),"0")</f>
        <v>0.97299999999999998</v>
      </c>
      <c r="AZ26" s="32" t="str">
        <f>IFERROR(INDEX(QBstats2[Int],MATCH(QBmatchups3[[#This Row],[Name]],QBstats2[Player],0)),"0")</f>
        <v>0.9</v>
      </c>
      <c r="BA26" s="32">
        <f>IFERROR(INDEX(QBstats3[INT],MATCH(QBmatchups3[[#This Row],[Name]],QBstats3[Player],0)),"0")</f>
        <v>1.1000000000000001</v>
      </c>
      <c r="BB26" s="32">
        <f>IFERROR(INDEX(QBallowed[INT],MATCH(QBmatchups3[[#This Row],[Opp]],QBallowed[Team],0)),"0")</f>
        <v>1.5</v>
      </c>
      <c r="BC26" s="32">
        <f>IFERROR(INDEX(QBstats1[Rush Att],MATCH(QBmatchups3[[#This Row],[Name]],QBstats1[Player],0)),"0")</f>
        <v>0.82699999999999996</v>
      </c>
      <c r="BD26" s="32">
        <f>IFERROR(INDEX(QBstats3[Rush Att],MATCH(QBmatchups3[[#This Row],[Name]],QBstats3[Player],0)),"0")</f>
        <v>1</v>
      </c>
      <c r="BE26" s="32">
        <f>IFERROR(INDEX(QBallowed[RushAtt],MATCH(QBmatchups3[[#This Row],[Opp]],QBallowed[Team],0)),"0")</f>
        <v>3.125</v>
      </c>
      <c r="BF26" s="32">
        <f>IFERROR(INDEX(QBstats1[Rush Yds],MATCH(QBmatchups3[[#This Row],[Name]],QBstats1[Player],0)),"0")</f>
        <v>2.254</v>
      </c>
      <c r="BG26" s="32">
        <f>IFERROR(INDEX(QBstats2[RushYards],MATCH(QBmatchups3[[#This Row],[Name]],QBstats2[Player],0)),"0")</f>
        <v>4.5999999999999996</v>
      </c>
      <c r="BH26" s="32">
        <f>IFERROR(INDEX(QBstats3[RushYards],MATCH(QBmatchups3[[#This Row],[Name]],QBstats3[Player],0)),"0")</f>
        <v>2.2000000000000002</v>
      </c>
      <c r="BI26" s="32">
        <f>IFERROR(INDEX(QBallowed[RushYard],MATCH(QBmatchups3[[#This Row],[Opp]],QBallowed[Team],0)),"0")</f>
        <v>14.1875</v>
      </c>
      <c r="BJ26" s="32">
        <f>IFERROR(INDEX(QBstats1[Rush TD],MATCH(QBmatchups3[[#This Row],[Name]],QBstats1[Player],0)),"0")</f>
        <v>0.125</v>
      </c>
      <c r="BK26" s="32" t="str">
        <f>IFERROR(INDEX(QBstats2[RushTD],MATCH(QBmatchups3[[#This Row],[Name]],QBstats2[Player],0)),"0")</f>
        <v>0</v>
      </c>
      <c r="BL26" s="32">
        <f>IFERROR(INDEX(QBstats3[RushTD],MATCH(QBmatchups3[[#This Row],[Name]],QBstats3[Player],0)),"0")</f>
        <v>0</v>
      </c>
      <c r="BM26" s="32">
        <f>IFERROR(INDEX(QBallowed[RushTD],MATCH(QBmatchups3[[#This Row],[Opp]],QBallowed[Team],0)),"0")</f>
        <v>0.125</v>
      </c>
      <c r="BN26" s="266">
        <f>IF(QBmatchups3[[#This Row],[Yards]]&gt;=300,3,0)</f>
        <v>0</v>
      </c>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row>
    <row r="27" spans="1:93" x14ac:dyDescent="0.3">
      <c r="A27" s="37">
        <f>QBstats1!AL25</f>
        <v>15.9</v>
      </c>
      <c r="B27" s="34" t="str">
        <f>QBstats1!D25</f>
        <v>Eli Manning</v>
      </c>
      <c r="C27" s="172">
        <f>IFERROR(INDEX(Salaries[DraftKings (Price)],MATCH(QBmatchups3[[#This Row],[Name]],Salaries[Player],0)),"")</f>
        <v>6100</v>
      </c>
      <c r="D27" s="172">
        <f>IFERROR(INDEX(DK_Salary_Changes[WeekChange],MATCH(QBmatchups3[[#This Row],[Name]],DK_Salary_Changes[Player],0)),"")</f>
        <v>-900</v>
      </c>
      <c r="E27" s="14" t="str">
        <f>IFERROR(INDEX(Salaries[Team],MATCH(QBmatchups3[[#This Row],[Name]],Salaries[Player],0)),"")</f>
        <v>NYG</v>
      </c>
      <c r="F27" s="14" t="str">
        <f>IFERROR(INDEX(Salaries[Opp],MATCH(QBmatchups3[[#This Row],[Team]],Salaries[Team],0)),"")</f>
        <v>@MIN</v>
      </c>
      <c r="G27" s="405">
        <f>IFERROR(INDEX(QBYTD[Att],MATCH(QBmatchups3[Name],QBYTD[Player],0)),"")</f>
        <v>107</v>
      </c>
      <c r="H27" s="406">
        <f>IFERROR(INDEX(QBYTD[%],MATCH(QBmatchups3[Name],QBYTD[Player],0)),"")</f>
        <v>0.71</v>
      </c>
      <c r="I27" s="407">
        <f>IFERROR(INDEX(QBYTD[Pass Yds],MATCH(QBmatchups3[Name],QBYTD[Player],0)),"")</f>
        <v>925</v>
      </c>
      <c r="J27" s="407">
        <f>IFERROR(INDEX(QBYTD[Pass TD],MATCH(QBmatchups3[Name],QBYTD[Player],0)),"")</f>
        <v>4</v>
      </c>
      <c r="K27" s="407">
        <f>IFERROR(INDEX(QBYTD[Rush Yds],MATCH(QBmatchups3[Name],QBYTD[Player],0)),"")</f>
        <v>-4</v>
      </c>
      <c r="L27" s="408">
        <f>IFERROR(INDEX(QBYTD[Rush TD],MATCH(QBmatchups3[Name],QBYTD[Player],0)),"")</f>
        <v>0</v>
      </c>
      <c r="M27" s="416">
        <f>IFERROR(INDEX(Salaries[O/U],MATCH(QBmatchups3[[#This Row],[Team]],Salaries[Team],0)),"")</f>
        <v>43.5</v>
      </c>
      <c r="N27" s="14">
        <f>IFERROR(INDEX(Salaries[Team O/U],MATCH(QBmatchups3[[#This Row],[Team]],Salaries[Team],0)),"")</f>
        <v>19.75</v>
      </c>
      <c r="O27" s="417">
        <f>IFERROR(INDEX(Salaries[Spread],MATCH(QBmatchups3[[#This Row],[Team]],Salaries[Team],0)),"")</f>
        <v>4</v>
      </c>
      <c r="P27" s="424">
        <f>IFERROR(INDEX(QBallowed[DVP],MATCH(QBmatchups3[[#This Row],[Opp]],QBallowed[Team],0)),IFERROR(INDEX(QBallowed[DVP],MATCH(QBmatchups3[[#This Row],[Opp]],QBallowed[OPP],0)),""))</f>
        <v>14</v>
      </c>
      <c r="Q27" s="431">
        <f>AVERAGE(QBmatchups3[[#This Row],[Att1]:[Atta]])</f>
        <v>36.914333333333339</v>
      </c>
      <c r="R27" s="32">
        <f>AVERAGE(QBmatchups3[[#This Row],[Comp1]:[Compa]])</f>
        <v>23.477666666666668</v>
      </c>
      <c r="S27" s="18">
        <f>SUM(QBmatchups3[[#This Row],[Comp]]/QBmatchups3[[#This Row],[Attempts]])</f>
        <v>0.63600408152208254</v>
      </c>
      <c r="T27" s="32">
        <f>AVERAGE(QBmatchups3[[#This Row],[Yards1]:[Yardsa]])</f>
        <v>265.80333333333334</v>
      </c>
      <c r="U27" s="19">
        <f>SUM(QBmatchups3[[#This Row],[Yards]]/QBmatchups3[[#This Row],[Attempts]])</f>
        <v>7.2005454069331689</v>
      </c>
      <c r="V27" s="32">
        <f>AVERAGE(QBmatchups3[[#This Row],[TD1]:[Tda]])</f>
        <v>1.747333333333333</v>
      </c>
      <c r="W27" s="32">
        <f>AVERAGE(QBmatchups3[[#This Row],[INT1]:[INTa]])</f>
        <v>0.96333333333333326</v>
      </c>
      <c r="X27" s="19">
        <f>AVERAGE(QBmatchups3[[#This Row],[RushAtt1]:[RushAtta]])</f>
        <v>1.014</v>
      </c>
      <c r="Y27" s="32">
        <f>AVERAGE(QBmatchups3[[#This Row],[RushYards1]:[RushYardsa]])</f>
        <v>3.6593333333333331</v>
      </c>
      <c r="Z27" s="32">
        <f>AVERAGE(QBmatchups3[[#This Row],[RushTD1]:[RushTDa]])</f>
        <v>4.0000000000000001E-3</v>
      </c>
      <c r="AA27" s="8">
        <f>_xlfn.RANK.EQ(QBmatchups3[[#This Row],[Projection]],QBmatchups3[Projection],0)</f>
        <v>17</v>
      </c>
      <c r="AB27" s="45">
        <f>SUM(QBmatchups3[[#This Row],[Yards]]*0.04)+(QBmatchups3[[#This Row],[Pass TD]]*4)+(QBmatchups3[[#This Row],[RushYards]]*0.1)+(QBmatchups3[[#This Row],[RushTD]]*6)+(QBmatchups3[[#This Row],[INT]]*-1)+(QBmatchups3[[#This Row],[300+]])</f>
        <v>17.048066666666667</v>
      </c>
      <c r="AC27" s="433">
        <f>_xlfn.RANK.EQ(QBmatchups3[[#This Row],[$/FP]],QBmatchups3[$/FP],1)</f>
        <v>25</v>
      </c>
      <c r="AD27" s="427">
        <f>SUM(QBmatchups3[[#This Row],[Salary]]/QBmatchups3[[#This Row],[Projection]])</f>
        <v>357.81183399095107</v>
      </c>
      <c r="AE27" s="316">
        <f>_xlfn.RANK.EQ(QBmatchups3[[#This Row],[Average]],QBmatchups3[Average],1)</f>
        <v>25</v>
      </c>
      <c r="AF27" s="316">
        <f>AVERAGE(QBmatchups3[[#This Row],[Proj Rank]],QBmatchups3[[#This Row],[Value Rank]])</f>
        <v>21</v>
      </c>
      <c r="AG27" s="214">
        <f>QBmatchups3[[#This Row],[Salary]]/50000</f>
        <v>0.122</v>
      </c>
      <c r="AH27" s="214"/>
      <c r="AI27" s="32">
        <f>IFERROR(INDEX(QBstats1[Pass Att],MATCH(QBmatchups3[[#This Row],[Name]],QBstats1[Player],0)),"0")</f>
        <v>36.343000000000004</v>
      </c>
      <c r="AJ27" s="32">
        <f>IFERROR(INDEX(QBstats2[PassAtt],MATCH(QBmatchups3[[#This Row],[Name]],QBstats2[Player],0)),"0")</f>
        <v>36.6</v>
      </c>
      <c r="AK27" s="45">
        <f>IFERROR(INDEX(QBstats3[PassAtt],MATCH(QBmatchups3[[#This Row],[Name]],QBstats3[Player],0)),"0")</f>
        <v>37.799999999999997</v>
      </c>
      <c r="AL27" s="32" t="str">
        <f>IFERROR(INDEX(QBallowed[Att],MATCH(QBmatchups3[[#This Row],[Opp]],QBallowed[Team],0)),"0")</f>
        <v>0</v>
      </c>
      <c r="AM27" s="32">
        <f>IFERROR(INDEX(QBstats1[Pass Comp],MATCH(QBmatchups3[[#This Row],[Name]],QBstats1[Player],0)),"0")</f>
        <v>23.033000000000001</v>
      </c>
      <c r="AN27" s="14">
        <f>IFERROR(INDEX(QBstats2[PassComp],MATCH(QBmatchups3[[#This Row],[Name]],QBstats2[Player],0)),"0")</f>
        <v>22.6</v>
      </c>
      <c r="AO27" s="14">
        <f>IFERROR(INDEX(QBstats3[PassComp],MATCH(QBmatchups3[[#This Row],[Name]],QBstats3[Player],0)),"0")</f>
        <v>24.8</v>
      </c>
      <c r="AP27" s="32" t="str">
        <f>IFERROR(INDEX(QBallowed[Cmp],MATCH(QBmatchups3[[#This Row],[Opp]],QBallowed[Team],0)),"0")</f>
        <v>0</v>
      </c>
      <c r="AQ27" s="32">
        <f>IFERROR(INDEX(QBstats1[Pass Yds],MATCH(QBmatchups3[[#This Row],[Name]],QBstats1[Player],0)),"0")</f>
        <v>260.20999999999998</v>
      </c>
      <c r="AR27" s="14">
        <f>IFERROR(INDEX(QBstats2[PassYards],MATCH(QBmatchups3[[#This Row],[Name]],QBstats2[Player],0)),"0")</f>
        <v>252.4</v>
      </c>
      <c r="AS27" s="14">
        <f>IFERROR(INDEX(QBstats3[PassYards],MATCH(QBmatchups3[[#This Row],[Name]],QBstats3[Player],0)),"0")</f>
        <v>284.8</v>
      </c>
      <c r="AT27" s="32" t="str">
        <f>IFERROR(INDEX(QBallowed[Yards],MATCH(QBmatchups3[[#This Row],[Opp]],QBallowed[Team],0)),"0")</f>
        <v>0</v>
      </c>
      <c r="AU27" s="32">
        <f>IFERROR(INDEX(QBstats1[Pass TD],MATCH(QBmatchups3[[#This Row],[Name]],QBstats1[Player],0)),"0")</f>
        <v>1.6419999999999999</v>
      </c>
      <c r="AV27" s="14">
        <f>IFERROR(INDEX(QBstats2[PassTD],MATCH(QBmatchups3[[#This Row],[Name]],QBstats2[Player],0)),"0")</f>
        <v>1.7</v>
      </c>
      <c r="AW27" s="14">
        <f>IFERROR(INDEX(QBstats3[PassTD],MATCH(QBmatchups3[[#This Row],[Name]],QBstats3[Player],0)),"0")</f>
        <v>1.9</v>
      </c>
      <c r="AX27" s="32" t="str">
        <f>IFERROR(INDEX(QBallowed[TD],MATCH(QBmatchups3[[#This Row],[Opp]],QBallowed[Team],0)),"0")</f>
        <v>0</v>
      </c>
      <c r="AY27" s="32">
        <f>IFERROR(INDEX(QBstats1[INT],MATCH(QBmatchups3[[#This Row],[Name]],QBstats1[Player],0)),"0")</f>
        <v>0.89</v>
      </c>
      <c r="AZ27" s="14">
        <f>IFERROR(INDEX(QBstats2[Int],MATCH(QBmatchups3[[#This Row],[Name]],QBstats2[Player],0)),"0")</f>
        <v>1.2</v>
      </c>
      <c r="BA27" s="14">
        <f>IFERROR(INDEX(QBstats3[INT],MATCH(QBmatchups3[[#This Row],[Name]],QBstats3[Player],0)),"0")</f>
        <v>0.8</v>
      </c>
      <c r="BB27" s="32" t="str">
        <f>IFERROR(INDEX(QBallowed[INT],MATCH(QBmatchups3[[#This Row],[Opp]],QBallowed[Team],0)),"0")</f>
        <v>0</v>
      </c>
      <c r="BC27" s="32">
        <f>IFERROR(INDEX(QBstats1[Rush Att],MATCH(QBmatchups3[[#This Row],[Name]],QBstats1[Player],0)),"0")</f>
        <v>0.82799999999999996</v>
      </c>
      <c r="BD27" s="14">
        <f>IFERROR(INDEX(QBstats3[Rush Att],MATCH(QBmatchups3[[#This Row],[Name]],QBstats3[Player],0)),"0")</f>
        <v>1.2</v>
      </c>
      <c r="BE27" s="14" t="str">
        <f>IFERROR(INDEX(QBallowed[RushAtt],MATCH(QBmatchups3[[#This Row],[Opp]],QBallowed[Team],0)),"0")</f>
        <v>0</v>
      </c>
      <c r="BF27" s="32">
        <f>IFERROR(INDEX(QBstats1[Rush Yds],MATCH(QBmatchups3[[#This Row],[Name]],QBstats1[Player],0)),"0")</f>
        <v>2.3780000000000001</v>
      </c>
      <c r="BG27" s="14">
        <f>IFERROR(INDEX(QBstats2[RushYards],MATCH(QBmatchups3[[#This Row],[Name]],QBstats2[Player],0)),"0")</f>
        <v>4.8</v>
      </c>
      <c r="BH27" s="14">
        <f>IFERROR(INDEX(QBstats3[RushYards],MATCH(QBmatchups3[[#This Row],[Name]],QBstats3[Player],0)),"0")</f>
        <v>3.8</v>
      </c>
      <c r="BI27" s="32" t="str">
        <f>IFERROR(INDEX(QBallowed[RushYard],MATCH(QBmatchups3[[#This Row],[Opp]],QBallowed[Team],0)),"0")</f>
        <v>0</v>
      </c>
      <c r="BJ27" s="32">
        <f>IFERROR(INDEX(QBstats1[Rush TD],MATCH(QBmatchups3[[#This Row],[Name]],QBstats1[Player],0)),"0")</f>
        <v>8.0000000000000002E-3</v>
      </c>
      <c r="BK27" s="14" t="str">
        <f>IFERROR(INDEX(QBstats2[RushTD],MATCH(QBmatchups3[[#This Row],[Name]],QBstats2[Player],0)),"0")</f>
        <v>0</v>
      </c>
      <c r="BL27" s="14">
        <f>IFERROR(INDEX(QBstats3[RushTD],MATCH(QBmatchups3[[#This Row],[Name]],QBstats3[Player],0)),"0")</f>
        <v>0</v>
      </c>
      <c r="BM27" s="32" t="str">
        <f>IFERROR(INDEX(QBallowed[RushTD],MATCH(QBmatchups3[[#This Row],[Opp]],QBallowed[Team],0)),"0")</f>
        <v>0</v>
      </c>
      <c r="BN27" s="266">
        <f>IF(QBmatchups3[[#This Row],[Yards]]&gt;=300,3,0)</f>
        <v>0</v>
      </c>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row>
    <row r="28" spans="1:93" x14ac:dyDescent="0.3">
      <c r="A28" s="37">
        <f>QBstats1!AL20</f>
        <v>16.8</v>
      </c>
      <c r="B28" s="34" t="str">
        <f>QBstats1!D20</f>
        <v>Ryan Tannehill</v>
      </c>
      <c r="C28" s="172">
        <f>IFERROR(INDEX(Salaries[DraftKings (Price)],MATCH(QBmatchups3[[#This Row],[Name]],Salaries[Player],0)),"")</f>
        <v>5800</v>
      </c>
      <c r="D28" s="172">
        <f>IFERROR(INDEX(DK_Salary_Changes[WeekChange],MATCH(QBmatchups3[[#This Row],[Name]],DK_Salary_Changes[Player],0)),"")</f>
        <v>-400</v>
      </c>
      <c r="E28" s="14" t="str">
        <f>IFERROR(INDEX(Salaries[Team],MATCH(QBmatchups3[[#This Row],[Name]],Salaries[Player],0)),"")</f>
        <v>MIA</v>
      </c>
      <c r="F28" s="14" t="str">
        <f>IFERROR(INDEX(Salaries[Opp],MATCH(QBmatchups3[[#This Row],[Team]],Salaries[Team],0)),"")</f>
        <v>@CIN</v>
      </c>
      <c r="G28" s="405">
        <f>IFERROR(INDEX(QBYTD[Att],MATCH(QBmatchups3[Name],QBYTD[Player],0)),"")</f>
        <v>113</v>
      </c>
      <c r="H28" s="406">
        <f>IFERROR(INDEX(QBYTD[%],MATCH(QBmatchups3[Name],QBYTD[Player],0)),"")</f>
        <v>0.64600000000000002</v>
      </c>
      <c r="I28" s="407">
        <f>IFERROR(INDEX(QBYTD[Pass Yds],MATCH(QBmatchups3[Name],QBYTD[Player],0)),"")</f>
        <v>894</v>
      </c>
      <c r="J28" s="407">
        <f>IFERROR(INDEX(QBYTD[Pass TD],MATCH(QBmatchups3[Name],QBYTD[Player],0)),"")</f>
        <v>5</v>
      </c>
      <c r="K28" s="407">
        <f>IFERROR(INDEX(QBYTD[Rush Yds],MATCH(QBmatchups3[Name],QBYTD[Player],0)),"")</f>
        <v>54</v>
      </c>
      <c r="L28" s="408">
        <f>IFERROR(INDEX(QBYTD[Rush TD],MATCH(QBmatchups3[Name],QBYTD[Player],0)),"")</f>
        <v>1</v>
      </c>
      <c r="M28" s="416">
        <f>IFERROR(INDEX(Salaries[O/U],MATCH(QBmatchups3[[#This Row],[Team]],Salaries[Team],0)),"")</f>
        <v>44.5</v>
      </c>
      <c r="N28" s="14">
        <f>IFERROR(INDEX(Salaries[Team O/U],MATCH(QBmatchups3[[#This Row],[Team]],Salaries[Team],0)),"")</f>
        <v>18.75</v>
      </c>
      <c r="O28" s="417">
        <f>IFERROR(INDEX(Salaries[Spread],MATCH(QBmatchups3[[#This Row],[Team]],Salaries[Team],0)),"")</f>
        <v>7</v>
      </c>
      <c r="P28" s="424">
        <f>IFERROR(INDEX(QBallowed[DVP],MATCH(QBmatchups3[[#This Row],[Opp]],QBallowed[Team],0)),IFERROR(INDEX(QBallowed[DVP],MATCH(QBmatchups3[[#This Row],[Opp]],QBallowed[OPP],0)),""))</f>
        <v>3</v>
      </c>
      <c r="Q28" s="431">
        <f>AVERAGE(QBmatchups3[[#This Row],[Att1]:[Atta]])</f>
        <v>37.776666666666664</v>
      </c>
      <c r="R28" s="32">
        <f>AVERAGE(QBmatchups3[[#This Row],[Comp1]:[Compa]])</f>
        <v>22.781333333333333</v>
      </c>
      <c r="S28" s="18">
        <f>SUM(QBmatchups3[[#This Row],[Comp]]/QBmatchups3[[#This Row],[Attempts]])</f>
        <v>0.6030530309714992</v>
      </c>
      <c r="T28" s="32">
        <f>AVERAGE(QBmatchups3[[#This Row],[Yards1]:[Yardsa]])</f>
        <v>258.51</v>
      </c>
      <c r="U28" s="19">
        <f>SUM(QBmatchups3[[#This Row],[Yards]]/QBmatchups3[[#This Row],[Attempts]])</f>
        <v>6.843113032736257</v>
      </c>
      <c r="V28" s="32">
        <f>AVERAGE(QBmatchups3[[#This Row],[TD1]:[Tda]])</f>
        <v>1.4853333333333332</v>
      </c>
      <c r="W28" s="32">
        <f>AVERAGE(QBmatchups3[[#This Row],[INT1]:[INTa]])</f>
        <v>1.1243333333333334</v>
      </c>
      <c r="X28" s="19">
        <f>AVERAGE(QBmatchups3[[#This Row],[RushAtt1]:[RushAtta]])</f>
        <v>2.6574999999999998</v>
      </c>
      <c r="Y28" s="32">
        <f>AVERAGE(QBmatchups3[[#This Row],[RushYards1]:[RushYardsa]])</f>
        <v>12.416000000000002</v>
      </c>
      <c r="Z28" s="32">
        <f>AVERAGE(QBmatchups3[[#This Row],[RushTD1]:[RushTDa]])</f>
        <v>9.4500000000000001E-2</v>
      </c>
      <c r="AA28" s="8">
        <f>_xlfn.RANK.EQ(QBmatchups3[[#This Row],[Projection]],QBmatchups3[Projection],0)</f>
        <v>18</v>
      </c>
      <c r="AB28" s="45">
        <f>SUM(QBmatchups3[[#This Row],[Yards]]*0.04)+(QBmatchups3[[#This Row],[Pass TD]]*4)+(QBmatchups3[[#This Row],[RushYards]]*0.1)+(QBmatchups3[[#This Row],[RushTD]]*6)+(QBmatchups3[[#This Row],[INT]]*-1)+(QBmatchups3[[#This Row],[300+]])</f>
        <v>16.966000000000005</v>
      </c>
      <c r="AC28" s="433">
        <f>_xlfn.RANK.EQ(QBmatchups3[[#This Row],[$/FP]],QBmatchups3[$/FP],1)</f>
        <v>18</v>
      </c>
      <c r="AD28" s="427">
        <f>SUM(QBmatchups3[[#This Row],[Salary]]/QBmatchups3[[#This Row],[Projection]])</f>
        <v>341.86019097017555</v>
      </c>
      <c r="AE28" s="316">
        <f>_xlfn.RANK.EQ(QBmatchups3[[#This Row],[Average]],QBmatchups3[Average],1)</f>
        <v>20</v>
      </c>
      <c r="AF28" s="316">
        <f>AVERAGE(QBmatchups3[[#This Row],[Proj Rank]],QBmatchups3[[#This Row],[Value Rank]])</f>
        <v>18</v>
      </c>
      <c r="AG28" s="214">
        <f>QBmatchups3[[#This Row],[Salary]]/50000</f>
        <v>0.11600000000000001</v>
      </c>
      <c r="AH28" s="214"/>
      <c r="AI28" s="32">
        <f>IFERROR(INDEX(QBstats1[Pass Att],MATCH(QBmatchups3[[#This Row],[Name]],QBstats1[Player],0)),"0")</f>
        <v>36.729999999999997</v>
      </c>
      <c r="AJ28" s="32">
        <f>IFERROR(INDEX(QBstats2[PassAtt],MATCH(QBmatchups3[[#This Row],[Name]],QBstats2[Player],0)),"0")</f>
        <v>36.6</v>
      </c>
      <c r="AK28" s="45">
        <f>IFERROR(INDEX(QBstats3[PassAtt],MATCH(QBmatchups3[[#This Row],[Name]],QBstats3[Player],0)),"0")</f>
        <v>40</v>
      </c>
      <c r="AL28" s="32" t="str">
        <f>IFERROR(INDEX(QBallowed[Att],MATCH(QBmatchups3[[#This Row],[Opp]],QBallowed[Team],0)),"0")</f>
        <v>0</v>
      </c>
      <c r="AM28" s="32">
        <f>IFERROR(INDEX(QBstats1[Pass Comp],MATCH(QBmatchups3[[#This Row],[Name]],QBstats1[Player],0)),"0")</f>
        <v>21.943999999999999</v>
      </c>
      <c r="AN28" s="14">
        <f>IFERROR(INDEX(QBstats2[PassComp],MATCH(QBmatchups3[[#This Row],[Name]],QBstats2[Player],0)),"0")</f>
        <v>21.7</v>
      </c>
      <c r="AO28" s="14">
        <f>IFERROR(INDEX(QBstats3[PassComp],MATCH(QBmatchups3[[#This Row],[Name]],QBstats3[Player],0)),"0")</f>
        <v>24.7</v>
      </c>
      <c r="AP28" s="32" t="str">
        <f>IFERROR(INDEX(QBallowed[Cmp],MATCH(QBmatchups3[[#This Row],[Opp]],QBallowed[Team],0)),"0")</f>
        <v>0</v>
      </c>
      <c r="AQ28" s="32">
        <f>IFERROR(INDEX(QBstats1[Pass Yds],MATCH(QBmatchups3[[#This Row],[Name]],QBstats1[Player],0)),"0")</f>
        <v>268.13</v>
      </c>
      <c r="AR28" s="14">
        <f>IFERROR(INDEX(QBstats2[PassYards],MATCH(QBmatchups3[[#This Row],[Name]],QBstats2[Player],0)),"0")</f>
        <v>235.4</v>
      </c>
      <c r="AS28" s="14">
        <f>IFERROR(INDEX(QBstats3[PassYards],MATCH(QBmatchups3[[#This Row],[Name]],QBstats3[Player],0)),"0")</f>
        <v>272</v>
      </c>
      <c r="AT28" s="32" t="str">
        <f>IFERROR(INDEX(QBallowed[Yards],MATCH(QBmatchups3[[#This Row],[Opp]],QBallowed[Team],0)),"0")</f>
        <v>0</v>
      </c>
      <c r="AU28" s="32">
        <f>IFERROR(INDEX(QBstats1[Pass TD],MATCH(QBmatchups3[[#This Row],[Name]],QBstats1[Player],0)),"0")</f>
        <v>1.456</v>
      </c>
      <c r="AV28" s="14">
        <f>IFERROR(INDEX(QBstats2[PassTD],MATCH(QBmatchups3[[#This Row],[Name]],QBstats2[Player],0)),"0")</f>
        <v>1.4</v>
      </c>
      <c r="AW28" s="14">
        <f>IFERROR(INDEX(QBstats3[PassTD],MATCH(QBmatchups3[[#This Row],[Name]],QBstats3[Player],0)),"0")</f>
        <v>1.6</v>
      </c>
      <c r="AX28" s="32" t="str">
        <f>IFERROR(INDEX(QBallowed[TD],MATCH(QBmatchups3[[#This Row],[Opp]],QBallowed[Team],0)),"0")</f>
        <v>0</v>
      </c>
      <c r="AY28" s="32">
        <f>IFERROR(INDEX(QBstats1[INT],MATCH(QBmatchups3[[#This Row],[Name]],QBstats1[Player],0)),"0")</f>
        <v>1.173</v>
      </c>
      <c r="AZ28" s="14">
        <f>IFERROR(INDEX(QBstats2[Int],MATCH(QBmatchups3[[#This Row],[Name]],QBstats2[Player],0)),"0")</f>
        <v>1.1000000000000001</v>
      </c>
      <c r="BA28" s="14">
        <f>IFERROR(INDEX(QBstats3[INT],MATCH(QBmatchups3[[#This Row],[Name]],QBstats3[Player],0)),"0")</f>
        <v>1.1000000000000001</v>
      </c>
      <c r="BB28" s="32" t="str">
        <f>IFERROR(INDEX(QBallowed[INT],MATCH(QBmatchups3[[#This Row],[Opp]],QBallowed[Team],0)),"0")</f>
        <v>0</v>
      </c>
      <c r="BC28" s="32">
        <f>IFERROR(INDEX(QBstats1[Rush Att],MATCH(QBmatchups3[[#This Row],[Name]],QBstats1[Player],0)),"0")</f>
        <v>3.2149999999999999</v>
      </c>
      <c r="BD28" s="14">
        <f>IFERROR(INDEX(QBstats3[Rush Att],MATCH(QBmatchups3[[#This Row],[Name]],QBstats3[Player],0)),"0")</f>
        <v>2.1</v>
      </c>
      <c r="BE28" s="14" t="str">
        <f>IFERROR(INDEX(QBallowed[RushAtt],MATCH(QBmatchups3[[#This Row],[Opp]],QBallowed[Team],0)),"0")</f>
        <v>0</v>
      </c>
      <c r="BF28" s="32">
        <f>IFERROR(INDEX(QBstats1[Rush Yds],MATCH(QBmatchups3[[#This Row],[Name]],QBstats1[Player],0)),"0")</f>
        <v>14.148</v>
      </c>
      <c r="BG28" s="14">
        <f>IFERROR(INDEX(QBstats2[RushYards],MATCH(QBmatchups3[[#This Row],[Name]],QBstats2[Player],0)),"0")</f>
        <v>13.3</v>
      </c>
      <c r="BH28" s="14">
        <f>IFERROR(INDEX(QBstats3[RushYards],MATCH(QBmatchups3[[#This Row],[Name]],QBstats3[Player],0)),"0")</f>
        <v>9.8000000000000007</v>
      </c>
      <c r="BI28" s="32" t="str">
        <f>IFERROR(INDEX(QBallowed[RushYard],MATCH(QBmatchups3[[#This Row],[Opp]],QBallowed[Team],0)),"0")</f>
        <v>0</v>
      </c>
      <c r="BJ28" s="32">
        <f>IFERROR(INDEX(QBstats1[Rush TD],MATCH(QBmatchups3[[#This Row],[Name]],QBstats1[Player],0)),"0")</f>
        <v>8.8999999999999996E-2</v>
      </c>
      <c r="BK28" s="14" t="str">
        <f>IFERROR(INDEX(QBstats2[RushTD],MATCH(QBmatchups3[[#This Row],[Name]],QBstats2[Player],0)),"0")</f>
        <v>0.1</v>
      </c>
      <c r="BL28" s="14">
        <f>IFERROR(INDEX(QBstats3[RushTD],MATCH(QBmatchups3[[#This Row],[Name]],QBstats3[Player],0)),"0")</f>
        <v>0.1</v>
      </c>
      <c r="BM28" s="32" t="str">
        <f>IFERROR(INDEX(QBallowed[RushTD],MATCH(QBmatchups3[[#This Row],[Opp]],QBallowed[Team],0)),"0")</f>
        <v>0</v>
      </c>
      <c r="BN28" s="266">
        <f>IF(QBmatchups3[[#This Row],[Yards]]&gt;=300,3,0)</f>
        <v>0</v>
      </c>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row>
    <row r="29" spans="1:93" x14ac:dyDescent="0.3">
      <c r="A29" s="37">
        <f>QBstats1!AL24</f>
        <v>16.100000000000001</v>
      </c>
      <c r="B29" s="34" t="str">
        <f>QBstats1!D24</f>
        <v>Tyrod Taylor</v>
      </c>
      <c r="C29" s="172">
        <f>IFERROR(INDEX(Salaries[DraftKings (Price)],MATCH(QBmatchups3[[#This Row],[Name]],Salaries[Player],0)),"")</f>
        <v>5400</v>
      </c>
      <c r="D29" s="172">
        <f>IFERROR(INDEX(DK_Salary_Changes[WeekChange],MATCH(QBmatchups3[[#This Row],[Name]],DK_Salary_Changes[Player],0)),"")</f>
        <v>-400</v>
      </c>
      <c r="E29" s="14" t="str">
        <f>IFERROR(INDEX(Salaries[Team],MATCH(QBmatchups3[[#This Row],[Name]],Salaries[Player],0)),"")</f>
        <v>BUF</v>
      </c>
      <c r="F29" s="14" t="str">
        <f>IFERROR(INDEX(Salaries[Opp],MATCH(QBmatchups3[[#This Row],[Team]],Salaries[Team],0)),"")</f>
        <v>@NE</v>
      </c>
      <c r="G29" s="405">
        <f>IFERROR(INDEX(QBYTD[Att],MATCH(QBmatchups3[Name],QBYTD[Player],0)),"")</f>
        <v>77</v>
      </c>
      <c r="H29" s="406">
        <f>IFERROR(INDEX(QBYTD[%],MATCH(QBmatchups3[Name],QBYTD[Player],0)),"")</f>
        <v>0.61</v>
      </c>
      <c r="I29" s="407">
        <f>IFERROR(INDEX(QBYTD[Pass Yds],MATCH(QBmatchups3[Name],QBYTD[Player],0)),"")</f>
        <v>527</v>
      </c>
      <c r="J29" s="407">
        <f>IFERROR(INDEX(QBYTD[Pass TD],MATCH(QBmatchups3[Name],QBYTD[Player],0)),"")</f>
        <v>3</v>
      </c>
      <c r="K29" s="407">
        <f>IFERROR(INDEX(QBYTD[Rush Yds],MATCH(QBmatchups3[Name],QBYTD[Player],0)),"")</f>
        <v>112</v>
      </c>
      <c r="L29" s="408">
        <f>IFERROR(INDEX(QBYTD[Rush TD],MATCH(QBmatchups3[Name],QBYTD[Player],0)),"")</f>
        <v>1</v>
      </c>
      <c r="M29" s="416">
        <f>IFERROR(INDEX(Salaries[O/U],MATCH(QBmatchups3[[#This Row],[Team]],Salaries[Team],0)),"")</f>
        <v>44</v>
      </c>
      <c r="N29" s="14">
        <f>IFERROR(INDEX(Salaries[Team O/U],MATCH(QBmatchups3[[#This Row],[Team]],Salaries[Team],0)),"")</f>
        <v>19.75</v>
      </c>
      <c r="O29" s="417">
        <f>IFERROR(INDEX(Salaries[Spread],MATCH(QBmatchups3[[#This Row],[Team]],Salaries[Team],0)),"")</f>
        <v>4.5</v>
      </c>
      <c r="P29" s="424">
        <f>IFERROR(INDEX(QBallowed[DVP],MATCH(QBmatchups3[[#This Row],[Opp]],QBallowed[Team],0)),IFERROR(INDEX(QBallowed[DVP],MATCH(QBmatchups3[[#This Row],[Opp]],QBallowed[OPP],0)),""))</f>
        <v>16</v>
      </c>
      <c r="Q29" s="431">
        <f>AVERAGE(QBmatchups3[[#This Row],[Att1]:[Atta]])</f>
        <v>29.555000000000003</v>
      </c>
      <c r="R29" s="32">
        <f>AVERAGE(QBmatchups3[[#This Row],[Comp1]:[Compa]])</f>
        <v>17.992666666666668</v>
      </c>
      <c r="S29" s="18">
        <f>SUM(QBmatchups3[[#This Row],[Comp]]/QBmatchups3[[#This Row],[Attempts]])</f>
        <v>0.6087858794338239</v>
      </c>
      <c r="T29" s="32">
        <f>AVERAGE(QBmatchups3[[#This Row],[Yards1]:[Yardsa]])</f>
        <v>207.37</v>
      </c>
      <c r="U29" s="19">
        <f>SUM(QBmatchups3[[#This Row],[Yards]]/QBmatchups3[[#This Row],[Attempts]])</f>
        <v>7.0164100828962948</v>
      </c>
      <c r="V29" s="32">
        <f>AVERAGE(QBmatchups3[[#This Row],[TD1]:[Tda]])</f>
        <v>1.1206666666666667</v>
      </c>
      <c r="W29" s="32">
        <f>AVERAGE(QBmatchups3[[#This Row],[INT1]:[INTa]])</f>
        <v>0.77849999999999997</v>
      </c>
      <c r="X29" s="19">
        <f>AVERAGE(QBmatchups3[[#This Row],[RushAtt1]:[RushAtta]])</f>
        <v>6.4470000000000001</v>
      </c>
      <c r="Y29" s="32">
        <f>AVERAGE(QBmatchups3[[#This Row],[RushYards1]:[RushYardsa]])</f>
        <v>32.719666666666662</v>
      </c>
      <c r="Z29" s="32">
        <f>AVERAGE(QBmatchups3[[#This Row],[RushTD1]:[RushTDa]])</f>
        <v>0.253</v>
      </c>
      <c r="AA29" s="8">
        <f>_xlfn.RANK.EQ(QBmatchups3[[#This Row],[Projection]],QBmatchups3[Projection],0)</f>
        <v>19</v>
      </c>
      <c r="AB29" s="45">
        <f>SUM(QBmatchups3[[#This Row],[Yards]]*0.04)+(QBmatchups3[[#This Row],[Pass TD]]*4)+(QBmatchups3[[#This Row],[RushYards]]*0.1)+(QBmatchups3[[#This Row],[RushTD]]*6)+(QBmatchups3[[#This Row],[INT]]*-1)+(QBmatchups3[[#This Row],[300+]])</f>
        <v>16.788933333333333</v>
      </c>
      <c r="AC29" s="433">
        <f>_xlfn.RANK.EQ(QBmatchups3[[#This Row],[$/FP]],QBmatchups3[$/FP],1)</f>
        <v>9</v>
      </c>
      <c r="AD29" s="427">
        <f>SUM(QBmatchups3[[#This Row],[Salary]]/QBmatchups3[[#This Row],[Projection]])</f>
        <v>321.64044569041511</v>
      </c>
      <c r="AE29" s="316">
        <f>_xlfn.RANK.EQ(QBmatchups3[[#This Row],[Average]],QBmatchups3[Average],1)</f>
        <v>14</v>
      </c>
      <c r="AF29" s="316">
        <f>AVERAGE(QBmatchups3[[#This Row],[Proj Rank]],QBmatchups3[[#This Row],[Value Rank]])</f>
        <v>14</v>
      </c>
      <c r="AG29" s="214">
        <f>QBmatchups3[[#This Row],[Salary]]/50000</f>
        <v>0.108</v>
      </c>
      <c r="AH29" s="214"/>
      <c r="AI29" s="32">
        <f>IFERROR(INDEX(QBstats1[Pass Att],MATCH(QBmatchups3[[#This Row],[Name]],QBstats1[Player],0)),"0")</f>
        <v>32.465000000000003</v>
      </c>
      <c r="AJ29" s="32">
        <f>IFERROR(INDEX(QBstats2[PassAtt],MATCH(QBmatchups3[[#This Row],[Name]],QBstats2[Player],0)),"0")</f>
        <v>26.6</v>
      </c>
      <c r="AK29" s="45">
        <f>IFERROR(INDEX(QBstats3[PassAtt],MATCH(QBmatchups3[[#This Row],[Name]],QBstats3[Player],0)),"0")</f>
        <v>29.6</v>
      </c>
      <c r="AL29" s="32" t="str">
        <f>IFERROR(INDEX(QBallowed[Att],MATCH(QBmatchups3[[#This Row],[Opp]],QBallowed[Team],0)),"0")</f>
        <v>0</v>
      </c>
      <c r="AM29" s="32">
        <f>IFERROR(INDEX(QBstats1[Pass Comp],MATCH(QBmatchups3[[#This Row],[Name]],QBstats1[Player],0)),"0")</f>
        <v>19.577999999999999</v>
      </c>
      <c r="AN29" s="14">
        <f>IFERROR(INDEX(QBstats2[PassComp],MATCH(QBmatchups3[[#This Row],[Name]],QBstats2[Player],0)),"0")</f>
        <v>15.5</v>
      </c>
      <c r="AO29" s="14">
        <f>IFERROR(INDEX(QBstats3[PassComp],MATCH(QBmatchups3[[#This Row],[Name]],QBstats3[Player],0)),"0")</f>
        <v>18.899999999999999</v>
      </c>
      <c r="AP29" s="32" t="str">
        <f>IFERROR(INDEX(QBallowed[Cmp],MATCH(QBmatchups3[[#This Row],[Opp]],QBallowed[Team],0)),"0")</f>
        <v>0</v>
      </c>
      <c r="AQ29" s="32">
        <f>IFERROR(INDEX(QBstats1[Pass Yds],MATCH(QBmatchups3[[#This Row],[Name]],QBstats1[Player],0)),"0")</f>
        <v>212.71</v>
      </c>
      <c r="AR29" s="14">
        <f>IFERROR(INDEX(QBstats2[PassYards],MATCH(QBmatchups3[[#This Row],[Name]],QBstats2[Player],0)),"0")</f>
        <v>185.3</v>
      </c>
      <c r="AS29" s="14">
        <f>IFERROR(INDEX(QBstats3[PassYards],MATCH(QBmatchups3[[#This Row],[Name]],QBstats3[Player],0)),"0")</f>
        <v>224.1</v>
      </c>
      <c r="AT29" s="32" t="str">
        <f>IFERROR(INDEX(QBallowed[Yards],MATCH(QBmatchups3[[#This Row],[Opp]],QBallowed[Team],0)),"0")</f>
        <v>0</v>
      </c>
      <c r="AU29" s="32">
        <f>IFERROR(INDEX(QBstats1[Pass TD],MATCH(QBmatchups3[[#This Row],[Name]],QBstats1[Player],0)),"0")</f>
        <v>1.1619999999999999</v>
      </c>
      <c r="AV29" s="14">
        <f>IFERROR(INDEX(QBstats2[PassTD],MATCH(QBmatchups3[[#This Row],[Name]],QBstats2[Player],0)),"0")</f>
        <v>1</v>
      </c>
      <c r="AW29" s="14">
        <f>IFERROR(INDEX(QBstats3[PassTD],MATCH(QBmatchups3[[#This Row],[Name]],QBstats3[Player],0)),"0")</f>
        <v>1.2</v>
      </c>
      <c r="AX29" s="32" t="str">
        <f>IFERROR(INDEX(QBallowed[TD],MATCH(QBmatchups3[[#This Row],[Opp]],QBallowed[Team],0)),"0")</f>
        <v>0</v>
      </c>
      <c r="AY29" s="32">
        <f>IFERROR(INDEX(QBstats1[INT],MATCH(QBmatchups3[[#This Row],[Name]],QBstats1[Player],0)),"0")</f>
        <v>1.0569999999999999</v>
      </c>
      <c r="AZ29" s="14" t="str">
        <f>IFERROR(INDEX(QBstats2[Int],MATCH(QBmatchups3[[#This Row],[Name]],QBstats2[Player],0)),"0")</f>
        <v>0.6</v>
      </c>
      <c r="BA29" s="14">
        <f>IFERROR(INDEX(QBstats3[INT],MATCH(QBmatchups3[[#This Row],[Name]],QBstats3[Player],0)),"0")</f>
        <v>0.5</v>
      </c>
      <c r="BB29" s="32" t="str">
        <f>IFERROR(INDEX(QBallowed[INT],MATCH(QBmatchups3[[#This Row],[Opp]],QBallowed[Team],0)),"0")</f>
        <v>0</v>
      </c>
      <c r="BC29" s="32">
        <f>IFERROR(INDEX(QBstats1[Rush Att],MATCH(QBmatchups3[[#This Row],[Name]],QBstats1[Player],0)),"0")</f>
        <v>6.5940000000000003</v>
      </c>
      <c r="BD29" s="14">
        <f>IFERROR(INDEX(QBstats3[Rush Att],MATCH(QBmatchups3[[#This Row],[Name]],QBstats3[Player],0)),"0")</f>
        <v>6.3</v>
      </c>
      <c r="BE29" s="14" t="str">
        <f>IFERROR(INDEX(QBallowed[RushAtt],MATCH(QBmatchups3[[#This Row],[Opp]],QBallowed[Team],0)),"0")</f>
        <v>0</v>
      </c>
      <c r="BF29" s="32">
        <f>IFERROR(INDEX(QBstats1[Rush Yds],MATCH(QBmatchups3[[#This Row],[Name]],QBstats1[Player],0)),"0")</f>
        <v>32.558999999999997</v>
      </c>
      <c r="BG29" s="14">
        <f>IFERROR(INDEX(QBstats2[RushYards],MATCH(QBmatchups3[[#This Row],[Name]],QBstats2[Player],0)),"0")</f>
        <v>32.299999999999997</v>
      </c>
      <c r="BH29" s="14">
        <f>IFERROR(INDEX(QBstats3[RushYards],MATCH(QBmatchups3[[#This Row],[Name]],QBstats3[Player],0)),"0")</f>
        <v>33.299999999999997</v>
      </c>
      <c r="BI29" s="32" t="str">
        <f>IFERROR(INDEX(QBallowed[RushYard],MATCH(QBmatchups3[[#This Row],[Opp]],QBallowed[Team],0)),"0")</f>
        <v>0</v>
      </c>
      <c r="BJ29" s="32">
        <f>IFERROR(INDEX(QBstats1[Rush TD],MATCH(QBmatchups3[[#This Row],[Name]],QBstats1[Player],0)),"0")</f>
        <v>0.20599999999999999</v>
      </c>
      <c r="BK29" s="14" t="str">
        <f>IFERROR(INDEX(QBstats2[RushTD],MATCH(QBmatchups3[[#This Row],[Name]],QBstats2[Player],0)),"0")</f>
        <v>0.3</v>
      </c>
      <c r="BL29" s="14">
        <f>IFERROR(INDEX(QBstats3[RushTD],MATCH(QBmatchups3[[#This Row],[Name]],QBstats3[Player],0)),"0")</f>
        <v>0.3</v>
      </c>
      <c r="BM29" s="32" t="str">
        <f>IFERROR(INDEX(QBallowed[RushTD],MATCH(QBmatchups3[[#This Row],[Opp]],QBallowed[Team],0)),"0")</f>
        <v>0</v>
      </c>
      <c r="BN29" s="266">
        <f>IF(QBmatchups3[[#This Row],[Yards]]&gt;=300,3,0)</f>
        <v>0</v>
      </c>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row>
    <row r="30" spans="1:93" x14ac:dyDescent="0.3">
      <c r="A30" s="37">
        <f>QBstats1!AL27</f>
        <v>15.6</v>
      </c>
      <c r="B30" s="34" t="str">
        <f>QBstats1!D27</f>
        <v>Blaine Gabbert</v>
      </c>
      <c r="C30" s="172">
        <f>IFERROR(INDEX(Salaries[DraftKings (Price)],MATCH(QBmatchups3[[#This Row],[Name]],Salaries[Player],0)),"")</f>
        <v>5000</v>
      </c>
      <c r="D30" s="172">
        <f>IFERROR(INDEX(DK_Salary_Changes[WeekChange],MATCH(QBmatchups3[[#This Row],[Name]],DK_Salary_Changes[Player],0)),"")</f>
        <v>0</v>
      </c>
      <c r="E30" s="14" t="str">
        <f>IFERROR(INDEX(Salaries[Team],MATCH(QBmatchups3[[#This Row],[Name]],Salaries[Player],0)),"")</f>
        <v>SF</v>
      </c>
      <c r="F30" s="14" t="str">
        <f>IFERROR(INDEX(Salaries[Opp],MATCH(QBmatchups3[[#This Row],[Team]],Salaries[Team],0)),"")</f>
        <v>DAL</v>
      </c>
      <c r="G30" s="405">
        <f>IFERROR(INDEX(QBYTD[Att],MATCH(QBmatchups3[Name],QBYTD[Player],0)),"")</f>
        <v>96</v>
      </c>
      <c r="H30" s="406">
        <f>IFERROR(INDEX(QBYTD[%],MATCH(QBmatchups3[Name],QBYTD[Player],0)),"")</f>
        <v>0.55200000000000005</v>
      </c>
      <c r="I30" s="407">
        <f>IFERROR(INDEX(QBYTD[Pass Yds],MATCH(QBmatchups3[Name],QBYTD[Player],0)),"")</f>
        <v>532</v>
      </c>
      <c r="J30" s="407">
        <f>IFERROR(INDEX(QBYTD[Pass TD],MATCH(QBmatchups3[Name],QBYTD[Player],0)),"")</f>
        <v>3</v>
      </c>
      <c r="K30" s="407">
        <f>IFERROR(INDEX(QBYTD[Rush Yds],MATCH(QBmatchups3[Name],QBYTD[Player],0)),"")</f>
        <v>75</v>
      </c>
      <c r="L30" s="408">
        <f>IFERROR(INDEX(QBYTD[Rush TD],MATCH(QBmatchups3[Name],QBYTD[Player],0)),"")</f>
        <v>1</v>
      </c>
      <c r="M30" s="418">
        <f>IFERROR(INDEX(Salaries[O/U],MATCH(QBmatchups3[[#This Row],[Team]],Salaries[Team],0)),"")</f>
        <v>46</v>
      </c>
      <c r="N30" s="19">
        <f>IFERROR(INDEX(Salaries[Team O/U],MATCH(QBmatchups3[[#This Row],[Team]],Salaries[Team],0)),"")</f>
        <v>21.5</v>
      </c>
      <c r="O30" s="417">
        <f>IFERROR(INDEX(Salaries[Spread],MATCH(QBmatchups3[[#This Row],[Team]],Salaries[Team],0)),"")</f>
        <v>3</v>
      </c>
      <c r="P30" s="424">
        <f>IFERROR(INDEX(QBallowed[DVP],MATCH(QBmatchups3[[#This Row],[Opp]],QBallowed[Team],0)),IFERROR(INDEX(QBallowed[DVP],MATCH(QBmatchups3[[#This Row],[Opp]],QBallowed[OPP],0)),""))</f>
        <v>4</v>
      </c>
      <c r="Q30" s="431">
        <f>AVERAGE(QBmatchups3[[#This Row],[Att1]:[Atta]])</f>
        <v>32.756250000000001</v>
      </c>
      <c r="R30" s="32">
        <f>AVERAGE(QBmatchups3[[#This Row],[Comp1]:[Compa]])</f>
        <v>19.583500000000001</v>
      </c>
      <c r="S30" s="18">
        <f>SUM(QBmatchups3[[#This Row],[Comp]]/QBmatchups3[[#This Row],[Attempts]])</f>
        <v>0.59785537111238318</v>
      </c>
      <c r="T30" s="32">
        <f>AVERAGE(QBmatchups3[[#This Row],[Yards1]:[Yardsa]])</f>
        <v>227.75937500000001</v>
      </c>
      <c r="U30" s="19">
        <f>SUM(QBmatchups3[[#This Row],[Yards]]/QBmatchups3[[#This Row],[Attempts]])</f>
        <v>6.9531577943140617</v>
      </c>
      <c r="V30" s="32">
        <f>AVERAGE(QBmatchups3[[#This Row],[TD1]:[Tda]])</f>
        <v>1.3360000000000001</v>
      </c>
      <c r="W30" s="32">
        <f>AVERAGE(QBmatchups3[[#This Row],[INT1]:[INTa]])</f>
        <v>0.76816666666666666</v>
      </c>
      <c r="X30" s="19">
        <f>AVERAGE(QBmatchups3[[#This Row],[RushAtt1]:[RushAtta]])</f>
        <v>3.8223333333333334</v>
      </c>
      <c r="Y30" s="32">
        <f>AVERAGE(QBmatchups3[[#This Row],[RushYards1]:[RushYardsa]])</f>
        <v>20.255375000000001</v>
      </c>
      <c r="Z30" s="32">
        <f>AVERAGE(QBmatchups3[[#This Row],[RushTD1]:[RushTDa]])</f>
        <v>0.13683333333333333</v>
      </c>
      <c r="AA30" s="8">
        <f>_xlfn.RANK.EQ(QBmatchups3[[#This Row],[Projection]],QBmatchups3[Projection],0)</f>
        <v>20</v>
      </c>
      <c r="AB30" s="45">
        <f>SUM(QBmatchups3[[#This Row],[Yards]]*0.04)+(QBmatchups3[[#This Row],[Pass TD]]*4)+(QBmatchups3[[#This Row],[RushYards]]*0.1)+(QBmatchups3[[#This Row],[RushTD]]*6)+(QBmatchups3[[#This Row],[INT]]*-1)+(QBmatchups3[[#This Row],[300+]])</f>
        <v>16.532745833333337</v>
      </c>
      <c r="AC30" s="433">
        <f>_xlfn.RANK.EQ(QBmatchups3[[#This Row],[$/FP]],QBmatchups3[$/FP],1)</f>
        <v>1</v>
      </c>
      <c r="AD30" s="427">
        <f>SUM(QBmatchups3[[#This Row],[Salary]]/QBmatchups3[[#This Row],[Projection]])</f>
        <v>302.43010147285975</v>
      </c>
      <c r="AE30" s="316">
        <f>_xlfn.RANK.EQ(QBmatchups3[[#This Row],[Average]],QBmatchups3[Average],1)</f>
        <v>8</v>
      </c>
      <c r="AF30" s="316">
        <f>AVERAGE(QBmatchups3[[#This Row],[Proj Rank]],QBmatchups3[[#This Row],[Value Rank]])</f>
        <v>10.5</v>
      </c>
      <c r="AG30" s="214">
        <f>QBmatchups3[[#This Row],[Salary]]/50000</f>
        <v>0.1</v>
      </c>
      <c r="AH30" s="214"/>
      <c r="AI30" s="32">
        <f>IFERROR(INDEX(QBstats1[Pass Att],MATCH(QBmatchups3[[#This Row],[Name]],QBstats1[Player],0)),"0")</f>
        <v>34.35</v>
      </c>
      <c r="AJ30" s="32">
        <f>IFERROR(INDEX(QBstats2[PassAtt],MATCH(QBmatchups3[[#This Row],[Name]],QBstats2[Player],0)),"0")</f>
        <v>34.1</v>
      </c>
      <c r="AK30" s="45">
        <f>IFERROR(INDEX(QBstats3[PassAtt],MATCH(QBmatchups3[[#This Row],[Name]],QBstats3[Player],0)),"0")</f>
        <v>27.2</v>
      </c>
      <c r="AL30" s="32">
        <f>IFERROR(INDEX(QBallowed[Att],MATCH(QBmatchups3[[#This Row],[Opp]],QBallowed[Team],0)),"0")</f>
        <v>35.375</v>
      </c>
      <c r="AM30" s="32">
        <f>IFERROR(INDEX(QBstats1[Pass Comp],MATCH(QBmatchups3[[#This Row],[Name]],QBstats1[Player],0)),"0")</f>
        <v>19.809000000000001</v>
      </c>
      <c r="AN30" s="14">
        <f>IFERROR(INDEX(QBstats2[PassComp],MATCH(QBmatchups3[[#This Row],[Name]],QBstats2[Player],0)),"0")</f>
        <v>19.7</v>
      </c>
      <c r="AO30" s="14">
        <f>IFERROR(INDEX(QBstats3[PassComp],MATCH(QBmatchups3[[#This Row],[Name]],QBstats3[Player],0)),"0")</f>
        <v>16.7</v>
      </c>
      <c r="AP30" s="32">
        <f>IFERROR(INDEX(QBallowed[Cmp],MATCH(QBmatchups3[[#This Row],[Opp]],QBallowed[Team],0)),"0")</f>
        <v>22.125</v>
      </c>
      <c r="AQ30" s="32">
        <f>IFERROR(INDEX(QBstats1[Pass Yds],MATCH(QBmatchups3[[#This Row],[Name]],QBstats1[Player],0)),"0")</f>
        <v>206.1</v>
      </c>
      <c r="AR30" s="14">
        <f>IFERROR(INDEX(QBstats2[PassYards],MATCH(QBmatchups3[[#This Row],[Name]],QBstats2[Player],0)),"0")</f>
        <v>213.9</v>
      </c>
      <c r="AS30" s="14">
        <f>IFERROR(INDEX(QBstats3[PassYards],MATCH(QBmatchups3[[#This Row],[Name]],QBstats3[Player],0)),"0")</f>
        <v>216.6</v>
      </c>
      <c r="AT30" s="32">
        <f>IFERROR(INDEX(QBallowed[Yards],MATCH(QBmatchups3[[#This Row],[Opp]],QBallowed[Team],0)),"0")</f>
        <v>274.4375</v>
      </c>
      <c r="AU30" s="32">
        <f>IFERROR(INDEX(QBstats1[Pass TD],MATCH(QBmatchups3[[#This Row],[Name]],QBstats1[Player],0)),"0")</f>
        <v>1.369</v>
      </c>
      <c r="AV30" s="14">
        <f>IFERROR(INDEX(QBstats2[PassTD],MATCH(QBmatchups3[[#This Row],[Name]],QBstats2[Player],0)),"0")</f>
        <v>1.1000000000000001</v>
      </c>
      <c r="AW30" s="14">
        <f>IFERROR(INDEX(QBstats3[PassTD],MATCH(QBmatchups3[[#This Row],[Name]],QBstats3[Player],0)),"0")</f>
        <v>1</v>
      </c>
      <c r="AX30" s="32">
        <f>IFERROR(INDEX(QBallowed[TD],MATCH(QBmatchups3[[#This Row],[Opp]],QBallowed[Team],0)),"0")</f>
        <v>1.875</v>
      </c>
      <c r="AY30" s="32">
        <f>IFERROR(INDEX(QBstats1[INT],MATCH(QBmatchups3[[#This Row],[Name]],QBstats1[Player],0)),"0")</f>
        <v>1.0169999999999999</v>
      </c>
      <c r="AZ30" s="14" t="str">
        <f>IFERROR(INDEX(QBstats2[Int],MATCH(QBmatchups3[[#This Row],[Name]],QBstats2[Player],0)),"0")</f>
        <v>0.8</v>
      </c>
      <c r="BA30" s="14">
        <f>IFERROR(INDEX(QBstats3[INT],MATCH(QBmatchups3[[#This Row],[Name]],QBstats3[Player],0)),"0")</f>
        <v>0.6</v>
      </c>
      <c r="BB30" s="32">
        <f>IFERROR(INDEX(QBallowed[INT],MATCH(QBmatchups3[[#This Row],[Opp]],QBallowed[Team],0)),"0")</f>
        <v>0.6875</v>
      </c>
      <c r="BC30" s="32">
        <f>IFERROR(INDEX(QBstats1[Rush Att],MATCH(QBmatchups3[[#This Row],[Name]],QBstats1[Player],0)),"0")</f>
        <v>4.3920000000000003</v>
      </c>
      <c r="BD30" s="14">
        <f>IFERROR(INDEX(QBstats3[Rush Att],MATCH(QBmatchups3[[#This Row],[Name]],QBstats3[Player],0)),"0")</f>
        <v>4.7</v>
      </c>
      <c r="BE30" s="14">
        <f>IFERROR(INDEX(QBallowed[RushAtt],MATCH(QBmatchups3[[#This Row],[Opp]],QBallowed[Team],0)),"0")</f>
        <v>2.375</v>
      </c>
      <c r="BF30" s="32">
        <f>IFERROR(INDEX(QBstats1[Rush Yds],MATCH(QBmatchups3[[#This Row],[Name]],QBstats1[Player],0)),"0")</f>
        <v>24.259</v>
      </c>
      <c r="BG30" s="14">
        <f>IFERROR(INDEX(QBstats2[RushYards],MATCH(QBmatchups3[[#This Row],[Name]],QBstats2[Player],0)),"0")</f>
        <v>19.899999999999999</v>
      </c>
      <c r="BH30" s="14">
        <f>IFERROR(INDEX(QBstats3[RushYards],MATCH(QBmatchups3[[#This Row],[Name]],QBstats3[Player],0)),"0")</f>
        <v>25.3</v>
      </c>
      <c r="BI30" s="32">
        <f>IFERROR(INDEX(QBallowed[RushYard],MATCH(QBmatchups3[[#This Row],[Opp]],QBallowed[Team],0)),"0")</f>
        <v>11.5625</v>
      </c>
      <c r="BJ30" s="32">
        <f>IFERROR(INDEX(QBstats1[Rush TD],MATCH(QBmatchups3[[#This Row],[Name]],QBstats1[Player],0)),"0")</f>
        <v>0.14799999999999999</v>
      </c>
      <c r="BK30" s="14" t="str">
        <f>IFERROR(INDEX(QBstats2[RushTD],MATCH(QBmatchups3[[#This Row],[Name]],QBstats2[Player],0)),"0")</f>
        <v>0.2</v>
      </c>
      <c r="BL30" s="14">
        <f>IFERROR(INDEX(QBstats3[RushTD],MATCH(QBmatchups3[[#This Row],[Name]],QBstats3[Player],0)),"0")</f>
        <v>0.2</v>
      </c>
      <c r="BM30" s="32">
        <f>IFERROR(INDEX(QBallowed[RushTD],MATCH(QBmatchups3[[#This Row],[Opp]],QBallowed[Team],0)),"0")</f>
        <v>6.25E-2</v>
      </c>
      <c r="BN30" s="266">
        <f>IF(QBmatchups3[[#This Row],[Yards]]&gt;=300,3,0)</f>
        <v>0</v>
      </c>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row>
    <row r="31" spans="1:93" x14ac:dyDescent="0.3">
      <c r="A31" s="37">
        <f>QBstats1!AL21</f>
        <v>16</v>
      </c>
      <c r="B31" s="34" t="str">
        <f>QBstats1!D21</f>
        <v>Jimmy Garoppolo</v>
      </c>
      <c r="C31" s="172">
        <f>IFERROR(INDEX(Salaries[DraftKings (Price)],MATCH(QBmatchups3[[#This Row],[Name]],Salaries[Player],0)),"")</f>
        <v>5200</v>
      </c>
      <c r="D31" s="172">
        <f>IFERROR(INDEX(DK_Salary_Changes[WeekChange],MATCH(QBmatchups3[[#This Row],[Name]],DK_Salary_Changes[Player],0)),"")</f>
        <v>-400</v>
      </c>
      <c r="E31" s="14" t="str">
        <f>IFERROR(INDEX(Salaries[Team],MATCH(QBmatchups3[[#This Row],[Name]],Salaries[Player],0)),"")</f>
        <v>NE</v>
      </c>
      <c r="F31" s="14" t="str">
        <f>IFERROR(INDEX(Salaries[Opp],MATCH(QBmatchups3[[#This Row],[Team]],Salaries[Team],0)),"")</f>
        <v>BUF</v>
      </c>
      <c r="G31" s="405">
        <f>IFERROR(INDEX(QBYTD[Att],MATCH(QBmatchups3[Name],QBYTD[Player],0)),"")</f>
        <v>60</v>
      </c>
      <c r="H31" s="406">
        <f>IFERROR(INDEX(QBYTD[%],MATCH(QBmatchups3[Name],QBYTD[Player],0)),"")</f>
        <v>0.7</v>
      </c>
      <c r="I31" s="407">
        <f>IFERROR(INDEX(QBYTD[Pass Yds],MATCH(QBmatchups3[Name],QBYTD[Player],0)),"")</f>
        <v>498</v>
      </c>
      <c r="J31" s="407">
        <f>IFERROR(INDEX(QBYTD[Pass TD],MATCH(QBmatchups3[Name],QBYTD[Player],0)),"")</f>
        <v>4</v>
      </c>
      <c r="K31" s="407">
        <f>IFERROR(INDEX(QBYTD[Rush Yds],MATCH(QBmatchups3[Name],QBYTD[Player],0)),"")</f>
        <v>12</v>
      </c>
      <c r="L31" s="408">
        <f>IFERROR(INDEX(QBYTD[Rush TD],MATCH(QBmatchups3[Name],QBYTD[Player],0)),"")</f>
        <v>0</v>
      </c>
      <c r="M31" s="418">
        <f>IFERROR(INDEX(Salaries[O/U],MATCH(QBmatchups3[[#This Row],[Team]],Salaries[Team],0)),"")</f>
        <v>44</v>
      </c>
      <c r="N31" s="19">
        <f>IFERROR(INDEX(Salaries[Team O/U],MATCH(QBmatchups3[[#This Row],[Team]],Salaries[Team],0)),"")</f>
        <v>24.25</v>
      </c>
      <c r="O31" s="417">
        <f>IFERROR(INDEX(Salaries[Spread],MATCH(QBmatchups3[[#This Row],[Team]],Salaries[Team],0)),"")</f>
        <v>-4.5</v>
      </c>
      <c r="P31" s="424">
        <f>IFERROR(INDEX(QBallowed[DVP],MATCH(QBmatchups3[[#This Row],[Opp]],QBallowed[Team],0)),IFERROR(INDEX(QBallowed[DVP],MATCH(QBmatchups3[[#This Row],[Opp]],QBallowed[OPP],0)),""))</f>
        <v>18</v>
      </c>
      <c r="Q31" s="431">
        <f>AVERAGE(QBmatchups3[[#This Row],[Att1]:[Atta]])</f>
        <v>30.207625</v>
      </c>
      <c r="R31" s="32">
        <f>AVERAGE(QBmatchups3[[#This Row],[Comp1]:[Compa]])</f>
        <v>19.411249999999999</v>
      </c>
      <c r="S31" s="18">
        <f>SUM(QBmatchups3[[#This Row],[Comp]]/QBmatchups3[[#This Row],[Attempts]])</f>
        <v>0.64259437807507203</v>
      </c>
      <c r="T31" s="32">
        <f>AVERAGE(QBmatchups3[[#This Row],[Yards1]:[Yardsa]])</f>
        <v>218.58375000000001</v>
      </c>
      <c r="U31" s="19">
        <f>SUM(QBmatchups3[[#This Row],[Yards]]/QBmatchups3[[#This Row],[Attempts]])</f>
        <v>7.2360455348608177</v>
      </c>
      <c r="V31" s="32">
        <f>AVERAGE(QBmatchups3[[#This Row],[TD1]:[Tda]])</f>
        <v>1.7891666666666666</v>
      </c>
      <c r="W31" s="32">
        <f>AVERAGE(QBmatchups3[[#This Row],[INT1]:[INTa]])</f>
        <v>0.82950000000000002</v>
      </c>
      <c r="X31" s="19">
        <f>AVERAGE(QBmatchups3[[#This Row],[RushAtt1]:[RushAtta]])</f>
        <v>2.8173333333333335</v>
      </c>
      <c r="Y31" s="32">
        <f>AVERAGE(QBmatchups3[[#This Row],[RushYards1]:[RushYardsa]])</f>
        <v>7.6466250000000002</v>
      </c>
      <c r="Z31" s="32">
        <f>AVERAGE(QBmatchups3[[#This Row],[RushTD1]:[RushTDa]])</f>
        <v>7.8E-2</v>
      </c>
      <c r="AA31" s="8">
        <f>_xlfn.RANK.EQ(QBmatchups3[[#This Row],[Projection]],QBmatchups3[Projection],0)</f>
        <v>21</v>
      </c>
      <c r="AB31" s="45">
        <f>SUM(QBmatchups3[[#This Row],[Yards]]*0.04)+(QBmatchups3[[#This Row],[Pass TD]]*4)+(QBmatchups3[[#This Row],[RushYards]]*0.1)+(QBmatchups3[[#This Row],[RushTD]]*6)+(QBmatchups3[[#This Row],[INT]]*-1)+(QBmatchups3[[#This Row],[300+]])</f>
        <v>16.303179166666666</v>
      </c>
      <c r="AC31" s="433">
        <f>_xlfn.RANK.EQ(QBmatchups3[[#This Row],[$/FP]],QBmatchups3[$/FP],1)</f>
        <v>7</v>
      </c>
      <c r="AD31" s="427">
        <f>SUM(QBmatchups3[[#This Row],[Salary]]/QBmatchups3[[#This Row],[Projection]])</f>
        <v>318.95619540462837</v>
      </c>
      <c r="AE31" s="316">
        <f>_xlfn.RANK.EQ(QBmatchups3[[#This Row],[Average]],QBmatchups3[Average],1)</f>
        <v>14</v>
      </c>
      <c r="AF31" s="316">
        <f>AVERAGE(QBmatchups3[[#This Row],[Proj Rank]],QBmatchups3[[#This Row],[Value Rank]])</f>
        <v>14</v>
      </c>
      <c r="AG31" s="214">
        <f>QBmatchups3[[#This Row],[Salary]]/50000</f>
        <v>0.104</v>
      </c>
      <c r="AH31" s="214"/>
      <c r="AI31" s="32">
        <f>IFERROR(INDEX(QBstats1[Pass Att],MATCH(QBmatchups3[[#This Row],[Name]],QBstats1[Player],0)),"0")</f>
        <v>32.268000000000001</v>
      </c>
      <c r="AJ31" s="32">
        <f>IFERROR(INDEX(QBstats2[PassAtt],MATCH(QBmatchups3[[#This Row],[Name]],QBstats2[Player],0)),"0")</f>
        <v>11.9</v>
      </c>
      <c r="AK31" s="45">
        <f>IFERROR(INDEX(QBstats3[PassAtt],MATCH(QBmatchups3[[#This Row],[Name]],QBstats3[Player],0)),"0")</f>
        <v>39.1</v>
      </c>
      <c r="AL31" s="32">
        <f>IFERROR(INDEX(QBallowed[Att],MATCH(QBmatchups3[[#This Row],[Opp]],QBallowed[Team],0)),"0")</f>
        <v>37.5625</v>
      </c>
      <c r="AM31" s="32">
        <f>IFERROR(INDEX(QBstats1[Pass Comp],MATCH(QBmatchups3[[#This Row],[Name]],QBstats1[Player],0)),"0")</f>
        <v>20.47</v>
      </c>
      <c r="AN31" s="14">
        <f>IFERROR(INDEX(QBstats2[PassComp],MATCH(QBmatchups3[[#This Row],[Name]],QBstats2[Player],0)),"0")</f>
        <v>7.3</v>
      </c>
      <c r="AO31" s="14">
        <f>IFERROR(INDEX(QBstats3[PassComp],MATCH(QBmatchups3[[#This Row],[Name]],QBstats3[Player],0)),"0")</f>
        <v>25.5</v>
      </c>
      <c r="AP31" s="32">
        <f>IFERROR(INDEX(QBallowed[Cmp],MATCH(QBmatchups3[[#This Row],[Opp]],QBallowed[Team],0)),"0")</f>
        <v>24.375</v>
      </c>
      <c r="AQ31" s="32">
        <f>IFERROR(INDEX(QBstats1[Pass Yds],MATCH(QBmatchups3[[#This Row],[Name]],QBstats1[Player],0)),"0")</f>
        <v>247.23500000000001</v>
      </c>
      <c r="AR31" s="14">
        <f>IFERROR(INDEX(QBstats2[PassYards],MATCH(QBmatchups3[[#This Row],[Name]],QBstats2[Player],0)),"0")</f>
        <v>83.8</v>
      </c>
      <c r="AS31" s="14">
        <f>IFERROR(INDEX(QBstats3[PassYards],MATCH(QBmatchups3[[#This Row],[Name]],QBstats3[Player],0)),"0")</f>
        <v>260.3</v>
      </c>
      <c r="AT31" s="32">
        <f>IFERROR(INDEX(QBallowed[Yards],MATCH(QBmatchups3[[#This Row],[Opp]],QBallowed[Team],0)),"0")</f>
        <v>283</v>
      </c>
      <c r="AU31" s="32">
        <f>IFERROR(INDEX(QBstats1[Pass TD],MATCH(QBmatchups3[[#This Row],[Name]],QBstats1[Player],0)),"0")</f>
        <v>1.5549999999999999</v>
      </c>
      <c r="AV31" s="14" t="str">
        <f>IFERROR(INDEX(QBstats2[PassTD],MATCH(QBmatchups3[[#This Row],[Name]],QBstats2[Player],0)),"0")</f>
        <v>0.6</v>
      </c>
      <c r="AW31" s="14">
        <f>IFERROR(INDEX(QBstats3[PassTD],MATCH(QBmatchups3[[#This Row],[Name]],QBstats3[Player],0)),"0")</f>
        <v>2</v>
      </c>
      <c r="AX31" s="32">
        <f>IFERROR(INDEX(QBallowed[TD],MATCH(QBmatchups3[[#This Row],[Opp]],QBallowed[Team],0)),"0")</f>
        <v>1.8125</v>
      </c>
      <c r="AY31" s="32">
        <f>IFERROR(INDEX(QBstats1[INT],MATCH(QBmatchups3[[#This Row],[Name]],QBstats1[Player],0)),"0")</f>
        <v>0.82599999999999996</v>
      </c>
      <c r="AZ31" s="14" t="str">
        <f>IFERROR(INDEX(QBstats2[Int],MATCH(QBmatchups3[[#This Row],[Name]],QBstats2[Player],0)),"0")</f>
        <v>0.4</v>
      </c>
      <c r="BA31" s="14">
        <f>IFERROR(INDEX(QBstats3[INT],MATCH(QBmatchups3[[#This Row],[Name]],QBstats3[Player],0)),"0")</f>
        <v>1.1000000000000001</v>
      </c>
      <c r="BB31" s="32">
        <f>IFERROR(INDEX(QBallowed[INT],MATCH(QBmatchups3[[#This Row],[Opp]],QBallowed[Team],0)),"0")</f>
        <v>0.5625</v>
      </c>
      <c r="BC31" s="32">
        <f>IFERROR(INDEX(QBstats1[Rush Att],MATCH(QBmatchups3[[#This Row],[Name]],QBstats1[Player],0)),"0")</f>
        <v>1.627</v>
      </c>
      <c r="BD31" s="14">
        <f>IFERROR(INDEX(QBstats3[Rush Att],MATCH(QBmatchups3[[#This Row],[Name]],QBstats3[Player],0)),"0")</f>
        <v>2.2000000000000002</v>
      </c>
      <c r="BE31" s="14">
        <f>IFERROR(INDEX(QBallowed[RushAtt],MATCH(QBmatchups3[[#This Row],[Opp]],QBallowed[Team],0)),"0")</f>
        <v>4.625</v>
      </c>
      <c r="BF31" s="32">
        <f>IFERROR(INDEX(QBstats1[Rush Yds],MATCH(QBmatchups3[[#This Row],[Name]],QBstats1[Player],0)),"0")</f>
        <v>4.4989999999999997</v>
      </c>
      <c r="BG31" s="14">
        <f>IFERROR(INDEX(QBstats2[RushYards],MATCH(QBmatchups3[[#This Row],[Name]],QBstats2[Player],0)),"0")</f>
        <v>1.3</v>
      </c>
      <c r="BH31" s="14">
        <f>IFERROR(INDEX(QBstats3[RushYards],MATCH(QBmatchups3[[#This Row],[Name]],QBstats3[Player],0)),"0")</f>
        <v>7.1</v>
      </c>
      <c r="BI31" s="32">
        <f>IFERROR(INDEX(QBallowed[RushYard],MATCH(QBmatchups3[[#This Row],[Opp]],QBallowed[Team],0)),"0")</f>
        <v>17.6875</v>
      </c>
      <c r="BJ31" s="32">
        <f>IFERROR(INDEX(QBstats1[Rush TD],MATCH(QBmatchups3[[#This Row],[Name]],QBstats1[Player],0)),"0")</f>
        <v>0.109</v>
      </c>
      <c r="BK31" s="14" t="str">
        <f>IFERROR(INDEX(QBstats2[RushTD],MATCH(QBmatchups3[[#This Row],[Name]],QBstats2[Player],0)),"0")</f>
        <v>0</v>
      </c>
      <c r="BL31" s="14">
        <f>IFERROR(INDEX(QBstats3[RushTD],MATCH(QBmatchups3[[#This Row],[Name]],QBstats3[Player],0)),"0")</f>
        <v>0</v>
      </c>
      <c r="BM31" s="32">
        <f>IFERROR(INDEX(QBallowed[RushTD],MATCH(QBmatchups3[[#This Row],[Opp]],QBallowed[Team],0)),"0")</f>
        <v>0.125</v>
      </c>
      <c r="BN31" s="266">
        <f>IF(QBmatchups3[[#This Row],[Yards]]&gt;=300,3,0)</f>
        <v>0</v>
      </c>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row>
    <row r="32" spans="1:93" x14ac:dyDescent="0.3">
      <c r="A32" s="37">
        <f>QBstats1!AL26</f>
        <v>15.7</v>
      </c>
      <c r="B32" s="34" t="str">
        <f>QBstats1!D26</f>
        <v>Brian Hoyer</v>
      </c>
      <c r="C32" s="172">
        <f>IFERROR(INDEX(Salaries[DraftKings (Price)],MATCH(QBmatchups3[[#This Row],[Name]],Salaries[Player],0)),"")</f>
        <v>5000</v>
      </c>
      <c r="D32" s="172">
        <f>IFERROR(INDEX(DK_Salary_Changes[WeekChange],MATCH(QBmatchups3[[#This Row],[Name]],DK_Salary_Changes[Player],0)),"")</f>
        <v>0</v>
      </c>
      <c r="E32" s="14" t="str">
        <f>IFERROR(INDEX(Salaries[Team],MATCH(QBmatchups3[[#This Row],[Name]],Salaries[Player],0)),"")</f>
        <v>CHI</v>
      </c>
      <c r="F32" s="14" t="str">
        <f>IFERROR(INDEX(Salaries[Opp],MATCH(QBmatchups3[[#This Row],[Team]],Salaries[Team],0)),"")</f>
        <v>DET</v>
      </c>
      <c r="G32" s="405">
        <f>IFERROR(INDEX(QBYTD[Att],MATCH(QBmatchups3[Name],QBYTD[Player],0)),"")</f>
        <v>61</v>
      </c>
      <c r="H32" s="406">
        <f>IFERROR(INDEX(QBYTD[%],MATCH(QBmatchups3[Name],QBYTD[Player],0)),"")</f>
        <v>0.63900000000000001</v>
      </c>
      <c r="I32" s="407">
        <f>IFERROR(INDEX(QBYTD[Pass Yds],MATCH(QBmatchups3[Name],QBYTD[Player],0)),"")</f>
        <v>395</v>
      </c>
      <c r="J32" s="407">
        <f>IFERROR(INDEX(QBYTD[Pass TD],MATCH(QBmatchups3[Name],QBYTD[Player],0)),"")</f>
        <v>2</v>
      </c>
      <c r="K32" s="407">
        <f>IFERROR(INDEX(QBYTD[Rush Yds],MATCH(QBmatchups3[Name],QBYTD[Player],0)),"")</f>
        <v>-3</v>
      </c>
      <c r="L32" s="408">
        <f>IFERROR(INDEX(QBYTD[Rush TD],MATCH(QBmatchups3[Name],QBYTD[Player],0)),"")</f>
        <v>0</v>
      </c>
      <c r="M32" s="416">
        <f>IFERROR(INDEX(Salaries[O/U],MATCH(QBmatchups3[[#This Row],[Team]],Salaries[Team],0)),"")</f>
        <v>46.5</v>
      </c>
      <c r="N32" s="14">
        <f>IFERROR(INDEX(Salaries[Team O/U],MATCH(QBmatchups3[[#This Row],[Team]],Salaries[Team],0)),"")</f>
        <v>21.75</v>
      </c>
      <c r="O32" s="417">
        <f>IFERROR(INDEX(Salaries[Spread],MATCH(QBmatchups3[[#This Row],[Team]],Salaries[Team],0)),"")</f>
        <v>3</v>
      </c>
      <c r="P32" s="424">
        <f>IFERROR(INDEX(QBallowed[DVP],MATCH(QBmatchups3[[#This Row],[Opp]],QBallowed[Team],0)),IFERROR(INDEX(QBallowed[DVP],MATCH(QBmatchups3[[#This Row],[Opp]],QBallowed[OPP],0)),""))</f>
        <v>21</v>
      </c>
      <c r="Q32" s="431">
        <f>AVERAGE(QBmatchups3[[#This Row],[Att1]:[Atta]])</f>
        <v>30.057000000000002</v>
      </c>
      <c r="R32" s="32">
        <f>AVERAGE(QBmatchups3[[#This Row],[Comp1]:[Compa]])</f>
        <v>19.860499999999998</v>
      </c>
      <c r="S32" s="18">
        <f>SUM(QBmatchups3[[#This Row],[Comp]]/QBmatchups3[[#This Row],[Attempts]])</f>
        <v>0.66076122034800533</v>
      </c>
      <c r="T32" s="32">
        <f>AVERAGE(QBmatchups3[[#This Row],[Yards1]:[Yardsa]])</f>
        <v>221.5505</v>
      </c>
      <c r="U32" s="19">
        <f>SUM(QBmatchups3[[#This Row],[Yards]]/QBmatchups3[[#This Row],[Attempts]])</f>
        <v>7.3710117443523968</v>
      </c>
      <c r="V32" s="32">
        <f>AVERAGE(QBmatchups3[[#This Row],[TD1]:[Tda]])</f>
        <v>1.7758333333333336</v>
      </c>
      <c r="W32" s="32">
        <f>AVERAGE(QBmatchups3[[#This Row],[INT1]:[INTa]])</f>
        <v>0.80616666666666659</v>
      </c>
      <c r="X32" s="19">
        <f>AVERAGE(QBmatchups3[[#This Row],[RushAtt1]:[RushAtta]])</f>
        <v>1.9266666666666667</v>
      </c>
      <c r="Y32" s="32">
        <f>AVERAGE(QBmatchups3[[#This Row],[RushYards1]:[RushYardsa]])</f>
        <v>6.4662500000000005</v>
      </c>
      <c r="Z32" s="32">
        <f>AVERAGE(QBmatchups3[[#This Row],[RushTD1]:[RushTDa]])</f>
        <v>8.2833333333333328E-2</v>
      </c>
      <c r="AA32" s="8">
        <f>_xlfn.RANK.EQ(QBmatchups3[[#This Row],[Projection]],QBmatchups3[Projection],0)</f>
        <v>22</v>
      </c>
      <c r="AB32" s="45">
        <f>SUM(QBmatchups3[[#This Row],[Yards]]*0.04)+(QBmatchups3[[#This Row],[Pass TD]]*4)+(QBmatchups3[[#This Row],[RushYards]]*0.1)+(QBmatchups3[[#This Row],[RushTD]]*6)+(QBmatchups3[[#This Row],[INT]]*-1)+(QBmatchups3[[#This Row],[300+]])</f>
        <v>16.302811666666667</v>
      </c>
      <c r="AC32" s="433">
        <f>_xlfn.RANK.EQ(QBmatchups3[[#This Row],[$/FP]],QBmatchups3[$/FP],1)</f>
        <v>2</v>
      </c>
      <c r="AD32" s="427">
        <f>SUM(QBmatchups3[[#This Row],[Salary]]/QBmatchups3[[#This Row],[Projection]])</f>
        <v>306.69556284105187</v>
      </c>
      <c r="AE32" s="316">
        <f>_xlfn.RANK.EQ(QBmatchups3[[#This Row],[Average]],QBmatchups3[Average],1)</f>
        <v>10</v>
      </c>
      <c r="AF32" s="316">
        <f>AVERAGE(QBmatchups3[[#This Row],[Proj Rank]],QBmatchups3[[#This Row],[Value Rank]])</f>
        <v>12</v>
      </c>
      <c r="AG32" s="214">
        <f>QBmatchups3[[#This Row],[Salary]]/50000</f>
        <v>0.1</v>
      </c>
      <c r="AH32" s="214"/>
      <c r="AI32" s="32">
        <f>IFERROR(INDEX(QBstats1[Pass Att],MATCH(QBmatchups3[[#This Row],[Name]],QBstats1[Player],0)),"0")</f>
        <v>37.152999999999999</v>
      </c>
      <c r="AJ32" s="32">
        <f>IFERROR(INDEX(QBstats2[PassAtt],MATCH(QBmatchups3[[#This Row],[Name]],QBstats2[Player],0)),"0")</f>
        <v>16</v>
      </c>
      <c r="AK32" s="45">
        <f>IFERROR(INDEX(QBstats3[PassAtt],MATCH(QBmatchups3[[#This Row],[Name]],QBstats3[Player],0)),"0")</f>
        <v>33.200000000000003</v>
      </c>
      <c r="AL32" s="32">
        <f>IFERROR(INDEX(QBallowed[Att],MATCH(QBmatchups3[[#This Row],[Opp]],QBallowed[Team],0)),"0")</f>
        <v>33.875</v>
      </c>
      <c r="AM32" s="32">
        <f>IFERROR(INDEX(QBstats1[Pass Comp],MATCH(QBmatchups3[[#This Row],[Name]],QBstats1[Player],0)),"0")</f>
        <v>24.016999999999999</v>
      </c>
      <c r="AN32" s="14">
        <f>IFERROR(INDEX(QBstats2[PassComp],MATCH(QBmatchups3[[#This Row],[Name]],QBstats2[Player],0)),"0")</f>
        <v>10</v>
      </c>
      <c r="AO32" s="14">
        <f>IFERROR(INDEX(QBstats3[PassComp],MATCH(QBmatchups3[[#This Row],[Name]],QBstats3[Player],0)),"0")</f>
        <v>21.8</v>
      </c>
      <c r="AP32" s="32">
        <f>IFERROR(INDEX(QBallowed[Cmp],MATCH(QBmatchups3[[#This Row],[Opp]],QBallowed[Team],0)),"0")</f>
        <v>23.625</v>
      </c>
      <c r="AQ32" s="32">
        <f>IFERROR(INDEX(QBstats1[Pass Yds],MATCH(QBmatchups3[[#This Row],[Name]],QBstats1[Player],0)),"0")</f>
        <v>257.40199999999999</v>
      </c>
      <c r="AR32" s="14">
        <f>IFERROR(INDEX(QBstats2[PassYards],MATCH(QBmatchups3[[#This Row],[Name]],QBstats2[Player],0)),"0")</f>
        <v>115.2</v>
      </c>
      <c r="AS32" s="14">
        <f>IFERROR(INDEX(QBstats3[PassYards],MATCH(QBmatchups3[[#This Row],[Name]],QBstats3[Player],0)),"0")</f>
        <v>259.10000000000002</v>
      </c>
      <c r="AT32" s="32">
        <f>IFERROR(INDEX(QBallowed[Yards],MATCH(QBmatchups3[[#This Row],[Opp]],QBallowed[Team],0)),"0")</f>
        <v>254.5</v>
      </c>
      <c r="AU32" s="32">
        <f>IFERROR(INDEX(QBstats1[Pass TD],MATCH(QBmatchups3[[#This Row],[Name]],QBstats1[Player],0)),"0")</f>
        <v>1.59</v>
      </c>
      <c r="AV32" s="14" t="str">
        <f>IFERROR(INDEX(QBstats2[PassTD],MATCH(QBmatchups3[[#This Row],[Name]],QBstats2[Player],0)),"0")</f>
        <v>0.6</v>
      </c>
      <c r="AW32" s="14">
        <f>IFERROR(INDEX(QBstats3[PassTD],MATCH(QBmatchups3[[#This Row],[Name]],QBstats3[Player],0)),"0")</f>
        <v>1.8</v>
      </c>
      <c r="AX32" s="32">
        <f>IFERROR(INDEX(QBallowed[TD],MATCH(QBmatchups3[[#This Row],[Opp]],QBallowed[Team],0)),"0")</f>
        <v>1.9375</v>
      </c>
      <c r="AY32" s="32">
        <f>IFERROR(INDEX(QBstats1[INT],MATCH(QBmatchups3[[#This Row],[Name]],QBstats1[Player],0)),"0")</f>
        <v>1.0309999999999999</v>
      </c>
      <c r="AZ32" s="14" t="str">
        <f>IFERROR(INDEX(QBstats2[Int],MATCH(QBmatchups3[[#This Row],[Name]],QBstats2[Player],0)),"0")</f>
        <v>0.4</v>
      </c>
      <c r="BA32" s="14">
        <f>IFERROR(INDEX(QBstats3[INT],MATCH(QBmatchups3[[#This Row],[Name]],QBstats3[Player],0)),"0")</f>
        <v>0.7</v>
      </c>
      <c r="BB32" s="32">
        <f>IFERROR(INDEX(QBallowed[INT],MATCH(QBmatchups3[[#This Row],[Opp]],QBallowed[Team],0)),"0")</f>
        <v>0.6875</v>
      </c>
      <c r="BC32" s="32">
        <f>IFERROR(INDEX(QBstats1[Rush Att],MATCH(QBmatchups3[[#This Row],[Name]],QBstats1[Player],0)),"0")</f>
        <v>0.55500000000000005</v>
      </c>
      <c r="BD32" s="14">
        <f>IFERROR(INDEX(QBstats3[Rush Att],MATCH(QBmatchups3[[#This Row],[Name]],QBstats3[Player],0)),"0")</f>
        <v>2.1</v>
      </c>
      <c r="BE32" s="14">
        <f>IFERROR(INDEX(QBallowed[RushAtt],MATCH(QBmatchups3[[#This Row],[Opp]],QBallowed[Team],0)),"0")</f>
        <v>3.125</v>
      </c>
      <c r="BF32" s="32">
        <f>IFERROR(INDEX(QBstats1[Rush Yds],MATCH(QBmatchups3[[#This Row],[Name]],QBstats1[Player],0)),"0")</f>
        <v>1.94</v>
      </c>
      <c r="BG32" s="14">
        <f>IFERROR(INDEX(QBstats2[RushYards],MATCH(QBmatchups3[[#This Row],[Name]],QBstats2[Player],0)),"0")</f>
        <v>6.5</v>
      </c>
      <c r="BH32" s="14">
        <f>IFERROR(INDEX(QBstats3[RushYards],MATCH(QBmatchups3[[#This Row],[Name]],QBstats3[Player],0)),"0")</f>
        <v>9.3000000000000007</v>
      </c>
      <c r="BI32" s="32">
        <f>IFERROR(INDEX(QBallowed[RushYard],MATCH(QBmatchups3[[#This Row],[Opp]],QBallowed[Team],0)),"0")</f>
        <v>8.125</v>
      </c>
      <c r="BJ32" s="32">
        <f>IFERROR(INDEX(QBstats1[Rush TD],MATCH(QBmatchups3[[#This Row],[Name]],QBstats1[Player],0)),"0")</f>
        <v>6.0999999999999999E-2</v>
      </c>
      <c r="BK32" s="14" t="str">
        <f>IFERROR(INDEX(QBstats2[RushTD],MATCH(QBmatchups3[[#This Row],[Name]],QBstats2[Player],0)),"0")</f>
        <v>0.1</v>
      </c>
      <c r="BL32" s="14">
        <f>IFERROR(INDEX(QBstats3[RushTD],MATCH(QBmatchups3[[#This Row],[Name]],QBstats3[Player],0)),"0")</f>
        <v>0</v>
      </c>
      <c r="BM32" s="32">
        <f>IFERROR(INDEX(QBallowed[RushTD],MATCH(QBmatchups3[[#This Row],[Opp]],QBallowed[Team],0)),"0")</f>
        <v>0.1875</v>
      </c>
      <c r="BN32" s="266">
        <f>IF(QBmatchups3[[#This Row],[Yards]]&gt;=300,3,0)</f>
        <v>0</v>
      </c>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row>
    <row r="33" spans="1:93" x14ac:dyDescent="0.3">
      <c r="A33" s="37">
        <f>QBstats1!AL18</f>
        <v>16.7</v>
      </c>
      <c r="B33" s="34" t="str">
        <f>QBstats1!D18</f>
        <v>Trevor Siemian</v>
      </c>
      <c r="C33" s="172">
        <f>IFERROR(INDEX(Salaries[DraftKings (Price)],MATCH(QBmatchups3[[#This Row],[Name]],Salaries[Player],0)),"")</f>
        <v>5400</v>
      </c>
      <c r="D33" s="172">
        <f>IFERROR(INDEX(DK_Salary_Changes[WeekChange],MATCH(QBmatchups3[[#This Row],[Name]],DK_Salary_Changes[Player],0)),"")</f>
        <v>300</v>
      </c>
      <c r="E33" s="14" t="str">
        <f>IFERROR(INDEX(Salaries[Team],MATCH(QBmatchups3[[#This Row],[Name]],Salaries[Player],0)),"")</f>
        <v>DEN</v>
      </c>
      <c r="F33" s="14" t="str">
        <f>IFERROR(INDEX(Salaries[Opp],MATCH(QBmatchups3[[#This Row],[Team]],Salaries[Team],0)),"")</f>
        <v>@TB</v>
      </c>
      <c r="G33" s="405">
        <f>IFERROR(INDEX(QBYTD[Att],MATCH(QBmatchups3[Name],QBYTD[Player],0)),"")</f>
        <v>94</v>
      </c>
      <c r="H33" s="406">
        <f>IFERROR(INDEX(QBYTD[%],MATCH(QBmatchups3[Name],QBYTD[Player],0)),"")</f>
        <v>0.67</v>
      </c>
      <c r="I33" s="407">
        <f>IFERROR(INDEX(QBYTD[Pass Yds],MATCH(QBmatchups3[Name],QBYTD[Player],0)),"")</f>
        <v>756</v>
      </c>
      <c r="J33" s="407">
        <f>IFERROR(INDEX(QBYTD[Pass TD],MATCH(QBmatchups3[Name],QBYTD[Player],0)),"")</f>
        <v>5</v>
      </c>
      <c r="K33" s="407">
        <f>IFERROR(INDEX(QBYTD[Rush Yds],MATCH(QBmatchups3[Name],QBYTD[Player],0)),"")</f>
        <v>32</v>
      </c>
      <c r="L33" s="408">
        <f>IFERROR(INDEX(QBYTD[Rush TD],MATCH(QBmatchups3[Name],QBYTD[Player],0)),"")</f>
        <v>0</v>
      </c>
      <c r="M33" s="416">
        <f>IFERROR(INDEX(Salaries[O/U],MATCH(QBmatchups3[[#This Row],[Team]],Salaries[Team],0)),"")</f>
        <v>44</v>
      </c>
      <c r="N33" s="14">
        <f>IFERROR(INDEX(Salaries[Team O/U],MATCH(QBmatchups3[[#This Row],[Team]],Salaries[Team],0)),"")</f>
        <v>23.5</v>
      </c>
      <c r="O33" s="417">
        <f>IFERROR(INDEX(Salaries[Spread],MATCH(QBmatchups3[[#This Row],[Team]],Salaries[Team],0)),"")</f>
        <v>-3</v>
      </c>
      <c r="P33" s="424">
        <f>IFERROR(INDEX(QBallowed[DVP],MATCH(QBmatchups3[[#This Row],[Opp]],QBallowed[Team],0)),IFERROR(INDEX(QBallowed[DVP],MATCH(QBmatchups3[[#This Row],[Opp]],QBallowed[OPP],0)),""))</f>
        <v>22</v>
      </c>
      <c r="Q33" s="431">
        <f>AVERAGE(QBmatchups3[[#This Row],[Att1]:[Atta]])</f>
        <v>33.187666666666665</v>
      </c>
      <c r="R33" s="32">
        <f>AVERAGE(QBmatchups3[[#This Row],[Comp1]:[Compa]])</f>
        <v>20.871666666666666</v>
      </c>
      <c r="S33" s="18">
        <f>SUM(QBmatchups3[[#This Row],[Comp]]/QBmatchups3[[#This Row],[Attempts]])</f>
        <v>0.62889828550766858</v>
      </c>
      <c r="T33" s="32">
        <f>AVERAGE(QBmatchups3[[#This Row],[Yards1]:[Yardsa]])</f>
        <v>246.99966666666668</v>
      </c>
      <c r="U33" s="19">
        <f>SUM(QBmatchups3[[#This Row],[Yards]]/QBmatchups3[[#This Row],[Attempts]])</f>
        <v>7.4425137852415064</v>
      </c>
      <c r="V33" s="32">
        <f>AVERAGE(QBmatchups3[[#This Row],[TD1]:[Tda]])</f>
        <v>1.4816666666666667</v>
      </c>
      <c r="W33" s="32">
        <f>AVERAGE(QBmatchups3[[#This Row],[INT1]:[INTa]])</f>
        <v>0.83950000000000002</v>
      </c>
      <c r="X33" s="19">
        <f>AVERAGE(QBmatchups3[[#This Row],[RushAtt1]:[RushAtta]])</f>
        <v>2.4375</v>
      </c>
      <c r="Y33" s="32">
        <f>AVERAGE(QBmatchups3[[#This Row],[RushYards1]:[RushYardsa]])</f>
        <v>9.4876666666666676</v>
      </c>
      <c r="Z33" s="32">
        <f>AVERAGE(QBmatchups3[[#This Row],[RushTD1]:[RushTDa]])</f>
        <v>6.3E-2</v>
      </c>
      <c r="AA33" s="8">
        <f>_xlfn.RANK.EQ(QBmatchups3[[#This Row],[Projection]],QBmatchups3[Projection],0)</f>
        <v>23</v>
      </c>
      <c r="AB33" s="45">
        <f>SUM(QBmatchups3[[#This Row],[Yards]]*0.04)+(QBmatchups3[[#This Row],[Pass TD]]*4)+(QBmatchups3[[#This Row],[RushYards]]*0.1)+(QBmatchups3[[#This Row],[RushTD]]*6)+(QBmatchups3[[#This Row],[INT]]*-1)+(QBmatchups3[[#This Row],[300+]])</f>
        <v>16.29392</v>
      </c>
      <c r="AC33" s="433">
        <f>_xlfn.RANK.EQ(QBmatchups3[[#This Row],[$/FP]],QBmatchups3[$/FP],1)</f>
        <v>12</v>
      </c>
      <c r="AD33" s="427">
        <f>SUM(QBmatchups3[[#This Row],[Salary]]/QBmatchups3[[#This Row],[Projection]])</f>
        <v>331.41196225340497</v>
      </c>
      <c r="AE33" s="316">
        <f>_xlfn.RANK.EQ(QBmatchups3[[#This Row],[Average]],QBmatchups3[Average],1)</f>
        <v>19</v>
      </c>
      <c r="AF33" s="316">
        <f>AVERAGE(QBmatchups3[[#This Row],[Proj Rank]],QBmatchups3[[#This Row],[Value Rank]])</f>
        <v>17.5</v>
      </c>
      <c r="AG33" s="214">
        <f>QBmatchups3[[#This Row],[Salary]]/50000</f>
        <v>0.108</v>
      </c>
      <c r="AH33" s="214"/>
      <c r="AI33" s="32">
        <f>IFERROR(INDEX(QBstats1[Pass Att],MATCH(QBmatchups3[[#This Row],[Name]],QBstats1[Player],0)),"0")</f>
        <v>33.762999999999998</v>
      </c>
      <c r="AJ33" s="32">
        <f>IFERROR(INDEX(QBstats2[PassAtt],MATCH(QBmatchups3[[#This Row],[Name]],QBstats2[Player],0)),"0")</f>
        <v>33.799999999999997</v>
      </c>
      <c r="AK33" s="45">
        <f>IFERROR(INDEX(QBstats3[PassAtt],MATCH(QBmatchups3[[#This Row],[Name]],QBstats3[Player],0)),"0")</f>
        <v>32</v>
      </c>
      <c r="AL33" s="32" t="str">
        <f>IFERROR(INDEX(QBallowed[Att],MATCH(QBmatchups3[[#This Row],[Opp]],QBallowed[Team],0)),"0")</f>
        <v>0</v>
      </c>
      <c r="AM33" s="32">
        <f>IFERROR(INDEX(QBstats1[Pass Comp],MATCH(QBmatchups3[[#This Row],[Name]],QBstats1[Player],0)),"0")</f>
        <v>21.215</v>
      </c>
      <c r="AN33" s="14">
        <f>IFERROR(INDEX(QBstats2[PassComp],MATCH(QBmatchups3[[#This Row],[Name]],QBstats2[Player],0)),"0")</f>
        <v>21.4</v>
      </c>
      <c r="AO33" s="14">
        <f>IFERROR(INDEX(QBstats3[PassComp],MATCH(QBmatchups3[[#This Row],[Name]],QBstats3[Player],0)),"0")</f>
        <v>20</v>
      </c>
      <c r="AP33" s="32" t="str">
        <f>IFERROR(INDEX(QBallowed[Cmp],MATCH(QBmatchups3[[#This Row],[Opp]],QBallowed[Team],0)),"0")</f>
        <v>0</v>
      </c>
      <c r="AQ33" s="32">
        <f>IFERROR(INDEX(QBstats1[Pass Yds],MATCH(QBmatchups3[[#This Row],[Name]],QBstats1[Player],0)),"0")</f>
        <v>254.09899999999999</v>
      </c>
      <c r="AR33" s="14">
        <f>IFERROR(INDEX(QBstats2[PassYards],MATCH(QBmatchups3[[#This Row],[Name]],QBstats2[Player],0)),"0")</f>
        <v>250</v>
      </c>
      <c r="AS33" s="14">
        <f>IFERROR(INDEX(QBstats3[PassYards],MATCH(QBmatchups3[[#This Row],[Name]],QBstats3[Player],0)),"0")</f>
        <v>236.9</v>
      </c>
      <c r="AT33" s="32" t="str">
        <f>IFERROR(INDEX(QBallowed[Yards],MATCH(QBmatchups3[[#This Row],[Opp]],QBallowed[Team],0)),"0")</f>
        <v>0</v>
      </c>
      <c r="AU33" s="32">
        <f>IFERROR(INDEX(QBstats1[Pass TD],MATCH(QBmatchups3[[#This Row],[Name]],QBstats1[Player],0)),"0")</f>
        <v>1.645</v>
      </c>
      <c r="AV33" s="14">
        <f>IFERROR(INDEX(QBstats2[PassTD],MATCH(QBmatchups3[[#This Row],[Name]],QBstats2[Player],0)),"0")</f>
        <v>1.2</v>
      </c>
      <c r="AW33" s="14">
        <f>IFERROR(INDEX(QBstats3[PassTD],MATCH(QBmatchups3[[#This Row],[Name]],QBstats3[Player],0)),"0")</f>
        <v>1.6</v>
      </c>
      <c r="AX33" s="32" t="str">
        <f>IFERROR(INDEX(QBallowed[TD],MATCH(QBmatchups3[[#This Row],[Opp]],QBallowed[Team],0)),"0")</f>
        <v>0</v>
      </c>
      <c r="AY33" s="32">
        <f>IFERROR(INDEX(QBstats1[INT],MATCH(QBmatchups3[[#This Row],[Name]],QBstats1[Player],0)),"0")</f>
        <v>0.879</v>
      </c>
      <c r="AZ33" s="14" t="str">
        <f>IFERROR(INDEX(QBstats2[Int],MATCH(QBmatchups3[[#This Row],[Name]],QBstats2[Player],0)),"0")</f>
        <v>0.8</v>
      </c>
      <c r="BA33" s="14">
        <f>IFERROR(INDEX(QBstats3[INT],MATCH(QBmatchups3[[#This Row],[Name]],QBstats3[Player],0)),"0")</f>
        <v>0.8</v>
      </c>
      <c r="BB33" s="32" t="str">
        <f>IFERROR(INDEX(QBallowed[INT],MATCH(QBmatchups3[[#This Row],[Opp]],QBallowed[Team],0)),"0")</f>
        <v>0</v>
      </c>
      <c r="BC33" s="32">
        <f>IFERROR(INDEX(QBstats1[Rush Att],MATCH(QBmatchups3[[#This Row],[Name]],QBstats1[Player],0)),"0")</f>
        <v>3.4750000000000001</v>
      </c>
      <c r="BD33" s="14">
        <f>IFERROR(INDEX(QBstats3[Rush Att],MATCH(QBmatchups3[[#This Row],[Name]],QBstats3[Player],0)),"0")</f>
        <v>1.4</v>
      </c>
      <c r="BE33" s="14" t="str">
        <f>IFERROR(INDEX(QBallowed[RushAtt],MATCH(QBmatchups3[[#This Row],[Opp]],QBallowed[Team],0)),"0")</f>
        <v>0</v>
      </c>
      <c r="BF33" s="32">
        <f>IFERROR(INDEX(QBstats1[Rush Yds],MATCH(QBmatchups3[[#This Row],[Name]],QBstats1[Player],0)),"0")</f>
        <v>10.563000000000001</v>
      </c>
      <c r="BG33" s="14">
        <f>IFERROR(INDEX(QBstats2[RushYards],MATCH(QBmatchups3[[#This Row],[Name]],QBstats2[Player],0)),"0")</f>
        <v>14.4</v>
      </c>
      <c r="BH33" s="14">
        <f>IFERROR(INDEX(QBstats3[RushYards],MATCH(QBmatchups3[[#This Row],[Name]],QBstats3[Player],0)),"0")</f>
        <v>3.5</v>
      </c>
      <c r="BI33" s="32" t="str">
        <f>IFERROR(INDEX(QBallowed[RushYard],MATCH(QBmatchups3[[#This Row],[Opp]],QBallowed[Team],0)),"0")</f>
        <v>0</v>
      </c>
      <c r="BJ33" s="32">
        <f>IFERROR(INDEX(QBstats1[Rush TD],MATCH(QBmatchups3[[#This Row],[Name]],QBstats1[Player],0)),"0")</f>
        <v>2.5999999999999999E-2</v>
      </c>
      <c r="BK33" s="14" t="str">
        <f>IFERROR(INDEX(QBstats2[RushTD],MATCH(QBmatchups3[[#This Row],[Name]],QBstats2[Player],0)),"0")</f>
        <v>0.2</v>
      </c>
      <c r="BL33" s="14">
        <f>IFERROR(INDEX(QBstats3[RushTD],MATCH(QBmatchups3[[#This Row],[Name]],QBstats3[Player],0)),"0")</f>
        <v>0.1</v>
      </c>
      <c r="BM33" s="32" t="str">
        <f>IFERROR(INDEX(QBallowed[RushTD],MATCH(QBmatchups3[[#This Row],[Opp]],QBallowed[Team],0)),"0")</f>
        <v>0</v>
      </c>
      <c r="BN33" s="266">
        <f>IF(QBmatchups3[[#This Row],[Yards]]&gt;=300,3,0)</f>
        <v>0</v>
      </c>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row>
    <row r="34" spans="1:93" x14ac:dyDescent="0.3">
      <c r="A34" s="37">
        <f>QBstats1!AL23</f>
        <v>15.9</v>
      </c>
      <c r="B34" s="34" t="str">
        <f>QBstats1!D23</f>
        <v>Sam Bradford</v>
      </c>
      <c r="C34" s="172">
        <f>IFERROR(INDEX(Salaries[DraftKings (Price)],MATCH(QBmatchups3[[#This Row],[Name]],Salaries[Player],0)),"")</f>
        <v>5100</v>
      </c>
      <c r="D34" s="172">
        <f>IFERROR(INDEX(DK_Salary_Changes[WeekChange],MATCH(QBmatchups3[[#This Row],[Name]],DK_Salary_Changes[Player],0)),"")</f>
        <v>-200</v>
      </c>
      <c r="E34" s="14" t="str">
        <f>IFERROR(INDEX(Salaries[Team],MATCH(QBmatchups3[[#This Row],[Name]],Salaries[Player],0)),"")</f>
        <v>MIN</v>
      </c>
      <c r="F34" s="14" t="str">
        <f>IFERROR(INDEX(Salaries[Opp],MATCH(QBmatchups3[[#This Row],[Team]],Salaries[Team],0)),"")</f>
        <v>NYG</v>
      </c>
      <c r="G34" s="405">
        <f>IFERROR(INDEX(QBYTD[Att],MATCH(QBmatchups3[Name],QBYTD[Player],0)),"")</f>
        <v>59</v>
      </c>
      <c r="H34" s="406">
        <f>IFERROR(INDEX(QBYTD[%],MATCH(QBmatchups3[Name],QBYTD[Player],0)),"")</f>
        <v>0.67800000000000005</v>
      </c>
      <c r="I34" s="407">
        <f>IFERROR(INDEX(QBYTD[Pass Yds],MATCH(QBmatchups3[Name],QBYTD[Player],0)),"")</f>
        <v>457</v>
      </c>
      <c r="J34" s="407">
        <f>IFERROR(INDEX(QBYTD[Pass TD],MATCH(QBmatchups3[Name],QBYTD[Player],0)),"")</f>
        <v>3</v>
      </c>
      <c r="K34" s="407">
        <f>IFERROR(INDEX(QBYTD[Rush Yds],MATCH(QBmatchups3[Name],QBYTD[Player],0)),"")</f>
        <v>-5</v>
      </c>
      <c r="L34" s="408">
        <f>IFERROR(INDEX(QBYTD[Rush TD],MATCH(QBmatchups3[Name],QBYTD[Player],0)),"")</f>
        <v>0</v>
      </c>
      <c r="M34" s="418">
        <f>IFERROR(INDEX(Salaries[O/U],MATCH(QBmatchups3[[#This Row],[Team]],Salaries[Team],0)),"")</f>
        <v>43.5</v>
      </c>
      <c r="N34" s="19">
        <f>IFERROR(INDEX(Salaries[Team O/U],MATCH(QBmatchups3[[#This Row],[Team]],Salaries[Team],0)),"")</f>
        <v>23.75</v>
      </c>
      <c r="O34" s="417">
        <f>IFERROR(INDEX(Salaries[Spread],MATCH(QBmatchups3[[#This Row],[Team]],Salaries[Team],0)),"")</f>
        <v>-4</v>
      </c>
      <c r="P34" s="424">
        <f>IFERROR(INDEX(QBallowed[DVP],MATCH(QBmatchups3[[#This Row],[Opp]],QBallowed[Team],0)),IFERROR(INDEX(QBallowed[DVP],MATCH(QBmatchups3[[#This Row],[Opp]],QBallowed[OPP],0)),""))</f>
        <v>31</v>
      </c>
      <c r="Q34" s="431">
        <f>AVERAGE(QBmatchups3[[#This Row],[Att1]:[Atta]])</f>
        <v>34.607999999999997</v>
      </c>
      <c r="R34" s="32">
        <f>AVERAGE(QBmatchups3[[#This Row],[Comp1]:[Compa]])</f>
        <v>22.501625000000001</v>
      </c>
      <c r="S34" s="18">
        <f>SUM(QBmatchups3[[#This Row],[Comp]]/QBmatchups3[[#This Row],[Attempts]])</f>
        <v>0.6501856507165974</v>
      </c>
      <c r="T34" s="32">
        <f>AVERAGE(QBmatchups3[[#This Row],[Yards1]:[Yardsa]])</f>
        <v>257.27687500000002</v>
      </c>
      <c r="U34" s="19">
        <f>SUM(QBmatchups3[[#This Row],[Yards]]/QBmatchups3[[#This Row],[Attempts]])</f>
        <v>7.4340289817383276</v>
      </c>
      <c r="V34" s="32">
        <f>AVERAGE(QBmatchups3[[#This Row],[TD1]:[Tda]])</f>
        <v>1.473625</v>
      </c>
      <c r="W34" s="32">
        <f>AVERAGE(QBmatchups3[[#This Row],[INT1]:[INTa]])</f>
        <v>0.73183333333333334</v>
      </c>
      <c r="X34" s="19">
        <f>AVERAGE(QBmatchups3[[#This Row],[RushAtt1]:[RushAtta]])</f>
        <v>2.0345</v>
      </c>
      <c r="Y34" s="32">
        <f>AVERAGE(QBmatchups3[[#This Row],[RushYards1]:[RushYardsa]])</f>
        <v>4.7771249999999998</v>
      </c>
      <c r="Z34" s="32">
        <f>AVERAGE(QBmatchups3[[#This Row],[RushTD1]:[RushTDa]])</f>
        <v>5.4166666666666669E-2</v>
      </c>
      <c r="AA34" s="8">
        <f>_xlfn.RANK.EQ(QBmatchups3[[#This Row],[Projection]],QBmatchups3[Projection],0)</f>
        <v>24</v>
      </c>
      <c r="AB34" s="45">
        <f>SUM(QBmatchups3[[#This Row],[Yards]]*0.04)+(QBmatchups3[[#This Row],[Pass TD]]*4)+(QBmatchups3[[#This Row],[RushYards]]*0.1)+(QBmatchups3[[#This Row],[RushTD]]*6)+(QBmatchups3[[#This Row],[INT]]*-1)+(QBmatchups3[[#This Row],[300+]])</f>
        <v>16.256454166666664</v>
      </c>
      <c r="AC34" s="433">
        <f>_xlfn.RANK.EQ(QBmatchups3[[#This Row],[$/FP]],QBmatchups3[$/FP],1)</f>
        <v>5</v>
      </c>
      <c r="AD34" s="427">
        <f>SUM(QBmatchups3[[#This Row],[Salary]]/QBmatchups3[[#This Row],[Projection]])</f>
        <v>313.72155008177526</v>
      </c>
      <c r="AE34" s="316">
        <f>_xlfn.RANK.EQ(QBmatchups3[[#This Row],[Average]],QBmatchups3[Average],1)</f>
        <v>16</v>
      </c>
      <c r="AF34" s="316">
        <f>AVERAGE(QBmatchups3[[#This Row],[Proj Rank]],QBmatchups3[[#This Row],[Value Rank]])</f>
        <v>14.5</v>
      </c>
      <c r="AG34" s="214">
        <f>QBmatchups3[[#This Row],[Salary]]/50000</f>
        <v>0.10199999999999999</v>
      </c>
      <c r="AH34" s="214"/>
      <c r="AI34" s="32">
        <f>IFERROR(INDEX(QBstats1[Pass Att],MATCH(QBmatchups3[[#This Row],[Name]],QBstats1[Player],0)),"0")</f>
        <v>36.582000000000001</v>
      </c>
      <c r="AJ34" s="32">
        <f>IFERROR(INDEX(QBstats2[PassAtt],MATCH(QBmatchups3[[#This Row],[Name]],QBstats2[Player],0)),"0")</f>
        <v>33.5</v>
      </c>
      <c r="AK34" s="45">
        <f>IFERROR(INDEX(QBstats3[PassAtt],MATCH(QBmatchups3[[#This Row],[Name]],QBstats3[Player],0)),"0")</f>
        <v>34.1</v>
      </c>
      <c r="AL34" s="32">
        <f>IFERROR(INDEX(QBallowed[Att],MATCH(QBmatchups3[[#This Row],[Opp]],QBallowed[Team],0)),"0")</f>
        <v>34.25</v>
      </c>
      <c r="AM34" s="32">
        <f>IFERROR(INDEX(QBstats1[Pass Comp],MATCH(QBmatchups3[[#This Row],[Name]],QBstats1[Player],0)),"0")</f>
        <v>22.268999999999998</v>
      </c>
      <c r="AN34" s="14">
        <f>IFERROR(INDEX(QBstats2[PassComp],MATCH(QBmatchups3[[#This Row],[Name]],QBstats2[Player],0)),"0")</f>
        <v>20.8</v>
      </c>
      <c r="AO34" s="14">
        <f>IFERROR(INDEX(QBstats3[PassComp],MATCH(QBmatchups3[[#This Row],[Name]],QBstats3[Player],0)),"0")</f>
        <v>23.5</v>
      </c>
      <c r="AP34" s="32">
        <f>IFERROR(INDEX(QBallowed[Cmp],MATCH(QBmatchups3[[#This Row],[Opp]],QBallowed[Team],0)),"0")</f>
        <v>23.4375</v>
      </c>
      <c r="AQ34" s="32">
        <f>IFERROR(INDEX(QBstats1[Pass Yds],MATCH(QBmatchups3[[#This Row],[Name]],QBstats1[Player],0)),"0")</f>
        <v>256.07</v>
      </c>
      <c r="AR34" s="14">
        <f>IFERROR(INDEX(QBstats2[PassYards],MATCH(QBmatchups3[[#This Row],[Name]],QBstats2[Player],0)),"0")</f>
        <v>240.2</v>
      </c>
      <c r="AS34" s="14">
        <f>IFERROR(INDEX(QBstats3[PassYards],MATCH(QBmatchups3[[#This Row],[Name]],QBstats3[Player],0)),"0")</f>
        <v>259.39999999999998</v>
      </c>
      <c r="AT34" s="32">
        <f>IFERROR(INDEX(QBallowed[Yards],MATCH(QBmatchups3[[#This Row],[Opp]],QBallowed[Team],0)),"0")</f>
        <v>273.4375</v>
      </c>
      <c r="AU34" s="32">
        <f>IFERROR(INDEX(QBstats1[Pass TD],MATCH(QBmatchups3[[#This Row],[Name]],QBstats1[Player],0)),"0")</f>
        <v>1.6819999999999999</v>
      </c>
      <c r="AV34" s="14">
        <f>IFERROR(INDEX(QBstats2[PassTD],MATCH(QBmatchups3[[#This Row],[Name]],QBstats2[Player],0)),"0")</f>
        <v>1.5</v>
      </c>
      <c r="AW34" s="14">
        <f>IFERROR(INDEX(QBstats3[PassTD],MATCH(QBmatchups3[[#This Row],[Name]],QBstats3[Player],0)),"0")</f>
        <v>1.4</v>
      </c>
      <c r="AX34" s="32">
        <f>IFERROR(INDEX(QBallowed[TD],MATCH(QBmatchups3[[#This Row],[Opp]],QBallowed[Team],0)),"0")</f>
        <v>1.3125</v>
      </c>
      <c r="AY34" s="32">
        <f>IFERROR(INDEX(QBstats1[INT],MATCH(QBmatchups3[[#This Row],[Name]],QBstats1[Player],0)),"0")</f>
        <v>0.83299999999999996</v>
      </c>
      <c r="AZ34" s="14" t="str">
        <f>IFERROR(INDEX(QBstats2[Int],MATCH(QBmatchups3[[#This Row],[Name]],QBstats2[Player],0)),"0")</f>
        <v>0.8</v>
      </c>
      <c r="BA34" s="14">
        <f>IFERROR(INDEX(QBstats3[INT],MATCH(QBmatchups3[[#This Row],[Name]],QBstats3[Player],0)),"0")</f>
        <v>0.8</v>
      </c>
      <c r="BB34" s="32">
        <f>IFERROR(INDEX(QBallowed[INT],MATCH(QBmatchups3[[#This Row],[Opp]],QBallowed[Team],0)),"0")</f>
        <v>0.5625</v>
      </c>
      <c r="BC34" s="32">
        <f>IFERROR(INDEX(QBstats1[Rush Att],MATCH(QBmatchups3[[#This Row],[Name]],QBstats1[Player],0)),"0")</f>
        <v>0.64100000000000001</v>
      </c>
      <c r="BD34" s="14">
        <f>IFERROR(INDEX(QBstats3[Rush Att],MATCH(QBmatchups3[[#This Row],[Name]],QBstats3[Player],0)),"0")</f>
        <v>1.9</v>
      </c>
      <c r="BE34" s="14">
        <f>IFERROR(INDEX(QBallowed[RushAtt],MATCH(QBmatchups3[[#This Row],[Opp]],QBallowed[Team],0)),"0")</f>
        <v>3.5625</v>
      </c>
      <c r="BF34" s="32">
        <f>IFERROR(INDEX(QBstats1[Rush Yds],MATCH(QBmatchups3[[#This Row],[Name]],QBstats1[Player],0)),"0")</f>
        <v>1.696</v>
      </c>
      <c r="BG34" s="14">
        <f>IFERROR(INDEX(QBstats2[RushYards],MATCH(QBmatchups3[[#This Row],[Name]],QBstats2[Player],0)),"0")</f>
        <v>4.7</v>
      </c>
      <c r="BH34" s="14">
        <f>IFERROR(INDEX(QBstats3[RushYards],MATCH(QBmatchups3[[#This Row],[Name]],QBstats3[Player],0)),"0")</f>
        <v>3.4</v>
      </c>
      <c r="BI34" s="32">
        <f>IFERROR(INDEX(QBallowed[RushYard],MATCH(QBmatchups3[[#This Row],[Opp]],QBallowed[Team],0)),"0")</f>
        <v>9.3125</v>
      </c>
      <c r="BJ34" s="32">
        <f>IFERROR(INDEX(QBstats1[Rush TD],MATCH(QBmatchups3[[#This Row],[Name]],QBstats1[Player],0)),"0")</f>
        <v>0</v>
      </c>
      <c r="BK34" s="14" t="str">
        <f>IFERROR(INDEX(QBstats2[RushTD],MATCH(QBmatchups3[[#This Row],[Name]],QBstats2[Player],0)),"0")</f>
        <v>0.1</v>
      </c>
      <c r="BL34" s="14">
        <f>IFERROR(INDEX(QBstats3[RushTD],MATCH(QBmatchups3[[#This Row],[Name]],QBstats3[Player],0)),"0")</f>
        <v>0.1</v>
      </c>
      <c r="BM34" s="32">
        <f>IFERROR(INDEX(QBallowed[RushTD],MATCH(QBmatchups3[[#This Row],[Opp]],QBallowed[Team],0)),"0")</f>
        <v>6.25E-2</v>
      </c>
      <c r="BN34" s="266">
        <f>IF(QBmatchups3[[#This Row],[Yards]]&gt;=300,3,0)</f>
        <v>0</v>
      </c>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row>
    <row r="35" spans="1:93" x14ac:dyDescent="0.3">
      <c r="A35" s="37">
        <f>QBstats1!AL17</f>
        <v>17.100000000000001</v>
      </c>
      <c r="B35" s="311" t="str">
        <f>QBstats1!D17</f>
        <v>Alex Smith</v>
      </c>
      <c r="C35" s="342">
        <f>IFERROR(INDEX(Salaries[DraftKings (Price)],MATCH(QBmatchups3[[#This Row],[Name]],Salaries[Player],0)),"")</f>
        <v>5600</v>
      </c>
      <c r="D35" s="342">
        <f>IFERROR(INDEX(DK_Salary_Changes[WeekChange],MATCH(QBmatchups3[[#This Row],[Name]],DK_Salary_Changes[Player],0)),"")</f>
        <v>-200</v>
      </c>
      <c r="E35" s="15" t="str">
        <f>IFERROR(INDEX(Salaries[Team],MATCH(QBmatchups3[[#This Row],[Name]],Salaries[Player],0)),"")</f>
        <v>KC</v>
      </c>
      <c r="F35" s="15" t="str">
        <f>IFERROR(INDEX(Salaries[Opp],MATCH(QBmatchups3[[#This Row],[Team]],Salaries[Team],0)),"")</f>
        <v>@PIT</v>
      </c>
      <c r="G35" s="405">
        <f>IFERROR(INDEX(QBYTD[Att],MATCH(QBmatchups3[Name],QBYTD[Player],0)),"")</f>
        <v>118</v>
      </c>
      <c r="H35" s="406">
        <f>IFERROR(INDEX(QBYTD[%],MATCH(QBmatchups3[Name],QBYTD[Player],0)),"")</f>
        <v>0.66900000000000004</v>
      </c>
      <c r="I35" s="407">
        <f>IFERROR(INDEX(QBYTD[Pass Yds],MATCH(QBmatchups3[Name],QBYTD[Player],0)),"")</f>
        <v>786</v>
      </c>
      <c r="J35" s="407">
        <f>IFERROR(INDEX(QBYTD[Pass TD],MATCH(QBmatchups3[Name],QBYTD[Player],0)),"")</f>
        <v>3</v>
      </c>
      <c r="K35" s="407">
        <f>IFERROR(INDEX(QBYTD[Rush Yds],MATCH(QBmatchups3[Name],QBYTD[Player],0)),"")</f>
        <v>14</v>
      </c>
      <c r="L35" s="408">
        <f>IFERROR(INDEX(QBYTD[Rush TD],MATCH(QBmatchups3[Name],QBYTD[Player],0)),"")</f>
        <v>1</v>
      </c>
      <c r="M35" s="419">
        <f>IFERROR(INDEX(Salaries[O/U],MATCH(QBmatchups3[[#This Row],[Team]],Salaries[Team],0)),"")</f>
        <v>47.5</v>
      </c>
      <c r="N35" s="15">
        <f>IFERROR(INDEX(Salaries[Team O/U],MATCH(QBmatchups3[[#This Row],[Team]],Salaries[Team],0)),"")</f>
        <v>21</v>
      </c>
      <c r="O35" s="420">
        <f>IFERROR(INDEX(Salaries[Spread],MATCH(QBmatchups3[[#This Row],[Team]],Salaries[Team],0)),"")</f>
        <v>5.5</v>
      </c>
      <c r="P35" s="425">
        <f>IFERROR(INDEX(QBallowed[DVP],MATCH(QBmatchups3[[#This Row],[Opp]],QBallowed[Team],0)),IFERROR(INDEX(QBallowed[DVP],MATCH(QBmatchups3[[#This Row],[Opp]],QBallowed[OPP],0)),""))</f>
        <v>26</v>
      </c>
      <c r="Q35" s="434">
        <f>AVERAGE(QBmatchups3[[#This Row],[Att1]:[Atta]])</f>
        <v>37.475499999999997</v>
      </c>
      <c r="R35" s="343">
        <f>AVERAGE(QBmatchups3[[#This Row],[Comp1]:[Compa]])</f>
        <v>23.565999999999999</v>
      </c>
      <c r="S35" s="344">
        <f>SUM(QBmatchups3[[#This Row],[Comp]]/QBmatchups3[[#This Row],[Attempts]])</f>
        <v>0.62883750717135201</v>
      </c>
      <c r="T35" s="343">
        <f>AVERAGE(QBmatchups3[[#This Row],[Yards1]:[Yardsa]])</f>
        <v>250.99199999999999</v>
      </c>
      <c r="U35" s="47">
        <f>SUM(QBmatchups3[[#This Row],[Yards]]/QBmatchups3[[#This Row],[Attempts]])</f>
        <v>6.6974956971888302</v>
      </c>
      <c r="V35" s="343">
        <f>AVERAGE(QBmatchups3[[#This Row],[TD1]:[Tda]])</f>
        <v>1.3235000000000001</v>
      </c>
      <c r="W35" s="343">
        <f>AVERAGE(QBmatchups3[[#This Row],[INT1]:[INTa]])</f>
        <v>1.0920000000000001</v>
      </c>
      <c r="X35" s="47">
        <f>AVERAGE(QBmatchups3[[#This Row],[RushAtt1]:[RushAtta]])</f>
        <v>3.3260000000000001</v>
      </c>
      <c r="Y35" s="343">
        <f>AVERAGE(QBmatchups3[[#This Row],[RushYards1]:[RushYardsa]])</f>
        <v>16.173000000000002</v>
      </c>
      <c r="Z35" s="343">
        <f>AVERAGE(QBmatchups3[[#This Row],[RushTD1]:[RushTDa]])</f>
        <v>0.06</v>
      </c>
      <c r="AA35" s="345">
        <f>_xlfn.RANK.EQ(QBmatchups3[[#This Row],[Projection]],QBmatchups3[Projection],0)</f>
        <v>25</v>
      </c>
      <c r="AB35" s="44">
        <f>SUM(QBmatchups3[[#This Row],[Yards]]*0.04)+(QBmatchups3[[#This Row],[Pass TD]]*4)+(QBmatchups3[[#This Row],[RushYards]]*0.1)+(QBmatchups3[[#This Row],[RushTD]]*6)+(QBmatchups3[[#This Row],[INT]]*-1)+(QBmatchups3[[#This Row],[300+]])</f>
        <v>16.218980000000002</v>
      </c>
      <c r="AC35" s="432">
        <f>_xlfn.RANK.EQ(QBmatchups3[[#This Row],[$/FP]],QBmatchups3[$/FP],1)</f>
        <v>19</v>
      </c>
      <c r="AD35" s="426">
        <f>SUM(QBmatchups3[[#This Row],[Salary]]/QBmatchups3[[#This Row],[Projection]])</f>
        <v>345.27448705159014</v>
      </c>
      <c r="AE35" s="315">
        <f>_xlfn.RANK.EQ(QBmatchups3[[#This Row],[Average]],QBmatchups3[Average],1)</f>
        <v>26</v>
      </c>
      <c r="AF35" s="315">
        <f>AVERAGE(QBmatchups3[[#This Row],[Proj Rank]],QBmatchups3[[#This Row],[Value Rank]])</f>
        <v>22</v>
      </c>
      <c r="AG35" s="212">
        <f>QBmatchups3[[#This Row],[Salary]]/50000</f>
        <v>0.112</v>
      </c>
      <c r="AH35" s="214"/>
      <c r="AI35" s="32">
        <f>IFERROR(INDEX(QBstats1[Pass Att],MATCH(QBmatchups3[[#This Row],[Name]],QBstats1[Player],0)),"0")</f>
        <v>39.451000000000001</v>
      </c>
      <c r="AJ35" s="32">
        <f>IFERROR(INDEX(QBstats2[PassAtt],MATCH(QBmatchups3[[#This Row],[Name]],QBstats2[Player],0)),"0")</f>
        <v>35.5</v>
      </c>
      <c r="AK35" s="45" t="str">
        <f>IFERROR(INDEX(QBstats3[PassAtt],MATCH(QBmatchups3[[#This Row],[Name]],QBstats3[Player],0)),"0")</f>
        <v>0</v>
      </c>
      <c r="AL35" s="32" t="str">
        <f>IFERROR(INDEX(QBallowed[Att],MATCH(QBmatchups3[[#This Row],[Opp]],QBallowed[Team],0)),"0")</f>
        <v>0</v>
      </c>
      <c r="AM35" s="32">
        <f>IFERROR(INDEX(QBstats1[Pass Comp],MATCH(QBmatchups3[[#This Row],[Name]],QBstats1[Player],0)),"0")</f>
        <v>25.431999999999999</v>
      </c>
      <c r="AN35" s="14">
        <f>IFERROR(INDEX(QBstats2[PassComp],MATCH(QBmatchups3[[#This Row],[Name]],QBstats2[Player],0)),"0")</f>
        <v>21.7</v>
      </c>
      <c r="AO35" s="14" t="str">
        <f>IFERROR(INDEX(QBstats3[PassComp],MATCH(QBmatchups3[[#This Row],[Name]],QBstats3[Player],0)),"0")</f>
        <v>0</v>
      </c>
      <c r="AP35" s="32" t="str">
        <f>IFERROR(INDEX(QBallowed[Cmp],MATCH(QBmatchups3[[#This Row],[Opp]],QBallowed[Team],0)),"0")</f>
        <v>0</v>
      </c>
      <c r="AQ35" s="32">
        <f>IFERROR(INDEX(QBstats1[Pass Yds],MATCH(QBmatchups3[[#This Row],[Name]],QBstats1[Player],0)),"0")</f>
        <v>264.48399999999998</v>
      </c>
      <c r="AR35" s="14">
        <f>IFERROR(INDEX(QBstats2[PassYards],MATCH(QBmatchups3[[#This Row],[Name]],QBstats2[Player],0)),"0")</f>
        <v>237.5</v>
      </c>
      <c r="AS35" s="14" t="str">
        <f>IFERROR(INDEX(QBstats3[PassYards],MATCH(QBmatchups3[[#This Row],[Name]],QBstats3[Player],0)),"0")</f>
        <v>0</v>
      </c>
      <c r="AT35" s="32" t="str">
        <f>IFERROR(INDEX(QBallowed[Yards],MATCH(QBmatchups3[[#This Row],[Opp]],QBallowed[Team],0)),"0")</f>
        <v>0</v>
      </c>
      <c r="AU35" s="32">
        <f>IFERROR(INDEX(QBstats1[Pass TD],MATCH(QBmatchups3[[#This Row],[Name]],QBstats1[Player],0)),"0")</f>
        <v>1.5469999999999999</v>
      </c>
      <c r="AV35" s="14">
        <f>IFERROR(INDEX(QBstats2[PassTD],MATCH(QBmatchups3[[#This Row],[Name]],QBstats2[Player],0)),"0")</f>
        <v>1.1000000000000001</v>
      </c>
      <c r="AW35" s="14" t="str">
        <f>IFERROR(INDEX(QBstats3[PassTD],MATCH(QBmatchups3[[#This Row],[Name]],QBstats3[Player],0)),"0")</f>
        <v>0</v>
      </c>
      <c r="AX35" s="32" t="str">
        <f>IFERROR(INDEX(QBallowed[TD],MATCH(QBmatchups3[[#This Row],[Opp]],QBallowed[Team],0)),"0")</f>
        <v>0</v>
      </c>
      <c r="AY35" s="32">
        <f>IFERROR(INDEX(QBstats1[INT],MATCH(QBmatchups3[[#This Row],[Name]],QBstats1[Player],0)),"0")</f>
        <v>1.0920000000000001</v>
      </c>
      <c r="AZ35" s="14" t="str">
        <f>IFERROR(INDEX(QBstats2[Int],MATCH(QBmatchups3[[#This Row],[Name]],QBstats2[Player],0)),"0")</f>
        <v>0.9</v>
      </c>
      <c r="BA35" s="14" t="str">
        <f>IFERROR(INDEX(QBstats3[INT],MATCH(QBmatchups3[[#This Row],[Name]],QBstats3[Player],0)),"0")</f>
        <v>0</v>
      </c>
      <c r="BB35" s="32" t="str">
        <f>IFERROR(INDEX(QBallowed[INT],MATCH(QBmatchups3[[#This Row],[Opp]],QBallowed[Team],0)),"0")</f>
        <v>0</v>
      </c>
      <c r="BC35" s="32">
        <f>IFERROR(INDEX(QBstats1[Rush Att],MATCH(QBmatchups3[[#This Row],[Name]],QBstats1[Player],0)),"0")</f>
        <v>3.3260000000000001</v>
      </c>
      <c r="BD35" s="14" t="str">
        <f>IFERROR(INDEX(QBstats3[Rush Att],MATCH(QBmatchups3[[#This Row],[Name]],QBstats3[Player],0)),"0")</f>
        <v>0</v>
      </c>
      <c r="BE35" s="14" t="str">
        <f>IFERROR(INDEX(QBallowed[RushAtt],MATCH(QBmatchups3[[#This Row],[Opp]],QBallowed[Team],0)),"0")</f>
        <v>0</v>
      </c>
      <c r="BF35" s="32">
        <f>IFERROR(INDEX(QBstats1[Rush Yds],MATCH(QBmatchups3[[#This Row],[Name]],QBstats1[Player],0)),"0")</f>
        <v>14.846</v>
      </c>
      <c r="BG35" s="14">
        <f>IFERROR(INDEX(QBstats2[RushYards],MATCH(QBmatchups3[[#This Row],[Name]],QBstats2[Player],0)),"0")</f>
        <v>17.5</v>
      </c>
      <c r="BH35" s="14" t="str">
        <f>IFERROR(INDEX(QBstats3[RushYards],MATCH(QBmatchups3[[#This Row],[Name]],QBstats3[Player],0)),"0")</f>
        <v>0</v>
      </c>
      <c r="BI35" s="32" t="str">
        <f>IFERROR(INDEX(QBallowed[RushYard],MATCH(QBmatchups3[[#This Row],[Opp]],QBallowed[Team],0)),"0")</f>
        <v>0</v>
      </c>
      <c r="BJ35" s="32">
        <f>IFERROR(INDEX(QBstats1[Rush TD],MATCH(QBmatchups3[[#This Row],[Name]],QBstats1[Player],0)),"0")</f>
        <v>0.06</v>
      </c>
      <c r="BK35" s="14" t="str">
        <f>IFERROR(INDEX(QBstats2[RushTD],MATCH(QBmatchups3[[#This Row],[Name]],QBstats2[Player],0)),"0")</f>
        <v>0.1</v>
      </c>
      <c r="BL35" s="14" t="str">
        <f>IFERROR(INDEX(QBstats3[RushTD],MATCH(QBmatchups3[[#This Row],[Name]],QBstats3[Player],0)),"0")</f>
        <v>0</v>
      </c>
      <c r="BM35" s="32" t="str">
        <f>IFERROR(INDEX(QBallowed[RushTD],MATCH(QBmatchups3[[#This Row],[Opp]],QBallowed[Team],0)),"0")</f>
        <v>0</v>
      </c>
      <c r="BN35" s="266">
        <f>IF(QBmatchups3[[#This Row],[Yards]]&gt;=300,3,0)</f>
        <v>0</v>
      </c>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row>
    <row r="36" spans="1:93" x14ac:dyDescent="0.3">
      <c r="A36" s="37">
        <f>QBstats1!AL22</f>
        <v>16</v>
      </c>
      <c r="B36" s="34" t="str">
        <f>QBstats1!D22</f>
        <v>Brock Osweiler</v>
      </c>
      <c r="C36" s="172">
        <f>IFERROR(INDEX(Salaries[DraftKings (Price)],MATCH(QBmatchups3[[#This Row],[Name]],Salaries[Player],0)),"")</f>
        <v>5800</v>
      </c>
      <c r="D36" s="172">
        <f>IFERROR(INDEX(DK_Salary_Changes[WeekChange],MATCH(QBmatchups3[[#This Row],[Name]],DK_Salary_Changes[Player],0)),"")</f>
        <v>-200</v>
      </c>
      <c r="E36" s="14" t="str">
        <f>IFERROR(INDEX(Salaries[Team],MATCH(QBmatchups3[[#This Row],[Name]],Salaries[Player],0)),"")</f>
        <v>HOU</v>
      </c>
      <c r="F36" s="14" t="str">
        <f>IFERROR(INDEX(Salaries[Opp],MATCH(QBmatchups3[[#This Row],[Team]],Salaries[Team],0)),"")</f>
        <v>TEN</v>
      </c>
      <c r="G36" s="405">
        <f>IFERROR(INDEX(QBYTD[Att],MATCH(QBmatchups3[Name],QBYTD[Player],0)),"")</f>
        <v>109</v>
      </c>
      <c r="H36" s="406">
        <f>IFERROR(INDEX(QBYTD[%],MATCH(QBmatchups3[Name],QBYTD[Player],0)),"")</f>
        <v>0.59599999999999997</v>
      </c>
      <c r="I36" s="407">
        <f>IFERROR(INDEX(QBYTD[Pass Yds],MATCH(QBmatchups3[Name],QBYTD[Player],0)),"")</f>
        <v>695</v>
      </c>
      <c r="J36" s="407">
        <f>IFERROR(INDEX(QBYTD[Pass TD],MATCH(QBmatchups3[Name],QBYTD[Player],0)),"")</f>
        <v>3</v>
      </c>
      <c r="K36" s="407">
        <f>IFERROR(INDEX(QBYTD[Rush Yds],MATCH(QBmatchups3[Name],QBYTD[Player],0)),"")</f>
        <v>24</v>
      </c>
      <c r="L36" s="408">
        <f>IFERROR(INDEX(QBYTD[Rush TD],MATCH(QBmatchups3[Name],QBYTD[Player],0)),"")</f>
        <v>0</v>
      </c>
      <c r="M36" s="416">
        <f>IFERROR(INDEX(Salaries[O/U],MATCH(QBmatchups3[[#This Row],[Team]],Salaries[Team],0)),"")</f>
        <v>40.5</v>
      </c>
      <c r="N36" s="14">
        <f>IFERROR(INDEX(Salaries[Team O/U],MATCH(QBmatchups3[[#This Row],[Team]],Salaries[Team],0)),"")</f>
        <v>23.5</v>
      </c>
      <c r="O36" s="417">
        <f>IFERROR(INDEX(Salaries[Spread],MATCH(QBmatchups3[[#This Row],[Team]],Salaries[Team],0)),"")</f>
        <v>-6.5</v>
      </c>
      <c r="P36" s="424">
        <f>IFERROR(INDEX(QBallowed[DVP],MATCH(QBmatchups3[[#This Row],[Opp]],QBallowed[Team],0)),IFERROR(INDEX(QBallowed[DVP],MATCH(QBmatchups3[[#This Row],[Opp]],QBallowed[OPP],0)),""))</f>
        <v>28</v>
      </c>
      <c r="Q36" s="431">
        <f>AVERAGE(QBmatchups3[[#This Row],[Att1]:[Atta]])</f>
        <v>33.055250000000001</v>
      </c>
      <c r="R36" s="32">
        <f>AVERAGE(QBmatchups3[[#This Row],[Comp1]:[Compa]])</f>
        <v>20.029624999999999</v>
      </c>
      <c r="S36" s="18">
        <f>SUM(QBmatchups3[[#This Row],[Comp]]/QBmatchups3[[#This Row],[Attempts]])</f>
        <v>0.6059438364556311</v>
      </c>
      <c r="T36" s="32">
        <f>AVERAGE(QBmatchups3[[#This Row],[Yards1]:[Yardsa]])</f>
        <v>239.32187500000001</v>
      </c>
      <c r="U36" s="19">
        <f>SUM(QBmatchups3[[#This Row],[Yards]]/QBmatchups3[[#This Row],[Attempts]])</f>
        <v>7.2400564206896032</v>
      </c>
      <c r="V36" s="32">
        <f>AVERAGE(QBmatchups3[[#This Row],[TD1]:[Tda]])</f>
        <v>1.33125</v>
      </c>
      <c r="W36" s="32">
        <f>AVERAGE(QBmatchups3[[#This Row],[INT1]:[INTa]])</f>
        <v>0.77033333333333331</v>
      </c>
      <c r="X36" s="19">
        <f>AVERAGE(QBmatchups3[[#This Row],[RushAtt1]:[RushAtta]])</f>
        <v>3.1181666666666668</v>
      </c>
      <c r="Y36" s="32">
        <f>AVERAGE(QBmatchups3[[#This Row],[RushYards1]:[RushYardsa]])</f>
        <v>11.046625000000001</v>
      </c>
      <c r="Z36" s="32">
        <f>AVERAGE(QBmatchups3[[#This Row],[RushTD1]:[RushTDa]])</f>
        <v>0.13749999999999998</v>
      </c>
      <c r="AA36" s="345">
        <f>_xlfn.RANK.EQ(QBmatchups3[[#This Row],[Projection]],QBmatchups3[Projection],0)</f>
        <v>26</v>
      </c>
      <c r="AB36" s="45">
        <f>SUM(QBmatchups3[[#This Row],[Yards]]*0.04)+(QBmatchups3[[#This Row],[Pass TD]]*4)+(QBmatchups3[[#This Row],[RushYards]]*0.1)+(QBmatchups3[[#This Row],[RushTD]]*6)+(QBmatchups3[[#This Row],[INT]]*-1)+(QBmatchups3[[#This Row],[300+]])</f>
        <v>16.057204166666665</v>
      </c>
      <c r="AC36" s="433">
        <f>_xlfn.RANK.EQ(QBmatchups3[[#This Row],[$/FP]],QBmatchups3[$/FP],1)</f>
        <v>26</v>
      </c>
      <c r="AD36" s="427">
        <f>SUM(QBmatchups3[[#This Row],[Salary]]/QBmatchups3[[#This Row],[Projection]])</f>
        <v>361.20858524302048</v>
      </c>
      <c r="AE36" s="316">
        <f>_xlfn.RANK.EQ(QBmatchups3[[#This Row],[Average]],QBmatchups3[Average],1)</f>
        <v>29</v>
      </c>
      <c r="AF36" s="316">
        <f>AVERAGE(QBmatchups3[[#This Row],[Proj Rank]],QBmatchups3[[#This Row],[Value Rank]])</f>
        <v>26</v>
      </c>
      <c r="AG36" s="214">
        <f>QBmatchups3[[#This Row],[Salary]]/50000</f>
        <v>0.11600000000000001</v>
      </c>
      <c r="AH36" s="214"/>
      <c r="AI36" s="32">
        <f>IFERROR(INDEX(QBstats1[Pass Att],MATCH(QBmatchups3[[#This Row],[Name]],QBstats1[Player],0)),"0")</f>
        <v>33.570999999999998</v>
      </c>
      <c r="AJ36" s="32">
        <f>IFERROR(INDEX(QBstats2[PassAtt],MATCH(QBmatchups3[[#This Row],[Name]],QBstats2[Player],0)),"0")</f>
        <v>33.6</v>
      </c>
      <c r="AK36" s="45">
        <f>IFERROR(INDEX(QBstats3[PassAtt],MATCH(QBmatchups3[[#This Row],[Name]],QBstats3[Player],0)),"0")</f>
        <v>30.8</v>
      </c>
      <c r="AL36" s="32">
        <f>IFERROR(INDEX(QBallowed[Att],MATCH(QBmatchups3[[#This Row],[Opp]],QBallowed[Team],0)),"0")</f>
        <v>34.25</v>
      </c>
      <c r="AM36" s="32">
        <f>IFERROR(INDEX(QBstats1[Pass Comp],MATCH(QBmatchups3[[#This Row],[Name]],QBstats1[Player],0)),"0")</f>
        <v>19.405999999999999</v>
      </c>
      <c r="AN36" s="14">
        <f>IFERROR(INDEX(QBstats2[PassComp],MATCH(QBmatchups3[[#This Row],[Name]],QBstats2[Player],0)),"0")</f>
        <v>20.9</v>
      </c>
      <c r="AO36" s="14">
        <f>IFERROR(INDEX(QBstats3[PassComp],MATCH(QBmatchups3[[#This Row],[Name]],QBstats3[Player],0)),"0")</f>
        <v>19</v>
      </c>
      <c r="AP36" s="32">
        <f>IFERROR(INDEX(QBallowed[Cmp],MATCH(QBmatchups3[[#This Row],[Opp]],QBallowed[Team],0)),"0")</f>
        <v>20.8125</v>
      </c>
      <c r="AQ36" s="32">
        <f>IFERROR(INDEX(QBstats1[Pass Yds],MATCH(QBmatchups3[[#This Row],[Name]],QBstats1[Player],0)),"0")</f>
        <v>247.1</v>
      </c>
      <c r="AR36" s="14">
        <f>IFERROR(INDEX(QBstats2[PassYards],MATCH(QBmatchups3[[#This Row],[Name]],QBstats2[Player],0)),"0")</f>
        <v>239.9</v>
      </c>
      <c r="AS36" s="14">
        <f>IFERROR(INDEX(QBstats3[PassYards],MATCH(QBmatchups3[[#This Row],[Name]],QBstats3[Player],0)),"0")</f>
        <v>244.1</v>
      </c>
      <c r="AT36" s="32">
        <f>IFERROR(INDEX(QBallowed[Yards],MATCH(QBmatchups3[[#This Row],[Opp]],QBallowed[Team],0)),"0")</f>
        <v>226.1875</v>
      </c>
      <c r="AU36" s="32">
        <f>IFERROR(INDEX(QBstats1[Pass TD],MATCH(QBmatchups3[[#This Row],[Name]],QBstats1[Player],0)),"0")</f>
        <v>1.45</v>
      </c>
      <c r="AV36" s="14">
        <f>IFERROR(INDEX(QBstats2[PassTD],MATCH(QBmatchups3[[#This Row],[Name]],QBstats2[Player],0)),"0")</f>
        <v>1.3</v>
      </c>
      <c r="AW36" s="14">
        <f>IFERROR(INDEX(QBstats3[PassTD],MATCH(QBmatchups3[[#This Row],[Name]],QBstats3[Player],0)),"0")</f>
        <v>1.7</v>
      </c>
      <c r="AX36" s="32">
        <f>IFERROR(INDEX(QBallowed[TD],MATCH(QBmatchups3[[#This Row],[Opp]],QBallowed[Team],0)),"0")</f>
        <v>0.875</v>
      </c>
      <c r="AY36" s="32">
        <f>IFERROR(INDEX(QBstats1[INT],MATCH(QBmatchups3[[#This Row],[Name]],QBstats1[Player],0)),"0")</f>
        <v>0.83599999999999997</v>
      </c>
      <c r="AZ36" s="14" t="str">
        <f>IFERROR(INDEX(QBstats2[Int],MATCH(QBmatchups3[[#This Row],[Name]],QBstats2[Player],0)),"0")</f>
        <v>0.8</v>
      </c>
      <c r="BA36" s="14">
        <f>IFERROR(INDEX(QBstats3[INT],MATCH(QBmatchups3[[#This Row],[Name]],QBstats3[Player],0)),"0")</f>
        <v>0.6</v>
      </c>
      <c r="BB36" s="32">
        <f>IFERROR(INDEX(QBallowed[INT],MATCH(QBmatchups3[[#This Row],[Opp]],QBallowed[Team],0)),"0")</f>
        <v>0.875</v>
      </c>
      <c r="BC36" s="32">
        <f>IFERROR(INDEX(QBstats1[Rush Att],MATCH(QBmatchups3[[#This Row],[Name]],QBstats1[Player],0)),"0")</f>
        <v>2.7669999999999999</v>
      </c>
      <c r="BD36" s="14">
        <f>IFERROR(INDEX(QBstats3[Rush Att],MATCH(QBmatchups3[[#This Row],[Name]],QBstats3[Player],0)),"0")</f>
        <v>3.4</v>
      </c>
      <c r="BE36" s="14">
        <f>IFERROR(INDEX(QBallowed[RushAtt],MATCH(QBmatchups3[[#This Row],[Opp]],QBallowed[Team],0)),"0")</f>
        <v>3.1875</v>
      </c>
      <c r="BF36" s="32">
        <f>IFERROR(INDEX(QBstats1[Rush Yds],MATCH(QBmatchups3[[#This Row],[Name]],QBstats1[Player],0)),"0")</f>
        <v>8.2739999999999991</v>
      </c>
      <c r="BG36" s="14">
        <f>IFERROR(INDEX(QBstats2[RushYards],MATCH(QBmatchups3[[#This Row],[Name]],QBstats2[Player],0)),"0")</f>
        <v>14</v>
      </c>
      <c r="BH36" s="14">
        <f>IFERROR(INDEX(QBstats3[RushYards],MATCH(QBmatchups3[[#This Row],[Name]],QBstats3[Player],0)),"0")</f>
        <v>9.6</v>
      </c>
      <c r="BI36" s="32">
        <f>IFERROR(INDEX(QBallowed[RushYard],MATCH(QBmatchups3[[#This Row],[Opp]],QBallowed[Team],0)),"0")</f>
        <v>12.3125</v>
      </c>
      <c r="BJ36" s="32">
        <f>IFERROR(INDEX(QBstats1[Rush TD],MATCH(QBmatchups3[[#This Row],[Name]],QBstats1[Player],0)),"0")</f>
        <v>0.125</v>
      </c>
      <c r="BK36" s="14" t="str">
        <f>IFERROR(INDEX(QBstats2[RushTD],MATCH(QBmatchups3[[#This Row],[Name]],QBstats2[Player],0)),"0")</f>
        <v>0.2</v>
      </c>
      <c r="BL36" s="14">
        <f>IFERROR(INDEX(QBstats3[RushTD],MATCH(QBmatchups3[[#This Row],[Name]],QBstats3[Player],0)),"0")</f>
        <v>0.1</v>
      </c>
      <c r="BM36" s="32">
        <f>IFERROR(INDEX(QBallowed[RushTD],MATCH(QBmatchups3[[#This Row],[Opp]],QBallowed[Team],0)),"0")</f>
        <v>0.1875</v>
      </c>
      <c r="BN36" s="266">
        <f>IF(QBmatchups3[[#This Row],[Yards]]&gt;=300,3,0)</f>
        <v>0</v>
      </c>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row>
    <row r="37" spans="1:93" x14ac:dyDescent="0.3">
      <c r="A37" s="37">
        <f>QBstats1!AL28</f>
        <v>14.7</v>
      </c>
      <c r="B37" s="34" t="str">
        <f>QBstats1!D28</f>
        <v>Ryan Fitzpatrick</v>
      </c>
      <c r="C37" s="172">
        <f>IFERROR(INDEX(Salaries[DraftKings (Price)],MATCH(QBmatchups3[[#This Row],[Name]],Salaries[Player],0)),"")</f>
        <v>5300</v>
      </c>
      <c r="D37" s="172">
        <f>IFERROR(INDEX(DK_Salary_Changes[WeekChange],MATCH(QBmatchups3[[#This Row],[Name]],DK_Salary_Changes[Player],0)),"")</f>
        <v>-600</v>
      </c>
      <c r="E37" s="14" t="str">
        <f>IFERROR(INDEX(Salaries[Team],MATCH(QBmatchups3[[#This Row],[Name]],Salaries[Player],0)),"")</f>
        <v>NYJ</v>
      </c>
      <c r="F37" s="14" t="str">
        <f>IFERROR(INDEX(Salaries[Opp],MATCH(QBmatchups3[[#This Row],[Team]],Salaries[Team],0)),"")</f>
        <v>SEA</v>
      </c>
      <c r="G37" s="405">
        <f>IFERROR(INDEX(QBYTD[Att],MATCH(QBmatchups3[Name],QBYTD[Player],0)),"")</f>
        <v>113</v>
      </c>
      <c r="H37" s="406">
        <f>IFERROR(INDEX(QBYTD[%],MATCH(QBmatchups3[Name],QBYTD[Player],0)),"")</f>
        <v>0.55800000000000005</v>
      </c>
      <c r="I37" s="407">
        <f>IFERROR(INDEX(QBYTD[Pass Yds],MATCH(QBmatchups3[Name],QBYTD[Player],0)),"")</f>
        <v>751</v>
      </c>
      <c r="J37" s="407">
        <f>IFERROR(INDEX(QBYTD[Pass TD],MATCH(QBmatchups3[Name],QBYTD[Player],0)),"")</f>
        <v>3</v>
      </c>
      <c r="K37" s="407">
        <f>IFERROR(INDEX(QBYTD[Rush Yds],MATCH(QBmatchups3[Name],QBYTD[Player],0)),"")</f>
        <v>58</v>
      </c>
      <c r="L37" s="408">
        <f>IFERROR(INDEX(QBYTD[Rush TD],MATCH(QBmatchups3[Name],QBYTD[Player],0)),"")</f>
        <v>0</v>
      </c>
      <c r="M37" s="416">
        <f>IFERROR(INDEX(Salaries[O/U],MATCH(QBmatchups3[[#This Row],[Team]],Salaries[Team],0)),"")</f>
        <v>40.5</v>
      </c>
      <c r="N37" s="14">
        <f>IFERROR(INDEX(Salaries[Team O/U],MATCH(QBmatchups3[[#This Row],[Team]],Salaries[Team],0)),"")</f>
        <v>19.5</v>
      </c>
      <c r="O37" s="417">
        <f>IFERROR(INDEX(Salaries[Spread],MATCH(QBmatchups3[[#This Row],[Team]],Salaries[Team],0)),"")</f>
        <v>1.5</v>
      </c>
      <c r="P37" s="424">
        <f>IFERROR(INDEX(QBallowed[DVP],MATCH(QBmatchups3[[#This Row],[Opp]],QBallowed[Team],0)),IFERROR(INDEX(QBallowed[DVP],MATCH(QBmatchups3[[#This Row],[Opp]],QBallowed[OPP],0)),""))</f>
        <v>2</v>
      </c>
      <c r="Q37" s="431">
        <f>AVERAGE(QBmatchups3[[#This Row],[Att1]:[Atta]])</f>
        <v>34.661500000000004</v>
      </c>
      <c r="R37" s="32">
        <f>AVERAGE(QBmatchups3[[#This Row],[Comp1]:[Compa]])</f>
        <v>19.74625</v>
      </c>
      <c r="S37" s="18">
        <f>SUM(QBmatchups3[[#This Row],[Comp]]/QBmatchups3[[#This Row],[Attempts]])</f>
        <v>0.56968827084805906</v>
      </c>
      <c r="T37" s="32">
        <f>AVERAGE(QBmatchups3[[#This Row],[Yards1]:[Yardsa]])</f>
        <v>226.52975000000001</v>
      </c>
      <c r="U37" s="19">
        <f>SUM(QBmatchups3[[#This Row],[Yards]]/QBmatchups3[[#This Row],[Attempts]])</f>
        <v>6.5354860580182619</v>
      </c>
      <c r="V37" s="32">
        <f>AVERAGE(QBmatchups3[[#This Row],[TD1]:[Tda]])</f>
        <v>1.3203333333333334</v>
      </c>
      <c r="W37" s="32">
        <f>AVERAGE(QBmatchups3[[#This Row],[INT1]:[INTa]])</f>
        <v>1.0535000000000001</v>
      </c>
      <c r="X37" s="19">
        <f>AVERAGE(QBmatchups3[[#This Row],[RushAtt1]:[RushAtta]])</f>
        <v>3.9055</v>
      </c>
      <c r="Y37" s="32">
        <f>AVERAGE(QBmatchups3[[#This Row],[RushYards1]:[RushYardsa]])</f>
        <v>19.407125000000001</v>
      </c>
      <c r="Z37" s="32">
        <f>AVERAGE(QBmatchups3[[#This Row],[RushTD1]:[RushTDa]])</f>
        <v>8.0833333333333326E-2</v>
      </c>
      <c r="AA37" s="345">
        <f>_xlfn.RANK.EQ(QBmatchups3[[#This Row],[Projection]],QBmatchups3[Projection],0)</f>
        <v>27</v>
      </c>
      <c r="AB37" s="45">
        <f>SUM(QBmatchups3[[#This Row],[Yards]]*0.04)+(QBmatchups3[[#This Row],[Pass TD]]*4)+(QBmatchups3[[#This Row],[RushYards]]*0.1)+(QBmatchups3[[#This Row],[RushTD]]*6)+(QBmatchups3[[#This Row],[INT]]*-1)+(QBmatchups3[[#This Row],[300+]])</f>
        <v>15.714735833333332</v>
      </c>
      <c r="AC37" s="433">
        <f>_xlfn.RANK.EQ(QBmatchups3[[#This Row],[$/FP]],QBmatchups3[$/FP],1)</f>
        <v>14</v>
      </c>
      <c r="AD37" s="427">
        <f>SUM(QBmatchups3[[#This Row],[Salary]]/QBmatchups3[[#This Row],[Projection]])</f>
        <v>337.26306672988409</v>
      </c>
      <c r="AE37" s="316">
        <f>_xlfn.RANK.EQ(QBmatchups3[[#This Row],[Average]],QBmatchups3[Average],1)</f>
        <v>24</v>
      </c>
      <c r="AF37" s="316">
        <f>AVERAGE(QBmatchups3[[#This Row],[Proj Rank]],QBmatchups3[[#This Row],[Value Rank]])</f>
        <v>20.5</v>
      </c>
      <c r="AG37" s="214">
        <f>QBmatchups3[[#This Row],[Salary]]/50000</f>
        <v>0.106</v>
      </c>
      <c r="AH37" s="214"/>
      <c r="AI37" s="32">
        <f>IFERROR(INDEX(QBstats1[Pass Att],MATCH(QBmatchups3[[#This Row],[Name]],QBstats1[Player],0)),"0")</f>
        <v>32.570999999999998</v>
      </c>
      <c r="AJ37" s="32">
        <f>IFERROR(INDEX(QBstats2[PassAtt],MATCH(QBmatchups3[[#This Row],[Name]],QBstats2[Player],0)),"0")</f>
        <v>36</v>
      </c>
      <c r="AK37" s="45">
        <f>IFERROR(INDEX(QBstats3[PassAtt],MATCH(QBmatchups3[[#This Row],[Name]],QBstats3[Player],0)),"0")</f>
        <v>35.700000000000003</v>
      </c>
      <c r="AL37" s="32">
        <f>IFERROR(INDEX(QBallowed[Att],MATCH(QBmatchups3[[#This Row],[Opp]],QBallowed[Team],0)),"0")</f>
        <v>34.375</v>
      </c>
      <c r="AM37" s="32">
        <f>IFERROR(INDEX(QBstats1[Pass Comp],MATCH(QBmatchups3[[#This Row],[Name]],QBstats1[Player],0)),"0")</f>
        <v>18.184999999999999</v>
      </c>
      <c r="AN37" s="14">
        <f>IFERROR(INDEX(QBstats2[PassComp],MATCH(QBmatchups3[[#This Row],[Name]],QBstats2[Player],0)),"0")</f>
        <v>19.8</v>
      </c>
      <c r="AO37" s="14">
        <f>IFERROR(INDEX(QBstats3[PassComp],MATCH(QBmatchups3[[#This Row],[Name]],QBstats3[Player],0)),"0")</f>
        <v>21</v>
      </c>
      <c r="AP37" s="32">
        <f>IFERROR(INDEX(QBallowed[Cmp],MATCH(QBmatchups3[[#This Row],[Opp]],QBallowed[Team],0)),"0")</f>
        <v>20</v>
      </c>
      <c r="AQ37" s="32">
        <f>IFERROR(INDEX(QBstats1[Pass Yds],MATCH(QBmatchups3[[#This Row],[Name]],QBstats1[Player],0)),"0")</f>
        <v>211.94399999999999</v>
      </c>
      <c r="AR37" s="14">
        <f>IFERROR(INDEX(QBstats2[PassYards],MATCH(QBmatchups3[[#This Row],[Name]],QBstats2[Player],0)),"0")</f>
        <v>212.7</v>
      </c>
      <c r="AS37" s="14">
        <f>IFERROR(INDEX(QBstats3[PassYards],MATCH(QBmatchups3[[#This Row],[Name]],QBstats3[Player],0)),"0")</f>
        <v>239.1</v>
      </c>
      <c r="AT37" s="32">
        <f>IFERROR(INDEX(QBallowed[Yards],MATCH(QBmatchups3[[#This Row],[Opp]],QBallowed[Team],0)),"0")</f>
        <v>242.375</v>
      </c>
      <c r="AU37" s="32">
        <f>IFERROR(INDEX(QBstats1[Pass TD],MATCH(QBmatchups3[[#This Row],[Name]],QBstats1[Player],0)),"0")</f>
        <v>1.411</v>
      </c>
      <c r="AV37" s="14" t="str">
        <f>IFERROR(INDEX(QBstats2[PassTD],MATCH(QBmatchups3[[#This Row],[Name]],QBstats2[Player],0)),"0")</f>
        <v>0.9</v>
      </c>
      <c r="AW37" s="14">
        <f>IFERROR(INDEX(QBstats3[PassTD],MATCH(QBmatchups3[[#This Row],[Name]],QBstats3[Player],0)),"0")</f>
        <v>1.3</v>
      </c>
      <c r="AX37" s="32">
        <f>IFERROR(INDEX(QBallowed[TD],MATCH(QBmatchups3[[#This Row],[Opp]],QBallowed[Team],0)),"0")</f>
        <v>1.25</v>
      </c>
      <c r="AY37" s="32">
        <f>IFERROR(INDEX(QBstats1[INT],MATCH(QBmatchups3[[#This Row],[Name]],QBstats1[Player],0)),"0")</f>
        <v>1.014</v>
      </c>
      <c r="AZ37" s="14">
        <f>IFERROR(INDEX(QBstats2[Int],MATCH(QBmatchups3[[#This Row],[Name]],QBstats2[Player],0)),"0")</f>
        <v>1.3</v>
      </c>
      <c r="BA37" s="14">
        <f>IFERROR(INDEX(QBstats3[INT],MATCH(QBmatchups3[[#This Row],[Name]],QBstats3[Player],0)),"0")</f>
        <v>0.9</v>
      </c>
      <c r="BB37" s="32">
        <f>IFERROR(INDEX(QBallowed[INT],MATCH(QBmatchups3[[#This Row],[Opp]],QBallowed[Team],0)),"0")</f>
        <v>1</v>
      </c>
      <c r="BC37" s="32">
        <f>IFERROR(INDEX(QBstats1[Rush Att],MATCH(QBmatchups3[[#This Row],[Name]],QBstats1[Player],0)),"0")</f>
        <v>3.9790000000000001</v>
      </c>
      <c r="BD37" s="14">
        <f>IFERROR(INDEX(QBstats3[Rush Att],MATCH(QBmatchups3[[#This Row],[Name]],QBstats3[Player],0)),"0")</f>
        <v>3.8</v>
      </c>
      <c r="BE37" s="14">
        <f>IFERROR(INDEX(QBallowed[RushAtt],MATCH(QBmatchups3[[#This Row],[Opp]],QBallowed[Team],0)),"0")</f>
        <v>3.9375</v>
      </c>
      <c r="BF37" s="32">
        <f>IFERROR(INDEX(QBstats1[Rush Yds],MATCH(QBmatchups3[[#This Row],[Name]],QBstats1[Player],0)),"0")</f>
        <v>16.916</v>
      </c>
      <c r="BG37" s="14">
        <f>IFERROR(INDEX(QBstats2[RushYards],MATCH(QBmatchups3[[#This Row],[Name]],QBstats2[Player],0)),"0")</f>
        <v>21.1</v>
      </c>
      <c r="BH37" s="14">
        <f>IFERROR(INDEX(QBstats3[RushYards],MATCH(QBmatchups3[[#This Row],[Name]],QBstats3[Player],0)),"0")</f>
        <v>15.8</v>
      </c>
      <c r="BI37" s="32">
        <f>IFERROR(INDEX(QBallowed[RushYard],MATCH(QBmatchups3[[#This Row],[Opp]],QBallowed[Team],0)),"0")</f>
        <v>23.8125</v>
      </c>
      <c r="BJ37" s="32">
        <f>IFERROR(INDEX(QBstats1[Rush TD],MATCH(QBmatchups3[[#This Row],[Name]],QBstats1[Player],0)),"0")</f>
        <v>0.08</v>
      </c>
      <c r="BK37" s="14" t="str">
        <f>IFERROR(INDEX(QBstats2[RushTD],MATCH(QBmatchups3[[#This Row],[Name]],QBstats2[Player],0)),"0")</f>
        <v>0.2</v>
      </c>
      <c r="BL37" s="14">
        <f>IFERROR(INDEX(QBstats3[RushTD],MATCH(QBmatchups3[[#This Row],[Name]],QBstats3[Player],0)),"0")</f>
        <v>0.1</v>
      </c>
      <c r="BM37" s="32">
        <f>IFERROR(INDEX(QBallowed[RushTD],MATCH(QBmatchups3[[#This Row],[Opp]],QBallowed[Team],0)),"0")</f>
        <v>6.25E-2</v>
      </c>
      <c r="BN37" s="266">
        <f>IF(QBmatchups3[[#This Row],[Yards]]&gt;=300,3,0)</f>
        <v>0</v>
      </c>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row>
    <row r="38" spans="1:93" x14ac:dyDescent="0.3">
      <c r="A38" s="37">
        <f>QBstats1!AL29</f>
        <v>13.9</v>
      </c>
      <c r="B38" s="127" t="str">
        <f>QBstats1!D29</f>
        <v>Marcus Mariota</v>
      </c>
      <c r="C38" s="172">
        <f>IFERROR(INDEX(Salaries[DraftKings (Price)],MATCH(QBmatchups3[[#This Row],[Name]],Salaries[Player],0)),"")</f>
        <v>5500</v>
      </c>
      <c r="D38" s="172">
        <f>IFERROR(INDEX(DK_Salary_Changes[WeekChange],MATCH(QBmatchups3[[#This Row],[Name]],DK_Salary_Changes[Player],0)),"")</f>
        <v>-400</v>
      </c>
      <c r="E38" s="237" t="str">
        <f>IFERROR(INDEX(Salaries[Team],MATCH(QBmatchups3[[#This Row],[Name]],Salaries[Player],0)),"")</f>
        <v>TEN</v>
      </c>
      <c r="F38" s="14" t="str">
        <f>IFERROR(INDEX(Salaries[Opp],MATCH(QBmatchups3[[#This Row],[Team]],Salaries[Team],0)),"")</f>
        <v>@HOU</v>
      </c>
      <c r="G38" s="405">
        <f>IFERROR(INDEX(QBYTD[Att],MATCH(QBmatchups3[Name],QBYTD[Player],0)),"")</f>
        <v>107</v>
      </c>
      <c r="H38" s="406">
        <f>IFERROR(INDEX(QBYTD[%],MATCH(QBmatchups3[Name],QBYTD[Player],0)),"")</f>
        <v>0.626</v>
      </c>
      <c r="I38" s="407">
        <f>IFERROR(INDEX(QBYTD[Pass Yds],MATCH(QBmatchups3[Name],QBYTD[Player],0)),"")</f>
        <v>723</v>
      </c>
      <c r="J38" s="407">
        <f>IFERROR(INDEX(QBYTD[Pass TD],MATCH(QBmatchups3[Name],QBYTD[Player],0)),"")</f>
        <v>4</v>
      </c>
      <c r="K38" s="407">
        <f>IFERROR(INDEX(QBYTD[Rush Yds],MATCH(QBmatchups3[Name],QBYTD[Player],0)),"")</f>
        <v>52</v>
      </c>
      <c r="L38" s="408">
        <f>IFERROR(INDEX(QBYTD[Rush TD],MATCH(QBmatchups3[Name],QBYTD[Player],0)),"")</f>
        <v>0</v>
      </c>
      <c r="M38" s="418">
        <f>IFERROR(INDEX(Salaries[O/U],MATCH(QBmatchups3[[#This Row],[Team]],Salaries[Team],0)),"")</f>
        <v>40.5</v>
      </c>
      <c r="N38" s="19">
        <f>IFERROR(INDEX(Salaries[Team O/U],MATCH(QBmatchups3[[#This Row],[Team]],Salaries[Team],0)),"")</f>
        <v>17</v>
      </c>
      <c r="O38" s="417">
        <f>IFERROR(INDEX(Salaries[Spread],MATCH(QBmatchups3[[#This Row],[Team]],Salaries[Team],0)),"")</f>
        <v>6.5</v>
      </c>
      <c r="P38" s="424">
        <f>IFERROR(INDEX(QBallowed[DVP],MATCH(QBmatchups3[[#This Row],[Opp]],QBallowed[Team],0)),IFERROR(INDEX(QBallowed[DVP],MATCH(QBmatchups3[[#This Row],[Opp]],QBallowed[OPP],0)),""))</f>
        <v>6</v>
      </c>
      <c r="Q38" s="431">
        <f>AVERAGE(QBmatchups3[[#This Row],[Att1]:[Atta]])</f>
        <v>33.23833333333333</v>
      </c>
      <c r="R38" s="32">
        <f>AVERAGE(QBmatchups3[[#This Row],[Comp1]:[Compa]])</f>
        <v>20.331666666666667</v>
      </c>
      <c r="S38" s="18">
        <f>SUM(QBmatchups3[[#This Row],[Comp]]/QBmatchups3[[#This Row],[Attempts]])</f>
        <v>0.61169332597904036</v>
      </c>
      <c r="T38" s="32">
        <f>AVERAGE(QBmatchups3[[#This Row],[Yards1]:[Yardsa]])</f>
        <v>225.51666666666665</v>
      </c>
      <c r="U38" s="19">
        <f>SUM(QBmatchups3[[#This Row],[Yards]]/QBmatchups3[[#This Row],[Attempts]])</f>
        <v>6.7848367848367852</v>
      </c>
      <c r="V38" s="32">
        <f>AVERAGE(QBmatchups3[[#This Row],[TD1]:[Tda]])</f>
        <v>1.1266666666666667</v>
      </c>
      <c r="W38" s="32">
        <f>AVERAGE(QBmatchups3[[#This Row],[INT1]:[INTa]])</f>
        <v>1.0463333333333333</v>
      </c>
      <c r="X38" s="19">
        <f>AVERAGE(QBmatchups3[[#This Row],[RushAtt1]:[RushAtta]])</f>
        <v>3.4989999999999997</v>
      </c>
      <c r="Y38" s="129">
        <f>AVERAGE(QBmatchups3[[#This Row],[RushYards1]:[RushYardsa]])</f>
        <v>19.871333333333336</v>
      </c>
      <c r="Z38" s="32">
        <f>AVERAGE(QBmatchups3[[#This Row],[RushTD1]:[RushTDa]])</f>
        <v>9.8000000000000004E-2</v>
      </c>
      <c r="AA38" s="345">
        <f>_xlfn.RANK.EQ(QBmatchups3[[#This Row],[Projection]],QBmatchups3[Projection],0)</f>
        <v>28</v>
      </c>
      <c r="AB38" s="45">
        <f>SUM(QBmatchups3[[#This Row],[Yards]]*0.04)+(QBmatchups3[[#This Row],[Pass TD]]*4)+(QBmatchups3[[#This Row],[RushYards]]*0.1)+(QBmatchups3[[#This Row],[RushTD]]*6)+(QBmatchups3[[#This Row],[INT]]*-1)+(QBmatchups3[[#This Row],[300+]])</f>
        <v>15.056133333333335</v>
      </c>
      <c r="AC38" s="433">
        <f>_xlfn.RANK.EQ(QBmatchups3[[#This Row],[$/FP]],QBmatchups3[$/FP],1)</f>
        <v>29</v>
      </c>
      <c r="AD38" s="427">
        <f>SUM(QBmatchups3[[#This Row],[Salary]]/QBmatchups3[[#This Row],[Projection]])</f>
        <v>365.29963425757825</v>
      </c>
      <c r="AE38" s="316">
        <f>_xlfn.RANK.EQ(QBmatchups3[[#This Row],[Average]],QBmatchups3[Average],1)</f>
        <v>30</v>
      </c>
      <c r="AF38" s="316">
        <f>AVERAGE(QBmatchups3[[#This Row],[Proj Rank]],QBmatchups3[[#This Row],[Value Rank]])</f>
        <v>28.5</v>
      </c>
      <c r="AG38" s="214">
        <f>QBmatchups3[[#This Row],[Salary]]/50000</f>
        <v>0.11</v>
      </c>
      <c r="AH38" s="214"/>
      <c r="AI38" s="32">
        <f>IFERROR(INDEX(QBstats1[Pass Att],MATCH(QBmatchups3[[#This Row],[Name]],QBstats1[Player],0)),"0")</f>
        <v>31.914999999999999</v>
      </c>
      <c r="AJ38" s="32">
        <f>IFERROR(INDEX(QBstats2[PassAtt],MATCH(QBmatchups3[[#This Row],[Name]],QBstats2[Player],0)),"0")</f>
        <v>36</v>
      </c>
      <c r="AK38" s="45">
        <f>IFERROR(INDEX(QBstats3[PassAtt],MATCH(QBmatchups3[[#This Row],[Name]],QBstats3[Player],0)),"0")</f>
        <v>31.8</v>
      </c>
      <c r="AL38" s="32" t="str">
        <f>IFERROR(INDEX(QBallowed[Att],MATCH(QBmatchups3[[#This Row],[Opp]],QBallowed[Team],0)),"0")</f>
        <v>0</v>
      </c>
      <c r="AM38" s="32">
        <f>IFERROR(INDEX(QBstats1[Pass Comp],MATCH(QBmatchups3[[#This Row],[Name]],QBstats1[Player],0)),"0")</f>
        <v>18.195</v>
      </c>
      <c r="AN38" s="14">
        <f>IFERROR(INDEX(QBstats2[PassComp],MATCH(QBmatchups3[[#This Row],[Name]],QBstats2[Player],0)),"0")</f>
        <v>21.5</v>
      </c>
      <c r="AO38" s="14">
        <f>IFERROR(INDEX(QBstats3[PassComp],MATCH(QBmatchups3[[#This Row],[Name]],QBstats3[Player],0)),"0")</f>
        <v>21.3</v>
      </c>
      <c r="AP38" s="32" t="str">
        <f>IFERROR(INDEX(QBallowed[Cmp],MATCH(QBmatchups3[[#This Row],[Opp]],QBallowed[Team],0)),"0")</f>
        <v>0</v>
      </c>
      <c r="AQ38" s="32">
        <f>IFERROR(INDEX(QBstats1[Pass Yds],MATCH(QBmatchups3[[#This Row],[Name]],QBstats1[Player],0)),"0")</f>
        <v>207.45</v>
      </c>
      <c r="AR38" s="14">
        <f>IFERROR(INDEX(QBstats2[PassYards],MATCH(QBmatchups3[[#This Row],[Name]],QBstats2[Player],0)),"0")</f>
        <v>229.2</v>
      </c>
      <c r="AS38" s="14">
        <f>IFERROR(INDEX(QBstats3[PassYards],MATCH(QBmatchups3[[#This Row],[Name]],QBstats3[Player],0)),"0")</f>
        <v>239.9</v>
      </c>
      <c r="AT38" s="32" t="str">
        <f>IFERROR(INDEX(QBallowed[Yards],MATCH(QBmatchups3[[#This Row],[Opp]],QBallowed[Team],0)),"0")</f>
        <v>0</v>
      </c>
      <c r="AU38" s="32">
        <f>IFERROR(INDEX(QBstats1[Pass TD],MATCH(QBmatchups3[[#This Row],[Name]],QBstats1[Player],0)),"0")</f>
        <v>0.98</v>
      </c>
      <c r="AV38" s="14">
        <f>IFERROR(INDEX(QBstats2[PassTD],MATCH(QBmatchups3[[#This Row],[Name]],QBstats2[Player],0)),"0")</f>
        <v>1.2</v>
      </c>
      <c r="AW38" s="14">
        <f>IFERROR(INDEX(QBstats3[PassTD],MATCH(QBmatchups3[[#This Row],[Name]],QBstats3[Player],0)),"0")</f>
        <v>1.2</v>
      </c>
      <c r="AX38" s="32" t="str">
        <f>IFERROR(INDEX(QBallowed[TD],MATCH(QBmatchups3[[#This Row],[Opp]],QBallowed[Team],0)),"0")</f>
        <v>0</v>
      </c>
      <c r="AY38" s="32">
        <f>IFERROR(INDEX(QBstats1[INT],MATCH(QBmatchups3[[#This Row],[Name]],QBstats1[Player],0)),"0")</f>
        <v>1.0389999999999999</v>
      </c>
      <c r="AZ38" s="14">
        <f>IFERROR(INDEX(QBstats2[Int],MATCH(QBmatchups3[[#This Row],[Name]],QBstats2[Player],0)),"0")</f>
        <v>1.4</v>
      </c>
      <c r="BA38" s="14">
        <f>IFERROR(INDEX(QBstats3[INT],MATCH(QBmatchups3[[#This Row],[Name]],QBstats3[Player],0)),"0")</f>
        <v>0.7</v>
      </c>
      <c r="BB38" s="32" t="str">
        <f>IFERROR(INDEX(QBallowed[INT],MATCH(QBmatchups3[[#This Row],[Opp]],QBallowed[Team],0)),"0")</f>
        <v>0</v>
      </c>
      <c r="BC38" s="32">
        <f>IFERROR(INDEX(QBstats1[Rush Att],MATCH(QBmatchups3[[#This Row],[Name]],QBstats1[Player],0)),"0")</f>
        <v>3.5979999999999999</v>
      </c>
      <c r="BD38" s="14">
        <f>IFERROR(INDEX(QBstats3[Rush Att],MATCH(QBmatchups3[[#This Row],[Name]],QBstats3[Player],0)),"0")</f>
        <v>3.4</v>
      </c>
      <c r="BE38" s="14" t="str">
        <f>IFERROR(INDEX(QBallowed[RushAtt],MATCH(QBmatchups3[[#This Row],[Opp]],QBallowed[Team],0)),"0")</f>
        <v>0</v>
      </c>
      <c r="BF38" s="32">
        <f>IFERROR(INDEX(QBstats1[Rush Yds],MATCH(QBmatchups3[[#This Row],[Name]],QBstats1[Player],0)),"0")</f>
        <v>25.713999999999999</v>
      </c>
      <c r="BG38" s="14">
        <f>IFERROR(INDEX(QBstats2[RushYards],MATCH(QBmatchups3[[#This Row],[Name]],QBstats2[Player],0)),"0")</f>
        <v>12.7</v>
      </c>
      <c r="BH38" s="14">
        <f>IFERROR(INDEX(QBstats3[RushYards],MATCH(QBmatchups3[[#This Row],[Name]],QBstats3[Player],0)),"0")</f>
        <v>21.2</v>
      </c>
      <c r="BI38" s="32" t="str">
        <f>IFERROR(INDEX(QBallowed[RushYard],MATCH(QBmatchups3[[#This Row],[Opp]],QBallowed[Team],0)),"0")</f>
        <v>0</v>
      </c>
      <c r="BJ38" s="32">
        <f>IFERROR(INDEX(QBstats1[Rush TD],MATCH(QBmatchups3[[#This Row],[Name]],QBstats1[Player],0)),"0")</f>
        <v>9.6000000000000002E-2</v>
      </c>
      <c r="BK38" s="14" t="str">
        <f>IFERROR(INDEX(QBstats2[RushTD],MATCH(QBmatchups3[[#This Row],[Name]],QBstats2[Player],0)),"0")</f>
        <v>0.1</v>
      </c>
      <c r="BL38" s="14">
        <f>IFERROR(INDEX(QBstats3[RushTD],MATCH(QBmatchups3[[#This Row],[Name]],QBstats3[Player],0)),"0")</f>
        <v>0.1</v>
      </c>
      <c r="BM38" s="32" t="str">
        <f>IFERROR(INDEX(QBallowed[RushTD],MATCH(QBmatchups3[[#This Row],[Opp]],QBallowed[Team],0)),"0")</f>
        <v>0</v>
      </c>
      <c r="BN38" s="266">
        <f>IF(QBmatchups3[[#This Row],[Yards]]&gt;=300,3,0)</f>
        <v>0</v>
      </c>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row>
    <row r="39" spans="1:93" x14ac:dyDescent="0.3">
      <c r="A39" s="37">
        <f>QBstats1!AL30</f>
        <v>13.2</v>
      </c>
      <c r="B39" s="34" t="str">
        <f>QBstats1!D30</f>
        <v>Cody Kessler</v>
      </c>
      <c r="C39" s="172">
        <f>IFERROR(INDEX(Salaries[DraftKings (Price)],MATCH(QBmatchups3[[#This Row],[Name]],Salaries[Player],0)),"")</f>
        <v>5000</v>
      </c>
      <c r="D39" s="172">
        <f>IFERROR(INDEX(DK_Salary_Changes[WeekChange],MATCH(QBmatchups3[[#This Row],[Name]],DK_Salary_Changes[Player],0)),"")</f>
        <v>0</v>
      </c>
      <c r="E39" s="14" t="str">
        <f>IFERROR(INDEX(Salaries[Team],MATCH(QBmatchups3[[#This Row],[Name]],Salaries[Player],0)),"")</f>
        <v>CLE</v>
      </c>
      <c r="F39" s="14" t="str">
        <f>IFERROR(INDEX(Salaries[Opp],MATCH(QBmatchups3[[#This Row],[Team]],Salaries[Team],0)),"")</f>
        <v>@WAS</v>
      </c>
      <c r="G39" s="405">
        <f>IFERROR(INDEX(QBYTD[Att],MATCH(QBmatchups3[Name],QBYTD[Player],0)),"")</f>
        <v>33</v>
      </c>
      <c r="H39" s="406">
        <f>IFERROR(INDEX(QBYTD[%],MATCH(QBmatchups3[Name],QBYTD[Player],0)),"")</f>
        <v>0.63600000000000001</v>
      </c>
      <c r="I39" s="407">
        <f>IFERROR(INDEX(QBYTD[Pass Yds],MATCH(QBmatchups3[Name],QBYTD[Player],0)),"")</f>
        <v>244</v>
      </c>
      <c r="J39" s="407">
        <f>IFERROR(INDEX(QBYTD[Pass TD],MATCH(QBmatchups3[Name],QBYTD[Player],0)),"")</f>
        <v>0</v>
      </c>
      <c r="K39" s="407">
        <f>IFERROR(INDEX(QBYTD[Rush Yds],MATCH(QBmatchups3[Name],QBYTD[Player],0)),"")</f>
        <v>-1</v>
      </c>
      <c r="L39" s="408">
        <f>IFERROR(INDEX(QBYTD[Rush TD],MATCH(QBmatchups3[Name],QBYTD[Player],0)),"")</f>
        <v>0</v>
      </c>
      <c r="M39" s="418">
        <f>IFERROR(INDEX(Salaries[O/U],MATCH(QBmatchups3[[#This Row],[Team]],Salaries[Team],0)),"")</f>
        <v>45.5</v>
      </c>
      <c r="N39" s="19">
        <f>IFERROR(INDEX(Salaries[Team O/U],MATCH(QBmatchups3[[#This Row],[Team]],Salaries[Team],0)),"")</f>
        <v>18.75</v>
      </c>
      <c r="O39" s="417">
        <f>IFERROR(INDEX(Salaries[Spread],MATCH(QBmatchups3[[#This Row],[Team]],Salaries[Team],0)),"")</f>
        <v>8</v>
      </c>
      <c r="P39" s="424">
        <f>IFERROR(INDEX(QBallowed[DVP],MATCH(QBmatchups3[[#This Row],[Opp]],QBallowed[Team],0)),IFERROR(INDEX(QBallowed[DVP],MATCH(QBmatchups3[[#This Row],[Opp]],QBallowed[OPP],0)),""))</f>
        <v>24</v>
      </c>
      <c r="Q39" s="431">
        <f>AVERAGE(QBmatchups3[[#This Row],[Att1]:[Atta]])</f>
        <v>32.065333333333335</v>
      </c>
      <c r="R39" s="32">
        <f>AVERAGE(QBmatchups3[[#This Row],[Comp1]:[Compa]])</f>
        <v>19.847999999999999</v>
      </c>
      <c r="S39" s="18">
        <f>SUM(QBmatchups3[[#This Row],[Comp]]/QBmatchups3[[#This Row],[Attempts]])</f>
        <v>0.61898623643394735</v>
      </c>
      <c r="T39" s="32">
        <f>AVERAGE(QBmatchups3[[#This Row],[Yards1]:[Yardsa]])</f>
        <v>221.39666666666665</v>
      </c>
      <c r="U39" s="19">
        <f>SUM(QBmatchups3[[#This Row],[Yards]]/QBmatchups3[[#This Row],[Attempts]])</f>
        <v>6.9045490456983645</v>
      </c>
      <c r="V39" s="32">
        <f>AVERAGE(QBmatchups3[[#This Row],[TD1]:[Tda]])</f>
        <v>1.2556666666666667</v>
      </c>
      <c r="W39" s="32">
        <f>AVERAGE(QBmatchups3[[#This Row],[INT1]:[INTa]])</f>
        <v>0.90600000000000003</v>
      </c>
      <c r="X39" s="19">
        <f>AVERAGE(QBmatchups3[[#This Row],[RushAtt1]:[RushAtta]])</f>
        <v>1.9964999999999999</v>
      </c>
      <c r="Y39" s="32">
        <f>AVERAGE(QBmatchups3[[#This Row],[RushYards1]:[RushYardsa]])</f>
        <v>7.4986666666666659</v>
      </c>
      <c r="Z39" s="32">
        <f>AVERAGE(QBmatchups3[[#This Row],[RushTD1]:[RushTDa]])</f>
        <v>9.0999999999999998E-2</v>
      </c>
      <c r="AA39" s="345">
        <f>_xlfn.RANK.EQ(QBmatchups3[[#This Row],[Projection]],QBmatchups3[Projection],0)</f>
        <v>29</v>
      </c>
      <c r="AB39" s="45">
        <f>SUM(QBmatchups3[[#This Row],[Yards]]*0.04)+(QBmatchups3[[#This Row],[Pass TD]]*4)+(QBmatchups3[[#This Row],[RushYards]]*0.1)+(QBmatchups3[[#This Row],[RushTD]]*6)+(QBmatchups3[[#This Row],[INT]]*-1)+(QBmatchups3[[#This Row],[300+]])</f>
        <v>14.268399999999998</v>
      </c>
      <c r="AC39" s="433">
        <f>_xlfn.RANK.EQ(QBmatchups3[[#This Row],[$/FP]],QBmatchups3[$/FP],1)</f>
        <v>21</v>
      </c>
      <c r="AD39" s="427">
        <f>SUM(QBmatchups3[[#This Row],[Salary]]/QBmatchups3[[#This Row],[Projection]])</f>
        <v>350.42471475428226</v>
      </c>
      <c r="AE39" s="316">
        <f>_xlfn.RANK.EQ(QBmatchups3[[#This Row],[Average]],QBmatchups3[Average],1)</f>
        <v>27</v>
      </c>
      <c r="AF39" s="316">
        <f>AVERAGE(QBmatchups3[[#This Row],[Proj Rank]],QBmatchups3[[#This Row],[Value Rank]])</f>
        <v>25</v>
      </c>
      <c r="AG39" s="214">
        <f>QBmatchups3[[#This Row],[Salary]]/50000</f>
        <v>0.1</v>
      </c>
      <c r="AH39" s="214"/>
      <c r="AI39" s="32">
        <f>IFERROR(INDEX(QBstats1[Pass Att],MATCH(QBmatchups3[[#This Row],[Name]],QBstats1[Player],0)),"0")</f>
        <v>33.095999999999997</v>
      </c>
      <c r="AJ39" s="32">
        <f>IFERROR(INDEX(QBstats2[PassAtt],MATCH(QBmatchups3[[#This Row],[Name]],QBstats2[Player],0)),"0")</f>
        <v>30.2</v>
      </c>
      <c r="AK39" s="45">
        <f>IFERROR(INDEX(QBstats3[PassAtt],MATCH(QBmatchups3[[#This Row],[Name]],QBstats3[Player],0)),"0")</f>
        <v>32.9</v>
      </c>
      <c r="AL39" s="32" t="str">
        <f>IFERROR(INDEX(QBallowed[Att],MATCH(QBmatchups3[[#This Row],[Opp]],QBallowed[Team],0)),"0")</f>
        <v>0</v>
      </c>
      <c r="AM39" s="32">
        <f>IFERROR(INDEX(QBstats1[Pass Comp],MATCH(QBmatchups3[[#This Row],[Name]],QBstats1[Player],0)),"0")</f>
        <v>20.943999999999999</v>
      </c>
      <c r="AN39" s="14">
        <f>IFERROR(INDEX(QBstats2[PassComp],MATCH(QBmatchups3[[#This Row],[Name]],QBstats2[Player],0)),"0")</f>
        <v>18.100000000000001</v>
      </c>
      <c r="AO39" s="14">
        <f>IFERROR(INDEX(QBstats3[PassComp],MATCH(QBmatchups3[[#This Row],[Name]],QBstats3[Player],0)),"0")</f>
        <v>20.5</v>
      </c>
      <c r="AP39" s="32" t="str">
        <f>IFERROR(INDEX(QBallowed[Cmp],MATCH(QBmatchups3[[#This Row],[Opp]],QBallowed[Team],0)),"0")</f>
        <v>0</v>
      </c>
      <c r="AQ39" s="32">
        <f>IFERROR(INDEX(QBstats1[Pass Yds],MATCH(QBmatchups3[[#This Row],[Name]],QBstats1[Player],0)),"0")</f>
        <v>221.89</v>
      </c>
      <c r="AR39" s="14">
        <f>IFERROR(INDEX(QBstats2[PassYards],MATCH(QBmatchups3[[#This Row],[Name]],QBstats2[Player],0)),"0")</f>
        <v>212.4</v>
      </c>
      <c r="AS39" s="14">
        <f>IFERROR(INDEX(QBstats3[PassYards],MATCH(QBmatchups3[[#This Row],[Name]],QBstats3[Player],0)),"0")</f>
        <v>229.9</v>
      </c>
      <c r="AT39" s="32" t="str">
        <f>IFERROR(INDEX(QBallowed[Yards],MATCH(QBmatchups3[[#This Row],[Opp]],QBallowed[Team],0)),"0")</f>
        <v>0</v>
      </c>
      <c r="AU39" s="32">
        <f>IFERROR(INDEX(QBstats1[Pass TD],MATCH(QBmatchups3[[#This Row],[Name]],QBstats1[Player],0)),"0")</f>
        <v>1.167</v>
      </c>
      <c r="AV39" s="14">
        <f>IFERROR(INDEX(QBstats2[PassTD],MATCH(QBmatchups3[[#This Row],[Name]],QBstats2[Player],0)),"0")</f>
        <v>1.4</v>
      </c>
      <c r="AW39" s="14">
        <f>IFERROR(INDEX(QBstats3[PassTD],MATCH(QBmatchups3[[#This Row],[Name]],QBstats3[Player],0)),"0")</f>
        <v>1.2</v>
      </c>
      <c r="AX39" s="32" t="str">
        <f>IFERROR(INDEX(QBallowed[TD],MATCH(QBmatchups3[[#This Row],[Opp]],QBallowed[Team],0)),"0")</f>
        <v>0</v>
      </c>
      <c r="AY39" s="32">
        <f>IFERROR(INDEX(QBstats1[INT],MATCH(QBmatchups3[[#This Row],[Name]],QBstats1[Player],0)),"0")</f>
        <v>1.1120000000000001</v>
      </c>
      <c r="AZ39" s="14" t="str">
        <f>IFERROR(INDEX(QBstats2[Int],MATCH(QBmatchups3[[#This Row],[Name]],QBstats2[Player],0)),"0")</f>
        <v>0.9</v>
      </c>
      <c r="BA39" s="14">
        <f>IFERROR(INDEX(QBstats3[INT],MATCH(QBmatchups3[[#This Row],[Name]],QBstats3[Player],0)),"0")</f>
        <v>0.7</v>
      </c>
      <c r="BB39" s="32" t="str">
        <f>IFERROR(INDEX(QBallowed[INT],MATCH(QBmatchups3[[#This Row],[Opp]],QBallowed[Team],0)),"0")</f>
        <v>0</v>
      </c>
      <c r="BC39" s="32">
        <f>IFERROR(INDEX(QBstats1[Rush Att],MATCH(QBmatchups3[[#This Row],[Name]],QBstats1[Player],0)),"0")</f>
        <v>1.1930000000000001</v>
      </c>
      <c r="BD39" s="14">
        <f>IFERROR(INDEX(QBstats3[Rush Att],MATCH(QBmatchups3[[#This Row],[Name]],QBstats3[Player],0)),"0")</f>
        <v>2.8</v>
      </c>
      <c r="BE39" s="14" t="str">
        <f>IFERROR(INDEX(QBallowed[RushAtt],MATCH(QBmatchups3[[#This Row],[Opp]],QBallowed[Team],0)),"0")</f>
        <v>0</v>
      </c>
      <c r="BF39" s="32">
        <f>IFERROR(INDEX(QBstats1[Rush Yds],MATCH(QBmatchups3[[#This Row],[Name]],QBstats1[Player],0)),"0")</f>
        <v>6.3959999999999999</v>
      </c>
      <c r="BG39" s="14">
        <f>IFERROR(INDEX(QBstats2[RushYards],MATCH(QBmatchups3[[#This Row],[Name]],QBstats2[Player],0)),"0")</f>
        <v>5.6</v>
      </c>
      <c r="BH39" s="14">
        <f>IFERROR(INDEX(QBstats3[RushYards],MATCH(QBmatchups3[[#This Row],[Name]],QBstats3[Player],0)),"0")</f>
        <v>10.5</v>
      </c>
      <c r="BI39" s="32" t="str">
        <f>IFERROR(INDEX(QBallowed[RushYard],MATCH(QBmatchups3[[#This Row],[Opp]],QBallowed[Team],0)),"0")</f>
        <v>0</v>
      </c>
      <c r="BJ39" s="32">
        <f>IFERROR(INDEX(QBstats1[Rush TD],MATCH(QBmatchups3[[#This Row],[Name]],QBstats1[Player],0)),"0")</f>
        <v>8.2000000000000003E-2</v>
      </c>
      <c r="BK39" s="14" t="str">
        <f>IFERROR(INDEX(QBstats2[RushTD],MATCH(QBmatchups3[[#This Row],[Name]],QBstats2[Player],0)),"0")</f>
        <v>0.1</v>
      </c>
      <c r="BL39" s="14">
        <f>IFERROR(INDEX(QBstats3[RushTD],MATCH(QBmatchups3[[#This Row],[Name]],QBstats3[Player],0)),"0")</f>
        <v>0.1</v>
      </c>
      <c r="BM39" s="32" t="str">
        <f>IFERROR(INDEX(QBallowed[RushTD],MATCH(QBmatchups3[[#This Row],[Opp]],QBallowed[Team],0)),"0")</f>
        <v>0</v>
      </c>
      <c r="BN39" s="266">
        <f>IF(QBmatchups3[[#This Row],[Yards]]&gt;=300,3,0)</f>
        <v>0</v>
      </c>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row>
    <row r="40" spans="1:93" x14ac:dyDescent="0.3">
      <c r="A40" s="37">
        <f>QBstats1!AL32</f>
        <v>12.4</v>
      </c>
      <c r="B40" s="34" t="str">
        <f>QBstats1!D32</f>
        <v>Cody Kessler</v>
      </c>
      <c r="C40" s="172">
        <f>IFERROR(INDEX(Salaries[DraftKings (Price)],MATCH(QBmatchups3[[#This Row],[Name]],Salaries[Player],0)),"")</f>
        <v>5000</v>
      </c>
      <c r="D40" s="172">
        <f>IFERROR(INDEX(DK_Salary_Changes[WeekChange],MATCH(QBmatchups3[[#This Row],[Name]],DK_Salary_Changes[Player],0)),"")</f>
        <v>0</v>
      </c>
      <c r="E40" s="14" t="str">
        <f>IFERROR(INDEX(Salaries[Team],MATCH(QBmatchups3[[#This Row],[Name]],Salaries[Player],0)),"")</f>
        <v>CLE</v>
      </c>
      <c r="F40" s="14" t="str">
        <f>IFERROR(INDEX(Salaries[Opp],MATCH(QBmatchups3[[#This Row],[Team]],Salaries[Team],0)),"")</f>
        <v>@WAS</v>
      </c>
      <c r="G40" s="405">
        <f>IFERROR(INDEX(QBYTD[Att],MATCH(QBmatchups3[Name],QBYTD[Player],0)),"")</f>
        <v>33</v>
      </c>
      <c r="H40" s="406">
        <f>IFERROR(INDEX(QBYTD[%],MATCH(QBmatchups3[Name],QBYTD[Player],0)),"")</f>
        <v>0.63600000000000001</v>
      </c>
      <c r="I40" s="407">
        <f>IFERROR(INDEX(QBYTD[Pass Yds],MATCH(QBmatchups3[Name],QBYTD[Player],0)),"")</f>
        <v>244</v>
      </c>
      <c r="J40" s="407">
        <f>IFERROR(INDEX(QBYTD[Pass TD],MATCH(QBmatchups3[Name],QBYTD[Player],0)),"")</f>
        <v>0</v>
      </c>
      <c r="K40" s="407">
        <f>IFERROR(INDEX(QBYTD[Rush Yds],MATCH(QBmatchups3[Name],QBYTD[Player],0)),"")</f>
        <v>-1</v>
      </c>
      <c r="L40" s="408">
        <f>IFERROR(INDEX(QBYTD[Rush TD],MATCH(QBmatchups3[Name],QBYTD[Player],0)),"")</f>
        <v>0</v>
      </c>
      <c r="M40" s="418">
        <f>IFERROR(INDEX(Salaries[O/U],MATCH(QBmatchups3[[#This Row],[Team]],Salaries[Team],0)),"")</f>
        <v>45.5</v>
      </c>
      <c r="N40" s="19">
        <f>IFERROR(INDEX(Salaries[Team O/U],MATCH(QBmatchups3[[#This Row],[Team]],Salaries[Team],0)),"")</f>
        <v>18.75</v>
      </c>
      <c r="O40" s="417">
        <f>IFERROR(INDEX(Salaries[Spread],MATCH(QBmatchups3[[#This Row],[Team]],Salaries[Team],0)),"")</f>
        <v>8</v>
      </c>
      <c r="P40" s="424">
        <f>IFERROR(INDEX(QBallowed[DVP],MATCH(QBmatchups3[[#This Row],[Opp]],QBallowed[Team],0)),IFERROR(INDEX(QBallowed[DVP],MATCH(QBmatchups3[[#This Row],[Opp]],QBallowed[OPP],0)),""))</f>
        <v>24</v>
      </c>
      <c r="Q40" s="431">
        <f>AVERAGE(QBmatchups3[[#This Row],[Att1]:[Atta]])</f>
        <v>32.065333333333335</v>
      </c>
      <c r="R40" s="32">
        <f>AVERAGE(QBmatchups3[[#This Row],[Comp1]:[Compa]])</f>
        <v>19.847999999999999</v>
      </c>
      <c r="S40" s="18">
        <f>SUM(QBmatchups3[[#This Row],[Comp]]/QBmatchups3[[#This Row],[Attempts]])</f>
        <v>0.61898623643394735</v>
      </c>
      <c r="T40" s="32">
        <f>AVERAGE(QBmatchups3[[#This Row],[Yards1]:[Yardsa]])</f>
        <v>221.39666666666665</v>
      </c>
      <c r="U40" s="19">
        <f>SUM(QBmatchups3[[#This Row],[Yards]]/QBmatchups3[[#This Row],[Attempts]])</f>
        <v>6.9045490456983645</v>
      </c>
      <c r="V40" s="32">
        <f>AVERAGE(QBmatchups3[[#This Row],[TD1]:[Tda]])</f>
        <v>1.2556666666666667</v>
      </c>
      <c r="W40" s="32">
        <f>AVERAGE(QBmatchups3[[#This Row],[INT1]:[INTa]])</f>
        <v>0.90600000000000003</v>
      </c>
      <c r="X40" s="19">
        <f>AVERAGE(QBmatchups3[[#This Row],[RushAtt1]:[RushAtta]])</f>
        <v>1.9964999999999999</v>
      </c>
      <c r="Y40" s="32">
        <f>AVERAGE(QBmatchups3[[#This Row],[RushYards1]:[RushYardsa]])</f>
        <v>7.4986666666666659</v>
      </c>
      <c r="Z40" s="32">
        <f>AVERAGE(QBmatchups3[[#This Row],[RushTD1]:[RushTDa]])</f>
        <v>9.0999999999999998E-2</v>
      </c>
      <c r="AA40" s="345">
        <f>_xlfn.RANK.EQ(QBmatchups3[[#This Row],[Projection]],QBmatchups3[Projection],0)</f>
        <v>29</v>
      </c>
      <c r="AB40" s="45">
        <f>SUM(QBmatchups3[[#This Row],[Yards]]*0.04)+(QBmatchups3[[#This Row],[Pass TD]]*4)+(QBmatchups3[[#This Row],[RushYards]]*0.1)+(QBmatchups3[[#This Row],[RushTD]]*6)+(QBmatchups3[[#This Row],[INT]]*-1)+(QBmatchups3[[#This Row],[300+]])</f>
        <v>14.268399999999998</v>
      </c>
      <c r="AC40" s="433">
        <f>_xlfn.RANK.EQ(QBmatchups3[[#This Row],[$/FP]],QBmatchups3[$/FP],1)</f>
        <v>21</v>
      </c>
      <c r="AD40" s="427">
        <f>SUM(QBmatchups3[[#This Row],[Salary]]/QBmatchups3[[#This Row],[Projection]])</f>
        <v>350.42471475428226</v>
      </c>
      <c r="AE40" s="316">
        <f>_xlfn.RANK.EQ(QBmatchups3[[#This Row],[Average]],QBmatchups3[Average],1)</f>
        <v>27</v>
      </c>
      <c r="AF40" s="316">
        <f>AVERAGE(QBmatchups3[[#This Row],[Proj Rank]],QBmatchups3[[#This Row],[Value Rank]])</f>
        <v>25</v>
      </c>
      <c r="AG40" s="214">
        <f>QBmatchups3[[#This Row],[Salary]]/50000</f>
        <v>0.1</v>
      </c>
      <c r="AH40" s="214"/>
      <c r="AI40" s="32">
        <f>IFERROR(INDEX(QBstats1[Pass Att],MATCH(QBmatchups3[[#This Row],[Name]],QBstats1[Player],0)),"0")</f>
        <v>33.095999999999997</v>
      </c>
      <c r="AJ40" s="32">
        <f>IFERROR(INDEX(QBstats2[PassAtt],MATCH(QBmatchups3[[#This Row],[Name]],QBstats2[Player],0)),"0")</f>
        <v>30.2</v>
      </c>
      <c r="AK40" s="45">
        <f>IFERROR(INDEX(QBstats3[PassAtt],MATCH(QBmatchups3[[#This Row],[Name]],QBstats3[Player],0)),"0")</f>
        <v>32.9</v>
      </c>
      <c r="AL40" s="32" t="str">
        <f>IFERROR(INDEX(QBallowed[Att],MATCH(QBmatchups3[[#This Row],[Opp]],QBallowed[Team],0)),"0")</f>
        <v>0</v>
      </c>
      <c r="AM40" s="32">
        <f>IFERROR(INDEX(QBstats1[Pass Comp],MATCH(QBmatchups3[[#This Row],[Name]],QBstats1[Player],0)),"0")</f>
        <v>20.943999999999999</v>
      </c>
      <c r="AN40" s="14">
        <f>IFERROR(INDEX(QBstats2[PassComp],MATCH(QBmatchups3[[#This Row],[Name]],QBstats2[Player],0)),"0")</f>
        <v>18.100000000000001</v>
      </c>
      <c r="AO40" s="14">
        <f>IFERROR(INDEX(QBstats3[PassComp],MATCH(QBmatchups3[[#This Row],[Name]],QBstats3[Player],0)),"0")</f>
        <v>20.5</v>
      </c>
      <c r="AP40" s="32" t="str">
        <f>IFERROR(INDEX(QBallowed[Cmp],MATCH(QBmatchups3[[#This Row],[Opp]],QBallowed[Team],0)),"0")</f>
        <v>0</v>
      </c>
      <c r="AQ40" s="32">
        <f>IFERROR(INDEX(QBstats1[Pass Yds],MATCH(QBmatchups3[[#This Row],[Name]],QBstats1[Player],0)),"0")</f>
        <v>221.89</v>
      </c>
      <c r="AR40" s="14">
        <f>IFERROR(INDEX(QBstats2[PassYards],MATCH(QBmatchups3[[#This Row],[Name]],QBstats2[Player],0)),"0")</f>
        <v>212.4</v>
      </c>
      <c r="AS40" s="14">
        <f>IFERROR(INDEX(QBstats3[PassYards],MATCH(QBmatchups3[[#This Row],[Name]],QBstats3[Player],0)),"0")</f>
        <v>229.9</v>
      </c>
      <c r="AT40" s="32" t="str">
        <f>IFERROR(INDEX(QBallowed[Yards],MATCH(QBmatchups3[[#This Row],[Opp]],QBallowed[Team],0)),"0")</f>
        <v>0</v>
      </c>
      <c r="AU40" s="32">
        <f>IFERROR(INDEX(QBstats1[Pass TD],MATCH(QBmatchups3[[#This Row],[Name]],QBstats1[Player],0)),"0")</f>
        <v>1.167</v>
      </c>
      <c r="AV40" s="14">
        <f>IFERROR(INDEX(QBstats2[PassTD],MATCH(QBmatchups3[[#This Row],[Name]],QBstats2[Player],0)),"0")</f>
        <v>1.4</v>
      </c>
      <c r="AW40" s="14">
        <f>IFERROR(INDEX(QBstats3[PassTD],MATCH(QBmatchups3[[#This Row],[Name]],QBstats3[Player],0)),"0")</f>
        <v>1.2</v>
      </c>
      <c r="AX40" s="32" t="str">
        <f>IFERROR(INDEX(QBallowed[TD],MATCH(QBmatchups3[[#This Row],[Opp]],QBallowed[Team],0)),"0")</f>
        <v>0</v>
      </c>
      <c r="AY40" s="32">
        <f>IFERROR(INDEX(QBstats1[INT],MATCH(QBmatchups3[[#This Row],[Name]],QBstats1[Player],0)),"0")</f>
        <v>1.1120000000000001</v>
      </c>
      <c r="AZ40" s="14" t="str">
        <f>IFERROR(INDEX(QBstats2[Int],MATCH(QBmatchups3[[#This Row],[Name]],QBstats2[Player],0)),"0")</f>
        <v>0.9</v>
      </c>
      <c r="BA40" s="14">
        <f>IFERROR(INDEX(QBstats3[INT],MATCH(QBmatchups3[[#This Row],[Name]],QBstats3[Player],0)),"0")</f>
        <v>0.7</v>
      </c>
      <c r="BB40" s="32" t="str">
        <f>IFERROR(INDEX(QBallowed[INT],MATCH(QBmatchups3[[#This Row],[Opp]],QBallowed[Team],0)),"0")</f>
        <v>0</v>
      </c>
      <c r="BC40" s="32">
        <f>IFERROR(INDEX(QBstats1[Rush Att],MATCH(QBmatchups3[[#This Row],[Name]],QBstats1[Player],0)),"0")</f>
        <v>1.1930000000000001</v>
      </c>
      <c r="BD40" s="14">
        <f>IFERROR(INDEX(QBstats3[Rush Att],MATCH(QBmatchups3[[#This Row],[Name]],QBstats3[Player],0)),"0")</f>
        <v>2.8</v>
      </c>
      <c r="BE40" s="14" t="str">
        <f>IFERROR(INDEX(QBallowed[RushAtt],MATCH(QBmatchups3[[#This Row],[Opp]],QBallowed[Team],0)),"0")</f>
        <v>0</v>
      </c>
      <c r="BF40" s="32">
        <f>IFERROR(INDEX(QBstats1[Rush Yds],MATCH(QBmatchups3[[#This Row],[Name]],QBstats1[Player],0)),"0")</f>
        <v>6.3959999999999999</v>
      </c>
      <c r="BG40" s="14">
        <f>IFERROR(INDEX(QBstats2[RushYards],MATCH(QBmatchups3[[#This Row],[Name]],QBstats2[Player],0)),"0")</f>
        <v>5.6</v>
      </c>
      <c r="BH40" s="14">
        <f>IFERROR(INDEX(QBstats3[RushYards],MATCH(QBmatchups3[[#This Row],[Name]],QBstats3[Player],0)),"0")</f>
        <v>10.5</v>
      </c>
      <c r="BI40" s="32" t="str">
        <f>IFERROR(INDEX(QBallowed[RushYard],MATCH(QBmatchups3[[#This Row],[Opp]],QBallowed[Team],0)),"0")</f>
        <v>0</v>
      </c>
      <c r="BJ40" s="32">
        <f>IFERROR(INDEX(QBstats1[Rush TD],MATCH(QBmatchups3[[#This Row],[Name]],QBstats1[Player],0)),"0")</f>
        <v>8.2000000000000003E-2</v>
      </c>
      <c r="BK40" s="14" t="str">
        <f>IFERROR(INDEX(QBstats2[RushTD],MATCH(QBmatchups3[[#This Row],[Name]],QBstats2[Player],0)),"0")</f>
        <v>0.1</v>
      </c>
      <c r="BL40" s="14">
        <f>IFERROR(INDEX(QBstats3[RushTD],MATCH(QBmatchups3[[#This Row],[Name]],QBstats3[Player],0)),"0")</f>
        <v>0.1</v>
      </c>
      <c r="BM40" s="32" t="str">
        <f>IFERROR(INDEX(QBallowed[RushTD],MATCH(QBmatchups3[[#This Row],[Opp]],QBallowed[Team],0)),"0")</f>
        <v>0</v>
      </c>
      <c r="BN40" s="266">
        <f>IF(QBmatchups3[[#This Row],[Yards]]&gt;=300,3,0)</f>
        <v>0</v>
      </c>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row>
    <row r="41" spans="1:93" x14ac:dyDescent="0.3">
      <c r="A41" s="37">
        <f>QBstats1!AL31</f>
        <v>12</v>
      </c>
      <c r="B41" s="34" t="str">
        <f>QBstats1!D31</f>
        <v>Case Keenum</v>
      </c>
      <c r="C41" s="172">
        <f>IFERROR(INDEX(Salaries[DraftKings (Price)],MATCH(QBmatchups3[[#This Row],[Name]],Salaries[Player],0)),"")</f>
        <v>5000</v>
      </c>
      <c r="D41" s="172">
        <f>IFERROR(INDEX(DK_Salary_Changes[WeekChange],MATCH(QBmatchups3[[#This Row],[Name]],DK_Salary_Changes[Player],0)),"")</f>
        <v>0</v>
      </c>
      <c r="E41" s="14" t="str">
        <f>IFERROR(INDEX(Salaries[Team],MATCH(QBmatchups3[[#This Row],[Name]],Salaries[Player],0)),"")</f>
        <v>LA</v>
      </c>
      <c r="F41" s="14" t="str">
        <f>IFERROR(INDEX(Salaries[Opp],MATCH(QBmatchups3[[#This Row],[Team]],Salaries[Team],0)),"")</f>
        <v>@ARI</v>
      </c>
      <c r="G41" s="405">
        <f>IFERROR(INDEX(QBYTD[Att],MATCH(QBmatchups3[Name],QBYTD[Player],0)),"")</f>
        <v>91</v>
      </c>
      <c r="H41" s="406">
        <f>IFERROR(INDEX(QBYTD[%],MATCH(QBmatchups3[Name],QBYTD[Player],0)),"")</f>
        <v>0.53800000000000003</v>
      </c>
      <c r="I41" s="407">
        <f>IFERROR(INDEX(QBYTD[Pass Yds],MATCH(QBmatchups3[Name],QBYTD[Player],0)),"")</f>
        <v>559</v>
      </c>
      <c r="J41" s="407">
        <f>IFERROR(INDEX(QBYTD[Pass TD],MATCH(QBmatchups3[Name],QBYTD[Player],0)),"")</f>
        <v>2</v>
      </c>
      <c r="K41" s="407">
        <f>IFERROR(INDEX(QBYTD[Rush Yds],MATCH(QBmatchups3[Name],QBYTD[Player],0)),"")</f>
        <v>16</v>
      </c>
      <c r="L41" s="408">
        <f>IFERROR(INDEX(QBYTD[Rush TD],MATCH(QBmatchups3[Name],QBYTD[Player],0)),"")</f>
        <v>0</v>
      </c>
      <c r="M41" s="418">
        <f>IFERROR(INDEX(Salaries[O/U],MATCH(QBmatchups3[[#This Row],[Team]],Salaries[Team],0)),"")</f>
        <v>43</v>
      </c>
      <c r="N41" s="19">
        <f>IFERROR(INDEX(Salaries[Team O/U],MATCH(QBmatchups3[[#This Row],[Team]],Salaries[Team],0)),"")</f>
        <v>17.5</v>
      </c>
      <c r="O41" s="417">
        <f>IFERROR(INDEX(Salaries[Spread],MATCH(QBmatchups3[[#This Row],[Team]],Salaries[Team],0)),"")</f>
        <v>8</v>
      </c>
      <c r="P41" s="424">
        <f>IFERROR(INDEX(QBallowed[DVP],MATCH(QBmatchups3[[#This Row],[Opp]],QBallowed[Team],0)),IFERROR(INDEX(QBallowed[DVP],MATCH(QBmatchups3[[#This Row],[Opp]],QBallowed[OPP],0)),""))</f>
        <v>12</v>
      </c>
      <c r="Q41" s="431">
        <f>AVERAGE(QBmatchups3[[#This Row],[Att1]:[Atta]])</f>
        <v>31.60166666666667</v>
      </c>
      <c r="R41" s="32">
        <f>AVERAGE(QBmatchups3[[#This Row],[Comp1]:[Compa]])</f>
        <v>18.112333333333336</v>
      </c>
      <c r="S41" s="18">
        <f>SUM(QBmatchups3[[#This Row],[Comp]]/QBmatchups3[[#This Row],[Attempts]])</f>
        <v>0.57314487632508837</v>
      </c>
      <c r="T41" s="32">
        <f>AVERAGE(QBmatchups3[[#This Row],[Yards1]:[Yardsa]])</f>
        <v>200.46266666666668</v>
      </c>
      <c r="U41" s="19">
        <f>SUM(QBmatchups3[[#This Row],[Yards]]/QBmatchups3[[#This Row],[Attempts]])</f>
        <v>6.3434207056589837</v>
      </c>
      <c r="V41" s="32">
        <f>AVERAGE(QBmatchups3[[#This Row],[TD1]:[Tda]])</f>
        <v>0.90900000000000014</v>
      </c>
      <c r="W41" s="32">
        <f>AVERAGE(QBmatchups3[[#This Row],[INT1]:[INTa]])</f>
        <v>1.159</v>
      </c>
      <c r="X41" s="19">
        <f>AVERAGE(QBmatchups3[[#This Row],[RushAtt1]:[RushAtta]])</f>
        <v>2.7424999999999997</v>
      </c>
      <c r="Y41" s="32">
        <f>AVERAGE(QBmatchups3[[#This Row],[RushYards1]:[RushYardsa]])</f>
        <v>6.6713333333333331</v>
      </c>
      <c r="Z41" s="32">
        <f>AVERAGE(QBmatchups3[[#This Row],[RushTD1]:[RushTDa]])</f>
        <v>6.9000000000000006E-2</v>
      </c>
      <c r="AA41" s="345">
        <f>_xlfn.RANK.EQ(QBmatchups3[[#This Row],[Projection]],QBmatchups3[Projection],0)</f>
        <v>31</v>
      </c>
      <c r="AB41" s="45">
        <f>SUM(QBmatchups3[[#This Row],[Yards]]*0.04)+(QBmatchups3[[#This Row],[Pass TD]]*4)+(QBmatchups3[[#This Row],[RushYards]]*0.1)+(QBmatchups3[[#This Row],[RushTD]]*6)+(QBmatchups3[[#This Row],[INT]]*-1)+(QBmatchups3[[#This Row],[300+]])</f>
        <v>11.576640000000001</v>
      </c>
      <c r="AC41" s="433">
        <f>_xlfn.RANK.EQ(QBmatchups3[[#This Row],[$/FP]],QBmatchups3[$/FP],1)</f>
        <v>31</v>
      </c>
      <c r="AD41" s="427">
        <f>SUM(QBmatchups3[[#This Row],[Salary]]/QBmatchups3[[#This Row],[Projection]])</f>
        <v>431.90424855571217</v>
      </c>
      <c r="AE41" s="316">
        <f>_xlfn.RANK.EQ(QBmatchups3[[#This Row],[Average]],QBmatchups3[Average],1)</f>
        <v>31</v>
      </c>
      <c r="AF41" s="316">
        <f>AVERAGE(QBmatchups3[[#This Row],[Proj Rank]],QBmatchups3[[#This Row],[Value Rank]])</f>
        <v>31</v>
      </c>
      <c r="AG41" s="214">
        <f>QBmatchups3[[#This Row],[Salary]]/50000</f>
        <v>0.1</v>
      </c>
      <c r="AH41" s="214"/>
      <c r="AI41" s="32">
        <f>IFERROR(INDEX(QBstats1[Pass Att],MATCH(QBmatchups3[[#This Row],[Name]],QBstats1[Player],0)),"0")</f>
        <v>32.505000000000003</v>
      </c>
      <c r="AJ41" s="32">
        <f>IFERROR(INDEX(QBstats2[PassAtt],MATCH(QBmatchups3[[#This Row],[Name]],QBstats2[Player],0)),"0")</f>
        <v>32.200000000000003</v>
      </c>
      <c r="AK41" s="130">
        <f>IFERROR(INDEX(QBstats3[PassAtt],MATCH(QBmatchups3[[#This Row],[Name]],QBstats3[Player],0)),"0")</f>
        <v>30.1</v>
      </c>
      <c r="AL41" s="32" t="str">
        <f>IFERROR(INDEX(QBallowed[Att],MATCH(QBmatchups3[[#This Row],[Opp]],QBallowed[Team],0)),"0")</f>
        <v>0</v>
      </c>
      <c r="AM41" s="32">
        <f>IFERROR(INDEX(QBstats1[Pass Comp],MATCH(QBmatchups3[[#This Row],[Name]],QBstats1[Player],0)),"0")</f>
        <v>17.736999999999998</v>
      </c>
      <c r="AN41" s="32">
        <f>IFERROR(INDEX(QBstats2[PassComp],MATCH(QBmatchups3[[#This Row],[Name]],QBstats2[Player],0)),"0")</f>
        <v>18.100000000000001</v>
      </c>
      <c r="AO41" s="32">
        <f>IFERROR(INDEX(QBstats3[PassComp],MATCH(QBmatchups3[[#This Row],[Name]],QBstats3[Player],0)),"0")</f>
        <v>18.5</v>
      </c>
      <c r="AP41" s="32" t="str">
        <f>IFERROR(INDEX(QBallowed[Cmp],MATCH(QBmatchups3[[#This Row],[Opp]],QBallowed[Team],0)),"0")</f>
        <v>0</v>
      </c>
      <c r="AQ41" s="32">
        <f>IFERROR(INDEX(QBstats1[Pass Yds],MATCH(QBmatchups3[[#This Row],[Name]],QBstats1[Player],0)),"0")</f>
        <v>210.28800000000001</v>
      </c>
      <c r="AR41" s="32">
        <f>IFERROR(INDEX(QBstats2[PassYards],MATCH(QBmatchups3[[#This Row],[Name]],QBstats2[Player],0)),"0")</f>
        <v>192.2</v>
      </c>
      <c r="AS41" s="32">
        <f>IFERROR(INDEX(QBstats3[PassYards],MATCH(QBmatchups3[[#This Row],[Name]],QBstats3[Player],0)),"0")</f>
        <v>198.9</v>
      </c>
      <c r="AT41" s="32" t="str">
        <f>IFERROR(INDEX(QBallowed[Yards],MATCH(QBmatchups3[[#This Row],[Opp]],QBallowed[Team],0)),"0")</f>
        <v>0</v>
      </c>
      <c r="AU41" s="32">
        <f>IFERROR(INDEX(QBstats1[Pass TD],MATCH(QBmatchups3[[#This Row],[Name]],QBstats1[Player],0)),"0")</f>
        <v>1.0269999999999999</v>
      </c>
      <c r="AV41" s="32">
        <f>IFERROR(INDEX(QBstats2[PassTD],MATCH(QBmatchups3[[#This Row],[Name]],QBstats2[Player],0)),"0")</f>
        <v>1</v>
      </c>
      <c r="AW41" s="32">
        <f>IFERROR(INDEX(QBstats3[PassTD],MATCH(QBmatchups3[[#This Row],[Name]],QBstats3[Player],0)),"0")</f>
        <v>0.7</v>
      </c>
      <c r="AX41" s="32" t="str">
        <f>IFERROR(INDEX(QBallowed[TD],MATCH(QBmatchups3[[#This Row],[Opp]],QBallowed[Team],0)),"0")</f>
        <v>0</v>
      </c>
      <c r="AY41" s="32">
        <f>IFERROR(INDEX(QBstats1[INT],MATCH(QBmatchups3[[#This Row],[Name]],QBstats1[Player],0)),"0")</f>
        <v>1.177</v>
      </c>
      <c r="AZ41" s="32">
        <f>IFERROR(INDEX(QBstats2[Int],MATCH(QBmatchups3[[#This Row],[Name]],QBstats2[Player],0)),"0")</f>
        <v>1.4</v>
      </c>
      <c r="BA41" s="32">
        <f>IFERROR(INDEX(QBstats3[INT],MATCH(QBmatchups3[[#This Row],[Name]],QBstats3[Player],0)),"0")</f>
        <v>0.9</v>
      </c>
      <c r="BB41" s="32" t="str">
        <f>IFERROR(INDEX(QBallowed[INT],MATCH(QBmatchups3[[#This Row],[Opp]],QBallowed[Team],0)),"0")</f>
        <v>0</v>
      </c>
      <c r="BC41" s="32">
        <f>IFERROR(INDEX(QBstats1[Rush Att],MATCH(QBmatchups3[[#This Row],[Name]],QBstats1[Player],0)),"0")</f>
        <v>2.9849999999999999</v>
      </c>
      <c r="BD41" s="32">
        <f>IFERROR(INDEX(QBstats3[Rush Att],MATCH(QBmatchups3[[#This Row],[Name]],QBstats3[Player],0)),"0")</f>
        <v>2.5</v>
      </c>
      <c r="BE41" s="32" t="str">
        <f>IFERROR(INDEX(QBallowed[RushAtt],MATCH(QBmatchups3[[#This Row],[Opp]],QBallowed[Team],0)),"0")</f>
        <v>0</v>
      </c>
      <c r="BF41" s="32">
        <f>IFERROR(INDEX(QBstats1[Rush Yds],MATCH(QBmatchups3[[#This Row],[Name]],QBstats1[Player],0)),"0")</f>
        <v>9.0139999999999993</v>
      </c>
      <c r="BG41" s="32">
        <f>IFERROR(INDEX(QBstats2[RushYards],MATCH(QBmatchups3[[#This Row],[Name]],QBstats2[Player],0)),"0")</f>
        <v>2.8</v>
      </c>
      <c r="BH41" s="32">
        <f>IFERROR(INDEX(QBstats3[RushYards],MATCH(QBmatchups3[[#This Row],[Name]],QBstats3[Player],0)),"0")</f>
        <v>8.1999999999999993</v>
      </c>
      <c r="BI41" s="32" t="str">
        <f>IFERROR(INDEX(QBallowed[RushYard],MATCH(QBmatchups3[[#This Row],[Opp]],QBallowed[Team],0)),"0")</f>
        <v>0</v>
      </c>
      <c r="BJ41" s="32">
        <f>IFERROR(INDEX(QBstats1[Rush TD],MATCH(QBmatchups3[[#This Row],[Name]],QBstats1[Player],0)),"0")</f>
        <v>3.7999999999999999E-2</v>
      </c>
      <c r="BK41" s="32" t="str">
        <f>IFERROR(INDEX(QBstats2[RushTD],MATCH(QBmatchups3[[#This Row],[Name]],QBstats2[Player],0)),"0")</f>
        <v>0</v>
      </c>
      <c r="BL41" s="32">
        <f>IFERROR(INDEX(QBstats3[RushTD],MATCH(QBmatchups3[[#This Row],[Name]],QBstats3[Player],0)),"0")</f>
        <v>0.1</v>
      </c>
      <c r="BM41" s="32" t="str">
        <f>IFERROR(INDEX(QBallowed[RushTD],MATCH(QBmatchups3[[#This Row],[Opp]],QBallowed[Team],0)),"0")</f>
        <v>0</v>
      </c>
      <c r="BN41" s="266">
        <f>IF(QBmatchups3[[#This Row],[Yards]]&gt;=300,3,0)</f>
        <v>0</v>
      </c>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row>
    <row r="42" spans="1:93" ht="15" thickBot="1" x14ac:dyDescent="0.35">
      <c r="A42" s="134">
        <f>QBstats1!AL33</f>
        <v>12.3</v>
      </c>
      <c r="B42" s="127" t="str">
        <f>QBstats1!D33</f>
        <v>Case Keenum</v>
      </c>
      <c r="C42" s="172">
        <f>IFERROR(INDEX(Salaries[DraftKings (Price)],MATCH(QBmatchups3[[#This Row],[Name]],Salaries[Player],0)),"")</f>
        <v>5000</v>
      </c>
      <c r="D42" s="172">
        <f>IFERROR(INDEX(DK_Salary_Changes[WeekChange],MATCH(QBmatchups3[[#This Row],[Name]],DK_Salary_Changes[Player],0)),"")</f>
        <v>0</v>
      </c>
      <c r="E42" s="237" t="str">
        <f>IFERROR(INDEX(Salaries[Team],MATCH(QBmatchups3[[#This Row],[Name]],Salaries[Player],0)),"")</f>
        <v>LA</v>
      </c>
      <c r="F42" s="14" t="str">
        <f>IFERROR(INDEX(Salaries[Opp],MATCH(QBmatchups3[[#This Row],[Team]],Salaries[Team],0)),"")</f>
        <v>@ARI</v>
      </c>
      <c r="G42" s="412">
        <f>IFERROR(INDEX(QBYTD[Att],MATCH(QBmatchups3[Name],QBYTD[Player],0)),"")</f>
        <v>91</v>
      </c>
      <c r="H42" s="413">
        <f>IFERROR(INDEX(QBYTD[%],MATCH(QBmatchups3[Name],QBYTD[Player],0)),"")</f>
        <v>0.53800000000000003</v>
      </c>
      <c r="I42" s="414">
        <f>IFERROR(INDEX(QBYTD[Pass Yds],MATCH(QBmatchups3[Name],QBYTD[Player],0)),"")</f>
        <v>559</v>
      </c>
      <c r="J42" s="407">
        <f>IFERROR(INDEX(QBYTD[Pass TD],MATCH(QBmatchups3[Name],QBYTD[Player],0)),"")</f>
        <v>2</v>
      </c>
      <c r="K42" s="414">
        <f>IFERROR(INDEX(QBYTD[Rush Yds],MATCH(QBmatchups3[Name],QBYTD[Player],0)),"")</f>
        <v>16</v>
      </c>
      <c r="L42" s="415">
        <f>IFERROR(INDEX(QBYTD[Rush TD],MATCH(QBmatchups3[Name],QBYTD[Player],0)),"")</f>
        <v>0</v>
      </c>
      <c r="M42" s="421">
        <f>IFERROR(INDEX(Salaries[O/U],MATCH(QBmatchups3[[#This Row],[Team]],Salaries[Team],0)),"")</f>
        <v>43</v>
      </c>
      <c r="N42" s="422">
        <f>IFERROR(INDEX(Salaries[Team O/U],MATCH(QBmatchups3[[#This Row],[Team]],Salaries[Team],0)),"")</f>
        <v>17.5</v>
      </c>
      <c r="O42" s="423">
        <f>IFERROR(INDEX(Salaries[Spread],MATCH(QBmatchups3[[#This Row],[Team]],Salaries[Team],0)),"")</f>
        <v>8</v>
      </c>
      <c r="P42" s="424">
        <f>IFERROR(INDEX(QBallowed[DVP],MATCH(QBmatchups3[[#This Row],[Opp]],QBallowed[Team],0)),IFERROR(INDEX(QBallowed[DVP],MATCH(QBmatchups3[[#This Row],[Opp]],QBallowed[OPP],0)),""))</f>
        <v>12</v>
      </c>
      <c r="Q42" s="435">
        <f>AVERAGE(QBmatchups3[[#This Row],[Att1]:[Atta]])</f>
        <v>31.60166666666667</v>
      </c>
      <c r="R42" s="436">
        <f>AVERAGE(QBmatchups3[[#This Row],[Comp1]:[Compa]])</f>
        <v>18.112333333333336</v>
      </c>
      <c r="S42" s="437">
        <f>SUM(QBmatchups3[[#This Row],[Comp]]/QBmatchups3[[#This Row],[Attempts]])</f>
        <v>0.57314487632508837</v>
      </c>
      <c r="T42" s="436">
        <f>AVERAGE(QBmatchups3[[#This Row],[Yards1]:[Yardsa]])</f>
        <v>200.46266666666668</v>
      </c>
      <c r="U42" s="422">
        <f>SUM(QBmatchups3[[#This Row],[Yards]]/QBmatchups3[[#This Row],[Attempts]])</f>
        <v>6.3434207056589837</v>
      </c>
      <c r="V42" s="436">
        <f>AVERAGE(QBmatchups3[[#This Row],[TD1]:[Tda]])</f>
        <v>0.90900000000000014</v>
      </c>
      <c r="W42" s="436">
        <f>AVERAGE(QBmatchups3[[#This Row],[INT1]:[INTa]])</f>
        <v>1.159</v>
      </c>
      <c r="X42" s="422">
        <f>AVERAGE(QBmatchups3[[#This Row],[RushAtt1]:[RushAtta]])</f>
        <v>2.7424999999999997</v>
      </c>
      <c r="Y42" s="514">
        <f>AVERAGE(QBmatchups3[[#This Row],[RushYards1]:[RushYardsa]])</f>
        <v>6.6713333333333331</v>
      </c>
      <c r="Z42" s="436">
        <f>AVERAGE(QBmatchups3[[#This Row],[RushTD1]:[RushTDa]])</f>
        <v>6.9000000000000006E-2</v>
      </c>
      <c r="AA42" s="438">
        <f>_xlfn.RANK.EQ(QBmatchups3[[#This Row],[Projection]],QBmatchups3[Projection],0)</f>
        <v>31</v>
      </c>
      <c r="AB42" s="439">
        <f>SUM(QBmatchups3[[#This Row],[Yards]]*0.04)+(QBmatchups3[[#This Row],[Pass TD]]*4)+(QBmatchups3[[#This Row],[RushYards]]*0.1)+(QBmatchups3[[#This Row],[RushTD]]*6)+(QBmatchups3[[#This Row],[INT]]*-1)+(QBmatchups3[[#This Row],[300+]])</f>
        <v>11.576640000000001</v>
      </c>
      <c r="AC42" s="440">
        <f>_xlfn.RANK.EQ(QBmatchups3[[#This Row],[$/FP]],QBmatchups3[$/FP],1)</f>
        <v>31</v>
      </c>
      <c r="AD42" s="427">
        <f>SUM(QBmatchups3[[#This Row],[Salary]]/QBmatchups3[[#This Row],[Projection]])</f>
        <v>431.90424855571217</v>
      </c>
      <c r="AE42" s="316">
        <f>_xlfn.RANK.EQ(QBmatchups3[[#This Row],[Average]],QBmatchups3[Average],1)</f>
        <v>31</v>
      </c>
      <c r="AF42" s="316">
        <f>AVERAGE(QBmatchups3[[#This Row],[Proj Rank]],QBmatchups3[[#This Row],[Value Rank]])</f>
        <v>31</v>
      </c>
      <c r="AG42" s="214">
        <f>QBmatchups3[[#This Row],[Salary]]/50000</f>
        <v>0.1</v>
      </c>
      <c r="AH42" s="214"/>
      <c r="AI42" s="32">
        <f>IFERROR(INDEX(QBstats1[Pass Att],MATCH(QBmatchups3[[#This Row],[Name]],QBstats1[Player],0)),"0")</f>
        <v>32.505000000000003</v>
      </c>
      <c r="AJ42" s="32">
        <f>IFERROR(INDEX(QBstats2[PassAtt],MATCH(QBmatchups3[[#This Row],[Name]],QBstats2[Player],0)),"0")</f>
        <v>32.200000000000003</v>
      </c>
      <c r="AK42" s="45">
        <f>IFERROR(INDEX(QBstats3[PassAtt],MATCH(QBmatchups3[[#This Row],[Name]],QBstats3[Player],0)),"0")</f>
        <v>30.1</v>
      </c>
      <c r="AL42" s="32" t="str">
        <f>IFERROR(INDEX(QBallowed[Att],MATCH(QBmatchups3[[#This Row],[Opp]],QBallowed[Team],0)),"0")</f>
        <v>0</v>
      </c>
      <c r="AM42" s="32">
        <f>IFERROR(INDEX(QBstats1[Pass Comp],MATCH(QBmatchups3[[#This Row],[Name]],QBstats1[Player],0)),"0")</f>
        <v>17.736999999999998</v>
      </c>
      <c r="AN42" s="32">
        <f>IFERROR(INDEX(QBstats2[PassComp],MATCH(QBmatchups3[[#This Row],[Name]],QBstats2[Player],0)),"0")</f>
        <v>18.100000000000001</v>
      </c>
      <c r="AO42" s="128">
        <f>IFERROR(INDEX(QBstats3[PassComp],MATCH(QBmatchups3[[#This Row],[Name]],QBstats3[Player],0)),"0")</f>
        <v>18.5</v>
      </c>
      <c r="AP42" s="32" t="str">
        <f>IFERROR(INDEX(QBallowed[Cmp],MATCH(QBmatchups3[[#This Row],[Opp]],QBallowed[Team],0)),"0")</f>
        <v>0</v>
      </c>
      <c r="AQ42" s="32">
        <f>IFERROR(INDEX(QBstats1[Pass Yds],MATCH(QBmatchups3[[#This Row],[Name]],QBstats1[Player],0)),"0")</f>
        <v>210.28800000000001</v>
      </c>
      <c r="AR42" s="32">
        <f>IFERROR(INDEX(QBstats2[PassYards],MATCH(QBmatchups3[[#This Row],[Name]],QBstats2[Player],0)),"0")</f>
        <v>192.2</v>
      </c>
      <c r="AS42" s="128">
        <f>IFERROR(INDEX(QBstats3[PassYards],MATCH(QBmatchups3[[#This Row],[Name]],QBstats3[Player],0)),"0")</f>
        <v>198.9</v>
      </c>
      <c r="AT42" s="32" t="str">
        <f>IFERROR(INDEX(QBallowed[Yards],MATCH(QBmatchups3[[#This Row],[Opp]],QBallowed[Team],0)),"0")</f>
        <v>0</v>
      </c>
      <c r="AU42" s="32">
        <f>IFERROR(INDEX(QBstats1[Pass TD],MATCH(QBmatchups3[[#This Row],[Name]],QBstats1[Player],0)),"0")</f>
        <v>1.0269999999999999</v>
      </c>
      <c r="AV42" s="32">
        <f>IFERROR(INDEX(QBstats2[PassTD],MATCH(QBmatchups3[[#This Row],[Name]],QBstats2[Player],0)),"0")</f>
        <v>1</v>
      </c>
      <c r="AW42" s="128">
        <f>IFERROR(INDEX(QBstats3[PassTD],MATCH(QBmatchups3[[#This Row],[Name]],QBstats3[Player],0)),"0")</f>
        <v>0.7</v>
      </c>
      <c r="AX42" s="32" t="str">
        <f>IFERROR(INDEX(QBallowed[TD],MATCH(QBmatchups3[[#This Row],[Opp]],QBallowed[Team],0)),"0")</f>
        <v>0</v>
      </c>
      <c r="AY42" s="32">
        <f>IFERROR(INDEX(QBstats1[INT],MATCH(QBmatchups3[[#This Row],[Name]],QBstats1[Player],0)),"0")</f>
        <v>1.177</v>
      </c>
      <c r="AZ42" s="32">
        <f>IFERROR(INDEX(QBstats2[Int],MATCH(QBmatchups3[[#This Row],[Name]],QBstats2[Player],0)),"0")</f>
        <v>1.4</v>
      </c>
      <c r="BA42" s="128">
        <f>IFERROR(INDEX(QBstats3[INT],MATCH(QBmatchups3[[#This Row],[Name]],QBstats3[Player],0)),"0")</f>
        <v>0.9</v>
      </c>
      <c r="BB42" s="32" t="str">
        <f>IFERROR(INDEX(QBallowed[INT],MATCH(QBmatchups3[[#This Row],[Opp]],QBallowed[Team],0)),"0")</f>
        <v>0</v>
      </c>
      <c r="BC42" s="32">
        <f>IFERROR(INDEX(QBstats1[Rush Att],MATCH(QBmatchups3[[#This Row],[Name]],QBstats1[Player],0)),"0")</f>
        <v>2.9849999999999999</v>
      </c>
      <c r="BD42" s="32">
        <f>IFERROR(INDEX(QBstats3[Rush Att],MATCH(QBmatchups3[[#This Row],[Name]],QBstats3[Player],0)),"0")</f>
        <v>2.5</v>
      </c>
      <c r="BE42" s="32" t="str">
        <f>IFERROR(INDEX(QBallowed[RushAtt],MATCH(QBmatchups3[[#This Row],[Opp]],QBallowed[Team],0)),"0")</f>
        <v>0</v>
      </c>
      <c r="BF42" s="32">
        <f>IFERROR(INDEX(QBstats1[Rush Yds],MATCH(QBmatchups3[[#This Row],[Name]],QBstats1[Player],0)),"0")</f>
        <v>9.0139999999999993</v>
      </c>
      <c r="BG42" s="32">
        <f>IFERROR(INDEX(QBstats2[RushYards],MATCH(QBmatchups3[[#This Row],[Name]],QBstats2[Player],0)),"0")</f>
        <v>2.8</v>
      </c>
      <c r="BH42" s="128">
        <f>IFERROR(INDEX(QBstats3[RushYards],MATCH(QBmatchups3[[#This Row],[Name]],QBstats3[Player],0)),"0")</f>
        <v>8.1999999999999993</v>
      </c>
      <c r="BI42" s="32" t="str">
        <f>IFERROR(INDEX(QBallowed[RushYard],MATCH(QBmatchups3[[#This Row],[Opp]],QBallowed[Team],0)),"0")</f>
        <v>0</v>
      </c>
      <c r="BJ42" s="32">
        <f>IFERROR(INDEX(QBstats1[Rush TD],MATCH(QBmatchups3[[#This Row],[Name]],QBstats1[Player],0)),"0")</f>
        <v>3.7999999999999999E-2</v>
      </c>
      <c r="BK42" s="32" t="str">
        <f>IFERROR(INDEX(QBstats2[RushTD],MATCH(QBmatchups3[[#This Row],[Name]],QBstats2[Player],0)),"0")</f>
        <v>0</v>
      </c>
      <c r="BL42" s="128">
        <f>IFERROR(INDEX(QBstats3[RushTD],MATCH(QBmatchups3[[#This Row],[Name]],QBstats3[Player],0)),"0")</f>
        <v>0.1</v>
      </c>
      <c r="BM42" s="32" t="str">
        <f>IFERROR(INDEX(QBallowed[RushTD],MATCH(QBmatchups3[[#This Row],[Opp]],QBallowed[Team],0)),"0")</f>
        <v>0</v>
      </c>
      <c r="BN42" s="266">
        <f>IF(QBmatchups3[[#This Row],[Yards]]&gt;=300,3,0)</f>
        <v>0</v>
      </c>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row>
    <row r="43" spans="1:93"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40"/>
      <c r="BB43" s="9"/>
      <c r="BC43" s="9"/>
      <c r="BD43" s="9"/>
      <c r="BE43" s="9"/>
      <c r="BF43" s="9"/>
      <c r="BG43" s="9"/>
      <c r="BH43" s="9"/>
      <c r="BI43" s="9"/>
      <c r="BJ43" s="9"/>
      <c r="BK43" s="9"/>
      <c r="BL43" s="9"/>
      <c r="BM43" s="9"/>
      <c r="BN43" s="9"/>
      <c r="BO43" s="9"/>
      <c r="BP43" s="9"/>
      <c r="BQ43" s="9"/>
      <c r="BR43" s="9"/>
      <c r="BS43" s="9"/>
      <c r="BT43" s="9"/>
      <c r="BU43" s="9"/>
      <c r="BV43" s="9"/>
      <c r="BW43" s="9"/>
      <c r="BX43" s="9"/>
      <c r="BY43" s="9"/>
      <c r="BZ43" s="9"/>
    </row>
    <row r="44" spans="1:93"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40"/>
      <c r="BB44" s="9"/>
      <c r="BC44" s="9"/>
      <c r="BD44" s="9"/>
      <c r="BE44" s="9"/>
      <c r="BF44" s="9"/>
      <c r="BG44" s="9"/>
      <c r="BH44" s="9"/>
      <c r="BI44" s="9"/>
      <c r="BJ44" s="9"/>
      <c r="BK44" s="9"/>
      <c r="BL44" s="9"/>
      <c r="BM44" s="9"/>
      <c r="BN44" s="9"/>
      <c r="BO44" s="9"/>
      <c r="BP44" s="9"/>
      <c r="BQ44" s="9"/>
      <c r="BR44" s="9"/>
      <c r="BS44" s="9"/>
      <c r="BT44" s="9"/>
      <c r="BU44" s="9"/>
      <c r="BV44" s="9"/>
      <c r="BW44" s="9"/>
      <c r="BX44" s="9"/>
      <c r="BY44" s="9"/>
      <c r="BZ44" s="9"/>
    </row>
    <row r="45" spans="1:93"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40"/>
      <c r="BB45" s="9"/>
      <c r="BC45" s="9"/>
      <c r="BD45" s="9"/>
      <c r="BE45" s="9"/>
      <c r="BF45" s="9"/>
      <c r="BG45" s="9"/>
      <c r="BH45" s="9"/>
      <c r="BI45" s="9"/>
      <c r="BJ45" s="9"/>
      <c r="BK45" s="9"/>
      <c r="BL45" s="9"/>
      <c r="BM45" s="9"/>
      <c r="BN45" s="9"/>
      <c r="BO45" s="9"/>
      <c r="BP45" s="9"/>
      <c r="BQ45" s="9"/>
      <c r="BR45" s="9"/>
      <c r="BS45" s="9"/>
      <c r="BT45" s="9"/>
      <c r="BU45" s="9"/>
      <c r="BV45" s="9"/>
      <c r="BW45" s="9"/>
      <c r="BX45" s="9"/>
      <c r="BY45" s="9"/>
      <c r="BZ45" s="9"/>
    </row>
    <row r="46" spans="1:93"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40"/>
      <c r="BB46" s="9"/>
      <c r="BC46" s="9"/>
      <c r="BD46" s="9"/>
      <c r="BE46" s="9"/>
      <c r="BF46" s="9"/>
      <c r="BG46" s="9"/>
      <c r="BH46" s="9"/>
      <c r="BI46" s="9"/>
      <c r="BJ46" s="9"/>
      <c r="BK46" s="9"/>
      <c r="BL46" s="9"/>
      <c r="BM46" s="9"/>
      <c r="BN46" s="9"/>
      <c r="BO46" s="9"/>
      <c r="BP46" s="9"/>
      <c r="BQ46" s="9"/>
      <c r="BR46" s="9"/>
      <c r="BS46" s="9"/>
      <c r="BT46" s="9"/>
      <c r="BU46" s="9"/>
      <c r="BV46" s="9"/>
      <c r="BW46" s="9"/>
      <c r="BX46" s="9"/>
      <c r="BY46" s="9"/>
      <c r="BZ46" s="9"/>
    </row>
    <row r="47" spans="1:93"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40"/>
      <c r="BB47" s="9"/>
      <c r="BC47" s="9"/>
      <c r="BD47" s="9"/>
      <c r="BE47" s="9"/>
      <c r="BF47" s="9"/>
      <c r="BG47" s="9"/>
      <c r="BH47" s="9"/>
      <c r="BI47" s="9"/>
      <c r="BJ47" s="9"/>
      <c r="BK47" s="9"/>
      <c r="BL47" s="9"/>
      <c r="BM47" s="9"/>
      <c r="BN47" s="9"/>
      <c r="BO47" s="9"/>
      <c r="BP47" s="9"/>
      <c r="BQ47" s="9"/>
      <c r="BR47" s="9"/>
      <c r="BS47" s="9"/>
      <c r="BT47" s="9"/>
      <c r="BU47" s="9"/>
      <c r="BV47" s="9"/>
      <c r="BW47" s="9"/>
      <c r="BX47" s="9"/>
      <c r="BY47" s="9"/>
      <c r="BZ47" s="9"/>
    </row>
    <row r="48" spans="1:93"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40"/>
      <c r="BB48" s="9"/>
      <c r="BC48" s="9"/>
      <c r="BD48" s="9"/>
      <c r="BE48" s="9"/>
      <c r="BF48" s="9"/>
      <c r="BG48" s="9"/>
      <c r="BH48" s="9"/>
      <c r="BI48" s="9"/>
      <c r="BJ48" s="9"/>
      <c r="BK48" s="9"/>
      <c r="BL48" s="9"/>
      <c r="BM48" s="9"/>
      <c r="BN48" s="9"/>
      <c r="BO48" s="9"/>
      <c r="BP48" s="9"/>
      <c r="BQ48" s="9"/>
      <c r="BR48" s="9"/>
      <c r="BS48" s="9"/>
      <c r="BT48" s="9"/>
      <c r="BU48" s="9"/>
      <c r="BV48" s="9"/>
      <c r="BW48" s="9"/>
      <c r="BX48" s="9"/>
      <c r="BY48" s="9"/>
      <c r="BZ48" s="9"/>
    </row>
    <row r="49" spans="1:78"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40"/>
      <c r="BB49" s="9"/>
      <c r="BC49" s="9"/>
      <c r="BD49" s="9"/>
      <c r="BE49" s="9"/>
      <c r="BF49" s="9"/>
      <c r="BG49" s="9"/>
      <c r="BH49" s="9"/>
      <c r="BI49" s="9"/>
      <c r="BJ49" s="9"/>
      <c r="BK49" s="9"/>
      <c r="BL49" s="9"/>
      <c r="BM49" s="9"/>
      <c r="BN49" s="9"/>
      <c r="BO49" s="9"/>
      <c r="BP49" s="9"/>
      <c r="BQ49" s="9"/>
      <c r="BR49" s="9"/>
      <c r="BS49" s="9"/>
      <c r="BT49" s="9"/>
      <c r="BU49" s="9"/>
      <c r="BV49" s="9"/>
      <c r="BW49" s="9"/>
      <c r="BX49" s="9"/>
      <c r="BY49" s="9"/>
      <c r="BZ49" s="9"/>
    </row>
    <row r="50" spans="1:78"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40"/>
      <c r="BB50" s="9"/>
      <c r="BC50" s="9"/>
      <c r="BD50" s="9"/>
      <c r="BE50" s="9"/>
      <c r="BF50" s="9"/>
      <c r="BG50" s="9"/>
      <c r="BH50" s="9"/>
      <c r="BI50" s="9"/>
      <c r="BJ50" s="9"/>
      <c r="BK50" s="9"/>
      <c r="BL50" s="9"/>
      <c r="BM50" s="9"/>
      <c r="BN50" s="9"/>
      <c r="BO50" s="9"/>
      <c r="BP50" s="9"/>
      <c r="BQ50" s="9"/>
      <c r="BR50" s="9"/>
      <c r="BS50" s="9"/>
      <c r="BT50" s="9"/>
      <c r="BU50" s="9"/>
      <c r="BV50" s="9"/>
      <c r="BW50" s="9"/>
      <c r="BX50" s="9"/>
      <c r="BY50" s="9"/>
      <c r="BZ50" s="9"/>
    </row>
    <row r="51" spans="1:78"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40"/>
      <c r="BB51" s="9"/>
      <c r="BC51" s="9"/>
      <c r="BD51" s="9"/>
      <c r="BE51" s="9"/>
      <c r="BF51" s="9"/>
      <c r="BG51" s="9"/>
      <c r="BH51" s="9"/>
      <c r="BI51" s="9"/>
      <c r="BJ51" s="9"/>
      <c r="BK51" s="9"/>
      <c r="BL51" s="9"/>
      <c r="BM51" s="9"/>
      <c r="BN51" s="9"/>
      <c r="BO51" s="9"/>
      <c r="BP51" s="9"/>
      <c r="BQ51" s="9"/>
      <c r="BR51" s="9"/>
      <c r="BS51" s="9"/>
      <c r="BT51" s="9"/>
      <c r="BU51" s="9"/>
      <c r="BV51" s="9"/>
      <c r="BW51" s="9"/>
      <c r="BX51" s="9"/>
      <c r="BY51" s="9"/>
      <c r="BZ51" s="9"/>
    </row>
    <row r="52" spans="1:78"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40"/>
      <c r="BB52" s="9"/>
      <c r="BC52" s="9"/>
      <c r="BD52" s="9"/>
      <c r="BE52" s="9"/>
      <c r="BF52" s="9"/>
      <c r="BG52" s="9"/>
      <c r="BH52" s="9"/>
      <c r="BI52" s="9"/>
      <c r="BJ52" s="9"/>
      <c r="BK52" s="9"/>
      <c r="BL52" s="9"/>
      <c r="BM52" s="9"/>
      <c r="BN52" s="9"/>
      <c r="BO52" s="9"/>
      <c r="BP52" s="9"/>
      <c r="BQ52" s="9"/>
      <c r="BR52" s="9"/>
      <c r="BS52" s="9"/>
      <c r="BT52" s="9"/>
      <c r="BU52" s="9"/>
      <c r="BV52" s="9"/>
      <c r="BW52" s="9"/>
      <c r="BX52" s="9"/>
      <c r="BY52" s="9"/>
      <c r="BZ52" s="9"/>
    </row>
    <row r="53" spans="1:78"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40"/>
      <c r="BB53" s="9"/>
      <c r="BC53" s="9"/>
      <c r="BD53" s="9"/>
      <c r="BE53" s="9"/>
      <c r="BF53" s="9"/>
      <c r="BG53" s="9"/>
      <c r="BH53" s="9"/>
      <c r="BI53" s="9"/>
      <c r="BJ53" s="9"/>
      <c r="BK53" s="9"/>
      <c r="BL53" s="9"/>
      <c r="BM53" s="9"/>
      <c r="BN53" s="9"/>
      <c r="BO53" s="9"/>
      <c r="BP53" s="9"/>
      <c r="BQ53" s="9"/>
      <c r="BR53" s="9"/>
      <c r="BS53" s="9"/>
      <c r="BT53" s="9"/>
      <c r="BU53" s="9"/>
      <c r="BV53" s="9"/>
      <c r="BW53" s="9"/>
      <c r="BX53" s="9"/>
      <c r="BY53" s="9"/>
      <c r="BZ53" s="9"/>
    </row>
    <row r="54" spans="1:78"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40"/>
      <c r="BB54" s="9"/>
      <c r="BC54" s="9"/>
      <c r="BD54" s="9"/>
      <c r="BE54" s="9"/>
      <c r="BF54" s="9"/>
      <c r="BG54" s="9"/>
      <c r="BH54" s="9"/>
      <c r="BI54" s="9"/>
      <c r="BJ54" s="9"/>
      <c r="BK54" s="9"/>
      <c r="BL54" s="9"/>
      <c r="BM54" s="9"/>
      <c r="BN54" s="9"/>
      <c r="BO54" s="9"/>
      <c r="BP54" s="9"/>
      <c r="BQ54" s="9"/>
      <c r="BR54" s="9"/>
      <c r="BS54" s="9"/>
      <c r="BT54" s="9"/>
      <c r="BU54" s="9"/>
      <c r="BV54" s="9"/>
      <c r="BW54" s="9"/>
      <c r="BX54" s="9"/>
      <c r="BY54" s="9"/>
      <c r="BZ54" s="9"/>
    </row>
    <row r="55" spans="1:78"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40"/>
      <c r="BB55" s="9"/>
      <c r="BC55" s="9"/>
      <c r="BD55" s="9"/>
      <c r="BE55" s="9"/>
      <c r="BF55" s="9"/>
      <c r="BG55" s="9"/>
      <c r="BH55" s="9"/>
      <c r="BI55" s="9"/>
      <c r="BJ55" s="9"/>
      <c r="BK55" s="9"/>
      <c r="BL55" s="9"/>
      <c r="BM55" s="9"/>
      <c r="BN55" s="9"/>
      <c r="BO55" s="9"/>
      <c r="BP55" s="9"/>
      <c r="BQ55" s="9"/>
      <c r="BR55" s="9"/>
      <c r="BS55" s="9"/>
      <c r="BT55" s="9"/>
      <c r="BU55" s="9"/>
      <c r="BV55" s="9"/>
      <c r="BW55" s="9"/>
      <c r="BX55" s="9"/>
      <c r="BY55" s="9"/>
      <c r="BZ55" s="9"/>
    </row>
    <row r="56" spans="1:78"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40"/>
      <c r="BB56" s="9"/>
      <c r="BC56" s="9"/>
      <c r="BD56" s="9"/>
      <c r="BE56" s="9"/>
      <c r="BF56" s="9"/>
      <c r="BG56" s="9"/>
      <c r="BH56" s="9"/>
      <c r="BI56" s="9"/>
      <c r="BJ56" s="9"/>
      <c r="BK56" s="9"/>
      <c r="BL56" s="9"/>
      <c r="BM56" s="9"/>
      <c r="BN56" s="9"/>
      <c r="BO56" s="9"/>
      <c r="BP56" s="9"/>
      <c r="BQ56" s="9"/>
      <c r="BR56" s="9"/>
      <c r="BS56" s="9"/>
      <c r="BT56" s="9"/>
      <c r="BU56" s="9"/>
      <c r="BV56" s="9"/>
      <c r="BW56" s="9"/>
      <c r="BX56" s="9"/>
      <c r="BY56" s="9"/>
      <c r="BZ56" s="9"/>
    </row>
    <row r="57" spans="1:78"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40"/>
      <c r="BB57" s="9"/>
      <c r="BC57" s="9"/>
      <c r="BD57" s="9"/>
      <c r="BE57" s="9"/>
      <c r="BF57" s="9"/>
      <c r="BG57" s="9"/>
      <c r="BH57" s="9"/>
      <c r="BI57" s="9"/>
      <c r="BJ57" s="9"/>
      <c r="BK57" s="9"/>
      <c r="BL57" s="9"/>
      <c r="BM57" s="9"/>
      <c r="BN57" s="9"/>
      <c r="BO57" s="9"/>
      <c r="BP57" s="9"/>
      <c r="BQ57" s="9"/>
      <c r="BR57" s="9"/>
      <c r="BS57" s="9"/>
      <c r="BT57" s="9"/>
      <c r="BU57" s="9"/>
      <c r="BV57" s="9"/>
      <c r="BW57" s="9"/>
      <c r="BX57" s="9"/>
      <c r="BY57" s="9"/>
      <c r="BZ57" s="9"/>
    </row>
    <row r="58" spans="1:78"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40"/>
      <c r="BB58" s="9"/>
      <c r="BC58" s="9"/>
      <c r="BD58" s="9"/>
      <c r="BE58" s="9"/>
      <c r="BF58" s="9"/>
      <c r="BG58" s="9"/>
      <c r="BH58" s="9"/>
      <c r="BI58" s="9"/>
      <c r="BJ58" s="9"/>
      <c r="BK58" s="9"/>
      <c r="BL58" s="9"/>
      <c r="BM58" s="9"/>
      <c r="BN58" s="9"/>
      <c r="BO58" s="9"/>
      <c r="BP58" s="9"/>
      <c r="BQ58" s="9"/>
      <c r="BR58" s="9"/>
      <c r="BS58" s="9"/>
      <c r="BT58" s="9"/>
      <c r="BU58" s="9"/>
      <c r="BV58" s="9"/>
      <c r="BW58" s="9"/>
      <c r="BX58" s="9"/>
      <c r="BY58" s="9"/>
      <c r="BZ58" s="9"/>
    </row>
    <row r="59" spans="1:78"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40"/>
      <c r="BB59" s="9"/>
      <c r="BC59" s="9"/>
      <c r="BD59" s="9"/>
      <c r="BE59" s="9"/>
      <c r="BF59" s="9"/>
      <c r="BG59" s="9"/>
      <c r="BH59" s="9"/>
      <c r="BI59" s="9"/>
      <c r="BJ59" s="9"/>
      <c r="BK59" s="9"/>
      <c r="BL59" s="9"/>
      <c r="BM59" s="9"/>
      <c r="BN59" s="9"/>
      <c r="BO59" s="9"/>
      <c r="BP59" s="9"/>
      <c r="BQ59" s="9"/>
      <c r="BR59" s="9"/>
      <c r="BS59" s="9"/>
      <c r="BT59" s="9"/>
      <c r="BU59" s="9"/>
      <c r="BV59" s="9"/>
      <c r="BW59" s="9"/>
      <c r="BX59" s="9"/>
      <c r="BY59" s="9"/>
      <c r="BZ59" s="9"/>
    </row>
    <row r="60" spans="1:78"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40"/>
      <c r="BB60" s="9"/>
      <c r="BC60" s="9"/>
      <c r="BD60" s="9"/>
      <c r="BE60" s="9"/>
      <c r="BF60" s="9"/>
      <c r="BG60" s="9"/>
      <c r="BH60" s="9"/>
      <c r="BI60" s="9"/>
      <c r="BJ60" s="9"/>
      <c r="BK60" s="9"/>
      <c r="BL60" s="9"/>
      <c r="BM60" s="9"/>
      <c r="BN60" s="9"/>
      <c r="BO60" s="9"/>
      <c r="BP60" s="9"/>
      <c r="BQ60" s="9"/>
      <c r="BR60" s="9"/>
      <c r="BS60" s="9"/>
      <c r="BT60" s="9"/>
      <c r="BU60" s="9"/>
      <c r="BV60" s="9"/>
      <c r="BW60" s="9"/>
      <c r="BX60" s="9"/>
      <c r="BY60" s="9"/>
      <c r="BZ60" s="9"/>
    </row>
    <row r="61" spans="1:78"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40"/>
      <c r="BB61" s="9"/>
      <c r="BC61" s="9"/>
      <c r="BD61" s="9"/>
      <c r="BE61" s="9"/>
      <c r="BF61" s="9"/>
      <c r="BG61" s="9"/>
      <c r="BH61" s="9"/>
      <c r="BI61" s="9"/>
      <c r="BJ61" s="9"/>
      <c r="BK61" s="9"/>
      <c r="BL61" s="9"/>
      <c r="BM61" s="9"/>
      <c r="BN61" s="9"/>
      <c r="BO61" s="9"/>
      <c r="BP61" s="9"/>
      <c r="BQ61" s="9"/>
      <c r="BR61" s="9"/>
      <c r="BS61" s="9"/>
      <c r="BT61" s="9"/>
      <c r="BU61" s="9"/>
      <c r="BV61" s="9"/>
      <c r="BW61" s="9"/>
      <c r="BX61" s="9"/>
      <c r="BY61" s="9"/>
      <c r="BZ61" s="9"/>
    </row>
    <row r="62" spans="1:78"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40"/>
      <c r="BB62" s="9"/>
      <c r="BC62" s="9"/>
      <c r="BD62" s="9"/>
      <c r="BE62" s="9"/>
      <c r="BF62" s="9"/>
      <c r="BG62" s="9"/>
      <c r="BH62" s="9"/>
      <c r="BI62" s="9"/>
      <c r="BJ62" s="9"/>
      <c r="BK62" s="9"/>
      <c r="BL62" s="9"/>
      <c r="BM62" s="9"/>
      <c r="BN62" s="9"/>
      <c r="BO62" s="9"/>
      <c r="BP62" s="9"/>
      <c r="BQ62" s="9"/>
      <c r="BR62" s="9"/>
      <c r="BS62" s="9"/>
      <c r="BT62" s="9"/>
      <c r="BU62" s="9"/>
      <c r="BV62" s="9"/>
      <c r="BW62" s="9"/>
      <c r="BX62" s="9"/>
      <c r="BY62" s="9"/>
      <c r="BZ62" s="9"/>
    </row>
    <row r="63" spans="1:78"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40"/>
      <c r="BB63" s="9"/>
      <c r="BC63" s="9"/>
      <c r="BD63" s="9"/>
      <c r="BE63" s="9"/>
      <c r="BF63" s="9"/>
      <c r="BG63" s="9"/>
      <c r="BH63" s="9"/>
      <c r="BI63" s="9"/>
      <c r="BJ63" s="9"/>
      <c r="BK63" s="9"/>
      <c r="BL63" s="9"/>
      <c r="BM63" s="9"/>
      <c r="BN63" s="9"/>
      <c r="BO63" s="9"/>
      <c r="BP63" s="9"/>
      <c r="BQ63" s="9"/>
      <c r="BR63" s="9"/>
      <c r="BS63" s="9"/>
      <c r="BT63" s="9"/>
      <c r="BU63" s="9"/>
      <c r="BV63" s="9"/>
      <c r="BW63" s="9"/>
      <c r="BX63" s="9"/>
      <c r="BY63" s="9"/>
      <c r="BZ63" s="9"/>
    </row>
    <row r="64" spans="1:78"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40"/>
      <c r="BB64" s="9"/>
      <c r="BC64" s="9"/>
      <c r="BD64" s="9"/>
      <c r="BE64" s="9"/>
      <c r="BF64" s="9"/>
      <c r="BG64" s="9"/>
      <c r="BH64" s="9"/>
      <c r="BI64" s="9"/>
      <c r="BJ64" s="9"/>
      <c r="BK64" s="9"/>
      <c r="BL64" s="9"/>
      <c r="BM64" s="9"/>
      <c r="BN64" s="9"/>
      <c r="BO64" s="9"/>
      <c r="BP64" s="9"/>
      <c r="BQ64" s="9"/>
      <c r="BR64" s="9"/>
      <c r="BS64" s="9"/>
      <c r="BT64" s="9"/>
      <c r="BU64" s="9"/>
      <c r="BV64" s="9"/>
      <c r="BW64" s="9"/>
      <c r="BX64" s="9"/>
      <c r="BY64" s="9"/>
      <c r="BZ64" s="9"/>
    </row>
    <row r="65" spans="1:78"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40"/>
      <c r="BB65" s="9"/>
      <c r="BC65" s="9"/>
      <c r="BD65" s="9"/>
      <c r="BE65" s="9"/>
      <c r="BF65" s="9"/>
      <c r="BG65" s="9"/>
      <c r="BH65" s="9"/>
      <c r="BI65" s="9"/>
      <c r="BJ65" s="9"/>
      <c r="BK65" s="9"/>
      <c r="BL65" s="9"/>
      <c r="BM65" s="9"/>
      <c r="BN65" s="9"/>
      <c r="BO65" s="9"/>
      <c r="BP65" s="9"/>
      <c r="BQ65" s="9"/>
      <c r="BR65" s="9"/>
      <c r="BS65" s="9"/>
      <c r="BT65" s="9"/>
      <c r="BU65" s="9"/>
      <c r="BV65" s="9"/>
      <c r="BW65" s="9"/>
      <c r="BX65" s="9"/>
      <c r="BY65" s="9"/>
      <c r="BZ65" s="9"/>
    </row>
    <row r="66" spans="1:78"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40"/>
      <c r="BB66" s="9"/>
      <c r="BC66" s="9"/>
      <c r="BD66" s="9"/>
      <c r="BE66" s="9"/>
      <c r="BF66" s="9"/>
      <c r="BG66" s="9"/>
      <c r="BH66" s="9"/>
      <c r="BI66" s="9"/>
      <c r="BJ66" s="9"/>
      <c r="BK66" s="9"/>
      <c r="BL66" s="9"/>
      <c r="BM66" s="9"/>
      <c r="BN66" s="9"/>
      <c r="BO66" s="9"/>
      <c r="BP66" s="9"/>
      <c r="BQ66" s="9"/>
      <c r="BR66" s="9"/>
      <c r="BS66" s="9"/>
      <c r="BT66" s="9"/>
      <c r="BU66" s="9"/>
      <c r="BV66" s="9"/>
      <c r="BW66" s="9"/>
      <c r="BX66" s="9"/>
      <c r="BY66" s="9"/>
      <c r="BZ66" s="9"/>
    </row>
    <row r="67" spans="1:78"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40"/>
      <c r="BB67" s="9"/>
      <c r="BC67" s="9"/>
      <c r="BD67" s="9"/>
      <c r="BE67" s="9"/>
      <c r="BF67" s="9"/>
      <c r="BG67" s="9"/>
      <c r="BH67" s="9"/>
      <c r="BI67" s="9"/>
      <c r="BJ67" s="9"/>
      <c r="BK67" s="9"/>
      <c r="BL67" s="9"/>
      <c r="BM67" s="9"/>
      <c r="BN67" s="9"/>
      <c r="BO67" s="9"/>
      <c r="BP67" s="9"/>
      <c r="BQ67" s="9"/>
      <c r="BR67" s="9"/>
      <c r="BS67" s="9"/>
      <c r="BT67" s="9"/>
      <c r="BU67" s="9"/>
      <c r="BV67" s="9"/>
      <c r="BW67" s="9"/>
      <c r="BX67" s="9"/>
      <c r="BY67" s="9"/>
      <c r="BZ67" s="9"/>
    </row>
    <row r="68" spans="1:78"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40"/>
      <c r="BB68" s="9"/>
      <c r="BC68" s="9"/>
      <c r="BD68" s="9"/>
      <c r="BE68" s="9"/>
      <c r="BF68" s="9"/>
      <c r="BG68" s="9"/>
      <c r="BH68" s="9"/>
      <c r="BI68" s="9"/>
      <c r="BJ68" s="9"/>
      <c r="BK68" s="9"/>
      <c r="BL68" s="9"/>
      <c r="BM68" s="9"/>
      <c r="BN68" s="9"/>
      <c r="BO68" s="9"/>
      <c r="BP68" s="9"/>
      <c r="BQ68" s="9"/>
      <c r="BR68" s="9"/>
      <c r="BS68" s="9"/>
      <c r="BT68" s="9"/>
      <c r="BU68" s="9"/>
      <c r="BV68" s="9"/>
      <c r="BW68" s="9"/>
      <c r="BX68" s="9"/>
      <c r="BY68" s="9"/>
      <c r="BZ68" s="9"/>
    </row>
    <row r="69" spans="1:78"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40"/>
      <c r="BB69" s="9"/>
      <c r="BC69" s="9"/>
      <c r="BD69" s="9"/>
      <c r="BE69" s="9"/>
      <c r="BF69" s="9"/>
      <c r="BG69" s="9"/>
      <c r="BH69" s="9"/>
      <c r="BI69" s="9"/>
      <c r="BJ69" s="9"/>
      <c r="BK69" s="9"/>
      <c r="BL69" s="9"/>
      <c r="BM69" s="9"/>
      <c r="BN69" s="9"/>
      <c r="BO69" s="9"/>
      <c r="BP69" s="9"/>
      <c r="BQ69" s="9"/>
      <c r="BR69" s="9"/>
      <c r="BS69" s="9"/>
      <c r="BT69" s="9"/>
      <c r="BU69" s="9"/>
      <c r="BV69" s="9"/>
      <c r="BW69" s="9"/>
      <c r="BX69" s="9"/>
      <c r="BY69" s="9"/>
      <c r="BZ69" s="9"/>
    </row>
    <row r="70" spans="1:78"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40"/>
      <c r="BB70" s="9"/>
      <c r="BC70" s="9"/>
      <c r="BD70" s="9"/>
      <c r="BE70" s="9"/>
      <c r="BF70" s="9"/>
      <c r="BG70" s="9"/>
      <c r="BH70" s="9"/>
      <c r="BI70" s="9"/>
      <c r="BJ70" s="9"/>
      <c r="BK70" s="9"/>
      <c r="BL70" s="9"/>
      <c r="BM70" s="9"/>
      <c r="BN70" s="9"/>
      <c r="BO70" s="9"/>
      <c r="BP70" s="9"/>
      <c r="BQ70" s="9"/>
      <c r="BR70" s="9"/>
      <c r="BS70" s="9"/>
      <c r="BT70" s="9"/>
      <c r="BU70" s="9"/>
      <c r="BV70" s="9"/>
      <c r="BW70" s="9"/>
      <c r="BX70" s="9"/>
      <c r="BY70" s="9"/>
      <c r="BZ70" s="9"/>
    </row>
    <row r="71" spans="1:78"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40"/>
      <c r="BB71" s="9"/>
      <c r="BC71" s="9"/>
      <c r="BD71" s="9"/>
      <c r="BE71" s="9"/>
      <c r="BF71" s="9"/>
      <c r="BG71" s="9"/>
      <c r="BH71" s="9"/>
      <c r="BI71" s="9"/>
      <c r="BJ71" s="9"/>
      <c r="BK71" s="9"/>
      <c r="BL71" s="9"/>
      <c r="BM71" s="9"/>
      <c r="BN71" s="9"/>
      <c r="BO71" s="9"/>
      <c r="BP71" s="9"/>
      <c r="BQ71" s="9"/>
      <c r="BR71" s="9"/>
      <c r="BS71" s="9"/>
      <c r="BT71" s="9"/>
      <c r="BU71" s="9"/>
      <c r="BV71" s="9"/>
      <c r="BW71" s="9"/>
      <c r="BX71" s="9"/>
      <c r="BY71" s="9"/>
      <c r="BZ71" s="9"/>
    </row>
    <row r="72" spans="1:78"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40"/>
      <c r="BB72" s="9"/>
      <c r="BC72" s="9"/>
      <c r="BD72" s="9"/>
      <c r="BE72" s="9"/>
      <c r="BF72" s="9"/>
      <c r="BG72" s="9"/>
      <c r="BH72" s="9"/>
      <c r="BI72" s="9"/>
      <c r="BJ72" s="9"/>
      <c r="BK72" s="9"/>
      <c r="BL72" s="9"/>
      <c r="BM72" s="9"/>
      <c r="BN72" s="9"/>
      <c r="BO72" s="9"/>
      <c r="BP72" s="9"/>
      <c r="BQ72" s="9"/>
      <c r="BR72" s="9"/>
      <c r="BS72" s="9"/>
      <c r="BT72" s="9"/>
      <c r="BU72" s="9"/>
      <c r="BV72" s="9"/>
      <c r="BW72" s="9"/>
      <c r="BX72" s="9"/>
      <c r="BY72" s="9"/>
      <c r="BZ72" s="9"/>
    </row>
    <row r="73" spans="1:78"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40"/>
      <c r="BB73" s="9"/>
      <c r="BC73" s="9"/>
      <c r="BD73" s="9"/>
      <c r="BE73" s="9"/>
      <c r="BF73" s="9"/>
      <c r="BG73" s="9"/>
      <c r="BH73" s="9"/>
      <c r="BI73" s="9"/>
      <c r="BJ73" s="9"/>
      <c r="BK73" s="9"/>
      <c r="BL73" s="9"/>
      <c r="BM73" s="9"/>
      <c r="BN73" s="9"/>
      <c r="BO73" s="9"/>
      <c r="BP73" s="9"/>
      <c r="BQ73" s="9"/>
      <c r="BR73" s="9"/>
      <c r="BS73" s="9"/>
      <c r="BT73" s="9"/>
      <c r="BU73" s="9"/>
      <c r="BV73" s="9"/>
      <c r="BW73" s="9"/>
      <c r="BX73" s="9"/>
      <c r="BY73" s="9"/>
      <c r="BZ73" s="9"/>
    </row>
    <row r="74" spans="1:78"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40"/>
      <c r="BB74" s="9"/>
      <c r="BC74" s="9"/>
      <c r="BD74" s="9"/>
      <c r="BE74" s="9"/>
      <c r="BF74" s="9"/>
      <c r="BG74" s="9"/>
      <c r="BH74" s="9"/>
      <c r="BI74" s="9"/>
      <c r="BJ74" s="9"/>
      <c r="BK74" s="9"/>
      <c r="BL74" s="9"/>
      <c r="BM74" s="9"/>
      <c r="BN74" s="9"/>
      <c r="BO74" s="9"/>
      <c r="BP74" s="9"/>
      <c r="BQ74" s="9"/>
      <c r="BR74" s="9"/>
      <c r="BS74" s="9"/>
      <c r="BT74" s="9"/>
      <c r="BU74" s="9"/>
      <c r="BV74" s="9"/>
      <c r="BW74" s="9"/>
      <c r="BX74" s="9"/>
      <c r="BY74" s="9"/>
      <c r="BZ74" s="9"/>
    </row>
    <row r="75" spans="1:78"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40"/>
      <c r="BB75" s="9"/>
      <c r="BC75" s="9"/>
      <c r="BD75" s="9"/>
      <c r="BE75" s="9"/>
      <c r="BF75" s="9"/>
      <c r="BG75" s="9"/>
      <c r="BH75" s="9"/>
      <c r="BI75" s="9"/>
      <c r="BJ75" s="9"/>
      <c r="BK75" s="9"/>
      <c r="BL75" s="9"/>
      <c r="BM75" s="9"/>
      <c r="BN75" s="9"/>
      <c r="BO75" s="9"/>
      <c r="BP75" s="9"/>
      <c r="BQ75" s="9"/>
      <c r="BR75" s="9"/>
      <c r="BS75" s="9"/>
      <c r="BT75" s="9"/>
      <c r="BU75" s="9"/>
      <c r="BV75" s="9"/>
      <c r="BW75" s="9"/>
      <c r="BX75" s="9"/>
      <c r="BY75" s="9"/>
      <c r="BZ75" s="9"/>
    </row>
    <row r="76" spans="1:78"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40"/>
      <c r="BB76" s="9"/>
      <c r="BC76" s="9"/>
      <c r="BD76" s="9"/>
      <c r="BE76" s="9"/>
      <c r="BF76" s="9"/>
      <c r="BG76" s="9"/>
      <c r="BH76" s="9"/>
      <c r="BI76" s="9"/>
      <c r="BJ76" s="9"/>
      <c r="BK76" s="9"/>
      <c r="BL76" s="9"/>
      <c r="BM76" s="9"/>
      <c r="BN76" s="9"/>
      <c r="BO76" s="9"/>
      <c r="BP76" s="9"/>
      <c r="BQ76" s="9"/>
      <c r="BR76" s="9"/>
      <c r="BS76" s="9"/>
      <c r="BT76" s="9"/>
      <c r="BU76" s="9"/>
      <c r="BV76" s="9"/>
      <c r="BW76" s="9"/>
      <c r="BX76" s="9"/>
      <c r="BY76" s="9"/>
      <c r="BZ76" s="9"/>
    </row>
    <row r="77" spans="1:78"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40"/>
      <c r="BB77" s="9"/>
      <c r="BC77" s="9"/>
      <c r="BD77" s="9"/>
      <c r="BE77" s="9"/>
      <c r="BF77" s="9"/>
      <c r="BG77" s="9"/>
      <c r="BH77" s="9"/>
      <c r="BI77" s="9"/>
      <c r="BJ77" s="9"/>
      <c r="BK77" s="9"/>
      <c r="BL77" s="9"/>
      <c r="BM77" s="9"/>
      <c r="BN77" s="9"/>
      <c r="BO77" s="9"/>
      <c r="BP77" s="9"/>
      <c r="BQ77" s="9"/>
      <c r="BR77" s="9"/>
      <c r="BS77" s="9"/>
      <c r="BT77" s="9"/>
      <c r="BU77" s="9"/>
      <c r="BV77" s="9"/>
      <c r="BW77" s="9"/>
      <c r="BX77" s="9"/>
      <c r="BY77" s="9"/>
      <c r="BZ77" s="9"/>
    </row>
    <row r="78" spans="1:78"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40"/>
      <c r="BB78" s="9"/>
      <c r="BC78" s="9"/>
      <c r="BD78" s="9"/>
      <c r="BE78" s="9"/>
      <c r="BF78" s="9"/>
      <c r="BG78" s="9"/>
      <c r="BH78" s="9"/>
      <c r="BI78" s="9"/>
      <c r="BJ78" s="9"/>
      <c r="BK78" s="9"/>
      <c r="BL78" s="9"/>
      <c r="BM78" s="9"/>
      <c r="BN78" s="9"/>
      <c r="BO78" s="9"/>
      <c r="BP78" s="9"/>
      <c r="BQ78" s="9"/>
      <c r="BR78" s="9"/>
      <c r="BS78" s="9"/>
      <c r="BT78" s="9"/>
      <c r="BU78" s="9"/>
      <c r="BV78" s="9"/>
      <c r="BW78" s="9"/>
      <c r="BX78" s="9"/>
      <c r="BY78" s="9"/>
      <c r="BZ78" s="9"/>
    </row>
    <row r="79" spans="1:78"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40"/>
      <c r="BB79" s="9"/>
      <c r="BC79" s="9"/>
      <c r="BD79" s="9"/>
      <c r="BE79" s="9"/>
      <c r="BF79" s="9"/>
      <c r="BG79" s="9"/>
      <c r="BH79" s="9"/>
      <c r="BI79" s="9"/>
      <c r="BJ79" s="9"/>
      <c r="BK79" s="9"/>
      <c r="BL79" s="9"/>
      <c r="BM79" s="9"/>
      <c r="BN79" s="9"/>
      <c r="BO79" s="9"/>
      <c r="BP79" s="9"/>
      <c r="BQ79" s="9"/>
      <c r="BR79" s="9"/>
      <c r="BS79" s="9"/>
      <c r="BT79" s="9"/>
      <c r="BU79" s="9"/>
      <c r="BV79" s="9"/>
      <c r="BW79" s="9"/>
      <c r="BX79" s="9"/>
      <c r="BY79" s="9"/>
      <c r="BZ79" s="9"/>
    </row>
    <row r="80" spans="1:78"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40"/>
      <c r="BB80" s="9"/>
      <c r="BC80" s="9"/>
      <c r="BD80" s="9"/>
      <c r="BE80" s="9"/>
      <c r="BF80" s="9"/>
      <c r="BG80" s="9"/>
      <c r="BH80" s="9"/>
      <c r="BI80" s="9"/>
      <c r="BJ80" s="9"/>
      <c r="BK80" s="9"/>
      <c r="BL80" s="9"/>
      <c r="BM80" s="9"/>
      <c r="BN80" s="9"/>
      <c r="BO80" s="9"/>
      <c r="BP80" s="9"/>
      <c r="BQ80" s="9"/>
      <c r="BR80" s="9"/>
      <c r="BS80" s="9"/>
      <c r="BT80" s="9"/>
      <c r="BU80" s="9"/>
      <c r="BV80" s="9"/>
      <c r="BW80" s="9"/>
      <c r="BX80" s="9"/>
      <c r="BY80" s="9"/>
      <c r="BZ80" s="9"/>
    </row>
    <row r="81" spans="1:78"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40"/>
      <c r="BB81" s="9"/>
      <c r="BC81" s="9"/>
      <c r="BD81" s="9"/>
      <c r="BE81" s="9"/>
      <c r="BF81" s="9"/>
      <c r="BG81" s="9"/>
      <c r="BH81" s="9"/>
      <c r="BI81" s="9"/>
      <c r="BJ81" s="9"/>
      <c r="BK81" s="9"/>
      <c r="BL81" s="9"/>
      <c r="BM81" s="9"/>
      <c r="BN81" s="9"/>
      <c r="BO81" s="9"/>
      <c r="BP81" s="9"/>
      <c r="BQ81" s="9"/>
      <c r="BR81" s="9"/>
      <c r="BS81" s="9"/>
      <c r="BT81" s="9"/>
      <c r="BU81" s="9"/>
      <c r="BV81" s="9"/>
      <c r="BW81" s="9"/>
      <c r="BX81" s="9"/>
      <c r="BY81" s="9"/>
      <c r="BZ81" s="9"/>
    </row>
    <row r="82" spans="1:78"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40"/>
      <c r="BB82" s="9"/>
      <c r="BC82" s="9"/>
      <c r="BD82" s="9"/>
      <c r="BE82" s="9"/>
      <c r="BF82" s="9"/>
      <c r="BG82" s="9"/>
      <c r="BH82" s="9"/>
      <c r="BI82" s="9"/>
      <c r="BJ82" s="9"/>
      <c r="BK82" s="9"/>
      <c r="BL82" s="9"/>
      <c r="BM82" s="9"/>
      <c r="BN82" s="9"/>
      <c r="BO82" s="9"/>
      <c r="BP82" s="9"/>
      <c r="BQ82" s="9"/>
      <c r="BR82" s="9"/>
      <c r="BS82" s="9"/>
      <c r="BT82" s="9"/>
      <c r="BU82" s="9"/>
      <c r="BV82" s="9"/>
      <c r="BW82" s="9"/>
      <c r="BX82" s="9"/>
      <c r="BY82" s="9"/>
      <c r="BZ82" s="9"/>
    </row>
    <row r="83" spans="1:78"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40"/>
      <c r="BB83" s="9"/>
      <c r="BC83" s="9"/>
      <c r="BD83" s="9"/>
      <c r="BE83" s="9"/>
      <c r="BF83" s="9"/>
      <c r="BG83" s="9"/>
      <c r="BH83" s="9"/>
      <c r="BI83" s="9"/>
      <c r="BJ83" s="9"/>
      <c r="BK83" s="9"/>
      <c r="BL83" s="9"/>
      <c r="BM83" s="9"/>
      <c r="BN83" s="9"/>
      <c r="BO83" s="9"/>
      <c r="BP83" s="9"/>
      <c r="BQ83" s="9"/>
      <c r="BR83" s="9"/>
      <c r="BS83" s="9"/>
      <c r="BT83" s="9"/>
      <c r="BU83" s="9"/>
      <c r="BV83" s="9"/>
      <c r="BW83" s="9"/>
      <c r="BX83" s="9"/>
      <c r="BY83" s="9"/>
      <c r="BZ83" s="9"/>
    </row>
    <row r="84" spans="1:78"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40"/>
      <c r="BB84" s="9"/>
      <c r="BC84" s="9"/>
      <c r="BD84" s="9"/>
      <c r="BE84" s="9"/>
      <c r="BF84" s="9"/>
      <c r="BG84" s="9"/>
      <c r="BH84" s="9"/>
      <c r="BI84" s="9"/>
      <c r="BJ84" s="9"/>
      <c r="BK84" s="9"/>
      <c r="BL84" s="9"/>
      <c r="BM84" s="9"/>
      <c r="BN84" s="9"/>
      <c r="BO84" s="9"/>
      <c r="BP84" s="9"/>
      <c r="BQ84" s="9"/>
      <c r="BR84" s="9"/>
      <c r="BS84" s="9"/>
      <c r="BT84" s="9"/>
      <c r="BU84" s="9"/>
      <c r="BV84" s="9"/>
      <c r="BW84" s="9"/>
      <c r="BX84" s="9"/>
      <c r="BY84" s="9"/>
      <c r="BZ84" s="9"/>
    </row>
    <row r="85" spans="1:78"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40"/>
      <c r="BB85" s="9"/>
      <c r="BC85" s="9"/>
      <c r="BD85" s="9"/>
      <c r="BE85" s="9"/>
      <c r="BF85" s="9"/>
      <c r="BG85" s="9"/>
      <c r="BH85" s="9"/>
      <c r="BI85" s="9"/>
      <c r="BJ85" s="9"/>
      <c r="BK85" s="9"/>
      <c r="BL85" s="9"/>
      <c r="BM85" s="9"/>
      <c r="BN85" s="9"/>
      <c r="BO85" s="9"/>
      <c r="BP85" s="9"/>
      <c r="BQ85" s="9"/>
      <c r="BR85" s="9"/>
      <c r="BS85" s="9"/>
      <c r="BT85" s="9"/>
      <c r="BU85" s="9"/>
      <c r="BV85" s="9"/>
      <c r="BW85" s="9"/>
      <c r="BX85" s="9"/>
      <c r="BY85" s="9"/>
      <c r="BZ85" s="9"/>
    </row>
    <row r="86" spans="1:78"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40"/>
      <c r="BB86" s="9"/>
      <c r="BC86" s="9"/>
      <c r="BD86" s="9"/>
      <c r="BE86" s="9"/>
      <c r="BF86" s="9"/>
      <c r="BG86" s="9"/>
      <c r="BH86" s="9"/>
      <c r="BI86" s="9"/>
      <c r="BJ86" s="9"/>
      <c r="BK86" s="9"/>
      <c r="BL86" s="9"/>
      <c r="BM86" s="9"/>
      <c r="BN86" s="9"/>
      <c r="BO86" s="9"/>
      <c r="BP86" s="9"/>
      <c r="BQ86" s="9"/>
      <c r="BR86" s="9"/>
      <c r="BS86" s="9"/>
      <c r="BT86" s="9"/>
      <c r="BU86" s="9"/>
      <c r="BV86" s="9"/>
      <c r="BW86" s="9"/>
      <c r="BX86" s="9"/>
      <c r="BY86" s="9"/>
      <c r="BZ86" s="9"/>
    </row>
    <row r="87" spans="1:78"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40"/>
      <c r="BB87" s="9"/>
      <c r="BC87" s="9"/>
      <c r="BD87" s="9"/>
      <c r="BE87" s="9"/>
      <c r="BF87" s="9"/>
      <c r="BG87" s="9"/>
      <c r="BH87" s="9"/>
      <c r="BI87" s="9"/>
      <c r="BJ87" s="9"/>
      <c r="BK87" s="9"/>
      <c r="BL87" s="9"/>
      <c r="BM87" s="9"/>
      <c r="BN87" s="9"/>
      <c r="BO87" s="9"/>
      <c r="BP87" s="9"/>
      <c r="BQ87" s="9"/>
      <c r="BR87" s="9"/>
      <c r="BS87" s="9"/>
      <c r="BT87" s="9"/>
      <c r="BU87" s="9"/>
      <c r="BV87" s="9"/>
      <c r="BW87" s="9"/>
      <c r="BX87" s="9"/>
      <c r="BY87" s="9"/>
      <c r="BZ87" s="9"/>
    </row>
    <row r="88" spans="1:78"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40"/>
      <c r="BB88" s="9"/>
      <c r="BC88" s="9"/>
      <c r="BD88" s="9"/>
      <c r="BE88" s="9"/>
      <c r="BF88" s="9"/>
      <c r="BG88" s="9"/>
      <c r="BH88" s="9"/>
      <c r="BI88" s="9"/>
      <c r="BJ88" s="9"/>
      <c r="BK88" s="9"/>
      <c r="BL88" s="9"/>
      <c r="BM88" s="9"/>
      <c r="BN88" s="9"/>
      <c r="BO88" s="9"/>
      <c r="BP88" s="9"/>
      <c r="BQ88" s="9"/>
      <c r="BR88" s="9"/>
      <c r="BS88" s="9"/>
      <c r="BT88" s="9"/>
      <c r="BU88" s="9"/>
      <c r="BV88" s="9"/>
      <c r="BW88" s="9"/>
      <c r="BX88" s="9"/>
      <c r="BY88" s="9"/>
      <c r="BZ88" s="9"/>
    </row>
    <row r="89" spans="1:78"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40"/>
      <c r="BB89" s="9"/>
      <c r="BC89" s="9"/>
      <c r="BD89" s="9"/>
      <c r="BE89" s="9"/>
      <c r="BF89" s="9"/>
      <c r="BG89" s="9"/>
      <c r="BH89" s="9"/>
      <c r="BI89" s="9"/>
      <c r="BJ89" s="9"/>
      <c r="BK89" s="9"/>
      <c r="BL89" s="9"/>
      <c r="BM89" s="9"/>
      <c r="BN89" s="9"/>
      <c r="BO89" s="9"/>
      <c r="BP89" s="9"/>
      <c r="BQ89" s="9"/>
      <c r="BR89" s="9"/>
      <c r="BS89" s="9"/>
      <c r="BT89" s="9"/>
      <c r="BU89" s="9"/>
      <c r="BV89" s="9"/>
      <c r="BW89" s="9"/>
      <c r="BX89" s="9"/>
      <c r="BY89" s="9"/>
      <c r="BZ89" s="9"/>
    </row>
    <row r="90" spans="1:78"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40"/>
      <c r="BB90" s="9"/>
      <c r="BC90" s="9"/>
      <c r="BD90" s="9"/>
      <c r="BE90" s="9"/>
      <c r="BF90" s="9"/>
      <c r="BG90" s="9"/>
      <c r="BH90" s="9"/>
      <c r="BI90" s="9"/>
      <c r="BJ90" s="9"/>
      <c r="BK90" s="9"/>
      <c r="BL90" s="9"/>
      <c r="BM90" s="9"/>
      <c r="BN90" s="9"/>
      <c r="BO90" s="9"/>
      <c r="BP90" s="9"/>
      <c r="BQ90" s="9"/>
      <c r="BR90" s="9"/>
      <c r="BS90" s="9"/>
      <c r="BT90" s="9"/>
      <c r="BU90" s="9"/>
      <c r="BV90" s="9"/>
      <c r="BW90" s="9"/>
      <c r="BX90" s="9"/>
      <c r="BY90" s="9"/>
      <c r="BZ90" s="9"/>
    </row>
    <row r="91" spans="1:78"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40"/>
      <c r="BB91" s="9"/>
      <c r="BC91" s="9"/>
      <c r="BD91" s="9"/>
      <c r="BE91" s="9"/>
      <c r="BF91" s="9"/>
      <c r="BG91" s="9"/>
      <c r="BH91" s="9"/>
      <c r="BI91" s="9"/>
      <c r="BJ91" s="9"/>
      <c r="BK91" s="9"/>
      <c r="BL91" s="9"/>
      <c r="BM91" s="9"/>
      <c r="BN91" s="9"/>
      <c r="BO91" s="9"/>
      <c r="BP91" s="9"/>
      <c r="BQ91" s="9"/>
      <c r="BR91" s="9"/>
      <c r="BS91" s="9"/>
      <c r="BT91" s="9"/>
      <c r="BU91" s="9"/>
      <c r="BV91" s="9"/>
      <c r="BW91" s="9"/>
      <c r="BX91" s="9"/>
      <c r="BY91" s="9"/>
      <c r="BZ91" s="9"/>
    </row>
    <row r="92" spans="1:78"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40"/>
      <c r="BB92" s="9"/>
      <c r="BC92" s="9"/>
      <c r="BD92" s="9"/>
      <c r="BE92" s="9"/>
      <c r="BF92" s="9"/>
      <c r="BG92" s="9"/>
      <c r="BH92" s="9"/>
      <c r="BI92" s="9"/>
      <c r="BJ92" s="9"/>
      <c r="BK92" s="9"/>
      <c r="BL92" s="9"/>
      <c r="BM92" s="9"/>
      <c r="BN92" s="9"/>
      <c r="BO92" s="9"/>
      <c r="BP92" s="9"/>
      <c r="BQ92" s="9"/>
      <c r="BR92" s="9"/>
      <c r="BS92" s="9"/>
      <c r="BT92" s="9"/>
      <c r="BU92" s="9"/>
      <c r="BV92" s="9"/>
      <c r="BW92" s="9"/>
      <c r="BX92" s="9"/>
      <c r="BY92" s="9"/>
      <c r="BZ92" s="9"/>
    </row>
  </sheetData>
  <mergeCells count="6">
    <mergeCell ref="Q9:AC9"/>
    <mergeCell ref="A8:D8"/>
    <mergeCell ref="A9:D9"/>
    <mergeCell ref="A5:D5"/>
    <mergeCell ref="G9:L9"/>
    <mergeCell ref="M9:O9"/>
  </mergeCells>
  <conditionalFormatting sqref="E11">
    <cfRule type="colorScale" priority="82">
      <colorScale>
        <cfvo type="min"/>
        <cfvo type="percentile" val="50"/>
        <cfvo type="max"/>
        <color rgb="FF63BE7B"/>
        <color rgb="FFFFEB84"/>
        <color rgb="FFF8696B"/>
      </colorScale>
    </cfRule>
  </conditionalFormatting>
  <conditionalFormatting sqref="S1:S8">
    <cfRule type="colorScale" priority="64">
      <colorScale>
        <cfvo type="min"/>
        <cfvo type="percentile" val="50"/>
        <cfvo type="max"/>
        <color rgb="FF63BE7B"/>
        <color rgb="FFFFEB84"/>
        <color rgb="FFF8696B"/>
      </colorScale>
    </cfRule>
  </conditionalFormatting>
  <conditionalFormatting sqref="R1:R8">
    <cfRule type="colorScale" priority="63">
      <colorScale>
        <cfvo type="min"/>
        <cfvo type="percentile" val="50"/>
        <cfvo type="max"/>
        <color rgb="FFF8696B"/>
        <color rgb="FFFFEB84"/>
        <color rgb="FF63BE7B"/>
      </colorScale>
    </cfRule>
  </conditionalFormatting>
  <conditionalFormatting sqref="F1:F8">
    <cfRule type="colorScale" priority="61">
      <colorScale>
        <cfvo type="min"/>
        <cfvo type="percentile" val="50"/>
        <cfvo type="max"/>
        <color rgb="FFF8696B"/>
        <color rgb="FFFFEB84"/>
        <color rgb="FF63BE7B"/>
      </colorScale>
    </cfRule>
  </conditionalFormatting>
  <conditionalFormatting sqref="N1:N8">
    <cfRule type="colorScale" priority="65">
      <colorScale>
        <cfvo type="min"/>
        <cfvo type="percentile" val="50"/>
        <cfvo type="max"/>
        <color rgb="FFF8696B"/>
        <color rgb="FFFFEB84"/>
        <color rgb="FF63BE7B"/>
      </colorScale>
    </cfRule>
  </conditionalFormatting>
  <conditionalFormatting sqref="F11">
    <cfRule type="colorScale" priority="907">
      <colorScale>
        <cfvo type="min"/>
        <cfvo type="percentile" val="50"/>
        <cfvo type="max"/>
        <color rgb="FF63BE7B"/>
        <color rgb="FFFFEB84"/>
        <color rgb="FFF8696B"/>
      </colorScale>
    </cfRule>
  </conditionalFormatting>
  <conditionalFormatting sqref="S11:S34">
    <cfRule type="colorScale" priority="1256">
      <colorScale>
        <cfvo type="min"/>
        <cfvo type="percentile" val="50"/>
        <cfvo type="max"/>
        <color rgb="FFF8696B"/>
        <color rgb="FFFFEB84"/>
        <color rgb="FF63BE7B"/>
      </colorScale>
    </cfRule>
  </conditionalFormatting>
  <conditionalFormatting sqref="U11:U34">
    <cfRule type="colorScale" priority="1258">
      <colorScale>
        <cfvo type="min"/>
        <cfvo type="percentile" val="50"/>
        <cfvo type="max"/>
        <color rgb="FFF8696B"/>
        <color rgb="FFFFEB84"/>
        <color rgb="FF63BE7B"/>
      </colorScale>
    </cfRule>
  </conditionalFormatting>
  <conditionalFormatting sqref="AA11:AA34">
    <cfRule type="colorScale" priority="1260">
      <colorScale>
        <cfvo type="min"/>
        <cfvo type="percentile" val="50"/>
        <cfvo type="max"/>
        <color rgb="FF63BE7B"/>
        <color rgb="FFFFEB84"/>
        <color rgb="FFF8696B"/>
      </colorScale>
    </cfRule>
  </conditionalFormatting>
  <conditionalFormatting sqref="R11:R34">
    <cfRule type="colorScale" priority="1262">
      <colorScale>
        <cfvo type="min"/>
        <cfvo type="percentile" val="50"/>
        <cfvo type="max"/>
        <color rgb="FFF8696B"/>
        <color rgb="FFFFEB84"/>
        <color rgb="FF63BE7B"/>
      </colorScale>
    </cfRule>
  </conditionalFormatting>
  <conditionalFormatting sqref="T11:T34">
    <cfRule type="colorScale" priority="1264">
      <colorScale>
        <cfvo type="min"/>
        <cfvo type="percentile" val="50"/>
        <cfvo type="max"/>
        <color rgb="FFF8696B"/>
        <color rgb="FFFFEB84"/>
        <color rgb="FF63BE7B"/>
      </colorScale>
    </cfRule>
  </conditionalFormatting>
  <conditionalFormatting sqref="W11:W34">
    <cfRule type="colorScale" priority="1266">
      <colorScale>
        <cfvo type="min"/>
        <cfvo type="percentile" val="50"/>
        <cfvo type="max"/>
        <color rgb="FFF8696B"/>
        <color rgb="FFFFEB84"/>
        <color rgb="FF63BE7B"/>
      </colorScale>
    </cfRule>
  </conditionalFormatting>
  <conditionalFormatting sqref="Y11:Y34">
    <cfRule type="colorScale" priority="1268">
      <colorScale>
        <cfvo type="min"/>
        <cfvo type="percentile" val="50"/>
        <cfvo type="max"/>
        <color rgb="FFF8696B"/>
        <color rgb="FFFFEB84"/>
        <color rgb="FF63BE7B"/>
      </colorScale>
    </cfRule>
  </conditionalFormatting>
  <conditionalFormatting sqref="AC10:AC34">
    <cfRule type="colorScale" priority="1270">
      <colorScale>
        <cfvo type="min"/>
        <cfvo type="percentile" val="50"/>
        <cfvo type="max"/>
        <color rgb="FFF8696B"/>
        <color rgb="FFFFEB84"/>
        <color rgb="FF63BE7B"/>
      </colorScale>
    </cfRule>
  </conditionalFormatting>
  <conditionalFormatting sqref="V11:V34">
    <cfRule type="dataBar" priority="1272">
      <dataBar>
        <cfvo type="min"/>
        <cfvo type="max"/>
        <color rgb="FF638EC6"/>
      </dataBar>
      <extLst>
        <ext xmlns:x14="http://schemas.microsoft.com/office/spreadsheetml/2009/9/main" uri="{B025F937-C7B1-47D3-B67F-A62EFF666E3E}">
          <x14:id>{0186A185-8844-4D15-AF8D-D4594E3C4F2E}</x14:id>
        </ext>
      </extLst>
    </cfRule>
  </conditionalFormatting>
  <conditionalFormatting sqref="Z11:Z34">
    <cfRule type="dataBar" priority="1274">
      <dataBar>
        <cfvo type="min"/>
        <cfvo type="max"/>
        <color rgb="FF638EC6"/>
      </dataBar>
      <extLst>
        <ext xmlns:x14="http://schemas.microsoft.com/office/spreadsheetml/2009/9/main" uri="{B025F937-C7B1-47D3-B67F-A62EFF666E3E}">
          <x14:id>{C68CA3FA-50E3-43D7-8B5A-DB1AC892BD17}</x14:id>
        </ext>
      </extLst>
    </cfRule>
  </conditionalFormatting>
  <conditionalFormatting sqref="P10:P34">
    <cfRule type="colorScale" priority="1276">
      <colorScale>
        <cfvo type="min"/>
        <cfvo type="percentile" val="50"/>
        <cfvo type="max"/>
        <color rgb="FFF8696B"/>
        <color rgb="FFFFEB84"/>
        <color rgb="FF63BE7B"/>
      </colorScale>
    </cfRule>
  </conditionalFormatting>
  <conditionalFormatting sqref="X11:X34">
    <cfRule type="dataBar" priority="1278">
      <dataBar>
        <cfvo type="min"/>
        <cfvo type="max"/>
        <color rgb="FF63C384"/>
      </dataBar>
      <extLst>
        <ext xmlns:x14="http://schemas.microsoft.com/office/spreadsheetml/2009/9/main" uri="{B025F937-C7B1-47D3-B67F-A62EFF666E3E}">
          <x14:id>{79CCD278-288A-4A4E-A72B-3B7F721B947B}</x14:id>
        </ext>
      </extLst>
    </cfRule>
  </conditionalFormatting>
  <conditionalFormatting sqref="Q11:Q34">
    <cfRule type="dataBar" priority="1280">
      <dataBar>
        <cfvo type="min"/>
        <cfvo type="max"/>
        <color rgb="FF63C384"/>
      </dataBar>
      <extLst>
        <ext xmlns:x14="http://schemas.microsoft.com/office/spreadsheetml/2009/9/main" uri="{B025F937-C7B1-47D3-B67F-A62EFF666E3E}">
          <x14:id>{EAE83D3B-667C-488B-9386-2D6ABA3C445F}</x14:id>
        </ext>
      </extLst>
    </cfRule>
  </conditionalFormatting>
  <conditionalFormatting sqref="R10:R34">
    <cfRule type="colorScale" priority="1284">
      <colorScale>
        <cfvo type="min"/>
        <cfvo type="percentile" val="50"/>
        <cfvo type="max"/>
        <color rgb="FFF8696B"/>
        <color rgb="FFFFEB84"/>
        <color rgb="FF63BE7B"/>
      </colorScale>
    </cfRule>
  </conditionalFormatting>
  <conditionalFormatting sqref="P11:P34">
    <cfRule type="colorScale" priority="1286">
      <colorScale>
        <cfvo type="min"/>
        <cfvo type="percentile" val="50"/>
        <cfvo type="max"/>
        <color rgb="FFF8696B"/>
        <color rgb="FFFFEB84"/>
        <color rgb="FF63BE7B"/>
      </colorScale>
    </cfRule>
  </conditionalFormatting>
  <conditionalFormatting sqref="P11:P34">
    <cfRule type="iconSet" priority="1288">
      <iconSet iconSet="3Flags">
        <cfvo type="percent" val="0"/>
        <cfvo type="percent" val="33"/>
        <cfvo type="percent" val="67"/>
      </iconSet>
    </cfRule>
  </conditionalFormatting>
  <conditionalFormatting sqref="C11:D34">
    <cfRule type="colorScale" priority="1290">
      <colorScale>
        <cfvo type="min"/>
        <cfvo type="percentile" val="50"/>
        <cfvo type="max"/>
        <color rgb="FF63BE7B"/>
        <color rgb="FFFFEB84"/>
        <color rgb="FFF8696B"/>
      </colorScale>
    </cfRule>
  </conditionalFormatting>
  <conditionalFormatting sqref="AC11:AC34">
    <cfRule type="colorScale" priority="52">
      <colorScale>
        <cfvo type="min"/>
        <cfvo type="percentile" val="50"/>
        <cfvo type="max"/>
        <color rgb="FF63BE7B"/>
        <color rgb="FFFFEB84"/>
        <color rgb="FFF8696B"/>
      </colorScale>
    </cfRule>
  </conditionalFormatting>
  <conditionalFormatting sqref="AD10:AF34">
    <cfRule type="colorScale" priority="1298">
      <colorScale>
        <cfvo type="min"/>
        <cfvo type="percentile" val="50"/>
        <cfvo type="max"/>
        <color rgb="FF63BE7B"/>
        <color rgb="FFFFEB84"/>
        <color rgb="FFF8696B"/>
      </colorScale>
    </cfRule>
  </conditionalFormatting>
  <conditionalFormatting sqref="AD11:AD34">
    <cfRule type="colorScale" priority="53">
      <colorScale>
        <cfvo type="min"/>
        <cfvo type="percentile" val="50"/>
        <cfvo type="max"/>
        <color rgb="FF63BE7B"/>
        <color rgb="FFFFEB84"/>
        <color rgb="FFF8696B"/>
      </colorScale>
    </cfRule>
  </conditionalFormatting>
  <conditionalFormatting sqref="AB11:AB34">
    <cfRule type="dataBar" priority="1302">
      <dataBar>
        <cfvo type="min"/>
        <cfvo type="max"/>
        <color rgb="FF63C384"/>
      </dataBar>
      <extLst>
        <ext xmlns:x14="http://schemas.microsoft.com/office/spreadsheetml/2009/9/main" uri="{B025F937-C7B1-47D3-B67F-A62EFF666E3E}">
          <x14:id>{FE622B52-3C82-4CFF-BFC1-F57B9CC830C4}</x14:id>
        </ext>
      </extLst>
    </cfRule>
  </conditionalFormatting>
  <conditionalFormatting sqref="F35:I35 K35">
    <cfRule type="colorScale" priority="27">
      <colorScale>
        <cfvo type="min"/>
        <cfvo type="percentile" val="50"/>
        <cfvo type="max"/>
        <color rgb="FF63BE7B"/>
        <color rgb="FFFFEB84"/>
        <color rgb="FFF8696B"/>
      </colorScale>
    </cfRule>
  </conditionalFormatting>
  <conditionalFormatting sqref="E35">
    <cfRule type="colorScale" priority="1766">
      <colorScale>
        <cfvo type="min"/>
        <cfvo type="percentile" val="50"/>
        <cfvo type="max"/>
        <color rgb="FF63BE7B"/>
        <color rgb="FFFFEB84"/>
        <color rgb="FFF8696B"/>
      </colorScale>
    </cfRule>
  </conditionalFormatting>
  <conditionalFormatting sqref="AG10:AH34 AH35:AH42">
    <cfRule type="dataBar" priority="1767">
      <dataBar>
        <cfvo type="min"/>
        <cfvo type="max"/>
        <color rgb="FFFF555A"/>
      </dataBar>
      <extLst>
        <ext xmlns:x14="http://schemas.microsoft.com/office/spreadsheetml/2009/9/main" uri="{B025F937-C7B1-47D3-B67F-A62EFF666E3E}">
          <x14:id>{A5341EC1-DFC4-47BB-B42D-588B81E86D6E}</x14:id>
        </ext>
      </extLst>
    </cfRule>
  </conditionalFormatting>
  <conditionalFormatting sqref="AC35:AC42">
    <cfRule type="colorScale" priority="1769">
      <colorScale>
        <cfvo type="min"/>
        <cfvo type="percentile" val="50"/>
        <cfvo type="max"/>
        <color rgb="FF63BE7B"/>
        <color rgb="FFFFEB84"/>
        <color rgb="FFF8696B"/>
      </colorScale>
    </cfRule>
  </conditionalFormatting>
  <conditionalFormatting sqref="AD35:AD42">
    <cfRule type="colorScale" priority="1770">
      <colorScale>
        <cfvo type="min"/>
        <cfvo type="percentile" val="50"/>
        <cfvo type="max"/>
        <color rgb="FF63BE7B"/>
        <color rgb="FFFFEB84"/>
        <color rgb="FFF8696B"/>
      </colorScale>
    </cfRule>
  </conditionalFormatting>
  <conditionalFormatting sqref="S35:S42">
    <cfRule type="colorScale" priority="1771">
      <colorScale>
        <cfvo type="min"/>
        <cfvo type="percentile" val="50"/>
        <cfvo type="max"/>
        <color rgb="FFF8696B"/>
        <color rgb="FFFFEB84"/>
        <color rgb="FF63BE7B"/>
      </colorScale>
    </cfRule>
  </conditionalFormatting>
  <conditionalFormatting sqref="U35:U42">
    <cfRule type="colorScale" priority="1772">
      <colorScale>
        <cfvo type="min"/>
        <cfvo type="percentile" val="50"/>
        <cfvo type="max"/>
        <color rgb="FFF8696B"/>
        <color rgb="FFFFEB84"/>
        <color rgb="FF63BE7B"/>
      </colorScale>
    </cfRule>
  </conditionalFormatting>
  <conditionalFormatting sqref="AA35:AA42">
    <cfRule type="colorScale" priority="1773">
      <colorScale>
        <cfvo type="min"/>
        <cfvo type="percentile" val="50"/>
        <cfvo type="max"/>
        <color rgb="FF63BE7B"/>
        <color rgb="FFFFEB84"/>
        <color rgb="FFF8696B"/>
      </colorScale>
    </cfRule>
  </conditionalFormatting>
  <conditionalFormatting sqref="R35:R42">
    <cfRule type="colorScale" priority="1774">
      <colorScale>
        <cfvo type="min"/>
        <cfvo type="percentile" val="50"/>
        <cfvo type="max"/>
        <color rgb="FFF8696B"/>
        <color rgb="FFFFEB84"/>
        <color rgb="FF63BE7B"/>
      </colorScale>
    </cfRule>
  </conditionalFormatting>
  <conditionalFormatting sqref="T35:T42">
    <cfRule type="colorScale" priority="1775">
      <colorScale>
        <cfvo type="min"/>
        <cfvo type="percentile" val="50"/>
        <cfvo type="max"/>
        <color rgb="FFF8696B"/>
        <color rgb="FFFFEB84"/>
        <color rgb="FF63BE7B"/>
      </colorScale>
    </cfRule>
  </conditionalFormatting>
  <conditionalFormatting sqref="W35:W42">
    <cfRule type="colorScale" priority="1776">
      <colorScale>
        <cfvo type="min"/>
        <cfvo type="percentile" val="50"/>
        <cfvo type="max"/>
        <color rgb="FFF8696B"/>
        <color rgb="FFFFEB84"/>
        <color rgb="FF63BE7B"/>
      </colorScale>
    </cfRule>
  </conditionalFormatting>
  <conditionalFormatting sqref="Y35:Y42">
    <cfRule type="colorScale" priority="1777">
      <colorScale>
        <cfvo type="min"/>
        <cfvo type="percentile" val="50"/>
        <cfvo type="max"/>
        <color rgb="FFF8696B"/>
        <color rgb="FFFFEB84"/>
        <color rgb="FF63BE7B"/>
      </colorScale>
    </cfRule>
  </conditionalFormatting>
  <conditionalFormatting sqref="AC35:AC42">
    <cfRule type="colorScale" priority="1778">
      <colorScale>
        <cfvo type="min"/>
        <cfvo type="percentile" val="50"/>
        <cfvo type="max"/>
        <color rgb="FFF8696B"/>
        <color rgb="FFFFEB84"/>
        <color rgb="FF63BE7B"/>
      </colorScale>
    </cfRule>
  </conditionalFormatting>
  <conditionalFormatting sqref="V35:V42">
    <cfRule type="dataBar" priority="1779">
      <dataBar>
        <cfvo type="min"/>
        <cfvo type="max"/>
        <color rgb="FF638EC6"/>
      </dataBar>
      <extLst>
        <ext xmlns:x14="http://schemas.microsoft.com/office/spreadsheetml/2009/9/main" uri="{B025F937-C7B1-47D3-B67F-A62EFF666E3E}">
          <x14:id>{ADABDC3D-C15D-4042-A45D-51BDBBD92A73}</x14:id>
        </ext>
      </extLst>
    </cfRule>
  </conditionalFormatting>
  <conditionalFormatting sqref="Z35:Z42">
    <cfRule type="dataBar" priority="1780">
      <dataBar>
        <cfvo type="min"/>
        <cfvo type="max"/>
        <color rgb="FF638EC6"/>
      </dataBar>
      <extLst>
        <ext xmlns:x14="http://schemas.microsoft.com/office/spreadsheetml/2009/9/main" uri="{B025F937-C7B1-47D3-B67F-A62EFF666E3E}">
          <x14:id>{9496FC1E-1E8D-4297-B95A-D226C138989F}</x14:id>
        </ext>
      </extLst>
    </cfRule>
  </conditionalFormatting>
  <conditionalFormatting sqref="P35:P42">
    <cfRule type="colorScale" priority="1781">
      <colorScale>
        <cfvo type="min"/>
        <cfvo type="percentile" val="50"/>
        <cfvo type="max"/>
        <color rgb="FFF8696B"/>
        <color rgb="FFFFEB84"/>
        <color rgb="FF63BE7B"/>
      </colorScale>
    </cfRule>
  </conditionalFormatting>
  <conditionalFormatting sqref="X35:X42">
    <cfRule type="dataBar" priority="1782">
      <dataBar>
        <cfvo type="min"/>
        <cfvo type="max"/>
        <color rgb="FF63C384"/>
      </dataBar>
      <extLst>
        <ext xmlns:x14="http://schemas.microsoft.com/office/spreadsheetml/2009/9/main" uri="{B025F937-C7B1-47D3-B67F-A62EFF666E3E}">
          <x14:id>{D42C7FE0-8DAE-4350-BD78-95423300B8FE}</x14:id>
        </ext>
      </extLst>
    </cfRule>
  </conditionalFormatting>
  <conditionalFormatting sqref="Q35:Q42">
    <cfRule type="dataBar" priority="1783">
      <dataBar>
        <cfvo type="min"/>
        <cfvo type="max"/>
        <color rgb="FF63C384"/>
      </dataBar>
      <extLst>
        <ext xmlns:x14="http://schemas.microsoft.com/office/spreadsheetml/2009/9/main" uri="{B025F937-C7B1-47D3-B67F-A62EFF666E3E}">
          <x14:id>{90CDA4AE-68A6-45AF-A0D4-1A10959B4A9F}</x14:id>
        </ext>
      </extLst>
    </cfRule>
  </conditionalFormatting>
  <conditionalFormatting sqref="AG35:AG42">
    <cfRule type="dataBar" priority="1784">
      <dataBar>
        <cfvo type="min"/>
        <cfvo type="max"/>
        <color rgb="FFFF555A"/>
      </dataBar>
      <extLst>
        <ext xmlns:x14="http://schemas.microsoft.com/office/spreadsheetml/2009/9/main" uri="{B025F937-C7B1-47D3-B67F-A62EFF666E3E}">
          <x14:id>{3805D9EE-64DD-4B63-9D16-8E89D2C048A7}</x14:id>
        </ext>
      </extLst>
    </cfRule>
  </conditionalFormatting>
  <conditionalFormatting sqref="P35:P42">
    <cfRule type="iconSet" priority="1785">
      <iconSet iconSet="3Flags">
        <cfvo type="percent" val="0"/>
        <cfvo type="percent" val="33"/>
        <cfvo type="percent" val="67"/>
      </iconSet>
    </cfRule>
  </conditionalFormatting>
  <conditionalFormatting sqref="C35:D42">
    <cfRule type="colorScale" priority="1786">
      <colorScale>
        <cfvo type="min"/>
        <cfvo type="percentile" val="50"/>
        <cfvo type="max"/>
        <color rgb="FF63BE7B"/>
        <color rgb="FFFFEB84"/>
        <color rgb="FFF8696B"/>
      </colorScale>
    </cfRule>
  </conditionalFormatting>
  <conditionalFormatting sqref="AD35:AE42">
    <cfRule type="colorScale" priority="1789">
      <colorScale>
        <cfvo type="min"/>
        <cfvo type="percentile" val="50"/>
        <cfvo type="max"/>
        <color rgb="FF63BE7B"/>
        <color rgb="FFFFEB84"/>
        <color rgb="FFF8696B"/>
      </colorScale>
    </cfRule>
  </conditionalFormatting>
  <conditionalFormatting sqref="AD35:AF42">
    <cfRule type="colorScale" priority="1790">
      <colorScale>
        <cfvo type="min"/>
        <cfvo type="percentile" val="50"/>
        <cfvo type="max"/>
        <color rgb="FF63BE7B"/>
        <color rgb="FFFFEB84"/>
        <color rgb="FFF8696B"/>
      </colorScale>
    </cfRule>
  </conditionalFormatting>
  <conditionalFormatting sqref="AB35:AB42">
    <cfRule type="dataBar" priority="1791">
      <dataBar>
        <cfvo type="min"/>
        <cfvo type="max"/>
        <color rgb="FF63C384"/>
      </dataBar>
      <extLst>
        <ext xmlns:x14="http://schemas.microsoft.com/office/spreadsheetml/2009/9/main" uri="{B025F937-C7B1-47D3-B67F-A62EFF666E3E}">
          <x14:id>{35E9B4E6-1DC9-4FA4-918C-2735EFE42C31}</x14:id>
        </ext>
      </extLst>
    </cfRule>
  </conditionalFormatting>
  <conditionalFormatting sqref="M11:M42">
    <cfRule type="iconSet" priority="14">
      <iconSet iconSet="3Symbols">
        <cfvo type="percent" val="0"/>
        <cfvo type="percent" val="33"/>
        <cfvo type="percent" val="67"/>
      </iconSet>
    </cfRule>
    <cfRule type="colorScale" priority="20">
      <colorScale>
        <cfvo type="min"/>
        <cfvo type="percentile" val="50"/>
        <cfvo type="max"/>
        <color rgb="FFF8696B"/>
        <color rgb="FFFFEB84"/>
        <color rgb="FF63BE7B"/>
      </colorScale>
    </cfRule>
  </conditionalFormatting>
  <conditionalFormatting sqref="N11:N42">
    <cfRule type="iconSet" priority="10">
      <iconSet iconSet="3Symbols">
        <cfvo type="percent" val="0"/>
        <cfvo type="percent" val="33"/>
        <cfvo type="percent" val="67"/>
      </iconSet>
    </cfRule>
    <cfRule type="colorScale" priority="18">
      <colorScale>
        <cfvo type="min"/>
        <cfvo type="percentile" val="50"/>
        <cfvo type="max"/>
        <color rgb="FFF8696B"/>
        <color rgb="FFFFEB84"/>
        <color rgb="FF63BE7B"/>
      </colorScale>
    </cfRule>
  </conditionalFormatting>
  <conditionalFormatting sqref="O11:O42">
    <cfRule type="colorScale" priority="16">
      <colorScale>
        <cfvo type="min"/>
        <cfvo type="percentile" val="50"/>
        <cfvo type="max"/>
        <color rgb="FF63BE7B"/>
        <color rgb="FFFFEB84"/>
        <color rgb="FFF8696B"/>
      </colorScale>
    </cfRule>
  </conditionalFormatting>
  <conditionalFormatting sqref="F12:I42 F11 K12:K42">
    <cfRule type="containsText" dxfId="1083" priority="15" operator="containsText" text="@">
      <formula>NOT(ISERROR(SEARCH("@",F11)))</formula>
    </cfRule>
  </conditionalFormatting>
  <conditionalFormatting sqref="N12:N42">
    <cfRule type="iconSet" priority="13">
      <iconSet iconSet="3Symbols">
        <cfvo type="percent" val="0"/>
        <cfvo type="percent" val="33"/>
        <cfvo type="percent" val="67"/>
      </iconSet>
    </cfRule>
  </conditionalFormatting>
  <conditionalFormatting sqref="C11:C42">
    <cfRule type="colorScale" priority="12">
      <colorScale>
        <cfvo type="min"/>
        <cfvo type="percentile" val="50"/>
        <cfvo type="max"/>
        <color rgb="FF63BE7B"/>
        <color rgb="FFFFEB84"/>
        <color rgb="FFF8696B"/>
      </colorScale>
    </cfRule>
  </conditionalFormatting>
  <conditionalFormatting sqref="D11:D42">
    <cfRule type="colorScale" priority="11">
      <colorScale>
        <cfvo type="min"/>
        <cfvo type="percentile" val="50"/>
        <cfvo type="max"/>
        <color rgb="FF63BE7B"/>
        <color rgb="FFFCFCFF"/>
        <color rgb="FFF8696B"/>
      </colorScale>
    </cfRule>
  </conditionalFormatting>
  <conditionalFormatting sqref="G11:G42">
    <cfRule type="dataBar" priority="9">
      <dataBar>
        <cfvo type="min"/>
        <cfvo type="max"/>
        <color rgb="FF63C384"/>
      </dataBar>
      <extLst>
        <ext xmlns:x14="http://schemas.microsoft.com/office/spreadsheetml/2009/9/main" uri="{B025F937-C7B1-47D3-B67F-A62EFF666E3E}">
          <x14:id>{C5F06FAF-BF6C-49D4-9107-35366C58079F}</x14:id>
        </ext>
      </extLst>
    </cfRule>
  </conditionalFormatting>
  <conditionalFormatting sqref="H11:H42">
    <cfRule type="colorScale" priority="7">
      <colorScale>
        <cfvo type="min"/>
        <cfvo type="percentile" val="50"/>
        <cfvo type="max"/>
        <color rgb="FFF8696B"/>
        <color rgb="FFFFEB84"/>
        <color rgb="FF63BE7B"/>
      </colorScale>
    </cfRule>
    <cfRule type="iconSet" priority="8">
      <iconSet iconSet="5Quarters">
        <cfvo type="percent" val="0"/>
        <cfvo type="percent" val="20"/>
        <cfvo type="percent" val="40"/>
        <cfvo type="percent" val="60"/>
        <cfvo type="percent" val="80"/>
      </iconSet>
    </cfRule>
  </conditionalFormatting>
  <conditionalFormatting sqref="I11:I42">
    <cfRule type="colorScale" priority="6">
      <colorScale>
        <cfvo type="min"/>
        <cfvo type="percentile" val="50"/>
        <cfvo type="max"/>
        <color rgb="FFF8696B"/>
        <color rgb="FFFFEB84"/>
        <color rgb="FF63BE7B"/>
      </colorScale>
    </cfRule>
  </conditionalFormatting>
  <conditionalFormatting sqref="K11:K42">
    <cfRule type="colorScale" priority="4">
      <colorScale>
        <cfvo type="min"/>
        <cfvo type="percentile" val="50"/>
        <cfvo type="max"/>
        <color rgb="FFF8696B"/>
        <color rgb="FFFFEB84"/>
        <color rgb="FF63BE7B"/>
      </colorScale>
    </cfRule>
  </conditionalFormatting>
  <conditionalFormatting sqref="J11:J42">
    <cfRule type="dataBar" priority="2">
      <dataBar>
        <cfvo type="min"/>
        <cfvo type="max"/>
        <color rgb="FF638EC6"/>
      </dataBar>
      <extLst>
        <ext xmlns:x14="http://schemas.microsoft.com/office/spreadsheetml/2009/9/main" uri="{B025F937-C7B1-47D3-B67F-A62EFF666E3E}">
          <x14:id>{A0C59CB2-36F9-4672-A153-36C5E668A072}</x14:id>
        </ext>
      </extLst>
    </cfRule>
  </conditionalFormatting>
  <conditionalFormatting sqref="L11:L42">
    <cfRule type="dataBar" priority="1">
      <dataBar>
        <cfvo type="min"/>
        <cfvo type="max"/>
        <color rgb="FF638EC6"/>
      </dataBar>
      <extLst>
        <ext xmlns:x14="http://schemas.microsoft.com/office/spreadsheetml/2009/9/main" uri="{B025F937-C7B1-47D3-B67F-A62EFF666E3E}">
          <x14:id>{3D8D3DC8-E61B-423E-8622-D38F5A656F9F}</x14:id>
        </ext>
      </extLst>
    </cfRule>
  </conditionalFormatting>
  <hyperlinks>
    <hyperlink ref="A5" r:id="rId1"/>
  </hyperlinks>
  <pageMargins left="0.7" right="0.7" top="0.75" bottom="0.75" header="0.3" footer="0.3"/>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186A185-8844-4D15-AF8D-D4594E3C4F2E}">
            <x14:dataBar minLength="0" maxLength="100" border="1" negativeBarBorderColorSameAsPositive="0">
              <x14:cfvo type="autoMin"/>
              <x14:cfvo type="autoMax"/>
              <x14:borderColor rgb="FF638EC6"/>
              <x14:negativeFillColor rgb="FFFF0000"/>
              <x14:negativeBorderColor rgb="FFFF0000"/>
              <x14:axisColor rgb="FF000000"/>
            </x14:dataBar>
          </x14:cfRule>
          <xm:sqref>V11:V34</xm:sqref>
        </x14:conditionalFormatting>
        <x14:conditionalFormatting xmlns:xm="http://schemas.microsoft.com/office/excel/2006/main">
          <x14:cfRule type="dataBar" id="{C68CA3FA-50E3-43D7-8B5A-DB1AC892BD17}">
            <x14:dataBar minLength="0" maxLength="100" border="1" negativeBarBorderColorSameAsPositive="0">
              <x14:cfvo type="autoMin"/>
              <x14:cfvo type="autoMax"/>
              <x14:borderColor rgb="FF638EC6"/>
              <x14:negativeFillColor rgb="FFFF0000"/>
              <x14:negativeBorderColor rgb="FFFF0000"/>
              <x14:axisColor rgb="FF000000"/>
            </x14:dataBar>
          </x14:cfRule>
          <xm:sqref>Z11:Z34</xm:sqref>
        </x14:conditionalFormatting>
        <x14:conditionalFormatting xmlns:xm="http://schemas.microsoft.com/office/excel/2006/main">
          <x14:cfRule type="dataBar" id="{79CCD278-288A-4A4E-A72B-3B7F721B947B}">
            <x14:dataBar minLength="0" maxLength="100" border="1" negativeBarBorderColorSameAsPositive="0">
              <x14:cfvo type="autoMin"/>
              <x14:cfvo type="autoMax"/>
              <x14:borderColor rgb="FF63C384"/>
              <x14:negativeFillColor rgb="FFFF0000"/>
              <x14:negativeBorderColor rgb="FFFF0000"/>
              <x14:axisColor rgb="FF000000"/>
            </x14:dataBar>
          </x14:cfRule>
          <xm:sqref>X11:X34</xm:sqref>
        </x14:conditionalFormatting>
        <x14:conditionalFormatting xmlns:xm="http://schemas.microsoft.com/office/excel/2006/main">
          <x14:cfRule type="dataBar" id="{EAE83D3B-667C-488B-9386-2D6ABA3C445F}">
            <x14:dataBar minLength="0" maxLength="100" border="1" negativeBarBorderColorSameAsPositive="0">
              <x14:cfvo type="autoMin"/>
              <x14:cfvo type="autoMax"/>
              <x14:borderColor rgb="FF63C384"/>
              <x14:negativeFillColor rgb="FFFF0000"/>
              <x14:negativeBorderColor rgb="FFFF0000"/>
              <x14:axisColor rgb="FF000000"/>
            </x14:dataBar>
          </x14:cfRule>
          <xm:sqref>Q11:Q34</xm:sqref>
        </x14:conditionalFormatting>
        <x14:conditionalFormatting xmlns:xm="http://schemas.microsoft.com/office/excel/2006/main">
          <x14:cfRule type="dataBar" id="{FE622B52-3C82-4CFF-BFC1-F57B9CC830C4}">
            <x14:dataBar minLength="0" maxLength="100" border="1" negativeBarBorderColorSameAsPositive="0">
              <x14:cfvo type="autoMin"/>
              <x14:cfvo type="autoMax"/>
              <x14:borderColor rgb="FF63C384"/>
              <x14:negativeFillColor rgb="FFFF0000"/>
              <x14:negativeBorderColor rgb="FFFF0000"/>
              <x14:axisColor rgb="FF000000"/>
            </x14:dataBar>
          </x14:cfRule>
          <xm:sqref>AB11:AB34</xm:sqref>
        </x14:conditionalFormatting>
        <x14:conditionalFormatting xmlns:xm="http://schemas.microsoft.com/office/excel/2006/main">
          <x14:cfRule type="dataBar" id="{A5341EC1-DFC4-47BB-B42D-588B81E86D6E}">
            <x14:dataBar minLength="0" maxLength="100" border="1" negativeBarBorderColorSameAsPositive="0">
              <x14:cfvo type="autoMin"/>
              <x14:cfvo type="autoMax"/>
              <x14:borderColor rgb="FFFF555A"/>
              <x14:negativeFillColor rgb="FFFF0000"/>
              <x14:negativeBorderColor rgb="FFFF0000"/>
              <x14:axisColor rgb="FF000000"/>
            </x14:dataBar>
          </x14:cfRule>
          <xm:sqref>AG10:AH34 AH35:AH42</xm:sqref>
        </x14:conditionalFormatting>
        <x14:conditionalFormatting xmlns:xm="http://schemas.microsoft.com/office/excel/2006/main">
          <x14:cfRule type="dataBar" id="{ADABDC3D-C15D-4042-A45D-51BDBBD92A73}">
            <x14:dataBar minLength="0" maxLength="100" border="1" negativeBarBorderColorSameAsPositive="0">
              <x14:cfvo type="autoMin"/>
              <x14:cfvo type="autoMax"/>
              <x14:borderColor rgb="FF638EC6"/>
              <x14:negativeFillColor rgb="FFFF0000"/>
              <x14:negativeBorderColor rgb="FFFF0000"/>
              <x14:axisColor rgb="FF000000"/>
            </x14:dataBar>
          </x14:cfRule>
          <xm:sqref>V35:V42</xm:sqref>
        </x14:conditionalFormatting>
        <x14:conditionalFormatting xmlns:xm="http://schemas.microsoft.com/office/excel/2006/main">
          <x14:cfRule type="dataBar" id="{9496FC1E-1E8D-4297-B95A-D226C138989F}">
            <x14:dataBar minLength="0" maxLength="100" border="1" negativeBarBorderColorSameAsPositive="0">
              <x14:cfvo type="autoMin"/>
              <x14:cfvo type="autoMax"/>
              <x14:borderColor rgb="FF638EC6"/>
              <x14:negativeFillColor rgb="FFFF0000"/>
              <x14:negativeBorderColor rgb="FFFF0000"/>
              <x14:axisColor rgb="FF000000"/>
            </x14:dataBar>
          </x14:cfRule>
          <xm:sqref>Z35:Z42</xm:sqref>
        </x14:conditionalFormatting>
        <x14:conditionalFormatting xmlns:xm="http://schemas.microsoft.com/office/excel/2006/main">
          <x14:cfRule type="dataBar" id="{D42C7FE0-8DAE-4350-BD78-95423300B8FE}">
            <x14:dataBar minLength="0" maxLength="100" border="1" negativeBarBorderColorSameAsPositive="0">
              <x14:cfvo type="autoMin"/>
              <x14:cfvo type="autoMax"/>
              <x14:borderColor rgb="FF63C384"/>
              <x14:negativeFillColor rgb="FFFF0000"/>
              <x14:negativeBorderColor rgb="FFFF0000"/>
              <x14:axisColor rgb="FF000000"/>
            </x14:dataBar>
          </x14:cfRule>
          <xm:sqref>X35:X42</xm:sqref>
        </x14:conditionalFormatting>
        <x14:conditionalFormatting xmlns:xm="http://schemas.microsoft.com/office/excel/2006/main">
          <x14:cfRule type="dataBar" id="{90CDA4AE-68A6-45AF-A0D4-1A10959B4A9F}">
            <x14:dataBar minLength="0" maxLength="100" border="1" negativeBarBorderColorSameAsPositive="0">
              <x14:cfvo type="autoMin"/>
              <x14:cfvo type="autoMax"/>
              <x14:borderColor rgb="FF63C384"/>
              <x14:negativeFillColor rgb="FFFF0000"/>
              <x14:negativeBorderColor rgb="FFFF0000"/>
              <x14:axisColor rgb="FF000000"/>
            </x14:dataBar>
          </x14:cfRule>
          <xm:sqref>Q35:Q42</xm:sqref>
        </x14:conditionalFormatting>
        <x14:conditionalFormatting xmlns:xm="http://schemas.microsoft.com/office/excel/2006/main">
          <x14:cfRule type="dataBar" id="{3805D9EE-64DD-4B63-9D16-8E89D2C048A7}">
            <x14:dataBar minLength="0" maxLength="100" border="1" negativeBarBorderColorSameAsPositive="0">
              <x14:cfvo type="autoMin"/>
              <x14:cfvo type="autoMax"/>
              <x14:borderColor rgb="FFFF555A"/>
              <x14:negativeFillColor rgb="FFFF0000"/>
              <x14:negativeBorderColor rgb="FFFF0000"/>
              <x14:axisColor rgb="FF000000"/>
            </x14:dataBar>
          </x14:cfRule>
          <xm:sqref>AG35:AG42</xm:sqref>
        </x14:conditionalFormatting>
        <x14:conditionalFormatting xmlns:xm="http://schemas.microsoft.com/office/excel/2006/main">
          <x14:cfRule type="dataBar" id="{35E9B4E6-1DC9-4FA4-918C-2735EFE42C31}">
            <x14:dataBar minLength="0" maxLength="100" border="1" negativeBarBorderColorSameAsPositive="0">
              <x14:cfvo type="autoMin"/>
              <x14:cfvo type="autoMax"/>
              <x14:borderColor rgb="FF63C384"/>
              <x14:negativeFillColor rgb="FFFF0000"/>
              <x14:negativeBorderColor rgb="FFFF0000"/>
              <x14:axisColor rgb="FF000000"/>
            </x14:dataBar>
          </x14:cfRule>
          <xm:sqref>AB35:AB42</xm:sqref>
        </x14:conditionalFormatting>
        <x14:conditionalFormatting xmlns:xm="http://schemas.microsoft.com/office/excel/2006/main">
          <x14:cfRule type="dataBar" id="{C5F06FAF-BF6C-49D4-9107-35366C58079F}">
            <x14:dataBar minLength="0" maxLength="100" border="1" negativeBarBorderColorSameAsPositive="0">
              <x14:cfvo type="autoMin"/>
              <x14:cfvo type="autoMax"/>
              <x14:borderColor rgb="FF63C384"/>
              <x14:negativeFillColor rgb="FFFF0000"/>
              <x14:negativeBorderColor rgb="FFFF0000"/>
              <x14:axisColor rgb="FF000000"/>
            </x14:dataBar>
          </x14:cfRule>
          <xm:sqref>G11:G42</xm:sqref>
        </x14:conditionalFormatting>
        <x14:conditionalFormatting xmlns:xm="http://schemas.microsoft.com/office/excel/2006/main">
          <x14:cfRule type="dataBar" id="{A0C59CB2-36F9-4672-A153-36C5E668A072}">
            <x14:dataBar minLength="0" maxLength="100" border="1" negativeBarBorderColorSameAsPositive="0">
              <x14:cfvo type="autoMin"/>
              <x14:cfvo type="autoMax"/>
              <x14:borderColor rgb="FF638EC6"/>
              <x14:negativeFillColor rgb="FFFF0000"/>
              <x14:negativeBorderColor rgb="FFFF0000"/>
              <x14:axisColor rgb="FF000000"/>
            </x14:dataBar>
          </x14:cfRule>
          <xm:sqref>J11:J42</xm:sqref>
        </x14:conditionalFormatting>
        <x14:conditionalFormatting xmlns:xm="http://schemas.microsoft.com/office/excel/2006/main">
          <x14:cfRule type="dataBar" id="{3D8D3DC8-E61B-423E-8622-D38F5A656F9F}">
            <x14:dataBar minLength="0" maxLength="100" border="1" negativeBarBorderColorSameAsPositive="0">
              <x14:cfvo type="autoMin"/>
              <x14:cfvo type="autoMax"/>
              <x14:borderColor rgb="FF638EC6"/>
              <x14:negativeFillColor rgb="FFFF0000"/>
              <x14:negativeBorderColor rgb="FFFF0000"/>
              <x14:axisColor rgb="FF000000"/>
            </x14:dataBar>
          </x14:cfRule>
          <xm:sqref>L11:L42</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L33"/>
  <sheetViews>
    <sheetView workbookViewId="0">
      <pane xSplit="1" ySplit="1" topLeftCell="B2" activePane="bottomRight" state="frozen"/>
      <selection activeCell="A2" sqref="A2"/>
      <selection pane="topRight" activeCell="A2" sqref="A2"/>
      <selection pane="bottomLeft" activeCell="A2" sqref="A2"/>
      <selection pane="bottomRight" activeCell="A2" sqref="A2:BL31"/>
    </sheetView>
  </sheetViews>
  <sheetFormatPr defaultRowHeight="14.4" x14ac:dyDescent="0.3"/>
  <cols>
    <col min="1" max="1" width="9.5546875" bestFit="1" customWidth="1"/>
    <col min="2" max="2" width="8.5546875" bestFit="1" customWidth="1"/>
    <col min="3" max="3" width="8.88671875" bestFit="1" customWidth="1"/>
    <col min="4" max="4" width="18.21875" bestFit="1" customWidth="1"/>
    <col min="5" max="5" width="6.44140625" bestFit="1" customWidth="1"/>
    <col min="6" max="6" width="8.109375" bestFit="1" customWidth="1"/>
    <col min="7" max="7" width="7" bestFit="1" customWidth="1"/>
    <col min="8" max="8" width="7.77734375" bestFit="1" customWidth="1"/>
    <col min="9" max="9" width="8" bestFit="1" customWidth="1"/>
    <col min="10" max="10" width="11.44140625" bestFit="1" customWidth="1"/>
    <col min="11" max="11" width="12.77734375" bestFit="1" customWidth="1"/>
    <col min="12" max="12" width="10.21875" bestFit="1" customWidth="1"/>
    <col min="13" max="13" width="10.77734375" bestFit="1" customWidth="1"/>
    <col min="14" max="14" width="9.88671875" bestFit="1" customWidth="1"/>
    <col min="15" max="15" width="6.21875" bestFit="1" customWidth="1"/>
    <col min="16" max="16" width="10.77734375" bestFit="1" customWidth="1"/>
    <col min="17" max="17" width="11.109375" bestFit="1" customWidth="1"/>
    <col min="18" max="18" width="10.21875" bestFit="1" customWidth="1"/>
    <col min="19" max="19" width="6.44140625" bestFit="1" customWidth="1"/>
    <col min="20" max="20" width="10" bestFit="1" customWidth="1"/>
    <col min="21" max="21" width="9.109375" bestFit="1" customWidth="1"/>
    <col min="22" max="22" width="7.109375" bestFit="1" customWidth="1"/>
    <col min="23" max="23" width="5.5546875" bestFit="1" customWidth="1"/>
    <col min="24" max="24" width="5.77734375" bestFit="1" customWidth="1"/>
    <col min="25" max="25" width="8.77734375" bestFit="1" customWidth="1"/>
    <col min="26" max="26" width="31.109375" bestFit="1" customWidth="1"/>
    <col min="27" max="27" width="20.77734375" bestFit="1" customWidth="1"/>
    <col min="28" max="28" width="22.88671875" bestFit="1" customWidth="1"/>
    <col min="29" max="29" width="21.44140625" bestFit="1" customWidth="1"/>
    <col min="30" max="30" width="28" bestFit="1" customWidth="1"/>
    <col min="31" max="31" width="17.44140625" bestFit="1" customWidth="1"/>
    <col min="32" max="32" width="19.77734375" bestFit="1" customWidth="1"/>
    <col min="33" max="33" width="18.109375" bestFit="1" customWidth="1"/>
    <col min="34" max="34" width="29.44140625" bestFit="1" customWidth="1"/>
    <col min="35" max="35" width="18.88671875" bestFit="1" customWidth="1"/>
    <col min="36" max="36" width="21.109375" bestFit="1" customWidth="1"/>
    <col min="37" max="37" width="19.77734375" bestFit="1" customWidth="1"/>
    <col min="38" max="38" width="27.44140625" bestFit="1" customWidth="1"/>
    <col min="39" max="39" width="17" bestFit="1" customWidth="1"/>
    <col min="40" max="40" width="19.109375" bestFit="1" customWidth="1"/>
    <col min="41" max="41" width="17.77734375" bestFit="1" customWidth="1"/>
    <col min="42" max="42" width="31.44140625" bestFit="1" customWidth="1"/>
    <col min="43" max="43" width="21" bestFit="1" customWidth="1"/>
    <col min="44" max="44" width="23.109375" bestFit="1" customWidth="1"/>
    <col min="45" max="45" width="21.77734375" bestFit="1" customWidth="1"/>
    <col min="46" max="46" width="29" bestFit="1" customWidth="1"/>
    <col min="47" max="47" width="18.44140625" bestFit="1" customWidth="1"/>
    <col min="48" max="48" width="20.77734375" bestFit="1" customWidth="1"/>
    <col min="49" max="49" width="19.109375" bestFit="1" customWidth="1"/>
    <col min="50" max="50" width="26.44140625" bestFit="1" customWidth="1"/>
    <col min="51" max="51" width="16" bestFit="1" customWidth="1"/>
    <col min="52" max="52" width="18.109375" bestFit="1" customWidth="1"/>
    <col min="53" max="53" width="16.77734375" bestFit="1" customWidth="1"/>
    <col min="54" max="54" width="31.44140625" bestFit="1" customWidth="1"/>
    <col min="55" max="55" width="21" bestFit="1" customWidth="1"/>
    <col min="56" max="56" width="23.109375" bestFit="1" customWidth="1"/>
    <col min="57" max="57" width="21.77734375" bestFit="1" customWidth="1"/>
    <col min="58" max="58" width="31.44140625" bestFit="1" customWidth="1"/>
    <col min="59" max="59" width="21" bestFit="1" customWidth="1"/>
    <col min="60" max="60" width="23.109375" bestFit="1" customWidth="1"/>
    <col min="61" max="61" width="21.77734375" bestFit="1" customWidth="1"/>
    <col min="62" max="62" width="7" bestFit="1" customWidth="1"/>
    <col min="63" max="63" width="7.77734375" bestFit="1" customWidth="1"/>
    <col min="64" max="64" width="12.21875" bestFit="1" customWidth="1"/>
    <col min="65" max="65" width="7" bestFit="1" customWidth="1"/>
    <col min="66" max="66" width="32.21875" bestFit="1" customWidth="1"/>
    <col min="67" max="67" width="22.5546875" bestFit="1" customWidth="1"/>
  </cols>
  <sheetData>
    <row r="1" spans="1:64" x14ac:dyDescent="0.3">
      <c r="A1" s="135" t="s">
        <v>1913</v>
      </c>
      <c r="B1" s="135" t="s">
        <v>1914</v>
      </c>
      <c r="C1" s="135" t="s">
        <v>1915</v>
      </c>
      <c r="D1" s="135" t="s">
        <v>1</v>
      </c>
      <c r="E1" s="135" t="s">
        <v>413</v>
      </c>
      <c r="F1" s="135" t="s">
        <v>387</v>
      </c>
      <c r="G1" s="135" t="s">
        <v>81</v>
      </c>
      <c r="H1" s="135" t="s">
        <v>1916</v>
      </c>
      <c r="I1" s="135" t="s">
        <v>1917</v>
      </c>
      <c r="J1" s="135" t="s">
        <v>1918</v>
      </c>
      <c r="K1" s="135" t="s">
        <v>797</v>
      </c>
      <c r="L1" s="135" t="s">
        <v>798</v>
      </c>
      <c r="M1" s="135" t="s">
        <v>1919</v>
      </c>
      <c r="N1" s="135" t="s">
        <v>799</v>
      </c>
      <c r="O1" s="135" t="s">
        <v>605</v>
      </c>
      <c r="P1" s="389" t="s">
        <v>800</v>
      </c>
      <c r="Q1" s="389" t="s">
        <v>801</v>
      </c>
      <c r="R1" s="389" t="s">
        <v>392</v>
      </c>
      <c r="S1" s="389" t="s">
        <v>389</v>
      </c>
      <c r="T1" s="389" t="s">
        <v>826</v>
      </c>
      <c r="U1" s="389" t="s">
        <v>393</v>
      </c>
      <c r="V1" s="389" t="s">
        <v>1230</v>
      </c>
      <c r="W1" s="389" t="s">
        <v>1257</v>
      </c>
      <c r="X1" s="389" t="s">
        <v>1920</v>
      </c>
      <c r="Y1" s="389" t="s">
        <v>1427</v>
      </c>
      <c r="Z1" s="389" t="s">
        <v>1921</v>
      </c>
      <c r="AA1" s="389" t="s">
        <v>1922</v>
      </c>
      <c r="AB1" s="389" t="s">
        <v>1923</v>
      </c>
      <c r="AC1" s="389" t="s">
        <v>1924</v>
      </c>
      <c r="AD1" s="389" t="s">
        <v>1925</v>
      </c>
      <c r="AE1" s="389" t="s">
        <v>1926</v>
      </c>
      <c r="AF1" s="389" t="s">
        <v>1927</v>
      </c>
      <c r="AG1" s="389" t="s">
        <v>1928</v>
      </c>
      <c r="AH1" s="389" t="s">
        <v>1929</v>
      </c>
      <c r="AI1" s="389" t="s">
        <v>2293</v>
      </c>
      <c r="AJ1" s="389" t="s">
        <v>1931</v>
      </c>
      <c r="AK1" s="389" t="s">
        <v>1932</v>
      </c>
      <c r="AL1" s="389" t="s">
        <v>1933</v>
      </c>
      <c r="AM1" s="389" t="s">
        <v>1934</v>
      </c>
      <c r="AN1" s="389" t="s">
        <v>1935</v>
      </c>
      <c r="AO1" s="389" t="s">
        <v>1936</v>
      </c>
      <c r="AP1" s="389" t="s">
        <v>1937</v>
      </c>
      <c r="AQ1" s="389" t="s">
        <v>1938</v>
      </c>
      <c r="AR1" s="389" t="s">
        <v>1939</v>
      </c>
      <c r="AS1" s="389" t="s">
        <v>1940</v>
      </c>
      <c r="AT1" s="389" t="s">
        <v>1941</v>
      </c>
      <c r="AU1" s="389" t="s">
        <v>1942</v>
      </c>
      <c r="AV1" s="389" t="s">
        <v>1943</v>
      </c>
      <c r="AW1" s="389" t="s">
        <v>1944</v>
      </c>
      <c r="AX1" s="389" t="s">
        <v>1945</v>
      </c>
      <c r="AY1" s="389" t="s">
        <v>1946</v>
      </c>
      <c r="AZ1" s="389" t="s">
        <v>1947</v>
      </c>
      <c r="BA1" s="389" t="s">
        <v>1948</v>
      </c>
      <c r="BB1" s="389" t="s">
        <v>1949</v>
      </c>
      <c r="BC1" s="389" t="s">
        <v>1950</v>
      </c>
      <c r="BD1" s="389" t="s">
        <v>1951</v>
      </c>
      <c r="BE1" s="389" t="s">
        <v>1952</v>
      </c>
      <c r="BF1" s="389" t="s">
        <v>1953</v>
      </c>
      <c r="BG1" s="389" t="s">
        <v>1954</v>
      </c>
      <c r="BH1" s="389" t="s">
        <v>1955</v>
      </c>
      <c r="BI1" s="389" t="s">
        <v>1956</v>
      </c>
      <c r="BJ1" s="389" t="s">
        <v>1606</v>
      </c>
      <c r="BK1" s="389" t="s">
        <v>1354</v>
      </c>
      <c r="BL1" s="389" t="s">
        <v>1957</v>
      </c>
    </row>
    <row r="2" spans="1:64" x14ac:dyDescent="0.3">
      <c r="A2" s="135">
        <v>2016</v>
      </c>
      <c r="B2" s="135">
        <v>4</v>
      </c>
      <c r="C2" s="135" t="s">
        <v>1961</v>
      </c>
      <c r="D2" s="135" t="s">
        <v>21</v>
      </c>
      <c r="E2" s="135" t="s">
        <v>405</v>
      </c>
      <c r="F2" s="135" t="s">
        <v>22</v>
      </c>
      <c r="G2" s="135" t="s">
        <v>2296</v>
      </c>
      <c r="H2" s="135">
        <v>23.95</v>
      </c>
      <c r="I2" s="135">
        <v>22.681000000000001</v>
      </c>
      <c r="J2" s="135">
        <v>22.681000000000001</v>
      </c>
      <c r="K2" s="135">
        <v>23.765000000000001</v>
      </c>
      <c r="L2" s="135">
        <v>36.606000000000002</v>
      </c>
      <c r="M2" s="135">
        <v>276.62599999999998</v>
      </c>
      <c r="N2" s="135">
        <v>1.9279999999999999</v>
      </c>
      <c r="O2" s="135">
        <v>0.93400000000000005</v>
      </c>
      <c r="P2" s="135">
        <v>6.9480000000000004</v>
      </c>
      <c r="Q2" s="135">
        <v>34.619999999999997</v>
      </c>
      <c r="R2" s="135">
        <v>0.46100000000000002</v>
      </c>
      <c r="S2" s="135">
        <v>0</v>
      </c>
      <c r="T2" s="135">
        <v>0</v>
      </c>
      <c r="U2" s="135">
        <v>0</v>
      </c>
      <c r="V2" s="135">
        <v>0.22800000000000001</v>
      </c>
      <c r="W2" s="135">
        <v>0</v>
      </c>
      <c r="X2" s="135">
        <v>0</v>
      </c>
      <c r="Y2" s="135" t="s">
        <v>1959</v>
      </c>
      <c r="Z2" s="135">
        <v>25.2</v>
      </c>
      <c r="AA2" s="135">
        <v>7300</v>
      </c>
      <c r="AB2" s="135">
        <v>289.5</v>
      </c>
      <c r="AC2" s="135">
        <v>3.45</v>
      </c>
      <c r="AD2" s="135">
        <v>23.6</v>
      </c>
      <c r="AE2" s="135">
        <v>21900</v>
      </c>
      <c r="AF2" s="135">
        <v>927.4</v>
      </c>
      <c r="AG2" s="135">
        <v>1.08</v>
      </c>
      <c r="AH2" s="135">
        <v>24.6</v>
      </c>
      <c r="AI2" s="135">
        <v>7800</v>
      </c>
      <c r="AJ2" s="135">
        <v>317</v>
      </c>
      <c r="AK2" s="135">
        <v>3.15</v>
      </c>
      <c r="AL2" s="135">
        <v>23.6</v>
      </c>
      <c r="AM2" s="135">
        <v>9300</v>
      </c>
      <c r="AN2" s="135">
        <v>393.8</v>
      </c>
      <c r="AO2" s="135">
        <v>2.54</v>
      </c>
      <c r="AP2" s="135"/>
      <c r="AQ2" s="135"/>
      <c r="AR2" s="135"/>
      <c r="AS2" s="135"/>
      <c r="AT2" s="135"/>
      <c r="AU2" s="135"/>
      <c r="AV2" s="135"/>
      <c r="AW2" s="135"/>
      <c r="AX2" s="135">
        <v>23.6</v>
      </c>
      <c r="AY2" s="135">
        <v>39</v>
      </c>
      <c r="AZ2" s="135">
        <v>1.7</v>
      </c>
      <c r="BA2" s="135">
        <v>0.61</v>
      </c>
      <c r="BB2" s="135"/>
      <c r="BC2" s="135"/>
      <c r="BD2" s="135"/>
      <c r="BE2" s="135"/>
      <c r="BF2" s="135">
        <v>24.6</v>
      </c>
      <c r="BG2" s="135">
        <v>14600</v>
      </c>
      <c r="BH2" s="135">
        <v>593.4</v>
      </c>
      <c r="BI2" s="135">
        <v>1.69</v>
      </c>
      <c r="BJ2" s="135">
        <v>50</v>
      </c>
      <c r="BK2" s="135">
        <v>-3</v>
      </c>
      <c r="BL2" s="135">
        <v>26.5</v>
      </c>
    </row>
    <row r="3" spans="1:64" x14ac:dyDescent="0.3">
      <c r="A3" s="135">
        <v>2016</v>
      </c>
      <c r="B3" s="135">
        <v>4</v>
      </c>
      <c r="C3" s="135" t="s">
        <v>1958</v>
      </c>
      <c r="D3" s="135" t="s">
        <v>15</v>
      </c>
      <c r="E3" s="135" t="s">
        <v>405</v>
      </c>
      <c r="F3" s="135" t="s">
        <v>16</v>
      </c>
      <c r="G3" s="135" t="s">
        <v>1980</v>
      </c>
      <c r="H3" s="135">
        <v>19.52</v>
      </c>
      <c r="I3" s="135">
        <v>20.219000000000001</v>
      </c>
      <c r="J3" s="135">
        <v>20.219000000000001</v>
      </c>
      <c r="K3" s="135">
        <v>25.026</v>
      </c>
      <c r="L3" s="135">
        <v>38.604999999999997</v>
      </c>
      <c r="M3" s="135">
        <v>284.73700000000002</v>
      </c>
      <c r="N3" s="135">
        <v>1.952</v>
      </c>
      <c r="O3" s="135">
        <v>0.94399999999999995</v>
      </c>
      <c r="P3" s="135">
        <v>2.7229999999999999</v>
      </c>
      <c r="Q3" s="135">
        <v>17.216000000000001</v>
      </c>
      <c r="R3" s="135">
        <v>0.26900000000000002</v>
      </c>
      <c r="S3" s="135">
        <v>0</v>
      </c>
      <c r="T3" s="135">
        <v>0</v>
      </c>
      <c r="U3" s="135">
        <v>0</v>
      </c>
      <c r="V3" s="135">
        <v>0.21299999999999999</v>
      </c>
      <c r="W3" s="135">
        <v>0</v>
      </c>
      <c r="X3" s="135">
        <v>0</v>
      </c>
      <c r="Y3" s="135" t="s">
        <v>1959</v>
      </c>
      <c r="Z3" s="135">
        <v>22.9</v>
      </c>
      <c r="AA3" s="135">
        <v>7400</v>
      </c>
      <c r="AB3" s="135">
        <v>323.8</v>
      </c>
      <c r="AC3" s="135">
        <v>3.09</v>
      </c>
      <c r="AD3" s="135">
        <v>21.2</v>
      </c>
      <c r="AE3" s="135">
        <v>17100</v>
      </c>
      <c r="AF3" s="135">
        <v>808</v>
      </c>
      <c r="AG3" s="135">
        <v>1.24</v>
      </c>
      <c r="AH3" s="135">
        <v>22</v>
      </c>
      <c r="AI3" s="135">
        <v>7400</v>
      </c>
      <c r="AJ3" s="135">
        <v>335.6</v>
      </c>
      <c r="AK3" s="135">
        <v>2.98</v>
      </c>
      <c r="AL3" s="135">
        <v>21.2</v>
      </c>
      <c r="AM3" s="135">
        <v>8900</v>
      </c>
      <c r="AN3" s="135">
        <v>420.5</v>
      </c>
      <c r="AO3" s="135">
        <v>2.38</v>
      </c>
      <c r="AP3" s="135"/>
      <c r="AQ3" s="135"/>
      <c r="AR3" s="135"/>
      <c r="AS3" s="135"/>
      <c r="AT3" s="135"/>
      <c r="AU3" s="135"/>
      <c r="AV3" s="135"/>
      <c r="AW3" s="135"/>
      <c r="AX3" s="135">
        <v>21.2</v>
      </c>
      <c r="AY3" s="135">
        <v>37</v>
      </c>
      <c r="AZ3" s="135">
        <v>1.7</v>
      </c>
      <c r="BA3" s="135">
        <v>0.56999999999999995</v>
      </c>
      <c r="BB3" s="135"/>
      <c r="BC3" s="135"/>
      <c r="BD3" s="135"/>
      <c r="BE3" s="135"/>
      <c r="BF3" s="135">
        <v>22</v>
      </c>
      <c r="BG3" s="135">
        <v>14000</v>
      </c>
      <c r="BH3" s="135">
        <v>635</v>
      </c>
      <c r="BI3" s="135">
        <v>1.57</v>
      </c>
      <c r="BJ3" s="135">
        <v>49.5</v>
      </c>
      <c r="BK3" s="135">
        <v>-2.5</v>
      </c>
      <c r="BL3" s="135">
        <v>26</v>
      </c>
    </row>
    <row r="4" spans="1:64" x14ac:dyDescent="0.3">
      <c r="A4" s="135">
        <v>2016</v>
      </c>
      <c r="B4" s="135">
        <v>4</v>
      </c>
      <c r="C4" s="135" t="s">
        <v>1970</v>
      </c>
      <c r="D4" s="135" t="s">
        <v>11</v>
      </c>
      <c r="E4" s="135" t="s">
        <v>405</v>
      </c>
      <c r="F4" s="135" t="s">
        <v>12</v>
      </c>
      <c r="G4" s="135" t="s">
        <v>16</v>
      </c>
      <c r="H4" s="135">
        <v>12.06</v>
      </c>
      <c r="I4" s="135">
        <v>19.388999999999999</v>
      </c>
      <c r="J4" s="135">
        <v>19.388999999999999</v>
      </c>
      <c r="K4" s="135">
        <v>27.224</v>
      </c>
      <c r="L4" s="135">
        <v>40.951999999999998</v>
      </c>
      <c r="M4" s="135">
        <v>290.87</v>
      </c>
      <c r="N4" s="135">
        <v>1.8580000000000001</v>
      </c>
      <c r="O4" s="135">
        <v>1.31</v>
      </c>
      <c r="P4" s="135">
        <v>5.056</v>
      </c>
      <c r="Q4" s="135">
        <v>28.202000000000002</v>
      </c>
      <c r="R4" s="135">
        <v>0.10100000000000001</v>
      </c>
      <c r="S4" s="135">
        <v>0</v>
      </c>
      <c r="T4" s="135">
        <v>0</v>
      </c>
      <c r="U4" s="135">
        <v>0</v>
      </c>
      <c r="V4" s="135">
        <v>0.24199999999999999</v>
      </c>
      <c r="W4" s="135">
        <v>0</v>
      </c>
      <c r="X4" s="135">
        <v>0</v>
      </c>
      <c r="Y4" s="135" t="s">
        <v>1959</v>
      </c>
      <c r="Z4" s="135">
        <v>22.1</v>
      </c>
      <c r="AA4" s="135">
        <v>6300</v>
      </c>
      <c r="AB4" s="135">
        <v>285.60000000000002</v>
      </c>
      <c r="AC4" s="135">
        <v>3.5</v>
      </c>
      <c r="AD4" s="135">
        <v>20.7</v>
      </c>
      <c r="AE4" s="135">
        <v>14300</v>
      </c>
      <c r="AF4" s="135">
        <v>690.9</v>
      </c>
      <c r="AG4" s="135">
        <v>1.45</v>
      </c>
      <c r="AH4" s="135">
        <v>21.7</v>
      </c>
      <c r="AI4" s="135">
        <v>6400</v>
      </c>
      <c r="AJ4" s="135">
        <v>295</v>
      </c>
      <c r="AK4" s="135">
        <v>3.39</v>
      </c>
      <c r="AL4" s="135">
        <v>20.7</v>
      </c>
      <c r="AM4" s="135">
        <v>7700</v>
      </c>
      <c r="AN4" s="135">
        <v>372</v>
      </c>
      <c r="AO4" s="135">
        <v>2.69</v>
      </c>
      <c r="AP4" s="135"/>
      <c r="AQ4" s="135"/>
      <c r="AR4" s="135"/>
      <c r="AS4" s="135"/>
      <c r="AT4" s="135"/>
      <c r="AU4" s="135"/>
      <c r="AV4" s="135"/>
      <c r="AW4" s="135"/>
      <c r="AX4" s="135">
        <v>20.7</v>
      </c>
      <c r="AY4" s="135">
        <v>34</v>
      </c>
      <c r="AZ4" s="135">
        <v>1.6</v>
      </c>
      <c r="BA4" s="135">
        <v>0.61</v>
      </c>
      <c r="BB4" s="135"/>
      <c r="BC4" s="135"/>
      <c r="BD4" s="135"/>
      <c r="BE4" s="135"/>
      <c r="BF4" s="135">
        <v>21.7</v>
      </c>
      <c r="BG4" s="135">
        <v>12000</v>
      </c>
      <c r="BH4" s="135">
        <v>553.20000000000005</v>
      </c>
      <c r="BI4" s="135">
        <v>1.81</v>
      </c>
      <c r="BJ4" s="135">
        <v>49.5</v>
      </c>
      <c r="BK4" s="135">
        <v>2.5</v>
      </c>
      <c r="BL4" s="135">
        <v>23.5</v>
      </c>
    </row>
    <row r="5" spans="1:64" x14ac:dyDescent="0.3">
      <c r="A5" s="135">
        <v>2016</v>
      </c>
      <c r="B5" s="135">
        <v>4</v>
      </c>
      <c r="C5" s="135" t="s">
        <v>1960</v>
      </c>
      <c r="D5" s="135" t="s">
        <v>8</v>
      </c>
      <c r="E5" s="135" t="s">
        <v>405</v>
      </c>
      <c r="F5" s="135" t="s">
        <v>404</v>
      </c>
      <c r="G5" s="135" t="s">
        <v>2308</v>
      </c>
      <c r="H5" s="135">
        <v>21.65</v>
      </c>
      <c r="I5" s="135">
        <v>19.326000000000001</v>
      </c>
      <c r="J5" s="135">
        <v>19.326000000000001</v>
      </c>
      <c r="K5" s="135">
        <v>28.977</v>
      </c>
      <c r="L5" s="135">
        <v>44.33</v>
      </c>
      <c r="M5" s="135">
        <v>322.92</v>
      </c>
      <c r="N5" s="135">
        <v>2.0299999999999998</v>
      </c>
      <c r="O5" s="135">
        <v>0.97499999999999998</v>
      </c>
      <c r="P5" s="135">
        <v>1.226</v>
      </c>
      <c r="Q5" s="135">
        <v>3.8119999999999998</v>
      </c>
      <c r="R5" s="135">
        <v>4.2000000000000003E-2</v>
      </c>
      <c r="S5" s="135">
        <v>0</v>
      </c>
      <c r="T5" s="135">
        <v>0</v>
      </c>
      <c r="U5" s="135">
        <v>0</v>
      </c>
      <c r="V5" s="135">
        <v>0.19700000000000001</v>
      </c>
      <c r="W5" s="135">
        <v>0</v>
      </c>
      <c r="X5" s="135">
        <v>0</v>
      </c>
      <c r="Y5" s="135" t="s">
        <v>1959</v>
      </c>
      <c r="Z5" s="135">
        <v>22.4</v>
      </c>
      <c r="AA5" s="135">
        <v>7600</v>
      </c>
      <c r="AB5" s="135">
        <v>339.9</v>
      </c>
      <c r="AC5" s="135">
        <v>2.94</v>
      </c>
      <c r="AD5" s="135">
        <v>20.3</v>
      </c>
      <c r="AE5" s="135">
        <v>18050</v>
      </c>
      <c r="AF5" s="135">
        <v>889.1</v>
      </c>
      <c r="AG5" s="135">
        <v>1.1200000000000001</v>
      </c>
      <c r="AH5" s="135">
        <v>21.2</v>
      </c>
      <c r="AI5" s="135">
        <v>7600</v>
      </c>
      <c r="AJ5" s="135">
        <v>359.1</v>
      </c>
      <c r="AK5" s="135">
        <v>2.79</v>
      </c>
      <c r="AL5" s="135">
        <v>20.3</v>
      </c>
      <c r="AM5" s="135">
        <v>8600</v>
      </c>
      <c r="AN5" s="135">
        <v>423.6</v>
      </c>
      <c r="AO5" s="135">
        <v>2.36</v>
      </c>
      <c r="AP5" s="135"/>
      <c r="AQ5" s="135"/>
      <c r="AR5" s="135"/>
      <c r="AS5" s="135"/>
      <c r="AT5" s="135"/>
      <c r="AU5" s="135"/>
      <c r="AV5" s="135"/>
      <c r="AW5" s="135"/>
      <c r="AX5" s="135">
        <v>20.3</v>
      </c>
      <c r="AY5" s="135">
        <v>40</v>
      </c>
      <c r="AZ5" s="135">
        <v>2</v>
      </c>
      <c r="BA5" s="135">
        <v>0.51</v>
      </c>
      <c r="BB5" s="135"/>
      <c r="BC5" s="135"/>
      <c r="BD5" s="135"/>
      <c r="BE5" s="135"/>
      <c r="BF5" s="135">
        <v>21.2</v>
      </c>
      <c r="BG5" s="135">
        <v>14200</v>
      </c>
      <c r="BH5" s="135">
        <v>670.9</v>
      </c>
      <c r="BI5" s="135">
        <v>1.49</v>
      </c>
      <c r="BJ5" s="135">
        <v>53.5</v>
      </c>
      <c r="BK5" s="135">
        <v>4</v>
      </c>
      <c r="BL5" s="135">
        <v>24.75</v>
      </c>
    </row>
    <row r="6" spans="1:64" x14ac:dyDescent="0.3">
      <c r="A6" s="135">
        <v>2016</v>
      </c>
      <c r="B6" s="135">
        <v>4</v>
      </c>
      <c r="C6" s="135" t="s">
        <v>1966</v>
      </c>
      <c r="D6" s="135" t="s">
        <v>40</v>
      </c>
      <c r="E6" s="135" t="s">
        <v>405</v>
      </c>
      <c r="F6" s="135" t="s">
        <v>407</v>
      </c>
      <c r="G6" s="135" t="s">
        <v>404</v>
      </c>
      <c r="H6" s="135">
        <v>13.49</v>
      </c>
      <c r="I6" s="135">
        <v>19.314</v>
      </c>
      <c r="J6" s="135">
        <v>19.314</v>
      </c>
      <c r="K6" s="135">
        <v>25.475999999999999</v>
      </c>
      <c r="L6" s="135">
        <v>36.781999999999996</v>
      </c>
      <c r="M6" s="135">
        <v>303.11599999999999</v>
      </c>
      <c r="N6" s="135">
        <v>2.121</v>
      </c>
      <c r="O6" s="135">
        <v>0.78100000000000003</v>
      </c>
      <c r="P6" s="135">
        <v>0.65100000000000002</v>
      </c>
      <c r="Q6" s="135">
        <v>2.1760000000000002</v>
      </c>
      <c r="R6" s="135">
        <v>6.8000000000000005E-2</v>
      </c>
      <c r="S6" s="135">
        <v>0</v>
      </c>
      <c r="T6" s="135">
        <v>0</v>
      </c>
      <c r="U6" s="135">
        <v>0</v>
      </c>
      <c r="V6" s="135">
        <v>0.17899999999999999</v>
      </c>
      <c r="W6" s="135">
        <v>0</v>
      </c>
      <c r="X6" s="135">
        <v>0</v>
      </c>
      <c r="Y6" s="135" t="s">
        <v>1959</v>
      </c>
      <c r="Z6" s="135">
        <v>22.2</v>
      </c>
      <c r="AA6" s="135">
        <v>6800</v>
      </c>
      <c r="AB6" s="135">
        <v>306.8</v>
      </c>
      <c r="AC6" s="135">
        <v>3.26</v>
      </c>
      <c r="AD6" s="135">
        <v>20.100000000000001</v>
      </c>
      <c r="AE6" s="135">
        <v>17750</v>
      </c>
      <c r="AF6" s="135">
        <v>883.3</v>
      </c>
      <c r="AG6" s="135">
        <v>1.1299999999999999</v>
      </c>
      <c r="AH6" s="135">
        <v>20.9</v>
      </c>
      <c r="AI6" s="135">
        <v>6900</v>
      </c>
      <c r="AJ6" s="135">
        <v>330.2</v>
      </c>
      <c r="AK6" s="135">
        <v>3.03</v>
      </c>
      <c r="AL6" s="135">
        <v>20.100000000000001</v>
      </c>
      <c r="AM6" s="135">
        <v>8500</v>
      </c>
      <c r="AN6" s="135">
        <v>423</v>
      </c>
      <c r="AO6" s="135">
        <v>2.36</v>
      </c>
      <c r="AP6" s="135"/>
      <c r="AQ6" s="135"/>
      <c r="AR6" s="135"/>
      <c r="AS6" s="135"/>
      <c r="AT6" s="135"/>
      <c r="AU6" s="135"/>
      <c r="AV6" s="135"/>
      <c r="AW6" s="135"/>
      <c r="AX6" s="135">
        <v>20.100000000000001</v>
      </c>
      <c r="AY6" s="135">
        <v>37</v>
      </c>
      <c r="AZ6" s="135">
        <v>1.8</v>
      </c>
      <c r="BA6" s="135">
        <v>0.54</v>
      </c>
      <c r="BB6" s="135"/>
      <c r="BC6" s="135"/>
      <c r="BD6" s="135"/>
      <c r="BE6" s="135"/>
      <c r="BF6" s="135">
        <v>20.9</v>
      </c>
      <c r="BG6" s="135">
        <v>13000</v>
      </c>
      <c r="BH6" s="135">
        <v>622.20000000000005</v>
      </c>
      <c r="BI6" s="135">
        <v>1.61</v>
      </c>
      <c r="BJ6" s="135">
        <v>53.5</v>
      </c>
      <c r="BK6" s="135">
        <v>-4</v>
      </c>
      <c r="BL6" s="135">
        <v>28.75</v>
      </c>
    </row>
    <row r="7" spans="1:64" x14ac:dyDescent="0.3">
      <c r="A7" s="135">
        <v>2016</v>
      </c>
      <c r="B7" s="135">
        <v>4</v>
      </c>
      <c r="C7" s="135" t="s">
        <v>1975</v>
      </c>
      <c r="D7" s="135" t="s">
        <v>25</v>
      </c>
      <c r="E7" s="135" t="s">
        <v>405</v>
      </c>
      <c r="F7" s="135" t="s">
        <v>26</v>
      </c>
      <c r="G7" s="135" t="s">
        <v>2298</v>
      </c>
      <c r="H7" s="135">
        <v>19.37</v>
      </c>
      <c r="I7" s="135">
        <v>19.106999999999999</v>
      </c>
      <c r="J7" s="135">
        <v>19.106999999999999</v>
      </c>
      <c r="K7" s="135">
        <v>24.696000000000002</v>
      </c>
      <c r="L7" s="135">
        <v>36.320999999999998</v>
      </c>
      <c r="M7" s="135">
        <v>280.76</v>
      </c>
      <c r="N7" s="135">
        <v>1.86</v>
      </c>
      <c r="O7" s="135">
        <v>0.79</v>
      </c>
      <c r="P7" s="135">
        <v>2.8330000000000002</v>
      </c>
      <c r="Q7" s="135">
        <v>13.942</v>
      </c>
      <c r="R7" s="135">
        <v>0.158</v>
      </c>
      <c r="S7" s="135">
        <v>0</v>
      </c>
      <c r="T7" s="135">
        <v>0</v>
      </c>
      <c r="U7" s="135">
        <v>0</v>
      </c>
      <c r="V7" s="135">
        <v>0.16300000000000001</v>
      </c>
      <c r="W7" s="135">
        <v>0</v>
      </c>
      <c r="X7" s="135">
        <v>0</v>
      </c>
      <c r="Y7" s="135" t="s">
        <v>1959</v>
      </c>
      <c r="Z7" s="135">
        <v>21.8</v>
      </c>
      <c r="AA7" s="135">
        <v>6850</v>
      </c>
      <c r="AB7" s="135">
        <v>314.89999999999998</v>
      </c>
      <c r="AC7" s="135">
        <v>3.18</v>
      </c>
      <c r="AD7" s="135">
        <v>19.899999999999999</v>
      </c>
      <c r="AE7" s="135">
        <v>16600</v>
      </c>
      <c r="AF7" s="135">
        <v>834.3</v>
      </c>
      <c r="AG7" s="135">
        <v>1.2</v>
      </c>
      <c r="AH7" s="135">
        <v>20.7</v>
      </c>
      <c r="AI7" s="135">
        <v>7300</v>
      </c>
      <c r="AJ7" s="135">
        <v>352.6</v>
      </c>
      <c r="AK7" s="135">
        <v>2.84</v>
      </c>
      <c r="AL7" s="135">
        <v>19.899999999999999</v>
      </c>
      <c r="AM7" s="135">
        <v>8300</v>
      </c>
      <c r="AN7" s="135">
        <v>417.2</v>
      </c>
      <c r="AO7" s="135">
        <v>2.4</v>
      </c>
      <c r="AP7" s="135"/>
      <c r="AQ7" s="135"/>
      <c r="AR7" s="135"/>
      <c r="AS7" s="135"/>
      <c r="AT7" s="135"/>
      <c r="AU7" s="135"/>
      <c r="AV7" s="135"/>
      <c r="AW7" s="135"/>
      <c r="AX7" s="135">
        <v>19.899999999999999</v>
      </c>
      <c r="AY7" s="135">
        <v>37</v>
      </c>
      <c r="AZ7" s="135">
        <v>1.9</v>
      </c>
      <c r="BA7" s="135">
        <v>0.54</v>
      </c>
      <c r="BB7" s="135"/>
      <c r="BC7" s="135"/>
      <c r="BD7" s="135"/>
      <c r="BE7" s="135"/>
      <c r="BF7" s="135">
        <v>20.7</v>
      </c>
      <c r="BG7" s="135">
        <v>13700</v>
      </c>
      <c r="BH7" s="135">
        <v>661.7</v>
      </c>
      <c r="BI7" s="135">
        <v>1.51</v>
      </c>
      <c r="BJ7" s="135">
        <v>46.5</v>
      </c>
      <c r="BK7" s="135">
        <v>-3</v>
      </c>
      <c r="BL7" s="135">
        <v>24.75</v>
      </c>
    </row>
    <row r="8" spans="1:64" x14ac:dyDescent="0.3">
      <c r="A8" s="135">
        <v>2016</v>
      </c>
      <c r="B8" s="135">
        <v>4</v>
      </c>
      <c r="C8" s="135" t="s">
        <v>1986</v>
      </c>
      <c r="D8" s="135" t="s">
        <v>17</v>
      </c>
      <c r="E8" s="135" t="s">
        <v>405</v>
      </c>
      <c r="F8" s="135" t="s">
        <v>18</v>
      </c>
      <c r="G8" s="135" t="s">
        <v>14</v>
      </c>
      <c r="H8" s="135">
        <v>18.37</v>
      </c>
      <c r="I8" s="135">
        <v>18.978000000000002</v>
      </c>
      <c r="J8" s="135">
        <v>18.978000000000002</v>
      </c>
      <c r="K8" s="135">
        <v>24.302</v>
      </c>
      <c r="L8" s="135">
        <v>39.103000000000002</v>
      </c>
      <c r="M8" s="135">
        <v>289.11900000000003</v>
      </c>
      <c r="N8" s="135">
        <v>1.9490000000000001</v>
      </c>
      <c r="O8" s="135">
        <v>0.92300000000000004</v>
      </c>
      <c r="P8" s="135">
        <v>3.0840000000000001</v>
      </c>
      <c r="Q8" s="135">
        <v>9.9109999999999996</v>
      </c>
      <c r="R8" s="135">
        <v>0.14399999999999999</v>
      </c>
      <c r="S8" s="135">
        <v>0</v>
      </c>
      <c r="T8" s="135">
        <v>0</v>
      </c>
      <c r="U8" s="135">
        <v>0</v>
      </c>
      <c r="V8" s="135">
        <v>0.19600000000000001</v>
      </c>
      <c r="W8" s="135">
        <v>0</v>
      </c>
      <c r="X8" s="135">
        <v>0</v>
      </c>
      <c r="Y8" s="135" t="s">
        <v>1959</v>
      </c>
      <c r="Z8" s="135">
        <v>21.7</v>
      </c>
      <c r="AA8" s="135">
        <v>6750</v>
      </c>
      <c r="AB8" s="135">
        <v>311.39999999999998</v>
      </c>
      <c r="AC8" s="135">
        <v>3.21</v>
      </c>
      <c r="AD8" s="135">
        <v>19.899999999999999</v>
      </c>
      <c r="AE8" s="135">
        <v>15500</v>
      </c>
      <c r="AF8" s="135">
        <v>778.9</v>
      </c>
      <c r="AG8" s="135">
        <v>1.28</v>
      </c>
      <c r="AH8" s="135">
        <v>20.7</v>
      </c>
      <c r="AI8" s="135">
        <v>6500</v>
      </c>
      <c r="AJ8" s="135">
        <v>313.5</v>
      </c>
      <c r="AK8" s="135">
        <v>3.19</v>
      </c>
      <c r="AL8" s="135">
        <v>19.899999999999999</v>
      </c>
      <c r="AM8" s="135">
        <v>7600</v>
      </c>
      <c r="AN8" s="135">
        <v>381.9</v>
      </c>
      <c r="AO8" s="135">
        <v>2.62</v>
      </c>
      <c r="AP8" s="135"/>
      <c r="AQ8" s="135"/>
      <c r="AR8" s="135"/>
      <c r="AS8" s="135"/>
      <c r="AT8" s="135"/>
      <c r="AU8" s="135"/>
      <c r="AV8" s="135"/>
      <c r="AW8" s="135"/>
      <c r="AX8" s="135">
        <v>19.899999999999999</v>
      </c>
      <c r="AY8" s="135">
        <v>38</v>
      </c>
      <c r="AZ8" s="135">
        <v>1.9</v>
      </c>
      <c r="BA8" s="135">
        <v>0.52</v>
      </c>
      <c r="BB8" s="135"/>
      <c r="BC8" s="135"/>
      <c r="BD8" s="135"/>
      <c r="BE8" s="135"/>
      <c r="BF8" s="135">
        <v>20.7</v>
      </c>
      <c r="BG8" s="135">
        <v>12300</v>
      </c>
      <c r="BH8" s="135">
        <v>593.20000000000005</v>
      </c>
      <c r="BI8" s="135">
        <v>1.69</v>
      </c>
      <c r="BJ8" s="135">
        <v>45.5</v>
      </c>
      <c r="BK8" s="135">
        <v>-8</v>
      </c>
      <c r="BL8" s="135">
        <v>26.75</v>
      </c>
    </row>
    <row r="9" spans="1:64" x14ac:dyDescent="0.3">
      <c r="A9" s="135">
        <v>2016</v>
      </c>
      <c r="B9" s="135">
        <v>4</v>
      </c>
      <c r="C9" s="135" t="s">
        <v>1990</v>
      </c>
      <c r="D9" s="135" t="s">
        <v>27</v>
      </c>
      <c r="E9" s="135" t="s">
        <v>405</v>
      </c>
      <c r="F9" s="135" t="s">
        <v>28</v>
      </c>
      <c r="G9" s="135" t="s">
        <v>57</v>
      </c>
      <c r="H9" s="135">
        <v>17.68</v>
      </c>
      <c r="I9" s="135">
        <v>18.681000000000001</v>
      </c>
      <c r="J9" s="135">
        <v>18.681000000000001</v>
      </c>
      <c r="K9" s="135">
        <v>23.939</v>
      </c>
      <c r="L9" s="135">
        <v>36.799999999999997</v>
      </c>
      <c r="M9" s="135">
        <v>279.13200000000001</v>
      </c>
      <c r="N9" s="135">
        <v>1.7969999999999999</v>
      </c>
      <c r="O9" s="135">
        <v>0.79300000000000004</v>
      </c>
      <c r="P9" s="135">
        <v>3.4119999999999999</v>
      </c>
      <c r="Q9" s="135">
        <v>11.714</v>
      </c>
      <c r="R9" s="135">
        <v>0.184</v>
      </c>
      <c r="S9" s="135">
        <v>0</v>
      </c>
      <c r="T9" s="135">
        <v>0</v>
      </c>
      <c r="U9" s="135">
        <v>0</v>
      </c>
      <c r="V9" s="135">
        <v>0.18099999999999999</v>
      </c>
      <c r="W9" s="135">
        <v>0</v>
      </c>
      <c r="X9" s="135">
        <v>0</v>
      </c>
      <c r="Y9" s="135" t="s">
        <v>1959</v>
      </c>
      <c r="Z9" s="135">
        <v>21.3</v>
      </c>
      <c r="AA9" s="135">
        <v>6350</v>
      </c>
      <c r="AB9" s="135">
        <v>298.2</v>
      </c>
      <c r="AC9" s="135">
        <v>3.35</v>
      </c>
      <c r="AD9" s="135">
        <v>19.5</v>
      </c>
      <c r="AE9" s="135">
        <v>16100</v>
      </c>
      <c r="AF9" s="135">
        <v>826.8</v>
      </c>
      <c r="AG9" s="135">
        <v>1.21</v>
      </c>
      <c r="AH9" s="135">
        <v>20.3</v>
      </c>
      <c r="AI9" s="135">
        <v>6100</v>
      </c>
      <c r="AJ9" s="135">
        <v>300.7</v>
      </c>
      <c r="AK9" s="135">
        <v>3.33</v>
      </c>
      <c r="AL9" s="135">
        <v>19.5</v>
      </c>
      <c r="AM9" s="135">
        <v>7600</v>
      </c>
      <c r="AN9" s="135">
        <v>390.3</v>
      </c>
      <c r="AO9" s="135">
        <v>2.56</v>
      </c>
      <c r="AP9" s="135"/>
      <c r="AQ9" s="135"/>
      <c r="AR9" s="135"/>
      <c r="AS9" s="135"/>
      <c r="AT9" s="135"/>
      <c r="AU9" s="135"/>
      <c r="AV9" s="135"/>
      <c r="AW9" s="135"/>
      <c r="AX9" s="135">
        <v>19.5</v>
      </c>
      <c r="AY9" s="135">
        <v>29</v>
      </c>
      <c r="AZ9" s="135">
        <v>1.5</v>
      </c>
      <c r="BA9" s="135">
        <v>0.67</v>
      </c>
      <c r="BB9" s="135"/>
      <c r="BC9" s="135"/>
      <c r="BD9" s="135"/>
      <c r="BE9" s="135"/>
      <c r="BF9" s="135">
        <v>20.3</v>
      </c>
      <c r="BG9" s="135">
        <v>11400</v>
      </c>
      <c r="BH9" s="135">
        <v>562</v>
      </c>
      <c r="BI9" s="135">
        <v>1.78</v>
      </c>
      <c r="BJ9" s="135">
        <v>44.5</v>
      </c>
      <c r="BK9" s="135">
        <v>-7</v>
      </c>
      <c r="BL9" s="135">
        <v>25.75</v>
      </c>
    </row>
    <row r="10" spans="1:64" x14ac:dyDescent="0.3">
      <c r="A10" s="135">
        <v>2016</v>
      </c>
      <c r="B10" s="135">
        <v>4</v>
      </c>
      <c r="C10" s="135" t="s">
        <v>1964</v>
      </c>
      <c r="D10" s="135" t="s">
        <v>19</v>
      </c>
      <c r="E10" s="135" t="s">
        <v>405</v>
      </c>
      <c r="F10" s="135" t="s">
        <v>20</v>
      </c>
      <c r="G10" s="135" t="s">
        <v>397</v>
      </c>
      <c r="H10" s="135">
        <v>7.94</v>
      </c>
      <c r="I10" s="135">
        <v>18.263000000000002</v>
      </c>
      <c r="J10" s="135">
        <v>18.263000000000002</v>
      </c>
      <c r="K10" s="135">
        <v>21.724</v>
      </c>
      <c r="L10" s="135">
        <v>36.978000000000002</v>
      </c>
      <c r="M10" s="135">
        <v>303.22000000000003</v>
      </c>
      <c r="N10" s="135">
        <v>1.857</v>
      </c>
      <c r="O10" s="135">
        <v>0.87</v>
      </c>
      <c r="P10" s="135">
        <v>1.901</v>
      </c>
      <c r="Q10" s="135">
        <v>5.3</v>
      </c>
      <c r="R10" s="135">
        <v>5.8000000000000003E-2</v>
      </c>
      <c r="S10" s="135">
        <v>0</v>
      </c>
      <c r="T10" s="135">
        <v>0</v>
      </c>
      <c r="U10" s="135">
        <v>0</v>
      </c>
      <c r="V10" s="135">
        <v>0.216</v>
      </c>
      <c r="W10" s="135">
        <v>0</v>
      </c>
      <c r="X10" s="135">
        <v>0</v>
      </c>
      <c r="Y10" s="135" t="s">
        <v>1959</v>
      </c>
      <c r="Z10" s="135">
        <v>21.1</v>
      </c>
      <c r="AA10" s="135">
        <v>6800</v>
      </c>
      <c r="AB10" s="135">
        <v>322.60000000000002</v>
      </c>
      <c r="AC10" s="135">
        <v>3.1</v>
      </c>
      <c r="AD10" s="135">
        <v>19.100000000000001</v>
      </c>
      <c r="AE10" s="135">
        <v>13850</v>
      </c>
      <c r="AF10" s="135">
        <v>723.9</v>
      </c>
      <c r="AG10" s="135">
        <v>1.38</v>
      </c>
      <c r="AH10" s="135">
        <v>20</v>
      </c>
      <c r="AI10" s="135">
        <v>7100</v>
      </c>
      <c r="AJ10" s="135">
        <v>355.2</v>
      </c>
      <c r="AK10" s="135">
        <v>2.82</v>
      </c>
      <c r="AL10" s="135">
        <v>19.100000000000001</v>
      </c>
      <c r="AM10" s="135">
        <v>8400</v>
      </c>
      <c r="AN10" s="135">
        <v>439</v>
      </c>
      <c r="AO10" s="135">
        <v>2.2799999999999998</v>
      </c>
      <c r="AP10" s="135"/>
      <c r="AQ10" s="135"/>
      <c r="AR10" s="135"/>
      <c r="AS10" s="135"/>
      <c r="AT10" s="135"/>
      <c r="AU10" s="135"/>
      <c r="AV10" s="135"/>
      <c r="AW10" s="135"/>
      <c r="AX10" s="135">
        <v>19.100000000000001</v>
      </c>
      <c r="AY10" s="135">
        <v>35</v>
      </c>
      <c r="AZ10" s="135">
        <v>1.8</v>
      </c>
      <c r="BA10" s="135">
        <v>0.55000000000000004</v>
      </c>
      <c r="BB10" s="135"/>
      <c r="BC10" s="135"/>
      <c r="BD10" s="135"/>
      <c r="BE10" s="135"/>
      <c r="BF10" s="135">
        <v>20</v>
      </c>
      <c r="BG10" s="135">
        <v>13400</v>
      </c>
      <c r="BH10" s="135">
        <v>670.4</v>
      </c>
      <c r="BI10" s="135">
        <v>1.49</v>
      </c>
      <c r="BJ10" s="135">
        <v>47.5</v>
      </c>
      <c r="BK10" s="135">
        <v>-5.5</v>
      </c>
      <c r="BL10" s="135">
        <v>26.5</v>
      </c>
    </row>
    <row r="11" spans="1:64" x14ac:dyDescent="0.3">
      <c r="A11" s="135">
        <v>2016</v>
      </c>
      <c r="B11" s="135">
        <v>4</v>
      </c>
      <c r="C11" s="135" t="s">
        <v>1968</v>
      </c>
      <c r="D11" s="135" t="s">
        <v>23</v>
      </c>
      <c r="E11" s="135" t="s">
        <v>405</v>
      </c>
      <c r="F11" s="135" t="s">
        <v>24</v>
      </c>
      <c r="G11" s="135" t="s">
        <v>409</v>
      </c>
      <c r="H11" s="135">
        <v>18.670000000000002</v>
      </c>
      <c r="I11" s="135">
        <v>17.385999999999999</v>
      </c>
      <c r="J11" s="135">
        <v>17.385999999999999</v>
      </c>
      <c r="K11" s="135">
        <v>22.31</v>
      </c>
      <c r="L11" s="135">
        <v>37.223999999999997</v>
      </c>
      <c r="M11" s="135">
        <v>289.62</v>
      </c>
      <c r="N11" s="135">
        <v>1.74</v>
      </c>
      <c r="O11" s="135">
        <v>0.5</v>
      </c>
      <c r="P11" s="135">
        <v>0.40200000000000002</v>
      </c>
      <c r="Q11" s="135">
        <v>1.127</v>
      </c>
      <c r="R11" s="135">
        <v>0.02</v>
      </c>
      <c r="S11" s="135">
        <v>0</v>
      </c>
      <c r="T11" s="135">
        <v>0</v>
      </c>
      <c r="U11" s="135">
        <v>0</v>
      </c>
      <c r="V11" s="135">
        <v>0.19600000000000001</v>
      </c>
      <c r="W11" s="135">
        <v>0</v>
      </c>
      <c r="X11" s="135">
        <v>0</v>
      </c>
      <c r="Y11" s="135" t="s">
        <v>1959</v>
      </c>
      <c r="Z11" s="135">
        <v>20.100000000000001</v>
      </c>
      <c r="AA11" s="135">
        <v>6800</v>
      </c>
      <c r="AB11" s="135">
        <v>338.5</v>
      </c>
      <c r="AC11" s="135">
        <v>2.95</v>
      </c>
      <c r="AD11" s="135">
        <v>17.899999999999999</v>
      </c>
      <c r="AE11" s="135">
        <v>14500</v>
      </c>
      <c r="AF11" s="135">
        <v>810.7</v>
      </c>
      <c r="AG11" s="135">
        <v>1.23</v>
      </c>
      <c r="AH11" s="135">
        <v>18.7</v>
      </c>
      <c r="AI11" s="135">
        <v>6300</v>
      </c>
      <c r="AJ11" s="135">
        <v>337.5</v>
      </c>
      <c r="AK11" s="135">
        <v>2.96</v>
      </c>
      <c r="AL11" s="135">
        <v>17.899999999999999</v>
      </c>
      <c r="AM11" s="135">
        <v>8000</v>
      </c>
      <c r="AN11" s="135">
        <v>447.3</v>
      </c>
      <c r="AO11" s="135">
        <v>2.2400000000000002</v>
      </c>
      <c r="AP11" s="135"/>
      <c r="AQ11" s="135"/>
      <c r="AR11" s="135"/>
      <c r="AS11" s="135"/>
      <c r="AT11" s="135"/>
      <c r="AU11" s="135"/>
      <c r="AV11" s="135"/>
      <c r="AW11" s="135"/>
      <c r="AX11" s="135">
        <v>17.899999999999999</v>
      </c>
      <c r="AY11" s="135">
        <v>31</v>
      </c>
      <c r="AZ11" s="135">
        <v>1.7</v>
      </c>
      <c r="BA11" s="135">
        <v>0.57999999999999996</v>
      </c>
      <c r="BB11" s="135"/>
      <c r="BC11" s="135"/>
      <c r="BD11" s="135"/>
      <c r="BE11" s="135"/>
      <c r="BF11" s="135">
        <v>18.7</v>
      </c>
      <c r="BG11" s="135">
        <v>11900</v>
      </c>
      <c r="BH11" s="135">
        <v>637.5</v>
      </c>
      <c r="BI11" s="135">
        <v>1.57</v>
      </c>
      <c r="BJ11" s="135">
        <v>43</v>
      </c>
      <c r="BK11" s="135">
        <v>-8</v>
      </c>
      <c r="BL11" s="135">
        <v>25.5</v>
      </c>
    </row>
    <row r="12" spans="1:64" x14ac:dyDescent="0.3">
      <c r="A12" s="135">
        <v>2016</v>
      </c>
      <c r="B12" s="135">
        <v>4</v>
      </c>
      <c r="C12" s="135" t="s">
        <v>1972</v>
      </c>
      <c r="D12" s="135" t="s">
        <v>6</v>
      </c>
      <c r="E12" s="135" t="s">
        <v>405</v>
      </c>
      <c r="F12" s="135" t="s">
        <v>7</v>
      </c>
      <c r="G12" s="135" t="s">
        <v>2305</v>
      </c>
      <c r="H12" s="135">
        <v>20.83</v>
      </c>
      <c r="I12" s="135">
        <v>17.366</v>
      </c>
      <c r="J12" s="135">
        <v>17.366</v>
      </c>
      <c r="K12" s="135">
        <v>23.733000000000001</v>
      </c>
      <c r="L12" s="135">
        <v>34.930999999999997</v>
      </c>
      <c r="M12" s="135">
        <v>282.94</v>
      </c>
      <c r="N12" s="135">
        <v>1.4390000000000001</v>
      </c>
      <c r="O12" s="135">
        <v>0.46</v>
      </c>
      <c r="P12" s="135">
        <v>2.7970000000000002</v>
      </c>
      <c r="Q12" s="135">
        <v>11.603999999999999</v>
      </c>
      <c r="R12" s="135">
        <v>9.4E-2</v>
      </c>
      <c r="S12" s="135">
        <v>0</v>
      </c>
      <c r="T12" s="135">
        <v>0</v>
      </c>
      <c r="U12" s="135">
        <v>0</v>
      </c>
      <c r="V12" s="135">
        <v>0.25600000000000001</v>
      </c>
      <c r="W12" s="135">
        <v>0</v>
      </c>
      <c r="X12" s="135">
        <v>0</v>
      </c>
      <c r="Y12" s="135" t="s">
        <v>1959</v>
      </c>
      <c r="Z12" s="135">
        <v>19.899999999999999</v>
      </c>
      <c r="AA12" s="135">
        <v>6600</v>
      </c>
      <c r="AB12" s="135">
        <v>331</v>
      </c>
      <c r="AC12" s="135">
        <v>3.02</v>
      </c>
      <c r="AD12" s="135">
        <v>17.8</v>
      </c>
      <c r="AE12" s="135">
        <v>13250</v>
      </c>
      <c r="AF12" s="135">
        <v>743.3</v>
      </c>
      <c r="AG12" s="135">
        <v>1.35</v>
      </c>
      <c r="AH12" s="135">
        <v>18.7</v>
      </c>
      <c r="AI12" s="135">
        <v>6600</v>
      </c>
      <c r="AJ12" s="135">
        <v>352.6</v>
      </c>
      <c r="AK12" s="135">
        <v>2.84</v>
      </c>
      <c r="AL12" s="135">
        <v>17.8</v>
      </c>
      <c r="AM12" s="135">
        <v>8400</v>
      </c>
      <c r="AN12" s="135">
        <v>471.2</v>
      </c>
      <c r="AO12" s="135">
        <v>2.12</v>
      </c>
      <c r="AP12" s="135"/>
      <c r="AQ12" s="135"/>
      <c r="AR12" s="135"/>
      <c r="AS12" s="135"/>
      <c r="AT12" s="135"/>
      <c r="AU12" s="135"/>
      <c r="AV12" s="135"/>
      <c r="AW12" s="135"/>
      <c r="AX12" s="135">
        <v>17.8</v>
      </c>
      <c r="AY12" s="135">
        <v>34</v>
      </c>
      <c r="AZ12" s="135">
        <v>1.9</v>
      </c>
      <c r="BA12" s="135">
        <v>0.52</v>
      </c>
      <c r="BB12" s="135"/>
      <c r="BC12" s="135"/>
      <c r="BD12" s="135"/>
      <c r="BE12" s="135"/>
      <c r="BF12" s="135">
        <v>18.7</v>
      </c>
      <c r="BG12" s="135">
        <v>12300</v>
      </c>
      <c r="BH12" s="135">
        <v>657.1</v>
      </c>
      <c r="BI12" s="135">
        <v>1.52</v>
      </c>
      <c r="BJ12" s="135">
        <v>40.5</v>
      </c>
      <c r="BK12" s="135">
        <v>-1.5</v>
      </c>
      <c r="BL12" s="135">
        <v>21</v>
      </c>
    </row>
    <row r="13" spans="1:64" x14ac:dyDescent="0.3">
      <c r="A13" s="135">
        <v>2016</v>
      </c>
      <c r="B13" s="135">
        <v>4</v>
      </c>
      <c r="C13" s="135" t="s">
        <v>1979</v>
      </c>
      <c r="D13" s="135" t="s">
        <v>31</v>
      </c>
      <c r="E13" s="135" t="s">
        <v>405</v>
      </c>
      <c r="F13" s="135" t="s">
        <v>32</v>
      </c>
      <c r="G13" s="135" t="s">
        <v>4</v>
      </c>
      <c r="H13" s="135">
        <v>17.53</v>
      </c>
      <c r="I13" s="135">
        <v>17.321999999999999</v>
      </c>
      <c r="J13" s="135">
        <v>17.321999999999999</v>
      </c>
      <c r="K13" s="135">
        <v>24.663</v>
      </c>
      <c r="L13" s="135">
        <v>37.718000000000004</v>
      </c>
      <c r="M13" s="135">
        <v>282.423</v>
      </c>
      <c r="N13" s="135">
        <v>1.8440000000000001</v>
      </c>
      <c r="O13" s="135">
        <v>0.97299999999999998</v>
      </c>
      <c r="P13" s="135">
        <v>0.82699999999999996</v>
      </c>
      <c r="Q13" s="135">
        <v>2.254</v>
      </c>
      <c r="R13" s="135">
        <v>0.125</v>
      </c>
      <c r="S13" s="135">
        <v>0</v>
      </c>
      <c r="T13" s="135">
        <v>0</v>
      </c>
      <c r="U13" s="135">
        <v>0</v>
      </c>
      <c r="V13" s="135">
        <v>0.19</v>
      </c>
      <c r="W13" s="135">
        <v>0</v>
      </c>
      <c r="X13" s="135">
        <v>0</v>
      </c>
      <c r="Y13" s="135" t="s">
        <v>1959</v>
      </c>
      <c r="Z13" s="135">
        <v>20</v>
      </c>
      <c r="AA13" s="135">
        <v>6100</v>
      </c>
      <c r="AB13" s="135">
        <v>305.7</v>
      </c>
      <c r="AC13" s="135">
        <v>3.27</v>
      </c>
      <c r="AD13" s="135">
        <v>18.3</v>
      </c>
      <c r="AE13" s="135">
        <v>14400</v>
      </c>
      <c r="AF13" s="135">
        <v>787.1</v>
      </c>
      <c r="AG13" s="135">
        <v>1.27</v>
      </c>
      <c r="AH13" s="135">
        <v>19.100000000000001</v>
      </c>
      <c r="AI13" s="135">
        <v>5900</v>
      </c>
      <c r="AJ13" s="135">
        <v>309.5</v>
      </c>
      <c r="AK13" s="135">
        <v>3.23</v>
      </c>
      <c r="AL13" s="135">
        <v>18.3</v>
      </c>
      <c r="AM13" s="135">
        <v>7700</v>
      </c>
      <c r="AN13" s="135">
        <v>420.9</v>
      </c>
      <c r="AO13" s="135">
        <v>2.38</v>
      </c>
      <c r="AP13" s="135"/>
      <c r="AQ13" s="135"/>
      <c r="AR13" s="135"/>
      <c r="AS13" s="135"/>
      <c r="AT13" s="135"/>
      <c r="AU13" s="135"/>
      <c r="AV13" s="135"/>
      <c r="AW13" s="135"/>
      <c r="AX13" s="135">
        <v>18.3</v>
      </c>
      <c r="AY13" s="135">
        <v>31</v>
      </c>
      <c r="AZ13" s="135">
        <v>1.7</v>
      </c>
      <c r="BA13" s="135">
        <v>0.59</v>
      </c>
      <c r="BB13" s="135"/>
      <c r="BC13" s="135"/>
      <c r="BD13" s="135"/>
      <c r="BE13" s="135"/>
      <c r="BF13" s="135">
        <v>19.100000000000001</v>
      </c>
      <c r="BG13" s="135">
        <v>11000</v>
      </c>
      <c r="BH13" s="135">
        <v>577</v>
      </c>
      <c r="BI13" s="135">
        <v>1.73</v>
      </c>
      <c r="BJ13" s="135">
        <v>46.5</v>
      </c>
      <c r="BK13" s="135">
        <v>-3.5</v>
      </c>
      <c r="BL13" s="135">
        <v>25</v>
      </c>
    </row>
    <row r="14" spans="1:64" x14ac:dyDescent="0.3">
      <c r="A14" s="135">
        <v>2016</v>
      </c>
      <c r="B14" s="135">
        <v>4</v>
      </c>
      <c r="C14" s="135" t="s">
        <v>1985</v>
      </c>
      <c r="D14" s="135" t="s">
        <v>444</v>
      </c>
      <c r="E14" s="135" t="s">
        <v>405</v>
      </c>
      <c r="F14" s="135" t="s">
        <v>52</v>
      </c>
      <c r="G14" s="135" t="s">
        <v>2309</v>
      </c>
      <c r="H14" s="135">
        <v>19.399999999999999</v>
      </c>
      <c r="I14" s="135">
        <v>17.18</v>
      </c>
      <c r="J14" s="135">
        <v>17.18</v>
      </c>
      <c r="K14" s="135">
        <v>21.081</v>
      </c>
      <c r="L14" s="135">
        <v>33.695</v>
      </c>
      <c r="M14" s="135">
        <v>243.06</v>
      </c>
      <c r="N14" s="135">
        <v>1.5269999999999999</v>
      </c>
      <c r="O14" s="135">
        <v>0.86499999999999999</v>
      </c>
      <c r="P14" s="135">
        <v>3.2450000000000001</v>
      </c>
      <c r="Q14" s="135">
        <v>17.635000000000002</v>
      </c>
      <c r="R14" s="135">
        <v>0.29099999999999998</v>
      </c>
      <c r="S14" s="135">
        <v>0</v>
      </c>
      <c r="T14" s="135">
        <v>0</v>
      </c>
      <c r="U14" s="135">
        <v>0</v>
      </c>
      <c r="V14" s="135">
        <v>0.215</v>
      </c>
      <c r="W14" s="135">
        <v>0</v>
      </c>
      <c r="X14" s="135">
        <v>0</v>
      </c>
      <c r="Y14" s="135" t="s">
        <v>1959</v>
      </c>
      <c r="Z14" s="135">
        <v>19.399999999999999</v>
      </c>
      <c r="AA14" s="135">
        <v>5600</v>
      </c>
      <c r="AB14" s="135">
        <v>288.7</v>
      </c>
      <c r="AC14" s="135">
        <v>3.46</v>
      </c>
      <c r="AD14" s="135">
        <v>18</v>
      </c>
      <c r="AE14" s="135">
        <v>13150</v>
      </c>
      <c r="AF14" s="135">
        <v>728.7</v>
      </c>
      <c r="AG14" s="135">
        <v>1.37</v>
      </c>
      <c r="AH14" s="135">
        <v>18.899999999999999</v>
      </c>
      <c r="AI14" s="135">
        <v>5700</v>
      </c>
      <c r="AJ14" s="135">
        <v>302.39999999999998</v>
      </c>
      <c r="AK14" s="135">
        <v>3.31</v>
      </c>
      <c r="AL14" s="135">
        <v>18</v>
      </c>
      <c r="AM14" s="135">
        <v>7200</v>
      </c>
      <c r="AN14" s="135">
        <v>399</v>
      </c>
      <c r="AO14" s="135">
        <v>2.5099999999999998</v>
      </c>
      <c r="AP14" s="135"/>
      <c r="AQ14" s="135"/>
      <c r="AR14" s="135"/>
      <c r="AS14" s="135"/>
      <c r="AT14" s="135"/>
      <c r="AU14" s="135"/>
      <c r="AV14" s="135"/>
      <c r="AW14" s="135"/>
      <c r="AX14" s="135">
        <v>18</v>
      </c>
      <c r="AY14" s="135">
        <v>28</v>
      </c>
      <c r="AZ14" s="135">
        <v>1.6</v>
      </c>
      <c r="BA14" s="135">
        <v>0.64</v>
      </c>
      <c r="BB14" s="135"/>
      <c r="BC14" s="135"/>
      <c r="BD14" s="135"/>
      <c r="BE14" s="135"/>
      <c r="BF14" s="135">
        <v>18.899999999999999</v>
      </c>
      <c r="BG14" s="135">
        <v>11200</v>
      </c>
      <c r="BH14" s="135">
        <v>594.1</v>
      </c>
      <c r="BI14" s="135">
        <v>1.68</v>
      </c>
      <c r="BJ14" s="135">
        <v>46</v>
      </c>
      <c r="BK14" s="135">
        <v>-3</v>
      </c>
      <c r="BL14" s="135">
        <v>24.5</v>
      </c>
    </row>
    <row r="15" spans="1:64" x14ac:dyDescent="0.3">
      <c r="A15" s="135">
        <v>2016</v>
      </c>
      <c r="B15" s="135">
        <v>4</v>
      </c>
      <c r="C15" s="135" t="s">
        <v>1977</v>
      </c>
      <c r="D15" s="135" t="s">
        <v>3</v>
      </c>
      <c r="E15" s="135" t="s">
        <v>405</v>
      </c>
      <c r="F15" s="135" t="s">
        <v>4</v>
      </c>
      <c r="G15" s="135" t="s">
        <v>2297</v>
      </c>
      <c r="H15" s="135">
        <v>11.34</v>
      </c>
      <c r="I15" s="135">
        <v>16.193999999999999</v>
      </c>
      <c r="J15" s="135">
        <v>16.193999999999999</v>
      </c>
      <c r="K15" s="135">
        <v>22.969000000000001</v>
      </c>
      <c r="L15" s="135">
        <v>35.591000000000001</v>
      </c>
      <c r="M15" s="135">
        <v>263.37</v>
      </c>
      <c r="N15" s="135">
        <v>1.468</v>
      </c>
      <c r="O15" s="135">
        <v>0.69</v>
      </c>
      <c r="P15" s="135">
        <v>2.2839999999999998</v>
      </c>
      <c r="Q15" s="135">
        <v>11.032</v>
      </c>
      <c r="R15" s="135">
        <v>8.7999999999999995E-2</v>
      </c>
      <c r="S15" s="135">
        <v>0</v>
      </c>
      <c r="T15" s="135">
        <v>0</v>
      </c>
      <c r="U15" s="135">
        <v>0</v>
      </c>
      <c r="V15" s="135">
        <v>0.23200000000000001</v>
      </c>
      <c r="W15" s="135">
        <v>0</v>
      </c>
      <c r="X15" s="135">
        <v>0</v>
      </c>
      <c r="Y15" s="135" t="s">
        <v>1983</v>
      </c>
      <c r="Z15" s="135">
        <v>18.600000000000001</v>
      </c>
      <c r="AA15" s="135">
        <v>6300</v>
      </c>
      <c r="AB15" s="135">
        <v>338.8</v>
      </c>
      <c r="AC15" s="135">
        <v>2.95</v>
      </c>
      <c r="AD15" s="135">
        <v>16.899999999999999</v>
      </c>
      <c r="AE15" s="135">
        <v>16400</v>
      </c>
      <c r="AF15" s="135">
        <v>971.3</v>
      </c>
      <c r="AG15" s="135">
        <v>1.03</v>
      </c>
      <c r="AH15" s="135">
        <v>17.7</v>
      </c>
      <c r="AI15" s="135">
        <v>6700</v>
      </c>
      <c r="AJ15" s="135">
        <v>378.3</v>
      </c>
      <c r="AK15" s="135">
        <v>2.64</v>
      </c>
      <c r="AL15" s="135">
        <v>16.899999999999999</v>
      </c>
      <c r="AM15" s="135">
        <v>8000</v>
      </c>
      <c r="AN15" s="135">
        <v>473.8</v>
      </c>
      <c r="AO15" s="135">
        <v>2.11</v>
      </c>
      <c r="AP15" s="135"/>
      <c r="AQ15" s="135"/>
      <c r="AR15" s="135"/>
      <c r="AS15" s="135"/>
      <c r="AT15" s="135"/>
      <c r="AU15" s="135"/>
      <c r="AV15" s="135"/>
      <c r="AW15" s="135"/>
      <c r="AX15" s="135">
        <v>16.899999999999999</v>
      </c>
      <c r="AY15" s="135">
        <v>30</v>
      </c>
      <c r="AZ15" s="135">
        <v>1.8</v>
      </c>
      <c r="BA15" s="135">
        <v>0.56000000000000005</v>
      </c>
      <c r="BB15" s="135"/>
      <c r="BC15" s="135"/>
      <c r="BD15" s="135"/>
      <c r="BE15" s="135"/>
      <c r="BF15" s="135">
        <v>17.7</v>
      </c>
      <c r="BG15" s="135">
        <v>12600</v>
      </c>
      <c r="BH15" s="135">
        <v>711.5</v>
      </c>
      <c r="BI15" s="135">
        <v>1.41</v>
      </c>
      <c r="BJ15" s="135">
        <v>46.5</v>
      </c>
      <c r="BK15" s="135">
        <v>3.5</v>
      </c>
      <c r="BL15" s="135">
        <v>21.5</v>
      </c>
    </row>
    <row r="16" spans="1:64" x14ac:dyDescent="0.3">
      <c r="A16" s="135">
        <v>2016</v>
      </c>
      <c r="B16" s="135">
        <v>4</v>
      </c>
      <c r="C16" s="135" t="s">
        <v>1962</v>
      </c>
      <c r="D16" s="135" t="s">
        <v>49</v>
      </c>
      <c r="E16" s="135" t="s">
        <v>405</v>
      </c>
      <c r="F16" s="135" t="s">
        <v>50</v>
      </c>
      <c r="G16" s="135" t="s">
        <v>22</v>
      </c>
      <c r="H16" s="135">
        <v>15.32</v>
      </c>
      <c r="I16" s="135">
        <v>16.170000000000002</v>
      </c>
      <c r="J16" s="135">
        <v>16.170000000000002</v>
      </c>
      <c r="K16" s="135">
        <v>23.047000000000001</v>
      </c>
      <c r="L16" s="135">
        <v>35.805</v>
      </c>
      <c r="M16" s="135">
        <v>272.29599999999999</v>
      </c>
      <c r="N16" s="135">
        <v>1.786</v>
      </c>
      <c r="O16" s="135">
        <v>1.0509999999999999</v>
      </c>
      <c r="P16" s="135">
        <v>1.786</v>
      </c>
      <c r="Q16" s="135">
        <v>5.681</v>
      </c>
      <c r="R16" s="135">
        <v>1.7000000000000001E-2</v>
      </c>
      <c r="S16" s="135">
        <v>0</v>
      </c>
      <c r="T16" s="135">
        <v>0</v>
      </c>
      <c r="U16" s="135">
        <v>0</v>
      </c>
      <c r="V16" s="135">
        <v>0.217</v>
      </c>
      <c r="W16" s="135">
        <v>0</v>
      </c>
      <c r="X16" s="135">
        <v>0</v>
      </c>
      <c r="Y16" s="135" t="s">
        <v>1983</v>
      </c>
      <c r="Z16" s="135">
        <v>18.7</v>
      </c>
      <c r="AA16" s="135">
        <v>6600</v>
      </c>
      <c r="AB16" s="135">
        <v>353.4</v>
      </c>
      <c r="AC16" s="135">
        <v>2.83</v>
      </c>
      <c r="AD16" s="135">
        <v>17.2</v>
      </c>
      <c r="AE16" s="135">
        <v>13750</v>
      </c>
      <c r="AF16" s="135">
        <v>798.4</v>
      </c>
      <c r="AG16" s="135">
        <v>1.25</v>
      </c>
      <c r="AH16" s="135">
        <v>18</v>
      </c>
      <c r="AI16" s="135">
        <v>7000</v>
      </c>
      <c r="AJ16" s="135">
        <v>388.5</v>
      </c>
      <c r="AK16" s="135">
        <v>2.57</v>
      </c>
      <c r="AL16" s="135">
        <v>17.2</v>
      </c>
      <c r="AM16" s="135">
        <v>7900</v>
      </c>
      <c r="AN16" s="135">
        <v>458.7</v>
      </c>
      <c r="AO16" s="135">
        <v>2.1800000000000002</v>
      </c>
      <c r="AP16" s="135"/>
      <c r="AQ16" s="135"/>
      <c r="AR16" s="135"/>
      <c r="AS16" s="135"/>
      <c r="AT16" s="135"/>
      <c r="AU16" s="135"/>
      <c r="AV16" s="135"/>
      <c r="AW16" s="135"/>
      <c r="AX16" s="135">
        <v>17.2</v>
      </c>
      <c r="AY16" s="135">
        <v>27</v>
      </c>
      <c r="AZ16" s="135">
        <v>1.6</v>
      </c>
      <c r="BA16" s="135">
        <v>0.64</v>
      </c>
      <c r="BB16" s="135"/>
      <c r="BC16" s="135"/>
      <c r="BD16" s="135"/>
      <c r="BE16" s="135"/>
      <c r="BF16" s="135">
        <v>18</v>
      </c>
      <c r="BG16" s="135">
        <v>13200</v>
      </c>
      <c r="BH16" s="135">
        <v>732.7</v>
      </c>
      <c r="BI16" s="135">
        <v>1.36</v>
      </c>
      <c r="BJ16" s="135">
        <v>50</v>
      </c>
      <c r="BK16" s="135">
        <v>3</v>
      </c>
      <c r="BL16" s="135">
        <v>23.5</v>
      </c>
    </row>
    <row r="17" spans="1:64" x14ac:dyDescent="0.3">
      <c r="A17" s="135">
        <v>2016</v>
      </c>
      <c r="B17" s="135">
        <v>4</v>
      </c>
      <c r="C17" s="135" t="s">
        <v>1988</v>
      </c>
      <c r="D17" s="135" t="s">
        <v>35</v>
      </c>
      <c r="E17" s="135" t="s">
        <v>405</v>
      </c>
      <c r="F17" s="135" t="s">
        <v>397</v>
      </c>
      <c r="G17" s="135" t="s">
        <v>2307</v>
      </c>
      <c r="H17" s="135">
        <v>16.75</v>
      </c>
      <c r="I17" s="135">
        <v>15.96</v>
      </c>
      <c r="J17" s="135">
        <v>15.96</v>
      </c>
      <c r="K17" s="135">
        <v>25.431999999999999</v>
      </c>
      <c r="L17" s="135">
        <v>39.451000000000001</v>
      </c>
      <c r="M17" s="135">
        <v>264.48399999999998</v>
      </c>
      <c r="N17" s="135">
        <v>1.5469999999999999</v>
      </c>
      <c r="O17" s="135">
        <v>1.0920000000000001</v>
      </c>
      <c r="P17" s="135">
        <v>3.3260000000000001</v>
      </c>
      <c r="Q17" s="135">
        <v>14.846</v>
      </c>
      <c r="R17" s="135">
        <v>0.06</v>
      </c>
      <c r="S17" s="135">
        <v>0</v>
      </c>
      <c r="T17" s="135">
        <v>0</v>
      </c>
      <c r="U17" s="135">
        <v>0</v>
      </c>
      <c r="V17" s="135">
        <v>0.23400000000000001</v>
      </c>
      <c r="W17" s="135">
        <v>0</v>
      </c>
      <c r="X17" s="135">
        <v>0</v>
      </c>
      <c r="Y17" s="135" t="s">
        <v>1983</v>
      </c>
      <c r="Z17" s="135">
        <v>18.399999999999999</v>
      </c>
      <c r="AA17" s="135">
        <v>6000</v>
      </c>
      <c r="AB17" s="135">
        <v>326.60000000000002</v>
      </c>
      <c r="AC17" s="135">
        <v>3.06</v>
      </c>
      <c r="AD17" s="135">
        <v>17.100000000000001</v>
      </c>
      <c r="AE17" s="135">
        <v>13850</v>
      </c>
      <c r="AF17" s="135">
        <v>812.2</v>
      </c>
      <c r="AG17" s="135">
        <v>1.23</v>
      </c>
      <c r="AH17" s="135">
        <v>17.899999999999999</v>
      </c>
      <c r="AI17" s="135">
        <v>5600</v>
      </c>
      <c r="AJ17" s="135">
        <v>312.8</v>
      </c>
      <c r="AK17" s="135">
        <v>3.2</v>
      </c>
      <c r="AL17" s="135">
        <v>17.100000000000001</v>
      </c>
      <c r="AM17" s="135">
        <v>6900</v>
      </c>
      <c r="AN17" s="135">
        <v>404.6</v>
      </c>
      <c r="AO17" s="135">
        <v>2.4700000000000002</v>
      </c>
      <c r="AP17" s="135"/>
      <c r="AQ17" s="135"/>
      <c r="AR17" s="135"/>
      <c r="AS17" s="135"/>
      <c r="AT17" s="135"/>
      <c r="AU17" s="135"/>
      <c r="AV17" s="135"/>
      <c r="AW17" s="135"/>
      <c r="AX17" s="135">
        <v>17.100000000000001</v>
      </c>
      <c r="AY17" s="135">
        <v>30</v>
      </c>
      <c r="AZ17" s="135">
        <v>1.8</v>
      </c>
      <c r="BA17" s="135">
        <v>0.56999999999999995</v>
      </c>
      <c r="BB17" s="135"/>
      <c r="BC17" s="135"/>
      <c r="BD17" s="135"/>
      <c r="BE17" s="135"/>
      <c r="BF17" s="135">
        <v>17.899999999999999</v>
      </c>
      <c r="BG17" s="135">
        <v>11200</v>
      </c>
      <c r="BH17" s="135">
        <v>625.6</v>
      </c>
      <c r="BI17" s="135">
        <v>1.6</v>
      </c>
      <c r="BJ17" s="135">
        <v>47.5</v>
      </c>
      <c r="BK17" s="135">
        <v>5.5</v>
      </c>
      <c r="BL17" s="135">
        <v>21</v>
      </c>
    </row>
    <row r="18" spans="1:64" x14ac:dyDescent="0.3">
      <c r="A18" s="135">
        <v>2016</v>
      </c>
      <c r="B18" s="135">
        <v>4</v>
      </c>
      <c r="C18" s="135" t="s">
        <v>1998</v>
      </c>
      <c r="D18" s="135" t="s">
        <v>1240</v>
      </c>
      <c r="E18" s="135" t="s">
        <v>405</v>
      </c>
      <c r="F18" s="135" t="s">
        <v>70</v>
      </c>
      <c r="G18" s="135" t="s">
        <v>2005</v>
      </c>
      <c r="H18" s="135">
        <v>23.05</v>
      </c>
      <c r="I18" s="135">
        <v>15.778</v>
      </c>
      <c r="J18" s="135">
        <v>15.778</v>
      </c>
      <c r="K18" s="135">
        <v>21.215</v>
      </c>
      <c r="L18" s="135">
        <v>33.762999999999998</v>
      </c>
      <c r="M18" s="135">
        <v>254.09899999999999</v>
      </c>
      <c r="N18" s="135">
        <v>1.645</v>
      </c>
      <c r="O18" s="135">
        <v>0.879</v>
      </c>
      <c r="P18" s="135">
        <v>3.4750000000000001</v>
      </c>
      <c r="Q18" s="135">
        <v>10.563000000000001</v>
      </c>
      <c r="R18" s="135">
        <v>2.5999999999999999E-2</v>
      </c>
      <c r="S18" s="135">
        <v>0</v>
      </c>
      <c r="T18" s="135">
        <v>0</v>
      </c>
      <c r="U18" s="135">
        <v>0</v>
      </c>
      <c r="V18" s="135">
        <v>0.21</v>
      </c>
      <c r="W18" s="135">
        <v>0</v>
      </c>
      <c r="X18" s="135">
        <v>0</v>
      </c>
      <c r="Y18" s="135" t="s">
        <v>1983</v>
      </c>
      <c r="Z18" s="135">
        <v>18.100000000000001</v>
      </c>
      <c r="AA18" s="135">
        <v>6000</v>
      </c>
      <c r="AB18" s="135">
        <v>331.3</v>
      </c>
      <c r="AC18" s="135">
        <v>3.02</v>
      </c>
      <c r="AD18" s="135">
        <v>16.7</v>
      </c>
      <c r="AE18" s="135">
        <v>13650</v>
      </c>
      <c r="AF18" s="135">
        <v>819.5</v>
      </c>
      <c r="AG18" s="135">
        <v>1.22</v>
      </c>
      <c r="AH18" s="135">
        <v>17.399999999999999</v>
      </c>
      <c r="AI18" s="135">
        <v>5400</v>
      </c>
      <c r="AJ18" s="135">
        <v>309.7</v>
      </c>
      <c r="AK18" s="135">
        <v>3.23</v>
      </c>
      <c r="AL18" s="135">
        <v>16.7</v>
      </c>
      <c r="AM18" s="135">
        <v>7400</v>
      </c>
      <c r="AN18" s="135">
        <v>444.3</v>
      </c>
      <c r="AO18" s="135">
        <v>2.25</v>
      </c>
      <c r="AP18" s="135"/>
      <c r="AQ18" s="135"/>
      <c r="AR18" s="135"/>
      <c r="AS18" s="135"/>
      <c r="AT18" s="135"/>
      <c r="AU18" s="135"/>
      <c r="AV18" s="135"/>
      <c r="AW18" s="135"/>
      <c r="AX18" s="135">
        <v>16.7</v>
      </c>
      <c r="AY18" s="135">
        <v>26</v>
      </c>
      <c r="AZ18" s="135">
        <v>1.6</v>
      </c>
      <c r="BA18" s="135">
        <v>0.64</v>
      </c>
      <c r="BB18" s="135"/>
      <c r="BC18" s="135"/>
      <c r="BD18" s="135"/>
      <c r="BE18" s="135"/>
      <c r="BF18" s="135">
        <v>17.399999999999999</v>
      </c>
      <c r="BG18" s="135">
        <v>10600</v>
      </c>
      <c r="BH18" s="135">
        <v>607.79999999999995</v>
      </c>
      <c r="BI18" s="135">
        <v>1.65</v>
      </c>
      <c r="BJ18" s="135">
        <v>44</v>
      </c>
      <c r="BK18" s="135">
        <v>-3</v>
      </c>
      <c r="BL18" s="135">
        <v>23.5</v>
      </c>
    </row>
    <row r="19" spans="1:64" x14ac:dyDescent="0.3">
      <c r="A19" s="135">
        <v>2016</v>
      </c>
      <c r="B19" s="135">
        <v>4</v>
      </c>
      <c r="C19" s="135" t="s">
        <v>1984</v>
      </c>
      <c r="D19" s="135" t="s">
        <v>44</v>
      </c>
      <c r="E19" s="135" t="s">
        <v>405</v>
      </c>
      <c r="F19" s="135" t="s">
        <v>401</v>
      </c>
      <c r="G19" s="135" t="s">
        <v>70</v>
      </c>
      <c r="H19" s="135">
        <v>8.94</v>
      </c>
      <c r="I19" s="135">
        <v>15.746</v>
      </c>
      <c r="J19" s="135">
        <v>15.746</v>
      </c>
      <c r="K19" s="135">
        <v>22.893999999999998</v>
      </c>
      <c r="L19" s="135">
        <v>38.494</v>
      </c>
      <c r="M19" s="135">
        <v>254.20400000000001</v>
      </c>
      <c r="N19" s="135">
        <v>1.5640000000000001</v>
      </c>
      <c r="O19" s="135">
        <v>1.125</v>
      </c>
      <c r="P19" s="135">
        <v>3.0640000000000001</v>
      </c>
      <c r="Q19" s="135">
        <v>9.7759999999999998</v>
      </c>
      <c r="R19" s="135">
        <v>0.183</v>
      </c>
      <c r="S19" s="135">
        <v>0</v>
      </c>
      <c r="T19" s="135">
        <v>0</v>
      </c>
      <c r="U19" s="135">
        <v>0</v>
      </c>
      <c r="V19" s="135">
        <v>0.252</v>
      </c>
      <c r="W19" s="135">
        <v>0</v>
      </c>
      <c r="X19" s="135">
        <v>0</v>
      </c>
      <c r="Y19" s="135" t="s">
        <v>1983</v>
      </c>
      <c r="Z19" s="135">
        <v>18</v>
      </c>
      <c r="AA19" s="135">
        <v>6400</v>
      </c>
      <c r="AB19" s="135">
        <v>354.8</v>
      </c>
      <c r="AC19" s="135">
        <v>2.82</v>
      </c>
      <c r="AD19" s="135">
        <v>16.899999999999999</v>
      </c>
      <c r="AE19" s="135">
        <v>12250</v>
      </c>
      <c r="AF19" s="135">
        <v>726.1</v>
      </c>
      <c r="AG19" s="135">
        <v>1.38</v>
      </c>
      <c r="AH19" s="135">
        <v>17.7</v>
      </c>
      <c r="AI19" s="135">
        <v>5400</v>
      </c>
      <c r="AJ19" s="135">
        <v>305.3</v>
      </c>
      <c r="AK19" s="135">
        <v>3.28</v>
      </c>
      <c r="AL19" s="135">
        <v>16.899999999999999</v>
      </c>
      <c r="AM19" s="135">
        <v>7100</v>
      </c>
      <c r="AN19" s="135">
        <v>420.8</v>
      </c>
      <c r="AO19" s="135">
        <v>2.38</v>
      </c>
      <c r="AP19" s="135"/>
      <c r="AQ19" s="135"/>
      <c r="AR19" s="135"/>
      <c r="AS19" s="135"/>
      <c r="AT19" s="135"/>
      <c r="AU19" s="135"/>
      <c r="AV19" s="135"/>
      <c r="AW19" s="135"/>
      <c r="AX19" s="135">
        <v>16.899999999999999</v>
      </c>
      <c r="AY19" s="135">
        <v>27</v>
      </c>
      <c r="AZ19" s="135">
        <v>1.6</v>
      </c>
      <c r="BA19" s="135">
        <v>0.62</v>
      </c>
      <c r="BB19" s="135"/>
      <c r="BC19" s="135"/>
      <c r="BD19" s="135"/>
      <c r="BE19" s="135"/>
      <c r="BF19" s="135">
        <v>17.7</v>
      </c>
      <c r="BG19" s="135">
        <v>10600</v>
      </c>
      <c r="BH19" s="135">
        <v>599.20000000000005</v>
      </c>
      <c r="BI19" s="135">
        <v>1.67</v>
      </c>
      <c r="BJ19" s="135">
        <v>44</v>
      </c>
      <c r="BK19" s="135">
        <v>3</v>
      </c>
      <c r="BL19" s="135">
        <v>20.5</v>
      </c>
    </row>
    <row r="20" spans="1:64" x14ac:dyDescent="0.3">
      <c r="A20" s="135">
        <v>2016</v>
      </c>
      <c r="B20" s="135">
        <v>4</v>
      </c>
      <c r="C20" s="135" t="s">
        <v>1974</v>
      </c>
      <c r="D20" s="135" t="s">
        <v>56</v>
      </c>
      <c r="E20" s="135" t="s">
        <v>405</v>
      </c>
      <c r="F20" s="135" t="s">
        <v>57</v>
      </c>
      <c r="G20" s="135" t="s">
        <v>1999</v>
      </c>
      <c r="H20" s="135">
        <v>26.45</v>
      </c>
      <c r="I20" s="135">
        <v>15.624000000000001</v>
      </c>
      <c r="J20" s="135">
        <v>15.624000000000001</v>
      </c>
      <c r="K20" s="135">
        <v>21.943999999999999</v>
      </c>
      <c r="L20" s="135">
        <v>36.729999999999997</v>
      </c>
      <c r="M20" s="135">
        <v>268.13</v>
      </c>
      <c r="N20" s="135">
        <v>1.456</v>
      </c>
      <c r="O20" s="135">
        <v>1.173</v>
      </c>
      <c r="P20" s="135">
        <v>3.2149999999999999</v>
      </c>
      <c r="Q20" s="135">
        <v>14.148</v>
      </c>
      <c r="R20" s="135">
        <v>8.8999999999999996E-2</v>
      </c>
      <c r="S20" s="135">
        <v>0</v>
      </c>
      <c r="T20" s="135">
        <v>0</v>
      </c>
      <c r="U20" s="135">
        <v>0</v>
      </c>
      <c r="V20" s="135">
        <v>0.26400000000000001</v>
      </c>
      <c r="W20" s="135">
        <v>0</v>
      </c>
      <c r="X20" s="135">
        <v>0</v>
      </c>
      <c r="Y20" s="135" t="s">
        <v>1983</v>
      </c>
      <c r="Z20" s="135">
        <v>18</v>
      </c>
      <c r="AA20" s="135">
        <v>6250</v>
      </c>
      <c r="AB20" s="135">
        <v>346.4</v>
      </c>
      <c r="AC20" s="135">
        <v>2.89</v>
      </c>
      <c r="AD20" s="135">
        <v>16.8</v>
      </c>
      <c r="AE20" s="135">
        <v>14300</v>
      </c>
      <c r="AF20" s="135">
        <v>851.3</v>
      </c>
      <c r="AG20" s="135">
        <v>1.17</v>
      </c>
      <c r="AH20" s="135">
        <v>17.7</v>
      </c>
      <c r="AI20" s="135">
        <v>5800</v>
      </c>
      <c r="AJ20" s="135">
        <v>328</v>
      </c>
      <c r="AK20" s="135">
        <v>3.05</v>
      </c>
      <c r="AL20" s="135">
        <v>16.8</v>
      </c>
      <c r="AM20" s="135">
        <v>7200</v>
      </c>
      <c r="AN20" s="135">
        <v>428.6</v>
      </c>
      <c r="AO20" s="135">
        <v>2.33</v>
      </c>
      <c r="AP20" s="135"/>
      <c r="AQ20" s="135"/>
      <c r="AR20" s="135"/>
      <c r="AS20" s="135"/>
      <c r="AT20" s="135"/>
      <c r="AU20" s="135"/>
      <c r="AV20" s="135"/>
      <c r="AW20" s="135"/>
      <c r="AX20" s="135">
        <v>16.8</v>
      </c>
      <c r="AY20" s="135">
        <v>28</v>
      </c>
      <c r="AZ20" s="135">
        <v>1.7</v>
      </c>
      <c r="BA20" s="135">
        <v>0.6</v>
      </c>
      <c r="BB20" s="135"/>
      <c r="BC20" s="135"/>
      <c r="BD20" s="135"/>
      <c r="BE20" s="135"/>
      <c r="BF20" s="135">
        <v>17.7</v>
      </c>
      <c r="BG20" s="135">
        <v>10900</v>
      </c>
      <c r="BH20" s="135">
        <v>616.4</v>
      </c>
      <c r="BI20" s="135">
        <v>1.62</v>
      </c>
      <c r="BJ20" s="135">
        <v>44.5</v>
      </c>
      <c r="BK20" s="135">
        <v>7</v>
      </c>
      <c r="BL20" s="135">
        <v>18.75</v>
      </c>
    </row>
    <row r="21" spans="1:64" x14ac:dyDescent="0.3">
      <c r="A21" s="135">
        <v>2016</v>
      </c>
      <c r="B21" s="135">
        <v>4</v>
      </c>
      <c r="C21" s="135" t="s">
        <v>2549</v>
      </c>
      <c r="D21" s="135" t="s">
        <v>429</v>
      </c>
      <c r="E21" s="135" t="s">
        <v>405</v>
      </c>
      <c r="F21" s="135" t="s">
        <v>402</v>
      </c>
      <c r="G21" s="135" t="s">
        <v>10</v>
      </c>
      <c r="H21" s="135">
        <v>14.3</v>
      </c>
      <c r="I21" s="135">
        <v>15.169</v>
      </c>
      <c r="J21" s="135">
        <v>15.169</v>
      </c>
      <c r="K21" s="135">
        <v>20.47</v>
      </c>
      <c r="L21" s="135">
        <v>32.268000000000001</v>
      </c>
      <c r="M21" s="135">
        <v>247.23500000000001</v>
      </c>
      <c r="N21" s="135">
        <v>1.5549999999999999</v>
      </c>
      <c r="O21" s="135">
        <v>0.82599999999999996</v>
      </c>
      <c r="P21" s="135">
        <v>1.627</v>
      </c>
      <c r="Q21" s="135">
        <v>4.4989999999999997</v>
      </c>
      <c r="R21" s="135">
        <v>0.109</v>
      </c>
      <c r="S21" s="135">
        <v>0</v>
      </c>
      <c r="T21" s="135">
        <v>0</v>
      </c>
      <c r="U21" s="135">
        <v>0</v>
      </c>
      <c r="V21" s="135">
        <v>0.19600000000000001</v>
      </c>
      <c r="W21" s="135">
        <v>0</v>
      </c>
      <c r="X21" s="135">
        <v>0</v>
      </c>
      <c r="Y21" s="135" t="s">
        <v>1983</v>
      </c>
      <c r="Z21" s="135">
        <v>17.399999999999999</v>
      </c>
      <c r="AA21" s="135">
        <v>6500</v>
      </c>
      <c r="AB21" s="135">
        <v>372.6</v>
      </c>
      <c r="AC21" s="135">
        <v>2.68</v>
      </c>
      <c r="AD21" s="135">
        <v>16</v>
      </c>
      <c r="AE21" s="135">
        <v>12750</v>
      </c>
      <c r="AF21" s="135">
        <v>797.1</v>
      </c>
      <c r="AG21" s="135">
        <v>1.25</v>
      </c>
      <c r="AH21" s="135">
        <v>16.7</v>
      </c>
      <c r="AI21" s="135">
        <v>5200</v>
      </c>
      <c r="AJ21" s="135">
        <v>311.10000000000002</v>
      </c>
      <c r="AK21" s="135">
        <v>3.21</v>
      </c>
      <c r="AL21" s="135">
        <v>16</v>
      </c>
      <c r="AM21" s="135">
        <v>7600</v>
      </c>
      <c r="AN21" s="135">
        <v>475.1</v>
      </c>
      <c r="AO21" s="135">
        <v>2.1</v>
      </c>
      <c r="AP21" s="135"/>
      <c r="AQ21" s="135"/>
      <c r="AR21" s="135"/>
      <c r="AS21" s="135"/>
      <c r="AT21" s="135"/>
      <c r="AU21" s="135"/>
      <c r="AV21" s="135"/>
      <c r="AW21" s="135"/>
      <c r="AX21" s="135">
        <v>16</v>
      </c>
      <c r="AY21" s="135">
        <v>33</v>
      </c>
      <c r="AZ21" s="135">
        <v>2.1</v>
      </c>
      <c r="BA21" s="135">
        <v>0.48</v>
      </c>
      <c r="BB21" s="135"/>
      <c r="BC21" s="135"/>
      <c r="BD21" s="135"/>
      <c r="BE21" s="135"/>
      <c r="BF21" s="135">
        <v>16.7</v>
      </c>
      <c r="BG21" s="135">
        <v>10200</v>
      </c>
      <c r="BH21" s="135">
        <v>610.29999999999995</v>
      </c>
      <c r="BI21" s="135">
        <v>1.64</v>
      </c>
      <c r="BJ21" s="135">
        <v>44</v>
      </c>
      <c r="BK21" s="135">
        <v>-4.5</v>
      </c>
      <c r="BL21" s="135">
        <v>24.25</v>
      </c>
    </row>
    <row r="22" spans="1:64" x14ac:dyDescent="0.3">
      <c r="A22" s="135">
        <v>2016</v>
      </c>
      <c r="B22" s="135">
        <v>4</v>
      </c>
      <c r="C22" s="135" t="s">
        <v>1991</v>
      </c>
      <c r="D22" s="135" t="s">
        <v>42</v>
      </c>
      <c r="E22" s="135" t="s">
        <v>405</v>
      </c>
      <c r="F22" s="135" t="s">
        <v>43</v>
      </c>
      <c r="G22" s="135" t="s">
        <v>30</v>
      </c>
      <c r="H22" s="135">
        <v>7.77</v>
      </c>
      <c r="I22" s="135">
        <v>15.163</v>
      </c>
      <c r="J22" s="135">
        <v>15.163</v>
      </c>
      <c r="K22" s="135">
        <v>19.405999999999999</v>
      </c>
      <c r="L22" s="135">
        <v>33.570999999999998</v>
      </c>
      <c r="M22" s="135">
        <v>247.1</v>
      </c>
      <c r="N22" s="135">
        <v>1.45</v>
      </c>
      <c r="O22" s="135">
        <v>0.83599999999999997</v>
      </c>
      <c r="P22" s="135">
        <v>2.7669999999999999</v>
      </c>
      <c r="Q22" s="135">
        <v>8.2739999999999991</v>
      </c>
      <c r="R22" s="135">
        <v>0.125</v>
      </c>
      <c r="S22" s="135">
        <v>0</v>
      </c>
      <c r="T22" s="135">
        <v>0</v>
      </c>
      <c r="U22" s="135">
        <v>0</v>
      </c>
      <c r="V22" s="135">
        <v>0.21299999999999999</v>
      </c>
      <c r="W22" s="135">
        <v>0</v>
      </c>
      <c r="X22" s="135">
        <v>0</v>
      </c>
      <c r="Y22" s="135" t="s">
        <v>1983</v>
      </c>
      <c r="Z22" s="135">
        <v>17.399999999999999</v>
      </c>
      <c r="AA22" s="135">
        <v>5850</v>
      </c>
      <c r="AB22" s="135">
        <v>335.8</v>
      </c>
      <c r="AC22" s="135">
        <v>2.98</v>
      </c>
      <c r="AD22" s="135">
        <v>16</v>
      </c>
      <c r="AE22" s="135">
        <v>14600</v>
      </c>
      <c r="AF22" s="135">
        <v>912.5</v>
      </c>
      <c r="AG22" s="135">
        <v>1.1000000000000001</v>
      </c>
      <c r="AH22" s="135">
        <v>16.8</v>
      </c>
      <c r="AI22" s="135">
        <v>5800</v>
      </c>
      <c r="AJ22" s="135">
        <v>346.1</v>
      </c>
      <c r="AK22" s="135">
        <v>2.89</v>
      </c>
      <c r="AL22" s="135">
        <v>16</v>
      </c>
      <c r="AM22" s="135">
        <v>7300</v>
      </c>
      <c r="AN22" s="135">
        <v>456.3</v>
      </c>
      <c r="AO22" s="135">
        <v>2.19</v>
      </c>
      <c r="AP22" s="135"/>
      <c r="AQ22" s="135"/>
      <c r="AR22" s="135"/>
      <c r="AS22" s="135"/>
      <c r="AT22" s="135"/>
      <c r="AU22" s="135"/>
      <c r="AV22" s="135"/>
      <c r="AW22" s="135"/>
      <c r="AX22" s="135">
        <v>16</v>
      </c>
      <c r="AY22" s="135">
        <v>29</v>
      </c>
      <c r="AZ22" s="135">
        <v>1.8</v>
      </c>
      <c r="BA22" s="135">
        <v>0.55000000000000004</v>
      </c>
      <c r="BB22" s="135"/>
      <c r="BC22" s="135"/>
      <c r="BD22" s="135"/>
      <c r="BE22" s="135"/>
      <c r="BF22" s="135">
        <v>16.8</v>
      </c>
      <c r="BG22" s="135">
        <v>11000</v>
      </c>
      <c r="BH22" s="135">
        <v>656.5</v>
      </c>
      <c r="BI22" s="135">
        <v>1.52</v>
      </c>
      <c r="BJ22" s="135">
        <v>40.5</v>
      </c>
      <c r="BK22" s="135">
        <v>-6.5</v>
      </c>
      <c r="BL22" s="135">
        <v>23.5</v>
      </c>
    </row>
    <row r="23" spans="1:64" x14ac:dyDescent="0.3">
      <c r="A23" s="135">
        <v>2016</v>
      </c>
      <c r="B23" s="135">
        <v>4</v>
      </c>
      <c r="C23" s="135" t="s">
        <v>1996</v>
      </c>
      <c r="D23" s="135" t="s">
        <v>38</v>
      </c>
      <c r="E23" s="135" t="s">
        <v>405</v>
      </c>
      <c r="F23" s="135" t="s">
        <v>41</v>
      </c>
      <c r="G23" s="135" t="s">
        <v>37</v>
      </c>
      <c r="H23" s="135">
        <v>9.6199999999999992</v>
      </c>
      <c r="I23" s="135">
        <v>15.032</v>
      </c>
      <c r="J23" s="135">
        <v>15.032</v>
      </c>
      <c r="K23" s="135">
        <v>22.268999999999998</v>
      </c>
      <c r="L23" s="135">
        <v>36.582000000000001</v>
      </c>
      <c r="M23" s="135">
        <v>256.07</v>
      </c>
      <c r="N23" s="135">
        <v>1.6819999999999999</v>
      </c>
      <c r="O23" s="135">
        <v>0.83299999999999996</v>
      </c>
      <c r="P23" s="135">
        <v>0.64100000000000001</v>
      </c>
      <c r="Q23" s="135">
        <v>1.696</v>
      </c>
      <c r="R23" s="135">
        <v>0</v>
      </c>
      <c r="S23" s="135">
        <v>0</v>
      </c>
      <c r="T23" s="135">
        <v>0</v>
      </c>
      <c r="U23" s="135">
        <v>0</v>
      </c>
      <c r="V23" s="135">
        <v>0.221</v>
      </c>
      <c r="W23" s="135">
        <v>0</v>
      </c>
      <c r="X23" s="135">
        <v>0</v>
      </c>
      <c r="Y23" s="135" t="s">
        <v>1983</v>
      </c>
      <c r="Z23" s="135">
        <v>17.399999999999999</v>
      </c>
      <c r="AA23" s="135">
        <v>5750</v>
      </c>
      <c r="AB23" s="135">
        <v>331</v>
      </c>
      <c r="AC23" s="135">
        <v>3.02</v>
      </c>
      <c r="AD23" s="135">
        <v>15.9</v>
      </c>
      <c r="AE23" s="135">
        <v>14700</v>
      </c>
      <c r="AF23" s="135">
        <v>926.5</v>
      </c>
      <c r="AG23" s="135">
        <v>1.08</v>
      </c>
      <c r="AH23" s="135">
        <v>16.600000000000001</v>
      </c>
      <c r="AI23" s="135">
        <v>5100</v>
      </c>
      <c r="AJ23" s="135">
        <v>307.10000000000002</v>
      </c>
      <c r="AK23" s="135">
        <v>3.26</v>
      </c>
      <c r="AL23" s="135">
        <v>15.9</v>
      </c>
      <c r="AM23" s="135">
        <v>7100</v>
      </c>
      <c r="AN23" s="135">
        <v>447.5</v>
      </c>
      <c r="AO23" s="135">
        <v>2.23</v>
      </c>
      <c r="AP23" s="135"/>
      <c r="AQ23" s="135"/>
      <c r="AR23" s="135"/>
      <c r="AS23" s="135"/>
      <c r="AT23" s="135"/>
      <c r="AU23" s="135"/>
      <c r="AV23" s="135"/>
      <c r="AW23" s="135"/>
      <c r="AX23" s="135">
        <v>15.9</v>
      </c>
      <c r="AY23" s="135">
        <v>31</v>
      </c>
      <c r="AZ23" s="135">
        <v>2</v>
      </c>
      <c r="BA23" s="135">
        <v>0.51</v>
      </c>
      <c r="BB23" s="135"/>
      <c r="BC23" s="135"/>
      <c r="BD23" s="135"/>
      <c r="BE23" s="135"/>
      <c r="BF23" s="135">
        <v>16.600000000000001</v>
      </c>
      <c r="BG23" s="135">
        <v>10100</v>
      </c>
      <c r="BH23" s="135">
        <v>608.1</v>
      </c>
      <c r="BI23" s="135">
        <v>1.64</v>
      </c>
      <c r="BJ23" s="135">
        <v>43.5</v>
      </c>
      <c r="BK23" s="135">
        <v>-4</v>
      </c>
      <c r="BL23" s="135">
        <v>23.75</v>
      </c>
    </row>
    <row r="24" spans="1:64" x14ac:dyDescent="0.3">
      <c r="A24" s="135">
        <v>2016</v>
      </c>
      <c r="B24" s="135">
        <v>4</v>
      </c>
      <c r="C24" s="135" t="s">
        <v>1989</v>
      </c>
      <c r="D24" s="135" t="s">
        <v>9</v>
      </c>
      <c r="E24" s="135" t="s">
        <v>405</v>
      </c>
      <c r="F24" s="135" t="s">
        <v>10</v>
      </c>
      <c r="G24" s="135" t="s">
        <v>1992</v>
      </c>
      <c r="H24" s="135">
        <v>17.66</v>
      </c>
      <c r="I24" s="135">
        <v>15</v>
      </c>
      <c r="J24" s="135">
        <v>15</v>
      </c>
      <c r="K24" s="135">
        <v>19.577999999999999</v>
      </c>
      <c r="L24" s="135">
        <v>32.465000000000003</v>
      </c>
      <c r="M24" s="135">
        <v>212.71</v>
      </c>
      <c r="N24" s="135">
        <v>1.1619999999999999</v>
      </c>
      <c r="O24" s="135">
        <v>1.0569999999999999</v>
      </c>
      <c r="P24" s="135">
        <v>6.5940000000000003</v>
      </c>
      <c r="Q24" s="135">
        <v>32.558999999999997</v>
      </c>
      <c r="R24" s="135">
        <v>0.20599999999999999</v>
      </c>
      <c r="S24" s="135">
        <v>0</v>
      </c>
      <c r="T24" s="135">
        <v>0</v>
      </c>
      <c r="U24" s="135">
        <v>0</v>
      </c>
      <c r="V24" s="135">
        <v>0.26700000000000002</v>
      </c>
      <c r="W24" s="135">
        <v>0</v>
      </c>
      <c r="X24" s="135">
        <v>0</v>
      </c>
      <c r="Y24" s="135" t="s">
        <v>1983</v>
      </c>
      <c r="Z24" s="135">
        <v>16.899999999999999</v>
      </c>
      <c r="AA24" s="135">
        <v>5900</v>
      </c>
      <c r="AB24" s="135">
        <v>349.9</v>
      </c>
      <c r="AC24" s="135">
        <v>2.86</v>
      </c>
      <c r="AD24" s="135">
        <v>16.100000000000001</v>
      </c>
      <c r="AE24" s="135">
        <v>15100</v>
      </c>
      <c r="AF24" s="135">
        <v>940.4</v>
      </c>
      <c r="AG24" s="135">
        <v>1.06</v>
      </c>
      <c r="AH24" s="135">
        <v>16.899999999999999</v>
      </c>
      <c r="AI24" s="135">
        <v>5400</v>
      </c>
      <c r="AJ24" s="135">
        <v>318.7</v>
      </c>
      <c r="AK24" s="135">
        <v>3.14</v>
      </c>
      <c r="AL24" s="135">
        <v>16.100000000000001</v>
      </c>
      <c r="AM24" s="135">
        <v>7600</v>
      </c>
      <c r="AN24" s="135">
        <v>473.3</v>
      </c>
      <c r="AO24" s="135">
        <v>2.11</v>
      </c>
      <c r="AP24" s="135"/>
      <c r="AQ24" s="135"/>
      <c r="AR24" s="135"/>
      <c r="AS24" s="135"/>
      <c r="AT24" s="135"/>
      <c r="AU24" s="135"/>
      <c r="AV24" s="135"/>
      <c r="AW24" s="135"/>
      <c r="AX24" s="135">
        <v>16.100000000000001</v>
      </c>
      <c r="AY24" s="135">
        <v>26</v>
      </c>
      <c r="AZ24" s="135">
        <v>1.6</v>
      </c>
      <c r="BA24" s="135">
        <v>0.62</v>
      </c>
      <c r="BB24" s="135"/>
      <c r="BC24" s="135"/>
      <c r="BD24" s="135"/>
      <c r="BE24" s="135"/>
      <c r="BF24" s="135">
        <v>16.899999999999999</v>
      </c>
      <c r="BG24" s="135">
        <v>10600</v>
      </c>
      <c r="BH24" s="135">
        <v>625.6</v>
      </c>
      <c r="BI24" s="135">
        <v>1.6</v>
      </c>
      <c r="BJ24" s="135">
        <v>44</v>
      </c>
      <c r="BK24" s="135">
        <v>4.5</v>
      </c>
      <c r="BL24" s="135">
        <v>19.75</v>
      </c>
    </row>
    <row r="25" spans="1:64" x14ac:dyDescent="0.3">
      <c r="A25" s="135">
        <v>2016</v>
      </c>
      <c r="B25" s="135">
        <v>4</v>
      </c>
      <c r="C25" s="135" t="s">
        <v>1971</v>
      </c>
      <c r="D25" s="135" t="s">
        <v>36</v>
      </c>
      <c r="E25" s="135" t="s">
        <v>405</v>
      </c>
      <c r="F25" s="135" t="s">
        <v>37</v>
      </c>
      <c r="G25" s="135" t="s">
        <v>2304</v>
      </c>
      <c r="H25" s="135">
        <v>11.6</v>
      </c>
      <c r="I25" s="135">
        <v>14.965999999999999</v>
      </c>
      <c r="J25" s="135">
        <v>14.965999999999999</v>
      </c>
      <c r="K25" s="135">
        <v>23.033000000000001</v>
      </c>
      <c r="L25" s="135">
        <v>36.343000000000004</v>
      </c>
      <c r="M25" s="135">
        <v>260.20999999999998</v>
      </c>
      <c r="N25" s="135">
        <v>1.6419999999999999</v>
      </c>
      <c r="O25" s="135">
        <v>0.89</v>
      </c>
      <c r="P25" s="135">
        <v>0.82799999999999996</v>
      </c>
      <c r="Q25" s="135">
        <v>2.3780000000000001</v>
      </c>
      <c r="R25" s="135">
        <v>8.0000000000000002E-3</v>
      </c>
      <c r="S25" s="135">
        <v>0</v>
      </c>
      <c r="T25" s="135">
        <v>0</v>
      </c>
      <c r="U25" s="135">
        <v>0</v>
      </c>
      <c r="V25" s="135">
        <v>0.25800000000000001</v>
      </c>
      <c r="W25" s="135">
        <v>0</v>
      </c>
      <c r="X25" s="135">
        <v>0</v>
      </c>
      <c r="Y25" s="135" t="s">
        <v>1983</v>
      </c>
      <c r="Z25" s="135">
        <v>17.3</v>
      </c>
      <c r="AA25" s="135">
        <v>6400</v>
      </c>
      <c r="AB25" s="135">
        <v>369.7</v>
      </c>
      <c r="AC25" s="135">
        <v>2.7</v>
      </c>
      <c r="AD25" s="135">
        <v>15.9</v>
      </c>
      <c r="AE25" s="135">
        <v>15200</v>
      </c>
      <c r="AF25" s="135">
        <v>958.6</v>
      </c>
      <c r="AG25" s="135">
        <v>1.04</v>
      </c>
      <c r="AH25" s="135">
        <v>16.600000000000001</v>
      </c>
      <c r="AI25" s="135">
        <v>6100</v>
      </c>
      <c r="AJ25" s="135">
        <v>366.4</v>
      </c>
      <c r="AK25" s="135">
        <v>2.73</v>
      </c>
      <c r="AL25" s="135">
        <v>15.9</v>
      </c>
      <c r="AM25" s="135">
        <v>7500</v>
      </c>
      <c r="AN25" s="135">
        <v>473</v>
      </c>
      <c r="AO25" s="135">
        <v>2.11</v>
      </c>
      <c r="AP25" s="135"/>
      <c r="AQ25" s="135"/>
      <c r="AR25" s="135"/>
      <c r="AS25" s="135"/>
      <c r="AT25" s="135"/>
      <c r="AU25" s="135"/>
      <c r="AV25" s="135"/>
      <c r="AW25" s="135"/>
      <c r="AX25" s="135">
        <v>15.9</v>
      </c>
      <c r="AY25" s="135">
        <v>32</v>
      </c>
      <c r="AZ25" s="135">
        <v>2</v>
      </c>
      <c r="BA25" s="135">
        <v>0.5</v>
      </c>
      <c r="BB25" s="135"/>
      <c r="BC25" s="135"/>
      <c r="BD25" s="135"/>
      <c r="BE25" s="135"/>
      <c r="BF25" s="135">
        <v>16.600000000000001</v>
      </c>
      <c r="BG25" s="135">
        <v>11400</v>
      </c>
      <c r="BH25" s="135">
        <v>684.7</v>
      </c>
      <c r="BI25" s="135">
        <v>1.46</v>
      </c>
      <c r="BJ25" s="135">
        <v>43.5</v>
      </c>
      <c r="BK25" s="135">
        <v>4</v>
      </c>
      <c r="BL25" s="135">
        <v>19.75</v>
      </c>
    </row>
    <row r="26" spans="1:64" x14ac:dyDescent="0.3">
      <c r="A26" s="135">
        <v>2016</v>
      </c>
      <c r="B26" s="135">
        <v>4</v>
      </c>
      <c r="C26" s="135" t="s">
        <v>1993</v>
      </c>
      <c r="D26" s="135" t="s">
        <v>45</v>
      </c>
      <c r="E26" s="135" t="s">
        <v>405</v>
      </c>
      <c r="F26" s="135" t="s">
        <v>46</v>
      </c>
      <c r="G26" s="135" t="s">
        <v>26</v>
      </c>
      <c r="H26" s="135">
        <v>27.36</v>
      </c>
      <c r="I26" s="135">
        <v>14.706</v>
      </c>
      <c r="J26" s="135">
        <v>14.706</v>
      </c>
      <c r="K26" s="135">
        <v>24.016999999999999</v>
      </c>
      <c r="L26" s="135">
        <v>37.152999999999999</v>
      </c>
      <c r="M26" s="135">
        <v>257.40199999999999</v>
      </c>
      <c r="N26" s="135">
        <v>1.59</v>
      </c>
      <c r="O26" s="135">
        <v>1.0309999999999999</v>
      </c>
      <c r="P26" s="135">
        <v>0.55500000000000005</v>
      </c>
      <c r="Q26" s="135">
        <v>1.94</v>
      </c>
      <c r="R26" s="135">
        <v>6.0999999999999999E-2</v>
      </c>
      <c r="S26" s="135">
        <v>0</v>
      </c>
      <c r="T26" s="135">
        <v>0</v>
      </c>
      <c r="U26" s="135">
        <v>0</v>
      </c>
      <c r="V26" s="135">
        <v>0.224</v>
      </c>
      <c r="W26" s="135">
        <v>0</v>
      </c>
      <c r="X26" s="135">
        <v>0</v>
      </c>
      <c r="Y26" s="135" t="s">
        <v>1983</v>
      </c>
      <c r="Z26" s="135">
        <v>17.100000000000001</v>
      </c>
      <c r="AA26" s="135">
        <v>5200</v>
      </c>
      <c r="AB26" s="135">
        <v>304.89999999999998</v>
      </c>
      <c r="AC26" s="135">
        <v>3.28</v>
      </c>
      <c r="AD26" s="135">
        <v>15.7</v>
      </c>
      <c r="AE26" s="135">
        <v>10000</v>
      </c>
      <c r="AF26" s="135">
        <v>635.4</v>
      </c>
      <c r="AG26" s="135">
        <v>1.57</v>
      </c>
      <c r="AH26" s="135">
        <v>16.5</v>
      </c>
      <c r="AI26" s="135">
        <v>5000</v>
      </c>
      <c r="AJ26" s="135">
        <v>303.3</v>
      </c>
      <c r="AK26" s="135">
        <v>3.3</v>
      </c>
      <c r="AL26" s="135">
        <v>15.7</v>
      </c>
      <c r="AM26" s="135">
        <v>6000</v>
      </c>
      <c r="AN26" s="135">
        <v>381.3</v>
      </c>
      <c r="AO26" s="135">
        <v>2.62</v>
      </c>
      <c r="AP26" s="135"/>
      <c r="AQ26" s="135"/>
      <c r="AR26" s="135"/>
      <c r="AS26" s="135"/>
      <c r="AT26" s="135"/>
      <c r="AU26" s="135"/>
      <c r="AV26" s="135"/>
      <c r="AW26" s="135"/>
      <c r="AX26" s="135">
        <v>15.7</v>
      </c>
      <c r="AY26" s="135">
        <v>23</v>
      </c>
      <c r="AZ26" s="135">
        <v>1.5</v>
      </c>
      <c r="BA26" s="135">
        <v>0.68</v>
      </c>
      <c r="BB26" s="135"/>
      <c r="BC26" s="135"/>
      <c r="BD26" s="135"/>
      <c r="BE26" s="135"/>
      <c r="BF26" s="135">
        <v>16.5</v>
      </c>
      <c r="BG26" s="135">
        <v>10000</v>
      </c>
      <c r="BH26" s="135">
        <v>606.5</v>
      </c>
      <c r="BI26" s="135">
        <v>1.65</v>
      </c>
      <c r="BJ26" s="135">
        <v>46.5</v>
      </c>
      <c r="BK26" s="135">
        <v>3</v>
      </c>
      <c r="BL26" s="135">
        <v>21.75</v>
      </c>
    </row>
    <row r="27" spans="1:64" x14ac:dyDescent="0.3">
      <c r="A27" s="135">
        <v>2016</v>
      </c>
      <c r="B27" s="135">
        <v>4</v>
      </c>
      <c r="C27" s="135" t="s">
        <v>2000</v>
      </c>
      <c r="D27" s="135" t="s">
        <v>47</v>
      </c>
      <c r="E27" s="135" t="s">
        <v>405</v>
      </c>
      <c r="F27" s="135" t="s">
        <v>398</v>
      </c>
      <c r="G27" s="135" t="s">
        <v>52</v>
      </c>
      <c r="H27" s="135">
        <v>22.45</v>
      </c>
      <c r="I27" s="135">
        <v>14.542</v>
      </c>
      <c r="J27" s="135">
        <v>14.542</v>
      </c>
      <c r="K27" s="135">
        <v>19.809000000000001</v>
      </c>
      <c r="L27" s="135">
        <v>34.35</v>
      </c>
      <c r="M27" s="135">
        <v>206.1</v>
      </c>
      <c r="N27" s="135">
        <v>1.369</v>
      </c>
      <c r="O27" s="135">
        <v>1.0169999999999999</v>
      </c>
      <c r="P27" s="135">
        <v>4.3920000000000003</v>
      </c>
      <c r="Q27" s="135">
        <v>24.259</v>
      </c>
      <c r="R27" s="135">
        <v>0.14799999999999999</v>
      </c>
      <c r="S27" s="135">
        <v>0</v>
      </c>
      <c r="T27" s="135">
        <v>0</v>
      </c>
      <c r="U27" s="135">
        <v>0</v>
      </c>
      <c r="V27" s="135">
        <v>0.22900000000000001</v>
      </c>
      <c r="W27" s="135">
        <v>0</v>
      </c>
      <c r="X27" s="135">
        <v>0</v>
      </c>
      <c r="Y27" s="135" t="s">
        <v>1983</v>
      </c>
      <c r="Z27" s="135">
        <v>16.399999999999999</v>
      </c>
      <c r="AA27" s="135">
        <v>5000</v>
      </c>
      <c r="AB27" s="135">
        <v>305.39999999999998</v>
      </c>
      <c r="AC27" s="135">
        <v>3.27</v>
      </c>
      <c r="AD27" s="135">
        <v>15.6</v>
      </c>
      <c r="AE27" s="135">
        <v>12050</v>
      </c>
      <c r="AF27" s="135">
        <v>774.5</v>
      </c>
      <c r="AG27" s="135">
        <v>1.29</v>
      </c>
      <c r="AH27" s="135">
        <v>16.3</v>
      </c>
      <c r="AI27" s="135">
        <v>5000</v>
      </c>
      <c r="AJ27" s="135">
        <v>305.89999999999998</v>
      </c>
      <c r="AK27" s="135">
        <v>3.27</v>
      </c>
      <c r="AL27" s="135">
        <v>15.6</v>
      </c>
      <c r="AM27" s="135">
        <v>6400</v>
      </c>
      <c r="AN27" s="135">
        <v>411.3</v>
      </c>
      <c r="AO27" s="135">
        <v>2.4300000000000002</v>
      </c>
      <c r="AP27" s="135"/>
      <c r="AQ27" s="135"/>
      <c r="AR27" s="135"/>
      <c r="AS27" s="135"/>
      <c r="AT27" s="135"/>
      <c r="AU27" s="135"/>
      <c r="AV27" s="135"/>
      <c r="AW27" s="135"/>
      <c r="AX27" s="135">
        <v>15.6</v>
      </c>
      <c r="AY27" s="135">
        <v>23</v>
      </c>
      <c r="AZ27" s="135">
        <v>1.5</v>
      </c>
      <c r="BA27" s="135">
        <v>0.68</v>
      </c>
      <c r="BB27" s="135"/>
      <c r="BC27" s="135"/>
      <c r="BD27" s="135"/>
      <c r="BE27" s="135"/>
      <c r="BF27" s="135">
        <v>16.3</v>
      </c>
      <c r="BG27" s="135">
        <v>10000</v>
      </c>
      <c r="BH27" s="135">
        <v>611.79999999999995</v>
      </c>
      <c r="BI27" s="135">
        <v>1.63</v>
      </c>
      <c r="BJ27" s="135">
        <v>46</v>
      </c>
      <c r="BK27" s="135">
        <v>3</v>
      </c>
      <c r="BL27" s="135">
        <v>21.5</v>
      </c>
    </row>
    <row r="28" spans="1:64" x14ac:dyDescent="0.3">
      <c r="A28" s="135">
        <v>2016</v>
      </c>
      <c r="B28" s="135">
        <v>4</v>
      </c>
      <c r="C28" s="135" t="s">
        <v>1981</v>
      </c>
      <c r="D28" s="135" t="s">
        <v>411</v>
      </c>
      <c r="E28" s="135" t="s">
        <v>405</v>
      </c>
      <c r="F28" s="135" t="s">
        <v>34</v>
      </c>
      <c r="G28" s="135" t="s">
        <v>7</v>
      </c>
      <c r="H28" s="135">
        <v>10.88</v>
      </c>
      <c r="I28" s="135">
        <v>13.728999999999999</v>
      </c>
      <c r="J28" s="135">
        <v>13.728999999999999</v>
      </c>
      <c r="K28" s="135">
        <v>18.184999999999999</v>
      </c>
      <c r="L28" s="135">
        <v>32.570999999999998</v>
      </c>
      <c r="M28" s="135">
        <v>211.94399999999999</v>
      </c>
      <c r="N28" s="135">
        <v>1.411</v>
      </c>
      <c r="O28" s="135">
        <v>1.014</v>
      </c>
      <c r="P28" s="135">
        <v>3.9790000000000001</v>
      </c>
      <c r="Q28" s="135">
        <v>16.916</v>
      </c>
      <c r="R28" s="135">
        <v>0.08</v>
      </c>
      <c r="S28" s="135">
        <v>0</v>
      </c>
      <c r="T28" s="135">
        <v>0</v>
      </c>
      <c r="U28" s="135">
        <v>0</v>
      </c>
      <c r="V28" s="135">
        <v>0.26800000000000002</v>
      </c>
      <c r="W28" s="135">
        <v>0</v>
      </c>
      <c r="X28" s="135">
        <v>0</v>
      </c>
      <c r="Y28" s="135" t="s">
        <v>1995</v>
      </c>
      <c r="Z28" s="135">
        <v>15.6</v>
      </c>
      <c r="AA28" s="135">
        <v>6100</v>
      </c>
      <c r="AB28" s="135">
        <v>391.5</v>
      </c>
      <c r="AC28" s="135">
        <v>2.5499999999999998</v>
      </c>
      <c r="AD28" s="135">
        <v>14.7</v>
      </c>
      <c r="AE28" s="135">
        <v>12500</v>
      </c>
      <c r="AF28" s="135">
        <v>847.8</v>
      </c>
      <c r="AG28" s="135">
        <v>1.18</v>
      </c>
      <c r="AH28" s="135">
        <v>15.5</v>
      </c>
      <c r="AI28" s="135">
        <v>5300</v>
      </c>
      <c r="AJ28" s="135">
        <v>341.1</v>
      </c>
      <c r="AK28" s="135">
        <v>2.93</v>
      </c>
      <c r="AL28" s="135">
        <v>14.7</v>
      </c>
      <c r="AM28" s="135">
        <v>6900</v>
      </c>
      <c r="AN28" s="135">
        <v>468</v>
      </c>
      <c r="AO28" s="135">
        <v>2.14</v>
      </c>
      <c r="AP28" s="135"/>
      <c r="AQ28" s="135"/>
      <c r="AR28" s="135"/>
      <c r="AS28" s="135"/>
      <c r="AT28" s="135"/>
      <c r="AU28" s="135"/>
      <c r="AV28" s="135"/>
      <c r="AW28" s="135"/>
      <c r="AX28" s="135">
        <v>14.7</v>
      </c>
      <c r="AY28" s="135">
        <v>28</v>
      </c>
      <c r="AZ28" s="135">
        <v>1.9</v>
      </c>
      <c r="BA28" s="135">
        <v>0.53</v>
      </c>
      <c r="BB28" s="135"/>
      <c r="BC28" s="135"/>
      <c r="BD28" s="135"/>
      <c r="BE28" s="135"/>
      <c r="BF28" s="135">
        <v>15.5</v>
      </c>
      <c r="BG28" s="135">
        <v>10500</v>
      </c>
      <c r="BH28" s="135">
        <v>675.8</v>
      </c>
      <c r="BI28" s="135">
        <v>1.48</v>
      </c>
      <c r="BJ28" s="135">
        <v>40.5</v>
      </c>
      <c r="BK28" s="135">
        <v>1.5</v>
      </c>
      <c r="BL28" s="135">
        <v>19.5</v>
      </c>
    </row>
    <row r="29" spans="1:64" x14ac:dyDescent="0.3">
      <c r="A29" s="135">
        <v>2016</v>
      </c>
      <c r="B29" s="135">
        <v>4</v>
      </c>
      <c r="C29" s="135" t="s">
        <v>1973</v>
      </c>
      <c r="D29" s="135" t="s">
        <v>29</v>
      </c>
      <c r="E29" s="135" t="s">
        <v>405</v>
      </c>
      <c r="F29" s="135" t="s">
        <v>30</v>
      </c>
      <c r="G29" s="135" t="s">
        <v>2302</v>
      </c>
      <c r="H29" s="135">
        <v>8.77</v>
      </c>
      <c r="I29" s="135">
        <v>12.871</v>
      </c>
      <c r="J29" s="135">
        <v>12.871</v>
      </c>
      <c r="K29" s="135">
        <v>18.195</v>
      </c>
      <c r="L29" s="135">
        <v>31.914999999999999</v>
      </c>
      <c r="M29" s="135">
        <v>207.45</v>
      </c>
      <c r="N29" s="135">
        <v>0.98</v>
      </c>
      <c r="O29" s="135">
        <v>1.0389999999999999</v>
      </c>
      <c r="P29" s="135">
        <v>3.5979999999999999</v>
      </c>
      <c r="Q29" s="135">
        <v>25.713999999999999</v>
      </c>
      <c r="R29" s="135">
        <v>9.6000000000000002E-2</v>
      </c>
      <c r="S29" s="135">
        <v>0</v>
      </c>
      <c r="T29" s="135">
        <v>0</v>
      </c>
      <c r="U29" s="135">
        <v>0</v>
      </c>
      <c r="V29" s="135">
        <v>0.20799999999999999</v>
      </c>
      <c r="W29" s="135">
        <v>0</v>
      </c>
      <c r="X29" s="135">
        <v>0</v>
      </c>
      <c r="Y29" s="135" t="s">
        <v>1995</v>
      </c>
      <c r="Z29" s="135">
        <v>14.7</v>
      </c>
      <c r="AA29" s="135">
        <v>5900</v>
      </c>
      <c r="AB29" s="135">
        <v>400.3</v>
      </c>
      <c r="AC29" s="135">
        <v>2.5</v>
      </c>
      <c r="AD29" s="135">
        <v>13.9</v>
      </c>
      <c r="AE29" s="135">
        <v>12850</v>
      </c>
      <c r="AF29" s="135">
        <v>923.8</v>
      </c>
      <c r="AG29" s="135">
        <v>1.08</v>
      </c>
      <c r="AH29" s="135">
        <v>14.7</v>
      </c>
      <c r="AI29" s="135">
        <v>5500</v>
      </c>
      <c r="AJ29" s="135">
        <v>374.5</v>
      </c>
      <c r="AK29" s="135">
        <v>2.67</v>
      </c>
      <c r="AL29" s="135">
        <v>13.9</v>
      </c>
      <c r="AM29" s="135">
        <v>7400</v>
      </c>
      <c r="AN29" s="135">
        <v>532</v>
      </c>
      <c r="AO29" s="135">
        <v>1.88</v>
      </c>
      <c r="AP29" s="135"/>
      <c r="AQ29" s="135"/>
      <c r="AR29" s="135"/>
      <c r="AS29" s="135"/>
      <c r="AT29" s="135"/>
      <c r="AU29" s="135"/>
      <c r="AV29" s="135"/>
      <c r="AW29" s="135"/>
      <c r="AX29" s="135">
        <v>13.9</v>
      </c>
      <c r="AY29" s="135">
        <v>28</v>
      </c>
      <c r="AZ29" s="135">
        <v>2</v>
      </c>
      <c r="BA29" s="135">
        <v>0.5</v>
      </c>
      <c r="BB29" s="135"/>
      <c r="BC29" s="135"/>
      <c r="BD29" s="135"/>
      <c r="BE29" s="135"/>
      <c r="BF29" s="135">
        <v>14.7</v>
      </c>
      <c r="BG29" s="135">
        <v>10800</v>
      </c>
      <c r="BH29" s="135">
        <v>735.3</v>
      </c>
      <c r="BI29" s="135">
        <v>1.36</v>
      </c>
      <c r="BJ29" s="135">
        <v>40.5</v>
      </c>
      <c r="BK29" s="135">
        <v>6.5</v>
      </c>
      <c r="BL29" s="135">
        <v>17</v>
      </c>
    </row>
    <row r="30" spans="1:64" x14ac:dyDescent="0.3">
      <c r="A30" s="135">
        <v>2016</v>
      </c>
      <c r="B30" s="135">
        <v>4</v>
      </c>
      <c r="C30" s="135" t="s">
        <v>2002</v>
      </c>
      <c r="D30" s="135" t="s">
        <v>445</v>
      </c>
      <c r="E30" s="135" t="s">
        <v>405</v>
      </c>
      <c r="F30" s="135" t="s">
        <v>14</v>
      </c>
      <c r="G30" s="135" t="s">
        <v>2310</v>
      </c>
      <c r="H30" s="135">
        <v>19.02</v>
      </c>
      <c r="I30" s="135">
        <v>12.051</v>
      </c>
      <c r="J30" s="135">
        <v>12.051</v>
      </c>
      <c r="K30" s="135">
        <v>20.943999999999999</v>
      </c>
      <c r="L30" s="135">
        <v>33.095999999999997</v>
      </c>
      <c r="M30" s="135">
        <v>221.89</v>
      </c>
      <c r="N30" s="135">
        <v>1.167</v>
      </c>
      <c r="O30" s="135">
        <v>1.1120000000000001</v>
      </c>
      <c r="P30" s="135">
        <v>1.1930000000000001</v>
      </c>
      <c r="Q30" s="135">
        <v>6.3959999999999999</v>
      </c>
      <c r="R30" s="135">
        <v>8.2000000000000003E-2</v>
      </c>
      <c r="S30" s="135">
        <v>0</v>
      </c>
      <c r="T30" s="135">
        <v>0</v>
      </c>
      <c r="U30" s="135">
        <v>0</v>
      </c>
      <c r="V30" s="135">
        <v>0.2</v>
      </c>
      <c r="W30" s="135">
        <v>0</v>
      </c>
      <c r="X30" s="135">
        <v>0</v>
      </c>
      <c r="Y30" s="135" t="s">
        <v>1995</v>
      </c>
      <c r="Z30" s="135">
        <v>14.1</v>
      </c>
      <c r="AA30" s="135">
        <v>5100</v>
      </c>
      <c r="AB30" s="135">
        <v>362.5</v>
      </c>
      <c r="AC30" s="135">
        <v>2.76</v>
      </c>
      <c r="AD30" s="135">
        <v>13.2</v>
      </c>
      <c r="AE30" s="135">
        <v>10700</v>
      </c>
      <c r="AF30" s="135">
        <v>812.9</v>
      </c>
      <c r="AG30" s="135">
        <v>1.23</v>
      </c>
      <c r="AH30" s="135">
        <v>13.8</v>
      </c>
      <c r="AI30" s="135">
        <v>5000</v>
      </c>
      <c r="AJ30" s="135">
        <v>361.1</v>
      </c>
      <c r="AK30" s="135">
        <v>2.77</v>
      </c>
      <c r="AL30" s="135">
        <v>13.2</v>
      </c>
      <c r="AM30" s="135">
        <v>6300</v>
      </c>
      <c r="AN30" s="135">
        <v>478.6</v>
      </c>
      <c r="AO30" s="135">
        <v>2.09</v>
      </c>
      <c r="AP30" s="135"/>
      <c r="AQ30" s="135"/>
      <c r="AR30" s="135"/>
      <c r="AS30" s="135"/>
      <c r="AT30" s="135"/>
      <c r="AU30" s="135"/>
      <c r="AV30" s="135"/>
      <c r="AW30" s="135"/>
      <c r="AX30" s="135">
        <v>13.2</v>
      </c>
      <c r="AY30" s="135">
        <v>23</v>
      </c>
      <c r="AZ30" s="135">
        <v>1.7</v>
      </c>
      <c r="BA30" s="135">
        <v>0.56999999999999995</v>
      </c>
      <c r="BB30" s="135"/>
      <c r="BC30" s="135"/>
      <c r="BD30" s="135"/>
      <c r="BE30" s="135"/>
      <c r="BF30" s="135">
        <v>13.8</v>
      </c>
      <c r="BG30" s="135">
        <v>10000</v>
      </c>
      <c r="BH30" s="135">
        <v>722.3</v>
      </c>
      <c r="BI30" s="135">
        <v>1.38</v>
      </c>
      <c r="BJ30" s="135">
        <v>45.5</v>
      </c>
      <c r="BK30" s="135">
        <v>8</v>
      </c>
      <c r="BL30" s="135">
        <v>18.75</v>
      </c>
    </row>
    <row r="31" spans="1:64" x14ac:dyDescent="0.3">
      <c r="A31" s="135">
        <v>2016</v>
      </c>
      <c r="B31" s="135">
        <v>4</v>
      </c>
      <c r="C31" s="135" t="s">
        <v>2004</v>
      </c>
      <c r="D31" s="135" t="s">
        <v>63</v>
      </c>
      <c r="E31" s="135" t="s">
        <v>405</v>
      </c>
      <c r="F31" s="135" t="s">
        <v>409</v>
      </c>
      <c r="G31" s="135" t="s">
        <v>2295</v>
      </c>
      <c r="H31" s="135">
        <v>7.41</v>
      </c>
      <c r="I31" s="135">
        <v>10.798999999999999</v>
      </c>
      <c r="J31" s="135">
        <v>10.798999999999999</v>
      </c>
      <c r="K31" s="135">
        <v>17.736999999999998</v>
      </c>
      <c r="L31" s="135">
        <v>32.505000000000003</v>
      </c>
      <c r="M31" s="135">
        <v>210.28800000000001</v>
      </c>
      <c r="N31" s="135">
        <v>1.0269999999999999</v>
      </c>
      <c r="O31" s="135">
        <v>1.177</v>
      </c>
      <c r="P31" s="135">
        <v>2.9849999999999999</v>
      </c>
      <c r="Q31" s="135">
        <v>9.0139999999999993</v>
      </c>
      <c r="R31" s="135">
        <v>3.7999999999999999E-2</v>
      </c>
      <c r="S31" s="135">
        <v>0</v>
      </c>
      <c r="T31" s="135">
        <v>0</v>
      </c>
      <c r="U31" s="135">
        <v>0</v>
      </c>
      <c r="V31" s="135">
        <v>0.248</v>
      </c>
      <c r="W31" s="135">
        <v>0</v>
      </c>
      <c r="X31" s="135">
        <v>0</v>
      </c>
      <c r="Y31" s="135" t="s">
        <v>1995</v>
      </c>
      <c r="Z31" s="135">
        <v>12.7</v>
      </c>
      <c r="AA31" s="135">
        <v>5000</v>
      </c>
      <c r="AB31" s="135">
        <v>395.1</v>
      </c>
      <c r="AC31" s="135">
        <v>2.5299999999999998</v>
      </c>
      <c r="AD31" s="135">
        <v>12</v>
      </c>
      <c r="AE31" s="135">
        <v>10800</v>
      </c>
      <c r="AF31" s="135">
        <v>901.8</v>
      </c>
      <c r="AG31" s="135">
        <v>1.1100000000000001</v>
      </c>
      <c r="AH31" s="135">
        <v>12.7</v>
      </c>
      <c r="AI31" s="135">
        <v>5000</v>
      </c>
      <c r="AJ31" s="135">
        <v>393.7</v>
      </c>
      <c r="AK31" s="135">
        <v>2.54</v>
      </c>
      <c r="AL31" s="135">
        <v>12</v>
      </c>
      <c r="AM31" s="135">
        <v>6500</v>
      </c>
      <c r="AN31" s="135">
        <v>542.79999999999995</v>
      </c>
      <c r="AO31" s="135">
        <v>1.84</v>
      </c>
      <c r="AP31" s="135"/>
      <c r="AQ31" s="135"/>
      <c r="AR31" s="135"/>
      <c r="AS31" s="135"/>
      <c r="AT31" s="135"/>
      <c r="AU31" s="135"/>
      <c r="AV31" s="135"/>
      <c r="AW31" s="135"/>
      <c r="AX31" s="135">
        <v>12</v>
      </c>
      <c r="AY31" s="135">
        <v>22</v>
      </c>
      <c r="AZ31" s="135">
        <v>1.8</v>
      </c>
      <c r="BA31" s="135">
        <v>0.54</v>
      </c>
      <c r="BB31" s="135"/>
      <c r="BC31" s="135"/>
      <c r="BD31" s="135"/>
      <c r="BE31" s="135"/>
      <c r="BF31" s="135">
        <v>12.7</v>
      </c>
      <c r="BG31" s="135">
        <v>10000</v>
      </c>
      <c r="BH31" s="135">
        <v>787.5</v>
      </c>
      <c r="BI31" s="135">
        <v>1.27</v>
      </c>
      <c r="BJ31" s="135">
        <v>43</v>
      </c>
      <c r="BK31" s="135">
        <v>8</v>
      </c>
      <c r="BL31" s="135">
        <v>17.5</v>
      </c>
    </row>
    <row r="32" spans="1:64" x14ac:dyDescent="0.3">
      <c r="A32" s="135">
        <v>2016</v>
      </c>
      <c r="B32" s="135">
        <v>3</v>
      </c>
      <c r="C32" s="135" t="s">
        <v>2002</v>
      </c>
      <c r="D32" s="135" t="s">
        <v>445</v>
      </c>
      <c r="E32" s="135" t="s">
        <v>405</v>
      </c>
      <c r="F32" s="135" t="s">
        <v>14</v>
      </c>
      <c r="G32" s="135" t="s">
        <v>2003</v>
      </c>
      <c r="H32" s="135">
        <v>18.07</v>
      </c>
      <c r="I32" s="135">
        <v>11.343</v>
      </c>
      <c r="J32" s="135">
        <v>11.343</v>
      </c>
      <c r="K32" s="135">
        <v>19.774999999999999</v>
      </c>
      <c r="L32" s="135">
        <v>32.374000000000002</v>
      </c>
      <c r="M32" s="135">
        <v>205.33699999999999</v>
      </c>
      <c r="N32" s="135">
        <v>1.091</v>
      </c>
      <c r="O32" s="135">
        <v>1.0940000000000001</v>
      </c>
      <c r="P32" s="313">
        <v>2.4350000000000001</v>
      </c>
      <c r="Q32" s="313">
        <v>11.092000000000001</v>
      </c>
      <c r="R32" s="313">
        <v>5.8000000000000003E-2</v>
      </c>
      <c r="S32" s="313">
        <v>0</v>
      </c>
      <c r="T32" s="313">
        <v>0</v>
      </c>
      <c r="U32" s="313">
        <v>0</v>
      </c>
      <c r="V32" s="313">
        <v>0.252</v>
      </c>
      <c r="W32" s="313">
        <v>0</v>
      </c>
      <c r="X32" s="313">
        <v>0</v>
      </c>
      <c r="Y32" s="313" t="s">
        <v>1995</v>
      </c>
      <c r="Z32" s="313">
        <v>13.1</v>
      </c>
      <c r="AA32" s="313">
        <v>4800</v>
      </c>
      <c r="AB32" s="313">
        <v>365.2</v>
      </c>
      <c r="AC32" s="313">
        <v>2.74</v>
      </c>
      <c r="AD32" s="313">
        <v>12.4</v>
      </c>
      <c r="AE32" s="313">
        <v>10700</v>
      </c>
      <c r="AF32" s="313">
        <v>860.4</v>
      </c>
      <c r="AG32" s="313">
        <v>1.1599999999999999</v>
      </c>
      <c r="AH32" s="313">
        <v>13.2</v>
      </c>
      <c r="AI32" s="313">
        <v>5000</v>
      </c>
      <c r="AJ32" s="313">
        <v>379.8</v>
      </c>
      <c r="AK32" s="313">
        <v>2.63</v>
      </c>
      <c r="AL32" s="313">
        <v>12.4</v>
      </c>
      <c r="AM32" s="313">
        <v>6000</v>
      </c>
      <c r="AN32" s="313">
        <v>482.4</v>
      </c>
      <c r="AO32" s="313">
        <v>2.0699999999999998</v>
      </c>
      <c r="AP32" s="313"/>
      <c r="AQ32" s="313"/>
      <c r="AR32" s="313"/>
      <c r="AS32" s="313"/>
      <c r="AT32" s="313"/>
      <c r="AU32" s="313"/>
      <c r="AV32" s="313"/>
      <c r="AW32" s="313"/>
      <c r="AX32" s="313">
        <v>12.4</v>
      </c>
      <c r="AY32" s="313">
        <v>20</v>
      </c>
      <c r="AZ32" s="313">
        <v>1.6</v>
      </c>
      <c r="BA32" s="313">
        <v>0.62</v>
      </c>
      <c r="BB32" s="313"/>
      <c r="BC32" s="313"/>
      <c r="BD32" s="313"/>
      <c r="BE32" s="313"/>
      <c r="BF32" s="313">
        <v>13.2</v>
      </c>
      <c r="BG32" s="313">
        <v>10000</v>
      </c>
      <c r="BH32" s="313">
        <v>759.5</v>
      </c>
      <c r="BI32" s="313">
        <v>1.32</v>
      </c>
      <c r="BJ32" s="313">
        <v>41.5</v>
      </c>
      <c r="BK32" s="313">
        <v>9.5</v>
      </c>
      <c r="BL32" s="313">
        <v>16</v>
      </c>
    </row>
    <row r="33" spans="1:64" x14ac:dyDescent="0.3">
      <c r="A33" s="135">
        <v>2016</v>
      </c>
      <c r="B33" s="135">
        <v>3</v>
      </c>
      <c r="C33" s="135" t="s">
        <v>2004</v>
      </c>
      <c r="D33" s="135" t="s">
        <v>63</v>
      </c>
      <c r="E33" s="135" t="s">
        <v>405</v>
      </c>
      <c r="F33" s="135" t="s">
        <v>409</v>
      </c>
      <c r="G33" s="135" t="s">
        <v>2005</v>
      </c>
      <c r="H33" s="135">
        <v>16.41</v>
      </c>
      <c r="I33" s="135">
        <v>11.252000000000001</v>
      </c>
      <c r="J33" s="135">
        <v>11.252000000000001</v>
      </c>
      <c r="K33" s="135">
        <v>20.027000000000001</v>
      </c>
      <c r="L33" s="135">
        <v>31.946000000000002</v>
      </c>
      <c r="M33" s="135">
        <v>208.12700000000001</v>
      </c>
      <c r="N33" s="135">
        <v>1.101</v>
      </c>
      <c r="O33" s="135">
        <v>1.042</v>
      </c>
      <c r="P33" s="313">
        <v>2.996</v>
      </c>
      <c r="Q33" s="313">
        <v>8.5869999999999997</v>
      </c>
      <c r="R33" s="313">
        <v>0.04</v>
      </c>
      <c r="S33" s="313">
        <v>0</v>
      </c>
      <c r="T33" s="313">
        <v>0</v>
      </c>
      <c r="U33" s="313">
        <v>0</v>
      </c>
      <c r="V33" s="313">
        <v>0.246</v>
      </c>
      <c r="W33" s="313">
        <v>0</v>
      </c>
      <c r="X33" s="313">
        <v>0</v>
      </c>
      <c r="Y33" s="313" t="s">
        <v>1995</v>
      </c>
      <c r="Z33" s="313">
        <v>13.1</v>
      </c>
      <c r="AA33" s="313">
        <v>5150</v>
      </c>
      <c r="AB33" s="313">
        <v>393.5</v>
      </c>
      <c r="AC33" s="313">
        <v>2.54</v>
      </c>
      <c r="AD33" s="313">
        <v>12.3</v>
      </c>
      <c r="AE33" s="313">
        <v>10800</v>
      </c>
      <c r="AF33" s="313">
        <v>878.5</v>
      </c>
      <c r="AG33" s="313">
        <v>1.1399999999999999</v>
      </c>
      <c r="AH33" s="313">
        <v>13</v>
      </c>
      <c r="AI33" s="313">
        <v>5000</v>
      </c>
      <c r="AJ33" s="313">
        <v>384.4</v>
      </c>
      <c r="AK33" s="313">
        <v>2.6</v>
      </c>
      <c r="AL33" s="313">
        <v>12.3</v>
      </c>
      <c r="AM33" s="313">
        <v>6700</v>
      </c>
      <c r="AN33" s="313">
        <v>545</v>
      </c>
      <c r="AO33" s="313">
        <v>1.83</v>
      </c>
      <c r="AP33" s="313"/>
      <c r="AQ33" s="313"/>
      <c r="AR33" s="313"/>
      <c r="AS33" s="313"/>
      <c r="AT33" s="313"/>
      <c r="AU33" s="313"/>
      <c r="AV33" s="313"/>
      <c r="AW33" s="313"/>
      <c r="AX33" s="313">
        <v>12.3</v>
      </c>
      <c r="AY33" s="313">
        <v>21</v>
      </c>
      <c r="AZ33" s="313">
        <v>1.7</v>
      </c>
      <c r="BA33" s="313">
        <v>0.59</v>
      </c>
      <c r="BB33" s="313"/>
      <c r="BC33" s="313"/>
      <c r="BD33" s="313"/>
      <c r="BE33" s="313"/>
      <c r="BF33" s="313">
        <v>13</v>
      </c>
      <c r="BG33" s="313">
        <v>10000</v>
      </c>
      <c r="BH33" s="313">
        <v>768.8</v>
      </c>
      <c r="BI33" s="313">
        <v>1.3</v>
      </c>
      <c r="BJ33" s="313">
        <v>42</v>
      </c>
      <c r="BK33" s="313">
        <v>4.5</v>
      </c>
      <c r="BL33" s="313">
        <v>18.75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33"/>
  <sheetViews>
    <sheetView workbookViewId="0">
      <selection activeCell="E20" sqref="A2:M33"/>
    </sheetView>
  </sheetViews>
  <sheetFormatPr defaultRowHeight="14.4" x14ac:dyDescent="0.3"/>
  <cols>
    <col min="1" max="1" width="18.21875" bestFit="1" customWidth="1"/>
    <col min="2" max="2" width="8.109375" bestFit="1" customWidth="1"/>
    <col min="3" max="3" width="6.44140625" bestFit="1" customWidth="1"/>
    <col min="4" max="4" width="14.5546875" bestFit="1" customWidth="1"/>
    <col min="5" max="5" width="12.109375" bestFit="1" customWidth="1"/>
    <col min="6" max="6" width="14.21875" bestFit="1" customWidth="1"/>
    <col min="7" max="7" width="11.77734375" bestFit="1" customWidth="1"/>
    <col min="8" max="8" width="8" bestFit="1" customWidth="1"/>
    <col min="9" max="9" width="14.77734375" bestFit="1" customWidth="1"/>
    <col min="10" max="10" width="12.109375" bestFit="1" customWidth="1"/>
    <col min="11" max="11" width="13.44140625" bestFit="1" customWidth="1"/>
  </cols>
  <sheetData>
    <row r="1" spans="1:13" x14ac:dyDescent="0.3">
      <c r="A1" t="s">
        <v>1</v>
      </c>
      <c r="B1" t="s">
        <v>387</v>
      </c>
      <c r="C1" t="s">
        <v>413</v>
      </c>
      <c r="D1" s="28" t="s">
        <v>746</v>
      </c>
      <c r="E1" s="28" t="s">
        <v>747</v>
      </c>
      <c r="F1" s="28" t="s">
        <v>748</v>
      </c>
      <c r="G1" s="28" t="s">
        <v>602</v>
      </c>
      <c r="H1" s="29" t="s">
        <v>756</v>
      </c>
      <c r="I1" s="28" t="s">
        <v>423</v>
      </c>
      <c r="J1" s="28" t="s">
        <v>424</v>
      </c>
      <c r="K1" s="28" t="s">
        <v>0</v>
      </c>
      <c r="L1" s="28" t="s">
        <v>1347</v>
      </c>
      <c r="M1" s="28" t="s">
        <v>1543</v>
      </c>
    </row>
    <row r="2" spans="1:13" x14ac:dyDescent="0.3">
      <c r="A2" s="135" t="s">
        <v>21</v>
      </c>
      <c r="B2" s="135" t="s">
        <v>22</v>
      </c>
      <c r="C2" s="135" t="s">
        <v>405</v>
      </c>
      <c r="D2" s="135">
        <v>19.100000000000001</v>
      </c>
      <c r="E2" s="135">
        <v>32.4</v>
      </c>
      <c r="F2" s="135">
        <v>244</v>
      </c>
      <c r="G2" s="135">
        <v>1.8</v>
      </c>
      <c r="H2" s="135" t="s">
        <v>760</v>
      </c>
      <c r="I2" s="135">
        <v>42.1</v>
      </c>
      <c r="J2" s="135" t="s">
        <v>760</v>
      </c>
      <c r="K2" s="135">
        <v>24.2</v>
      </c>
      <c r="L2" s="135" t="s">
        <v>1661</v>
      </c>
      <c r="M2" s="135">
        <v>2.6</v>
      </c>
    </row>
    <row r="3" spans="1:13" x14ac:dyDescent="0.3">
      <c r="A3" s="135" t="s">
        <v>8</v>
      </c>
      <c r="B3" s="135" t="s">
        <v>404</v>
      </c>
      <c r="C3" s="135" t="s">
        <v>405</v>
      </c>
      <c r="D3" s="135">
        <v>29.8</v>
      </c>
      <c r="E3" s="135">
        <v>46.1</v>
      </c>
      <c r="F3" s="135">
        <v>363.1</v>
      </c>
      <c r="G3" s="135">
        <v>2.2999999999999998</v>
      </c>
      <c r="H3" s="135">
        <v>1</v>
      </c>
      <c r="I3" s="135">
        <v>4.9000000000000004</v>
      </c>
      <c r="J3" s="135" t="s">
        <v>759</v>
      </c>
      <c r="K3" s="135">
        <v>23.8</v>
      </c>
      <c r="L3" s="135" t="s">
        <v>1616</v>
      </c>
      <c r="M3" s="135">
        <v>2.77</v>
      </c>
    </row>
    <row r="4" spans="1:13" x14ac:dyDescent="0.3">
      <c r="A4" s="135" t="s">
        <v>25</v>
      </c>
      <c r="B4" s="135" t="s">
        <v>26</v>
      </c>
      <c r="C4" s="135" t="s">
        <v>405</v>
      </c>
      <c r="D4" s="135">
        <v>26.8</v>
      </c>
      <c r="E4" s="135">
        <v>40.5</v>
      </c>
      <c r="F4" s="135">
        <v>303.10000000000002</v>
      </c>
      <c r="G4" s="135">
        <v>2.2000000000000002</v>
      </c>
      <c r="H4" s="135" t="s">
        <v>754</v>
      </c>
      <c r="I4" s="135">
        <v>7.5</v>
      </c>
      <c r="J4" s="135" t="s">
        <v>759</v>
      </c>
      <c r="K4" s="135">
        <v>21.4</v>
      </c>
      <c r="L4" s="135" t="s">
        <v>2550</v>
      </c>
      <c r="M4" s="135">
        <v>2.58</v>
      </c>
    </row>
    <row r="5" spans="1:13" x14ac:dyDescent="0.3">
      <c r="A5" s="135" t="s">
        <v>15</v>
      </c>
      <c r="B5" s="135" t="s">
        <v>16</v>
      </c>
      <c r="C5" s="135" t="s">
        <v>405</v>
      </c>
      <c r="D5" s="135">
        <v>25.3</v>
      </c>
      <c r="E5" s="135">
        <v>43.2</v>
      </c>
      <c r="F5" s="135">
        <v>288.89999999999998</v>
      </c>
      <c r="G5" s="135">
        <v>2</v>
      </c>
      <c r="H5" s="135">
        <v>1.2</v>
      </c>
      <c r="I5" s="135">
        <v>17.3</v>
      </c>
      <c r="J5" s="135" t="s">
        <v>761</v>
      </c>
      <c r="K5" s="135">
        <v>21.3</v>
      </c>
      <c r="L5" s="135" t="s">
        <v>1633</v>
      </c>
      <c r="M5" s="135">
        <v>2.39</v>
      </c>
    </row>
    <row r="6" spans="1:13" x14ac:dyDescent="0.3">
      <c r="A6" s="135" t="s">
        <v>19</v>
      </c>
      <c r="B6" s="135" t="s">
        <v>20</v>
      </c>
      <c r="C6" s="135" t="s">
        <v>405</v>
      </c>
      <c r="D6" s="135">
        <v>27.2</v>
      </c>
      <c r="E6" s="135">
        <v>45.7</v>
      </c>
      <c r="F6" s="135">
        <v>306.2</v>
      </c>
      <c r="G6" s="135">
        <v>2</v>
      </c>
      <c r="H6" s="135">
        <v>1.5</v>
      </c>
      <c r="I6" s="135">
        <v>11.4</v>
      </c>
      <c r="J6" s="135" t="s">
        <v>761</v>
      </c>
      <c r="K6" s="135">
        <v>21.1</v>
      </c>
      <c r="L6" s="135" t="s">
        <v>1620</v>
      </c>
      <c r="M6" s="135">
        <v>2.5099999999999998</v>
      </c>
    </row>
    <row r="7" spans="1:13" x14ac:dyDescent="0.3">
      <c r="A7" s="135" t="s">
        <v>27</v>
      </c>
      <c r="B7" s="135" t="s">
        <v>28</v>
      </c>
      <c r="C7" s="135" t="s">
        <v>405</v>
      </c>
      <c r="D7" s="135">
        <v>22.6</v>
      </c>
      <c r="E7" s="135">
        <v>35.6</v>
      </c>
      <c r="F7" s="135">
        <v>268.60000000000002</v>
      </c>
      <c r="G7" s="135">
        <v>2.1</v>
      </c>
      <c r="H7" s="135" t="s">
        <v>763</v>
      </c>
      <c r="I7" s="135">
        <v>14.2</v>
      </c>
      <c r="J7" s="135" t="s">
        <v>759</v>
      </c>
      <c r="K7" s="135">
        <v>20.5</v>
      </c>
      <c r="L7" s="135" t="s">
        <v>1613</v>
      </c>
      <c r="M7" s="135">
        <v>2.7</v>
      </c>
    </row>
    <row r="8" spans="1:13" x14ac:dyDescent="0.3">
      <c r="A8" s="135" t="s">
        <v>23</v>
      </c>
      <c r="B8" s="135" t="s">
        <v>24</v>
      </c>
      <c r="C8" s="135" t="s">
        <v>405</v>
      </c>
      <c r="D8" s="135">
        <v>27.4</v>
      </c>
      <c r="E8" s="135">
        <v>44.5</v>
      </c>
      <c r="F8" s="135">
        <v>311.89999999999998</v>
      </c>
      <c r="G8" s="135">
        <v>2</v>
      </c>
      <c r="H8" s="135">
        <v>1.3</v>
      </c>
      <c r="I8" s="135">
        <v>5.0999999999999996</v>
      </c>
      <c r="J8" s="135" t="s">
        <v>759</v>
      </c>
      <c r="K8" s="135">
        <v>20.3</v>
      </c>
      <c r="L8" s="135" t="s">
        <v>1662</v>
      </c>
      <c r="M8" s="135">
        <v>2.54</v>
      </c>
    </row>
    <row r="9" spans="1:13" x14ac:dyDescent="0.3">
      <c r="A9" s="135" t="s">
        <v>40</v>
      </c>
      <c r="B9" s="135" t="s">
        <v>407</v>
      </c>
      <c r="C9" s="135" t="s">
        <v>405</v>
      </c>
      <c r="D9" s="135">
        <v>24</v>
      </c>
      <c r="E9" s="135">
        <v>38.700000000000003</v>
      </c>
      <c r="F9" s="135">
        <v>293.60000000000002</v>
      </c>
      <c r="G9" s="135">
        <v>2.2000000000000002</v>
      </c>
      <c r="H9" s="135" t="s">
        <v>753</v>
      </c>
      <c r="I9" s="135">
        <v>5</v>
      </c>
      <c r="J9" s="135" t="s">
        <v>758</v>
      </c>
      <c r="K9" s="135">
        <v>20.2</v>
      </c>
      <c r="L9" s="135" t="s">
        <v>1612</v>
      </c>
      <c r="M9" s="135">
        <v>2.38</v>
      </c>
    </row>
    <row r="10" spans="1:13" x14ac:dyDescent="0.3">
      <c r="A10" s="135" t="s">
        <v>17</v>
      </c>
      <c r="B10" s="135" t="s">
        <v>18</v>
      </c>
      <c r="C10" s="135" t="s">
        <v>405</v>
      </c>
      <c r="D10" s="135">
        <v>22.1</v>
      </c>
      <c r="E10" s="135">
        <v>33</v>
      </c>
      <c r="F10" s="135">
        <v>267.3</v>
      </c>
      <c r="G10" s="135">
        <v>2</v>
      </c>
      <c r="H10" s="135" t="s">
        <v>763</v>
      </c>
      <c r="I10" s="135">
        <v>8.3000000000000007</v>
      </c>
      <c r="J10" s="135" t="s">
        <v>759</v>
      </c>
      <c r="K10" s="135">
        <v>19.399999999999999</v>
      </c>
      <c r="L10" s="135" t="s">
        <v>1613</v>
      </c>
      <c r="M10" s="135">
        <v>2.5499999999999998</v>
      </c>
    </row>
    <row r="11" spans="1:13" x14ac:dyDescent="0.3">
      <c r="A11" s="135" t="s">
        <v>6</v>
      </c>
      <c r="B11" s="135" t="s">
        <v>7</v>
      </c>
      <c r="C11" s="135" t="s">
        <v>405</v>
      </c>
      <c r="D11" s="135">
        <v>17.2</v>
      </c>
      <c r="E11" s="135">
        <v>27.3</v>
      </c>
      <c r="F11" s="135">
        <v>207.1</v>
      </c>
      <c r="G11" s="135">
        <v>1.7</v>
      </c>
      <c r="H11" s="135" t="s">
        <v>752</v>
      </c>
      <c r="I11" s="135">
        <v>23.4</v>
      </c>
      <c r="J11" s="135" t="s">
        <v>761</v>
      </c>
      <c r="K11" s="135">
        <v>18.2</v>
      </c>
      <c r="L11" s="135" t="s">
        <v>1620</v>
      </c>
      <c r="M11" s="135">
        <v>2.17</v>
      </c>
    </row>
    <row r="12" spans="1:13" x14ac:dyDescent="0.3">
      <c r="A12" s="135" t="s">
        <v>11</v>
      </c>
      <c r="B12" s="135" t="s">
        <v>561</v>
      </c>
      <c r="C12" s="135" t="s">
        <v>405</v>
      </c>
      <c r="D12" s="135">
        <v>24.6</v>
      </c>
      <c r="E12" s="135">
        <v>41</v>
      </c>
      <c r="F12" s="135">
        <v>263.5</v>
      </c>
      <c r="G12" s="135">
        <v>1.7</v>
      </c>
      <c r="H12" s="135">
        <v>1.1000000000000001</v>
      </c>
      <c r="I12" s="135">
        <v>13.1</v>
      </c>
      <c r="J12" s="135" t="s">
        <v>759</v>
      </c>
      <c r="K12" s="135">
        <v>18.2</v>
      </c>
      <c r="L12" s="135" t="s">
        <v>1614</v>
      </c>
      <c r="M12" s="135">
        <v>2.36</v>
      </c>
    </row>
    <row r="13" spans="1:13" x14ac:dyDescent="0.3">
      <c r="A13" s="135" t="s">
        <v>3</v>
      </c>
      <c r="B13" s="135" t="s">
        <v>4</v>
      </c>
      <c r="C13" s="135" t="s">
        <v>405</v>
      </c>
      <c r="D13" s="135">
        <v>27.2</v>
      </c>
      <c r="E13" s="135">
        <v>47.6</v>
      </c>
      <c r="F13" s="135">
        <v>292.39999999999998</v>
      </c>
      <c r="G13" s="135">
        <v>1.5</v>
      </c>
      <c r="H13" s="135">
        <v>1.6</v>
      </c>
      <c r="I13" s="135">
        <v>14.1</v>
      </c>
      <c r="J13" s="135" t="s">
        <v>759</v>
      </c>
      <c r="K13" s="135">
        <v>18.100000000000001</v>
      </c>
      <c r="L13" s="135" t="s">
        <v>1662</v>
      </c>
      <c r="M13" s="135">
        <v>2.2599999999999998</v>
      </c>
    </row>
    <row r="14" spans="1:13" x14ac:dyDescent="0.3">
      <c r="A14" s="135" t="s">
        <v>49</v>
      </c>
      <c r="B14" s="135" t="s">
        <v>50</v>
      </c>
      <c r="C14" s="135" t="s">
        <v>405</v>
      </c>
      <c r="D14" s="135">
        <v>25.6</v>
      </c>
      <c r="E14" s="135">
        <v>41.3</v>
      </c>
      <c r="F14" s="135">
        <v>284.3</v>
      </c>
      <c r="G14" s="135">
        <v>1.9</v>
      </c>
      <c r="H14" s="135">
        <v>1.3</v>
      </c>
      <c r="I14" s="135">
        <v>2.1</v>
      </c>
      <c r="J14" s="135" t="s">
        <v>758</v>
      </c>
      <c r="K14" s="135">
        <v>17.899999999999999</v>
      </c>
      <c r="L14" s="135" t="s">
        <v>1619</v>
      </c>
      <c r="M14" s="135">
        <v>2.27</v>
      </c>
    </row>
    <row r="15" spans="1:13" x14ac:dyDescent="0.3">
      <c r="A15" s="135" t="s">
        <v>31</v>
      </c>
      <c r="B15" s="135" t="s">
        <v>32</v>
      </c>
      <c r="C15" s="135" t="s">
        <v>405</v>
      </c>
      <c r="D15" s="135">
        <v>26</v>
      </c>
      <c r="E15" s="135">
        <v>42.5</v>
      </c>
      <c r="F15" s="135">
        <v>281.7</v>
      </c>
      <c r="G15" s="135">
        <v>1.6</v>
      </c>
      <c r="H15" s="135" t="s">
        <v>754</v>
      </c>
      <c r="I15" s="135">
        <v>4.5999999999999996</v>
      </c>
      <c r="J15" s="135" t="s">
        <v>758</v>
      </c>
      <c r="K15" s="135">
        <v>17.2</v>
      </c>
      <c r="L15" s="135" t="s">
        <v>1614</v>
      </c>
      <c r="M15" s="135">
        <v>2.23</v>
      </c>
    </row>
    <row r="16" spans="1:13" x14ac:dyDescent="0.3">
      <c r="A16" s="135" t="s">
        <v>1240</v>
      </c>
      <c r="B16" s="135" t="s">
        <v>70</v>
      </c>
      <c r="C16" s="135" t="s">
        <v>405</v>
      </c>
      <c r="D16" s="135">
        <v>21.4</v>
      </c>
      <c r="E16" s="135">
        <v>33.799999999999997</v>
      </c>
      <c r="F16" s="135">
        <v>250</v>
      </c>
      <c r="G16" s="135">
        <v>1.2</v>
      </c>
      <c r="H16" s="135" t="s">
        <v>753</v>
      </c>
      <c r="I16" s="135">
        <v>14.4</v>
      </c>
      <c r="J16" s="135" t="s">
        <v>761</v>
      </c>
      <c r="K16" s="135">
        <v>16.600000000000001</v>
      </c>
      <c r="L16" s="135" t="s">
        <v>1618</v>
      </c>
      <c r="M16" s="135">
        <v>2.2400000000000002</v>
      </c>
    </row>
    <row r="17" spans="1:13" x14ac:dyDescent="0.3">
      <c r="A17" s="135" t="s">
        <v>42</v>
      </c>
      <c r="B17" s="135" t="s">
        <v>43</v>
      </c>
      <c r="C17" s="135" t="s">
        <v>405</v>
      </c>
      <c r="D17" s="135">
        <v>20.9</v>
      </c>
      <c r="E17" s="135">
        <v>33.6</v>
      </c>
      <c r="F17" s="135">
        <v>239.9</v>
      </c>
      <c r="G17" s="135">
        <v>1.3</v>
      </c>
      <c r="H17" s="135" t="s">
        <v>753</v>
      </c>
      <c r="I17" s="135">
        <v>14</v>
      </c>
      <c r="J17" s="135" t="s">
        <v>761</v>
      </c>
      <c r="K17" s="135">
        <v>16.600000000000001</v>
      </c>
      <c r="L17" s="135" t="s">
        <v>1621</v>
      </c>
      <c r="M17" s="135">
        <v>2.27</v>
      </c>
    </row>
    <row r="18" spans="1:13" x14ac:dyDescent="0.3">
      <c r="A18" s="135" t="s">
        <v>444</v>
      </c>
      <c r="B18" s="135" t="s">
        <v>52</v>
      </c>
      <c r="C18" s="135" t="s">
        <v>405</v>
      </c>
      <c r="D18" s="135">
        <v>16.5</v>
      </c>
      <c r="E18" s="135">
        <v>27.6</v>
      </c>
      <c r="F18" s="135">
        <v>205.9</v>
      </c>
      <c r="G18" s="135">
        <v>1.4</v>
      </c>
      <c r="H18" s="135" t="s">
        <v>760</v>
      </c>
      <c r="I18" s="135">
        <v>17.7</v>
      </c>
      <c r="J18" s="135" t="s">
        <v>761</v>
      </c>
      <c r="K18" s="135">
        <v>16.2</v>
      </c>
      <c r="L18" s="135" t="s">
        <v>1615</v>
      </c>
      <c r="M18" s="135">
        <v>2.25</v>
      </c>
    </row>
    <row r="19" spans="1:13" x14ac:dyDescent="0.3">
      <c r="A19" s="135" t="s">
        <v>36</v>
      </c>
      <c r="B19" s="135" t="s">
        <v>37</v>
      </c>
      <c r="C19" s="135" t="s">
        <v>405</v>
      </c>
      <c r="D19" s="135">
        <v>22.6</v>
      </c>
      <c r="E19" s="135">
        <v>36.6</v>
      </c>
      <c r="F19" s="135">
        <v>252.4</v>
      </c>
      <c r="G19" s="135">
        <v>1.7</v>
      </c>
      <c r="H19" s="135">
        <v>1.2</v>
      </c>
      <c r="I19" s="135">
        <v>4.8</v>
      </c>
      <c r="J19" s="135" t="s">
        <v>758</v>
      </c>
      <c r="K19" s="135">
        <v>16.2</v>
      </c>
      <c r="L19" s="135" t="s">
        <v>1617</v>
      </c>
      <c r="M19" s="135">
        <v>2.16</v>
      </c>
    </row>
    <row r="20" spans="1:13" x14ac:dyDescent="0.3">
      <c r="A20" s="135" t="s">
        <v>9</v>
      </c>
      <c r="B20" s="135" t="s">
        <v>10</v>
      </c>
      <c r="C20" s="135" t="s">
        <v>405</v>
      </c>
      <c r="D20" s="135">
        <v>15.5</v>
      </c>
      <c r="E20" s="135">
        <v>26.6</v>
      </c>
      <c r="F20" s="135">
        <v>185.3</v>
      </c>
      <c r="G20" s="135">
        <v>1</v>
      </c>
      <c r="H20" s="135" t="s">
        <v>760</v>
      </c>
      <c r="I20" s="135">
        <v>32.299999999999997</v>
      </c>
      <c r="J20" s="135" t="s">
        <v>750</v>
      </c>
      <c r="K20" s="135">
        <v>15.9</v>
      </c>
      <c r="L20" s="135" t="s">
        <v>1613</v>
      </c>
      <c r="M20" s="135">
        <v>2.09</v>
      </c>
    </row>
    <row r="21" spans="1:13" x14ac:dyDescent="0.3">
      <c r="A21" s="135" t="s">
        <v>38</v>
      </c>
      <c r="B21" s="135" t="s">
        <v>41</v>
      </c>
      <c r="C21" s="135" t="s">
        <v>405</v>
      </c>
      <c r="D21" s="135">
        <v>20.8</v>
      </c>
      <c r="E21" s="135">
        <v>33.5</v>
      </c>
      <c r="F21" s="135">
        <v>240.2</v>
      </c>
      <c r="G21" s="135">
        <v>1.5</v>
      </c>
      <c r="H21" s="135" t="s">
        <v>753</v>
      </c>
      <c r="I21" s="135">
        <v>4.7</v>
      </c>
      <c r="J21" s="135" t="s">
        <v>759</v>
      </c>
      <c r="K21" s="135">
        <v>15.9</v>
      </c>
      <c r="L21" s="135" t="s">
        <v>1625</v>
      </c>
      <c r="M21" s="135">
        <v>2.2400000000000002</v>
      </c>
    </row>
    <row r="22" spans="1:13" x14ac:dyDescent="0.3">
      <c r="A22" s="135" t="s">
        <v>56</v>
      </c>
      <c r="B22" s="135" t="s">
        <v>57</v>
      </c>
      <c r="C22" s="135" t="s">
        <v>405</v>
      </c>
      <c r="D22" s="135">
        <v>21.7</v>
      </c>
      <c r="E22" s="135">
        <v>36.6</v>
      </c>
      <c r="F22" s="135">
        <v>235.4</v>
      </c>
      <c r="G22" s="135">
        <v>1.4</v>
      </c>
      <c r="H22" s="135">
        <v>1.1000000000000001</v>
      </c>
      <c r="I22" s="135">
        <v>13.3</v>
      </c>
      <c r="J22" s="135" t="s">
        <v>759</v>
      </c>
      <c r="K22" s="135">
        <v>15.9</v>
      </c>
      <c r="L22" s="135" t="s">
        <v>1615</v>
      </c>
      <c r="M22" s="135">
        <v>2.21</v>
      </c>
    </row>
    <row r="23" spans="1:13" x14ac:dyDescent="0.3">
      <c r="A23" s="135" t="s">
        <v>44</v>
      </c>
      <c r="B23" s="135" t="s">
        <v>401</v>
      </c>
      <c r="C23" s="135" t="s">
        <v>405</v>
      </c>
      <c r="D23" s="135">
        <v>21.8</v>
      </c>
      <c r="E23" s="135">
        <v>37.700000000000003</v>
      </c>
      <c r="F23" s="135">
        <v>240.9</v>
      </c>
      <c r="G23" s="135">
        <v>1.3</v>
      </c>
      <c r="H23" s="135">
        <v>1.2</v>
      </c>
      <c r="I23" s="135">
        <v>13.7</v>
      </c>
      <c r="J23" s="135" t="s">
        <v>759</v>
      </c>
      <c r="K23" s="135">
        <v>15.6</v>
      </c>
      <c r="L23" s="135" t="s">
        <v>1625</v>
      </c>
      <c r="M23" s="135">
        <v>2.2000000000000002</v>
      </c>
    </row>
    <row r="24" spans="1:13" x14ac:dyDescent="0.3">
      <c r="A24" s="135" t="s">
        <v>35</v>
      </c>
      <c r="B24" s="135" t="s">
        <v>397</v>
      </c>
      <c r="C24" s="135" t="s">
        <v>405</v>
      </c>
      <c r="D24" s="135">
        <v>21.7</v>
      </c>
      <c r="E24" s="135">
        <v>35.5</v>
      </c>
      <c r="F24" s="135">
        <v>237.5</v>
      </c>
      <c r="G24" s="135">
        <v>1.1000000000000001</v>
      </c>
      <c r="H24" s="135" t="s">
        <v>754</v>
      </c>
      <c r="I24" s="135">
        <v>17.5</v>
      </c>
      <c r="J24" s="135" t="s">
        <v>759</v>
      </c>
      <c r="K24" s="135">
        <v>15.4</v>
      </c>
      <c r="L24" s="135" t="s">
        <v>1623</v>
      </c>
      <c r="M24" s="135">
        <v>2.23</v>
      </c>
    </row>
    <row r="25" spans="1:13" x14ac:dyDescent="0.3">
      <c r="A25" s="135" t="s">
        <v>47</v>
      </c>
      <c r="B25" s="135" t="s">
        <v>398</v>
      </c>
      <c r="C25" s="135" t="s">
        <v>405</v>
      </c>
      <c r="D25" s="135">
        <v>19.7</v>
      </c>
      <c r="E25" s="135">
        <v>34.1</v>
      </c>
      <c r="F25" s="135">
        <v>213.9</v>
      </c>
      <c r="G25" s="135">
        <v>1.1000000000000001</v>
      </c>
      <c r="H25" s="135" t="s">
        <v>753</v>
      </c>
      <c r="I25" s="135">
        <v>19.899999999999999</v>
      </c>
      <c r="J25" s="135" t="s">
        <v>761</v>
      </c>
      <c r="K25" s="135">
        <v>15.3</v>
      </c>
      <c r="L25" s="135" t="s">
        <v>1626</v>
      </c>
      <c r="M25" s="135">
        <v>2.39</v>
      </c>
    </row>
    <row r="26" spans="1:13" x14ac:dyDescent="0.3">
      <c r="A26" s="135" t="s">
        <v>445</v>
      </c>
      <c r="B26" s="135" t="s">
        <v>14</v>
      </c>
      <c r="C26" s="135" t="s">
        <v>405</v>
      </c>
      <c r="D26" s="135">
        <v>18.100000000000001</v>
      </c>
      <c r="E26" s="135">
        <v>30.2</v>
      </c>
      <c r="F26" s="135">
        <v>212.4</v>
      </c>
      <c r="G26" s="135">
        <v>1.4</v>
      </c>
      <c r="H26" s="135" t="s">
        <v>754</v>
      </c>
      <c r="I26" s="135">
        <v>5.6</v>
      </c>
      <c r="J26" s="135" t="s">
        <v>759</v>
      </c>
      <c r="K26" s="135">
        <v>14.4</v>
      </c>
      <c r="L26" s="135" t="s">
        <v>1643</v>
      </c>
      <c r="M26" s="135">
        <v>2.29</v>
      </c>
    </row>
    <row r="27" spans="1:13" x14ac:dyDescent="0.3">
      <c r="A27" s="135" t="s">
        <v>29</v>
      </c>
      <c r="B27" s="135" t="s">
        <v>30</v>
      </c>
      <c r="C27" s="135" t="s">
        <v>405</v>
      </c>
      <c r="D27" s="135">
        <v>21.5</v>
      </c>
      <c r="E27" s="135">
        <v>36</v>
      </c>
      <c r="F27" s="135">
        <v>229.2</v>
      </c>
      <c r="G27" s="135">
        <v>1.2</v>
      </c>
      <c r="H27" s="135">
        <v>1.4</v>
      </c>
      <c r="I27" s="135">
        <v>12.7</v>
      </c>
      <c r="J27" s="135" t="s">
        <v>759</v>
      </c>
      <c r="K27" s="135">
        <v>14.4</v>
      </c>
      <c r="L27" s="135" t="s">
        <v>1618</v>
      </c>
      <c r="M27" s="135">
        <v>1.95</v>
      </c>
    </row>
    <row r="28" spans="1:13" x14ac:dyDescent="0.3">
      <c r="A28" s="135" t="s">
        <v>411</v>
      </c>
      <c r="B28" s="135" t="s">
        <v>34</v>
      </c>
      <c r="C28" s="135" t="s">
        <v>405</v>
      </c>
      <c r="D28" s="135">
        <v>19.8</v>
      </c>
      <c r="E28" s="135">
        <v>36</v>
      </c>
      <c r="F28" s="135">
        <v>212.7</v>
      </c>
      <c r="G28" s="135" t="s">
        <v>754</v>
      </c>
      <c r="H28" s="135">
        <v>1.3</v>
      </c>
      <c r="I28" s="135">
        <v>21.1</v>
      </c>
      <c r="J28" s="135" t="s">
        <v>761</v>
      </c>
      <c r="K28" s="135">
        <v>14.1</v>
      </c>
      <c r="L28" s="135" t="s">
        <v>1623</v>
      </c>
      <c r="M28" s="135">
        <v>2.04</v>
      </c>
    </row>
    <row r="29" spans="1:13" x14ac:dyDescent="0.3">
      <c r="A29" s="135" t="s">
        <v>449</v>
      </c>
      <c r="B29" s="135" t="s">
        <v>402</v>
      </c>
      <c r="C29" s="135" t="s">
        <v>405</v>
      </c>
      <c r="D29" s="135">
        <v>16.3</v>
      </c>
      <c r="E29" s="135">
        <v>26.5</v>
      </c>
      <c r="F29" s="135">
        <v>184.6</v>
      </c>
      <c r="G29" s="135">
        <v>1</v>
      </c>
      <c r="H29" s="135" t="s">
        <v>762</v>
      </c>
      <c r="I29" s="135">
        <v>12.7</v>
      </c>
      <c r="J29" s="135" t="s">
        <v>759</v>
      </c>
      <c r="K29" s="135">
        <v>12.8</v>
      </c>
      <c r="L29" s="135" t="s">
        <v>1627</v>
      </c>
      <c r="M29" s="135">
        <v>1.91</v>
      </c>
    </row>
    <row r="30" spans="1:13" x14ac:dyDescent="0.3">
      <c r="A30" s="135" t="s">
        <v>63</v>
      </c>
      <c r="B30" s="135" t="s">
        <v>409</v>
      </c>
      <c r="C30" s="135" t="s">
        <v>405</v>
      </c>
      <c r="D30" s="135">
        <v>18.100000000000001</v>
      </c>
      <c r="E30" s="135">
        <v>32.200000000000003</v>
      </c>
      <c r="F30" s="135">
        <v>192.2</v>
      </c>
      <c r="G30" s="135">
        <v>1</v>
      </c>
      <c r="H30" s="135">
        <v>1.4</v>
      </c>
      <c r="I30" s="135">
        <v>2.8</v>
      </c>
      <c r="J30" s="135" t="s">
        <v>758</v>
      </c>
      <c r="K30" s="135">
        <v>10.6</v>
      </c>
      <c r="L30" s="135" t="s">
        <v>1638</v>
      </c>
      <c r="M30" s="135">
        <v>1.63</v>
      </c>
    </row>
    <row r="31" spans="1:13" x14ac:dyDescent="0.3">
      <c r="A31" s="135" t="s">
        <v>45</v>
      </c>
      <c r="B31" s="135" t="s">
        <v>46</v>
      </c>
      <c r="C31" s="135" t="s">
        <v>405</v>
      </c>
      <c r="D31" s="135">
        <v>10</v>
      </c>
      <c r="E31" s="135">
        <v>16</v>
      </c>
      <c r="F31" s="135">
        <v>115.2</v>
      </c>
      <c r="G31" s="135" t="s">
        <v>760</v>
      </c>
      <c r="H31" s="135" t="s">
        <v>752</v>
      </c>
      <c r="I31" s="135">
        <v>6.5</v>
      </c>
      <c r="J31" s="135" t="s">
        <v>759</v>
      </c>
      <c r="K31" s="135">
        <v>7.9</v>
      </c>
      <c r="L31" s="135" t="s">
        <v>1629</v>
      </c>
      <c r="M31" s="135">
        <v>1.32</v>
      </c>
    </row>
    <row r="32" spans="1:13" x14ac:dyDescent="0.3">
      <c r="A32" s="135" t="s">
        <v>48</v>
      </c>
      <c r="B32" s="135" t="s">
        <v>46</v>
      </c>
      <c r="C32" s="135" t="s">
        <v>405</v>
      </c>
      <c r="D32" s="135">
        <v>9.6</v>
      </c>
      <c r="E32" s="135">
        <v>16.2</v>
      </c>
      <c r="F32" s="135">
        <v>109.1</v>
      </c>
      <c r="G32" s="135" t="s">
        <v>763</v>
      </c>
      <c r="H32" s="135" t="s">
        <v>752</v>
      </c>
      <c r="I32" s="135">
        <v>2.2999999999999998</v>
      </c>
      <c r="J32" s="135" t="s">
        <v>758</v>
      </c>
      <c r="K32" s="135">
        <v>7</v>
      </c>
      <c r="L32" s="135" t="s">
        <v>1627</v>
      </c>
      <c r="M32" s="135">
        <v>1.04</v>
      </c>
    </row>
    <row r="33" spans="1:13" x14ac:dyDescent="0.3">
      <c r="A33" s="135" t="s">
        <v>429</v>
      </c>
      <c r="B33" s="135" t="s">
        <v>402</v>
      </c>
      <c r="C33" s="135" t="s">
        <v>405</v>
      </c>
      <c r="D33" s="135">
        <v>7.3</v>
      </c>
      <c r="E33" s="135">
        <v>11.9</v>
      </c>
      <c r="F33" s="135">
        <v>83.8</v>
      </c>
      <c r="G33" s="135" t="s">
        <v>760</v>
      </c>
      <c r="H33" s="135" t="s">
        <v>752</v>
      </c>
      <c r="I33" s="135">
        <v>1.3</v>
      </c>
      <c r="J33" s="135" t="s">
        <v>758</v>
      </c>
      <c r="K33" s="135">
        <v>5.5</v>
      </c>
      <c r="L33" s="135" t="s">
        <v>1613</v>
      </c>
      <c r="M33" s="135" t="s">
        <v>1671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workbookViewId="0">
      <selection activeCell="A2" sqref="A2:T59"/>
    </sheetView>
  </sheetViews>
  <sheetFormatPr defaultRowHeight="14.4" x14ac:dyDescent="0.3"/>
  <cols>
    <col min="2" max="2" width="19.109375" bestFit="1" customWidth="1"/>
    <col min="6" max="6" width="11.88671875" customWidth="1"/>
    <col min="7" max="7" width="9.5546875" customWidth="1"/>
    <col min="8" max="8" width="12.109375" customWidth="1"/>
    <col min="9" max="9" width="9.21875" customWidth="1"/>
    <col min="12" max="12" width="9.44140625" customWidth="1"/>
    <col min="13" max="13" width="12.5546875" customWidth="1"/>
    <col min="14" max="14" width="9.77734375" customWidth="1"/>
  </cols>
  <sheetData>
    <row r="1" spans="1:20" x14ac:dyDescent="0.3">
      <c r="A1" s="100" t="s">
        <v>863</v>
      </c>
      <c r="B1" s="100" t="s">
        <v>1</v>
      </c>
      <c r="C1" s="100" t="s">
        <v>387</v>
      </c>
      <c r="D1" s="100" t="s">
        <v>81</v>
      </c>
      <c r="E1" s="100" t="s">
        <v>1228</v>
      </c>
      <c r="F1" s="100" t="s">
        <v>746</v>
      </c>
      <c r="G1" s="100" t="s">
        <v>747</v>
      </c>
      <c r="H1" s="100" t="s">
        <v>748</v>
      </c>
      <c r="I1" s="100" t="s">
        <v>602</v>
      </c>
      <c r="J1" s="100" t="s">
        <v>605</v>
      </c>
      <c r="K1" s="100" t="s">
        <v>1229</v>
      </c>
      <c r="L1" s="100" t="s">
        <v>800</v>
      </c>
      <c r="M1" s="100" t="s">
        <v>423</v>
      </c>
      <c r="N1" s="100" t="s">
        <v>424</v>
      </c>
      <c r="O1" s="100" t="s">
        <v>1230</v>
      </c>
      <c r="P1" s="100" t="s">
        <v>1231</v>
      </c>
      <c r="Q1" s="100" t="s">
        <v>1232</v>
      </c>
      <c r="R1" s="100" t="s">
        <v>1233</v>
      </c>
      <c r="S1" s="100" t="s">
        <v>1234</v>
      </c>
      <c r="T1" s="100" t="s">
        <v>1235</v>
      </c>
    </row>
    <row r="2" spans="1:20" x14ac:dyDescent="0.3">
      <c r="A2" s="135">
        <v>1</v>
      </c>
      <c r="B2" s="135" t="s">
        <v>21</v>
      </c>
      <c r="C2" s="135" t="s">
        <v>22</v>
      </c>
      <c r="D2" s="135" t="s">
        <v>50</v>
      </c>
      <c r="E2" s="135">
        <v>1</v>
      </c>
      <c r="F2" s="135">
        <v>19.100000000000001</v>
      </c>
      <c r="G2" s="135">
        <v>30.5</v>
      </c>
      <c r="H2" s="135">
        <v>237.6</v>
      </c>
      <c r="I2" s="135">
        <v>2</v>
      </c>
      <c r="J2" s="135">
        <v>0.7</v>
      </c>
      <c r="K2" s="135">
        <v>1.5</v>
      </c>
      <c r="L2" s="135">
        <v>7.3</v>
      </c>
      <c r="M2" s="135">
        <v>42.7</v>
      </c>
      <c r="N2" s="135">
        <v>0.4</v>
      </c>
      <c r="O2" s="135">
        <v>0.3</v>
      </c>
      <c r="P2" s="135">
        <v>0.3</v>
      </c>
      <c r="Q2" s="135">
        <v>0.1</v>
      </c>
      <c r="R2" s="135">
        <v>23.2</v>
      </c>
      <c r="S2" s="135">
        <v>23.2</v>
      </c>
      <c r="T2" s="135">
        <v>15</v>
      </c>
    </row>
    <row r="3" spans="1:20" x14ac:dyDescent="0.3">
      <c r="A3" s="135">
        <v>2</v>
      </c>
      <c r="B3" s="135" t="s">
        <v>15</v>
      </c>
      <c r="C3" s="135" t="s">
        <v>16</v>
      </c>
      <c r="D3" s="135" t="s">
        <v>12</v>
      </c>
      <c r="E3" s="135">
        <v>1</v>
      </c>
      <c r="F3" s="135">
        <v>23.2</v>
      </c>
      <c r="G3" s="135">
        <v>37.5</v>
      </c>
      <c r="H3" s="135">
        <v>285.5</v>
      </c>
      <c r="I3" s="135">
        <v>2.4</v>
      </c>
      <c r="J3" s="135">
        <v>1.1000000000000001</v>
      </c>
      <c r="K3" s="135">
        <v>2.4</v>
      </c>
      <c r="L3" s="135">
        <v>3.6</v>
      </c>
      <c r="M3" s="135">
        <v>18</v>
      </c>
      <c r="N3" s="135">
        <v>0.1</v>
      </c>
      <c r="O3" s="135">
        <v>0.3</v>
      </c>
      <c r="P3" s="135">
        <v>0.3</v>
      </c>
      <c r="Q3" s="135">
        <v>0.1</v>
      </c>
      <c r="R3" s="135">
        <v>22.4</v>
      </c>
      <c r="S3" s="135">
        <v>22.4</v>
      </c>
      <c r="T3" s="135">
        <v>12</v>
      </c>
    </row>
    <row r="4" spans="1:20" x14ac:dyDescent="0.3">
      <c r="A4" s="135">
        <v>3</v>
      </c>
      <c r="B4" s="135" t="s">
        <v>8</v>
      </c>
      <c r="C4" s="135" t="s">
        <v>404</v>
      </c>
      <c r="D4" s="135" t="s">
        <v>407</v>
      </c>
      <c r="E4" s="135">
        <v>1</v>
      </c>
      <c r="F4" s="135">
        <v>23.3</v>
      </c>
      <c r="G4" s="135">
        <v>36.5</v>
      </c>
      <c r="H4" s="135">
        <v>317.39999999999998</v>
      </c>
      <c r="I4" s="135">
        <v>2.2000000000000002</v>
      </c>
      <c r="J4" s="135">
        <v>0.7</v>
      </c>
      <c r="K4" s="135">
        <v>2.2999999999999998</v>
      </c>
      <c r="L4" s="135">
        <v>0.8</v>
      </c>
      <c r="M4" s="135">
        <v>1.5</v>
      </c>
      <c r="N4" s="135">
        <v>0</v>
      </c>
      <c r="O4" s="135">
        <v>0.3</v>
      </c>
      <c r="P4" s="135">
        <v>0.2</v>
      </c>
      <c r="Q4" s="135">
        <v>0.1</v>
      </c>
      <c r="R4" s="135">
        <v>21</v>
      </c>
      <c r="S4" s="135">
        <v>21</v>
      </c>
      <c r="T4" s="135">
        <v>8</v>
      </c>
    </row>
    <row r="5" spans="1:20" x14ac:dyDescent="0.3">
      <c r="A5" s="135">
        <v>4</v>
      </c>
      <c r="B5" s="135" t="s">
        <v>11</v>
      </c>
      <c r="C5" s="135" t="s">
        <v>12</v>
      </c>
      <c r="D5" s="135" t="s">
        <v>16</v>
      </c>
      <c r="E5" s="135">
        <v>1</v>
      </c>
      <c r="F5" s="135">
        <v>19.5</v>
      </c>
      <c r="G5" s="135">
        <v>34.1</v>
      </c>
      <c r="H5" s="135">
        <v>262.7</v>
      </c>
      <c r="I5" s="135">
        <v>2.1</v>
      </c>
      <c r="J5" s="135">
        <v>0.9</v>
      </c>
      <c r="K5" s="135">
        <v>2.5</v>
      </c>
      <c r="L5" s="135">
        <v>3.4</v>
      </c>
      <c r="M5" s="135">
        <v>19.399999999999999</v>
      </c>
      <c r="N5" s="135">
        <v>0.2</v>
      </c>
      <c r="O5" s="135">
        <v>0.4</v>
      </c>
      <c r="P5" s="135">
        <v>0.3</v>
      </c>
      <c r="Q5" s="135">
        <v>0.1</v>
      </c>
      <c r="R5" s="135">
        <v>20.9</v>
      </c>
      <c r="S5" s="135">
        <v>20.9</v>
      </c>
      <c r="T5" s="135">
        <v>8</v>
      </c>
    </row>
    <row r="6" spans="1:20" x14ac:dyDescent="0.3">
      <c r="A6" s="135">
        <v>5</v>
      </c>
      <c r="B6" s="135" t="s">
        <v>40</v>
      </c>
      <c r="C6" s="135" t="s">
        <v>407</v>
      </c>
      <c r="D6" s="135" t="s">
        <v>404</v>
      </c>
      <c r="E6" s="135">
        <v>1</v>
      </c>
      <c r="F6" s="135">
        <v>22</v>
      </c>
      <c r="G6" s="135">
        <v>36.4</v>
      </c>
      <c r="H6" s="135">
        <v>315.60000000000002</v>
      </c>
      <c r="I6" s="135">
        <v>2.1</v>
      </c>
      <c r="J6" s="135">
        <v>0.7</v>
      </c>
      <c r="K6" s="135">
        <v>2.2999999999999998</v>
      </c>
      <c r="L6" s="135">
        <v>1.4</v>
      </c>
      <c r="M6" s="135">
        <v>4.0999999999999996</v>
      </c>
      <c r="N6" s="135">
        <v>0.1</v>
      </c>
      <c r="O6" s="135">
        <v>0.5</v>
      </c>
      <c r="P6" s="135">
        <v>0.4</v>
      </c>
      <c r="Q6" s="135">
        <v>0.1</v>
      </c>
      <c r="R6" s="135">
        <v>20.8</v>
      </c>
      <c r="S6" s="135">
        <v>20.8</v>
      </c>
      <c r="T6" s="135">
        <v>8</v>
      </c>
    </row>
    <row r="7" spans="1:20" x14ac:dyDescent="0.3">
      <c r="A7" s="135">
        <v>6</v>
      </c>
      <c r="B7" s="135" t="s">
        <v>19</v>
      </c>
      <c r="C7" s="135" t="s">
        <v>20</v>
      </c>
      <c r="D7" s="135" t="s">
        <v>397</v>
      </c>
      <c r="E7" s="135">
        <v>1</v>
      </c>
      <c r="F7" s="135">
        <v>26.5</v>
      </c>
      <c r="G7" s="135">
        <v>39.6</v>
      </c>
      <c r="H7" s="135">
        <v>317</v>
      </c>
      <c r="I7" s="135">
        <v>2.1</v>
      </c>
      <c r="J7" s="135">
        <v>1.2</v>
      </c>
      <c r="K7" s="135">
        <v>2.5</v>
      </c>
      <c r="L7" s="135">
        <v>1.4</v>
      </c>
      <c r="M7" s="135">
        <v>3.9</v>
      </c>
      <c r="N7" s="135">
        <v>0.1</v>
      </c>
      <c r="O7" s="135">
        <v>0.4</v>
      </c>
      <c r="P7" s="135">
        <v>0.3</v>
      </c>
      <c r="Q7" s="135">
        <v>0.1</v>
      </c>
      <c r="R7" s="135">
        <v>20.5</v>
      </c>
      <c r="S7" s="135">
        <v>20.5</v>
      </c>
      <c r="T7" s="135">
        <v>7</v>
      </c>
    </row>
    <row r="8" spans="1:20" x14ac:dyDescent="0.3">
      <c r="A8" s="135">
        <v>7</v>
      </c>
      <c r="B8" s="135" t="s">
        <v>17</v>
      </c>
      <c r="C8" s="135" t="s">
        <v>18</v>
      </c>
      <c r="D8" s="135" t="s">
        <v>1239</v>
      </c>
      <c r="E8" s="135">
        <v>1</v>
      </c>
      <c r="F8" s="135">
        <v>21.8</v>
      </c>
      <c r="G8" s="135">
        <v>32.799999999999997</v>
      </c>
      <c r="H8" s="135">
        <v>286.39999999999998</v>
      </c>
      <c r="I8" s="135">
        <v>2.1</v>
      </c>
      <c r="J8" s="135">
        <v>0.7</v>
      </c>
      <c r="K8" s="135">
        <v>1.9</v>
      </c>
      <c r="L8" s="135">
        <v>2.5</v>
      </c>
      <c r="M8" s="135">
        <v>6.5</v>
      </c>
      <c r="N8" s="135">
        <v>0.1</v>
      </c>
      <c r="O8" s="135">
        <v>0.4</v>
      </c>
      <c r="P8" s="135">
        <v>0.3</v>
      </c>
      <c r="Q8" s="135">
        <v>0.1</v>
      </c>
      <c r="R8" s="135">
        <v>20.100000000000001</v>
      </c>
      <c r="S8" s="135">
        <v>20.100000000000001</v>
      </c>
      <c r="T8" s="135">
        <v>6</v>
      </c>
    </row>
    <row r="9" spans="1:20" x14ac:dyDescent="0.3">
      <c r="A9" s="135">
        <v>8</v>
      </c>
      <c r="B9" s="135" t="s">
        <v>27</v>
      </c>
      <c r="C9" s="135" t="s">
        <v>28</v>
      </c>
      <c r="D9" s="135" t="s">
        <v>57</v>
      </c>
      <c r="E9" s="135">
        <v>1</v>
      </c>
      <c r="F9" s="135">
        <v>19.2</v>
      </c>
      <c r="G9" s="135">
        <v>29.6</v>
      </c>
      <c r="H9" s="135">
        <v>244.3</v>
      </c>
      <c r="I9" s="135">
        <v>1.8</v>
      </c>
      <c r="J9" s="135">
        <v>0.7</v>
      </c>
      <c r="K9" s="135">
        <v>1.9</v>
      </c>
      <c r="L9" s="135">
        <v>6.2</v>
      </c>
      <c r="M9" s="135">
        <v>25.3</v>
      </c>
      <c r="N9" s="135">
        <v>0.2</v>
      </c>
      <c r="O9" s="135">
        <v>0.2</v>
      </c>
      <c r="P9" s="135">
        <v>0.2</v>
      </c>
      <c r="Q9" s="135">
        <v>0.1</v>
      </c>
      <c r="R9" s="135">
        <v>20.100000000000001</v>
      </c>
      <c r="S9" s="135">
        <v>20.100000000000001</v>
      </c>
      <c r="T9" s="135">
        <v>6</v>
      </c>
    </row>
    <row r="10" spans="1:20" x14ac:dyDescent="0.3">
      <c r="A10" s="135">
        <v>9</v>
      </c>
      <c r="B10" s="135" t="s">
        <v>25</v>
      </c>
      <c r="C10" s="135" t="s">
        <v>26</v>
      </c>
      <c r="D10" s="135" t="s">
        <v>46</v>
      </c>
      <c r="E10" s="135">
        <v>1</v>
      </c>
      <c r="F10" s="135">
        <v>22.7</v>
      </c>
      <c r="G10" s="135">
        <v>34.299999999999997</v>
      </c>
      <c r="H10" s="135">
        <v>275.5</v>
      </c>
      <c r="I10" s="135">
        <v>1.9</v>
      </c>
      <c r="J10" s="135">
        <v>0.6</v>
      </c>
      <c r="K10" s="135">
        <v>2.5</v>
      </c>
      <c r="L10" s="135">
        <v>2.5</v>
      </c>
      <c r="M10" s="135">
        <v>11.5</v>
      </c>
      <c r="N10" s="135">
        <v>0.1</v>
      </c>
      <c r="O10" s="135">
        <v>0.2</v>
      </c>
      <c r="P10" s="135">
        <v>0.1</v>
      </c>
      <c r="Q10" s="135">
        <v>0.1</v>
      </c>
      <c r="R10" s="135">
        <v>19.600000000000001</v>
      </c>
      <c r="S10" s="135">
        <v>19.600000000000001</v>
      </c>
      <c r="T10" s="135">
        <v>4</v>
      </c>
    </row>
    <row r="11" spans="1:20" x14ac:dyDescent="0.3">
      <c r="A11" s="135">
        <v>10</v>
      </c>
      <c r="B11" s="135" t="s">
        <v>3</v>
      </c>
      <c r="C11" s="135" t="s">
        <v>4</v>
      </c>
      <c r="D11" s="135" t="s">
        <v>1237</v>
      </c>
      <c r="E11" s="135">
        <v>1</v>
      </c>
      <c r="F11" s="135">
        <v>21.6</v>
      </c>
      <c r="G11" s="135">
        <v>36.6</v>
      </c>
      <c r="H11" s="135">
        <v>259.39999999999998</v>
      </c>
      <c r="I11" s="135">
        <v>2.2000000000000002</v>
      </c>
      <c r="J11" s="135">
        <v>0.8</v>
      </c>
      <c r="K11" s="135">
        <v>2.4</v>
      </c>
      <c r="L11" s="135">
        <v>1.8</v>
      </c>
      <c r="M11" s="135">
        <v>7.8</v>
      </c>
      <c r="N11" s="135">
        <v>0.1</v>
      </c>
      <c r="O11" s="135">
        <v>0.2</v>
      </c>
      <c r="P11" s="135">
        <v>0.2</v>
      </c>
      <c r="Q11" s="135">
        <v>0.1</v>
      </c>
      <c r="R11" s="135">
        <v>19.2</v>
      </c>
      <c r="S11" s="135">
        <v>19.2</v>
      </c>
      <c r="T11" s="135">
        <v>3</v>
      </c>
    </row>
    <row r="12" spans="1:20" x14ac:dyDescent="0.3">
      <c r="A12" s="135">
        <v>11</v>
      </c>
      <c r="B12" s="135" t="s">
        <v>6</v>
      </c>
      <c r="C12" s="135" t="s">
        <v>7</v>
      </c>
      <c r="D12" s="135" t="s">
        <v>34</v>
      </c>
      <c r="E12" s="135">
        <v>1</v>
      </c>
      <c r="F12" s="135">
        <v>21.6</v>
      </c>
      <c r="G12" s="135">
        <v>31.6</v>
      </c>
      <c r="H12" s="135">
        <v>250.9</v>
      </c>
      <c r="I12" s="135">
        <v>1.7</v>
      </c>
      <c r="J12" s="135">
        <v>0.7</v>
      </c>
      <c r="K12" s="135">
        <v>2.6</v>
      </c>
      <c r="L12" s="135">
        <v>4.5</v>
      </c>
      <c r="M12" s="135">
        <v>21.2</v>
      </c>
      <c r="N12" s="135">
        <v>0.1</v>
      </c>
      <c r="O12" s="135">
        <v>0.4</v>
      </c>
      <c r="P12" s="135">
        <v>0.3</v>
      </c>
      <c r="Q12" s="135">
        <v>0</v>
      </c>
      <c r="R12" s="135">
        <v>18.899999999999999</v>
      </c>
      <c r="S12" s="135">
        <v>18.899999999999999</v>
      </c>
      <c r="T12" s="135">
        <v>2</v>
      </c>
    </row>
    <row r="13" spans="1:20" x14ac:dyDescent="0.3">
      <c r="A13" s="135">
        <v>12</v>
      </c>
      <c r="B13" s="135" t="s">
        <v>23</v>
      </c>
      <c r="C13" s="135" t="s">
        <v>1236</v>
      </c>
      <c r="D13" s="135" t="s">
        <v>409</v>
      </c>
      <c r="E13" s="135">
        <v>1</v>
      </c>
      <c r="F13" s="135">
        <v>22.8</v>
      </c>
      <c r="G13" s="135">
        <v>35.200000000000003</v>
      </c>
      <c r="H13" s="135">
        <v>297.7</v>
      </c>
      <c r="I13" s="135">
        <v>1.8</v>
      </c>
      <c r="J13" s="135">
        <v>0.7</v>
      </c>
      <c r="K13" s="135">
        <v>2.1</v>
      </c>
      <c r="L13" s="135">
        <v>1.4</v>
      </c>
      <c r="M13" s="135">
        <v>1.6</v>
      </c>
      <c r="N13" s="135">
        <v>0</v>
      </c>
      <c r="O13" s="135">
        <v>0.5</v>
      </c>
      <c r="P13" s="135">
        <v>0.4</v>
      </c>
      <c r="Q13" s="135">
        <v>0.1</v>
      </c>
      <c r="R13" s="135">
        <v>18.8</v>
      </c>
      <c r="S13" s="135">
        <v>18.8</v>
      </c>
      <c r="T13" s="135">
        <v>2</v>
      </c>
    </row>
    <row r="14" spans="1:20" x14ac:dyDescent="0.3">
      <c r="A14" s="135">
        <v>13</v>
      </c>
      <c r="B14" s="135" t="s">
        <v>444</v>
      </c>
      <c r="C14" s="135" t="s">
        <v>52</v>
      </c>
      <c r="D14" s="135" t="s">
        <v>398</v>
      </c>
      <c r="E14" s="135">
        <v>1</v>
      </c>
      <c r="F14" s="135">
        <v>18.600000000000001</v>
      </c>
      <c r="G14" s="135">
        <v>28.7</v>
      </c>
      <c r="H14" s="135">
        <v>222.4</v>
      </c>
      <c r="I14" s="135">
        <v>1.8</v>
      </c>
      <c r="J14" s="135">
        <v>0.7</v>
      </c>
      <c r="K14" s="135">
        <v>1.3</v>
      </c>
      <c r="L14" s="135">
        <v>4.5999999999999996</v>
      </c>
      <c r="M14" s="135">
        <v>27.2</v>
      </c>
      <c r="N14" s="135">
        <v>0.1</v>
      </c>
      <c r="O14" s="135">
        <v>0.1</v>
      </c>
      <c r="P14" s="135">
        <v>0.1</v>
      </c>
      <c r="Q14" s="135">
        <v>0.1</v>
      </c>
      <c r="R14" s="135">
        <v>18.8</v>
      </c>
      <c r="S14" s="135">
        <v>18.8</v>
      </c>
      <c r="T14" s="135">
        <v>2</v>
      </c>
    </row>
    <row r="15" spans="1:20" x14ac:dyDescent="0.3">
      <c r="A15" s="135">
        <v>14</v>
      </c>
      <c r="B15" s="135" t="s">
        <v>36</v>
      </c>
      <c r="C15" s="135" t="s">
        <v>37</v>
      </c>
      <c r="D15" s="135" t="s">
        <v>41</v>
      </c>
      <c r="E15" s="135">
        <v>1</v>
      </c>
      <c r="F15" s="135">
        <v>24.8</v>
      </c>
      <c r="G15" s="135">
        <v>37.799999999999997</v>
      </c>
      <c r="H15" s="135">
        <v>284.8</v>
      </c>
      <c r="I15" s="135">
        <v>1.9</v>
      </c>
      <c r="J15" s="135">
        <v>0.8</v>
      </c>
      <c r="K15" s="135">
        <v>2.4</v>
      </c>
      <c r="L15" s="135">
        <v>1.2</v>
      </c>
      <c r="M15" s="135">
        <v>3.8</v>
      </c>
      <c r="N15" s="135">
        <v>0</v>
      </c>
      <c r="O15" s="135">
        <v>0.3</v>
      </c>
      <c r="P15" s="135">
        <v>0.2</v>
      </c>
      <c r="Q15" s="135">
        <v>0.1</v>
      </c>
      <c r="R15" s="135">
        <v>18.7</v>
      </c>
      <c r="S15" s="135">
        <v>18.7</v>
      </c>
      <c r="T15" s="135">
        <v>2</v>
      </c>
    </row>
    <row r="16" spans="1:20" x14ac:dyDescent="0.3">
      <c r="A16" s="135">
        <v>15</v>
      </c>
      <c r="B16" s="135" t="s">
        <v>2551</v>
      </c>
      <c r="C16" s="135" t="s">
        <v>397</v>
      </c>
      <c r="D16" s="135" t="s">
        <v>20</v>
      </c>
      <c r="E16" s="135">
        <v>1</v>
      </c>
      <c r="F16" s="135">
        <v>20.8</v>
      </c>
      <c r="G16" s="135">
        <v>32.200000000000003</v>
      </c>
      <c r="H16" s="135">
        <v>265.3</v>
      </c>
      <c r="I16" s="135">
        <v>1.5</v>
      </c>
      <c r="J16" s="135">
        <v>0.7</v>
      </c>
      <c r="K16" s="135">
        <v>2.8</v>
      </c>
      <c r="L16" s="135">
        <v>3.9</v>
      </c>
      <c r="M16" s="135">
        <v>21.4</v>
      </c>
      <c r="N16" s="135">
        <v>0.1</v>
      </c>
      <c r="O16" s="135">
        <v>0.4</v>
      </c>
      <c r="P16" s="135">
        <v>0.3</v>
      </c>
      <c r="Q16" s="135">
        <v>0</v>
      </c>
      <c r="R16" s="135">
        <v>18.5</v>
      </c>
      <c r="S16" s="135">
        <v>18.5</v>
      </c>
      <c r="T16" s="135">
        <v>1</v>
      </c>
    </row>
    <row r="17" spans="1:20" x14ac:dyDescent="0.3">
      <c r="A17" s="135">
        <v>16</v>
      </c>
      <c r="B17" s="135" t="s">
        <v>429</v>
      </c>
      <c r="C17" s="135" t="s">
        <v>402</v>
      </c>
      <c r="D17" s="135" t="s">
        <v>10</v>
      </c>
      <c r="E17" s="135">
        <v>1</v>
      </c>
      <c r="F17" s="135">
        <v>25.5</v>
      </c>
      <c r="G17" s="135">
        <v>39.1</v>
      </c>
      <c r="H17" s="135">
        <v>260.3</v>
      </c>
      <c r="I17" s="135">
        <v>2</v>
      </c>
      <c r="J17" s="135">
        <v>1.1000000000000001</v>
      </c>
      <c r="K17" s="135">
        <v>1.5</v>
      </c>
      <c r="L17" s="135">
        <v>2.2000000000000002</v>
      </c>
      <c r="M17" s="135">
        <v>7.1</v>
      </c>
      <c r="N17" s="135">
        <v>0</v>
      </c>
      <c r="O17" s="135">
        <v>0.3</v>
      </c>
      <c r="P17" s="135">
        <v>0.2</v>
      </c>
      <c r="Q17" s="135">
        <v>0.1</v>
      </c>
      <c r="R17" s="135">
        <v>18.100000000000001</v>
      </c>
      <c r="S17" s="135">
        <v>18.100000000000001</v>
      </c>
      <c r="T17" s="135">
        <v>0</v>
      </c>
    </row>
    <row r="18" spans="1:20" x14ac:dyDescent="0.3">
      <c r="A18" s="135">
        <v>17</v>
      </c>
      <c r="B18" s="135" t="s">
        <v>9</v>
      </c>
      <c r="C18" s="135" t="s">
        <v>10</v>
      </c>
      <c r="D18" s="135" t="s">
        <v>402</v>
      </c>
      <c r="E18" s="135">
        <v>1</v>
      </c>
      <c r="F18" s="135">
        <v>18.899999999999999</v>
      </c>
      <c r="G18" s="135">
        <v>29.6</v>
      </c>
      <c r="H18" s="135">
        <v>224.1</v>
      </c>
      <c r="I18" s="135">
        <v>1.2</v>
      </c>
      <c r="J18" s="135">
        <v>0.5</v>
      </c>
      <c r="K18" s="135">
        <v>2.5</v>
      </c>
      <c r="L18" s="135">
        <v>6.3</v>
      </c>
      <c r="M18" s="135">
        <v>33.299999999999997</v>
      </c>
      <c r="N18" s="135">
        <v>0.3</v>
      </c>
      <c r="O18" s="135">
        <v>0.5</v>
      </c>
      <c r="P18" s="135">
        <v>0.4</v>
      </c>
      <c r="Q18" s="135">
        <v>0</v>
      </c>
      <c r="R18" s="135">
        <v>18.100000000000001</v>
      </c>
      <c r="S18" s="135">
        <v>18.100000000000001</v>
      </c>
      <c r="T18" s="135">
        <v>0</v>
      </c>
    </row>
    <row r="19" spans="1:20" x14ac:dyDescent="0.3">
      <c r="A19" s="135">
        <v>18</v>
      </c>
      <c r="B19" s="135" t="s">
        <v>56</v>
      </c>
      <c r="C19" s="135" t="s">
        <v>57</v>
      </c>
      <c r="D19" s="135" t="s">
        <v>28</v>
      </c>
      <c r="E19" s="135">
        <v>1</v>
      </c>
      <c r="F19" s="135">
        <v>24.7</v>
      </c>
      <c r="G19" s="135">
        <v>40</v>
      </c>
      <c r="H19" s="135">
        <v>272</v>
      </c>
      <c r="I19" s="135">
        <v>1.6</v>
      </c>
      <c r="J19" s="135">
        <v>1.1000000000000001</v>
      </c>
      <c r="K19" s="135">
        <v>2.9</v>
      </c>
      <c r="L19" s="135">
        <v>2.1</v>
      </c>
      <c r="M19" s="135">
        <v>9.8000000000000007</v>
      </c>
      <c r="N19" s="135">
        <v>0.1</v>
      </c>
      <c r="O19" s="135">
        <v>0.3</v>
      </c>
      <c r="P19" s="135">
        <v>0.2</v>
      </c>
      <c r="Q19" s="135">
        <v>0</v>
      </c>
      <c r="R19" s="135">
        <v>17.8</v>
      </c>
      <c r="S19" s="135">
        <v>17.8</v>
      </c>
      <c r="T19" s="135">
        <v>0</v>
      </c>
    </row>
    <row r="20" spans="1:20" x14ac:dyDescent="0.3">
      <c r="A20" s="135">
        <v>19</v>
      </c>
      <c r="B20" s="135" t="s">
        <v>45</v>
      </c>
      <c r="C20" s="135" t="s">
        <v>46</v>
      </c>
      <c r="D20" s="135" t="s">
        <v>26</v>
      </c>
      <c r="E20" s="135">
        <v>1</v>
      </c>
      <c r="F20" s="135">
        <v>21.8</v>
      </c>
      <c r="G20" s="135">
        <v>33.200000000000003</v>
      </c>
      <c r="H20" s="135">
        <v>259.10000000000002</v>
      </c>
      <c r="I20" s="135">
        <v>1.8</v>
      </c>
      <c r="J20" s="135">
        <v>0.7</v>
      </c>
      <c r="K20" s="135">
        <v>2.6</v>
      </c>
      <c r="L20" s="135">
        <v>2.1</v>
      </c>
      <c r="M20" s="135">
        <v>9.3000000000000007</v>
      </c>
      <c r="N20" s="135">
        <v>0</v>
      </c>
      <c r="O20" s="135">
        <v>0.5</v>
      </c>
      <c r="P20" s="135">
        <v>0.3</v>
      </c>
      <c r="Q20" s="135">
        <v>0</v>
      </c>
      <c r="R20" s="135">
        <v>17.8</v>
      </c>
      <c r="S20" s="135">
        <v>17.8</v>
      </c>
      <c r="T20" s="135">
        <v>0</v>
      </c>
    </row>
    <row r="21" spans="1:20" x14ac:dyDescent="0.3">
      <c r="A21" s="135">
        <v>20</v>
      </c>
      <c r="B21" s="135" t="s">
        <v>42</v>
      </c>
      <c r="C21" s="135" t="s">
        <v>1238</v>
      </c>
      <c r="D21" s="135" t="s">
        <v>30</v>
      </c>
      <c r="E21" s="135">
        <v>1</v>
      </c>
      <c r="F21" s="135">
        <v>19</v>
      </c>
      <c r="G21" s="135">
        <v>30.8</v>
      </c>
      <c r="H21" s="135">
        <v>244.1</v>
      </c>
      <c r="I21" s="135">
        <v>1.7</v>
      </c>
      <c r="J21" s="135">
        <v>0.6</v>
      </c>
      <c r="K21" s="135">
        <v>2.2000000000000002</v>
      </c>
      <c r="L21" s="135">
        <v>3.4</v>
      </c>
      <c r="M21" s="135">
        <v>9.6</v>
      </c>
      <c r="N21" s="135">
        <v>0.1</v>
      </c>
      <c r="O21" s="135">
        <v>0.3</v>
      </c>
      <c r="P21" s="135">
        <v>0.2</v>
      </c>
      <c r="Q21" s="135">
        <v>0</v>
      </c>
      <c r="R21" s="135">
        <v>17.600000000000001</v>
      </c>
      <c r="S21" s="135">
        <v>17.600000000000001</v>
      </c>
      <c r="T21" s="135">
        <v>0</v>
      </c>
    </row>
    <row r="22" spans="1:20" x14ac:dyDescent="0.3">
      <c r="A22" s="135">
        <v>21</v>
      </c>
      <c r="B22" s="135" t="s">
        <v>49</v>
      </c>
      <c r="C22" s="135" t="s">
        <v>50</v>
      </c>
      <c r="D22" s="135" t="s">
        <v>22</v>
      </c>
      <c r="E22" s="135">
        <v>1</v>
      </c>
      <c r="F22" s="135">
        <v>28.5</v>
      </c>
      <c r="G22" s="135">
        <v>42.4</v>
      </c>
      <c r="H22" s="135">
        <v>305.10000000000002</v>
      </c>
      <c r="I22" s="135">
        <v>1.4</v>
      </c>
      <c r="J22" s="135">
        <v>1.2</v>
      </c>
      <c r="K22" s="135">
        <v>2.5</v>
      </c>
      <c r="L22" s="135">
        <v>1.6</v>
      </c>
      <c r="M22" s="135">
        <v>4.5</v>
      </c>
      <c r="N22" s="135">
        <v>0.1</v>
      </c>
      <c r="O22" s="135">
        <v>0.7</v>
      </c>
      <c r="P22" s="135">
        <v>0.5</v>
      </c>
      <c r="Q22" s="135">
        <v>0</v>
      </c>
      <c r="R22" s="135">
        <v>16.899999999999999</v>
      </c>
      <c r="S22" s="135">
        <v>16.899999999999999</v>
      </c>
      <c r="T22" s="135">
        <v>0</v>
      </c>
    </row>
    <row r="23" spans="1:20" x14ac:dyDescent="0.3">
      <c r="A23" s="135">
        <v>22</v>
      </c>
      <c r="B23" s="135" t="s">
        <v>31</v>
      </c>
      <c r="C23" s="135" t="s">
        <v>1237</v>
      </c>
      <c r="D23" s="135" t="s">
        <v>4</v>
      </c>
      <c r="E23" s="135">
        <v>1</v>
      </c>
      <c r="F23" s="135">
        <v>24.9</v>
      </c>
      <c r="G23" s="135">
        <v>40.6</v>
      </c>
      <c r="H23" s="135">
        <v>275.10000000000002</v>
      </c>
      <c r="I23" s="135">
        <v>1.7</v>
      </c>
      <c r="J23" s="135">
        <v>1.1000000000000001</v>
      </c>
      <c r="K23" s="135">
        <v>2.2999999999999998</v>
      </c>
      <c r="L23" s="135">
        <v>1</v>
      </c>
      <c r="M23" s="135">
        <v>2.2000000000000002</v>
      </c>
      <c r="N23" s="135">
        <v>0</v>
      </c>
      <c r="O23" s="135">
        <v>0.4</v>
      </c>
      <c r="P23" s="135">
        <v>0.3</v>
      </c>
      <c r="Q23" s="135">
        <v>0</v>
      </c>
      <c r="R23" s="135">
        <v>16.8</v>
      </c>
      <c r="S23" s="135">
        <v>16.8</v>
      </c>
      <c r="T23" s="135">
        <v>0</v>
      </c>
    </row>
    <row r="24" spans="1:20" x14ac:dyDescent="0.3">
      <c r="A24" s="135">
        <v>23</v>
      </c>
      <c r="B24" s="135" t="s">
        <v>29</v>
      </c>
      <c r="C24" s="135" t="s">
        <v>30</v>
      </c>
      <c r="D24" s="135" t="s">
        <v>1238</v>
      </c>
      <c r="E24" s="135">
        <v>1</v>
      </c>
      <c r="F24" s="135">
        <v>21.3</v>
      </c>
      <c r="G24" s="135">
        <v>31.8</v>
      </c>
      <c r="H24" s="135">
        <v>239.9</v>
      </c>
      <c r="I24" s="135">
        <v>1.2</v>
      </c>
      <c r="J24" s="135">
        <v>0.7</v>
      </c>
      <c r="K24" s="135">
        <v>2.6</v>
      </c>
      <c r="L24" s="135">
        <v>3.4</v>
      </c>
      <c r="M24" s="135">
        <v>21.2</v>
      </c>
      <c r="N24" s="135">
        <v>0.1</v>
      </c>
      <c r="O24" s="135">
        <v>0.3</v>
      </c>
      <c r="P24" s="135">
        <v>0.2</v>
      </c>
      <c r="Q24" s="135">
        <v>0</v>
      </c>
      <c r="R24" s="135">
        <v>16.399999999999999</v>
      </c>
      <c r="S24" s="135">
        <v>16.399999999999999</v>
      </c>
      <c r="T24" s="135">
        <v>0</v>
      </c>
    </row>
    <row r="25" spans="1:20" x14ac:dyDescent="0.3">
      <c r="A25" s="135">
        <v>24</v>
      </c>
      <c r="B25" s="135" t="s">
        <v>411</v>
      </c>
      <c r="C25" s="135" t="s">
        <v>34</v>
      </c>
      <c r="D25" s="135" t="s">
        <v>7</v>
      </c>
      <c r="E25" s="135">
        <v>1</v>
      </c>
      <c r="F25" s="135">
        <v>21</v>
      </c>
      <c r="G25" s="135">
        <v>35.700000000000003</v>
      </c>
      <c r="H25" s="135">
        <v>239.1</v>
      </c>
      <c r="I25" s="135">
        <v>1.3</v>
      </c>
      <c r="J25" s="135">
        <v>0.9</v>
      </c>
      <c r="K25" s="135">
        <v>2.2000000000000002</v>
      </c>
      <c r="L25" s="135">
        <v>3.8</v>
      </c>
      <c r="M25" s="135">
        <v>15.8</v>
      </c>
      <c r="N25" s="135">
        <v>0.1</v>
      </c>
      <c r="O25" s="135">
        <v>0.5</v>
      </c>
      <c r="P25" s="135">
        <v>0.4</v>
      </c>
      <c r="Q25" s="135">
        <v>0</v>
      </c>
      <c r="R25" s="135">
        <v>16</v>
      </c>
      <c r="S25" s="135">
        <v>16</v>
      </c>
      <c r="T25" s="135">
        <v>0</v>
      </c>
    </row>
    <row r="26" spans="1:20" x14ac:dyDescent="0.3">
      <c r="A26" s="135">
        <v>25</v>
      </c>
      <c r="B26" s="135" t="s">
        <v>1240</v>
      </c>
      <c r="C26" s="135" t="s">
        <v>70</v>
      </c>
      <c r="D26" s="135" t="s">
        <v>401</v>
      </c>
      <c r="E26" s="135">
        <v>1</v>
      </c>
      <c r="F26" s="135">
        <v>20</v>
      </c>
      <c r="G26" s="135">
        <v>32</v>
      </c>
      <c r="H26" s="135">
        <v>236.9</v>
      </c>
      <c r="I26" s="135">
        <v>1.6</v>
      </c>
      <c r="J26" s="135">
        <v>0.8</v>
      </c>
      <c r="K26" s="135">
        <v>1.8</v>
      </c>
      <c r="L26" s="135">
        <v>1.4</v>
      </c>
      <c r="M26" s="135">
        <v>3.5</v>
      </c>
      <c r="N26" s="135">
        <v>0.1</v>
      </c>
      <c r="O26" s="135">
        <v>0.5</v>
      </c>
      <c r="P26" s="135">
        <v>0.3</v>
      </c>
      <c r="Q26" s="135">
        <v>0</v>
      </c>
      <c r="R26" s="135">
        <v>15.7</v>
      </c>
      <c r="S26" s="135">
        <v>15.7</v>
      </c>
      <c r="T26" s="135">
        <v>0</v>
      </c>
    </row>
    <row r="27" spans="1:20" x14ac:dyDescent="0.3">
      <c r="A27" s="135">
        <v>26</v>
      </c>
      <c r="B27" s="135" t="s">
        <v>47</v>
      </c>
      <c r="C27" s="135" t="s">
        <v>398</v>
      </c>
      <c r="D27" s="135" t="s">
        <v>52</v>
      </c>
      <c r="E27" s="135">
        <v>1</v>
      </c>
      <c r="F27" s="135">
        <v>16.7</v>
      </c>
      <c r="G27" s="135">
        <v>27.2</v>
      </c>
      <c r="H27" s="135">
        <v>216.6</v>
      </c>
      <c r="I27" s="135">
        <v>1</v>
      </c>
      <c r="J27" s="135">
        <v>0.6</v>
      </c>
      <c r="K27" s="135">
        <v>2.1</v>
      </c>
      <c r="L27" s="135">
        <v>4.7</v>
      </c>
      <c r="M27" s="135">
        <v>25.3</v>
      </c>
      <c r="N27" s="135">
        <v>0.2</v>
      </c>
      <c r="O27" s="135">
        <v>0.1</v>
      </c>
      <c r="P27" s="135">
        <v>0.1</v>
      </c>
      <c r="Q27" s="135">
        <v>0</v>
      </c>
      <c r="R27" s="135">
        <v>15.7</v>
      </c>
      <c r="S27" s="135">
        <v>15.7</v>
      </c>
      <c r="T27" s="135">
        <v>0</v>
      </c>
    </row>
    <row r="28" spans="1:20" x14ac:dyDescent="0.3">
      <c r="A28" s="135">
        <v>27</v>
      </c>
      <c r="B28" s="135" t="s">
        <v>44</v>
      </c>
      <c r="C28" s="135" t="s">
        <v>401</v>
      </c>
      <c r="D28" s="135" t="s">
        <v>70</v>
      </c>
      <c r="E28" s="135">
        <v>1</v>
      </c>
      <c r="F28" s="135">
        <v>19.399999999999999</v>
      </c>
      <c r="G28" s="135">
        <v>33.799999999999997</v>
      </c>
      <c r="H28" s="135">
        <v>237.7</v>
      </c>
      <c r="I28" s="135">
        <v>1.4</v>
      </c>
      <c r="J28" s="135">
        <v>0.9</v>
      </c>
      <c r="K28" s="135">
        <v>2.7</v>
      </c>
      <c r="L28" s="135">
        <v>3.4</v>
      </c>
      <c r="M28" s="135">
        <v>12.7</v>
      </c>
      <c r="N28" s="135">
        <v>0.1</v>
      </c>
      <c r="O28" s="135">
        <v>0.6</v>
      </c>
      <c r="P28" s="135">
        <v>0.4</v>
      </c>
      <c r="Q28" s="135">
        <v>0</v>
      </c>
      <c r="R28" s="135">
        <v>15.7</v>
      </c>
      <c r="S28" s="135">
        <v>15.7</v>
      </c>
      <c r="T28" s="135">
        <v>0</v>
      </c>
    </row>
    <row r="29" spans="1:20" x14ac:dyDescent="0.3">
      <c r="A29" s="135">
        <v>28</v>
      </c>
      <c r="B29" s="135" t="s">
        <v>38</v>
      </c>
      <c r="C29" s="135" t="s">
        <v>41</v>
      </c>
      <c r="D29" s="135" t="s">
        <v>37</v>
      </c>
      <c r="E29" s="135">
        <v>1</v>
      </c>
      <c r="F29" s="135">
        <v>23.5</v>
      </c>
      <c r="G29" s="135">
        <v>34.1</v>
      </c>
      <c r="H29" s="135">
        <v>259.39999999999998</v>
      </c>
      <c r="I29" s="135">
        <v>1.4</v>
      </c>
      <c r="J29" s="135">
        <v>0.8</v>
      </c>
      <c r="K29" s="135">
        <v>2.1</v>
      </c>
      <c r="L29" s="135">
        <v>1.9</v>
      </c>
      <c r="M29" s="135">
        <v>3.4</v>
      </c>
      <c r="N29" s="135">
        <v>0.1</v>
      </c>
      <c r="O29" s="135">
        <v>0.5</v>
      </c>
      <c r="P29" s="135">
        <v>0.3</v>
      </c>
      <c r="Q29" s="135">
        <v>0</v>
      </c>
      <c r="R29" s="135">
        <v>15.6</v>
      </c>
      <c r="S29" s="135">
        <v>15.6</v>
      </c>
      <c r="T29" s="135">
        <v>0</v>
      </c>
    </row>
    <row r="30" spans="1:20" x14ac:dyDescent="0.3">
      <c r="A30" s="135">
        <v>29</v>
      </c>
      <c r="B30" s="135" t="s">
        <v>445</v>
      </c>
      <c r="C30" s="135" t="s">
        <v>1239</v>
      </c>
      <c r="D30" s="135" t="s">
        <v>18</v>
      </c>
      <c r="E30" s="135">
        <v>1</v>
      </c>
      <c r="F30" s="135">
        <v>20.5</v>
      </c>
      <c r="G30" s="135">
        <v>32.9</v>
      </c>
      <c r="H30" s="135">
        <v>229.9</v>
      </c>
      <c r="I30" s="135">
        <v>1.2</v>
      </c>
      <c r="J30" s="135">
        <v>0.7</v>
      </c>
      <c r="K30" s="135">
        <v>1.9</v>
      </c>
      <c r="L30" s="135">
        <v>2.8</v>
      </c>
      <c r="M30" s="135">
        <v>10.5</v>
      </c>
      <c r="N30" s="135">
        <v>0.1</v>
      </c>
      <c r="O30" s="135">
        <v>0.5</v>
      </c>
      <c r="P30" s="135">
        <v>0.3</v>
      </c>
      <c r="Q30" s="135">
        <v>0</v>
      </c>
      <c r="R30" s="135">
        <v>14.9</v>
      </c>
      <c r="S30" s="135">
        <v>14.9</v>
      </c>
      <c r="T30" s="135">
        <v>0</v>
      </c>
    </row>
    <row r="31" spans="1:20" x14ac:dyDescent="0.3">
      <c r="A31" s="135">
        <v>30</v>
      </c>
      <c r="B31" s="135" t="s">
        <v>63</v>
      </c>
      <c r="C31" s="135" t="s">
        <v>409</v>
      </c>
      <c r="D31" s="135" t="s">
        <v>1236</v>
      </c>
      <c r="E31" s="135">
        <v>1</v>
      </c>
      <c r="F31" s="135">
        <v>18.5</v>
      </c>
      <c r="G31" s="135">
        <v>30.1</v>
      </c>
      <c r="H31" s="135">
        <v>198.9</v>
      </c>
      <c r="I31" s="135">
        <v>0.7</v>
      </c>
      <c r="J31" s="135">
        <v>0.9</v>
      </c>
      <c r="K31" s="135">
        <v>1.4</v>
      </c>
      <c r="L31" s="135">
        <v>2.5</v>
      </c>
      <c r="M31" s="135">
        <v>8.1999999999999993</v>
      </c>
      <c r="N31" s="135">
        <v>0.1</v>
      </c>
      <c r="O31" s="135">
        <v>0.5</v>
      </c>
      <c r="P31" s="135">
        <v>0.3</v>
      </c>
      <c r="Q31" s="135">
        <v>0</v>
      </c>
      <c r="R31" s="135">
        <v>11</v>
      </c>
      <c r="S31" s="135">
        <v>11</v>
      </c>
      <c r="T31" s="135">
        <v>0</v>
      </c>
    </row>
    <row r="32" spans="1:20" x14ac:dyDescent="0.3">
      <c r="A32" s="135">
        <v>31</v>
      </c>
      <c r="B32" s="135" t="s">
        <v>69</v>
      </c>
      <c r="C32" s="135" t="s">
        <v>52</v>
      </c>
      <c r="D32" s="135" t="s">
        <v>398</v>
      </c>
      <c r="E32" s="135">
        <v>1</v>
      </c>
      <c r="F32" s="135">
        <v>2.1</v>
      </c>
      <c r="G32" s="135">
        <v>3.2</v>
      </c>
      <c r="H32" s="135">
        <v>25.4</v>
      </c>
      <c r="I32" s="135">
        <v>0.2</v>
      </c>
      <c r="J32" s="135">
        <v>0.1</v>
      </c>
      <c r="K32" s="135">
        <v>0.2</v>
      </c>
      <c r="L32" s="135">
        <v>0</v>
      </c>
      <c r="M32" s="135">
        <v>0</v>
      </c>
      <c r="N32" s="135">
        <v>0</v>
      </c>
      <c r="O32" s="135">
        <v>0</v>
      </c>
      <c r="P32" s="135">
        <v>0</v>
      </c>
      <c r="Q32" s="135">
        <v>0</v>
      </c>
      <c r="R32" s="135">
        <v>1.7</v>
      </c>
      <c r="S32" s="135">
        <v>1.7</v>
      </c>
      <c r="T32" s="135">
        <v>0</v>
      </c>
    </row>
    <row r="33" spans="1:20" x14ac:dyDescent="0.3">
      <c r="A33" s="135">
        <v>32</v>
      </c>
      <c r="B33" s="135" t="s">
        <v>58</v>
      </c>
      <c r="C33" s="135" t="s">
        <v>398</v>
      </c>
      <c r="D33" s="135" t="s">
        <v>52</v>
      </c>
      <c r="E33" s="135">
        <v>1</v>
      </c>
      <c r="F33" s="135">
        <v>1.9</v>
      </c>
      <c r="G33" s="135">
        <v>3</v>
      </c>
      <c r="H33" s="135">
        <v>22.1</v>
      </c>
      <c r="I33" s="135">
        <v>0.1</v>
      </c>
      <c r="J33" s="135">
        <v>0.1</v>
      </c>
      <c r="K33" s="135">
        <v>0.3</v>
      </c>
      <c r="L33" s="135">
        <v>0.1</v>
      </c>
      <c r="M33" s="135">
        <v>0.4</v>
      </c>
      <c r="N33" s="135">
        <v>0</v>
      </c>
      <c r="O33" s="135">
        <v>0</v>
      </c>
      <c r="P33" s="135">
        <v>0</v>
      </c>
      <c r="Q33" s="135">
        <v>0</v>
      </c>
      <c r="R33" s="135">
        <v>1.3</v>
      </c>
      <c r="S33" s="135">
        <v>1.3</v>
      </c>
      <c r="T33" s="135">
        <v>0</v>
      </c>
    </row>
    <row r="34" spans="1:20" x14ac:dyDescent="0.3">
      <c r="A34" s="135">
        <v>33</v>
      </c>
      <c r="B34" s="135" t="s">
        <v>68</v>
      </c>
      <c r="C34" s="135" t="s">
        <v>20</v>
      </c>
      <c r="D34" s="135" t="s">
        <v>397</v>
      </c>
      <c r="E34" s="135">
        <v>1</v>
      </c>
      <c r="F34" s="135">
        <v>0.8</v>
      </c>
      <c r="G34" s="135">
        <v>1.2</v>
      </c>
      <c r="H34" s="135">
        <v>10</v>
      </c>
      <c r="I34" s="135">
        <v>0.1</v>
      </c>
      <c r="J34" s="135">
        <v>0.1</v>
      </c>
      <c r="K34" s="135">
        <v>0.1</v>
      </c>
      <c r="L34" s="135">
        <v>0</v>
      </c>
      <c r="M34" s="135">
        <v>0</v>
      </c>
      <c r="N34" s="135">
        <v>0</v>
      </c>
      <c r="O34" s="135">
        <v>0</v>
      </c>
      <c r="P34" s="135">
        <v>0</v>
      </c>
      <c r="Q34" s="135">
        <v>0</v>
      </c>
      <c r="R34" s="135">
        <v>0.6</v>
      </c>
      <c r="S34" s="135">
        <v>0.6</v>
      </c>
      <c r="T34" s="135">
        <v>0</v>
      </c>
    </row>
    <row r="35" spans="1:20" x14ac:dyDescent="0.3">
      <c r="A35" s="135">
        <v>34</v>
      </c>
      <c r="B35" s="135" t="s">
        <v>75</v>
      </c>
      <c r="C35" s="135" t="s">
        <v>409</v>
      </c>
      <c r="D35" s="135" t="s">
        <v>1236</v>
      </c>
      <c r="E35" s="135">
        <v>1</v>
      </c>
      <c r="F35" s="135">
        <v>0.8</v>
      </c>
      <c r="G35" s="135">
        <v>1.3</v>
      </c>
      <c r="H35" s="135">
        <v>8.6999999999999993</v>
      </c>
      <c r="I35" s="135">
        <v>0</v>
      </c>
      <c r="J35" s="135">
        <v>0</v>
      </c>
      <c r="K35" s="135">
        <v>0.1</v>
      </c>
      <c r="L35" s="135">
        <v>0</v>
      </c>
      <c r="M35" s="135">
        <v>0</v>
      </c>
      <c r="N35" s="135">
        <v>0</v>
      </c>
      <c r="O35" s="135">
        <v>0</v>
      </c>
      <c r="P35" s="135">
        <v>0</v>
      </c>
      <c r="Q35" s="135">
        <v>0</v>
      </c>
      <c r="R35" s="135">
        <v>0.4</v>
      </c>
      <c r="S35" s="135">
        <v>0.4</v>
      </c>
      <c r="T35" s="135">
        <v>0</v>
      </c>
    </row>
    <row r="36" spans="1:20" x14ac:dyDescent="0.3">
      <c r="A36" s="135">
        <v>35</v>
      </c>
      <c r="B36" s="135" t="s">
        <v>72</v>
      </c>
      <c r="C36" s="135" t="s">
        <v>41</v>
      </c>
      <c r="D36" s="135" t="s">
        <v>37</v>
      </c>
      <c r="E36" s="135">
        <v>1</v>
      </c>
      <c r="F36" s="135">
        <v>0.5</v>
      </c>
      <c r="G36" s="135">
        <v>0.7</v>
      </c>
      <c r="H36" s="135">
        <v>5.0999999999999996</v>
      </c>
      <c r="I36" s="135">
        <v>0</v>
      </c>
      <c r="J36" s="135">
        <v>0</v>
      </c>
      <c r="K36" s="135">
        <v>0.1</v>
      </c>
      <c r="L36" s="135">
        <v>0</v>
      </c>
      <c r="M36" s="135">
        <v>0</v>
      </c>
      <c r="N36" s="135">
        <v>0</v>
      </c>
      <c r="O36" s="135">
        <v>0</v>
      </c>
      <c r="P36" s="135">
        <v>0</v>
      </c>
      <c r="Q36" s="135">
        <v>0</v>
      </c>
      <c r="R36" s="135">
        <v>0.3</v>
      </c>
      <c r="S36" s="135">
        <v>0.3</v>
      </c>
      <c r="T36" s="135">
        <v>0</v>
      </c>
    </row>
    <row r="37" spans="1:20" x14ac:dyDescent="0.3">
      <c r="A37" s="135">
        <v>36</v>
      </c>
      <c r="B37" s="135" t="s">
        <v>33</v>
      </c>
      <c r="C37" s="135" t="s">
        <v>34</v>
      </c>
      <c r="D37" s="135" t="s">
        <v>7</v>
      </c>
      <c r="E37" s="135">
        <v>1</v>
      </c>
      <c r="F37" s="135">
        <v>0.4</v>
      </c>
      <c r="G37" s="135">
        <v>0.7</v>
      </c>
      <c r="H37" s="135">
        <v>4.9000000000000004</v>
      </c>
      <c r="I37" s="135">
        <v>0</v>
      </c>
      <c r="J37" s="135">
        <v>0</v>
      </c>
      <c r="K37" s="135">
        <v>0.1</v>
      </c>
      <c r="L37" s="135">
        <v>0</v>
      </c>
      <c r="M37" s="135">
        <v>0</v>
      </c>
      <c r="N37" s="135">
        <v>0</v>
      </c>
      <c r="O37" s="135">
        <v>0</v>
      </c>
      <c r="P37" s="135">
        <v>0</v>
      </c>
      <c r="Q37" s="135">
        <v>0</v>
      </c>
      <c r="R37" s="135">
        <v>0.3</v>
      </c>
      <c r="S37" s="135">
        <v>0.3</v>
      </c>
      <c r="T37" s="135">
        <v>0</v>
      </c>
    </row>
    <row r="38" spans="1:20" x14ac:dyDescent="0.3">
      <c r="A38" s="135">
        <v>37</v>
      </c>
      <c r="B38" s="135" t="s">
        <v>76</v>
      </c>
      <c r="C38" s="135" t="s">
        <v>407</v>
      </c>
      <c r="D38" s="135" t="s">
        <v>404</v>
      </c>
      <c r="E38" s="135">
        <v>1</v>
      </c>
      <c r="F38" s="135">
        <v>0.2</v>
      </c>
      <c r="G38" s="135">
        <v>0.4</v>
      </c>
      <c r="H38" s="135">
        <v>3.6</v>
      </c>
      <c r="I38" s="135">
        <v>0</v>
      </c>
      <c r="J38" s="135">
        <v>0</v>
      </c>
      <c r="K38" s="135">
        <v>0</v>
      </c>
      <c r="L38" s="135">
        <v>0</v>
      </c>
      <c r="M38" s="135">
        <v>0</v>
      </c>
      <c r="N38" s="135">
        <v>0</v>
      </c>
      <c r="O38" s="135">
        <v>0</v>
      </c>
      <c r="P38" s="135">
        <v>0</v>
      </c>
      <c r="Q38" s="135">
        <v>0</v>
      </c>
      <c r="R38" s="135">
        <v>0.2</v>
      </c>
      <c r="S38" s="135">
        <v>0.2</v>
      </c>
      <c r="T38" s="135">
        <v>0</v>
      </c>
    </row>
    <row r="39" spans="1:20" x14ac:dyDescent="0.3">
      <c r="A39" s="135">
        <v>38</v>
      </c>
      <c r="B39" s="135" t="s">
        <v>66</v>
      </c>
      <c r="C39" s="135" t="s">
        <v>37</v>
      </c>
      <c r="D39" s="135" t="s">
        <v>41</v>
      </c>
      <c r="E39" s="135">
        <v>1</v>
      </c>
      <c r="F39" s="135">
        <v>0.3</v>
      </c>
      <c r="G39" s="135">
        <v>0.4</v>
      </c>
      <c r="H39" s="135">
        <v>3.6</v>
      </c>
      <c r="I39" s="135">
        <v>0</v>
      </c>
      <c r="J39" s="135">
        <v>0</v>
      </c>
      <c r="K39" s="135">
        <v>0</v>
      </c>
      <c r="L39" s="135">
        <v>0</v>
      </c>
      <c r="M39" s="135">
        <v>0</v>
      </c>
      <c r="N39" s="135">
        <v>0</v>
      </c>
      <c r="O39" s="135">
        <v>0</v>
      </c>
      <c r="P39" s="135">
        <v>0</v>
      </c>
      <c r="Q39" s="135">
        <v>0</v>
      </c>
      <c r="R39" s="135">
        <v>0.2</v>
      </c>
      <c r="S39" s="135">
        <v>0.2</v>
      </c>
      <c r="T39" s="135">
        <v>0</v>
      </c>
    </row>
    <row r="40" spans="1:20" x14ac:dyDescent="0.3">
      <c r="A40" s="135">
        <v>39</v>
      </c>
      <c r="B40" s="135" t="s">
        <v>1241</v>
      </c>
      <c r="C40" s="135" t="s">
        <v>18</v>
      </c>
      <c r="D40" s="135" t="s">
        <v>1239</v>
      </c>
      <c r="E40" s="135">
        <v>1</v>
      </c>
      <c r="F40" s="135">
        <v>0.2</v>
      </c>
      <c r="G40" s="135">
        <v>0.3</v>
      </c>
      <c r="H40" s="135">
        <v>3.3</v>
      </c>
      <c r="I40" s="135">
        <v>0</v>
      </c>
      <c r="J40" s="135">
        <v>0</v>
      </c>
      <c r="K40" s="135">
        <v>0</v>
      </c>
      <c r="L40" s="135">
        <v>0</v>
      </c>
      <c r="M40" s="135">
        <v>0</v>
      </c>
      <c r="N40" s="135">
        <v>0</v>
      </c>
      <c r="O40" s="135">
        <v>0</v>
      </c>
      <c r="P40" s="135">
        <v>0</v>
      </c>
      <c r="Q40" s="135">
        <v>0</v>
      </c>
      <c r="R40" s="135">
        <v>0.2</v>
      </c>
      <c r="S40" s="135">
        <v>0.2</v>
      </c>
      <c r="T40" s="135">
        <v>0</v>
      </c>
    </row>
    <row r="41" spans="1:20" x14ac:dyDescent="0.3">
      <c r="A41" s="135">
        <v>40</v>
      </c>
      <c r="B41" s="135" t="s">
        <v>74</v>
      </c>
      <c r="C41" s="135" t="s">
        <v>404</v>
      </c>
      <c r="D41" s="135" t="s">
        <v>407</v>
      </c>
      <c r="E41" s="135">
        <v>1</v>
      </c>
      <c r="F41" s="135">
        <v>0.2</v>
      </c>
      <c r="G41" s="135">
        <v>0.4</v>
      </c>
      <c r="H41" s="135">
        <v>3.2</v>
      </c>
      <c r="I41" s="135">
        <v>0</v>
      </c>
      <c r="J41" s="135">
        <v>0</v>
      </c>
      <c r="K41" s="135">
        <v>0</v>
      </c>
      <c r="L41" s="135">
        <v>0</v>
      </c>
      <c r="M41" s="135">
        <v>0</v>
      </c>
      <c r="N41" s="135">
        <v>0</v>
      </c>
      <c r="O41" s="135">
        <v>0</v>
      </c>
      <c r="P41" s="135">
        <v>0</v>
      </c>
      <c r="Q41" s="135">
        <v>0</v>
      </c>
      <c r="R41" s="135">
        <v>0.2</v>
      </c>
      <c r="S41" s="135">
        <v>0.2</v>
      </c>
      <c r="T41" s="135">
        <v>0</v>
      </c>
    </row>
    <row r="42" spans="1:20" x14ac:dyDescent="0.3">
      <c r="A42" s="135">
        <v>41</v>
      </c>
      <c r="B42" s="135" t="s">
        <v>77</v>
      </c>
      <c r="C42" s="135" t="s">
        <v>16</v>
      </c>
      <c r="D42" s="135" t="s">
        <v>12</v>
      </c>
      <c r="E42" s="135">
        <v>1</v>
      </c>
      <c r="F42" s="135">
        <v>0.2</v>
      </c>
      <c r="G42" s="135">
        <v>0.4</v>
      </c>
      <c r="H42" s="135">
        <v>2.7</v>
      </c>
      <c r="I42" s="135">
        <v>0</v>
      </c>
      <c r="J42" s="135">
        <v>0</v>
      </c>
      <c r="K42" s="135">
        <v>0</v>
      </c>
      <c r="L42" s="135">
        <v>0</v>
      </c>
      <c r="M42" s="135">
        <v>0</v>
      </c>
      <c r="N42" s="135">
        <v>0</v>
      </c>
      <c r="O42" s="135">
        <v>0</v>
      </c>
      <c r="P42" s="135">
        <v>0</v>
      </c>
      <c r="Q42" s="135">
        <v>0</v>
      </c>
      <c r="R42" s="135">
        <v>0.2</v>
      </c>
      <c r="S42" s="135">
        <v>0.2</v>
      </c>
      <c r="T42" s="135">
        <v>0</v>
      </c>
    </row>
    <row r="43" spans="1:20" x14ac:dyDescent="0.3">
      <c r="A43" s="135">
        <v>42</v>
      </c>
      <c r="B43" s="135" t="s">
        <v>79</v>
      </c>
      <c r="C43" s="135" t="s">
        <v>57</v>
      </c>
      <c r="D43" s="135" t="s">
        <v>28</v>
      </c>
      <c r="E43" s="135">
        <v>1</v>
      </c>
      <c r="F43" s="135">
        <v>0.3</v>
      </c>
      <c r="G43" s="135">
        <v>0.4</v>
      </c>
      <c r="H43" s="135">
        <v>3.5</v>
      </c>
      <c r="I43" s="135">
        <v>0</v>
      </c>
      <c r="J43" s="135">
        <v>0</v>
      </c>
      <c r="K43" s="135">
        <v>0</v>
      </c>
      <c r="L43" s="135">
        <v>0</v>
      </c>
      <c r="M43" s="135">
        <v>0</v>
      </c>
      <c r="N43" s="135">
        <v>0</v>
      </c>
      <c r="O43" s="135">
        <v>0</v>
      </c>
      <c r="P43" s="135">
        <v>0</v>
      </c>
      <c r="Q43" s="135">
        <v>0</v>
      </c>
      <c r="R43" s="135">
        <v>0.2</v>
      </c>
      <c r="S43" s="135">
        <v>0.2</v>
      </c>
      <c r="T43" s="135">
        <v>0</v>
      </c>
    </row>
    <row r="44" spans="1:20" x14ac:dyDescent="0.3">
      <c r="A44" s="135">
        <v>43</v>
      </c>
      <c r="B44" s="135" t="s">
        <v>55</v>
      </c>
      <c r="C44" s="135" t="s">
        <v>4</v>
      </c>
      <c r="D44" s="135" t="s">
        <v>1237</v>
      </c>
      <c r="E44" s="135">
        <v>1</v>
      </c>
      <c r="F44" s="135">
        <v>0.2</v>
      </c>
      <c r="G44" s="135">
        <v>0.4</v>
      </c>
      <c r="H44" s="135">
        <v>2.5</v>
      </c>
      <c r="I44" s="135">
        <v>0</v>
      </c>
      <c r="J44" s="135">
        <v>0</v>
      </c>
      <c r="K44" s="135">
        <v>0</v>
      </c>
      <c r="L44" s="135">
        <v>0</v>
      </c>
      <c r="M44" s="135">
        <v>0</v>
      </c>
      <c r="N44" s="135">
        <v>0</v>
      </c>
      <c r="O44" s="135">
        <v>0</v>
      </c>
      <c r="P44" s="135">
        <v>0</v>
      </c>
      <c r="Q44" s="135">
        <v>0</v>
      </c>
      <c r="R44" s="135">
        <v>0.2</v>
      </c>
      <c r="S44" s="135">
        <v>0.2</v>
      </c>
      <c r="T44" s="135">
        <v>0</v>
      </c>
    </row>
    <row r="45" spans="1:20" x14ac:dyDescent="0.3">
      <c r="A45" s="135">
        <v>44</v>
      </c>
      <c r="B45" s="135" t="s">
        <v>71</v>
      </c>
      <c r="C45" s="135" t="s">
        <v>26</v>
      </c>
      <c r="D45" s="135" t="s">
        <v>46</v>
      </c>
      <c r="E45" s="135">
        <v>1</v>
      </c>
      <c r="F45" s="135">
        <v>0.2</v>
      </c>
      <c r="G45" s="135">
        <v>0.3</v>
      </c>
      <c r="H45" s="135">
        <v>2.6</v>
      </c>
      <c r="I45" s="135">
        <v>0</v>
      </c>
      <c r="J45" s="135">
        <v>0</v>
      </c>
      <c r="K45" s="135">
        <v>0</v>
      </c>
      <c r="L45" s="135">
        <v>0</v>
      </c>
      <c r="M45" s="135">
        <v>0</v>
      </c>
      <c r="N45" s="135">
        <v>0</v>
      </c>
      <c r="O45" s="135">
        <v>0</v>
      </c>
      <c r="P45" s="135">
        <v>0</v>
      </c>
      <c r="Q45" s="135">
        <v>0</v>
      </c>
      <c r="R45" s="135">
        <v>0.2</v>
      </c>
      <c r="S45" s="135">
        <v>0.2</v>
      </c>
      <c r="T45" s="135">
        <v>0</v>
      </c>
    </row>
    <row r="46" spans="1:20" x14ac:dyDescent="0.3">
      <c r="A46" s="135">
        <v>45</v>
      </c>
      <c r="B46" s="135" t="s">
        <v>61</v>
      </c>
      <c r="C46" s="135" t="s">
        <v>1237</v>
      </c>
      <c r="D46" s="135" t="s">
        <v>4</v>
      </c>
      <c r="E46" s="135">
        <v>1</v>
      </c>
      <c r="F46" s="135">
        <v>0.3</v>
      </c>
      <c r="G46" s="135">
        <v>0.4</v>
      </c>
      <c r="H46" s="135">
        <v>2.9</v>
      </c>
      <c r="I46" s="135">
        <v>0</v>
      </c>
      <c r="J46" s="135">
        <v>0</v>
      </c>
      <c r="K46" s="135">
        <v>0</v>
      </c>
      <c r="L46" s="135">
        <v>0</v>
      </c>
      <c r="M46" s="135">
        <v>0</v>
      </c>
      <c r="N46" s="135">
        <v>0</v>
      </c>
      <c r="O46" s="135">
        <v>0</v>
      </c>
      <c r="P46" s="135">
        <v>0</v>
      </c>
      <c r="Q46" s="135">
        <v>0</v>
      </c>
      <c r="R46" s="135">
        <v>0.2</v>
      </c>
      <c r="S46" s="135">
        <v>0.2</v>
      </c>
      <c r="T46" s="135">
        <v>0</v>
      </c>
    </row>
    <row r="47" spans="1:20" x14ac:dyDescent="0.3">
      <c r="A47" s="135">
        <v>46</v>
      </c>
      <c r="B47" s="135" t="s">
        <v>434</v>
      </c>
      <c r="C47" s="135" t="s">
        <v>12</v>
      </c>
      <c r="D47" s="135" t="s">
        <v>16</v>
      </c>
      <c r="E47" s="135">
        <v>1</v>
      </c>
      <c r="F47" s="135">
        <v>0.2</v>
      </c>
      <c r="G47" s="135">
        <v>0.3</v>
      </c>
      <c r="H47" s="135">
        <v>2.4</v>
      </c>
      <c r="I47" s="135">
        <v>0</v>
      </c>
      <c r="J47" s="135">
        <v>0</v>
      </c>
      <c r="K47" s="135">
        <v>0</v>
      </c>
      <c r="L47" s="135">
        <v>0</v>
      </c>
      <c r="M47" s="135">
        <v>0</v>
      </c>
      <c r="N47" s="135">
        <v>0</v>
      </c>
      <c r="O47" s="135">
        <v>0</v>
      </c>
      <c r="P47" s="135">
        <v>0</v>
      </c>
      <c r="Q47" s="135">
        <v>0</v>
      </c>
      <c r="R47" s="135">
        <v>0.2</v>
      </c>
      <c r="S47" s="135">
        <v>0.2</v>
      </c>
      <c r="T47" s="135">
        <v>0</v>
      </c>
    </row>
    <row r="48" spans="1:20" x14ac:dyDescent="0.3">
      <c r="A48" s="135">
        <v>47</v>
      </c>
      <c r="B48" s="135" t="s">
        <v>80</v>
      </c>
      <c r="C48" s="135" t="s">
        <v>22</v>
      </c>
      <c r="D48" s="135" t="s">
        <v>50</v>
      </c>
      <c r="E48" s="135">
        <v>1</v>
      </c>
      <c r="F48" s="135">
        <v>0.2</v>
      </c>
      <c r="G48" s="135">
        <v>0.3</v>
      </c>
      <c r="H48" s="135">
        <v>2.2999999999999998</v>
      </c>
      <c r="I48" s="135">
        <v>0</v>
      </c>
      <c r="J48" s="135">
        <v>0</v>
      </c>
      <c r="K48" s="135">
        <v>0</v>
      </c>
      <c r="L48" s="135">
        <v>0</v>
      </c>
      <c r="M48" s="135">
        <v>0</v>
      </c>
      <c r="N48" s="135">
        <v>0</v>
      </c>
      <c r="O48" s="135">
        <v>0</v>
      </c>
      <c r="P48" s="135">
        <v>0</v>
      </c>
      <c r="Q48" s="135">
        <v>0</v>
      </c>
      <c r="R48" s="135">
        <v>0.2</v>
      </c>
      <c r="S48" s="135">
        <v>0.2</v>
      </c>
      <c r="T48" s="135">
        <v>0</v>
      </c>
    </row>
    <row r="49" spans="1:20" x14ac:dyDescent="0.3">
      <c r="A49" s="135">
        <v>48</v>
      </c>
      <c r="B49" s="135" t="s">
        <v>65</v>
      </c>
      <c r="C49" s="135" t="s">
        <v>28</v>
      </c>
      <c r="D49" s="135" t="s">
        <v>57</v>
      </c>
      <c r="E49" s="135">
        <v>1</v>
      </c>
      <c r="F49" s="135">
        <v>0.2</v>
      </c>
      <c r="G49" s="135">
        <v>0.3</v>
      </c>
      <c r="H49" s="135">
        <v>2.4</v>
      </c>
      <c r="I49" s="135">
        <v>0</v>
      </c>
      <c r="J49" s="135">
        <v>0</v>
      </c>
      <c r="K49" s="135">
        <v>0</v>
      </c>
      <c r="L49" s="135">
        <v>0</v>
      </c>
      <c r="M49" s="135">
        <v>0</v>
      </c>
      <c r="N49" s="135">
        <v>0</v>
      </c>
      <c r="O49" s="135">
        <v>0</v>
      </c>
      <c r="P49" s="135">
        <v>0</v>
      </c>
      <c r="Q49" s="135">
        <v>0</v>
      </c>
      <c r="R49" s="135">
        <v>0.2</v>
      </c>
      <c r="S49" s="135">
        <v>0.2</v>
      </c>
      <c r="T49" s="135">
        <v>0</v>
      </c>
    </row>
    <row r="50" spans="1:20" x14ac:dyDescent="0.3">
      <c r="A50" s="135">
        <v>49</v>
      </c>
      <c r="B50" s="135" t="s">
        <v>53</v>
      </c>
      <c r="C50" s="135" t="s">
        <v>50</v>
      </c>
      <c r="D50" s="135" t="s">
        <v>22</v>
      </c>
      <c r="E50" s="135">
        <v>1</v>
      </c>
      <c r="F50" s="135">
        <v>0.3</v>
      </c>
      <c r="G50" s="135">
        <v>0.4</v>
      </c>
      <c r="H50" s="135">
        <v>3.1</v>
      </c>
      <c r="I50" s="135">
        <v>0</v>
      </c>
      <c r="J50" s="135">
        <v>0</v>
      </c>
      <c r="K50" s="135">
        <v>0</v>
      </c>
      <c r="L50" s="135">
        <v>0</v>
      </c>
      <c r="M50" s="135">
        <v>0</v>
      </c>
      <c r="N50" s="135">
        <v>0</v>
      </c>
      <c r="O50" s="135">
        <v>0</v>
      </c>
      <c r="P50" s="135">
        <v>0</v>
      </c>
      <c r="Q50" s="135">
        <v>0</v>
      </c>
      <c r="R50" s="135">
        <v>0.2</v>
      </c>
      <c r="S50" s="135">
        <v>0.2</v>
      </c>
      <c r="T50" s="135">
        <v>0</v>
      </c>
    </row>
    <row r="51" spans="1:20" x14ac:dyDescent="0.3">
      <c r="A51" s="135">
        <v>50</v>
      </c>
      <c r="B51" s="135" t="s">
        <v>751</v>
      </c>
      <c r="C51" s="135" t="s">
        <v>70</v>
      </c>
      <c r="D51" s="135" t="s">
        <v>401</v>
      </c>
      <c r="E51" s="135">
        <v>1</v>
      </c>
      <c r="F51" s="135">
        <v>0.2</v>
      </c>
      <c r="G51" s="135">
        <v>0.3</v>
      </c>
      <c r="H51" s="135">
        <v>2.4</v>
      </c>
      <c r="I51" s="135">
        <v>0</v>
      </c>
      <c r="J51" s="135">
        <v>0</v>
      </c>
      <c r="K51" s="135">
        <v>0</v>
      </c>
      <c r="L51" s="135">
        <v>0</v>
      </c>
      <c r="M51" s="135">
        <v>0</v>
      </c>
      <c r="N51" s="135">
        <v>0</v>
      </c>
      <c r="O51" s="135">
        <v>0</v>
      </c>
      <c r="P51" s="135">
        <v>0</v>
      </c>
      <c r="Q51" s="135">
        <v>0</v>
      </c>
      <c r="R51" s="135">
        <v>0.1</v>
      </c>
      <c r="S51" s="135">
        <v>0.1</v>
      </c>
      <c r="T51" s="135">
        <v>0</v>
      </c>
    </row>
    <row r="52" spans="1:20" x14ac:dyDescent="0.3">
      <c r="A52" s="135">
        <v>51</v>
      </c>
      <c r="B52" s="135" t="s">
        <v>78</v>
      </c>
      <c r="C52" s="135" t="s">
        <v>1236</v>
      </c>
      <c r="D52" s="135" t="s">
        <v>409</v>
      </c>
      <c r="E52" s="135">
        <v>1</v>
      </c>
      <c r="F52" s="135">
        <v>0.2</v>
      </c>
      <c r="G52" s="135">
        <v>0.4</v>
      </c>
      <c r="H52" s="135">
        <v>2.5</v>
      </c>
      <c r="I52" s="135">
        <v>0</v>
      </c>
      <c r="J52" s="135">
        <v>0</v>
      </c>
      <c r="K52" s="135">
        <v>0</v>
      </c>
      <c r="L52" s="135">
        <v>0</v>
      </c>
      <c r="M52" s="135">
        <v>0</v>
      </c>
      <c r="N52" s="135">
        <v>0</v>
      </c>
      <c r="O52" s="135">
        <v>0</v>
      </c>
      <c r="P52" s="135">
        <v>0</v>
      </c>
      <c r="Q52" s="135">
        <v>0</v>
      </c>
      <c r="R52" s="135">
        <v>0.1</v>
      </c>
      <c r="S52" s="135">
        <v>0.1</v>
      </c>
      <c r="T52" s="135">
        <v>0</v>
      </c>
    </row>
    <row r="53" spans="1:20" x14ac:dyDescent="0.3">
      <c r="A53" s="135">
        <v>52</v>
      </c>
      <c r="B53" s="135" t="s">
        <v>440</v>
      </c>
      <c r="C53" s="135" t="s">
        <v>1238</v>
      </c>
      <c r="D53" s="135" t="s">
        <v>30</v>
      </c>
      <c r="E53" s="135">
        <v>1</v>
      </c>
      <c r="F53" s="135">
        <v>0.2</v>
      </c>
      <c r="G53" s="135">
        <v>0.3</v>
      </c>
      <c r="H53" s="135">
        <v>2.2000000000000002</v>
      </c>
      <c r="I53" s="135">
        <v>0</v>
      </c>
      <c r="J53" s="135">
        <v>0</v>
      </c>
      <c r="K53" s="135">
        <v>0</v>
      </c>
      <c r="L53" s="135">
        <v>0</v>
      </c>
      <c r="M53" s="135">
        <v>0</v>
      </c>
      <c r="N53" s="135">
        <v>0</v>
      </c>
      <c r="O53" s="135">
        <v>0</v>
      </c>
      <c r="P53" s="135">
        <v>0</v>
      </c>
      <c r="Q53" s="135">
        <v>0</v>
      </c>
      <c r="R53" s="135">
        <v>0.1</v>
      </c>
      <c r="S53" s="135">
        <v>0.1</v>
      </c>
      <c r="T53" s="135">
        <v>0</v>
      </c>
    </row>
    <row r="54" spans="1:20" x14ac:dyDescent="0.3">
      <c r="A54" s="135">
        <v>53</v>
      </c>
      <c r="B54" s="135" t="s">
        <v>446</v>
      </c>
      <c r="C54" s="135" t="s">
        <v>7</v>
      </c>
      <c r="D54" s="135" t="s">
        <v>34</v>
      </c>
      <c r="E54" s="135">
        <v>1</v>
      </c>
      <c r="F54" s="135">
        <v>0.2</v>
      </c>
      <c r="G54" s="135">
        <v>0.3</v>
      </c>
      <c r="H54" s="135">
        <v>2</v>
      </c>
      <c r="I54" s="135">
        <v>0</v>
      </c>
      <c r="J54" s="135">
        <v>0</v>
      </c>
      <c r="K54" s="135">
        <v>0</v>
      </c>
      <c r="L54" s="135">
        <v>0</v>
      </c>
      <c r="M54" s="135">
        <v>0.1</v>
      </c>
      <c r="N54" s="135">
        <v>0</v>
      </c>
      <c r="O54" s="135">
        <v>0</v>
      </c>
      <c r="P54" s="135">
        <v>0</v>
      </c>
      <c r="Q54" s="135">
        <v>0</v>
      </c>
      <c r="R54" s="135">
        <v>0.1</v>
      </c>
      <c r="S54" s="135">
        <v>0.1</v>
      </c>
      <c r="T54" s="135">
        <v>0</v>
      </c>
    </row>
    <row r="55" spans="1:20" x14ac:dyDescent="0.3">
      <c r="A55" s="135">
        <v>54</v>
      </c>
      <c r="B55" s="135" t="s">
        <v>60</v>
      </c>
      <c r="C55" s="135" t="s">
        <v>397</v>
      </c>
      <c r="D55" s="135" t="s">
        <v>20</v>
      </c>
      <c r="E55" s="135">
        <v>1</v>
      </c>
      <c r="F55" s="135">
        <v>0.2</v>
      </c>
      <c r="G55" s="135">
        <v>0.3</v>
      </c>
      <c r="H55" s="135">
        <v>2.2999999999999998</v>
      </c>
      <c r="I55" s="135">
        <v>0</v>
      </c>
      <c r="J55" s="135">
        <v>0</v>
      </c>
      <c r="K55" s="135">
        <v>0</v>
      </c>
      <c r="L55" s="135">
        <v>0</v>
      </c>
      <c r="M55" s="135">
        <v>0</v>
      </c>
      <c r="N55" s="135">
        <v>0</v>
      </c>
      <c r="O55" s="135">
        <v>0</v>
      </c>
      <c r="P55" s="135">
        <v>0</v>
      </c>
      <c r="Q55" s="135">
        <v>0</v>
      </c>
      <c r="R55" s="135">
        <v>0.1</v>
      </c>
      <c r="S55" s="135">
        <v>0.1</v>
      </c>
      <c r="T55" s="135">
        <v>0</v>
      </c>
    </row>
    <row r="56" spans="1:20" x14ac:dyDescent="0.3">
      <c r="A56" s="135">
        <v>55</v>
      </c>
      <c r="B56" s="135" t="s">
        <v>64</v>
      </c>
      <c r="C56" s="135" t="s">
        <v>30</v>
      </c>
      <c r="D56" s="135" t="s">
        <v>1238</v>
      </c>
      <c r="E56" s="135">
        <v>1</v>
      </c>
      <c r="F56" s="135">
        <v>0.2</v>
      </c>
      <c r="G56" s="135">
        <v>0.3</v>
      </c>
      <c r="H56" s="135">
        <v>2.4</v>
      </c>
      <c r="I56" s="135">
        <v>0</v>
      </c>
      <c r="J56" s="135">
        <v>0</v>
      </c>
      <c r="K56" s="135">
        <v>0</v>
      </c>
      <c r="L56" s="135">
        <v>0</v>
      </c>
      <c r="M56" s="135">
        <v>0</v>
      </c>
      <c r="N56" s="135">
        <v>0</v>
      </c>
      <c r="O56" s="135">
        <v>0</v>
      </c>
      <c r="P56" s="135">
        <v>0</v>
      </c>
      <c r="Q56" s="135">
        <v>0</v>
      </c>
      <c r="R56" s="135">
        <v>0.1</v>
      </c>
      <c r="S56" s="135">
        <v>0.1</v>
      </c>
      <c r="T56" s="135">
        <v>0</v>
      </c>
    </row>
    <row r="57" spans="1:20" x14ac:dyDescent="0.3">
      <c r="A57" s="135">
        <v>56</v>
      </c>
      <c r="B57" s="135" t="s">
        <v>1242</v>
      </c>
      <c r="C57" s="135" t="s">
        <v>10</v>
      </c>
      <c r="D57" s="135" t="s">
        <v>402</v>
      </c>
      <c r="E57" s="135">
        <v>1</v>
      </c>
      <c r="F57" s="135">
        <v>0.2</v>
      </c>
      <c r="G57" s="135">
        <v>0.3</v>
      </c>
      <c r="H57" s="135">
        <v>2.2999999999999998</v>
      </c>
      <c r="I57" s="135">
        <v>0</v>
      </c>
      <c r="J57" s="135">
        <v>0</v>
      </c>
      <c r="K57" s="135">
        <v>0</v>
      </c>
      <c r="L57" s="135">
        <v>0</v>
      </c>
      <c r="M57" s="135">
        <v>0</v>
      </c>
      <c r="N57" s="135">
        <v>0</v>
      </c>
      <c r="O57" s="135">
        <v>0</v>
      </c>
      <c r="P57" s="135">
        <v>0</v>
      </c>
      <c r="Q57" s="135">
        <v>0</v>
      </c>
      <c r="R57" s="135">
        <v>0.1</v>
      </c>
      <c r="S57" s="135">
        <v>0.1</v>
      </c>
      <c r="T57" s="135">
        <v>0</v>
      </c>
    </row>
    <row r="58" spans="1:20" x14ac:dyDescent="0.3">
      <c r="A58" s="135">
        <v>57</v>
      </c>
      <c r="B58" s="135" t="s">
        <v>437</v>
      </c>
      <c r="C58" s="135" t="s">
        <v>401</v>
      </c>
      <c r="D58" s="135" t="s">
        <v>70</v>
      </c>
      <c r="E58" s="135">
        <v>1</v>
      </c>
      <c r="F58" s="135">
        <v>0.2</v>
      </c>
      <c r="G58" s="135">
        <v>0.3</v>
      </c>
      <c r="H58" s="135">
        <v>2.1</v>
      </c>
      <c r="I58" s="135">
        <v>0</v>
      </c>
      <c r="J58" s="135">
        <v>0</v>
      </c>
      <c r="K58" s="135">
        <v>0</v>
      </c>
      <c r="L58" s="135">
        <v>0</v>
      </c>
      <c r="M58" s="135">
        <v>0</v>
      </c>
      <c r="N58" s="135">
        <v>0</v>
      </c>
      <c r="O58" s="135">
        <v>0</v>
      </c>
      <c r="P58" s="135">
        <v>0</v>
      </c>
      <c r="Q58" s="135">
        <v>0</v>
      </c>
      <c r="R58" s="135">
        <v>0.1</v>
      </c>
      <c r="S58" s="135">
        <v>0.1</v>
      </c>
      <c r="T58" s="135">
        <v>0</v>
      </c>
    </row>
    <row r="59" spans="1:20" x14ac:dyDescent="0.3">
      <c r="A59" s="135">
        <v>58</v>
      </c>
      <c r="B59" s="135" t="s">
        <v>755</v>
      </c>
      <c r="C59" s="135" t="s">
        <v>409</v>
      </c>
      <c r="D59" s="135" t="s">
        <v>1236</v>
      </c>
      <c r="E59" s="135">
        <v>1</v>
      </c>
      <c r="F59" s="135">
        <v>0.2</v>
      </c>
      <c r="G59" s="135">
        <v>0.3</v>
      </c>
      <c r="H59" s="135">
        <v>2.1</v>
      </c>
      <c r="I59" s="135">
        <v>0</v>
      </c>
      <c r="J59" s="135">
        <v>0</v>
      </c>
      <c r="K59" s="135">
        <v>0</v>
      </c>
      <c r="L59" s="135">
        <v>0</v>
      </c>
      <c r="M59" s="135">
        <v>0</v>
      </c>
      <c r="N59" s="135">
        <v>0</v>
      </c>
      <c r="O59" s="135">
        <v>0</v>
      </c>
      <c r="P59" s="135">
        <v>0</v>
      </c>
      <c r="Q59" s="135">
        <v>0</v>
      </c>
      <c r="R59" s="135">
        <v>0.1</v>
      </c>
      <c r="S59" s="135">
        <v>0.1</v>
      </c>
      <c r="T59" s="135">
        <v>0</v>
      </c>
    </row>
    <row r="60" spans="1:20" x14ac:dyDescent="0.3">
      <c r="A60" s="135">
        <v>59</v>
      </c>
      <c r="B60" s="135" t="s">
        <v>80</v>
      </c>
      <c r="C60" s="135" t="s">
        <v>22</v>
      </c>
      <c r="D60" s="135" t="s">
        <v>398</v>
      </c>
      <c r="E60" s="135">
        <v>1</v>
      </c>
      <c r="F60" s="135">
        <v>0.2</v>
      </c>
      <c r="G60" s="135">
        <v>0.3</v>
      </c>
      <c r="H60" s="135">
        <v>2.6</v>
      </c>
      <c r="I60" s="135">
        <v>0</v>
      </c>
      <c r="J60" s="135">
        <v>0</v>
      </c>
      <c r="K60" s="135">
        <v>0</v>
      </c>
      <c r="L60" s="135">
        <v>0</v>
      </c>
      <c r="M60" s="135">
        <v>0</v>
      </c>
      <c r="N60" s="135">
        <v>0</v>
      </c>
      <c r="O60" s="135">
        <v>0</v>
      </c>
      <c r="P60" s="135">
        <v>0</v>
      </c>
      <c r="Q60" s="135">
        <v>0</v>
      </c>
      <c r="R60" s="135">
        <v>0.2</v>
      </c>
      <c r="S60" s="135">
        <v>0.2</v>
      </c>
      <c r="T60" s="135">
        <v>0</v>
      </c>
    </row>
    <row r="61" spans="1:20" x14ac:dyDescent="0.3">
      <c r="A61" s="135">
        <v>60</v>
      </c>
      <c r="B61" s="135" t="s">
        <v>55</v>
      </c>
      <c r="C61" s="135" t="s">
        <v>4</v>
      </c>
      <c r="D61" s="135" t="s">
        <v>50</v>
      </c>
      <c r="E61" s="135">
        <v>1</v>
      </c>
      <c r="F61" s="135">
        <v>0.2</v>
      </c>
      <c r="G61" s="135">
        <v>0.4</v>
      </c>
      <c r="H61" s="135">
        <v>2.5</v>
      </c>
      <c r="I61" s="135">
        <v>0</v>
      </c>
      <c r="J61" s="135">
        <v>0</v>
      </c>
      <c r="K61" s="135">
        <v>0</v>
      </c>
      <c r="L61" s="135">
        <v>0</v>
      </c>
      <c r="M61" s="135">
        <v>0</v>
      </c>
      <c r="N61" s="135">
        <v>0</v>
      </c>
      <c r="O61" s="135">
        <v>0</v>
      </c>
      <c r="P61" s="135">
        <v>0</v>
      </c>
      <c r="Q61" s="135">
        <v>0</v>
      </c>
      <c r="R61" s="135">
        <v>0.2</v>
      </c>
      <c r="S61" s="135">
        <v>0.2</v>
      </c>
      <c r="T61" s="135">
        <v>0</v>
      </c>
    </row>
    <row r="62" spans="1:20" x14ac:dyDescent="0.3">
      <c r="A62" s="135">
        <v>61</v>
      </c>
      <c r="B62" s="135" t="s">
        <v>443</v>
      </c>
      <c r="C62" s="135" t="s">
        <v>395</v>
      </c>
      <c r="D62" s="135" t="s">
        <v>41</v>
      </c>
      <c r="E62" s="135">
        <v>1</v>
      </c>
      <c r="F62" s="135">
        <v>0.2</v>
      </c>
      <c r="G62" s="135">
        <v>0.4</v>
      </c>
      <c r="H62" s="135">
        <v>2.2999999999999998</v>
      </c>
      <c r="I62" s="135">
        <v>0</v>
      </c>
      <c r="J62" s="135">
        <v>0</v>
      </c>
      <c r="K62" s="135">
        <v>0</v>
      </c>
      <c r="L62" s="135">
        <v>0</v>
      </c>
      <c r="M62" s="135">
        <v>0</v>
      </c>
      <c r="N62" s="135">
        <v>0</v>
      </c>
      <c r="O62" s="135">
        <v>0</v>
      </c>
      <c r="P62" s="135">
        <v>0</v>
      </c>
      <c r="Q62" s="135">
        <v>0</v>
      </c>
      <c r="R62" s="135">
        <v>0.1</v>
      </c>
      <c r="S62" s="135">
        <v>0.1</v>
      </c>
      <c r="T62" s="135">
        <v>0</v>
      </c>
    </row>
    <row r="63" spans="1:20" x14ac:dyDescent="0.3">
      <c r="A63" s="135">
        <v>62</v>
      </c>
      <c r="B63" s="135" t="s">
        <v>77</v>
      </c>
      <c r="C63" s="135" t="s">
        <v>16</v>
      </c>
      <c r="D63" s="135" t="s">
        <v>70</v>
      </c>
      <c r="E63" s="135">
        <v>1</v>
      </c>
      <c r="F63" s="135">
        <v>0.2</v>
      </c>
      <c r="G63" s="135">
        <v>0.4</v>
      </c>
      <c r="H63" s="135">
        <v>2.2999999999999998</v>
      </c>
      <c r="I63" s="135">
        <v>0</v>
      </c>
      <c r="J63" s="135">
        <v>0</v>
      </c>
      <c r="K63" s="135">
        <v>0.1</v>
      </c>
      <c r="L63" s="135">
        <v>0</v>
      </c>
      <c r="M63" s="135">
        <v>0</v>
      </c>
      <c r="N63" s="135">
        <v>0</v>
      </c>
      <c r="O63" s="135">
        <v>0</v>
      </c>
      <c r="P63" s="135">
        <v>0</v>
      </c>
      <c r="Q63" s="135">
        <v>0</v>
      </c>
      <c r="R63" s="135">
        <v>0.1</v>
      </c>
      <c r="S63" s="135">
        <v>0.1</v>
      </c>
      <c r="T63" s="135">
        <v>0</v>
      </c>
    </row>
    <row r="64" spans="1:20" x14ac:dyDescent="0.3">
      <c r="A64" s="135">
        <v>63</v>
      </c>
      <c r="B64" s="135" t="s">
        <v>451</v>
      </c>
      <c r="C64" s="135" t="s">
        <v>395</v>
      </c>
      <c r="D64" s="135" t="s">
        <v>41</v>
      </c>
      <c r="E64" s="135">
        <v>1</v>
      </c>
      <c r="F64" s="135">
        <v>0</v>
      </c>
      <c r="G64" s="135">
        <v>0</v>
      </c>
      <c r="H64" s="135">
        <v>0</v>
      </c>
      <c r="I64" s="135">
        <v>0</v>
      </c>
      <c r="J64" s="135">
        <v>0</v>
      </c>
      <c r="K64" s="135">
        <v>0</v>
      </c>
      <c r="L64" s="135">
        <v>0</v>
      </c>
      <c r="M64" s="135">
        <v>0</v>
      </c>
      <c r="N64" s="135">
        <v>0</v>
      </c>
      <c r="O64" s="135">
        <v>0</v>
      </c>
      <c r="P64" s="135">
        <v>0</v>
      </c>
      <c r="Q64" s="135">
        <v>0</v>
      </c>
      <c r="R64" s="135">
        <v>0.1</v>
      </c>
      <c r="S64" s="135">
        <v>0.1</v>
      </c>
      <c r="T64" s="135">
        <v>0</v>
      </c>
    </row>
    <row r="65" spans="1:20" x14ac:dyDescent="0.3">
      <c r="A65" s="135">
        <v>64</v>
      </c>
      <c r="B65" s="135" t="s">
        <v>1631</v>
      </c>
      <c r="C65" s="135" t="s">
        <v>41</v>
      </c>
      <c r="D65" s="135" t="s">
        <v>395</v>
      </c>
      <c r="E65" s="135">
        <v>1</v>
      </c>
      <c r="F65" s="135">
        <v>0</v>
      </c>
      <c r="G65" s="135">
        <v>0</v>
      </c>
      <c r="H65" s="135">
        <v>0</v>
      </c>
      <c r="I65" s="135">
        <v>0</v>
      </c>
      <c r="J65" s="135">
        <v>0</v>
      </c>
      <c r="K65" s="135">
        <v>0</v>
      </c>
      <c r="L65" s="135">
        <v>0</v>
      </c>
      <c r="M65" s="135">
        <v>0</v>
      </c>
      <c r="N65" s="135">
        <v>0</v>
      </c>
      <c r="O65" s="135">
        <v>0</v>
      </c>
      <c r="P65" s="135">
        <v>0</v>
      </c>
      <c r="Q65" s="135">
        <v>0</v>
      </c>
      <c r="R65" s="135">
        <v>0.1</v>
      </c>
      <c r="S65" s="135">
        <v>0.1</v>
      </c>
      <c r="T65" s="135">
        <v>0</v>
      </c>
    </row>
    <row r="66" spans="1:20" x14ac:dyDescent="0.3">
      <c r="A66" s="135">
        <v>65</v>
      </c>
      <c r="B66" s="135" t="s">
        <v>436</v>
      </c>
      <c r="C66" s="135" t="s">
        <v>52</v>
      </c>
      <c r="D66" s="135" t="s">
        <v>18</v>
      </c>
      <c r="E66" s="135">
        <v>1</v>
      </c>
      <c r="F66" s="135">
        <v>0</v>
      </c>
      <c r="G66" s="135">
        <v>0</v>
      </c>
      <c r="H66" s="135">
        <v>0</v>
      </c>
      <c r="I66" s="135">
        <v>0</v>
      </c>
      <c r="J66" s="135">
        <v>0</v>
      </c>
      <c r="K66" s="135">
        <v>0</v>
      </c>
      <c r="L66" s="135">
        <v>0</v>
      </c>
      <c r="M66" s="135">
        <v>0</v>
      </c>
      <c r="N66" s="135">
        <v>0</v>
      </c>
      <c r="O66" s="135">
        <v>0</v>
      </c>
      <c r="P66" s="135">
        <v>0</v>
      </c>
      <c r="Q66" s="135">
        <v>0</v>
      </c>
      <c r="R66" s="135">
        <v>0.1</v>
      </c>
      <c r="S66" s="135">
        <v>0.1</v>
      </c>
      <c r="T66" s="135">
        <v>0</v>
      </c>
    </row>
    <row r="67" spans="1:20" x14ac:dyDescent="0.3">
      <c r="A67" s="135">
        <v>66</v>
      </c>
      <c r="B67" s="135" t="s">
        <v>442</v>
      </c>
      <c r="C67" s="135" t="s">
        <v>52</v>
      </c>
      <c r="D67" s="135" t="s">
        <v>18</v>
      </c>
      <c r="E67" s="135">
        <v>1</v>
      </c>
      <c r="F67" s="135">
        <v>0</v>
      </c>
      <c r="G67" s="135">
        <v>0</v>
      </c>
      <c r="H67" s="135">
        <v>0</v>
      </c>
      <c r="I67" s="135">
        <v>0</v>
      </c>
      <c r="J67" s="135">
        <v>0</v>
      </c>
      <c r="K67" s="135">
        <v>0</v>
      </c>
      <c r="L67" s="135">
        <v>0</v>
      </c>
      <c r="M67" s="135">
        <v>0</v>
      </c>
      <c r="N67" s="135">
        <v>0</v>
      </c>
      <c r="O67" s="135">
        <v>0</v>
      </c>
      <c r="P67" s="135">
        <v>0</v>
      </c>
      <c r="Q67" s="135">
        <v>0</v>
      </c>
      <c r="R67" s="135">
        <v>0.1</v>
      </c>
      <c r="S67" s="135">
        <v>0.1</v>
      </c>
      <c r="T67" s="135">
        <v>0</v>
      </c>
    </row>
    <row r="68" spans="1:20" x14ac:dyDescent="0.3">
      <c r="A68" s="135">
        <v>67</v>
      </c>
      <c r="B68" s="135" t="s">
        <v>440</v>
      </c>
      <c r="C68" s="135" t="s">
        <v>1238</v>
      </c>
      <c r="D68" s="135" t="s">
        <v>397</v>
      </c>
      <c r="E68" s="135">
        <v>1</v>
      </c>
      <c r="F68" s="135">
        <v>0.2</v>
      </c>
      <c r="G68" s="135">
        <v>0.3</v>
      </c>
      <c r="H68" s="135">
        <v>2.1</v>
      </c>
      <c r="I68" s="135">
        <v>0</v>
      </c>
      <c r="J68" s="135">
        <v>0</v>
      </c>
      <c r="K68" s="135">
        <v>0</v>
      </c>
      <c r="L68" s="135">
        <v>0</v>
      </c>
      <c r="M68" s="135">
        <v>0</v>
      </c>
      <c r="N68" s="135">
        <v>0</v>
      </c>
      <c r="O68" s="135">
        <v>0</v>
      </c>
      <c r="P68" s="135">
        <v>0</v>
      </c>
      <c r="Q68" s="135">
        <v>0</v>
      </c>
      <c r="R68" s="135">
        <v>0.1</v>
      </c>
      <c r="S68" s="135">
        <v>0.1</v>
      </c>
      <c r="T68" s="135">
        <v>0</v>
      </c>
    </row>
    <row r="69" spans="1:20" x14ac:dyDescent="0.3">
      <c r="A69" s="135">
        <v>68</v>
      </c>
      <c r="B69" s="135" t="s">
        <v>60</v>
      </c>
      <c r="C69" s="135" t="s">
        <v>397</v>
      </c>
      <c r="D69" s="135" t="s">
        <v>1238</v>
      </c>
      <c r="E69" s="135">
        <v>1</v>
      </c>
      <c r="F69" s="135">
        <v>0.2</v>
      </c>
      <c r="G69" s="135">
        <v>0.3</v>
      </c>
      <c r="H69" s="135">
        <v>1.8</v>
      </c>
      <c r="I69" s="135">
        <v>0</v>
      </c>
      <c r="J69" s="135">
        <v>0</v>
      </c>
      <c r="K69" s="135">
        <v>0</v>
      </c>
      <c r="L69" s="135">
        <v>0</v>
      </c>
      <c r="M69" s="135">
        <v>0</v>
      </c>
      <c r="N69" s="135">
        <v>0</v>
      </c>
      <c r="O69" s="135">
        <v>0</v>
      </c>
      <c r="P69" s="135">
        <v>0</v>
      </c>
      <c r="Q69" s="135">
        <v>0</v>
      </c>
      <c r="R69" s="135">
        <v>0.1</v>
      </c>
      <c r="S69" s="135">
        <v>0.1</v>
      </c>
      <c r="T69" s="135">
        <v>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
  <sheetViews>
    <sheetView topLeftCell="O1" zoomScale="82" zoomScaleNormal="82" workbookViewId="0">
      <selection activeCell="Y2" sqref="Y2:Y33"/>
    </sheetView>
  </sheetViews>
  <sheetFormatPr defaultRowHeight="14.4" x14ac:dyDescent="0.3"/>
  <cols>
    <col min="1" max="1" width="30.44140625" bestFit="1" customWidth="1"/>
    <col min="2" max="2" width="4.77734375" bestFit="1" customWidth="1"/>
    <col min="3" max="3" width="7.21875" bestFit="1" customWidth="1"/>
    <col min="4" max="4" width="6" bestFit="1" customWidth="1"/>
    <col min="5" max="5" width="7.21875" bestFit="1" customWidth="1"/>
    <col min="6" max="6" width="5.5546875" bestFit="1" customWidth="1"/>
    <col min="7" max="7" width="6.21875" bestFit="1" customWidth="1"/>
    <col min="8" max="8" width="8" bestFit="1" customWidth="1"/>
    <col min="9" max="9" width="9.21875" bestFit="1" customWidth="1"/>
    <col min="10" max="10" width="7.5546875" bestFit="1" customWidth="1"/>
    <col min="11" max="11" width="7" bestFit="1" customWidth="1"/>
    <col min="12" max="12" width="9.21875" bestFit="1" customWidth="1"/>
    <col min="13" max="13" width="4.77734375" bestFit="1" customWidth="1"/>
    <col min="14" max="14" width="30.44140625" bestFit="1" customWidth="1"/>
    <col min="15" max="15" width="6" bestFit="1" customWidth="1"/>
    <col min="16" max="16" width="7.21875" bestFit="1" customWidth="1"/>
    <col min="17" max="17" width="5.77734375" customWidth="1"/>
    <col min="18" max="18" width="7" customWidth="1"/>
    <col min="19" max="19" width="8" bestFit="1" customWidth="1"/>
    <col min="20" max="20" width="9.21875" bestFit="1" customWidth="1"/>
    <col min="21" max="21" width="7.88671875" customWidth="1"/>
    <col min="22" max="22" width="9" customWidth="1"/>
    <col min="23" max="23" width="9.21875" bestFit="1" customWidth="1"/>
    <col min="24" max="24" width="10.5546875" customWidth="1"/>
  </cols>
  <sheetData>
    <row r="1" spans="1:26" x14ac:dyDescent="0.3">
      <c r="A1" s="3" t="s">
        <v>387</v>
      </c>
      <c r="B1" s="3" t="s">
        <v>412</v>
      </c>
      <c r="C1" s="3" t="s">
        <v>608</v>
      </c>
      <c r="D1" s="3" t="s">
        <v>419</v>
      </c>
      <c r="E1" s="3" t="s">
        <v>609</v>
      </c>
      <c r="F1" s="3" t="s">
        <v>391</v>
      </c>
      <c r="G1" s="3" t="s">
        <v>605</v>
      </c>
      <c r="H1" s="3" t="s">
        <v>610</v>
      </c>
      <c r="I1" s="3" t="s">
        <v>611</v>
      </c>
      <c r="J1" s="3" t="s">
        <v>612</v>
      </c>
      <c r="K1" s="3" t="s">
        <v>613</v>
      </c>
      <c r="L1" s="2" t="s">
        <v>614</v>
      </c>
      <c r="N1" s="30" t="s">
        <v>615</v>
      </c>
      <c r="O1" s="24" t="s">
        <v>412</v>
      </c>
      <c r="P1" s="24" t="s">
        <v>608</v>
      </c>
      <c r="Q1" s="24" t="s">
        <v>419</v>
      </c>
      <c r="R1" s="24" t="s">
        <v>390</v>
      </c>
      <c r="S1" s="24" t="s">
        <v>391</v>
      </c>
      <c r="T1" s="24" t="s">
        <v>605</v>
      </c>
      <c r="U1" s="24" t="s">
        <v>422</v>
      </c>
      <c r="V1" s="24" t="s">
        <v>775</v>
      </c>
      <c r="W1" s="24" t="s">
        <v>424</v>
      </c>
      <c r="X1" t="s">
        <v>387</v>
      </c>
      <c r="Y1" s="31" t="s">
        <v>770</v>
      </c>
      <c r="Z1" s="126" t="s">
        <v>1346</v>
      </c>
    </row>
    <row r="2" spans="1:26" x14ac:dyDescent="0.3">
      <c r="A2" s="3" t="s">
        <v>616</v>
      </c>
      <c r="B2" s="3">
        <v>16</v>
      </c>
      <c r="C2" s="3">
        <v>372</v>
      </c>
      <c r="D2" s="3">
        <v>544</v>
      </c>
      <c r="E2" s="3">
        <v>4755</v>
      </c>
      <c r="F2" s="3">
        <v>45</v>
      </c>
      <c r="G2" s="3">
        <v>9</v>
      </c>
      <c r="H2" s="3">
        <v>52</v>
      </c>
      <c r="I2" s="3">
        <v>194</v>
      </c>
      <c r="J2" s="3">
        <v>2</v>
      </c>
      <c r="K2" s="3">
        <v>449.2</v>
      </c>
      <c r="L2" s="2">
        <v>28.1</v>
      </c>
      <c r="N2" s="25" t="s">
        <v>636</v>
      </c>
      <c r="O2" s="25">
        <v>16</v>
      </c>
      <c r="P2">
        <f>SUM(Table_3[[#This Row],[Cmp]]/$O$2)</f>
        <v>23.25</v>
      </c>
      <c r="Q2">
        <f>SUM(Table_3[[#This Row],[Att]]/$O$2)</f>
        <v>34</v>
      </c>
      <c r="R2">
        <f>SUM(Table_3[[#This Row],[Yard]]/$O$2)</f>
        <v>297.1875</v>
      </c>
      <c r="S2">
        <f>SUM(Table_3[[#This Row],[TD]]/$O$2)</f>
        <v>2.8125</v>
      </c>
      <c r="T2">
        <f>SUM(Table_3[[#This Row],[INT]]/$O$2)</f>
        <v>0.5625</v>
      </c>
      <c r="U2">
        <f>SUM(Table_3[[#This Row],[Att_1]]/$O$2)</f>
        <v>3.25</v>
      </c>
      <c r="V2">
        <f>SUM(Table_3[[#This Row],[Yard_2]]/$O$2)</f>
        <v>12.125</v>
      </c>
      <c r="W2">
        <f>SUM(Table_3[[#This Row],[TD_3]]/$O$2)</f>
        <v>0.125</v>
      </c>
      <c r="X2" t="s">
        <v>24</v>
      </c>
      <c r="Y2" s="390" t="s">
        <v>2295</v>
      </c>
      <c r="Z2">
        <v>12</v>
      </c>
    </row>
    <row r="3" spans="1:26" x14ac:dyDescent="0.3">
      <c r="A3" s="3" t="s">
        <v>617</v>
      </c>
      <c r="B3" s="3">
        <v>16</v>
      </c>
      <c r="C3" s="3">
        <v>424</v>
      </c>
      <c r="D3" s="3">
        <v>638</v>
      </c>
      <c r="E3" s="3">
        <v>4928</v>
      </c>
      <c r="F3" s="3">
        <v>31</v>
      </c>
      <c r="G3" s="3">
        <v>14</v>
      </c>
      <c r="H3" s="3">
        <v>50</v>
      </c>
      <c r="I3" s="3">
        <v>229</v>
      </c>
      <c r="J3" s="3">
        <v>2</v>
      </c>
      <c r="K3" s="3">
        <v>405.3</v>
      </c>
      <c r="L3" s="2">
        <v>25.3</v>
      </c>
      <c r="N3" s="26" t="s">
        <v>641</v>
      </c>
      <c r="O3" s="26">
        <v>16</v>
      </c>
      <c r="P3">
        <f>SUM(Table_3[[#This Row],[Cmp]]/$O$2)</f>
        <v>26.5</v>
      </c>
      <c r="Q3">
        <f>SUM(Table_3[[#This Row],[Att]]/$O$2)</f>
        <v>39.875</v>
      </c>
      <c r="R3">
        <f>SUM(Table_3[[#This Row],[Yard]]/$O$2)</f>
        <v>308</v>
      </c>
      <c r="S3">
        <f>SUM(Table_3[[#This Row],[TD]]/$O$2)</f>
        <v>1.9375</v>
      </c>
      <c r="T3">
        <f>SUM(Table_3[[#This Row],[INT]]/$O$2)</f>
        <v>0.875</v>
      </c>
      <c r="U3">
        <f>SUM(Table_3[[#This Row],[Att_1]]/$O$2)</f>
        <v>3.125</v>
      </c>
      <c r="V3">
        <f>SUM(Table_3[[#This Row],[Yard_2]]/$O$2)</f>
        <v>14.3125</v>
      </c>
      <c r="W3">
        <f>SUM(Table_3[[#This Row],[TD_3]]/$O$2)</f>
        <v>0.125</v>
      </c>
      <c r="X3" t="s">
        <v>50</v>
      </c>
      <c r="Y3" s="390" t="s">
        <v>2296</v>
      </c>
      <c r="Z3">
        <v>7</v>
      </c>
    </row>
    <row r="4" spans="1:26" x14ac:dyDescent="0.3">
      <c r="A4" s="3" t="s">
        <v>618</v>
      </c>
      <c r="B4" s="3">
        <v>16</v>
      </c>
      <c r="C4" s="3">
        <v>393</v>
      </c>
      <c r="D4" s="3">
        <v>632</v>
      </c>
      <c r="E4" s="3">
        <v>4480</v>
      </c>
      <c r="F4" s="3">
        <v>36</v>
      </c>
      <c r="G4" s="3">
        <v>15</v>
      </c>
      <c r="H4" s="3">
        <v>51</v>
      </c>
      <c r="I4" s="3">
        <v>167</v>
      </c>
      <c r="J4" s="3">
        <v>3</v>
      </c>
      <c r="K4" s="3">
        <v>402.7</v>
      </c>
      <c r="L4" s="2">
        <v>25.2</v>
      </c>
      <c r="N4" s="26" t="s">
        <v>631</v>
      </c>
      <c r="O4" s="26">
        <v>16</v>
      </c>
      <c r="P4">
        <f>SUM(Table_3[[#This Row],[Cmp]]/$O$2)</f>
        <v>24.5625</v>
      </c>
      <c r="Q4">
        <f>SUM(Table_3[[#This Row],[Att]]/$O$2)</f>
        <v>39.5</v>
      </c>
      <c r="R4">
        <f>SUM(Table_3[[#This Row],[Yard]]/$O$2)</f>
        <v>280</v>
      </c>
      <c r="S4">
        <f>SUM(Table_3[[#This Row],[TD]]/$O$2)</f>
        <v>2.25</v>
      </c>
      <c r="T4">
        <f>SUM(Table_3[[#This Row],[INT]]/$O$2)</f>
        <v>0.9375</v>
      </c>
      <c r="U4">
        <f>SUM(Table_3[[#This Row],[Att_1]]/$O$2)</f>
        <v>3.1875</v>
      </c>
      <c r="V4">
        <f>SUM(Table_3[[#This Row],[Yard_2]]/$O$2)</f>
        <v>10.4375</v>
      </c>
      <c r="W4">
        <f>SUM(Table_3[[#This Row],[TD_3]]/$O$2)</f>
        <v>0.1875</v>
      </c>
      <c r="X4" t="s">
        <v>32</v>
      </c>
      <c r="Y4" s="390" t="s">
        <v>2297</v>
      </c>
      <c r="Z4">
        <v>17</v>
      </c>
    </row>
    <row r="5" spans="1:26" x14ac:dyDescent="0.3">
      <c r="A5" s="3" t="s">
        <v>619</v>
      </c>
      <c r="B5" s="3">
        <v>16</v>
      </c>
      <c r="C5" s="3">
        <v>390</v>
      </c>
      <c r="D5" s="3">
        <v>601</v>
      </c>
      <c r="E5" s="3">
        <v>4528</v>
      </c>
      <c r="F5" s="3">
        <v>29</v>
      </c>
      <c r="G5" s="3">
        <v>9</v>
      </c>
      <c r="H5" s="3">
        <v>74</v>
      </c>
      <c r="I5" s="3">
        <v>283</v>
      </c>
      <c r="J5" s="3">
        <v>2</v>
      </c>
      <c r="K5" s="3">
        <v>382.7</v>
      </c>
      <c r="L5" s="2">
        <v>23.9</v>
      </c>
      <c r="N5" s="25" t="s">
        <v>630</v>
      </c>
      <c r="O5" s="25">
        <v>16</v>
      </c>
      <c r="P5">
        <f>SUM(Table_3[[#This Row],[Cmp]]/$O$2)</f>
        <v>24.375</v>
      </c>
      <c r="Q5">
        <f>SUM(Table_3[[#This Row],[Att]]/$O$2)</f>
        <v>37.5625</v>
      </c>
      <c r="R5">
        <f>SUM(Table_3[[#This Row],[Yard]]/$O$2)</f>
        <v>283</v>
      </c>
      <c r="S5">
        <f>SUM(Table_3[[#This Row],[TD]]/$O$2)</f>
        <v>1.8125</v>
      </c>
      <c r="T5">
        <f>SUM(Table_3[[#This Row],[INT]]/$O$2)</f>
        <v>0.5625</v>
      </c>
      <c r="U5">
        <f>SUM(Table_3[[#This Row],[Att_1]]/$O$2)</f>
        <v>4.625</v>
      </c>
      <c r="V5">
        <f>SUM(Table_3[[#This Row],[Yard_2]]/$O$2)</f>
        <v>17.6875</v>
      </c>
      <c r="W5">
        <f>SUM(Table_3[[#This Row],[TD_3]]/$O$2)</f>
        <v>0.125</v>
      </c>
      <c r="X5" t="s">
        <v>10</v>
      </c>
      <c r="Y5" s="390" t="s">
        <v>1969</v>
      </c>
      <c r="Z5">
        <v>18</v>
      </c>
    </row>
    <row r="6" spans="1:26" x14ac:dyDescent="0.3">
      <c r="A6" s="3" t="s">
        <v>620</v>
      </c>
      <c r="B6" s="3">
        <v>16</v>
      </c>
      <c r="C6" s="3">
        <v>318</v>
      </c>
      <c r="D6" s="3">
        <v>501</v>
      </c>
      <c r="E6" s="3">
        <v>3947</v>
      </c>
      <c r="F6" s="3">
        <v>34</v>
      </c>
      <c r="G6" s="3">
        <v>11</v>
      </c>
      <c r="H6" s="3">
        <v>67</v>
      </c>
      <c r="I6" s="3">
        <v>225</v>
      </c>
      <c r="J6" s="3">
        <v>4</v>
      </c>
      <c r="K6" s="3">
        <v>379.9</v>
      </c>
      <c r="L6" s="2">
        <v>23.7</v>
      </c>
      <c r="N6" s="26" t="s">
        <v>639</v>
      </c>
      <c r="O6" s="26">
        <v>16</v>
      </c>
      <c r="P6">
        <f>SUM(Table_3[[#This Row],[Cmp]]/$O$2)</f>
        <v>19.875</v>
      </c>
      <c r="Q6">
        <f>SUM(Table_3[[#This Row],[Att]]/$O$2)</f>
        <v>31.3125</v>
      </c>
      <c r="R6">
        <f>SUM(Table_3[[#This Row],[Yard]]/$O$2)</f>
        <v>246.6875</v>
      </c>
      <c r="S6">
        <f>SUM(Table_3[[#This Row],[TD]]/$O$2)</f>
        <v>2.125</v>
      </c>
      <c r="T6">
        <f>SUM(Table_3[[#This Row],[INT]]/$O$2)</f>
        <v>0.6875</v>
      </c>
      <c r="U6">
        <f>SUM(Table_3[[#This Row],[Att_1]]/$O$2)</f>
        <v>4.1875</v>
      </c>
      <c r="V6">
        <f>SUM(Table_3[[#This Row],[Yard_2]]/$O$2)</f>
        <v>14.0625</v>
      </c>
      <c r="W6">
        <f>SUM(Table_3[[#This Row],[TD_3]]/$O$2)</f>
        <v>0.25</v>
      </c>
      <c r="X6" t="s">
        <v>22</v>
      </c>
      <c r="Y6" s="390" t="s">
        <v>1997</v>
      </c>
      <c r="Z6">
        <v>9</v>
      </c>
    </row>
    <row r="7" spans="1:26" x14ac:dyDescent="0.3">
      <c r="A7" s="3" t="s">
        <v>621</v>
      </c>
      <c r="B7" s="3">
        <v>16</v>
      </c>
      <c r="C7" s="3">
        <v>322</v>
      </c>
      <c r="D7" s="3">
        <v>511</v>
      </c>
      <c r="E7" s="3">
        <v>4169</v>
      </c>
      <c r="F7" s="3">
        <v>34</v>
      </c>
      <c r="G7" s="3">
        <v>11</v>
      </c>
      <c r="H7" s="3">
        <v>48</v>
      </c>
      <c r="I7" s="3">
        <v>160</v>
      </c>
      <c r="J7" s="3">
        <v>3</v>
      </c>
      <c r="K7" s="3">
        <v>378.5</v>
      </c>
      <c r="L7" s="2">
        <v>23.7</v>
      </c>
      <c r="N7" s="26" t="s">
        <v>625</v>
      </c>
      <c r="O7" s="26">
        <v>16</v>
      </c>
      <c r="P7">
        <f>SUM(Table_3[[#This Row],[Cmp]]/$O$2)</f>
        <v>20.125</v>
      </c>
      <c r="Q7">
        <f>SUM(Table_3[[#This Row],[Att]]/$O$2)</f>
        <v>31.9375</v>
      </c>
      <c r="R7">
        <f>SUM(Table_3[[#This Row],[Yard]]/$O$2)</f>
        <v>260.5625</v>
      </c>
      <c r="S7">
        <f>SUM(Table_3[[#This Row],[TD]]/$O$2)</f>
        <v>2.125</v>
      </c>
      <c r="T7">
        <f>SUM(Table_3[[#This Row],[INT]]/$O$2)</f>
        <v>0.6875</v>
      </c>
      <c r="U7">
        <f>SUM(Table_3[[#This Row],[Att_1]]/$O$2)</f>
        <v>3</v>
      </c>
      <c r="V7">
        <f>SUM(Table_3[[#This Row],[Yard_2]]/$O$2)</f>
        <v>10</v>
      </c>
      <c r="W7">
        <f>SUM(Table_3[[#This Row],[TD_3]]/$O$2)</f>
        <v>0.1875</v>
      </c>
      <c r="X7" t="s">
        <v>46</v>
      </c>
      <c r="Y7" s="390" t="s">
        <v>2298</v>
      </c>
      <c r="Z7">
        <v>23</v>
      </c>
    </row>
    <row r="8" spans="1:26" x14ac:dyDescent="0.3">
      <c r="A8" s="3" t="s">
        <v>622</v>
      </c>
      <c r="B8" s="3">
        <v>16</v>
      </c>
      <c r="C8" s="3">
        <v>401</v>
      </c>
      <c r="D8" s="3">
        <v>623</v>
      </c>
      <c r="E8" s="3">
        <v>4664</v>
      </c>
      <c r="F8" s="3">
        <v>29</v>
      </c>
      <c r="G8" s="3">
        <v>17</v>
      </c>
      <c r="H8" s="3">
        <v>50</v>
      </c>
      <c r="I8" s="3">
        <v>153</v>
      </c>
      <c r="J8" s="3">
        <v>1</v>
      </c>
      <c r="K8" s="3">
        <v>370.5</v>
      </c>
      <c r="L8" s="2">
        <v>23.2</v>
      </c>
      <c r="N8" s="26" t="s">
        <v>645</v>
      </c>
      <c r="O8" s="26">
        <v>16</v>
      </c>
      <c r="P8">
        <f>SUM(Table_3[[#This Row],[Cmp]]/$O$2)</f>
        <v>25.0625</v>
      </c>
      <c r="Q8">
        <f>SUM(Table_3[[#This Row],[Att]]/$O$2)</f>
        <v>38.9375</v>
      </c>
      <c r="R8">
        <f>SUM(Table_3[[#This Row],[Yard]]/$O$2)</f>
        <v>291.5</v>
      </c>
      <c r="S8">
        <f>SUM(Table_3[[#This Row],[TD]]/$O$2)</f>
        <v>1.8125</v>
      </c>
      <c r="T8">
        <f>SUM(Table_3[[#This Row],[INT]]/$O$2)</f>
        <v>1.0625</v>
      </c>
      <c r="U8">
        <f>SUM(Table_3[[#This Row],[Att_1]]/$O$2)</f>
        <v>3.125</v>
      </c>
      <c r="V8">
        <f>SUM(Table_3[[#This Row],[Yard_2]]/$O$2)</f>
        <v>9.5625</v>
      </c>
      <c r="W8">
        <f>SUM(Table_3[[#This Row],[TD_3]]/$O$2)</f>
        <v>6.25E-2</v>
      </c>
      <c r="X8" t="s">
        <v>28</v>
      </c>
      <c r="Y8" s="390" t="s">
        <v>1999</v>
      </c>
      <c r="Z8">
        <v>3</v>
      </c>
    </row>
    <row r="9" spans="1:26" x14ac:dyDescent="0.3">
      <c r="A9" s="3" t="s">
        <v>623</v>
      </c>
      <c r="B9" s="3">
        <v>16</v>
      </c>
      <c r="C9" s="3">
        <v>354</v>
      </c>
      <c r="D9" s="3">
        <v>585</v>
      </c>
      <c r="E9" s="3">
        <v>4365</v>
      </c>
      <c r="F9" s="3">
        <v>29</v>
      </c>
      <c r="G9" s="3">
        <v>17</v>
      </c>
      <c r="H9" s="3">
        <v>54</v>
      </c>
      <c r="I9" s="3">
        <v>237</v>
      </c>
      <c r="J9" s="3">
        <v>2</v>
      </c>
      <c r="K9" s="3">
        <v>370</v>
      </c>
      <c r="L9" s="2">
        <v>23.1</v>
      </c>
      <c r="N9" s="26" t="s">
        <v>621</v>
      </c>
      <c r="O9" s="26">
        <v>16</v>
      </c>
      <c r="P9">
        <f>SUM(Table_3[[#This Row],[Cmp]]/$O$2)</f>
        <v>22.125</v>
      </c>
      <c r="Q9">
        <f>SUM(Table_3[[#This Row],[Att]]/$O$2)</f>
        <v>36.5625</v>
      </c>
      <c r="R9">
        <f>SUM(Table_3[[#This Row],[Yard]]/$O$2)</f>
        <v>272.8125</v>
      </c>
      <c r="S9">
        <f>SUM(Table_3[[#This Row],[TD]]/$O$2)</f>
        <v>1.8125</v>
      </c>
      <c r="T9">
        <f>SUM(Table_3[[#This Row],[INT]]/$O$2)</f>
        <v>1.0625</v>
      </c>
      <c r="U9">
        <f>SUM(Table_3[[#This Row],[Att_1]]/$O$2)</f>
        <v>3.375</v>
      </c>
      <c r="V9">
        <f>SUM(Table_3[[#This Row],[Yard_2]]/$O$2)</f>
        <v>14.8125</v>
      </c>
      <c r="W9">
        <f>SUM(Table_3[[#This Row],[TD_3]]/$O$2)</f>
        <v>0.125</v>
      </c>
      <c r="X9" t="s">
        <v>14</v>
      </c>
      <c r="Y9" s="390" t="s">
        <v>2299</v>
      </c>
      <c r="Z9">
        <v>27</v>
      </c>
    </row>
    <row r="10" spans="1:26" x14ac:dyDescent="0.3">
      <c r="A10" s="3" t="s">
        <v>624</v>
      </c>
      <c r="B10" s="3">
        <v>16</v>
      </c>
      <c r="C10" s="3">
        <v>354</v>
      </c>
      <c r="D10" s="3">
        <v>566</v>
      </c>
      <c r="E10" s="3">
        <v>4391</v>
      </c>
      <c r="F10" s="3">
        <v>30</v>
      </c>
      <c r="G10" s="3">
        <v>11</v>
      </c>
      <c r="H10" s="3">
        <v>38</v>
      </c>
      <c r="I10" s="3">
        <v>185</v>
      </c>
      <c r="J10" s="3">
        <v>1</v>
      </c>
      <c r="K10" s="3">
        <v>364.1</v>
      </c>
      <c r="L10" s="2">
        <v>22.8</v>
      </c>
      <c r="N10" s="25" t="s">
        <v>644</v>
      </c>
      <c r="O10" s="25">
        <v>16</v>
      </c>
      <c r="P10">
        <f>SUM(Table_3[[#This Row],[Cmp]]/$O$2)</f>
        <v>22.125</v>
      </c>
      <c r="Q10">
        <f>SUM(Table_3[[#This Row],[Att]]/$O$2)</f>
        <v>35.375</v>
      </c>
      <c r="R10">
        <f>SUM(Table_3[[#This Row],[Yard]]/$O$2)</f>
        <v>274.4375</v>
      </c>
      <c r="S10">
        <f>SUM(Table_3[[#This Row],[TD]]/$O$2)</f>
        <v>1.875</v>
      </c>
      <c r="T10">
        <f>SUM(Table_3[[#This Row],[INT]]/$O$2)</f>
        <v>0.6875</v>
      </c>
      <c r="U10">
        <f>SUM(Table_3[[#This Row],[Att_1]]/$O$2)</f>
        <v>2.375</v>
      </c>
      <c r="V10">
        <f>SUM(Table_3[[#This Row],[Yard_2]]/$O$2)</f>
        <v>11.5625</v>
      </c>
      <c r="W10">
        <f>SUM(Table_3[[#This Row],[TD_3]]/$O$2)</f>
        <v>6.25E-2</v>
      </c>
      <c r="X10" t="s">
        <v>52</v>
      </c>
      <c r="Y10" s="390" t="s">
        <v>1994</v>
      </c>
      <c r="Z10">
        <v>4</v>
      </c>
    </row>
    <row r="11" spans="1:26" x14ac:dyDescent="0.3">
      <c r="A11" s="3" t="s">
        <v>625</v>
      </c>
      <c r="B11" s="3">
        <v>16</v>
      </c>
      <c r="C11" s="3">
        <v>322</v>
      </c>
      <c r="D11" s="3">
        <v>511</v>
      </c>
      <c r="E11" s="3">
        <v>3830</v>
      </c>
      <c r="F11" s="3">
        <v>31</v>
      </c>
      <c r="G11" s="3">
        <v>8</v>
      </c>
      <c r="H11" s="3">
        <v>57</v>
      </c>
      <c r="I11" s="3">
        <v>302</v>
      </c>
      <c r="J11" s="3">
        <v>3</v>
      </c>
      <c r="K11" s="3">
        <v>363.7</v>
      </c>
      <c r="L11" s="2">
        <v>22.7</v>
      </c>
      <c r="N11" s="26" t="s">
        <v>647</v>
      </c>
      <c r="O11" s="26">
        <v>16</v>
      </c>
      <c r="P11">
        <f>SUM(Table_3[[#This Row],[Cmp]]/$O$2)</f>
        <v>20.125</v>
      </c>
      <c r="Q11">
        <f>SUM(Table_3[[#This Row],[Att]]/$O$2)</f>
        <v>31.9375</v>
      </c>
      <c r="R11">
        <f>SUM(Table_3[[#This Row],[Yard]]/$O$2)</f>
        <v>239.375</v>
      </c>
      <c r="S11">
        <f>SUM(Table_3[[#This Row],[TD]]/$O$2)</f>
        <v>1.9375</v>
      </c>
      <c r="T11">
        <f>SUM(Table_3[[#This Row],[INT]]/$O$2)</f>
        <v>0.5</v>
      </c>
      <c r="U11">
        <f>SUM(Table_3[[#This Row],[Att_1]]/$O$2)</f>
        <v>3.5625</v>
      </c>
      <c r="V11">
        <f>SUM(Table_3[[#This Row],[Yard_2]]/$O$2)</f>
        <v>18.875</v>
      </c>
      <c r="W11">
        <f>SUM(Table_3[[#This Row],[TD_3]]/$O$2)</f>
        <v>0.1875</v>
      </c>
      <c r="X11" t="s">
        <v>70</v>
      </c>
      <c r="Y11" s="390" t="s">
        <v>2300</v>
      </c>
      <c r="Z11">
        <v>1</v>
      </c>
    </row>
    <row r="12" spans="1:26" x14ac:dyDescent="0.3">
      <c r="A12" s="3" t="s">
        <v>626</v>
      </c>
      <c r="B12" s="3">
        <v>16</v>
      </c>
      <c r="C12" s="3">
        <v>378</v>
      </c>
      <c r="D12" s="3">
        <v>542</v>
      </c>
      <c r="E12" s="3">
        <v>4072</v>
      </c>
      <c r="F12" s="3">
        <v>31</v>
      </c>
      <c r="G12" s="3">
        <v>11</v>
      </c>
      <c r="H12" s="3">
        <v>50</v>
      </c>
      <c r="I12" s="3">
        <v>130</v>
      </c>
      <c r="J12" s="3">
        <v>3</v>
      </c>
      <c r="K12" s="3">
        <v>358.6</v>
      </c>
      <c r="L12" s="2">
        <v>22.4</v>
      </c>
      <c r="N12" s="26" t="s">
        <v>627</v>
      </c>
      <c r="O12" s="26">
        <v>16</v>
      </c>
      <c r="P12">
        <f>SUM(Table_3[[#This Row],[Cmp]]/$O$2)</f>
        <v>23.625</v>
      </c>
      <c r="Q12">
        <f>SUM(Table_3[[#This Row],[Att]]/$O$2)</f>
        <v>33.875</v>
      </c>
      <c r="R12">
        <f>SUM(Table_3[[#This Row],[Yard]]/$O$2)</f>
        <v>254.5</v>
      </c>
      <c r="S12">
        <f>SUM(Table_3[[#This Row],[TD]]/$O$2)</f>
        <v>1.9375</v>
      </c>
      <c r="T12">
        <f>SUM(Table_3[[#This Row],[INT]]/$O$2)</f>
        <v>0.6875</v>
      </c>
      <c r="U12">
        <f>SUM(Table_3[[#This Row],[Att_1]]/$O$2)</f>
        <v>3.125</v>
      </c>
      <c r="V12">
        <f>SUM(Table_3[[#This Row],[Yard_2]]/$O$2)</f>
        <v>8.125</v>
      </c>
      <c r="W12">
        <f>SUM(Table_3[[#This Row],[TD_3]]/$O$2)</f>
        <v>0.1875</v>
      </c>
      <c r="X12" t="s">
        <v>26</v>
      </c>
      <c r="Y12" s="390" t="s">
        <v>2301</v>
      </c>
      <c r="Z12">
        <v>21</v>
      </c>
    </row>
    <row r="13" spans="1:26" x14ac:dyDescent="0.3">
      <c r="A13" s="3" t="s">
        <v>627</v>
      </c>
      <c r="B13" s="3">
        <v>16</v>
      </c>
      <c r="C13" s="3">
        <v>361</v>
      </c>
      <c r="D13" s="3">
        <v>529</v>
      </c>
      <c r="E13" s="3">
        <v>4066</v>
      </c>
      <c r="F13" s="3">
        <v>27</v>
      </c>
      <c r="G13" s="3">
        <v>9</v>
      </c>
      <c r="H13" s="3">
        <v>48</v>
      </c>
      <c r="I13" s="3">
        <v>225</v>
      </c>
      <c r="J13" s="3">
        <v>3</v>
      </c>
      <c r="K13" s="3">
        <v>351.8</v>
      </c>
      <c r="L13" s="2">
        <v>22</v>
      </c>
      <c r="N13" s="26" t="s">
        <v>643</v>
      </c>
      <c r="O13" s="26">
        <v>16</v>
      </c>
      <c r="P13">
        <f>SUM(Table_3[[#This Row],[Cmp]]/$O$2)</f>
        <v>22.5625</v>
      </c>
      <c r="Q13">
        <f>SUM(Table_3[[#This Row],[Att]]/$O$2)</f>
        <v>33.0625</v>
      </c>
      <c r="R13">
        <f>SUM(Table_3[[#This Row],[Yard]]/$O$2)</f>
        <v>254.125</v>
      </c>
      <c r="S13">
        <f>SUM(Table_3[[#This Row],[TD]]/$O$2)</f>
        <v>1.6875</v>
      </c>
      <c r="T13">
        <f>SUM(Table_3[[#This Row],[INT]]/$O$2)</f>
        <v>0.5625</v>
      </c>
      <c r="U13">
        <f>SUM(Table_3[[#This Row],[Att_1]]/$O$2)</f>
        <v>3</v>
      </c>
      <c r="V13">
        <f>SUM(Table_3[[#This Row],[Yard_2]]/$O$2)</f>
        <v>14.0625</v>
      </c>
      <c r="W13">
        <f>SUM(Table_3[[#This Row],[TD_3]]/$O$2)</f>
        <v>0.1875</v>
      </c>
      <c r="X13" t="s">
        <v>395</v>
      </c>
      <c r="Y13" s="390" t="s">
        <v>1976</v>
      </c>
      <c r="Z13">
        <v>5</v>
      </c>
    </row>
    <row r="14" spans="1:26" x14ac:dyDescent="0.3">
      <c r="A14" s="3" t="s">
        <v>628</v>
      </c>
      <c r="B14" s="3">
        <v>16</v>
      </c>
      <c r="C14" s="3">
        <v>403</v>
      </c>
      <c r="D14" s="3">
        <v>640</v>
      </c>
      <c r="E14" s="3">
        <v>4348</v>
      </c>
      <c r="F14" s="3">
        <v>25</v>
      </c>
      <c r="G14" s="3">
        <v>14</v>
      </c>
      <c r="H14" s="3">
        <v>37</v>
      </c>
      <c r="I14" s="3">
        <v>203</v>
      </c>
      <c r="J14" s="3">
        <v>2</v>
      </c>
      <c r="K14" s="3">
        <v>349.7</v>
      </c>
      <c r="L14" s="2">
        <v>21.9</v>
      </c>
      <c r="N14" s="25" t="s">
        <v>642</v>
      </c>
      <c r="O14" s="25">
        <v>16</v>
      </c>
      <c r="P14">
        <f>SUM(Table_3[[#This Row],[Cmp]]/$O$2)</f>
        <v>25.1875</v>
      </c>
      <c r="Q14">
        <f>SUM(Table_3[[#This Row],[Att]]/$O$2)</f>
        <v>40</v>
      </c>
      <c r="R14">
        <f>SUM(Table_3[[#This Row],[Yard]]/$O$2)</f>
        <v>271.75</v>
      </c>
      <c r="S14">
        <f>SUM(Table_3[[#This Row],[TD]]/$O$2)</f>
        <v>1.5625</v>
      </c>
      <c r="T14">
        <f>SUM(Table_3[[#This Row],[INT]]/$O$2)</f>
        <v>0.875</v>
      </c>
      <c r="U14">
        <f>SUM(Table_3[[#This Row],[Att_1]]/$O$2)</f>
        <v>2.3125</v>
      </c>
      <c r="V14">
        <f>SUM(Table_3[[#This Row],[Yard_2]]/$O$2)</f>
        <v>12.6875</v>
      </c>
      <c r="W14">
        <f>SUM(Table_3[[#This Row],[TD_3]]/$O$2)</f>
        <v>0.125</v>
      </c>
      <c r="X14" t="s">
        <v>43</v>
      </c>
      <c r="Y14" s="390" t="s">
        <v>2302</v>
      </c>
      <c r="Z14">
        <v>6</v>
      </c>
    </row>
    <row r="15" spans="1:26" x14ac:dyDescent="0.3">
      <c r="A15" s="3" t="s">
        <v>629</v>
      </c>
      <c r="B15" s="3">
        <v>16</v>
      </c>
      <c r="C15" s="3">
        <v>350</v>
      </c>
      <c r="D15" s="3">
        <v>542</v>
      </c>
      <c r="E15" s="3">
        <v>4225</v>
      </c>
      <c r="F15" s="3">
        <v>31</v>
      </c>
      <c r="G15" s="3">
        <v>13</v>
      </c>
      <c r="H15" s="3">
        <v>46</v>
      </c>
      <c r="I15" s="3">
        <v>141</v>
      </c>
      <c r="J15" s="3">
        <v>0</v>
      </c>
      <c r="K15" s="3">
        <v>349.4</v>
      </c>
      <c r="L15" s="2">
        <v>21.8</v>
      </c>
      <c r="N15" s="26" t="s">
        <v>623</v>
      </c>
      <c r="O15" s="26">
        <v>16</v>
      </c>
      <c r="P15">
        <f>SUM(Table_3[[#This Row],[Cmp]]/$O$2)</f>
        <v>21.875</v>
      </c>
      <c r="Q15">
        <f>SUM(Table_3[[#This Row],[Att]]/$O$2)</f>
        <v>33.875</v>
      </c>
      <c r="R15">
        <f>SUM(Table_3[[#This Row],[Yard]]/$O$2)</f>
        <v>264.0625</v>
      </c>
      <c r="S15">
        <f>SUM(Table_3[[#This Row],[TD]]/$O$2)</f>
        <v>1.9375</v>
      </c>
      <c r="T15">
        <f>SUM(Table_3[[#This Row],[INT]]/$O$2)</f>
        <v>0.8125</v>
      </c>
      <c r="U15">
        <f>SUM(Table_3[[#This Row],[Att_1]]/$O$2)</f>
        <v>2.875</v>
      </c>
      <c r="V15">
        <f>SUM(Table_3[[#This Row],[Yard_2]]/$O$2)</f>
        <v>8.8125</v>
      </c>
      <c r="W15">
        <f>SUM(Table_3[[#This Row],[TD_3]]/$O$2)</f>
        <v>0</v>
      </c>
      <c r="X15" t="s">
        <v>16</v>
      </c>
      <c r="Y15" s="390" t="s">
        <v>1967</v>
      </c>
      <c r="Z15">
        <v>25</v>
      </c>
    </row>
    <row r="16" spans="1:26" x14ac:dyDescent="0.3">
      <c r="A16" s="3" t="s">
        <v>630</v>
      </c>
      <c r="B16" s="3">
        <v>16</v>
      </c>
      <c r="C16" s="3">
        <v>347</v>
      </c>
      <c r="D16" s="3">
        <v>602</v>
      </c>
      <c r="E16" s="3">
        <v>4090</v>
      </c>
      <c r="F16" s="3">
        <v>30</v>
      </c>
      <c r="G16" s="3">
        <v>17</v>
      </c>
      <c r="H16" s="3">
        <v>47</v>
      </c>
      <c r="I16" s="3">
        <v>163</v>
      </c>
      <c r="J16" s="3">
        <v>1</v>
      </c>
      <c r="K16" s="3">
        <v>346.8</v>
      </c>
      <c r="L16" s="2">
        <v>21.7</v>
      </c>
      <c r="N16" s="26" t="s">
        <v>619</v>
      </c>
      <c r="O16" s="26">
        <v>16</v>
      </c>
      <c r="P16">
        <f>SUM(Table_3[[#This Row],[Cmp]]/$O$2)</f>
        <v>21.6875</v>
      </c>
      <c r="Q16">
        <f>SUM(Table_3[[#This Row],[Att]]/$O$2)</f>
        <v>37.625</v>
      </c>
      <c r="R16">
        <f>SUM(Table_3[[#This Row],[Yard]]/$O$2)</f>
        <v>255.625</v>
      </c>
      <c r="S16">
        <f>SUM(Table_3[[#This Row],[TD]]/$O$2)</f>
        <v>1.875</v>
      </c>
      <c r="T16">
        <f>SUM(Table_3[[#This Row],[INT]]/$O$2)</f>
        <v>1.0625</v>
      </c>
      <c r="U16">
        <f>SUM(Table_3[[#This Row],[Att_1]]/$O$2)</f>
        <v>2.9375</v>
      </c>
      <c r="V16">
        <f>SUM(Table_3[[#This Row],[Yard_2]]/$O$2)</f>
        <v>10.1875</v>
      </c>
      <c r="W16">
        <f>SUM(Table_3[[#This Row],[TD_3]]/$O$2)</f>
        <v>6.25E-2</v>
      </c>
      <c r="X16" t="s">
        <v>12</v>
      </c>
      <c r="Y16" s="390" t="s">
        <v>1980</v>
      </c>
      <c r="Z16">
        <v>29</v>
      </c>
    </row>
    <row r="17" spans="1:26" x14ac:dyDescent="0.3">
      <c r="A17" s="3" t="s">
        <v>631</v>
      </c>
      <c r="B17" s="3">
        <v>16</v>
      </c>
      <c r="C17" s="3">
        <v>350</v>
      </c>
      <c r="D17" s="3">
        <v>545</v>
      </c>
      <c r="E17" s="3">
        <v>3952</v>
      </c>
      <c r="F17" s="3">
        <v>30</v>
      </c>
      <c r="G17" s="3">
        <v>6</v>
      </c>
      <c r="H17" s="3">
        <v>47</v>
      </c>
      <c r="I17" s="3">
        <v>164</v>
      </c>
      <c r="J17" s="3">
        <v>2</v>
      </c>
      <c r="K17" s="3">
        <v>346</v>
      </c>
      <c r="L17" s="2">
        <v>21.6</v>
      </c>
      <c r="N17" s="26" t="s">
        <v>633</v>
      </c>
      <c r="O17" s="26">
        <v>16</v>
      </c>
      <c r="P17">
        <f>SUM(Table_3[[#This Row],[Cmp]]/$O$2)</f>
        <v>21.875</v>
      </c>
      <c r="Q17">
        <f>SUM(Table_3[[#This Row],[Att]]/$O$2)</f>
        <v>34.0625</v>
      </c>
      <c r="R17">
        <f>SUM(Table_3[[#This Row],[Yard]]/$O$2)</f>
        <v>247</v>
      </c>
      <c r="S17">
        <f>SUM(Table_3[[#This Row],[TD]]/$O$2)</f>
        <v>1.875</v>
      </c>
      <c r="T17">
        <f>SUM(Table_3[[#This Row],[INT]]/$O$2)</f>
        <v>0.375</v>
      </c>
      <c r="U17">
        <f>SUM(Table_3[[#This Row],[Att_1]]/$O$2)</f>
        <v>2.9375</v>
      </c>
      <c r="V17">
        <f>SUM(Table_3[[#This Row],[Yard_2]]/$O$2)</f>
        <v>10.25</v>
      </c>
      <c r="W17">
        <f>SUM(Table_3[[#This Row],[TD_3]]/$O$2)</f>
        <v>0.125</v>
      </c>
      <c r="X17" t="s">
        <v>397</v>
      </c>
      <c r="Y17" s="390" t="s">
        <v>1982</v>
      </c>
      <c r="Z17">
        <v>15</v>
      </c>
    </row>
    <row r="18" spans="1:26" x14ac:dyDescent="0.3">
      <c r="A18" s="3" t="s">
        <v>632</v>
      </c>
      <c r="B18" s="3">
        <v>16</v>
      </c>
      <c r="C18" s="3">
        <v>361</v>
      </c>
      <c r="D18" s="3">
        <v>596</v>
      </c>
      <c r="E18" s="3">
        <v>4210</v>
      </c>
      <c r="F18" s="3">
        <v>24</v>
      </c>
      <c r="G18" s="3">
        <v>12</v>
      </c>
      <c r="H18" s="3">
        <v>38</v>
      </c>
      <c r="I18" s="3">
        <v>179</v>
      </c>
      <c r="J18" s="3">
        <v>1</v>
      </c>
      <c r="K18" s="3">
        <v>330.4</v>
      </c>
      <c r="L18" s="2">
        <v>20.7</v>
      </c>
      <c r="N18" s="26" t="s">
        <v>635</v>
      </c>
      <c r="O18" s="26">
        <v>16</v>
      </c>
      <c r="P18">
        <f>SUM(Table_3[[#This Row],[Cmp]]/$O$2)</f>
        <v>22.5625</v>
      </c>
      <c r="Q18">
        <f>SUM(Table_3[[#This Row],[Att]]/$O$2)</f>
        <v>37.25</v>
      </c>
      <c r="R18">
        <f>SUM(Table_3[[#This Row],[Yard]]/$O$2)</f>
        <v>263.125</v>
      </c>
      <c r="S18">
        <f>SUM(Table_3[[#This Row],[TD]]/$O$2)</f>
        <v>1.5</v>
      </c>
      <c r="T18">
        <f>SUM(Table_3[[#This Row],[INT]]/$O$2)</f>
        <v>0.75</v>
      </c>
      <c r="U18">
        <f>SUM(Table_3[[#This Row],[Att_1]]/$O$2)</f>
        <v>2.375</v>
      </c>
      <c r="V18">
        <f>SUM(Table_3[[#This Row],[Yard_2]]/$O$2)</f>
        <v>11.1875</v>
      </c>
      <c r="W18">
        <f>SUM(Table_3[[#This Row],[TD_3]]/$O$2)</f>
        <v>6.25E-2</v>
      </c>
      <c r="X18" t="s">
        <v>409</v>
      </c>
      <c r="Y18" s="390" t="s">
        <v>2303</v>
      </c>
      <c r="Z18">
        <v>13</v>
      </c>
    </row>
    <row r="19" spans="1:26" x14ac:dyDescent="0.3">
      <c r="A19" s="3" t="s">
        <v>633</v>
      </c>
      <c r="B19" s="3">
        <v>16</v>
      </c>
      <c r="C19" s="3">
        <v>349</v>
      </c>
      <c r="D19" s="3">
        <v>607</v>
      </c>
      <c r="E19" s="3">
        <v>3988</v>
      </c>
      <c r="F19" s="3">
        <v>25</v>
      </c>
      <c r="G19" s="3">
        <v>22</v>
      </c>
      <c r="H19" s="3">
        <v>46</v>
      </c>
      <c r="I19" s="3">
        <v>277</v>
      </c>
      <c r="J19" s="3">
        <v>0</v>
      </c>
      <c r="K19" s="3">
        <v>327.10000000000002</v>
      </c>
      <c r="L19" s="2">
        <v>20.399999999999999</v>
      </c>
      <c r="N19" s="26" t="s">
        <v>629</v>
      </c>
      <c r="O19" s="26">
        <v>16</v>
      </c>
      <c r="P19">
        <f>SUM(Table_3[[#This Row],[Cmp]]/$O$2)</f>
        <v>21.8125</v>
      </c>
      <c r="Q19">
        <f>SUM(Table_3[[#This Row],[Att]]/$O$2)</f>
        <v>37.9375</v>
      </c>
      <c r="R19">
        <f>SUM(Table_3[[#This Row],[Yard]]/$O$2)</f>
        <v>249.25</v>
      </c>
      <c r="S19">
        <f>SUM(Table_3[[#This Row],[TD]]/$O$2)</f>
        <v>1.5625</v>
      </c>
      <c r="T19">
        <f>SUM(Table_3[[#This Row],[INT]]/$O$2)</f>
        <v>1.375</v>
      </c>
      <c r="U19">
        <f>SUM(Table_3[[#This Row],[Att_1]]/$O$2)</f>
        <v>2.875</v>
      </c>
      <c r="V19">
        <f>SUM(Table_3[[#This Row],[Yard_2]]/$O$2)</f>
        <v>17.3125</v>
      </c>
      <c r="W19">
        <f>SUM(Table_3[[#This Row],[TD_3]]/$O$2)</f>
        <v>0</v>
      </c>
      <c r="X19" t="s">
        <v>57</v>
      </c>
      <c r="Y19" s="390" t="s">
        <v>2003</v>
      </c>
      <c r="Z19">
        <v>19</v>
      </c>
    </row>
    <row r="20" spans="1:26" x14ac:dyDescent="0.3">
      <c r="A20" s="3" t="s">
        <v>634</v>
      </c>
      <c r="B20" s="3">
        <v>16</v>
      </c>
      <c r="C20" s="3">
        <v>359</v>
      </c>
      <c r="D20" s="3">
        <v>561</v>
      </c>
      <c r="E20" s="3">
        <v>4042</v>
      </c>
      <c r="F20" s="3">
        <v>24</v>
      </c>
      <c r="G20" s="3">
        <v>13</v>
      </c>
      <c r="H20" s="3">
        <v>44</v>
      </c>
      <c r="I20" s="3">
        <v>169</v>
      </c>
      <c r="J20" s="3">
        <v>2</v>
      </c>
      <c r="K20" s="3">
        <v>327</v>
      </c>
      <c r="L20" s="2">
        <v>20.399999999999999</v>
      </c>
      <c r="N20" s="25" t="s">
        <v>634</v>
      </c>
      <c r="O20" s="25">
        <v>16</v>
      </c>
      <c r="P20">
        <f>SUM(Table_3[[#This Row],[Cmp]]/$O$2)</f>
        <v>22.4375</v>
      </c>
      <c r="Q20">
        <f>SUM(Table_3[[#This Row],[Att]]/$O$2)</f>
        <v>35.0625</v>
      </c>
      <c r="R20">
        <f>SUM(Table_3[[#This Row],[Yard]]/$O$2)</f>
        <v>252.625</v>
      </c>
      <c r="S20">
        <f>SUM(Table_3[[#This Row],[TD]]/$O$2)</f>
        <v>1.5</v>
      </c>
      <c r="T20">
        <f>SUM(Table_3[[#This Row],[INT]]/$O$2)</f>
        <v>0.8125</v>
      </c>
      <c r="U20">
        <f>SUM(Table_3[[#This Row],[Att_1]]/$O$2)</f>
        <v>2.75</v>
      </c>
      <c r="V20">
        <f>SUM(Table_3[[#This Row],[Yard_2]]/$O$2)</f>
        <v>10.5625</v>
      </c>
      <c r="W20">
        <f>SUM(Table_3[[#This Row],[TD_3]]/$O$2)</f>
        <v>0.125</v>
      </c>
      <c r="X20" t="s">
        <v>41</v>
      </c>
      <c r="Y20" s="390" t="s">
        <v>2304</v>
      </c>
      <c r="Z20">
        <v>14</v>
      </c>
    </row>
    <row r="21" spans="1:26" x14ac:dyDescent="0.3">
      <c r="A21" s="3" t="s">
        <v>635</v>
      </c>
      <c r="B21" s="3">
        <v>16</v>
      </c>
      <c r="C21" s="3">
        <v>399</v>
      </c>
      <c r="D21" s="3">
        <v>597</v>
      </c>
      <c r="E21" s="3">
        <v>4301</v>
      </c>
      <c r="F21" s="3">
        <v>21</v>
      </c>
      <c r="G21" s="3">
        <v>13</v>
      </c>
      <c r="H21" s="3">
        <v>59</v>
      </c>
      <c r="I21" s="3">
        <v>218</v>
      </c>
      <c r="J21" s="3">
        <v>1</v>
      </c>
      <c r="K21" s="3">
        <v>326.89999999999998</v>
      </c>
      <c r="L21" s="2">
        <v>20.399999999999999</v>
      </c>
      <c r="N21" s="25" t="s">
        <v>632</v>
      </c>
      <c r="O21" s="25">
        <v>16</v>
      </c>
      <c r="P21">
        <f>SUM(Table_3[[#This Row],[Cmp]]/$O$2)</f>
        <v>24.9375</v>
      </c>
      <c r="Q21">
        <f>SUM(Table_3[[#This Row],[Att]]/$O$2)</f>
        <v>37.3125</v>
      </c>
      <c r="R21">
        <f>SUM(Table_3[[#This Row],[Yard]]/$O$2)</f>
        <v>268.8125</v>
      </c>
      <c r="S21">
        <f>SUM(Table_3[[#This Row],[TD]]/$O$2)</f>
        <v>1.3125</v>
      </c>
      <c r="T21">
        <f>SUM(Table_3[[#This Row],[INT]]/$O$2)</f>
        <v>0.8125</v>
      </c>
      <c r="U21">
        <f>SUM(Table_3[[#This Row],[Att_1]]/$O$2)</f>
        <v>3.6875</v>
      </c>
      <c r="V21">
        <f>SUM(Table_3[[#This Row],[Yard_2]]/$O$2)</f>
        <v>13.625</v>
      </c>
      <c r="W21">
        <f>SUM(Table_3[[#This Row],[TD_3]]/$O$2)</f>
        <v>6.25E-2</v>
      </c>
      <c r="X21" t="s">
        <v>402</v>
      </c>
      <c r="Y21" s="390" t="s">
        <v>1992</v>
      </c>
      <c r="Z21">
        <v>16</v>
      </c>
    </row>
    <row r="22" spans="1:26" x14ac:dyDescent="0.3">
      <c r="A22" s="3" t="s">
        <v>636</v>
      </c>
      <c r="B22" s="3">
        <v>16</v>
      </c>
      <c r="C22" s="3">
        <v>343</v>
      </c>
      <c r="D22" s="3">
        <v>573</v>
      </c>
      <c r="E22" s="3">
        <v>3957</v>
      </c>
      <c r="F22" s="3">
        <v>24</v>
      </c>
      <c r="G22" s="3">
        <v>19</v>
      </c>
      <c r="H22" s="3">
        <v>57</v>
      </c>
      <c r="I22" s="3">
        <v>266</v>
      </c>
      <c r="J22" s="3">
        <v>1</v>
      </c>
      <c r="K22" s="3">
        <v>326.5</v>
      </c>
      <c r="L22" s="2">
        <v>20.399999999999999</v>
      </c>
      <c r="N22" s="25" t="s">
        <v>616</v>
      </c>
      <c r="O22" s="25">
        <v>16</v>
      </c>
      <c r="P22">
        <f>SUM(Table_3[[#This Row],[Cmp]]/$O$2)</f>
        <v>21.4375</v>
      </c>
      <c r="Q22">
        <f>SUM(Table_3[[#This Row],[Att]]/$O$2)</f>
        <v>35.8125</v>
      </c>
      <c r="R22">
        <f>SUM(Table_3[[#This Row],[Yard]]/$O$2)</f>
        <v>247.3125</v>
      </c>
      <c r="S22">
        <f>SUM(Table_3[[#This Row],[TD]]/$O$2)</f>
        <v>1.5</v>
      </c>
      <c r="T22">
        <f>SUM(Table_3[[#This Row],[INT]]/$O$2)</f>
        <v>1.1875</v>
      </c>
      <c r="U22">
        <f>SUM(Table_3[[#This Row],[Att_1]]/$O$2)</f>
        <v>3.5625</v>
      </c>
      <c r="V22">
        <f>SUM(Table_3[[#This Row],[Yard_2]]/$O$2)</f>
        <v>16.625</v>
      </c>
      <c r="W22">
        <f>SUM(Table_3[[#This Row],[TD_3]]/$O$2)</f>
        <v>6.25E-2</v>
      </c>
      <c r="X22" t="s">
        <v>404</v>
      </c>
      <c r="Y22" s="390" t="s">
        <v>1963</v>
      </c>
      <c r="Z22">
        <v>32</v>
      </c>
    </row>
    <row r="23" spans="1:26" x14ac:dyDescent="0.3">
      <c r="A23" s="3" t="s">
        <v>637</v>
      </c>
      <c r="B23" s="3">
        <v>16</v>
      </c>
      <c r="C23" s="3">
        <v>375</v>
      </c>
      <c r="D23" s="3">
        <v>548</v>
      </c>
      <c r="E23" s="3">
        <v>4375</v>
      </c>
      <c r="F23" s="3">
        <v>21</v>
      </c>
      <c r="G23" s="3">
        <v>9</v>
      </c>
      <c r="H23" s="3">
        <v>57</v>
      </c>
      <c r="I23" s="3">
        <v>149</v>
      </c>
      <c r="J23" s="3">
        <v>1</v>
      </c>
      <c r="K23" s="3">
        <v>323.7</v>
      </c>
      <c r="L23" s="2">
        <v>20.2</v>
      </c>
      <c r="N23" s="26" t="s">
        <v>617</v>
      </c>
      <c r="O23" s="26">
        <v>16</v>
      </c>
      <c r="P23">
        <f>SUM(Table_3[[#This Row],[Cmp]]/$O$2)</f>
        <v>23.4375</v>
      </c>
      <c r="Q23">
        <f>SUM(Table_3[[#This Row],[Att]]/$O$2)</f>
        <v>34.25</v>
      </c>
      <c r="R23">
        <f>SUM(Table_3[[#This Row],[Yard]]/$O$2)</f>
        <v>273.4375</v>
      </c>
      <c r="S23">
        <f>SUM(Table_3[[#This Row],[TD]]/$O$2)</f>
        <v>1.3125</v>
      </c>
      <c r="T23">
        <f>SUM(Table_3[[#This Row],[INT]]/$O$2)</f>
        <v>0.5625</v>
      </c>
      <c r="U23">
        <f>SUM(Table_3[[#This Row],[Att_1]]/$O$2)</f>
        <v>3.5625</v>
      </c>
      <c r="V23">
        <f>SUM(Table_3[[#This Row],[Yard_2]]/$O$2)</f>
        <v>9.3125</v>
      </c>
      <c r="W23">
        <f>SUM(Table_3[[#This Row],[TD_3]]/$O$2)</f>
        <v>6.25E-2</v>
      </c>
      <c r="X23" t="s">
        <v>37</v>
      </c>
      <c r="Y23" s="390" t="s">
        <v>1987</v>
      </c>
      <c r="Z23">
        <v>31</v>
      </c>
    </row>
    <row r="24" spans="1:26" x14ac:dyDescent="0.3">
      <c r="A24" s="3" t="s">
        <v>638</v>
      </c>
      <c r="B24" s="3">
        <v>16</v>
      </c>
      <c r="C24" s="3">
        <v>341</v>
      </c>
      <c r="D24" s="3">
        <v>598</v>
      </c>
      <c r="E24" s="3">
        <v>3979</v>
      </c>
      <c r="F24" s="3">
        <v>23</v>
      </c>
      <c r="G24" s="3">
        <v>18</v>
      </c>
      <c r="H24" s="3">
        <v>51</v>
      </c>
      <c r="I24" s="3">
        <v>192</v>
      </c>
      <c r="J24" s="3">
        <v>2</v>
      </c>
      <c r="K24" s="3">
        <v>322.2</v>
      </c>
      <c r="L24" s="2">
        <v>20.100000000000001</v>
      </c>
      <c r="N24" s="25" t="s">
        <v>638</v>
      </c>
      <c r="O24" s="25">
        <v>16</v>
      </c>
      <c r="P24">
        <f>SUM(Table_3[[#This Row],[Cmp]]/$O$2)</f>
        <v>21.3125</v>
      </c>
      <c r="Q24">
        <f>SUM(Table_3[[#This Row],[Att]]/$O$2)</f>
        <v>37.375</v>
      </c>
      <c r="R24">
        <f>SUM(Table_3[[#This Row],[Yard]]/$O$2)</f>
        <v>248.6875</v>
      </c>
      <c r="S24">
        <f>SUM(Table_3[[#This Row],[TD]]/$O$2)</f>
        <v>1.4375</v>
      </c>
      <c r="T24">
        <f>SUM(Table_3[[#This Row],[INT]]/$O$2)</f>
        <v>1.125</v>
      </c>
      <c r="U24">
        <f>SUM(Table_3[[#This Row],[Att_1]]/$O$2)</f>
        <v>3.1875</v>
      </c>
      <c r="V24">
        <f>SUM(Table_3[[#This Row],[Yard_2]]/$O$2)</f>
        <v>12</v>
      </c>
      <c r="W24">
        <f>SUM(Table_3[[#This Row],[TD_3]]/$O$2)</f>
        <v>0.125</v>
      </c>
      <c r="X24" t="s">
        <v>34</v>
      </c>
      <c r="Y24" s="390" t="s">
        <v>2305</v>
      </c>
      <c r="Z24">
        <v>10</v>
      </c>
    </row>
    <row r="25" spans="1:26" x14ac:dyDescent="0.3">
      <c r="A25" s="3" t="s">
        <v>639</v>
      </c>
      <c r="B25" s="3">
        <v>16</v>
      </c>
      <c r="C25" s="3">
        <v>390</v>
      </c>
      <c r="D25" s="3">
        <v>650</v>
      </c>
      <c r="E25" s="3">
        <v>4052</v>
      </c>
      <c r="F25" s="3">
        <v>21</v>
      </c>
      <c r="G25" s="3">
        <v>24</v>
      </c>
      <c r="H25" s="3">
        <v>50</v>
      </c>
      <c r="I25" s="3">
        <v>227</v>
      </c>
      <c r="J25" s="3">
        <v>2</v>
      </c>
      <c r="K25" s="3">
        <v>321.3</v>
      </c>
      <c r="L25" s="2">
        <v>20.100000000000001</v>
      </c>
      <c r="N25" s="25" t="s">
        <v>628</v>
      </c>
      <c r="O25" s="25">
        <v>16</v>
      </c>
      <c r="P25">
        <f>SUM(Table_3[[#This Row],[Cmp]]/$O$2)</f>
        <v>24.375</v>
      </c>
      <c r="Q25">
        <f>SUM(Table_3[[#This Row],[Att]]/$O$2)</f>
        <v>40.625</v>
      </c>
      <c r="R25">
        <f>SUM(Table_3[[#This Row],[Yard]]/$O$2)</f>
        <v>253.25</v>
      </c>
      <c r="S25">
        <f>SUM(Table_3[[#This Row],[TD]]/$O$2)</f>
        <v>1.3125</v>
      </c>
      <c r="T25">
        <f>SUM(Table_3[[#This Row],[INT]]/$O$2)</f>
        <v>1.5</v>
      </c>
      <c r="U25">
        <f>SUM(Table_3[[#This Row],[Att_1]]/$O$2)</f>
        <v>3.125</v>
      </c>
      <c r="V25">
        <f>SUM(Table_3[[#This Row],[Yard_2]]/$O$2)</f>
        <v>14.1875</v>
      </c>
      <c r="W25">
        <f>SUM(Table_3[[#This Row],[TD_3]]/$O$2)</f>
        <v>0.125</v>
      </c>
      <c r="X25" t="s">
        <v>4</v>
      </c>
      <c r="Y25" s="390" t="s">
        <v>2306</v>
      </c>
      <c r="Z25">
        <v>20</v>
      </c>
    </row>
    <row r="26" spans="1:26" x14ac:dyDescent="0.3">
      <c r="A26" s="3" t="s">
        <v>640</v>
      </c>
      <c r="B26" s="3">
        <v>16</v>
      </c>
      <c r="C26" s="3">
        <v>328</v>
      </c>
      <c r="D26" s="3">
        <v>510</v>
      </c>
      <c r="E26" s="3">
        <v>4008</v>
      </c>
      <c r="F26" s="3">
        <v>22</v>
      </c>
      <c r="G26" s="3">
        <v>11</v>
      </c>
      <c r="H26" s="3">
        <v>49</v>
      </c>
      <c r="I26" s="3">
        <v>188</v>
      </c>
      <c r="J26" s="3">
        <v>2</v>
      </c>
      <c r="K26" s="3">
        <v>319.2</v>
      </c>
      <c r="L26" s="2">
        <v>20</v>
      </c>
      <c r="N26" s="25" t="s">
        <v>618</v>
      </c>
      <c r="O26" s="25">
        <v>16</v>
      </c>
      <c r="P26">
        <f>SUM(Table_3[[#This Row],[Cmp]]/$O$2)</f>
        <v>20.5</v>
      </c>
      <c r="Q26">
        <f>SUM(Table_3[[#This Row],[Att]]/$O$2)</f>
        <v>31.875</v>
      </c>
      <c r="R26">
        <f>SUM(Table_3[[#This Row],[Yard]]/$O$2)</f>
        <v>250.5</v>
      </c>
      <c r="S26">
        <f>SUM(Table_3[[#This Row],[TD]]/$O$2)</f>
        <v>1.375</v>
      </c>
      <c r="T26">
        <f>SUM(Table_3[[#This Row],[INT]]/$O$2)</f>
        <v>0.6875</v>
      </c>
      <c r="U26">
        <f>SUM(Table_3[[#This Row],[Att_1]]/$O$2)</f>
        <v>3.0625</v>
      </c>
      <c r="V26">
        <f>SUM(Table_3[[#This Row],[Yard_2]]/$O$2)</f>
        <v>11.75</v>
      </c>
      <c r="W26">
        <f>SUM(Table_3[[#This Row],[TD_3]]/$O$2)</f>
        <v>0.125</v>
      </c>
      <c r="X26" t="s">
        <v>39</v>
      </c>
      <c r="Y26" s="390" t="s">
        <v>1965</v>
      </c>
      <c r="Z26">
        <v>30</v>
      </c>
    </row>
    <row r="27" spans="1:26" x14ac:dyDescent="0.3">
      <c r="A27" s="3" t="s">
        <v>641</v>
      </c>
      <c r="B27" s="3">
        <v>16</v>
      </c>
      <c r="C27" s="3">
        <v>370</v>
      </c>
      <c r="D27" s="3">
        <v>560</v>
      </c>
      <c r="E27" s="3">
        <v>3999</v>
      </c>
      <c r="F27" s="3">
        <v>19</v>
      </c>
      <c r="G27" s="3">
        <v>15</v>
      </c>
      <c r="H27" s="3">
        <v>51</v>
      </c>
      <c r="I27" s="3">
        <v>189</v>
      </c>
      <c r="J27" s="3">
        <v>4</v>
      </c>
      <c r="K27" s="3">
        <v>318.89999999999998</v>
      </c>
      <c r="L27" s="2">
        <v>19.899999999999999</v>
      </c>
      <c r="N27" s="25" t="s">
        <v>622</v>
      </c>
      <c r="O27" s="25">
        <v>16</v>
      </c>
      <c r="P27">
        <f>SUM(Table_3[[#This Row],[Cmp]]/$O$2)</f>
        <v>23.125</v>
      </c>
      <c r="Q27">
        <f>SUM(Table_3[[#This Row],[Att]]/$O$2)</f>
        <v>35</v>
      </c>
      <c r="R27">
        <f>SUM(Table_3[[#This Row],[Yard]]/$O$2)</f>
        <v>249.9375</v>
      </c>
      <c r="S27">
        <f>SUM(Table_3[[#This Row],[TD]]/$O$2)</f>
        <v>1.1875</v>
      </c>
      <c r="T27">
        <f>SUM(Table_3[[#This Row],[INT]]/$O$2)</f>
        <v>0.9375</v>
      </c>
      <c r="U27">
        <f>SUM(Table_3[[#This Row],[Att_1]]/$O$2)</f>
        <v>3.1875</v>
      </c>
      <c r="V27">
        <f>SUM(Table_3[[#This Row],[Yard_2]]/$O$2)</f>
        <v>11.8125</v>
      </c>
      <c r="W27">
        <f>SUM(Table_3[[#This Row],[TD_3]]/$O$2)</f>
        <v>0.25</v>
      </c>
      <c r="X27" t="s">
        <v>20</v>
      </c>
      <c r="Y27" s="390" t="s">
        <v>2307</v>
      </c>
      <c r="Z27">
        <v>26</v>
      </c>
    </row>
    <row r="28" spans="1:26" x14ac:dyDescent="0.3">
      <c r="A28" s="3" t="s">
        <v>642</v>
      </c>
      <c r="B28" s="3">
        <v>16</v>
      </c>
      <c r="C28" s="3">
        <v>326</v>
      </c>
      <c r="D28" s="3">
        <v>553</v>
      </c>
      <c r="E28" s="3">
        <v>3677</v>
      </c>
      <c r="F28" s="3">
        <v>24</v>
      </c>
      <c r="G28" s="3">
        <v>14</v>
      </c>
      <c r="H28" s="3">
        <v>54</v>
      </c>
      <c r="I28" s="3">
        <v>202</v>
      </c>
      <c r="J28" s="3">
        <v>3</v>
      </c>
      <c r="K28" s="3">
        <v>318.10000000000002</v>
      </c>
      <c r="L28" s="2">
        <v>19.899999999999999</v>
      </c>
      <c r="N28" s="25" t="s">
        <v>640</v>
      </c>
      <c r="O28" s="25">
        <v>16</v>
      </c>
      <c r="P28">
        <f>SUM(Table_3[[#This Row],[Cmp]]/$O$2)</f>
        <v>20.375</v>
      </c>
      <c r="Q28">
        <f>SUM(Table_3[[#This Row],[Att]]/$O$2)</f>
        <v>34.5625</v>
      </c>
      <c r="R28">
        <f>SUM(Table_3[[#This Row],[Yard]]/$O$2)</f>
        <v>229.8125</v>
      </c>
      <c r="S28">
        <f>SUM(Table_3[[#This Row],[TD]]/$O$2)</f>
        <v>1.5</v>
      </c>
      <c r="T28">
        <f>SUM(Table_3[[#This Row],[INT]]/$O$2)</f>
        <v>0.875</v>
      </c>
      <c r="U28">
        <f>SUM(Table_3[[#This Row],[Att_1]]/$O$2)</f>
        <v>3.375</v>
      </c>
      <c r="V28">
        <f>SUM(Table_3[[#This Row],[Yard_2]]/$O$2)</f>
        <v>12.625</v>
      </c>
      <c r="W28">
        <f>SUM(Table_3[[#This Row],[TD_3]]/$O$2)</f>
        <v>0.1875</v>
      </c>
      <c r="X28" t="s">
        <v>407</v>
      </c>
      <c r="Y28" s="390" t="s">
        <v>2308</v>
      </c>
      <c r="Z28">
        <v>8</v>
      </c>
    </row>
    <row r="29" spans="1:26" x14ac:dyDescent="0.3">
      <c r="A29" s="3" t="s">
        <v>643</v>
      </c>
      <c r="B29" s="3">
        <v>16</v>
      </c>
      <c r="C29" s="3">
        <v>320</v>
      </c>
      <c r="D29" s="3">
        <v>550</v>
      </c>
      <c r="E29" s="3">
        <v>3878</v>
      </c>
      <c r="F29" s="3">
        <v>20</v>
      </c>
      <c r="G29" s="3">
        <v>16</v>
      </c>
      <c r="H29" s="3">
        <v>63</v>
      </c>
      <c r="I29" s="3">
        <v>381</v>
      </c>
      <c r="J29" s="3">
        <v>1</v>
      </c>
      <c r="K29" s="3">
        <v>318</v>
      </c>
      <c r="L29" s="2">
        <v>19.899999999999999</v>
      </c>
      <c r="N29" s="25" t="s">
        <v>646</v>
      </c>
      <c r="O29" s="25">
        <v>16</v>
      </c>
      <c r="P29">
        <f>SUM(Table_3[[#This Row],[Cmp]]/$O$2)</f>
        <v>20</v>
      </c>
      <c r="Q29">
        <f>SUM(Table_3[[#This Row],[Att]]/$O$2)</f>
        <v>34.375</v>
      </c>
      <c r="R29">
        <f>SUM(Table_3[[#This Row],[Yard]]/$O$2)</f>
        <v>242.375</v>
      </c>
      <c r="S29">
        <f>SUM(Table_3[[#This Row],[TD]]/$O$2)</f>
        <v>1.25</v>
      </c>
      <c r="T29">
        <f>SUM(Table_3[[#This Row],[INT]]/$O$2)</f>
        <v>1</v>
      </c>
      <c r="U29">
        <f>SUM(Table_3[[#This Row],[Att_1]]/$O$2)</f>
        <v>3.9375</v>
      </c>
      <c r="V29">
        <f>SUM(Table_3[[#This Row],[Yard_2]]/$O$2)</f>
        <v>23.8125</v>
      </c>
      <c r="W29">
        <f>SUM(Table_3[[#This Row],[TD_3]]/$O$2)</f>
        <v>6.25E-2</v>
      </c>
      <c r="X29" t="s">
        <v>7</v>
      </c>
      <c r="Y29" s="390" t="s">
        <v>2001</v>
      </c>
      <c r="Z29">
        <v>2</v>
      </c>
    </row>
    <row r="30" spans="1:26" x14ac:dyDescent="0.3">
      <c r="A30" s="3" t="s">
        <v>644</v>
      </c>
      <c r="B30" s="3">
        <v>16</v>
      </c>
      <c r="C30" s="3">
        <v>330</v>
      </c>
      <c r="D30" s="3">
        <v>506</v>
      </c>
      <c r="E30" s="3">
        <v>3865</v>
      </c>
      <c r="F30" s="3">
        <v>19</v>
      </c>
      <c r="G30" s="3">
        <v>8</v>
      </c>
      <c r="H30" s="3">
        <v>65</v>
      </c>
      <c r="I30" s="3">
        <v>227</v>
      </c>
      <c r="J30" s="3">
        <v>3</v>
      </c>
      <c r="K30" s="3">
        <v>310</v>
      </c>
      <c r="L30" s="2">
        <v>19.399999999999999</v>
      </c>
      <c r="N30" s="26" t="s">
        <v>637</v>
      </c>
      <c r="O30" s="26">
        <v>16</v>
      </c>
      <c r="P30">
        <f>SUM(Table_3[[#This Row],[Cmp]]/$O$2)</f>
        <v>20.625</v>
      </c>
      <c r="Q30">
        <f>SUM(Table_3[[#This Row],[Att]]/$O$2)</f>
        <v>31.625</v>
      </c>
      <c r="R30">
        <f>SUM(Table_3[[#This Row],[Yard]]/$O$2)</f>
        <v>241.5625</v>
      </c>
      <c r="S30">
        <f>SUM(Table_3[[#This Row],[TD]]/$O$2)</f>
        <v>1.1875</v>
      </c>
      <c r="T30">
        <f>SUM(Table_3[[#This Row],[INT]]/$O$2)</f>
        <v>0.5</v>
      </c>
      <c r="U30">
        <f>SUM(Table_3[[#This Row],[Att_1]]/$O$2)</f>
        <v>4.0625</v>
      </c>
      <c r="V30">
        <f>SUM(Table_3[[#This Row],[Yard_2]]/$O$2)</f>
        <v>14.1875</v>
      </c>
      <c r="W30">
        <f>SUM(Table_3[[#This Row],[TD_3]]/$O$2)</f>
        <v>0.1875</v>
      </c>
      <c r="X30" t="s">
        <v>398</v>
      </c>
      <c r="Y30" s="390" t="s">
        <v>2309</v>
      </c>
      <c r="Z30">
        <v>11</v>
      </c>
    </row>
    <row r="31" spans="1:26" x14ac:dyDescent="0.3">
      <c r="A31" s="3" t="s">
        <v>645</v>
      </c>
      <c r="B31" s="3">
        <v>16</v>
      </c>
      <c r="C31" s="3">
        <v>415</v>
      </c>
      <c r="D31" s="3">
        <v>646</v>
      </c>
      <c r="E31" s="3">
        <v>4264</v>
      </c>
      <c r="F31" s="3">
        <v>18</v>
      </c>
      <c r="G31" s="3">
        <v>21</v>
      </c>
      <c r="H31" s="3">
        <v>37</v>
      </c>
      <c r="I31" s="3">
        <v>154</v>
      </c>
      <c r="J31" s="3">
        <v>1</v>
      </c>
      <c r="K31" s="3">
        <v>306.60000000000002</v>
      </c>
      <c r="L31" s="2">
        <v>19.2</v>
      </c>
      <c r="N31" s="25" t="s">
        <v>626</v>
      </c>
      <c r="O31" s="25">
        <v>16</v>
      </c>
      <c r="P31">
        <f>SUM(Table_3[[#This Row],[Cmp]]/$O$2)</f>
        <v>25.9375</v>
      </c>
      <c r="Q31">
        <f>SUM(Table_3[[#This Row],[Att]]/$O$2)</f>
        <v>40.375</v>
      </c>
      <c r="R31">
        <f>SUM(Table_3[[#This Row],[Yard]]/$O$2)</f>
        <v>266.5</v>
      </c>
      <c r="S31">
        <f>SUM(Table_3[[#This Row],[TD]]/$O$2)</f>
        <v>1.125</v>
      </c>
      <c r="T31">
        <f>SUM(Table_3[[#This Row],[INT]]/$O$2)</f>
        <v>1.3125</v>
      </c>
      <c r="U31">
        <f>SUM(Table_3[[#This Row],[Att_1]]/$O$2)</f>
        <v>2.3125</v>
      </c>
      <c r="V31">
        <f>SUM(Table_3[[#This Row],[Yard_2]]/$O$2)</f>
        <v>9.625</v>
      </c>
      <c r="W31">
        <f>SUM(Table_3[[#This Row],[TD_3]]/$O$2)</f>
        <v>6.25E-2</v>
      </c>
      <c r="X31" t="s">
        <v>401</v>
      </c>
      <c r="Y31" s="390" t="s">
        <v>2005</v>
      </c>
      <c r="Z31">
        <v>22</v>
      </c>
    </row>
    <row r="32" spans="1:26" x14ac:dyDescent="0.3">
      <c r="A32" s="3" t="s">
        <v>646</v>
      </c>
      <c r="B32" s="3">
        <v>16</v>
      </c>
      <c r="C32" s="3">
        <v>333</v>
      </c>
      <c r="D32" s="3">
        <v>548</v>
      </c>
      <c r="E32" s="3">
        <v>3619</v>
      </c>
      <c r="F32" s="3">
        <v>14</v>
      </c>
      <c r="G32" s="3">
        <v>14</v>
      </c>
      <c r="H32" s="3">
        <v>51</v>
      </c>
      <c r="I32" s="3">
        <v>197</v>
      </c>
      <c r="J32" s="3">
        <v>3</v>
      </c>
      <c r="K32" s="3">
        <v>274.7</v>
      </c>
      <c r="L32" s="2">
        <v>17.2</v>
      </c>
      <c r="N32" s="25" t="s">
        <v>620</v>
      </c>
      <c r="O32" s="25">
        <v>16</v>
      </c>
      <c r="P32">
        <f>SUM(Table_3[[#This Row],[Cmp]]/$O$2)</f>
        <v>20.8125</v>
      </c>
      <c r="Q32">
        <f>SUM(Table_3[[#This Row],[Att]]/$O$2)</f>
        <v>34.25</v>
      </c>
      <c r="R32">
        <f>SUM(Table_3[[#This Row],[Yard]]/$O$2)</f>
        <v>226.1875</v>
      </c>
      <c r="S32">
        <f>SUM(Table_3[[#This Row],[TD]]/$O$2)</f>
        <v>0.875</v>
      </c>
      <c r="T32">
        <f>SUM(Table_3[[#This Row],[INT]]/$O$2)</f>
        <v>0.875</v>
      </c>
      <c r="U32">
        <f>SUM(Table_3[[#This Row],[Att_1]]/$O$2)</f>
        <v>3.1875</v>
      </c>
      <c r="V32">
        <f>SUM(Table_3[[#This Row],[Yard_2]]/$O$2)</f>
        <v>12.3125</v>
      </c>
      <c r="W32">
        <f>SUM(Table_3[[#This Row],[TD_3]]/$O$2)</f>
        <v>0.1875</v>
      </c>
      <c r="X32" t="s">
        <v>30</v>
      </c>
      <c r="Y32" s="390" t="s">
        <v>1978</v>
      </c>
      <c r="Z32">
        <v>28</v>
      </c>
    </row>
    <row r="33" spans="1:26" x14ac:dyDescent="0.3">
      <c r="A33" s="3" t="s">
        <v>647</v>
      </c>
      <c r="B33" s="3">
        <v>16</v>
      </c>
      <c r="C33" s="3">
        <v>344</v>
      </c>
      <c r="D33" s="3">
        <v>573</v>
      </c>
      <c r="E33" s="3">
        <v>3544</v>
      </c>
      <c r="F33" s="3">
        <v>19</v>
      </c>
      <c r="G33" s="3">
        <v>14</v>
      </c>
      <c r="H33" s="3">
        <v>41</v>
      </c>
      <c r="I33" s="3">
        <v>194</v>
      </c>
      <c r="J33" s="3">
        <v>0</v>
      </c>
      <c r="K33" s="3">
        <v>272.60000000000002</v>
      </c>
      <c r="L33" s="2">
        <v>17</v>
      </c>
      <c r="N33" s="25" t="s">
        <v>624</v>
      </c>
      <c r="O33" s="25">
        <v>16</v>
      </c>
      <c r="P33">
        <f>SUM(Table_3[[#This Row],[Cmp]]/$O$2)</f>
        <v>21.5</v>
      </c>
      <c r="Q33">
        <f>SUM(Table_3[[#This Row],[Att]]/$O$2)</f>
        <v>35.8125</v>
      </c>
      <c r="R33">
        <f>SUM(Table_3[[#This Row],[Yard]]/$O$2)</f>
        <v>221.5</v>
      </c>
      <c r="S33">
        <f>SUM(Table_3[[#This Row],[TD]]/$O$2)</f>
        <v>1.1875</v>
      </c>
      <c r="T33">
        <f>SUM(Table_3[[#This Row],[INT]]/$O$2)</f>
        <v>0.875</v>
      </c>
      <c r="U33">
        <f>SUM(Table_3[[#This Row],[Att_1]]/$O$2)</f>
        <v>2.5625</v>
      </c>
      <c r="V33">
        <f>SUM(Table_3[[#This Row],[Yard_2]]/$O$2)</f>
        <v>12.125</v>
      </c>
      <c r="W33">
        <f>SUM(Table_3[[#This Row],[TD_3]]/$O$2)</f>
        <v>0</v>
      </c>
      <c r="X33" t="s">
        <v>18</v>
      </c>
      <c r="Y33" s="390" t="s">
        <v>2310</v>
      </c>
      <c r="Z33">
        <v>24</v>
      </c>
    </row>
  </sheetData>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L140"/>
  <sheetViews>
    <sheetView zoomScale="85" zoomScaleNormal="85" workbookViewId="0">
      <pane xSplit="4" ySplit="10" topLeftCell="E11" activePane="bottomRight" state="frozen"/>
      <selection activeCell="A2" sqref="A2"/>
      <selection pane="topRight" activeCell="A2" sqref="A2"/>
      <selection pane="bottomLeft" activeCell="A2" sqref="A2"/>
      <selection pane="bottomRight" activeCell="M13" sqref="M13"/>
    </sheetView>
  </sheetViews>
  <sheetFormatPr defaultColWidth="9.109375" defaultRowHeight="14.4" x14ac:dyDescent="0.3"/>
  <cols>
    <col min="1" max="1" width="2.77734375" style="9" customWidth="1"/>
    <col min="2" max="2" width="20" style="9" bestFit="1" customWidth="1"/>
    <col min="3" max="3" width="9" style="196" bestFit="1" customWidth="1"/>
    <col min="4" max="4" width="10.88671875" style="9" bestFit="1" customWidth="1"/>
    <col min="5" max="5" width="8.5546875" style="9" bestFit="1" customWidth="1"/>
    <col min="6" max="6" width="11" style="9" bestFit="1" customWidth="1"/>
    <col min="7" max="7" width="13.21875" style="9" bestFit="1" customWidth="1"/>
    <col min="8" max="8" width="13.21875" style="40" bestFit="1" customWidth="1"/>
    <col min="9" max="9" width="10.77734375" style="40" bestFit="1" customWidth="1"/>
    <col min="10" max="11" width="10.109375" style="9" bestFit="1" customWidth="1"/>
    <col min="12" max="12" width="11.5546875" style="9" bestFit="1" customWidth="1"/>
    <col min="13" max="13" width="11.44140625" style="9" bestFit="1" customWidth="1"/>
    <col min="14" max="14" width="9" style="9" bestFit="1" customWidth="1"/>
    <col min="15" max="15" width="11.44140625" style="9" bestFit="1" customWidth="1"/>
    <col min="16" max="16" width="9.77734375" style="9" bestFit="1" customWidth="1"/>
    <col min="17" max="17" width="10.77734375" style="9" bestFit="1" customWidth="1"/>
    <col min="18" max="18" width="11.77734375" style="9" bestFit="1" customWidth="1"/>
    <col min="19" max="19" width="12.77734375" style="9" bestFit="1" customWidth="1"/>
    <col min="20" max="20" width="11.44140625" style="9" bestFit="1" customWidth="1"/>
    <col min="21" max="21" width="12.44140625" style="9" bestFit="1" customWidth="1"/>
    <col min="22" max="22" width="13.21875" style="9" bestFit="1" customWidth="1"/>
    <col min="23" max="23" width="12.44140625" style="9" bestFit="1" customWidth="1"/>
    <col min="24" max="24" width="13.21875" style="40" bestFit="1" customWidth="1"/>
    <col min="25" max="25" width="9" style="9" bestFit="1" customWidth="1"/>
    <col min="26" max="26" width="16.88671875" style="9" hidden="1" customWidth="1"/>
    <col min="27" max="27" width="10.77734375" style="9" hidden="1" customWidth="1"/>
    <col min="28" max="28" width="10.5546875" style="9" bestFit="1" customWidth="1"/>
    <col min="29" max="29" width="11.109375" style="40" customWidth="1"/>
    <col min="30" max="30" width="7.5546875" style="40" customWidth="1"/>
    <col min="31" max="31" width="13.44140625" style="40" bestFit="1" customWidth="1"/>
    <col min="32" max="32" width="7.5546875" style="38" customWidth="1"/>
    <col min="33" max="33" width="8.109375" style="38" hidden="1" customWidth="1"/>
    <col min="34" max="34" width="9.44140625" style="42" hidden="1" customWidth="1"/>
    <col min="35" max="35" width="9.44140625" style="9" customWidth="1"/>
    <col min="36" max="37" width="9.44140625" style="9" hidden="1" customWidth="1"/>
    <col min="38" max="40" width="7.109375" style="9" hidden="1" customWidth="1"/>
    <col min="41" max="41" width="6.88671875" style="9" hidden="1" customWidth="1"/>
    <col min="42" max="44" width="7.5546875" style="9" hidden="1" customWidth="1"/>
    <col min="45" max="48" width="7.88671875" style="9" hidden="1" customWidth="1"/>
    <col min="49" max="49" width="12.44140625" style="171" hidden="1" customWidth="1"/>
    <col min="50" max="50" width="12.44140625" style="40" hidden="1" customWidth="1"/>
    <col min="51" max="52" width="12.44140625" style="9" hidden="1" customWidth="1"/>
    <col min="53" max="53" width="10.21875" style="9" hidden="1" customWidth="1"/>
    <col min="54" max="56" width="9.88671875" style="9" hidden="1" customWidth="1"/>
    <col min="57" max="57" width="7.88671875" style="9" hidden="1" customWidth="1"/>
    <col min="58" max="64" width="0" style="9" hidden="1" customWidth="1"/>
    <col min="65" max="16384" width="9.109375" style="9"/>
  </cols>
  <sheetData>
    <row r="1" spans="1:64" x14ac:dyDescent="0.3">
      <c r="A1" s="269"/>
      <c r="B1" s="273"/>
      <c r="C1" s="274"/>
      <c r="D1" s="275"/>
    </row>
    <row r="2" spans="1:64" x14ac:dyDescent="0.3">
      <c r="A2" s="271"/>
      <c r="B2" s="105"/>
      <c r="C2" s="276"/>
      <c r="D2" s="277"/>
    </row>
    <row r="3" spans="1:64" x14ac:dyDescent="0.3">
      <c r="A3" s="271"/>
      <c r="B3" s="105"/>
      <c r="C3" s="276"/>
      <c r="D3" s="277"/>
    </row>
    <row r="4" spans="1:64" x14ac:dyDescent="0.3">
      <c r="A4" s="271"/>
      <c r="B4" s="105"/>
      <c r="C4" s="276"/>
      <c r="D4" s="277"/>
    </row>
    <row r="5" spans="1:64" x14ac:dyDescent="0.3">
      <c r="A5" s="271"/>
      <c r="B5" s="535" t="s">
        <v>414</v>
      </c>
      <c r="C5" s="535"/>
      <c r="D5" s="536"/>
      <c r="E5" s="13"/>
      <c r="F5" s="13"/>
    </row>
    <row r="6" spans="1:64" x14ac:dyDescent="0.3">
      <c r="A6" s="271"/>
      <c r="B6" s="105"/>
      <c r="C6" s="276"/>
      <c r="D6" s="277"/>
    </row>
    <row r="7" spans="1:64" x14ac:dyDescent="0.3">
      <c r="A7" s="271"/>
      <c r="B7" s="105"/>
      <c r="C7" s="276"/>
      <c r="D7" s="277"/>
    </row>
    <row r="8" spans="1:64" ht="15" thickBot="1" x14ac:dyDescent="0.35">
      <c r="A8" s="528" t="s">
        <v>1908</v>
      </c>
      <c r="B8" s="529"/>
      <c r="C8" s="529"/>
      <c r="D8" s="530"/>
      <c r="E8" s="12"/>
      <c r="F8" s="12"/>
    </row>
    <row r="9" spans="1:64" ht="15" thickBot="1" x14ac:dyDescent="0.35">
      <c r="A9" s="531">
        <f>QB_matchups!A9</f>
        <v>42641</v>
      </c>
      <c r="B9" s="532"/>
      <c r="C9" s="532"/>
      <c r="D9" s="533"/>
      <c r="E9" s="20"/>
      <c r="F9" s="20"/>
      <c r="G9" s="537" t="s">
        <v>2454</v>
      </c>
      <c r="H9" s="538"/>
      <c r="I9" s="538"/>
      <c r="J9" s="538"/>
      <c r="K9" s="538"/>
      <c r="L9" s="538"/>
      <c r="M9" s="539"/>
      <c r="N9" s="540" t="s">
        <v>2457</v>
      </c>
      <c r="O9" s="541"/>
      <c r="P9" s="542"/>
      <c r="R9" s="543" t="s">
        <v>2593</v>
      </c>
      <c r="S9" s="544"/>
      <c r="T9" s="544"/>
      <c r="U9" s="544"/>
      <c r="V9" s="544"/>
      <c r="W9" s="544"/>
      <c r="X9" s="544"/>
      <c r="Y9" s="544"/>
      <c r="Z9" s="544"/>
      <c r="AA9" s="544"/>
      <c r="AB9" s="544"/>
      <c r="AC9" s="544"/>
      <c r="AD9" s="544"/>
      <c r="AE9" s="544"/>
      <c r="AF9" s="545"/>
    </row>
    <row r="10" spans="1:64" x14ac:dyDescent="0.3">
      <c r="A10" s="35" t="s">
        <v>0</v>
      </c>
      <c r="B10" s="35" t="s">
        <v>415</v>
      </c>
      <c r="C10" s="36" t="s">
        <v>416</v>
      </c>
      <c r="D10" s="197" t="s">
        <v>1912</v>
      </c>
      <c r="E10" s="35" t="s">
        <v>387</v>
      </c>
      <c r="F10" s="35" t="s">
        <v>81</v>
      </c>
      <c r="G10" s="399" t="s">
        <v>593</v>
      </c>
      <c r="H10" s="400" t="s">
        <v>2458</v>
      </c>
      <c r="I10" s="400" t="s">
        <v>424</v>
      </c>
      <c r="J10" s="400" t="s">
        <v>389</v>
      </c>
      <c r="K10" s="400" t="s">
        <v>388</v>
      </c>
      <c r="L10" s="400" t="s">
        <v>2459</v>
      </c>
      <c r="M10" s="401" t="s">
        <v>601</v>
      </c>
      <c r="N10" s="399" t="s">
        <v>1606</v>
      </c>
      <c r="O10" s="400" t="s">
        <v>1607</v>
      </c>
      <c r="P10" s="401" t="s">
        <v>2294</v>
      </c>
      <c r="Q10" s="35" t="s">
        <v>425</v>
      </c>
      <c r="R10" s="399" t="s">
        <v>2460</v>
      </c>
      <c r="S10" s="450" t="s">
        <v>390</v>
      </c>
      <c r="T10" s="450" t="s">
        <v>1319</v>
      </c>
      <c r="U10" s="400" t="s">
        <v>391</v>
      </c>
      <c r="V10" s="400" t="s">
        <v>2461</v>
      </c>
      <c r="W10" s="400" t="s">
        <v>2462</v>
      </c>
      <c r="X10" s="400" t="s">
        <v>600</v>
      </c>
      <c r="Y10" s="400" t="s">
        <v>2463</v>
      </c>
      <c r="Z10" s="451" t="s">
        <v>594</v>
      </c>
      <c r="AA10" s="451" t="s">
        <v>595</v>
      </c>
      <c r="AB10" s="450" t="s">
        <v>596</v>
      </c>
      <c r="AC10" s="400" t="s">
        <v>1672</v>
      </c>
      <c r="AD10" s="450" t="s">
        <v>604</v>
      </c>
      <c r="AE10" s="450" t="s">
        <v>1592</v>
      </c>
      <c r="AF10" s="452" t="s">
        <v>749</v>
      </c>
      <c r="AG10" s="43" t="s">
        <v>1674</v>
      </c>
      <c r="AH10" s="314" t="s">
        <v>1675</v>
      </c>
      <c r="AI10" s="213" t="s">
        <v>1412</v>
      </c>
      <c r="AJ10" s="213" t="s">
        <v>1543</v>
      </c>
      <c r="AK10" s="35" t="s">
        <v>808</v>
      </c>
      <c r="AL10" s="35" t="s">
        <v>809</v>
      </c>
      <c r="AM10" s="35" t="s">
        <v>810</v>
      </c>
      <c r="AN10" s="35" t="s">
        <v>1342</v>
      </c>
      <c r="AO10" s="35" t="s">
        <v>788</v>
      </c>
      <c r="AP10" s="35" t="s">
        <v>776</v>
      </c>
      <c r="AQ10" s="35" t="s">
        <v>777</v>
      </c>
      <c r="AR10" s="35" t="s">
        <v>1334</v>
      </c>
      <c r="AS10" s="35" t="s">
        <v>789</v>
      </c>
      <c r="AT10" s="35" t="s">
        <v>778</v>
      </c>
      <c r="AU10" s="35" t="s">
        <v>779</v>
      </c>
      <c r="AV10" s="35" t="s">
        <v>1335</v>
      </c>
      <c r="AW10" s="35" t="s">
        <v>811</v>
      </c>
      <c r="AX10" s="35" t="s">
        <v>812</v>
      </c>
      <c r="AY10" s="35" t="s">
        <v>1348</v>
      </c>
      <c r="AZ10" s="35" t="s">
        <v>802</v>
      </c>
      <c r="BA10" s="35" t="s">
        <v>785</v>
      </c>
      <c r="BB10" s="35" t="s">
        <v>782</v>
      </c>
      <c r="BC10" s="35" t="s">
        <v>1343</v>
      </c>
      <c r="BD10" s="35" t="s">
        <v>803</v>
      </c>
      <c r="BE10" s="35" t="s">
        <v>783</v>
      </c>
      <c r="BF10" s="35" t="s">
        <v>784</v>
      </c>
      <c r="BG10" s="35" t="s">
        <v>1344</v>
      </c>
      <c r="BH10" s="35" t="s">
        <v>804</v>
      </c>
      <c r="BI10" s="35" t="s">
        <v>805</v>
      </c>
      <c r="BJ10" s="35" t="s">
        <v>806</v>
      </c>
      <c r="BK10" s="35" t="s">
        <v>1345</v>
      </c>
      <c r="BL10" s="267" t="s">
        <v>1563</v>
      </c>
    </row>
    <row r="11" spans="1:64" x14ac:dyDescent="0.3">
      <c r="A11" s="37">
        <f>HBstats1!AL2</f>
        <v>19.3</v>
      </c>
      <c r="B11" s="153" t="str">
        <f>HBstats1!D2</f>
        <v>David Johnson</v>
      </c>
      <c r="C11" s="154">
        <f>IFERROR(INDEX(Salaries[DraftKings (Price)],MATCH(RBmatchups[[#This Row],[Name]],Salaries[Player],0)),"")</f>
        <v>7800</v>
      </c>
      <c r="D11" s="154">
        <f>IFERROR(INDEX(DK_Salary_Changes[WeekChange],MATCH(RBmatchups[[#This Row],[Name]],DK_Salary_Changes[Player],0)),"")</f>
        <v>100</v>
      </c>
      <c r="E11" s="154" t="str">
        <f>IFERROR(INDEX(Salaries[Team],MATCH(RBmatchups[[#This Row],[Name]],Salaries[Player],0)),"")</f>
        <v>ARI</v>
      </c>
      <c r="F11" s="189" t="str">
        <f>IFERROR(INDEX(Salaries[Opp],MATCH(RBmatchups[[#This Row],[Team]],Salaries[Team],0)),"")</f>
        <v>LA</v>
      </c>
      <c r="G11" s="410">
        <f>IFERROR(INDEX(RBYTD[Rush ATT],MATCH(RBmatchups[Name],RBYTD[Player],0)),"0")</f>
        <v>47</v>
      </c>
      <c r="H11" s="191">
        <f>IFERROR(INDEX(RBYTD[Rush Yds],MATCH(RBmatchups[Name],RBYTD[Player],0)),"0")</f>
        <v>217</v>
      </c>
      <c r="I11" s="191">
        <f>IFERROR(INDEX(RBYTD[Rush TD],MATCH(RBmatchups[Name],RBYTD[Player],0)),"0")</f>
        <v>3</v>
      </c>
      <c r="J11" s="191">
        <f>IFERROR(INDEX(RBYTD[Rec],MATCH(RBmatchups[Name],RBYTD[Player],0)),"0")</f>
        <v>10</v>
      </c>
      <c r="K11" s="191">
        <f>IFERROR(INDEX(targettracker54[TTL],MATCH(RBmatchups[Name],targettracker54[Name],0)),"0")</f>
        <v>17</v>
      </c>
      <c r="L11" s="191">
        <f>IFERROR(INDEX(RBYTD[Rec Yds],MATCH(RBmatchups[Name],RBYTD[Player],0)),"0")</f>
        <v>169</v>
      </c>
      <c r="M11" s="411">
        <f>IFERROR(INDEX(RBYTD[Rec TD],MATCH(RBmatchups[Name],RBYTD[Player],0)),"0")</f>
        <v>0</v>
      </c>
      <c r="N11" s="441">
        <f>IFERROR(INDEX(Salaries[O/U],MATCH(RBmatchups[[#This Row],[Team]],Salaries[Team],0)),"")</f>
        <v>43</v>
      </c>
      <c r="O11" s="189">
        <f>IFERROR(INDEX(Salaries[Team O/U],MATCH(RBmatchups[[#This Row],[Team]],Salaries[Team],0)),"")</f>
        <v>25.5</v>
      </c>
      <c r="P11" s="442">
        <f>IFERROR(INDEX(Salaries[Spread],MATCH(RBmatchups[[#This Row],[Team]],Salaries[Team],0)),"")</f>
        <v>-8</v>
      </c>
      <c r="Q11" s="424">
        <f>IFERROR(INDEX(HBallowed[DVP],MATCH(RBmatchups[[#This Row],[Opp]],HBallowed[Team],0)),IFERROR(INDEX(HBallowed[DVP],MATCH(RBmatchups[[#This Row],[Opp]],HBallowed[Opp],0)),""))</f>
        <v>21</v>
      </c>
      <c r="R11" s="441">
        <f>AVERAGE(RBmatchups[[#This Row],[Car1]:[Car3]])</f>
        <v>17.071999999999999</v>
      </c>
      <c r="S11" s="190">
        <f>AVERAGE(RBmatchups[[#This Row],[Yards1]:[Yards3]])</f>
        <v>75.723666666666659</v>
      </c>
      <c r="T11" s="189">
        <f>SUM(RBmatchups[[#This Row],[Yards]]/RBmatchups[[#This Row],[Carries2]])</f>
        <v>4.4355474851608871</v>
      </c>
      <c r="U11" s="189">
        <f>AVERAGE(RBmatchups[[#This Row],[TD1]:[TD3]])</f>
        <v>0.67900000000000005</v>
      </c>
      <c r="V11" s="189">
        <f>AVERAGE(RBmatchups[[#This Row],[Tar1]:[Tar3]])</f>
        <v>4.5999999999999996</v>
      </c>
      <c r="W11" s="189">
        <f>AVERAGE(RBmatchups[[#This Row],[Rec1]:[Rec3]])</f>
        <v>3.7079999999999997</v>
      </c>
      <c r="X11" s="189">
        <f>AVERAGE(RBmatchups[[#This Row],[RecYards1]:[RecYards3]])</f>
        <v>38.583666666666666</v>
      </c>
      <c r="Y11" s="189">
        <f>AVERAGE(RBmatchups[[#This Row],[RecTD1]:[RecTd3]])</f>
        <v>0.187</v>
      </c>
      <c r="Z11" s="190">
        <f>SUM(RBmatchups[[#This Row],[Carries2]]+RBmatchups[[#This Row],[Rec4]])</f>
        <v>20.779999999999998</v>
      </c>
      <c r="AA11" s="189">
        <f>SUM(RBmatchups[[#This Row],[Yards]]+RBmatchups[[#This Row],[RecYards]])</f>
        <v>114.30733333333333</v>
      </c>
      <c r="AB11" s="189">
        <f>SUM(RBmatchups[[#This Row],[TD]]+RBmatchups[[#This Row],[RecTD5]])</f>
        <v>0.8660000000000001</v>
      </c>
      <c r="AC11" s="191">
        <f>_xlfn.RANK.EQ(RBmatchups[Projection],RBmatchups[Projection],0)</f>
        <v>1</v>
      </c>
      <c r="AD11" s="189">
        <f>SUM(RBmatchups[[#This Row],[Total Yards]]*0.1)+(RBmatchups[[#This Row],[Rec4]]*1)+(RBmatchups[[#This Row],[Total TD]]*6)+(RBmatchups[[#This Row],[100+]])</f>
        <v>20.334733333333336</v>
      </c>
      <c r="AE11" s="191" t="e">
        <f>_xlfn.RANK.EQ(RBmatchups[[#This Row],[$/FP]],RBmatchups[$/FP],1)</f>
        <v>#VALUE!</v>
      </c>
      <c r="AF11" s="453">
        <f>SUM(RBmatchups[[#This Row],[Salary]]/RBmatchups[[#This Row],[Projection]])</f>
        <v>383.58014694070238</v>
      </c>
      <c r="AG11" s="447" t="e">
        <f>_xlfn.RANK.EQ(RBmatchups[[#This Row],[Average]],RBmatchups[Average],1)</f>
        <v>#VALUE!</v>
      </c>
      <c r="AH11" s="347" t="e">
        <f>AVERAGE(RBmatchups[[#This Row],[Proj Rank]],RBmatchups[[#This Row],[Value Rank]])</f>
        <v>#VALUE!</v>
      </c>
      <c r="AI11" s="212">
        <f>RBmatchups[[#This Row],[Salary]]/50000</f>
        <v>0.156</v>
      </c>
      <c r="AJ11" s="214"/>
      <c r="AK11" s="14">
        <f>IFERROR(INDEX(HBstats1[Rush Att],MATCH(RBmatchups[[#This Row],[Name]],HBstats1[Player],0)),"0")</f>
        <v>20.015999999999998</v>
      </c>
      <c r="AL11" s="14">
        <f>IFERROR(INDEX(HBstats2[Carries],MATCH(RBmatchups[[#This Row],[Name]],HBstats2[Player],0)),"0")</f>
        <v>13.3</v>
      </c>
      <c r="AM11" s="14">
        <f>IFERROR(INDEX(HBstats3[Carries],MATCH(RBmatchups[[#This Row],[Name]],HBstats3[Player],0)),"0")</f>
        <v>17.899999999999999</v>
      </c>
      <c r="AN11" s="14">
        <f>IFERROR(INDEX(HBallowed[Carries],MATCH(RBmatchups[[#This Row],[Opp]],HBallowed[Team],0)),"0")</f>
        <v>20.875</v>
      </c>
      <c r="AO11" s="14">
        <f>IFERROR(INDEX(HBstats1[Rush Yds],MATCH(RBmatchups[[#This Row],[Name]],HBstats1[Player],0)),"0")</f>
        <v>86.771000000000001</v>
      </c>
      <c r="AP11" s="14">
        <f>IFERROR(INDEX(HBstats2[RushYards],MATCH(RBmatchups[[#This Row],[Name]],HBstats2[Player],0)),"0")</f>
        <v>56.2</v>
      </c>
      <c r="AQ11" s="14">
        <f>IFERROR(INDEX(HBstats3[RushYards],MATCH(RBmatchups[[#This Row],[Name]],HBstats3[Player],0)),"0")</f>
        <v>84.2</v>
      </c>
      <c r="AR11" s="32">
        <f>IFERROR(INDEX(HBallowed[Yards],MATCH(RBmatchups[[#This Row],[Opp]],HBallowed[Team],0)),"0")</f>
        <v>94.6875</v>
      </c>
      <c r="AS11" s="14">
        <f>IFERROR(INDEX(HBstats1[Rush TD],MATCH(RBmatchups[[#This Row],[Name]],HBstats1[Player],0)),"0")</f>
        <v>0.75800000000000001</v>
      </c>
      <c r="AT11" s="14" t="str">
        <f>IFERROR(INDEX(HBstats2[RushTD],MATCH(RBmatchups[[#This Row],[Name]],HBstats2[Player],0)),"0")</f>
        <v>0.4</v>
      </c>
      <c r="AU11" s="14">
        <f>IFERROR(INDEX(HBstats3[RushTD],MATCH(RBmatchups[[#This Row],[Name]],HBstats3[Player],0)),"0")</f>
        <v>0.6</v>
      </c>
      <c r="AV11" s="32">
        <f>IFERROR(INDEX(HBallowed[TD],MATCH(RBmatchups[[#This Row],[Opp]],HBallowed[Team],0)),"0")</f>
        <v>0.5625</v>
      </c>
      <c r="AW11" s="32">
        <f>IFERROR(INDEX(HBstats3[Targets],MATCH(RBmatchups[[#This Row],[Name]],HBstats3[Player],0)),"0")</f>
        <v>4.5999999999999996</v>
      </c>
      <c r="AX11" s="32" t="str">
        <f>IFERROR(INDEX(HBstats2[Targets],MATCH(RBmatchups[[#This Row],[Name]],HBstats2[Player],0)),"0")</f>
        <v>0</v>
      </c>
      <c r="AY11" s="32">
        <f>IFERROR(INDEX(HBstats3[Targets],MATCH(RBmatchups[[#This Row],[Name]],HBstats3[Player],0)),"0")</f>
        <v>4.5999999999999996</v>
      </c>
      <c r="AZ11" s="14">
        <f>IFERROR(INDEX(HBstats1[Rec],MATCH(RBmatchups[[#This Row],[Name]],HBstats1[Player],0)),"0")</f>
        <v>3.4239999999999999</v>
      </c>
      <c r="BA11" s="14">
        <f>IFERROR(INDEX(HBstats2[Rec],MATCH(RBmatchups[[#This Row],[Name]],HBstats2[Player],0)),"0")</f>
        <v>4.5</v>
      </c>
      <c r="BB11" s="14">
        <f>IFERROR(INDEX(HBstats3[Rec],MATCH(RBmatchups[[#This Row],[Name]],HBstats3[Player],0)),"0")</f>
        <v>3.2</v>
      </c>
      <c r="BC11" s="32">
        <f>IFERROR(INDEX(HBallowed[Rec],MATCH(RBmatchups[[#This Row],[Opp]],HBallowed[Team],0)),"0")</f>
        <v>3.625</v>
      </c>
      <c r="BD11" s="14">
        <f>IFERROR(INDEX(HBstats1[Rec Yds],MATCH(RBmatchups[[#This Row],[Name]],HBstats1[Player],0)),"0")</f>
        <v>37.651000000000003</v>
      </c>
      <c r="BE11" s="14">
        <f>IFERROR(INDEX(HBstats2[RecYards],MATCH(RBmatchups[[#This Row],[Name]],HBstats2[Player],0)),"0")</f>
        <v>43.7</v>
      </c>
      <c r="BF11" s="14">
        <f>IFERROR(INDEX(HBstats3[RecYards],MATCH(RBmatchups[[#This Row],[Name]],HBstats3[Player],0)),"0")</f>
        <v>34.4</v>
      </c>
      <c r="BG11" s="32">
        <f>IFERROR(INDEX(HBallowed[RecYards],MATCH(RBmatchups[[#This Row],[Opp]],HBallowed[Team],0)),"0")</f>
        <v>34.75</v>
      </c>
      <c r="BH11" s="14">
        <f>IFERROR(INDEX(HBstats1[Rec TD],MATCH(RBmatchups[[#This Row],[Name]],HBstats1[Player],0)),"0")</f>
        <v>0.17399999999999999</v>
      </c>
      <c r="BI11" s="14" t="str">
        <f>IFERROR(INDEX(HBstats2[RecTD],MATCH(RBmatchups[[#This Row],[Name]],HBstats2[Player],0)),"0")</f>
        <v>0.2</v>
      </c>
      <c r="BJ11" s="14">
        <f>IFERROR(INDEX(HBstats3[RecTD],MATCH(RBmatchups[[#This Row],[Name]],HBstats3[Player],0)),"0")</f>
        <v>0.2</v>
      </c>
      <c r="BK11" s="32">
        <f>IFERROR(INDEX(HBallowed[RecTD],MATCH(RBmatchups[[#This Row],[Opp]],HBallowed[Team],0)),"0")</f>
        <v>0.25</v>
      </c>
      <c r="BL11" s="268">
        <f>IF(RBmatchups[[#This Row],[Yards]]&gt;=100,3,0)</f>
        <v>0</v>
      </c>
    </row>
    <row r="12" spans="1:64" x14ac:dyDescent="0.3">
      <c r="A12" s="37">
        <f>HBstats1!AL4</f>
        <v>18</v>
      </c>
      <c r="B12" s="153" t="str">
        <f>HBstats1!D4</f>
        <v>LeVeon Bell</v>
      </c>
      <c r="C12" s="154">
        <f>IFERROR(INDEX(Salaries[DraftKings (Price)],MATCH(RBmatchups[[#This Row],[Name]],Salaries[Player],0)),"")</f>
        <v>7500</v>
      </c>
      <c r="D12" s="154" t="str">
        <f>IFERROR(INDEX(DK_Salary_Changes[WeekChange],MATCH(RBmatchups[[#This Row],[Name]],DK_Salary_Changes[Player],0)),"")</f>
        <v/>
      </c>
      <c r="E12" s="154" t="str">
        <f>IFERROR(INDEX(Salaries[Team],MATCH(RBmatchups[[#This Row],[Name]],Salaries[Player],0)),"")</f>
        <v>PIT</v>
      </c>
      <c r="F12" s="189" t="str">
        <f>IFERROR(INDEX(Salaries[Opp],MATCH(RBmatchups[[#This Row],[Team]],Salaries[Team],0)),"")</f>
        <v>KC</v>
      </c>
      <c r="G12" s="410" t="str">
        <f>IFERROR(INDEX(RBYTD[Rush ATT],MATCH(RBmatchups[Name],RBYTD[Player],0)),"0")</f>
        <v>0</v>
      </c>
      <c r="H12" s="191" t="str">
        <f>IFERROR(INDEX(RBYTD[Rush Yds],MATCH(RBmatchups[Name],RBYTD[Player],0)),"0")</f>
        <v>0</v>
      </c>
      <c r="I12" s="191" t="str">
        <f>IFERROR(INDEX(RBYTD[Rush TD],MATCH(RBmatchups[Name],RBYTD[Player],0)),"0")</f>
        <v>0</v>
      </c>
      <c r="J12" s="191" t="str">
        <f>IFERROR(INDEX(RBYTD[Rec],MATCH(RBmatchups[Name],RBYTD[Player],0)),"0")</f>
        <v>0</v>
      </c>
      <c r="K12" s="191" t="str">
        <f>IFERROR(INDEX(targettracker54[TTL],MATCH(RBmatchups[Name],targettracker54[Name],0)),"0")</f>
        <v>0</v>
      </c>
      <c r="L12" s="191" t="str">
        <f>IFERROR(INDEX(RBYTD[Rec Yds],MATCH(RBmatchups[Name],RBYTD[Player],0)),"0")</f>
        <v>0</v>
      </c>
      <c r="M12" s="411" t="str">
        <f>IFERROR(INDEX(RBYTD[Rec TD],MATCH(RBmatchups[Name],RBYTD[Player],0)),"0")</f>
        <v>0</v>
      </c>
      <c r="N12" s="441">
        <f>IFERROR(INDEX(Salaries[O/U],MATCH(RBmatchups[[#This Row],[Team]],Salaries[Team],0)),"")</f>
        <v>47.5</v>
      </c>
      <c r="O12" s="189">
        <f>IFERROR(INDEX(Salaries[Team O/U],MATCH(RBmatchups[[#This Row],[Team]],Salaries[Team],0)),"")</f>
        <v>26.5</v>
      </c>
      <c r="P12" s="442">
        <f>IFERROR(INDEX(Salaries[Spread],MATCH(RBmatchups[[#This Row],[Team]],Salaries[Team],0)),"")</f>
        <v>-5.5</v>
      </c>
      <c r="Q12" s="424">
        <f>IFERROR(INDEX(HBallowed[DVP],MATCH(RBmatchups[[#This Row],[Opp]],HBallowed[Team],0)),IFERROR(INDEX(HBallowed[DVP],MATCH(RBmatchups[[#This Row],[Opp]],HBallowed[Opp],0)),""))</f>
        <v>4</v>
      </c>
      <c r="R12" s="441">
        <f>AVERAGE(RBmatchups[[#This Row],[Car1]:[Car3]])</f>
        <v>17.518000000000001</v>
      </c>
      <c r="S12" s="190">
        <f>AVERAGE(RBmatchups[[#This Row],[Yards1]:[Yards3]])</f>
        <v>80.09</v>
      </c>
      <c r="T12" s="189">
        <f>SUM(RBmatchups[[#This Row],[Yards]]/RBmatchups[[#This Row],[Carries2]])</f>
        <v>4.5718689348099097</v>
      </c>
      <c r="U12" s="189">
        <f>AVERAGE(RBmatchups[[#This Row],[TD1]:[TD3]])</f>
        <v>0.66900000000000004</v>
      </c>
      <c r="V12" s="189" t="e">
        <f>AVERAGE(RBmatchups[[#This Row],[Tar1]:[Tar3]])</f>
        <v>#DIV/0!</v>
      </c>
      <c r="W12" s="189">
        <f>AVERAGE(RBmatchups[[#This Row],[Rec1]:[Rec3]])</f>
        <v>3.6930000000000001</v>
      </c>
      <c r="X12" s="189">
        <f>AVERAGE(RBmatchups[[#This Row],[RecYards1]:[RecYards3]])</f>
        <v>39.418999999999997</v>
      </c>
      <c r="Y12" s="189">
        <f>AVERAGE(RBmatchups[[#This Row],[RecTD1]:[RecTd3]])</f>
        <v>9.2999999999999999E-2</v>
      </c>
      <c r="Z12" s="190">
        <f>SUM(RBmatchups[[#This Row],[Carries2]]+RBmatchups[[#This Row],[Rec4]])</f>
        <v>21.211000000000002</v>
      </c>
      <c r="AA12" s="189">
        <f>SUM(RBmatchups[[#This Row],[Yards]]+RBmatchups[[#This Row],[RecYards]])</f>
        <v>119.509</v>
      </c>
      <c r="AB12" s="189">
        <f>SUM(RBmatchups[[#This Row],[TD]]+RBmatchups[[#This Row],[RecTD5]])</f>
        <v>0.76200000000000001</v>
      </c>
      <c r="AC12" s="191">
        <f>_xlfn.RANK.EQ(RBmatchups[Projection],RBmatchups[Projection],0)</f>
        <v>2</v>
      </c>
      <c r="AD12" s="189">
        <f>SUM(RBmatchups[[#This Row],[Total Yards]]*0.1)+(RBmatchups[[#This Row],[Rec4]]*1)+(RBmatchups[[#This Row],[Total TD]]*6)+(RBmatchups[[#This Row],[100+]])</f>
        <v>20.215900000000001</v>
      </c>
      <c r="AE12" s="191" t="e">
        <f>_xlfn.RANK.EQ(RBmatchups[[#This Row],[$/FP]],RBmatchups[$/FP],1)</f>
        <v>#VALUE!</v>
      </c>
      <c r="AF12" s="453">
        <f>SUM(RBmatchups[[#This Row],[Salary]]/RBmatchups[[#This Row],[Projection]])</f>
        <v>370.99510781117829</v>
      </c>
      <c r="AG12" s="448" t="e">
        <f>_xlfn.RANK.EQ(RBmatchups[[#This Row],[Average]],RBmatchups[Average],1)</f>
        <v>#VALUE!</v>
      </c>
      <c r="AH12" s="190" t="e">
        <f>AVERAGE(RBmatchups[[#This Row],[Proj Rank]],RBmatchups[[#This Row],[Value Rank]])</f>
        <v>#VALUE!</v>
      </c>
      <c r="AI12" s="214">
        <f>RBmatchups[[#This Row],[Salary]]/50000</f>
        <v>0.15</v>
      </c>
      <c r="AJ12" s="214"/>
      <c r="AK12" s="14">
        <f>IFERROR(INDEX(HBstats1[Rush Att],MATCH(RBmatchups[[#This Row],[Name]],HBstats1[Player],0)),"0")</f>
        <v>17.518000000000001</v>
      </c>
      <c r="AL12" s="14" t="str">
        <f>IFERROR(INDEX(HBstats2[Carries],MATCH(RBmatchups[[#This Row],[Name]],HBstats2[Player],0)),"0")</f>
        <v>0</v>
      </c>
      <c r="AM12" s="14" t="str">
        <f>IFERROR(INDEX(HBstats3[Carries],MATCH(RBmatchups[[#This Row],[Name]],HBstats3[Player],0)),"0")</f>
        <v>0</v>
      </c>
      <c r="AN12" s="14">
        <f>IFERROR(INDEX(HBallowed[Carries],MATCH(RBmatchups[[#This Row],[Opp]],HBallowed[Team],0)),"0")</f>
        <v>22.125</v>
      </c>
      <c r="AO12" s="14">
        <f>IFERROR(INDEX(HBstats1[Rush Yds],MATCH(RBmatchups[[#This Row],[Name]],HBstats1[Player],0)),"0")</f>
        <v>80.09</v>
      </c>
      <c r="AP12" s="14" t="str">
        <f>IFERROR(INDEX(HBstats2[RushYards],MATCH(RBmatchups[[#This Row],[Name]],HBstats2[Player],0)),"0")</f>
        <v>0</v>
      </c>
      <c r="AQ12" s="14" t="str">
        <f>IFERROR(INDEX(HBstats3[RushYards],MATCH(RBmatchups[[#This Row],[Name]],HBstats3[Player],0)),"0")</f>
        <v>0</v>
      </c>
      <c r="AR12" s="32">
        <f>IFERROR(INDEX(HBallowed[Yards],MATCH(RBmatchups[[#This Row],[Opp]],HBallowed[Team],0)),"0")</f>
        <v>87</v>
      </c>
      <c r="AS12" s="14">
        <f>IFERROR(INDEX(HBstats1[Rush TD],MATCH(RBmatchups[[#This Row],[Name]],HBstats1[Player],0)),"0")</f>
        <v>0.66900000000000004</v>
      </c>
      <c r="AT12" s="14" t="str">
        <f>IFERROR(INDEX(HBstats2[RushTD],MATCH(RBmatchups[[#This Row],[Name]],HBstats2[Player],0)),"0")</f>
        <v>0</v>
      </c>
      <c r="AU12" s="14" t="str">
        <f>IFERROR(INDEX(HBstats3[RushTD],MATCH(RBmatchups[[#This Row],[Name]],HBstats3[Player],0)),"0")</f>
        <v>0</v>
      </c>
      <c r="AV12" s="32">
        <f>IFERROR(INDEX(HBallowed[TD],MATCH(RBmatchups[[#This Row],[Opp]],HBallowed[Team],0)),"0")</f>
        <v>0.625</v>
      </c>
      <c r="AW12" s="32" t="str">
        <f>IFERROR(INDEX(HBstats3[Targets],MATCH(RBmatchups[[#This Row],[Name]],HBstats3[Player],0)),"0")</f>
        <v>0</v>
      </c>
      <c r="AX12" s="32" t="str">
        <f>IFERROR(INDEX(HBstats2[Targets],MATCH(RBmatchups[[#This Row],[Name]],HBstats2[Player],0)),"0")</f>
        <v>0</v>
      </c>
      <c r="AY12" s="32" t="str">
        <f>IFERROR(INDEX(HBstats3[Targets],MATCH(RBmatchups[[#This Row],[Name]],HBstats3[Player],0)),"0")</f>
        <v>0</v>
      </c>
      <c r="AZ12" s="14">
        <f>IFERROR(INDEX(HBstats1[Rec],MATCH(RBmatchups[[#This Row],[Name]],HBstats1[Player],0)),"0")</f>
        <v>3.6930000000000001</v>
      </c>
      <c r="BA12" s="14" t="str">
        <f>IFERROR(INDEX(HBstats2[Rec],MATCH(RBmatchups[[#This Row],[Name]],HBstats2[Player],0)),"0")</f>
        <v>0</v>
      </c>
      <c r="BB12" s="14" t="str">
        <f>IFERROR(INDEX(HBstats3[Rec],MATCH(RBmatchups[[#This Row],[Name]],HBstats3[Player],0)),"0")</f>
        <v>0</v>
      </c>
      <c r="BC12" s="32">
        <f>IFERROR(INDEX(HBallowed[Rec],MATCH(RBmatchups[[#This Row],[Opp]],HBallowed[Team],0)),"0")</f>
        <v>6.125</v>
      </c>
      <c r="BD12" s="14">
        <f>IFERROR(INDEX(HBstats1[Rec Yds],MATCH(RBmatchups[[#This Row],[Name]],HBstats1[Player],0)),"0")</f>
        <v>39.418999999999997</v>
      </c>
      <c r="BE12" s="14" t="str">
        <f>IFERROR(INDEX(HBstats2[RecYards],MATCH(RBmatchups[[#This Row],[Name]],HBstats2[Player],0)),"0")</f>
        <v>0</v>
      </c>
      <c r="BF12" s="14" t="str">
        <f>IFERROR(INDEX(HBstats3[RecYards],MATCH(RBmatchups[[#This Row],[Name]],HBstats3[Player],0)),"0")</f>
        <v>0</v>
      </c>
      <c r="BG12" s="32">
        <f>IFERROR(INDEX(HBallowed[RecYards],MATCH(RBmatchups[[#This Row],[Opp]],HBallowed[Team],0)),"0")</f>
        <v>46.75</v>
      </c>
      <c r="BH12" s="14">
        <f>IFERROR(INDEX(HBstats1[Rec TD],MATCH(RBmatchups[[#This Row],[Name]],HBstats1[Player],0)),"0")</f>
        <v>9.2999999999999999E-2</v>
      </c>
      <c r="BI12" s="14" t="str">
        <f>IFERROR(INDEX(HBstats2[RecTD],MATCH(RBmatchups[[#This Row],[Name]],HBstats2[Player],0)),"0")</f>
        <v>0</v>
      </c>
      <c r="BJ12" s="14" t="str">
        <f>IFERROR(INDEX(HBstats3[RecTD],MATCH(RBmatchups[[#This Row],[Name]],HBstats3[Player],0)),"0")</f>
        <v>0</v>
      </c>
      <c r="BK12" s="32">
        <f>IFERROR(INDEX(HBallowed[RecTD],MATCH(RBmatchups[[#This Row],[Opp]],HBallowed[Team],0)),"0")</f>
        <v>0.1875</v>
      </c>
      <c r="BL12" s="268">
        <f>IF(RBmatchups[[#This Row],[Yards]]&gt;=100,3,0)</f>
        <v>0</v>
      </c>
    </row>
    <row r="13" spans="1:64" x14ac:dyDescent="0.3">
      <c r="A13" s="37">
        <f>HBstats1!AL3</f>
        <v>19.100000000000001</v>
      </c>
      <c r="B13" s="153" t="str">
        <f>HBstats1!D3</f>
        <v>Melvin Gordon</v>
      </c>
      <c r="C13" s="154">
        <f>IFERROR(INDEX(Salaries[DraftKings (Price)],MATCH(RBmatchups[[#This Row],[Name]],Salaries[Player],0)),"")</f>
        <v>6300</v>
      </c>
      <c r="D13" s="154">
        <f>IFERROR(INDEX(DK_Salary_Changes[WeekChange],MATCH(RBmatchups[[#This Row],[Name]],DK_Salary_Changes[Player],0)),"")</f>
        <v>500</v>
      </c>
      <c r="E13" s="154" t="str">
        <f>IFERROR(INDEX(Salaries[Team],MATCH(RBmatchups[[#This Row],[Name]],Salaries[Player],0)),"")</f>
        <v>SD</v>
      </c>
      <c r="F13" s="189" t="str">
        <f>IFERROR(INDEX(Salaries[Opp],MATCH(RBmatchups[[#This Row],[Team]],Salaries[Team],0)),"")</f>
        <v>NO</v>
      </c>
      <c r="G13" s="410">
        <f>IFERROR(INDEX(RBYTD[Rush ATT],MATCH(RBmatchups[Name],RBYTD[Player],0)),"0")</f>
        <v>54</v>
      </c>
      <c r="H13" s="191">
        <f>IFERROR(INDEX(RBYTD[Rush Yds],MATCH(RBmatchups[Name],RBYTD[Player],0)),"0")</f>
        <v>194</v>
      </c>
      <c r="I13" s="191">
        <f>IFERROR(INDEX(RBYTD[Rush TD],MATCH(RBmatchups[Name],RBYTD[Player],0)),"0")</f>
        <v>4</v>
      </c>
      <c r="J13" s="191">
        <f>IFERROR(INDEX(RBYTD[Rec],MATCH(RBmatchups[Name],RBYTD[Player],0)),"0")</f>
        <v>7</v>
      </c>
      <c r="K13" s="191">
        <f>IFERROR(INDEX(targettracker54[TTL],MATCH(RBmatchups[Name],targettracker54[Name],0)),"0")</f>
        <v>10</v>
      </c>
      <c r="L13" s="191">
        <f>IFERROR(INDEX(RBYTD[Rec Yds],MATCH(RBmatchups[Name],RBYTD[Player],0)),"0")</f>
        <v>61</v>
      </c>
      <c r="M13" s="411">
        <f>IFERROR(INDEX(RBYTD[Rec TD],MATCH(RBmatchups[Name],RBYTD[Player],0)),"0")</f>
        <v>0</v>
      </c>
      <c r="N13" s="441">
        <f>IFERROR(INDEX(Salaries[O/U],MATCH(RBmatchups[[#This Row],[Team]],Salaries[Team],0)),"")</f>
        <v>53.5</v>
      </c>
      <c r="O13" s="189">
        <f>IFERROR(INDEX(Salaries[Team O/U],MATCH(RBmatchups[[#This Row],[Team]],Salaries[Team],0)),"")</f>
        <v>28.75</v>
      </c>
      <c r="P13" s="442">
        <f>IFERROR(INDEX(Salaries[Spread],MATCH(RBmatchups[[#This Row],[Team]],Salaries[Team],0)),"")</f>
        <v>-4</v>
      </c>
      <c r="Q13" s="424">
        <f>IFERROR(INDEX(HBallowed[DVP],MATCH(RBmatchups[[#This Row],[Opp]],HBallowed[Team],0)),IFERROR(INDEX(HBallowed[DVP],MATCH(RBmatchups[[#This Row],[Opp]],HBallowed[Opp],0)),""))</f>
        <v>31</v>
      </c>
      <c r="R13" s="441">
        <f>AVERAGE(RBmatchups[[#This Row],[Car1]:[Car3]])</f>
        <v>18.375333333333334</v>
      </c>
      <c r="S13" s="190">
        <f>AVERAGE(RBmatchups[[#This Row],[Yards1]:[Yards3]])</f>
        <v>80.35466666666666</v>
      </c>
      <c r="T13" s="189">
        <f>SUM(RBmatchups[[#This Row],[Yards]]/RBmatchups[[#This Row],[Carries2]])</f>
        <v>4.3729637557595327</v>
      </c>
      <c r="U13" s="189">
        <f>AVERAGE(RBmatchups[[#This Row],[TD1]:[TD3]])</f>
        <v>0.67799999999999994</v>
      </c>
      <c r="V13" s="189">
        <f>AVERAGE(RBmatchups[[#This Row],[Tar1]:[Tar3]])</f>
        <v>3.4</v>
      </c>
      <c r="W13" s="189">
        <f>AVERAGE(RBmatchups[[#This Row],[Rec1]:[Rec3]])</f>
        <v>3.1590000000000003</v>
      </c>
      <c r="X13" s="189">
        <f>AVERAGE(RBmatchups[[#This Row],[RecYards1]:[RecYards3]])</f>
        <v>24.216333333333335</v>
      </c>
      <c r="Y13" s="189">
        <f>AVERAGE(RBmatchups[[#This Row],[RecTD1]:[RecTd3]])</f>
        <v>0.185</v>
      </c>
      <c r="Z13" s="190">
        <f>SUM(RBmatchups[[#This Row],[Carries2]]+RBmatchups[[#This Row],[Rec4]])</f>
        <v>21.534333333333333</v>
      </c>
      <c r="AA13" s="189">
        <f>SUM(RBmatchups[[#This Row],[Yards]]+RBmatchups[[#This Row],[RecYards]])</f>
        <v>104.571</v>
      </c>
      <c r="AB13" s="189">
        <f>SUM(RBmatchups[[#This Row],[TD]]+RBmatchups[[#This Row],[RecTD5]])</f>
        <v>0.86299999999999999</v>
      </c>
      <c r="AC13" s="191">
        <f>_xlfn.RANK.EQ(RBmatchups[Projection],RBmatchups[Projection],0)</f>
        <v>3</v>
      </c>
      <c r="AD13" s="189">
        <f>SUM(RBmatchups[[#This Row],[Total Yards]]*0.1)+(RBmatchups[[#This Row],[Rec4]]*1)+(RBmatchups[[#This Row],[Total TD]]*6)+(RBmatchups[[#This Row],[100+]])</f>
        <v>18.7941</v>
      </c>
      <c r="AE13" s="191" t="e">
        <f>_xlfn.RANK.EQ(RBmatchups[[#This Row],[$/FP]],RBmatchups[$/FP],1)</f>
        <v>#VALUE!</v>
      </c>
      <c r="AF13" s="453">
        <f>SUM(RBmatchups[[#This Row],[Salary]]/RBmatchups[[#This Row],[Projection]])</f>
        <v>335.2115823582933</v>
      </c>
      <c r="AG13" s="448" t="e">
        <f>_xlfn.RANK.EQ(RBmatchups[[#This Row],[Average]],RBmatchups[Average],1)</f>
        <v>#VALUE!</v>
      </c>
      <c r="AH13" s="190" t="e">
        <f>AVERAGE(RBmatchups[[#This Row],[Proj Rank]],RBmatchups[[#This Row],[Value Rank]])</f>
        <v>#VALUE!</v>
      </c>
      <c r="AI13" s="214">
        <f>RBmatchups[[#This Row],[Salary]]/50000</f>
        <v>0.126</v>
      </c>
      <c r="AJ13" s="214"/>
      <c r="AK13" s="14">
        <f>IFERROR(INDEX(HBstats1[Rush Att],MATCH(RBmatchups[[#This Row],[Name]],HBstats1[Player],0)),"0")</f>
        <v>21.725999999999999</v>
      </c>
      <c r="AL13" s="14">
        <f>IFERROR(INDEX(HBstats2[Carries],MATCH(RBmatchups[[#This Row],[Name]],HBstats2[Player],0)),"0")</f>
        <v>17.899999999999999</v>
      </c>
      <c r="AM13" s="14">
        <f>IFERROR(INDEX(HBstats3[Carries],MATCH(RBmatchups[[#This Row],[Name]],HBstats3[Player],0)),"0")</f>
        <v>15.5</v>
      </c>
      <c r="AN13" s="14">
        <f>IFERROR(INDEX(HBallowed[Carries],MATCH(RBmatchups[[#This Row],[Opp]],HBallowed[Team],0)),"0")</f>
        <v>18.5625</v>
      </c>
      <c r="AO13" s="14">
        <f>IFERROR(INDEX(HBstats1[Rush Yds],MATCH(RBmatchups[[#This Row],[Name]],HBstats1[Player],0)),"0")</f>
        <v>84.864000000000004</v>
      </c>
      <c r="AP13" s="14">
        <f>IFERROR(INDEX(HBstats2[RushYards],MATCH(RBmatchups[[#This Row],[Name]],HBstats2[Player],0)),"0")</f>
        <v>72.099999999999994</v>
      </c>
      <c r="AQ13" s="14">
        <f>IFERROR(INDEX(HBstats3[RushYards],MATCH(RBmatchups[[#This Row],[Name]],HBstats3[Player],0)),"0")</f>
        <v>84.1</v>
      </c>
      <c r="AR13" s="32">
        <f>IFERROR(INDEX(HBallowed[Yards],MATCH(RBmatchups[[#This Row],[Opp]],HBallowed[Team],0)),"0")</f>
        <v>77.3125</v>
      </c>
      <c r="AS13" s="14">
        <f>IFERROR(INDEX(HBstats1[Rush TD],MATCH(RBmatchups[[#This Row],[Name]],HBstats1[Player],0)),"0")</f>
        <v>0.95599999999999996</v>
      </c>
      <c r="AT13" s="14" t="str">
        <f>IFERROR(INDEX(HBstats2[RushTD],MATCH(RBmatchups[[#This Row],[Name]],HBstats2[Player],0)),"0")</f>
        <v>0.7</v>
      </c>
      <c r="AU13" s="14">
        <f>IFERROR(INDEX(HBstats3[RushTD],MATCH(RBmatchups[[#This Row],[Name]],HBstats3[Player],0)),"0")</f>
        <v>0.4</v>
      </c>
      <c r="AV13" s="32">
        <f>IFERROR(INDEX(HBallowed[TD],MATCH(RBmatchups[[#This Row],[Opp]],HBallowed[Team],0)),"0")</f>
        <v>0.375</v>
      </c>
      <c r="AW13" s="14">
        <f>IFERROR(INDEX(HBstats3[Targets],MATCH(RBmatchups[[#This Row],[Name]],HBstats3[Player],0)),"0")</f>
        <v>3.4</v>
      </c>
      <c r="AX13" s="32" t="str">
        <f>IFERROR(INDEX(HBstats2[Targets],MATCH(RBmatchups[[#This Row],[Name]],HBstats2[Player],0)),"0")</f>
        <v>0</v>
      </c>
      <c r="AY13" s="32">
        <f>IFERROR(INDEX(HBstats3[Targets],MATCH(RBmatchups[[#This Row],[Name]],HBstats3[Player],0)),"0")</f>
        <v>3.4</v>
      </c>
      <c r="AZ13" s="14">
        <f>IFERROR(INDEX(HBstats1[Rec],MATCH(RBmatchups[[#This Row],[Name]],HBstats1[Player],0)),"0")</f>
        <v>3.677</v>
      </c>
      <c r="BA13" s="14">
        <f>IFERROR(INDEX(HBstats2[Rec],MATCH(RBmatchups[[#This Row],[Name]],HBstats2[Player],0)),"0")</f>
        <v>2.9</v>
      </c>
      <c r="BB13" s="14">
        <f>IFERROR(INDEX(HBstats3[Rec],MATCH(RBmatchups[[#This Row],[Name]],HBstats3[Player],0)),"0")</f>
        <v>2.9</v>
      </c>
      <c r="BC13" s="32">
        <f>IFERROR(INDEX(HBallowed[Rec],MATCH(RBmatchups[[#This Row],[Opp]],HBallowed[Team],0)),"0")</f>
        <v>6.375</v>
      </c>
      <c r="BD13" s="14">
        <f>IFERROR(INDEX(HBstats1[Rec Yds],MATCH(RBmatchups[[#This Row],[Name]],HBstats1[Player],0)),"0")</f>
        <v>24.248999999999999</v>
      </c>
      <c r="BE13" s="14">
        <f>IFERROR(INDEX(HBstats2[RecYards],MATCH(RBmatchups[[#This Row],[Name]],HBstats2[Player],0)),"0")</f>
        <v>20.7</v>
      </c>
      <c r="BF13" s="14">
        <f>IFERROR(INDEX(HBstats3[RecYards],MATCH(RBmatchups[[#This Row],[Name]],HBstats3[Player],0)),"0")</f>
        <v>27.7</v>
      </c>
      <c r="BG13" s="32">
        <f>IFERROR(INDEX(HBallowed[RecYards],MATCH(RBmatchups[[#This Row],[Opp]],HBallowed[Team],0)),"0")</f>
        <v>49.9375</v>
      </c>
      <c r="BH13" s="14">
        <f>IFERROR(INDEX(HBstats1[Rec TD],MATCH(RBmatchups[[#This Row],[Name]],HBstats1[Player],0)),"0")</f>
        <v>0.17</v>
      </c>
      <c r="BI13" s="14" t="str">
        <f>IFERROR(INDEX(HBstats2[RecTD],MATCH(RBmatchups[[#This Row],[Name]],HBstats2[Player],0)),"0")</f>
        <v>0.1</v>
      </c>
      <c r="BJ13" s="14">
        <f>IFERROR(INDEX(HBstats3[RecTD],MATCH(RBmatchups[[#This Row],[Name]],HBstats3[Player],0)),"0")</f>
        <v>0.2</v>
      </c>
      <c r="BK13" s="32">
        <f>IFERROR(INDEX(HBallowed[RecTD],MATCH(RBmatchups[[#This Row],[Opp]],HBallowed[Team],0)),"0")</f>
        <v>0.3125</v>
      </c>
      <c r="BL13" s="268">
        <f>IF(RBmatchups[[#This Row],[Yards]]&gt;=100,3,0)</f>
        <v>0</v>
      </c>
    </row>
    <row r="14" spans="1:64" x14ac:dyDescent="0.3">
      <c r="A14" s="37">
        <f>HBstats1!AL5</f>
        <v>17.3</v>
      </c>
      <c r="B14" s="153" t="str">
        <f>HBstats1!D5</f>
        <v>Lamar Miller</v>
      </c>
      <c r="C14" s="154">
        <f>IFERROR(INDEX(Salaries[DraftKings (Price)],MATCH(RBmatchups[[#This Row],[Name]],Salaries[Player],0)),"")</f>
        <v>7000</v>
      </c>
      <c r="D14" s="154">
        <f>IFERROR(INDEX(DK_Salary_Changes[WeekChange],MATCH(RBmatchups[[#This Row],[Name]],DK_Salary_Changes[Player],0)),"")</f>
        <v>-200</v>
      </c>
      <c r="E14" s="154" t="str">
        <f>IFERROR(INDEX(Salaries[Team],MATCH(RBmatchups[[#This Row],[Name]],Salaries[Player],0)),"")</f>
        <v>HOU</v>
      </c>
      <c r="F14" s="189" t="str">
        <f>IFERROR(INDEX(Salaries[Opp],MATCH(RBmatchups[[#This Row],[Team]],Salaries[Team],0)),"")</f>
        <v>TEN</v>
      </c>
      <c r="G14" s="410">
        <f>IFERROR(INDEX(RBYTD[Rush ATT],MATCH(RBmatchups[Name],RBYTD[Player],0)),"0")</f>
        <v>74</v>
      </c>
      <c r="H14" s="191">
        <f>IFERROR(INDEX(RBYTD[Rush Yds],MATCH(RBmatchups[Name],RBYTD[Player],0)),"0")</f>
        <v>269</v>
      </c>
      <c r="I14" s="191">
        <f>IFERROR(INDEX(RBYTD[Rush TD],MATCH(RBmatchups[Name],RBYTD[Player],0)),"0")</f>
        <v>0</v>
      </c>
      <c r="J14" s="191">
        <f>IFERROR(INDEX(RBYTD[Rec],MATCH(RBmatchups[Name],RBYTD[Player],0)),"0")</f>
        <v>10</v>
      </c>
      <c r="K14" s="191">
        <f>IFERROR(INDEX(targettracker54[TTL],MATCH(RBmatchups[Name],targettracker54[Name],0)),"0")</f>
        <v>11</v>
      </c>
      <c r="L14" s="191">
        <f>IFERROR(INDEX(RBYTD[Rec Yds],MATCH(RBmatchups[Name],RBYTD[Player],0)),"0")</f>
        <v>52</v>
      </c>
      <c r="M14" s="411">
        <f>IFERROR(INDEX(RBYTD[Rec TD],MATCH(RBmatchups[Name],RBYTD[Player],0)),"0")</f>
        <v>0</v>
      </c>
      <c r="N14" s="441">
        <f>IFERROR(INDEX(Salaries[O/U],MATCH(RBmatchups[[#This Row],[Team]],Salaries[Team],0)),"")</f>
        <v>40.5</v>
      </c>
      <c r="O14" s="189">
        <f>IFERROR(INDEX(Salaries[Team O/U],MATCH(RBmatchups[[#This Row],[Team]],Salaries[Team],0)),"")</f>
        <v>23.5</v>
      </c>
      <c r="P14" s="442">
        <f>IFERROR(INDEX(Salaries[Spread],MATCH(RBmatchups[[#This Row],[Team]],Salaries[Team],0)),"")</f>
        <v>-6.5</v>
      </c>
      <c r="Q14" s="424">
        <f>IFERROR(INDEX(HBallowed[DVP],MATCH(RBmatchups[[#This Row],[Opp]],HBallowed[Team],0)),IFERROR(INDEX(HBallowed[DVP],MATCH(RBmatchups[[#This Row],[Opp]],HBallowed[Opp],0)),""))</f>
        <v>5</v>
      </c>
      <c r="R14" s="441">
        <f>AVERAGE(RBmatchups[[#This Row],[Car1]:[Car3]])</f>
        <v>20.082333333333334</v>
      </c>
      <c r="S14" s="190">
        <f>AVERAGE(RBmatchups[[#This Row],[Yards1]:[Yards3]])</f>
        <v>85.088333333333324</v>
      </c>
      <c r="T14" s="189">
        <f>SUM(RBmatchups[[#This Row],[Yards]]/RBmatchups[[#This Row],[Carries2]])</f>
        <v>4.2369744551595927</v>
      </c>
      <c r="U14" s="189">
        <f>AVERAGE(RBmatchups[[#This Row],[TD1]:[TD3]])</f>
        <v>0.5655</v>
      </c>
      <c r="V14" s="189">
        <f>AVERAGE(RBmatchups[[#This Row],[Tar1]:[Tar3]])</f>
        <v>2.9</v>
      </c>
      <c r="W14" s="189">
        <f>AVERAGE(RBmatchups[[#This Row],[Rec1]:[Rec3]])</f>
        <v>2.9926666666666666</v>
      </c>
      <c r="X14" s="189">
        <f>AVERAGE(RBmatchups[[#This Row],[RecYards1]:[RecYards3]])</f>
        <v>23.346333333333334</v>
      </c>
      <c r="Y14" s="189">
        <f>AVERAGE(RBmatchups[[#This Row],[RecTD1]:[RecTd3]])</f>
        <v>0.11550000000000001</v>
      </c>
      <c r="Z14" s="190">
        <f>SUM(RBmatchups[[#This Row],[Carries2]]+RBmatchups[[#This Row],[Rec4]])</f>
        <v>23.075000000000003</v>
      </c>
      <c r="AA14" s="189">
        <f>SUM(RBmatchups[[#This Row],[Yards]]+RBmatchups[[#This Row],[RecYards]])</f>
        <v>108.43466666666666</v>
      </c>
      <c r="AB14" s="189">
        <f>SUM(RBmatchups[[#This Row],[TD]]+RBmatchups[[#This Row],[RecTD5]])</f>
        <v>0.68100000000000005</v>
      </c>
      <c r="AC14" s="191">
        <f>_xlfn.RANK.EQ(RBmatchups[Projection],RBmatchups[Projection],0)</f>
        <v>4</v>
      </c>
      <c r="AD14" s="189">
        <f>SUM(RBmatchups[[#This Row],[Total Yards]]*0.1)+(RBmatchups[[#This Row],[Rec4]]*1)+(RBmatchups[[#This Row],[Total TD]]*6)+(RBmatchups[[#This Row],[100+]])</f>
        <v>17.922133333333335</v>
      </c>
      <c r="AE14" s="191" t="e">
        <f>_xlfn.RANK.EQ(RBmatchups[[#This Row],[$/FP]],RBmatchups[$/FP],1)</f>
        <v>#VALUE!</v>
      </c>
      <c r="AF14" s="453">
        <f>SUM(RBmatchups[[#This Row],[Salary]]/RBmatchups[[#This Row],[Projection]])</f>
        <v>390.57850255921909</v>
      </c>
      <c r="AG14" s="448" t="e">
        <f>_xlfn.RANK.EQ(RBmatchups[[#This Row],[Average]],RBmatchups[Average],1)</f>
        <v>#VALUE!</v>
      </c>
      <c r="AH14" s="190" t="e">
        <f>AVERAGE(RBmatchups[[#This Row],[Proj Rank]],RBmatchups[[#This Row],[Value Rank]])</f>
        <v>#VALUE!</v>
      </c>
      <c r="AI14" s="214">
        <f>RBmatchups[[#This Row],[Salary]]/50000</f>
        <v>0.14000000000000001</v>
      </c>
      <c r="AJ14" s="214"/>
      <c r="AK14" s="14">
        <f>IFERROR(INDEX(HBstats1[Rush Att],MATCH(RBmatchups[[#This Row],[Name]],HBstats1[Player],0)),"0")</f>
        <v>22.547000000000001</v>
      </c>
      <c r="AL14" s="14">
        <f>IFERROR(INDEX(HBstats2[Carries],MATCH(RBmatchups[[#This Row],[Name]],HBstats2[Player],0)),"0")</f>
        <v>18.399999999999999</v>
      </c>
      <c r="AM14" s="14">
        <f>IFERROR(INDEX(HBstats3[Carries],MATCH(RBmatchups[[#This Row],[Name]],HBstats3[Player],0)),"0")</f>
        <v>19.3</v>
      </c>
      <c r="AN14" s="14">
        <f>IFERROR(INDEX(HBallowed[Carries],MATCH(RBmatchups[[#This Row],[Opp]],HBallowed[Team],0)),"0")</f>
        <v>19.3125</v>
      </c>
      <c r="AO14" s="14">
        <f>IFERROR(INDEX(HBstats1[Rush Yds],MATCH(RBmatchups[[#This Row],[Name]],HBstats1[Player],0)),"0")</f>
        <v>94.564999999999998</v>
      </c>
      <c r="AP14" s="14">
        <f>IFERROR(INDEX(HBstats2[RushYards],MATCH(RBmatchups[[#This Row],[Name]],HBstats2[Player],0)),"0")</f>
        <v>75.7</v>
      </c>
      <c r="AQ14" s="14">
        <f>IFERROR(INDEX(HBstats3[RushYards],MATCH(RBmatchups[[#This Row],[Name]],HBstats3[Player],0)),"0")</f>
        <v>85</v>
      </c>
      <c r="AR14" s="32">
        <f>IFERROR(INDEX(HBallowed[Yards],MATCH(RBmatchups[[#This Row],[Opp]],HBallowed[Team],0)),"0")</f>
        <v>64.4375</v>
      </c>
      <c r="AS14" s="14">
        <f>IFERROR(INDEX(HBstats1[Rush TD],MATCH(RBmatchups[[#This Row],[Name]],HBstats1[Player],0)),"0")</f>
        <v>0.63100000000000001</v>
      </c>
      <c r="AT14" s="14" t="str">
        <f>IFERROR(INDEX(HBstats2[RushTD],MATCH(RBmatchups[[#This Row],[Name]],HBstats2[Player],0)),"0")</f>
        <v>0.4</v>
      </c>
      <c r="AU14" s="14">
        <f>IFERROR(INDEX(HBstats3[RushTD],MATCH(RBmatchups[[#This Row],[Name]],HBstats3[Player],0)),"0")</f>
        <v>0.5</v>
      </c>
      <c r="AV14" s="32">
        <f>IFERROR(INDEX(HBallowed[TD],MATCH(RBmatchups[[#This Row],[Opp]],HBallowed[Team],0)),"0")</f>
        <v>0.125</v>
      </c>
      <c r="AW14" s="32">
        <f>IFERROR(INDEX(HBstats3[Targets],MATCH(RBmatchups[[#This Row],[Name]],HBstats3[Player],0)),"0")</f>
        <v>2.9</v>
      </c>
      <c r="AX14" s="32" t="str">
        <f>IFERROR(INDEX(HBstats2[Targets],MATCH(RBmatchups[[#This Row],[Name]],HBstats2[Player],0)),"0")</f>
        <v>0</v>
      </c>
      <c r="AY14" s="32">
        <f>IFERROR(INDEX(HBstats3[Targets],MATCH(RBmatchups[[#This Row],[Name]],HBstats3[Player],0)),"0")</f>
        <v>2.9</v>
      </c>
      <c r="AZ14" s="14">
        <f>IFERROR(INDEX(HBstats1[Rec],MATCH(RBmatchups[[#This Row],[Name]],HBstats1[Player],0)),"0")</f>
        <v>2.9780000000000002</v>
      </c>
      <c r="BA14" s="14">
        <f>IFERROR(INDEX(HBstats2[Rec],MATCH(RBmatchups[[#This Row],[Name]],HBstats2[Player],0)),"0")</f>
        <v>3.5</v>
      </c>
      <c r="BB14" s="14">
        <f>IFERROR(INDEX(HBstats3[Rec],MATCH(RBmatchups[[#This Row],[Name]],HBstats3[Player],0)),"0")</f>
        <v>2.5</v>
      </c>
      <c r="BC14" s="32">
        <f>IFERROR(INDEX(HBallowed[Rec],MATCH(RBmatchups[[#This Row],[Opp]],HBallowed[Team],0)),"0")</f>
        <v>5</v>
      </c>
      <c r="BD14" s="14">
        <f>IFERROR(INDEX(HBstats1[Rec Yds],MATCH(RBmatchups[[#This Row],[Name]],HBstats1[Player],0)),"0")</f>
        <v>22.239000000000001</v>
      </c>
      <c r="BE14" s="14">
        <f>IFERROR(INDEX(HBstats2[RecYards],MATCH(RBmatchups[[#This Row],[Name]],HBstats2[Player],0)),"0")</f>
        <v>26.7</v>
      </c>
      <c r="BF14" s="14">
        <f>IFERROR(INDEX(HBstats3[RecYards],MATCH(RBmatchups[[#This Row],[Name]],HBstats3[Player],0)),"0")</f>
        <v>21.1</v>
      </c>
      <c r="BG14" s="32">
        <f>IFERROR(INDEX(HBallowed[RecYards],MATCH(RBmatchups[[#This Row],[Opp]],HBallowed[Team],0)),"0")</f>
        <v>40.9375</v>
      </c>
      <c r="BH14" s="14">
        <f>IFERROR(INDEX(HBstats1[Rec TD],MATCH(RBmatchups[[#This Row],[Name]],HBstats1[Player],0)),"0")</f>
        <v>0.13100000000000001</v>
      </c>
      <c r="BI14" s="14" t="str">
        <f>IFERROR(INDEX(HBstats2[RecTD],MATCH(RBmatchups[[#This Row],[Name]],HBstats2[Player],0)),"0")</f>
        <v>0.1</v>
      </c>
      <c r="BJ14" s="14">
        <f>IFERROR(INDEX(HBstats3[RecTD],MATCH(RBmatchups[[#This Row],[Name]],HBstats3[Player],0)),"0")</f>
        <v>0.1</v>
      </c>
      <c r="BK14" s="32">
        <f>IFERROR(INDEX(HBallowed[RecTD],MATCH(RBmatchups[[#This Row],[Opp]],HBallowed[Team],0)),"0")</f>
        <v>0.3125</v>
      </c>
      <c r="BL14" s="268">
        <f>IF(RBmatchups[[#This Row],[Yards]]&gt;=100,3,0)</f>
        <v>0</v>
      </c>
    </row>
    <row r="15" spans="1:64" x14ac:dyDescent="0.3">
      <c r="A15" s="37">
        <f>HBstats1!AL12</f>
        <v>14.4</v>
      </c>
      <c r="B15" s="153" t="str">
        <f>HBstats1!D12</f>
        <v>Mark Ingram</v>
      </c>
      <c r="C15" s="154">
        <f>IFERROR(INDEX(Salaries[DraftKings (Price)],MATCH(RBmatchups[[#This Row],[Name]],Salaries[Player],0)),"")</f>
        <v>5900</v>
      </c>
      <c r="D15" s="154">
        <f>IFERROR(INDEX(DK_Salary_Changes[WeekChange],MATCH(RBmatchups[[#This Row],[Name]],DK_Salary_Changes[Player],0)),"")</f>
        <v>0</v>
      </c>
      <c r="E15" s="154" t="str">
        <f>IFERROR(INDEX(Salaries[Team],MATCH(RBmatchups[[#This Row],[Name]],Salaries[Player],0)),"")</f>
        <v>NO</v>
      </c>
      <c r="F15" s="189" t="str">
        <f>IFERROR(INDEX(Salaries[Opp],MATCH(RBmatchups[[#This Row],[Team]],Salaries[Team],0)),"")</f>
        <v>@SD</v>
      </c>
      <c r="G15" s="410">
        <f>IFERROR(INDEX(RBYTD[Rush ATT],MATCH(RBmatchups[Name],RBYTD[Player],0)),"0")</f>
        <v>36</v>
      </c>
      <c r="H15" s="191">
        <f>IFERROR(INDEX(RBYTD[Rush Yds],MATCH(RBmatchups[Name],RBYTD[Player],0)),"0")</f>
        <v>165</v>
      </c>
      <c r="I15" s="191">
        <f>IFERROR(INDEX(RBYTD[Rush TD],MATCH(RBmatchups[Name],RBYTD[Player],0)),"0")</f>
        <v>0</v>
      </c>
      <c r="J15" s="191">
        <f>IFERROR(INDEX(RBYTD[Rec],MATCH(RBmatchups[Name],RBYTD[Player],0)),"0")</f>
        <v>10</v>
      </c>
      <c r="K15" s="191">
        <f>IFERROR(INDEX(targettracker54[TTL],MATCH(RBmatchups[Name],targettracker54[Name],0)),"0")</f>
        <v>12</v>
      </c>
      <c r="L15" s="191">
        <f>IFERROR(INDEX(RBYTD[Rec Yds],MATCH(RBmatchups[Name],RBYTD[Player],0)),"0")</f>
        <v>76</v>
      </c>
      <c r="M15" s="411">
        <f>IFERROR(INDEX(RBYTD[Rec TD],MATCH(RBmatchups[Name],RBYTD[Player],0)),"0")</f>
        <v>1</v>
      </c>
      <c r="N15" s="441">
        <f>IFERROR(INDEX(Salaries[O/U],MATCH(RBmatchups[[#This Row],[Team]],Salaries[Team],0)),"")</f>
        <v>53.5</v>
      </c>
      <c r="O15" s="189">
        <f>IFERROR(INDEX(Salaries[Team O/U],MATCH(RBmatchups[[#This Row],[Team]],Salaries[Team],0)),"")</f>
        <v>24.75</v>
      </c>
      <c r="P15" s="442">
        <f>IFERROR(INDEX(Salaries[Spread],MATCH(RBmatchups[[#This Row],[Team]],Salaries[Team],0)),"")</f>
        <v>4</v>
      </c>
      <c r="Q15" s="424">
        <f>IFERROR(INDEX(HBallowed[DVP],MATCH(RBmatchups[[#This Row],[Opp]],HBallowed[Team],0)),IFERROR(INDEX(HBallowed[DVP],MATCH(RBmatchups[[#This Row],[Opp]],HBallowed[Opp],0)),""))</f>
        <v>29</v>
      </c>
      <c r="R15" s="441">
        <f>AVERAGE(RBmatchups[[#This Row],[Car1]:[Car3]])</f>
        <v>14.774666666666667</v>
      </c>
      <c r="S15" s="190">
        <f>AVERAGE(RBmatchups[[#This Row],[Yards1]:[Yards3]])</f>
        <v>73.228999999999999</v>
      </c>
      <c r="T15" s="189">
        <f>SUM(RBmatchups[[#This Row],[Yards]]/RBmatchups[[#This Row],[Carries2]])</f>
        <v>4.9563893150437686</v>
      </c>
      <c r="U15" s="189">
        <f>AVERAGE(RBmatchups[[#This Row],[TD1]:[TD3]])</f>
        <v>0.61499999999999999</v>
      </c>
      <c r="V15" s="189">
        <f>AVERAGE(RBmatchups[[#This Row],[Tar1]:[Tar3]])</f>
        <v>3.1</v>
      </c>
      <c r="W15" s="189">
        <f>AVERAGE(RBmatchups[[#This Row],[Rec1]:[Rec3]])</f>
        <v>3.1659999999999999</v>
      </c>
      <c r="X15" s="189">
        <f>AVERAGE(RBmatchups[[#This Row],[RecYards1]:[RecYards3]])</f>
        <v>27.006333333333334</v>
      </c>
      <c r="Y15" s="189">
        <f>AVERAGE(RBmatchups[[#This Row],[RecTD1]:[RecTd3]])</f>
        <v>0.121</v>
      </c>
      <c r="Z15" s="190">
        <f>SUM(RBmatchups[[#This Row],[Carries2]]+RBmatchups[[#This Row],[Rec4]])</f>
        <v>17.940666666666665</v>
      </c>
      <c r="AA15" s="189">
        <f>SUM(RBmatchups[[#This Row],[Yards]]+RBmatchups[[#This Row],[RecYards]])</f>
        <v>100.23533333333333</v>
      </c>
      <c r="AB15" s="189">
        <f>SUM(RBmatchups[[#This Row],[TD]]+RBmatchups[[#This Row],[RecTD5]])</f>
        <v>0.73599999999999999</v>
      </c>
      <c r="AC15" s="191">
        <f>_xlfn.RANK.EQ(RBmatchups[Projection],RBmatchups[Projection],0)</f>
        <v>5</v>
      </c>
      <c r="AD15" s="189">
        <f>SUM(RBmatchups[[#This Row],[Total Yards]]*0.1)+(RBmatchups[[#This Row],[Rec4]]*1)+(RBmatchups[[#This Row],[Total TD]]*6)+(RBmatchups[[#This Row],[100+]])</f>
        <v>17.605533333333334</v>
      </c>
      <c r="AE15" s="191" t="e">
        <f>_xlfn.RANK.EQ(RBmatchups[[#This Row],[$/FP]],RBmatchups[$/FP],1)</f>
        <v>#VALUE!</v>
      </c>
      <c r="AF15" s="453">
        <f>SUM(RBmatchups[[#This Row],[Salary]]/RBmatchups[[#This Row],[Projection]])</f>
        <v>335.12191242904692</v>
      </c>
      <c r="AG15" s="448" t="e">
        <f>_xlfn.RANK.EQ(RBmatchups[[#This Row],[Average]],RBmatchups[Average],1)</f>
        <v>#VALUE!</v>
      </c>
      <c r="AH15" s="190" t="e">
        <f>AVERAGE(RBmatchups[[#This Row],[Proj Rank]],RBmatchups[[#This Row],[Value Rank]])</f>
        <v>#VALUE!</v>
      </c>
      <c r="AI15" s="214">
        <f>RBmatchups[[#This Row],[Salary]]/50000</f>
        <v>0.11799999999999999</v>
      </c>
      <c r="AJ15" s="214"/>
      <c r="AK15" s="14">
        <f>IFERROR(INDEX(HBstats1[Rush Att],MATCH(RBmatchups[[#This Row],[Name]],HBstats1[Player],0)),"0")</f>
        <v>14.023999999999999</v>
      </c>
      <c r="AL15" s="14">
        <f>IFERROR(INDEX(HBstats2[Carries],MATCH(RBmatchups[[#This Row],[Name]],HBstats2[Player],0)),"0")</f>
        <v>14.6</v>
      </c>
      <c r="AM15" s="14">
        <f>IFERROR(INDEX(HBstats3[Carries],MATCH(RBmatchups[[#This Row],[Name]],HBstats3[Player],0)),"0")</f>
        <v>15.7</v>
      </c>
      <c r="AN15" s="14" t="str">
        <f>IFERROR(INDEX(HBallowed[Carries],MATCH(RBmatchups[[#This Row],[Opp]],HBallowed[Team],0)),"0")</f>
        <v>0</v>
      </c>
      <c r="AO15" s="14">
        <f>IFERROR(INDEX(HBstats1[Rush Yds],MATCH(RBmatchups[[#This Row],[Name]],HBstats1[Player],0)),"0")</f>
        <v>67.186999999999998</v>
      </c>
      <c r="AP15" s="14">
        <f>IFERROR(INDEX(HBstats2[RushYards],MATCH(RBmatchups[[#This Row],[Name]],HBstats2[Player],0)),"0")</f>
        <v>67.5</v>
      </c>
      <c r="AQ15" s="14">
        <f>IFERROR(INDEX(HBstats3[RushYards],MATCH(RBmatchups[[#This Row],[Name]],HBstats3[Player],0)),"0")</f>
        <v>85</v>
      </c>
      <c r="AR15" s="32" t="str">
        <f>IFERROR(INDEX(HBallowed[Yards],MATCH(RBmatchups[[#This Row],[Opp]],HBallowed[Team],0)),"0")</f>
        <v>0</v>
      </c>
      <c r="AS15" s="14">
        <f>IFERROR(INDEX(HBstats1[Rush TD],MATCH(RBmatchups[[#This Row],[Name]],HBstats1[Player],0)),"0")</f>
        <v>0.53</v>
      </c>
      <c r="AT15" s="14" t="str">
        <f>IFERROR(INDEX(HBstats2[RushTD],MATCH(RBmatchups[[#This Row],[Name]],HBstats2[Player],0)),"0")</f>
        <v>0.5</v>
      </c>
      <c r="AU15" s="14">
        <f>IFERROR(INDEX(HBstats3[RushTD],MATCH(RBmatchups[[#This Row],[Name]],HBstats3[Player],0)),"0")</f>
        <v>0.7</v>
      </c>
      <c r="AV15" s="32" t="str">
        <f>IFERROR(INDEX(HBallowed[TD],MATCH(RBmatchups[[#This Row],[Opp]],HBallowed[Team],0)),"0")</f>
        <v>0</v>
      </c>
      <c r="AW15" s="32">
        <f>IFERROR(INDEX(HBstats3[Targets],MATCH(RBmatchups[[#This Row],[Name]],HBstats3[Player],0)),"0")</f>
        <v>3.1</v>
      </c>
      <c r="AX15" s="32" t="str">
        <f>IFERROR(INDEX(HBstats2[Targets],MATCH(RBmatchups[[#This Row],[Name]],HBstats2[Player],0)),"0")</f>
        <v>0</v>
      </c>
      <c r="AY15" s="32">
        <f>IFERROR(INDEX(HBstats3[Targets],MATCH(RBmatchups[[#This Row],[Name]],HBstats3[Player],0)),"0")</f>
        <v>3.1</v>
      </c>
      <c r="AZ15" s="14">
        <f>IFERROR(INDEX(HBstats1[Rec],MATCH(RBmatchups[[#This Row],[Name]],HBstats1[Player],0)),"0")</f>
        <v>2.8980000000000001</v>
      </c>
      <c r="BA15" s="14">
        <f>IFERROR(INDEX(HBstats2[Rec],MATCH(RBmatchups[[#This Row],[Name]],HBstats2[Player],0)),"0")</f>
        <v>4</v>
      </c>
      <c r="BB15" s="14">
        <f>IFERROR(INDEX(HBstats3[Rec],MATCH(RBmatchups[[#This Row],[Name]],HBstats3[Player],0)),"0")</f>
        <v>2.6</v>
      </c>
      <c r="BC15" s="32" t="str">
        <f>IFERROR(INDEX(HBallowed[Rec],MATCH(RBmatchups[[#This Row],[Opp]],HBallowed[Team],0)),"0")</f>
        <v>0</v>
      </c>
      <c r="BD15" s="14">
        <f>IFERROR(INDEX(HBstats1[Rec Yds],MATCH(RBmatchups[[#This Row],[Name]],HBstats1[Player],0)),"0")</f>
        <v>24.219000000000001</v>
      </c>
      <c r="BE15" s="14">
        <f>IFERROR(INDEX(HBstats2[RecYards],MATCH(RBmatchups[[#This Row],[Name]],HBstats2[Player],0)),"0")</f>
        <v>30.4</v>
      </c>
      <c r="BF15" s="14">
        <f>IFERROR(INDEX(HBstats3[RecYards],MATCH(RBmatchups[[#This Row],[Name]],HBstats3[Player],0)),"0")</f>
        <v>26.4</v>
      </c>
      <c r="BG15" s="32" t="str">
        <f>IFERROR(INDEX(HBallowed[RecYards],MATCH(RBmatchups[[#This Row],[Opp]],HBallowed[Team],0)),"0")</f>
        <v>0</v>
      </c>
      <c r="BH15" s="14">
        <f>IFERROR(INDEX(HBstats1[Rec TD],MATCH(RBmatchups[[#This Row],[Name]],HBstats1[Player],0)),"0")</f>
        <v>0.14199999999999999</v>
      </c>
      <c r="BI15" s="14" t="str">
        <f>IFERROR(INDEX(HBstats2[RecTD],MATCH(RBmatchups[[#This Row],[Name]],HBstats2[Player],0)),"0")</f>
        <v>0.1</v>
      </c>
      <c r="BJ15" s="14">
        <f>IFERROR(INDEX(HBstats3[RecTD],MATCH(RBmatchups[[#This Row],[Name]],HBstats3[Player],0)),"0")</f>
        <v>0.1</v>
      </c>
      <c r="BK15" s="32" t="str">
        <f>IFERROR(INDEX(HBallowed[RecTD],MATCH(RBmatchups[[#This Row],[Opp]],HBallowed[Team],0)),"0")</f>
        <v>0</v>
      </c>
      <c r="BL15" s="268">
        <f>IF(RBmatchups[[#This Row],[Yards]]&gt;=100,3,0)</f>
        <v>0</v>
      </c>
    </row>
    <row r="16" spans="1:64" x14ac:dyDescent="0.3">
      <c r="A16" s="37">
        <f>HBstats1!AL7</f>
        <v>15.8</v>
      </c>
      <c r="B16" s="153" t="str">
        <f>HBstats1!D7</f>
        <v>C.J. Anderson</v>
      </c>
      <c r="C16" s="154">
        <f>IFERROR(INDEX(Salaries[DraftKings (Price)],MATCH(RBmatchups[[#This Row],[Name]],Salaries[Player],0)),"")</f>
        <v>6500</v>
      </c>
      <c r="D16" s="154">
        <f>IFERROR(INDEX(DK_Salary_Changes[WeekChange],MATCH(RBmatchups[[#This Row],[Name]],DK_Salary_Changes[Player],0)),"")</f>
        <v>-800</v>
      </c>
      <c r="E16" s="154" t="str">
        <f>IFERROR(INDEX(Salaries[Team],MATCH(RBmatchups[[#This Row],[Name]],Salaries[Player],0)),"")</f>
        <v>DEN</v>
      </c>
      <c r="F16" s="189" t="str">
        <f>IFERROR(INDEX(Salaries[Opp],MATCH(RBmatchups[[#This Row],[Team]],Salaries[Team],0)),"")</f>
        <v>@TB</v>
      </c>
      <c r="G16" s="410">
        <f>IFERROR(INDEX(RBYTD[Rush ATT],MATCH(RBmatchups[Name],RBYTD[Player],0)),"0")</f>
        <v>54</v>
      </c>
      <c r="H16" s="191">
        <f>IFERROR(INDEX(RBYTD[Rush Yds],MATCH(RBmatchups[Name],RBYTD[Player],0)),"0")</f>
        <v>203</v>
      </c>
      <c r="I16" s="191">
        <f>IFERROR(INDEX(RBYTD[Rush TD],MATCH(RBmatchups[Name],RBYTD[Player],0)),"0")</f>
        <v>2</v>
      </c>
      <c r="J16" s="191">
        <f>IFERROR(INDEX(RBYTD[Rec],MATCH(RBmatchups[Name],RBYTD[Player],0)),"0")</f>
        <v>8</v>
      </c>
      <c r="K16" s="191">
        <f>IFERROR(INDEX(targettracker54[TTL],MATCH(RBmatchups[Name],targettracker54[Name],0)),"0")</f>
        <v>14</v>
      </c>
      <c r="L16" s="191">
        <f>IFERROR(INDEX(RBYTD[Rec Yds],MATCH(RBmatchups[Name],RBYTD[Player],0)),"0")</f>
        <v>70</v>
      </c>
      <c r="M16" s="411">
        <f>IFERROR(INDEX(RBYTD[Rec TD],MATCH(RBmatchups[Name],RBYTD[Player],0)),"0")</f>
        <v>1</v>
      </c>
      <c r="N16" s="441">
        <f>IFERROR(INDEX(Salaries[O/U],MATCH(RBmatchups[[#This Row],[Team]],Salaries[Team],0)),"")</f>
        <v>44</v>
      </c>
      <c r="O16" s="189">
        <f>IFERROR(INDEX(Salaries[Team O/U],MATCH(RBmatchups[[#This Row],[Team]],Salaries[Team],0)),"")</f>
        <v>23.5</v>
      </c>
      <c r="P16" s="442">
        <f>IFERROR(INDEX(Salaries[Spread],MATCH(RBmatchups[[#This Row],[Team]],Salaries[Team],0)),"")</f>
        <v>-3</v>
      </c>
      <c r="Q16" s="424">
        <f>IFERROR(INDEX(HBallowed[DVP],MATCH(RBmatchups[[#This Row],[Opp]],HBallowed[Team],0)),IFERROR(INDEX(HBallowed[DVP],MATCH(RBmatchups[[#This Row],[Opp]],HBallowed[Opp],0)),""))</f>
        <v>14</v>
      </c>
      <c r="R16" s="441">
        <f>AVERAGE(RBmatchups[[#This Row],[Car1]:[Car3]])</f>
        <v>17.553000000000001</v>
      </c>
      <c r="S16" s="190">
        <f>AVERAGE(RBmatchups[[#This Row],[Yards1]:[Yards3]])</f>
        <v>75.565666666666672</v>
      </c>
      <c r="T16" s="189">
        <f>SUM(RBmatchups[[#This Row],[Yards]]/RBmatchups[[#This Row],[Carries2]])</f>
        <v>4.3050000949505307</v>
      </c>
      <c r="U16" s="189">
        <f>AVERAGE(RBmatchups[[#This Row],[TD1]:[TD3]])</f>
        <v>0.53200000000000003</v>
      </c>
      <c r="V16" s="189">
        <f>AVERAGE(RBmatchups[[#This Row],[Tar1]:[Tar3]])</f>
        <v>3.4</v>
      </c>
      <c r="W16" s="189">
        <f>AVERAGE(RBmatchups[[#This Row],[Rec1]:[Rec3]])</f>
        <v>2.7546666666666666</v>
      </c>
      <c r="X16" s="189">
        <f>AVERAGE(RBmatchups[[#This Row],[RecYards1]:[RecYards3]])</f>
        <v>21.446333333333332</v>
      </c>
      <c r="Y16" s="189">
        <f>AVERAGE(RBmatchups[[#This Row],[RecTD1]:[RecTd3]])</f>
        <v>0.124</v>
      </c>
      <c r="Z16" s="190">
        <f>SUM(RBmatchups[[#This Row],[Carries2]]+RBmatchups[[#This Row],[Rec4]])</f>
        <v>20.307666666666666</v>
      </c>
      <c r="AA16" s="189">
        <f>SUM(RBmatchups[[#This Row],[Yards]]+RBmatchups[[#This Row],[RecYards]])</f>
        <v>97.012</v>
      </c>
      <c r="AB16" s="189">
        <f>SUM(RBmatchups[[#This Row],[TD]]+RBmatchups[[#This Row],[RecTD5]])</f>
        <v>0.65600000000000003</v>
      </c>
      <c r="AC16" s="191">
        <f>_xlfn.RANK.EQ(RBmatchups[Projection],RBmatchups[Projection],0)</f>
        <v>6</v>
      </c>
      <c r="AD16" s="189">
        <f>SUM(RBmatchups[[#This Row],[Total Yards]]*0.1)+(RBmatchups[[#This Row],[Rec4]]*1)+(RBmatchups[[#This Row],[Total TD]]*6)+(RBmatchups[[#This Row],[100+]])</f>
        <v>16.391866666666665</v>
      </c>
      <c r="AE16" s="191" t="e">
        <f>_xlfn.RANK.EQ(RBmatchups[[#This Row],[$/FP]],RBmatchups[$/FP],1)</f>
        <v>#VALUE!</v>
      </c>
      <c r="AF16" s="453">
        <f>SUM(RBmatchups[[#This Row],[Salary]]/RBmatchups[[#This Row],[Projection]])</f>
        <v>396.53812053132043</v>
      </c>
      <c r="AG16" s="448" t="e">
        <f>_xlfn.RANK.EQ(RBmatchups[[#This Row],[Average]],RBmatchups[Average],1)</f>
        <v>#VALUE!</v>
      </c>
      <c r="AH16" s="190" t="e">
        <f>AVERAGE(RBmatchups[[#This Row],[Proj Rank]],RBmatchups[[#This Row],[Value Rank]])</f>
        <v>#VALUE!</v>
      </c>
      <c r="AI16" s="214">
        <f>RBmatchups[[#This Row],[Salary]]/50000</f>
        <v>0.13</v>
      </c>
      <c r="AJ16" s="214"/>
      <c r="AK16" s="14">
        <f>IFERROR(INDEX(HBstats1[Rush Att],MATCH(RBmatchups[[#This Row],[Name]],HBstats1[Player],0)),"0")</f>
        <v>16.959</v>
      </c>
      <c r="AL16" s="14">
        <f>IFERROR(INDEX(HBstats2[Carries],MATCH(RBmatchups[[#This Row],[Name]],HBstats2[Player],0)),"0")</f>
        <v>17.5</v>
      </c>
      <c r="AM16" s="14">
        <f>IFERROR(INDEX(HBstats3[Carries],MATCH(RBmatchups[[#This Row],[Name]],HBstats3[Player],0)),"0")</f>
        <v>18.2</v>
      </c>
      <c r="AN16" s="14" t="str">
        <f>IFERROR(INDEX(HBallowed[Carries],MATCH(RBmatchups[[#This Row],[Opp]],HBallowed[Team],0)),"0")</f>
        <v>0</v>
      </c>
      <c r="AO16" s="14">
        <f>IFERROR(INDEX(HBstats1[Rush Yds],MATCH(RBmatchups[[#This Row],[Name]],HBstats1[Player],0)),"0")</f>
        <v>74.497</v>
      </c>
      <c r="AP16" s="14">
        <f>IFERROR(INDEX(HBstats2[RushYards],MATCH(RBmatchups[[#This Row],[Name]],HBstats2[Player],0)),"0")</f>
        <v>73</v>
      </c>
      <c r="AQ16" s="14">
        <f>IFERROR(INDEX(HBstats3[RushYards],MATCH(RBmatchups[[#This Row],[Name]],HBstats3[Player],0)),"0")</f>
        <v>79.2</v>
      </c>
      <c r="AR16" s="32" t="str">
        <f>IFERROR(INDEX(HBallowed[Yards],MATCH(RBmatchups[[#This Row],[Opp]],HBallowed[Team],0)),"0")</f>
        <v>0</v>
      </c>
      <c r="AS16" s="14">
        <f>IFERROR(INDEX(HBstats1[Rush TD],MATCH(RBmatchups[[#This Row],[Name]],HBstats1[Player],0)),"0")</f>
        <v>0.66400000000000003</v>
      </c>
      <c r="AT16" s="14" t="str">
        <f>IFERROR(INDEX(HBstats2[RushTD],MATCH(RBmatchups[[#This Row],[Name]],HBstats2[Player],0)),"0")</f>
        <v>0.5</v>
      </c>
      <c r="AU16" s="14">
        <f>IFERROR(INDEX(HBstats3[RushTD],MATCH(RBmatchups[[#This Row],[Name]],HBstats3[Player],0)),"0")</f>
        <v>0.4</v>
      </c>
      <c r="AV16" s="32" t="str">
        <f>IFERROR(INDEX(HBallowed[TD],MATCH(RBmatchups[[#This Row],[Opp]],HBallowed[Team],0)),"0")</f>
        <v>0</v>
      </c>
      <c r="AW16" s="32">
        <f>IFERROR(INDEX(HBstats3[Targets],MATCH(RBmatchups[[#This Row],[Name]],HBstats3[Player],0)),"0")</f>
        <v>3.4</v>
      </c>
      <c r="AX16" s="32" t="str">
        <f>IFERROR(INDEX(HBstats2[Targets],MATCH(RBmatchups[[#This Row],[Name]],HBstats2[Player],0)),"0")</f>
        <v>0</v>
      </c>
      <c r="AY16" s="32">
        <f>IFERROR(INDEX(HBstats3[Targets],MATCH(RBmatchups[[#This Row],[Name]],HBstats3[Player],0)),"0")</f>
        <v>3.4</v>
      </c>
      <c r="AZ16" s="14">
        <f>IFERROR(INDEX(HBstats1[Rec],MATCH(RBmatchups[[#This Row],[Name]],HBstats1[Player],0)),"0")</f>
        <v>2.8639999999999999</v>
      </c>
      <c r="BA16" s="14">
        <f>IFERROR(INDEX(HBstats2[Rec],MATCH(RBmatchups[[#This Row],[Name]],HBstats2[Player],0)),"0")</f>
        <v>2.8</v>
      </c>
      <c r="BB16" s="14">
        <f>IFERROR(INDEX(HBstats3[Rec],MATCH(RBmatchups[[#This Row],[Name]],HBstats3[Player],0)),"0")</f>
        <v>2.6</v>
      </c>
      <c r="BC16" s="32" t="str">
        <f>IFERROR(INDEX(HBallowed[Rec],MATCH(RBmatchups[[#This Row],[Opp]],HBallowed[Team],0)),"0")</f>
        <v>0</v>
      </c>
      <c r="BD16" s="14">
        <f>IFERROR(INDEX(HBstats1[Rec Yds],MATCH(RBmatchups[[#This Row],[Name]],HBstats1[Player],0)),"0")</f>
        <v>24.138999999999999</v>
      </c>
      <c r="BE16" s="14">
        <f>IFERROR(INDEX(HBstats2[RecYards],MATCH(RBmatchups[[#This Row],[Name]],HBstats2[Player],0)),"0")</f>
        <v>18.8</v>
      </c>
      <c r="BF16" s="14">
        <f>IFERROR(INDEX(HBstats3[RecYards],MATCH(RBmatchups[[#This Row],[Name]],HBstats3[Player],0)),"0")</f>
        <v>21.4</v>
      </c>
      <c r="BG16" s="32" t="str">
        <f>IFERROR(INDEX(HBallowed[RecYards],MATCH(RBmatchups[[#This Row],[Opp]],HBallowed[Team],0)),"0")</f>
        <v>0</v>
      </c>
      <c r="BH16" s="14">
        <f>IFERROR(INDEX(HBstats1[Rec TD],MATCH(RBmatchups[[#This Row],[Name]],HBstats1[Player],0)),"0")</f>
        <v>0.14799999999999999</v>
      </c>
      <c r="BI16" s="14" t="str">
        <f>IFERROR(INDEX(HBstats2[RecTD],MATCH(RBmatchups[[#This Row],[Name]],HBstats2[Player],0)),"0")</f>
        <v>0</v>
      </c>
      <c r="BJ16" s="14">
        <f>IFERROR(INDEX(HBstats3[RecTD],MATCH(RBmatchups[[#This Row],[Name]],HBstats3[Player],0)),"0")</f>
        <v>0.1</v>
      </c>
      <c r="BK16" s="32" t="str">
        <f>IFERROR(INDEX(HBallowed[RecTD],MATCH(RBmatchups[[#This Row],[Opp]],HBallowed[Team],0)),"0")</f>
        <v>0</v>
      </c>
      <c r="BL16" s="268">
        <f>IF(RBmatchups[[#This Row],[Yards]]&gt;=100,3,0)</f>
        <v>0</v>
      </c>
    </row>
    <row r="17" spans="1:64" x14ac:dyDescent="0.3">
      <c r="A17" s="37">
        <f>HBstats1!AL6</f>
        <v>15.5</v>
      </c>
      <c r="B17" s="153" t="str">
        <f>HBstats1!D6</f>
        <v>Ezekiel Elliott</v>
      </c>
      <c r="C17" s="154">
        <f>IFERROR(INDEX(Salaries[DraftKings (Price)],MATCH(RBmatchups[[#This Row],[Name]],Salaries[Player],0)),"")</f>
        <v>6900</v>
      </c>
      <c r="D17" s="154">
        <f>IFERROR(INDEX(DK_Salary_Changes[WeekChange],MATCH(RBmatchups[[#This Row],[Name]],DK_Salary_Changes[Player],0)),"")</f>
        <v>0</v>
      </c>
      <c r="E17" s="154" t="str">
        <f>IFERROR(INDEX(Salaries[Team],MATCH(RBmatchups[[#This Row],[Name]],Salaries[Player],0)),"")</f>
        <v>DAL</v>
      </c>
      <c r="F17" s="189" t="str">
        <f>IFERROR(INDEX(Salaries[Opp],MATCH(RBmatchups[[#This Row],[Team]],Salaries[Team],0)),"")</f>
        <v>@SF</v>
      </c>
      <c r="G17" s="410">
        <f>IFERROR(INDEX(RBYTD[Rush ATT],MATCH(RBmatchups[Name],RBYTD[Player],0)),"0")</f>
        <v>71</v>
      </c>
      <c r="H17" s="191">
        <f>IFERROR(INDEX(RBYTD[Rush Yds],MATCH(RBmatchups[Name],RBYTD[Player],0)),"0")</f>
        <v>274</v>
      </c>
      <c r="I17" s="191">
        <f>IFERROR(INDEX(RBYTD[Rush TD],MATCH(RBmatchups[Name],RBYTD[Player],0)),"0")</f>
        <v>2</v>
      </c>
      <c r="J17" s="191">
        <f>IFERROR(INDEX(RBYTD[Rec],MATCH(RBmatchups[Name],RBYTD[Player],0)),"0")</f>
        <v>5</v>
      </c>
      <c r="K17" s="191">
        <f>IFERROR(INDEX(targettracker54[TTL],MATCH(RBmatchups[Name],targettracker54[Name],0)),"0")</f>
        <v>6</v>
      </c>
      <c r="L17" s="191">
        <f>IFERROR(INDEX(RBYTD[Rec Yds],MATCH(RBmatchups[Name],RBYTD[Player],0)),"0")</f>
        <v>25</v>
      </c>
      <c r="M17" s="411">
        <f>IFERROR(INDEX(RBYTD[Rec TD],MATCH(RBmatchups[Name],RBYTD[Player],0)),"0")</f>
        <v>0</v>
      </c>
      <c r="N17" s="441">
        <f>IFERROR(INDEX(Salaries[O/U],MATCH(RBmatchups[[#This Row],[Team]],Salaries[Team],0)),"")</f>
        <v>46</v>
      </c>
      <c r="O17" s="189">
        <f>IFERROR(INDEX(Salaries[Team O/U],MATCH(RBmatchups[[#This Row],[Team]],Salaries[Team],0)),"")</f>
        <v>24.5</v>
      </c>
      <c r="P17" s="442">
        <f>IFERROR(INDEX(Salaries[Spread],MATCH(RBmatchups[[#This Row],[Team]],Salaries[Team],0)),"")</f>
        <v>-3</v>
      </c>
      <c r="Q17" s="424">
        <f>IFERROR(INDEX(HBallowed[DVP],MATCH(RBmatchups[[#This Row],[Opp]],HBallowed[Team],0)),IFERROR(INDEX(HBallowed[DVP],MATCH(RBmatchups[[#This Row],[Opp]],HBallowed[Opp],0)),""))</f>
        <v>30</v>
      </c>
      <c r="R17" s="441">
        <f>AVERAGE(RBmatchups[[#This Row],[Car1]:[Car3]])</f>
        <v>19.796333333333333</v>
      </c>
      <c r="S17" s="190">
        <f>AVERAGE(RBmatchups[[#This Row],[Yards1]:[Yards3]])</f>
        <v>86.165333333333322</v>
      </c>
      <c r="T17" s="189">
        <f>SUM(RBmatchups[[#This Row],[Yards]]/RBmatchups[[#This Row],[Carries2]])</f>
        <v>4.3525905470710056</v>
      </c>
      <c r="U17" s="189">
        <f>AVERAGE(RBmatchups[[#This Row],[TD1]:[TD3]])</f>
        <v>0.57050000000000001</v>
      </c>
      <c r="V17" s="189">
        <f>AVERAGE(RBmatchups[[#This Row],[Tar1]:[Tar3]])</f>
        <v>2.4</v>
      </c>
      <c r="W17" s="189">
        <f>AVERAGE(RBmatchups[[#This Row],[Rec1]:[Rec3]])</f>
        <v>2.202666666666667</v>
      </c>
      <c r="X17" s="189">
        <f>AVERAGE(RBmatchups[[#This Row],[RecYards1]:[RecYards3]])</f>
        <v>15.461333333333334</v>
      </c>
      <c r="Y17" s="189">
        <f>AVERAGE(RBmatchups[[#This Row],[RecTD1]:[RecTd3]])</f>
        <v>8.0500000000000002E-2</v>
      </c>
      <c r="Z17" s="190">
        <f>SUM(RBmatchups[[#This Row],[Carries2]]+RBmatchups[[#This Row],[Rec4]])</f>
        <v>21.998999999999999</v>
      </c>
      <c r="AA17" s="189">
        <f>SUM(RBmatchups[[#This Row],[Yards]]+RBmatchups[[#This Row],[RecYards]])</f>
        <v>101.62666666666665</v>
      </c>
      <c r="AB17" s="189">
        <f>SUM(RBmatchups[[#This Row],[TD]]+RBmatchups[[#This Row],[RecTD5]])</f>
        <v>0.65100000000000002</v>
      </c>
      <c r="AC17" s="191">
        <f>_xlfn.RANK.EQ(RBmatchups[Projection],RBmatchups[Projection],0)</f>
        <v>7</v>
      </c>
      <c r="AD17" s="189">
        <f>SUM(RBmatchups[[#This Row],[Total Yards]]*0.1)+(RBmatchups[[#This Row],[Rec4]]*1)+(RBmatchups[[#This Row],[Total TD]]*6)+(RBmatchups[[#This Row],[100+]])</f>
        <v>16.271333333333335</v>
      </c>
      <c r="AE17" s="191" t="e">
        <f>_xlfn.RANK.EQ(RBmatchups[[#This Row],[$/FP]],RBmatchups[$/FP],1)</f>
        <v>#VALUE!</v>
      </c>
      <c r="AF17" s="453">
        <f>SUM(RBmatchups[[#This Row],[Salary]]/RBmatchups[[#This Row],[Projection]])</f>
        <v>424.05867169254719</v>
      </c>
      <c r="AG17" s="448" t="e">
        <f>_xlfn.RANK.EQ(RBmatchups[[#This Row],[Average]],RBmatchups[Average],1)</f>
        <v>#VALUE!</v>
      </c>
      <c r="AH17" s="190" t="e">
        <f>AVERAGE(RBmatchups[[#This Row],[Proj Rank]],RBmatchups[[#This Row],[Value Rank]])</f>
        <v>#VALUE!</v>
      </c>
      <c r="AI17" s="214">
        <f>RBmatchups[[#This Row],[Salary]]/50000</f>
        <v>0.13800000000000001</v>
      </c>
      <c r="AJ17" s="214"/>
      <c r="AK17" s="14">
        <f>IFERROR(INDEX(HBstats1[Rush Att],MATCH(RBmatchups[[#This Row],[Name]],HBstats1[Player],0)),"0")</f>
        <v>21.689</v>
      </c>
      <c r="AL17" s="14">
        <f>IFERROR(INDEX(HBstats2[Carries],MATCH(RBmatchups[[#This Row],[Name]],HBstats2[Player],0)),"0")</f>
        <v>18.2</v>
      </c>
      <c r="AM17" s="14">
        <f>IFERROR(INDEX(HBstats3[Carries],MATCH(RBmatchups[[#This Row],[Name]],HBstats3[Player],0)),"0")</f>
        <v>19.5</v>
      </c>
      <c r="AN17" s="14" t="str">
        <f>IFERROR(INDEX(HBallowed[Carries],MATCH(RBmatchups[[#This Row],[Opp]],HBallowed[Team],0)),"0")</f>
        <v>0</v>
      </c>
      <c r="AO17" s="14">
        <f>IFERROR(INDEX(HBstats1[Rush Yds],MATCH(RBmatchups[[#This Row],[Name]],HBstats1[Player],0)),"0")</f>
        <v>92.096000000000004</v>
      </c>
      <c r="AP17" s="14">
        <f>IFERROR(INDEX(HBstats2[RushYards],MATCH(RBmatchups[[#This Row],[Name]],HBstats2[Player],0)),"0")</f>
        <v>81.5</v>
      </c>
      <c r="AQ17" s="14">
        <f>IFERROR(INDEX(HBstats3[RushYards],MATCH(RBmatchups[[#This Row],[Name]],HBstats3[Player],0)),"0")</f>
        <v>84.9</v>
      </c>
      <c r="AR17" s="32" t="str">
        <f>IFERROR(INDEX(HBallowed[Yards],MATCH(RBmatchups[[#This Row],[Opp]],HBallowed[Team],0)),"0")</f>
        <v>0</v>
      </c>
      <c r="AS17" s="14">
        <f>IFERROR(INDEX(HBstats1[Rush TD],MATCH(RBmatchups[[#This Row],[Name]],HBstats1[Player],0)),"0")</f>
        <v>0.64100000000000001</v>
      </c>
      <c r="AT17" s="14" t="str">
        <f>IFERROR(INDEX(HBstats2[RushTD],MATCH(RBmatchups[[#This Row],[Name]],HBstats2[Player],0)),"0")</f>
        <v>0.6</v>
      </c>
      <c r="AU17" s="14">
        <f>IFERROR(INDEX(HBstats3[RushTD],MATCH(RBmatchups[[#This Row],[Name]],HBstats3[Player],0)),"0")</f>
        <v>0.5</v>
      </c>
      <c r="AV17" s="32" t="str">
        <f>IFERROR(INDEX(HBallowed[TD],MATCH(RBmatchups[[#This Row],[Opp]],HBallowed[Team],0)),"0")</f>
        <v>0</v>
      </c>
      <c r="AW17" s="32">
        <f>IFERROR(INDEX(HBstats3[Targets],MATCH(RBmatchups[[#This Row],[Name]],HBstats3[Player],0)),"0")</f>
        <v>2.4</v>
      </c>
      <c r="AX17" s="32" t="str">
        <f>IFERROR(INDEX(HBstats2[Targets],MATCH(RBmatchups[[#This Row],[Name]],HBstats2[Player],0)),"0")</f>
        <v>0</v>
      </c>
      <c r="AY17" s="32">
        <f>IFERROR(INDEX(HBstats3[Targets],MATCH(RBmatchups[[#This Row],[Name]],HBstats3[Player],0)),"0")</f>
        <v>2.4</v>
      </c>
      <c r="AZ17" s="14">
        <f>IFERROR(INDEX(HBstats1[Rec],MATCH(RBmatchups[[#This Row],[Name]],HBstats1[Player],0)),"0")</f>
        <v>2.1080000000000001</v>
      </c>
      <c r="BA17" s="14">
        <f>IFERROR(INDEX(HBstats2[Rec],MATCH(RBmatchups[[#This Row],[Name]],HBstats2[Player],0)),"0")</f>
        <v>2.6</v>
      </c>
      <c r="BB17" s="14">
        <f>IFERROR(INDEX(HBstats3[Rec],MATCH(RBmatchups[[#This Row],[Name]],HBstats3[Player],0)),"0")</f>
        <v>1.9</v>
      </c>
      <c r="BC17" s="32" t="str">
        <f>IFERROR(INDEX(HBallowed[Rec],MATCH(RBmatchups[[#This Row],[Opp]],HBallowed[Team],0)),"0")</f>
        <v>0</v>
      </c>
      <c r="BD17" s="14">
        <f>IFERROR(INDEX(HBstats1[Rec Yds],MATCH(RBmatchups[[#This Row],[Name]],HBstats1[Player],0)),"0")</f>
        <v>14.584</v>
      </c>
      <c r="BE17" s="14">
        <f>IFERROR(INDEX(HBstats2[RecYards],MATCH(RBmatchups[[#This Row],[Name]],HBstats2[Player],0)),"0")</f>
        <v>15.8</v>
      </c>
      <c r="BF17" s="14">
        <f>IFERROR(INDEX(HBstats3[RecYards],MATCH(RBmatchups[[#This Row],[Name]],HBstats3[Player],0)),"0")</f>
        <v>16</v>
      </c>
      <c r="BG17" s="32" t="str">
        <f>IFERROR(INDEX(HBallowed[RecYards],MATCH(RBmatchups[[#This Row],[Opp]],HBallowed[Team],0)),"0")</f>
        <v>0</v>
      </c>
      <c r="BH17" s="14">
        <f>IFERROR(INDEX(HBstats1[Rec TD],MATCH(RBmatchups[[#This Row],[Name]],HBstats1[Player],0)),"0")</f>
        <v>6.0999999999999999E-2</v>
      </c>
      <c r="BI17" s="14" t="str">
        <f>IFERROR(INDEX(HBstats2[RecTD],MATCH(RBmatchups[[#This Row],[Name]],HBstats2[Player],0)),"0")</f>
        <v>0</v>
      </c>
      <c r="BJ17" s="14">
        <f>IFERROR(INDEX(HBstats3[RecTD],MATCH(RBmatchups[[#This Row],[Name]],HBstats3[Player],0)),"0")</f>
        <v>0.1</v>
      </c>
      <c r="BK17" s="32" t="str">
        <f>IFERROR(INDEX(HBallowed[RecTD],MATCH(RBmatchups[[#This Row],[Opp]],HBallowed[Team],0)),"0")</f>
        <v>0</v>
      </c>
      <c r="BL17" s="268">
        <f>IF(RBmatchups[[#This Row],[Yards]]&gt;=100,3,0)</f>
        <v>0</v>
      </c>
    </row>
    <row r="18" spans="1:64" x14ac:dyDescent="0.3">
      <c r="A18" s="37">
        <f>HBstats1!AL9</f>
        <v>14.9</v>
      </c>
      <c r="B18" s="153" t="str">
        <f>HBstats1!D9</f>
        <v>DeMarco Murray</v>
      </c>
      <c r="C18" s="154">
        <f>IFERROR(INDEX(Salaries[DraftKings (Price)],MATCH(RBmatchups[[#This Row],[Name]],Salaries[Player],0)),"")</f>
        <v>6800</v>
      </c>
      <c r="D18" s="154">
        <f>IFERROR(INDEX(DK_Salary_Changes[WeekChange],MATCH(RBmatchups[[#This Row],[Name]],DK_Salary_Changes[Player],0)),"")</f>
        <v>500</v>
      </c>
      <c r="E18" s="154" t="str">
        <f>IFERROR(INDEX(Salaries[Team],MATCH(RBmatchups[[#This Row],[Name]],Salaries[Player],0)),"")</f>
        <v>TEN</v>
      </c>
      <c r="F18" s="189" t="str">
        <f>IFERROR(INDEX(Salaries[Opp],MATCH(RBmatchups[[#This Row],[Team]],Salaries[Team],0)),"")</f>
        <v>@HOU</v>
      </c>
      <c r="G18" s="410">
        <f>IFERROR(INDEX(RBYTD[Rush ATT],MATCH(RBmatchups[Name],RBYTD[Player],0)),"0")</f>
        <v>41</v>
      </c>
      <c r="H18" s="191">
        <f>IFERROR(INDEX(RBYTD[Rush Yds],MATCH(RBmatchups[Name],RBYTD[Player],0)),"0")</f>
        <v>245</v>
      </c>
      <c r="I18" s="191">
        <f>IFERROR(INDEX(RBYTD[Rush TD],MATCH(RBmatchups[Name],RBYTD[Player],0)),"0")</f>
        <v>1</v>
      </c>
      <c r="J18" s="191">
        <f>IFERROR(INDEX(RBYTD[Rec],MATCH(RBmatchups[Name],RBYTD[Player],0)),"0")</f>
        <v>17</v>
      </c>
      <c r="K18" s="191">
        <f>IFERROR(INDEX(targettracker54[TTL],MATCH(RBmatchups[Name],targettracker54[Name],0)),"0")</f>
        <v>19</v>
      </c>
      <c r="L18" s="191">
        <f>IFERROR(INDEX(RBYTD[Rec Yds],MATCH(RBmatchups[Name],RBYTD[Player],0)),"0")</f>
        <v>132</v>
      </c>
      <c r="M18" s="411">
        <f>IFERROR(INDEX(RBYTD[Rec TD],MATCH(RBmatchups[Name],RBYTD[Player],0)),"0")</f>
        <v>2</v>
      </c>
      <c r="N18" s="441">
        <f>IFERROR(INDEX(Salaries[O/U],MATCH(RBmatchups[[#This Row],[Team]],Salaries[Team],0)),"")</f>
        <v>40.5</v>
      </c>
      <c r="O18" s="189">
        <f>IFERROR(INDEX(Salaries[Team O/U],MATCH(RBmatchups[[#This Row],[Team]],Salaries[Team],0)),"")</f>
        <v>17</v>
      </c>
      <c r="P18" s="442">
        <f>IFERROR(INDEX(Salaries[Spread],MATCH(RBmatchups[[#This Row],[Team]],Salaries[Team],0)),"")</f>
        <v>6.5</v>
      </c>
      <c r="Q18" s="424">
        <f>IFERROR(INDEX(HBallowed[DVP],MATCH(RBmatchups[[#This Row],[Opp]],HBallowed[Team],0)),IFERROR(INDEX(HBallowed[DVP],MATCH(RBmatchups[[#This Row],[Opp]],HBallowed[Opp],0)),""))</f>
        <v>10</v>
      </c>
      <c r="R18" s="441">
        <f>AVERAGE(RBmatchups[[#This Row],[Car1]:[Car3]])</f>
        <v>15.696999999999997</v>
      </c>
      <c r="S18" s="190">
        <f>AVERAGE(RBmatchups[[#This Row],[Yards1]:[Yards3]])</f>
        <v>64.456000000000003</v>
      </c>
      <c r="T18" s="189">
        <f>SUM(RBmatchups[[#This Row],[Yards]]/RBmatchups[[#This Row],[Carries2]])</f>
        <v>4.1062623431228902</v>
      </c>
      <c r="U18" s="189">
        <f>AVERAGE(RBmatchups[[#This Row],[TD1]:[TD3]])</f>
        <v>0.40500000000000003</v>
      </c>
      <c r="V18" s="189">
        <f>AVERAGE(RBmatchups[[#This Row],[Tar1]:[Tar3]])</f>
        <v>3.9</v>
      </c>
      <c r="W18" s="189">
        <f>AVERAGE(RBmatchups[[#This Row],[Rec1]:[Rec3]])</f>
        <v>3.5946666666666665</v>
      </c>
      <c r="X18" s="189">
        <f>AVERAGE(RBmatchups[[#This Row],[RecYards1]:[RecYards3]])</f>
        <v>29.918333333333333</v>
      </c>
      <c r="Y18" s="189">
        <f>AVERAGE(RBmatchups[[#This Row],[RecTD1]:[RecTd3]])</f>
        <v>0.109</v>
      </c>
      <c r="Z18" s="190">
        <f>SUM(RBmatchups[[#This Row],[Carries2]]+RBmatchups[[#This Row],[Rec4]])</f>
        <v>19.291666666666664</v>
      </c>
      <c r="AA18" s="189">
        <f>SUM(RBmatchups[[#This Row],[Yards]]+RBmatchups[[#This Row],[RecYards]])</f>
        <v>94.37433333333334</v>
      </c>
      <c r="AB18" s="189">
        <f>SUM(RBmatchups[[#This Row],[TD]]+RBmatchups[[#This Row],[RecTD5]])</f>
        <v>0.51400000000000001</v>
      </c>
      <c r="AC18" s="191">
        <f>_xlfn.RANK.EQ(RBmatchups[Projection],RBmatchups[Projection],0)</f>
        <v>8</v>
      </c>
      <c r="AD18" s="189">
        <f>SUM(RBmatchups[[#This Row],[Total Yards]]*0.1)+(RBmatchups[[#This Row],[Rec4]]*1)+(RBmatchups[[#This Row],[Total TD]]*6)+(RBmatchups[[#This Row],[100+]])</f>
        <v>16.116100000000003</v>
      </c>
      <c r="AE18" s="191" t="e">
        <f>_xlfn.RANK.EQ(RBmatchups[[#This Row],[$/FP]],RBmatchups[$/FP],1)</f>
        <v>#VALUE!</v>
      </c>
      <c r="AF18" s="453">
        <f>SUM(RBmatchups[[#This Row],[Salary]]/RBmatchups[[#This Row],[Projection]])</f>
        <v>421.93831013706784</v>
      </c>
      <c r="AG18" s="448" t="e">
        <f>_xlfn.RANK.EQ(RBmatchups[[#This Row],[Average]],RBmatchups[Average],1)</f>
        <v>#VALUE!</v>
      </c>
      <c r="AH18" s="190" t="e">
        <f>AVERAGE(RBmatchups[[#This Row],[Proj Rank]],RBmatchups[[#This Row],[Value Rank]])</f>
        <v>#VALUE!</v>
      </c>
      <c r="AI18" s="214">
        <f>RBmatchups[[#This Row],[Salary]]/50000</f>
        <v>0.13600000000000001</v>
      </c>
      <c r="AJ18" s="214"/>
      <c r="AK18" s="14">
        <f>IFERROR(INDEX(HBstats1[Rush Att],MATCH(RBmatchups[[#This Row],[Name]],HBstats1[Player],0)),"0")</f>
        <v>18.091000000000001</v>
      </c>
      <c r="AL18" s="14">
        <f>IFERROR(INDEX(HBstats2[Carries],MATCH(RBmatchups[[#This Row],[Name]],HBstats2[Player],0)),"0")</f>
        <v>15.2</v>
      </c>
      <c r="AM18" s="14">
        <f>IFERROR(INDEX(HBstats3[Carries],MATCH(RBmatchups[[#This Row],[Name]],HBstats3[Player],0)),"0")</f>
        <v>13.8</v>
      </c>
      <c r="AN18" s="14" t="str">
        <f>IFERROR(INDEX(HBallowed[Carries],MATCH(RBmatchups[[#This Row],[Opp]],HBallowed[Team],0)),"0")</f>
        <v>0</v>
      </c>
      <c r="AO18" s="14">
        <f>IFERROR(INDEX(HBstats1[Rush Yds],MATCH(RBmatchups[[#This Row],[Name]],HBstats1[Player],0)),"0")</f>
        <v>73.468000000000004</v>
      </c>
      <c r="AP18" s="14">
        <f>IFERROR(INDEX(HBstats2[RushYards],MATCH(RBmatchups[[#This Row],[Name]],HBstats2[Player],0)),"0")</f>
        <v>58.6</v>
      </c>
      <c r="AQ18" s="14">
        <f>IFERROR(INDEX(HBstats3[RushYards],MATCH(RBmatchups[[#This Row],[Name]],HBstats3[Player],0)),"0")</f>
        <v>61.3</v>
      </c>
      <c r="AR18" s="32" t="str">
        <f>IFERROR(INDEX(HBallowed[Yards],MATCH(RBmatchups[[#This Row],[Opp]],HBallowed[Team],0)),"0")</f>
        <v>0</v>
      </c>
      <c r="AS18" s="14">
        <f>IFERROR(INDEX(HBstats1[Rush TD],MATCH(RBmatchups[[#This Row],[Name]],HBstats1[Player],0)),"0")</f>
        <v>0.41</v>
      </c>
      <c r="AT18" s="14" t="str">
        <f>IFERROR(INDEX(HBstats2[RushTD],MATCH(RBmatchups[[#This Row],[Name]],HBstats2[Player],0)),"0")</f>
        <v>0.2</v>
      </c>
      <c r="AU18" s="14">
        <f>IFERROR(INDEX(HBstats3[RushTD],MATCH(RBmatchups[[#This Row],[Name]],HBstats3[Player],0)),"0")</f>
        <v>0.4</v>
      </c>
      <c r="AV18" s="32" t="str">
        <f>IFERROR(INDEX(HBallowed[TD],MATCH(RBmatchups[[#This Row],[Opp]],HBallowed[Team],0)),"0")</f>
        <v>0</v>
      </c>
      <c r="AW18" s="32">
        <f>IFERROR(INDEX(HBstats3[Targets],MATCH(RBmatchups[[#This Row],[Name]],HBstats3[Player],0)),"0")</f>
        <v>3.9</v>
      </c>
      <c r="AX18" s="32" t="str">
        <f>IFERROR(INDEX(HBstats2[Targets],MATCH(RBmatchups[[#This Row],[Name]],HBstats2[Player],0)),"0")</f>
        <v>0</v>
      </c>
      <c r="AY18" s="32">
        <f>IFERROR(INDEX(HBstats3[Targets],MATCH(RBmatchups[[#This Row],[Name]],HBstats3[Player],0)),"0")</f>
        <v>3.9</v>
      </c>
      <c r="AZ18" s="14">
        <f>IFERROR(INDEX(HBstats1[Rec],MATCH(RBmatchups[[#This Row],[Name]],HBstats1[Player],0)),"0")</f>
        <v>3.2839999999999998</v>
      </c>
      <c r="BA18" s="14">
        <f>IFERROR(INDEX(HBstats2[Rec],MATCH(RBmatchups[[#This Row],[Name]],HBstats2[Player],0)),"0")</f>
        <v>4.3</v>
      </c>
      <c r="BB18" s="14">
        <f>IFERROR(INDEX(HBstats3[Rec],MATCH(RBmatchups[[#This Row],[Name]],HBstats3[Player],0)),"0")</f>
        <v>3.2</v>
      </c>
      <c r="BC18" s="32" t="str">
        <f>IFERROR(INDEX(HBallowed[Rec],MATCH(RBmatchups[[#This Row],[Opp]],HBallowed[Team],0)),"0")</f>
        <v>0</v>
      </c>
      <c r="BD18" s="14">
        <f>IFERROR(INDEX(HBstats1[Rec Yds],MATCH(RBmatchups[[#This Row],[Name]],HBstats1[Player],0)),"0")</f>
        <v>32.155000000000001</v>
      </c>
      <c r="BE18" s="14">
        <f>IFERROR(INDEX(HBstats2[RecYards],MATCH(RBmatchups[[#This Row],[Name]],HBstats2[Player],0)),"0")</f>
        <v>32.799999999999997</v>
      </c>
      <c r="BF18" s="14">
        <f>IFERROR(INDEX(HBstats3[RecYards],MATCH(RBmatchups[[#This Row],[Name]],HBstats3[Player],0)),"0")</f>
        <v>24.8</v>
      </c>
      <c r="BG18" s="32" t="str">
        <f>IFERROR(INDEX(HBallowed[RecYards],MATCH(RBmatchups[[#This Row],[Opp]],HBallowed[Team],0)),"0")</f>
        <v>0</v>
      </c>
      <c r="BH18" s="14">
        <f>IFERROR(INDEX(HBstats1[Rec TD],MATCH(RBmatchups[[#This Row],[Name]],HBstats1[Player],0)),"0")</f>
        <v>0.11799999999999999</v>
      </c>
      <c r="BI18" s="14" t="str">
        <f>IFERROR(INDEX(HBstats2[RecTD],MATCH(RBmatchups[[#This Row],[Name]],HBstats2[Player],0)),"0")</f>
        <v>0.1</v>
      </c>
      <c r="BJ18" s="14">
        <f>IFERROR(INDEX(HBstats3[RecTD],MATCH(RBmatchups[[#This Row],[Name]],HBstats3[Player],0)),"0")</f>
        <v>0.1</v>
      </c>
      <c r="BK18" s="32" t="str">
        <f>IFERROR(INDEX(HBallowed[RecTD],MATCH(RBmatchups[[#This Row],[Opp]],HBallowed[Team],0)),"0")</f>
        <v>0</v>
      </c>
      <c r="BL18" s="268">
        <f>IF(RBmatchups[[#This Row],[Yards]]&gt;=100,3,0)</f>
        <v>0</v>
      </c>
    </row>
    <row r="19" spans="1:64" x14ac:dyDescent="0.3">
      <c r="A19" s="37">
        <f>HBstats1!AL10</f>
        <v>15.1</v>
      </c>
      <c r="B19" s="153" t="str">
        <f>HBstats1!D10</f>
        <v>LeSean McCoy</v>
      </c>
      <c r="C19" s="154">
        <f>IFERROR(INDEX(Salaries[DraftKings (Price)],MATCH(RBmatchups[[#This Row],[Name]],Salaries[Player],0)),"")</f>
        <v>6700</v>
      </c>
      <c r="D19" s="154">
        <f>IFERROR(INDEX(DK_Salary_Changes[WeekChange],MATCH(RBmatchups[[#This Row],[Name]],DK_Salary_Changes[Player],0)),"")</f>
        <v>200</v>
      </c>
      <c r="E19" s="154" t="str">
        <f>IFERROR(INDEX(Salaries[Team],MATCH(RBmatchups[[#This Row],[Name]],Salaries[Player],0)),"")</f>
        <v>BUF</v>
      </c>
      <c r="F19" s="189" t="str">
        <f>IFERROR(INDEX(Salaries[Opp],MATCH(RBmatchups[[#This Row],[Team]],Salaries[Team],0)),"")</f>
        <v>@NE</v>
      </c>
      <c r="G19" s="410">
        <f>IFERROR(INDEX(RBYTD[Rush ATT],MATCH(RBmatchups[Name],RBYTD[Player],0)),"0")</f>
        <v>48</v>
      </c>
      <c r="H19" s="191">
        <f>IFERROR(INDEX(RBYTD[Rush Yds],MATCH(RBmatchups[Name],RBYTD[Player],0)),"0")</f>
        <v>227</v>
      </c>
      <c r="I19" s="191">
        <f>IFERROR(INDEX(RBYTD[Rush TD],MATCH(RBmatchups[Name],RBYTD[Player],0)),"0")</f>
        <v>3</v>
      </c>
      <c r="J19" s="191">
        <f>IFERROR(INDEX(RBYTD[Rec],MATCH(RBmatchups[Name],RBYTD[Player],0)),"0")</f>
        <v>11</v>
      </c>
      <c r="K19" s="191">
        <f>IFERROR(INDEX(targettracker54[TTL],MATCH(RBmatchups[Name],targettracker54[Name],0)),"0")</f>
        <v>13</v>
      </c>
      <c r="L19" s="191">
        <f>IFERROR(INDEX(RBYTD[Rec Yds],MATCH(RBmatchups[Name],RBYTD[Player],0)),"0")</f>
        <v>49</v>
      </c>
      <c r="M19" s="411">
        <f>IFERROR(INDEX(RBYTD[Rec TD],MATCH(RBmatchups[Name],RBYTD[Player],0)),"0")</f>
        <v>0</v>
      </c>
      <c r="N19" s="441">
        <f>IFERROR(INDEX(Salaries[O/U],MATCH(RBmatchups[[#This Row],[Team]],Salaries[Team],0)),"")</f>
        <v>44</v>
      </c>
      <c r="O19" s="189">
        <f>IFERROR(INDEX(Salaries[Team O/U],MATCH(RBmatchups[[#This Row],[Team]],Salaries[Team],0)),"")</f>
        <v>19.75</v>
      </c>
      <c r="P19" s="442">
        <f>IFERROR(INDEX(Salaries[Spread],MATCH(RBmatchups[[#This Row],[Team]],Salaries[Team],0)),"")</f>
        <v>4.5</v>
      </c>
      <c r="Q19" s="424">
        <f>IFERROR(INDEX(HBallowed[DVP],MATCH(RBmatchups[[#This Row],[Opp]],HBallowed[Team],0)),IFERROR(INDEX(HBallowed[DVP],MATCH(RBmatchups[[#This Row],[Opp]],HBallowed[Opp],0)),""))</f>
        <v>6</v>
      </c>
      <c r="R19" s="441">
        <f>AVERAGE(RBmatchups[[#This Row],[Car1]:[Car3]])</f>
        <v>16.651333333333334</v>
      </c>
      <c r="S19" s="190">
        <f>AVERAGE(RBmatchups[[#This Row],[Yards1]:[Yards3]])</f>
        <v>70.457999999999998</v>
      </c>
      <c r="T19" s="189">
        <f>SUM(RBmatchups[[#This Row],[Yards]]/RBmatchups[[#This Row],[Carries2]])</f>
        <v>4.2313728630339913</v>
      </c>
      <c r="U19" s="189">
        <f>AVERAGE(RBmatchups[[#This Row],[TD1]:[TD3]])</f>
        <v>0.53849999999999998</v>
      </c>
      <c r="V19" s="189">
        <f>AVERAGE(RBmatchups[[#This Row],[Tar1]:[Tar3]])</f>
        <v>3.7</v>
      </c>
      <c r="W19" s="189">
        <f>AVERAGE(RBmatchups[[#This Row],[Rec1]:[Rec3]])</f>
        <v>3.0316666666666667</v>
      </c>
      <c r="X19" s="189">
        <f>AVERAGE(RBmatchups[[#This Row],[RecYards1]:[RecYards3]])</f>
        <v>20.308333333333334</v>
      </c>
      <c r="Y19" s="189">
        <f>AVERAGE(RBmatchups[[#This Row],[RecTD1]:[RecTd3]])</f>
        <v>0.10250000000000001</v>
      </c>
      <c r="Z19" s="190">
        <f>SUM(RBmatchups[[#This Row],[Carries2]]+RBmatchups[[#This Row],[Rec4]])</f>
        <v>19.683</v>
      </c>
      <c r="AA19" s="189">
        <f>SUM(RBmatchups[[#This Row],[Yards]]+RBmatchups[[#This Row],[RecYards]])</f>
        <v>90.766333333333336</v>
      </c>
      <c r="AB19" s="189">
        <f>SUM(RBmatchups[[#This Row],[TD]]+RBmatchups[[#This Row],[RecTD5]])</f>
        <v>0.64100000000000001</v>
      </c>
      <c r="AC19" s="191">
        <f>_xlfn.RANK.EQ(RBmatchups[Projection],RBmatchups[Projection],0)</f>
        <v>9</v>
      </c>
      <c r="AD19" s="189">
        <f>SUM(RBmatchups[[#This Row],[Total Yards]]*0.1)+(RBmatchups[[#This Row],[Rec4]]*1)+(RBmatchups[[#This Row],[Total TD]]*6)+(RBmatchups[[#This Row],[100+]])</f>
        <v>15.9543</v>
      </c>
      <c r="AE19" s="191" t="e">
        <f>_xlfn.RANK.EQ(RBmatchups[[#This Row],[$/FP]],RBmatchups[$/FP],1)</f>
        <v>#VALUE!</v>
      </c>
      <c r="AF19" s="453">
        <f>SUM(RBmatchups[[#This Row],[Salary]]/RBmatchups[[#This Row],[Projection]])</f>
        <v>419.94948070426153</v>
      </c>
      <c r="AG19" s="448" t="e">
        <f>_xlfn.RANK.EQ(RBmatchups[[#This Row],[Average]],RBmatchups[Average],1)</f>
        <v>#VALUE!</v>
      </c>
      <c r="AH19" s="190" t="e">
        <f>AVERAGE(RBmatchups[[#This Row],[Proj Rank]],RBmatchups[[#This Row],[Value Rank]])</f>
        <v>#VALUE!</v>
      </c>
      <c r="AI19" s="214">
        <f>RBmatchups[[#This Row],[Salary]]/50000</f>
        <v>0.13400000000000001</v>
      </c>
      <c r="AJ19" s="214"/>
      <c r="AK19" s="14">
        <f>IFERROR(INDEX(HBstats1[Rush Att],MATCH(RBmatchups[[#This Row],[Name]],HBstats1[Player],0)),"0")</f>
        <v>17.553999999999998</v>
      </c>
      <c r="AL19" s="14">
        <f>IFERROR(INDEX(HBstats2[Carries],MATCH(RBmatchups[[#This Row],[Name]],HBstats2[Player],0)),"0")</f>
        <v>16.3</v>
      </c>
      <c r="AM19" s="14">
        <f>IFERROR(INDEX(HBstats3[Carries],MATCH(RBmatchups[[#This Row],[Name]],HBstats3[Player],0)),"0")</f>
        <v>16.100000000000001</v>
      </c>
      <c r="AN19" s="14" t="str">
        <f>IFERROR(INDEX(HBallowed[Carries],MATCH(RBmatchups[[#This Row],[Opp]],HBallowed[Team],0)),"0")</f>
        <v>0</v>
      </c>
      <c r="AO19" s="14">
        <f>IFERROR(INDEX(HBstats1[Rush Yds],MATCH(RBmatchups[[#This Row],[Name]],HBstats1[Player],0)),"0")</f>
        <v>68.373999999999995</v>
      </c>
      <c r="AP19" s="14">
        <f>IFERROR(INDEX(HBstats2[RushYards],MATCH(RBmatchups[[#This Row],[Name]],HBstats2[Player],0)),"0")</f>
        <v>72.099999999999994</v>
      </c>
      <c r="AQ19" s="14">
        <f>IFERROR(INDEX(HBstats3[RushYards],MATCH(RBmatchups[[#This Row],[Name]],HBstats3[Player],0)),"0")</f>
        <v>70.900000000000006</v>
      </c>
      <c r="AR19" s="32" t="str">
        <f>IFERROR(INDEX(HBallowed[Yards],MATCH(RBmatchups[[#This Row],[Opp]],HBallowed[Team],0)),"0")</f>
        <v>0</v>
      </c>
      <c r="AS19" s="14">
        <f>IFERROR(INDEX(HBstats1[Rush TD],MATCH(RBmatchups[[#This Row],[Name]],HBstats1[Player],0)),"0")</f>
        <v>0.57699999999999996</v>
      </c>
      <c r="AT19" s="14" t="str">
        <f>IFERROR(INDEX(HBstats2[RushTD],MATCH(RBmatchups[[#This Row],[Name]],HBstats2[Player],0)),"0")</f>
        <v>0.4</v>
      </c>
      <c r="AU19" s="14">
        <f>IFERROR(INDEX(HBstats3[RushTD],MATCH(RBmatchups[[#This Row],[Name]],HBstats3[Player],0)),"0")</f>
        <v>0.5</v>
      </c>
      <c r="AV19" s="32" t="str">
        <f>IFERROR(INDEX(HBallowed[TD],MATCH(RBmatchups[[#This Row],[Opp]],HBallowed[Team],0)),"0")</f>
        <v>0</v>
      </c>
      <c r="AW19" s="32">
        <f>IFERROR(INDEX(HBstats3[Targets],MATCH(RBmatchups[[#This Row],[Name]],HBstats3[Player],0)),"0")</f>
        <v>3.7</v>
      </c>
      <c r="AX19" s="32" t="str">
        <f>IFERROR(INDEX(HBstats2[Targets],MATCH(RBmatchups[[#This Row],[Name]],HBstats2[Player],0)),"0")</f>
        <v>0</v>
      </c>
      <c r="AY19" s="32">
        <f>IFERROR(INDEX(HBstats3[Targets],MATCH(RBmatchups[[#This Row],[Name]],HBstats3[Player],0)),"0")</f>
        <v>3.7</v>
      </c>
      <c r="AZ19" s="14">
        <f>IFERROR(INDEX(HBstats1[Rec],MATCH(RBmatchups[[#This Row],[Name]],HBstats1[Player],0)),"0")</f>
        <v>4.1950000000000003</v>
      </c>
      <c r="BA19" s="14">
        <f>IFERROR(INDEX(HBstats2[Rec],MATCH(RBmatchups[[#This Row],[Name]],HBstats2[Player],0)),"0")</f>
        <v>2.2999999999999998</v>
      </c>
      <c r="BB19" s="14">
        <f>IFERROR(INDEX(HBstats3[Rec],MATCH(RBmatchups[[#This Row],[Name]],HBstats3[Player],0)),"0")</f>
        <v>2.6</v>
      </c>
      <c r="BC19" s="32" t="str">
        <f>IFERROR(INDEX(HBallowed[Rec],MATCH(RBmatchups[[#This Row],[Opp]],HBallowed[Team],0)),"0")</f>
        <v>0</v>
      </c>
      <c r="BD19" s="14">
        <f>IFERROR(INDEX(HBstats1[Rec Yds],MATCH(RBmatchups[[#This Row],[Name]],HBstats1[Player],0)),"0")</f>
        <v>25.524999999999999</v>
      </c>
      <c r="BE19" s="14">
        <f>IFERROR(INDEX(HBstats2[RecYards],MATCH(RBmatchups[[#This Row],[Name]],HBstats2[Player],0)),"0")</f>
        <v>15.9</v>
      </c>
      <c r="BF19" s="14">
        <f>IFERROR(INDEX(HBstats3[RecYards],MATCH(RBmatchups[[#This Row],[Name]],HBstats3[Player],0)),"0")</f>
        <v>19.5</v>
      </c>
      <c r="BG19" s="32" t="str">
        <f>IFERROR(INDEX(HBallowed[RecYards],MATCH(RBmatchups[[#This Row],[Opp]],HBallowed[Team],0)),"0")</f>
        <v>0</v>
      </c>
      <c r="BH19" s="14">
        <f>IFERROR(INDEX(HBstats1[Rec TD],MATCH(RBmatchups[[#This Row],[Name]],HBstats1[Player],0)),"0")</f>
        <v>0.105</v>
      </c>
      <c r="BI19" s="14" t="str">
        <f>IFERROR(INDEX(HBstats2[RecTD],MATCH(RBmatchups[[#This Row],[Name]],HBstats2[Player],0)),"0")</f>
        <v>0.1</v>
      </c>
      <c r="BJ19" s="14">
        <f>IFERROR(INDEX(HBstats3[RecTD],MATCH(RBmatchups[[#This Row],[Name]],HBstats3[Player],0)),"0")</f>
        <v>0.1</v>
      </c>
      <c r="BK19" s="32" t="str">
        <f>IFERROR(INDEX(HBallowed[RecTD],MATCH(RBmatchups[[#This Row],[Opp]],HBallowed[Team],0)),"0")</f>
        <v>0</v>
      </c>
      <c r="BL19" s="268">
        <f>IF(RBmatchups[[#This Row],[Yards]]&gt;=100,3,0)</f>
        <v>0</v>
      </c>
    </row>
    <row r="20" spans="1:64" x14ac:dyDescent="0.3">
      <c r="A20" s="37">
        <f>HBstats1!AL15</f>
        <v>13.7</v>
      </c>
      <c r="B20" s="153" t="str">
        <f>HBstats1!D15</f>
        <v>Charles Sims</v>
      </c>
      <c r="C20" s="154">
        <f>IFERROR(INDEX(Salaries[DraftKings (Price)],MATCH(RBmatchups[[#This Row],[Name]],Salaries[Player],0)),"")</f>
        <v>5600</v>
      </c>
      <c r="D20" s="154">
        <f>IFERROR(INDEX(DK_Salary_Changes[WeekChange],MATCH(RBmatchups[[#This Row],[Name]],DK_Salary_Changes[Player],0)),"")</f>
        <v>700</v>
      </c>
      <c r="E20" s="154" t="str">
        <f>IFERROR(INDEX(Salaries[Team],MATCH(RBmatchups[[#This Row],[Name]],Salaries[Player],0)),"")</f>
        <v>TB</v>
      </c>
      <c r="F20" s="189" t="str">
        <f>IFERROR(INDEX(Salaries[Opp],MATCH(RBmatchups[[#This Row],[Team]],Salaries[Team],0)),"")</f>
        <v>DEN</v>
      </c>
      <c r="G20" s="410">
        <f>IFERROR(INDEX(RBYTD[Rush ATT],MATCH(RBmatchups[Name],RBYTD[Player],0)),"0")</f>
        <v>26</v>
      </c>
      <c r="H20" s="191">
        <f>IFERROR(INDEX(RBYTD[Rush Yds],MATCH(RBmatchups[Name],RBYTD[Player],0)),"0")</f>
        <v>88</v>
      </c>
      <c r="I20" s="191">
        <f>IFERROR(INDEX(RBYTD[Rush TD],MATCH(RBmatchups[Name],RBYTD[Player],0)),"0")</f>
        <v>1</v>
      </c>
      <c r="J20" s="191">
        <f>IFERROR(INDEX(RBYTD[Rec],MATCH(RBmatchups[Name],RBYTD[Player],0)),"0")</f>
        <v>12</v>
      </c>
      <c r="K20" s="191">
        <f>IFERROR(INDEX(targettracker54[TTL],MATCH(RBmatchups[Name],targettracker54[Name],0)),"0")</f>
        <v>16</v>
      </c>
      <c r="L20" s="191">
        <f>IFERROR(INDEX(RBYTD[Rec Yds],MATCH(RBmatchups[Name],RBYTD[Player],0)),"0")</f>
        <v>105</v>
      </c>
      <c r="M20" s="411">
        <f>IFERROR(INDEX(RBYTD[Rec TD],MATCH(RBmatchups[Name],RBYTD[Player],0)),"0")</f>
        <v>1</v>
      </c>
      <c r="N20" s="441">
        <f>IFERROR(INDEX(Salaries[O/U],MATCH(RBmatchups[[#This Row],[Team]],Salaries[Team],0)),"")</f>
        <v>44</v>
      </c>
      <c r="O20" s="189">
        <f>IFERROR(INDEX(Salaries[Team O/U],MATCH(RBmatchups[[#This Row],[Team]],Salaries[Team],0)),"")</f>
        <v>20.5</v>
      </c>
      <c r="P20" s="442">
        <f>IFERROR(INDEX(Salaries[Spread],MATCH(RBmatchups[[#This Row],[Team]],Salaries[Team],0)),"")</f>
        <v>3</v>
      </c>
      <c r="Q20" s="424">
        <f>IFERROR(INDEX(HBallowed[DVP],MATCH(RBmatchups[[#This Row],[Opp]],HBallowed[Team],0)),IFERROR(INDEX(HBallowed[DVP],MATCH(RBmatchups[[#This Row],[Opp]],HBallowed[Opp],0)),""))</f>
        <v>11</v>
      </c>
      <c r="R20" s="441">
        <f>AVERAGE(RBmatchups[[#This Row],[Car1]:[Car3]])</f>
        <v>13.800666666666666</v>
      </c>
      <c r="S20" s="190">
        <f>AVERAGE(RBmatchups[[#This Row],[Yards1]:[Yards3]])</f>
        <v>56.566333333333326</v>
      </c>
      <c r="T20" s="189">
        <f>SUM(RBmatchups[[#This Row],[Yards]]/RBmatchups[[#This Row],[Carries2]])</f>
        <v>4.0988116516110331</v>
      </c>
      <c r="U20" s="189">
        <f>AVERAGE(RBmatchups[[#This Row],[TD1]:[TD3]])</f>
        <v>0.22349999999999998</v>
      </c>
      <c r="V20" s="189">
        <f>AVERAGE(RBmatchups[[#This Row],[Tar1]:[Tar3]])</f>
        <v>5.8</v>
      </c>
      <c r="W20" s="189">
        <f>AVERAGE(RBmatchups[[#This Row],[Rec1]:[Rec3]])</f>
        <v>4.117</v>
      </c>
      <c r="X20" s="189">
        <f>AVERAGE(RBmatchups[[#This Row],[RecYards1]:[RecYards3]])</f>
        <v>36.454000000000001</v>
      </c>
      <c r="Y20" s="189">
        <f>AVERAGE(RBmatchups[[#This Row],[RecTD1]:[RecTd3]])</f>
        <v>0.17799999999999999</v>
      </c>
      <c r="Z20" s="190">
        <f>SUM(RBmatchups[[#This Row],[Carries2]]+RBmatchups[[#This Row],[Rec4]])</f>
        <v>17.917666666666666</v>
      </c>
      <c r="AA20" s="189">
        <f>SUM(RBmatchups[[#This Row],[Yards]]+RBmatchups[[#This Row],[RecYards]])</f>
        <v>93.020333333333326</v>
      </c>
      <c r="AB20" s="189">
        <f>SUM(RBmatchups[[#This Row],[TD]]+RBmatchups[[#This Row],[RecTD5]])</f>
        <v>0.40149999999999997</v>
      </c>
      <c r="AC20" s="191">
        <f>_xlfn.RANK.EQ(RBmatchups[Projection],RBmatchups[Projection],0)</f>
        <v>10</v>
      </c>
      <c r="AD20" s="189">
        <f>SUM(RBmatchups[[#This Row],[Total Yards]]*0.1)+(RBmatchups[[#This Row],[Rec4]]*1)+(RBmatchups[[#This Row],[Total TD]]*6)+(RBmatchups[[#This Row],[100+]])</f>
        <v>15.82803333333333</v>
      </c>
      <c r="AE20" s="191" t="e">
        <f>_xlfn.RANK.EQ(RBmatchups[[#This Row],[$/FP]],RBmatchups[$/FP],1)</f>
        <v>#VALUE!</v>
      </c>
      <c r="AF20" s="453">
        <f>SUM(RBmatchups[[#This Row],[Salary]]/RBmatchups[[#This Row],[Projection]])</f>
        <v>353.80264130519487</v>
      </c>
      <c r="AG20" s="448" t="e">
        <f>_xlfn.RANK.EQ(RBmatchups[[#This Row],[Average]],RBmatchups[Average],1)</f>
        <v>#VALUE!</v>
      </c>
      <c r="AH20" s="190" t="e">
        <f>AVERAGE(RBmatchups[[#This Row],[Proj Rank]],RBmatchups[[#This Row],[Value Rank]])</f>
        <v>#VALUE!</v>
      </c>
      <c r="AI20" s="214">
        <f>RBmatchups[[#This Row],[Salary]]/50000</f>
        <v>0.112</v>
      </c>
      <c r="AJ20" s="214"/>
      <c r="AK20" s="14">
        <f>IFERROR(INDEX(HBstats1[Rush Att],MATCH(RBmatchups[[#This Row],[Name]],HBstats1[Player],0)),"0")</f>
        <v>16.202000000000002</v>
      </c>
      <c r="AL20" s="14">
        <f>IFERROR(INDEX(HBstats2[Carries],MATCH(RBmatchups[[#This Row],[Name]],HBstats2[Player],0)),"0")</f>
        <v>12</v>
      </c>
      <c r="AM20" s="14">
        <f>IFERROR(INDEX(HBstats3[Carries],MATCH(RBmatchups[[#This Row],[Name]],HBstats3[Player],0)),"0")</f>
        <v>13.2</v>
      </c>
      <c r="AN20" s="14">
        <f>IFERROR(INDEX(HBallowed[Carries],MATCH(RBmatchups[[#This Row],[Opp]],HBallowed[Team],0)),"0")</f>
        <v>23</v>
      </c>
      <c r="AO20" s="14">
        <f>IFERROR(INDEX(HBstats1[Rush Yds],MATCH(RBmatchups[[#This Row],[Name]],HBstats1[Player],0)),"0")</f>
        <v>65.498999999999995</v>
      </c>
      <c r="AP20" s="14">
        <f>IFERROR(INDEX(HBstats2[RushYards],MATCH(RBmatchups[[#This Row],[Name]],HBstats2[Player],0)),"0")</f>
        <v>51.6</v>
      </c>
      <c r="AQ20" s="14">
        <f>IFERROR(INDEX(HBstats3[RushYards],MATCH(RBmatchups[[#This Row],[Name]],HBstats3[Player],0)),"0")</f>
        <v>52.6</v>
      </c>
      <c r="AR20" s="32">
        <f>IFERROR(INDEX(HBallowed[Yards],MATCH(RBmatchups[[#This Row],[Opp]],HBallowed[Team],0)),"0")</f>
        <v>97.6875</v>
      </c>
      <c r="AS20" s="14">
        <f>IFERROR(INDEX(HBstats1[Rush TD],MATCH(RBmatchups[[#This Row],[Name]],HBstats1[Player],0)),"0")</f>
        <v>0.34699999999999998</v>
      </c>
      <c r="AT20" s="14" t="str">
        <f>IFERROR(INDEX(HBstats2[RushTD],MATCH(RBmatchups[[#This Row],[Name]],HBstats2[Player],0)),"0")</f>
        <v>0.3</v>
      </c>
      <c r="AU20" s="14">
        <f>IFERROR(INDEX(HBstats3[RushTD],MATCH(RBmatchups[[#This Row],[Name]],HBstats3[Player],0)),"0")</f>
        <v>0.1</v>
      </c>
      <c r="AV20" s="32">
        <f>IFERROR(INDEX(HBallowed[TD],MATCH(RBmatchups[[#This Row],[Opp]],HBallowed[Team],0)),"0")</f>
        <v>0.375</v>
      </c>
      <c r="AW20" s="32">
        <f>IFERROR(INDEX(HBstats3[Targets],MATCH(RBmatchups[[#This Row],[Name]],HBstats3[Player],0)),"0")</f>
        <v>5.8</v>
      </c>
      <c r="AX20" s="32" t="str">
        <f>IFERROR(INDEX(HBstats2[Targets],MATCH(RBmatchups[[#This Row],[Name]],HBstats2[Player],0)),"0")</f>
        <v>0</v>
      </c>
      <c r="AY20" s="32">
        <f>IFERROR(INDEX(HBstats3[Targets],MATCH(RBmatchups[[#This Row],[Name]],HBstats3[Player],0)),"0")</f>
        <v>5.8</v>
      </c>
      <c r="AZ20" s="14">
        <f>IFERROR(INDEX(HBstats1[Rec],MATCH(RBmatchups[[#This Row],[Name]],HBstats1[Player],0)),"0")</f>
        <v>3.4510000000000001</v>
      </c>
      <c r="BA20" s="14">
        <f>IFERROR(INDEX(HBstats2[Rec],MATCH(RBmatchups[[#This Row],[Name]],HBstats2[Player],0)),"0")</f>
        <v>4.4000000000000004</v>
      </c>
      <c r="BB20" s="14">
        <f>IFERROR(INDEX(HBstats3[Rec],MATCH(RBmatchups[[#This Row],[Name]],HBstats3[Player],0)),"0")</f>
        <v>4.5</v>
      </c>
      <c r="BC20" s="32">
        <f>IFERROR(INDEX(HBallowed[Rec],MATCH(RBmatchups[[#This Row],[Opp]],HBallowed[Team],0)),"0")</f>
        <v>5.125</v>
      </c>
      <c r="BD20" s="14">
        <f>IFERROR(INDEX(HBstats1[Rec Yds],MATCH(RBmatchups[[#This Row],[Name]],HBstats1[Player],0)),"0")</f>
        <v>27.962</v>
      </c>
      <c r="BE20" s="14">
        <f>IFERROR(INDEX(HBstats2[RecYards],MATCH(RBmatchups[[#This Row],[Name]],HBstats2[Player],0)),"0")</f>
        <v>33.200000000000003</v>
      </c>
      <c r="BF20" s="14">
        <f>IFERROR(INDEX(HBstats3[RecYards],MATCH(RBmatchups[[#This Row],[Name]],HBstats3[Player],0)),"0")</f>
        <v>48.2</v>
      </c>
      <c r="BG20" s="32">
        <f>IFERROR(INDEX(HBallowed[RecYards],MATCH(RBmatchups[[#This Row],[Opp]],HBallowed[Team],0)),"0")</f>
        <v>51.5</v>
      </c>
      <c r="BH20" s="14">
        <f>IFERROR(INDEX(HBstats1[Rec TD],MATCH(RBmatchups[[#This Row],[Name]],HBstats1[Player],0)),"0")</f>
        <v>0.156</v>
      </c>
      <c r="BI20" s="14" t="str">
        <f>IFERROR(INDEX(HBstats2[RecTD],MATCH(RBmatchups[[#This Row],[Name]],HBstats2[Player],0)),"0")</f>
        <v>0.1</v>
      </c>
      <c r="BJ20" s="14">
        <f>IFERROR(INDEX(HBstats3[RecTD],MATCH(RBmatchups[[#This Row],[Name]],HBstats3[Player],0)),"0")</f>
        <v>0.2</v>
      </c>
      <c r="BK20" s="32">
        <f>IFERROR(INDEX(HBallowed[RecTD],MATCH(RBmatchups[[#This Row],[Opp]],HBallowed[Team],0)),"0")</f>
        <v>0.4375</v>
      </c>
      <c r="BL20" s="268">
        <f>IF(RBmatchups[[#This Row],[Yards]]&gt;=100,3,0)</f>
        <v>0</v>
      </c>
    </row>
    <row r="21" spans="1:64" x14ac:dyDescent="0.3">
      <c r="A21" s="37">
        <f>HBstats1!AL13</f>
        <v>13.9</v>
      </c>
      <c r="B21" s="153" t="str">
        <f>HBstats1!D13</f>
        <v>Matt Forte</v>
      </c>
      <c r="C21" s="154">
        <f>IFERROR(INDEX(Salaries[DraftKings (Price)],MATCH(RBmatchups[[#This Row],[Name]],Salaries[Player],0)),"")</f>
        <v>6600</v>
      </c>
      <c r="D21" s="154">
        <f>IFERROR(INDEX(DK_Salary_Changes[WeekChange],MATCH(RBmatchups[[#This Row],[Name]],DK_Salary_Changes[Player],0)),"")</f>
        <v>-400</v>
      </c>
      <c r="E21" s="154" t="str">
        <f>IFERROR(INDEX(Salaries[Team],MATCH(RBmatchups[[#This Row],[Name]],Salaries[Player],0)),"")</f>
        <v>NYJ</v>
      </c>
      <c r="F21" s="189" t="str">
        <f>IFERROR(INDEX(Salaries[Opp],MATCH(RBmatchups[[#This Row],[Team]],Salaries[Team],0)),"")</f>
        <v>SEA</v>
      </c>
      <c r="G21" s="410">
        <f>IFERROR(INDEX(RBYTD[Rush ATT],MATCH(RBmatchups[Name],RBYTD[Player],0)),"0")</f>
        <v>67</v>
      </c>
      <c r="H21" s="191">
        <f>IFERROR(INDEX(RBYTD[Rush Yds],MATCH(RBmatchups[Name],RBYTD[Player],0)),"0")</f>
        <v>261</v>
      </c>
      <c r="I21" s="191">
        <f>IFERROR(INDEX(RBYTD[Rush TD],MATCH(RBmatchups[Name],RBYTD[Player],0)),"0")</f>
        <v>3</v>
      </c>
      <c r="J21" s="191">
        <f>IFERROR(INDEX(RBYTD[Rec],MATCH(RBmatchups[Name],RBYTD[Player],0)),"0")</f>
        <v>9</v>
      </c>
      <c r="K21" s="191">
        <f>IFERROR(INDEX(targettracker54[TTL],MATCH(RBmatchups[Name],targettracker54[Name],0)),"0")</f>
        <v>14</v>
      </c>
      <c r="L21" s="191">
        <f>IFERROR(INDEX(RBYTD[Rec Yds],MATCH(RBmatchups[Name],RBYTD[Player],0)),"0")</f>
        <v>67</v>
      </c>
      <c r="M21" s="411">
        <f>IFERROR(INDEX(RBYTD[Rec TD],MATCH(RBmatchups[Name],RBYTD[Player],0)),"0")</f>
        <v>0</v>
      </c>
      <c r="N21" s="441">
        <f>IFERROR(INDEX(Salaries[O/U],MATCH(RBmatchups[[#This Row],[Team]],Salaries[Team],0)),"")</f>
        <v>40.5</v>
      </c>
      <c r="O21" s="189">
        <f>IFERROR(INDEX(Salaries[Team O/U],MATCH(RBmatchups[[#This Row],[Team]],Salaries[Team],0)),"")</f>
        <v>19.5</v>
      </c>
      <c r="P21" s="442">
        <f>IFERROR(INDEX(Salaries[Spread],MATCH(RBmatchups[[#This Row],[Team]],Salaries[Team],0)),"")</f>
        <v>1.5</v>
      </c>
      <c r="Q21" s="424">
        <f>IFERROR(INDEX(HBallowed[DVP],MATCH(RBmatchups[[#This Row],[Opp]],HBallowed[Team],0)),IFERROR(INDEX(HBallowed[DVP],MATCH(RBmatchups[[#This Row],[Opp]],HBallowed[Opp],0)),""))</f>
        <v>1</v>
      </c>
      <c r="R21" s="441">
        <f>AVERAGE(RBmatchups[[#This Row],[Car1]:[Car3]])</f>
        <v>17.439666666666668</v>
      </c>
      <c r="S21" s="190">
        <f>AVERAGE(RBmatchups[[#This Row],[Yards1]:[Yards3]])</f>
        <v>70.691000000000003</v>
      </c>
      <c r="T21" s="189">
        <f>SUM(RBmatchups[[#This Row],[Yards]]/RBmatchups[[#This Row],[Carries2]])</f>
        <v>4.0534605019209078</v>
      </c>
      <c r="U21" s="189">
        <f>AVERAGE(RBmatchups[[#This Row],[TD1]:[TD3]])</f>
        <v>0.32999999999999996</v>
      </c>
      <c r="V21" s="189">
        <f>AVERAGE(RBmatchups[[#This Row],[Tar1]:[Tar3]])</f>
        <v>3.7</v>
      </c>
      <c r="W21" s="189">
        <f>AVERAGE(RBmatchups[[#This Row],[Rec1]:[Rec3]])</f>
        <v>3.097</v>
      </c>
      <c r="X21" s="189">
        <f>AVERAGE(RBmatchups[[#This Row],[RecYards1]:[RecYards3]])</f>
        <v>24.144333333333332</v>
      </c>
      <c r="Y21" s="189">
        <f>AVERAGE(RBmatchups[[#This Row],[RecTD1]:[RecTd3]])</f>
        <v>0.1275</v>
      </c>
      <c r="Z21" s="190">
        <f>SUM(RBmatchups[[#This Row],[Carries2]]+RBmatchups[[#This Row],[Rec4]])</f>
        <v>20.536666666666669</v>
      </c>
      <c r="AA21" s="189">
        <f>SUM(RBmatchups[[#This Row],[Yards]]+RBmatchups[[#This Row],[RecYards]])</f>
        <v>94.835333333333338</v>
      </c>
      <c r="AB21" s="189">
        <f>SUM(RBmatchups[[#This Row],[TD]]+RBmatchups[[#This Row],[RecTD5]])</f>
        <v>0.45749999999999996</v>
      </c>
      <c r="AC21" s="191">
        <f>_xlfn.RANK.EQ(RBmatchups[Projection],RBmatchups[Projection],0)</f>
        <v>11</v>
      </c>
      <c r="AD21" s="189">
        <f>SUM(RBmatchups[[#This Row],[Total Yards]]*0.1)+(RBmatchups[[#This Row],[Rec4]]*1)+(RBmatchups[[#This Row],[Total TD]]*6)+(RBmatchups[[#This Row],[100+]])</f>
        <v>15.325533333333333</v>
      </c>
      <c r="AE21" s="191" t="e">
        <f>_xlfn.RANK.EQ(RBmatchups[[#This Row],[$/FP]],RBmatchups[$/FP],1)</f>
        <v>#VALUE!</v>
      </c>
      <c r="AF21" s="453">
        <f>SUM(RBmatchups[[#This Row],[Salary]]/RBmatchups[[#This Row],[Projection]])</f>
        <v>430.65385435199647</v>
      </c>
      <c r="AG21" s="448" t="e">
        <f>_xlfn.RANK.EQ(RBmatchups[[#This Row],[Average]],RBmatchups[Average],1)</f>
        <v>#VALUE!</v>
      </c>
      <c r="AH21" s="190" t="e">
        <f>AVERAGE(RBmatchups[[#This Row],[Proj Rank]],RBmatchups[[#This Row],[Value Rank]])</f>
        <v>#VALUE!</v>
      </c>
      <c r="AI21" s="214">
        <f>RBmatchups[[#This Row],[Salary]]/50000</f>
        <v>0.13200000000000001</v>
      </c>
      <c r="AJ21" s="214"/>
      <c r="AK21" s="14">
        <f>IFERROR(INDEX(HBstats1[Rush Att],MATCH(RBmatchups[[#This Row],[Name]],HBstats1[Player],0)),"0")</f>
        <v>19.018999999999998</v>
      </c>
      <c r="AL21" s="14">
        <f>IFERROR(INDEX(HBstats2[Carries],MATCH(RBmatchups[[#This Row],[Name]],HBstats2[Player],0)),"0")</f>
        <v>18.5</v>
      </c>
      <c r="AM21" s="14">
        <f>IFERROR(INDEX(HBstats3[Carries],MATCH(RBmatchups[[#This Row],[Name]],HBstats3[Player],0)),"0")</f>
        <v>14.8</v>
      </c>
      <c r="AN21" s="14">
        <f>IFERROR(INDEX(HBallowed[Carries],MATCH(RBmatchups[[#This Row],[Opp]],HBallowed[Team],0)),"0")</f>
        <v>24.1875</v>
      </c>
      <c r="AO21" s="14">
        <f>IFERROR(INDEX(HBstats1[Rush Yds],MATCH(RBmatchups[[#This Row],[Name]],HBstats1[Player],0)),"0")</f>
        <v>72.173000000000002</v>
      </c>
      <c r="AP21" s="14">
        <f>IFERROR(INDEX(HBstats2[RushYards],MATCH(RBmatchups[[#This Row],[Name]],HBstats2[Player],0)),"0")</f>
        <v>78.5</v>
      </c>
      <c r="AQ21" s="14">
        <f>IFERROR(INDEX(HBstats3[RushYards],MATCH(RBmatchups[[#This Row],[Name]],HBstats3[Player],0)),"0")</f>
        <v>61.4</v>
      </c>
      <c r="AR21" s="32">
        <f>IFERROR(INDEX(HBallowed[Yards],MATCH(RBmatchups[[#This Row],[Opp]],HBallowed[Team],0)),"0")</f>
        <v>94.625</v>
      </c>
      <c r="AS21" s="14">
        <f>IFERROR(INDEX(HBstats1[Rush TD],MATCH(RBmatchups[[#This Row],[Name]],HBstats1[Player],0)),"0")</f>
        <v>0.36</v>
      </c>
      <c r="AT21" s="14" t="str">
        <f>IFERROR(INDEX(HBstats2[RushTD],MATCH(RBmatchups[[#This Row],[Name]],HBstats2[Player],0)),"0")</f>
        <v>0.3</v>
      </c>
      <c r="AU21" s="14">
        <f>IFERROR(INDEX(HBstats3[RushTD],MATCH(RBmatchups[[#This Row],[Name]],HBstats3[Player],0)),"0")</f>
        <v>0.3</v>
      </c>
      <c r="AV21" s="32">
        <f>IFERROR(INDEX(HBallowed[TD],MATCH(RBmatchups[[#This Row],[Opp]],HBallowed[Team],0)),"0")</f>
        <v>0.375</v>
      </c>
      <c r="AW21" s="32">
        <f>IFERROR(INDEX(HBstats3[Targets],MATCH(RBmatchups[[#This Row],[Name]],HBstats3[Player],0)),"0")</f>
        <v>3.7</v>
      </c>
      <c r="AX21" s="32" t="str">
        <f>IFERROR(INDEX(HBstats2[Targets],MATCH(RBmatchups[[#This Row],[Name]],HBstats2[Player],0)),"0")</f>
        <v>0</v>
      </c>
      <c r="AY21" s="32">
        <f>IFERROR(INDEX(HBstats3[Targets],MATCH(RBmatchups[[#This Row],[Name]],HBstats3[Player],0)),"0")</f>
        <v>3.7</v>
      </c>
      <c r="AZ21" s="14">
        <f>IFERROR(INDEX(HBstats1[Rec],MATCH(RBmatchups[[#This Row],[Name]],HBstats1[Player],0)),"0")</f>
        <v>3.0910000000000002</v>
      </c>
      <c r="BA21" s="14">
        <f>IFERROR(INDEX(HBstats2[Rec],MATCH(RBmatchups[[#This Row],[Name]],HBstats2[Player],0)),"0")</f>
        <v>3.4</v>
      </c>
      <c r="BB21" s="14">
        <f>IFERROR(INDEX(HBstats3[Rec],MATCH(RBmatchups[[#This Row],[Name]],HBstats3[Player],0)),"0")</f>
        <v>2.8</v>
      </c>
      <c r="BC21" s="32">
        <f>IFERROR(INDEX(HBallowed[Rec],MATCH(RBmatchups[[#This Row],[Opp]],HBallowed[Team],0)),"0")</f>
        <v>3.5</v>
      </c>
      <c r="BD21" s="14">
        <f>IFERROR(INDEX(HBstats1[Rec Yds],MATCH(RBmatchups[[#This Row],[Name]],HBstats1[Player],0)),"0")</f>
        <v>25.433</v>
      </c>
      <c r="BE21" s="14">
        <f>IFERROR(INDEX(HBstats2[RecYards],MATCH(RBmatchups[[#This Row],[Name]],HBstats2[Player],0)),"0")</f>
        <v>25</v>
      </c>
      <c r="BF21" s="14">
        <f>IFERROR(INDEX(HBstats3[RecYards],MATCH(RBmatchups[[#This Row],[Name]],HBstats3[Player],0)),"0")</f>
        <v>22</v>
      </c>
      <c r="BG21" s="32">
        <f>IFERROR(INDEX(HBallowed[RecYards],MATCH(RBmatchups[[#This Row],[Opp]],HBallowed[Team],0)),"0")</f>
        <v>31.0625</v>
      </c>
      <c r="BH21" s="14">
        <f>IFERROR(INDEX(HBstats1[Rec TD],MATCH(RBmatchups[[#This Row],[Name]],HBstats1[Player],0)),"0")</f>
        <v>0.155</v>
      </c>
      <c r="BI21" s="14" t="str">
        <f>IFERROR(INDEX(HBstats2[RecTD],MATCH(RBmatchups[[#This Row],[Name]],HBstats2[Player],0)),"0")</f>
        <v>0.1</v>
      </c>
      <c r="BJ21" s="14">
        <f>IFERROR(INDEX(HBstats3[RecTD],MATCH(RBmatchups[[#This Row],[Name]],HBstats3[Player],0)),"0")</f>
        <v>0.1</v>
      </c>
      <c r="BK21" s="32">
        <f>IFERROR(INDEX(HBallowed[RecTD],MATCH(RBmatchups[[#This Row],[Opp]],HBallowed[Team],0)),"0")</f>
        <v>0.125</v>
      </c>
      <c r="BL21" s="268">
        <f>IF(RBmatchups[[#This Row],[Yards]]&gt;=100,3,0)</f>
        <v>0</v>
      </c>
    </row>
    <row r="22" spans="1:64" x14ac:dyDescent="0.3">
      <c r="A22" s="37">
        <f>HBstats1!AL11</f>
        <v>13.9</v>
      </c>
      <c r="B22" s="153" t="str">
        <f>HBstats1!D11</f>
        <v>Todd Gurley</v>
      </c>
      <c r="C22" s="154">
        <f>IFERROR(INDEX(Salaries[DraftKings (Price)],MATCH(RBmatchups[[#This Row],[Name]],Salaries[Player],0)),"")</f>
        <v>6700</v>
      </c>
      <c r="D22" s="154">
        <f>IFERROR(INDEX(DK_Salary_Changes[WeekChange],MATCH(RBmatchups[[#This Row],[Name]],DK_Salary_Changes[Player],0)),"")</f>
        <v>-400</v>
      </c>
      <c r="E22" s="154" t="str">
        <f>IFERROR(INDEX(Salaries[Team],MATCH(RBmatchups[[#This Row],[Name]],Salaries[Player],0)),"")</f>
        <v>LA</v>
      </c>
      <c r="F22" s="189" t="str">
        <f>IFERROR(INDEX(Salaries[Opp],MATCH(RBmatchups[[#This Row],[Team]],Salaries[Team],0)),"")</f>
        <v>@ARI</v>
      </c>
      <c r="G22" s="410">
        <f>IFERROR(INDEX(RBYTD[Rush ATT],MATCH(RBmatchups[Name],RBYTD[Player],0)),"0")</f>
        <v>63</v>
      </c>
      <c r="H22" s="191">
        <f>IFERROR(INDEX(RBYTD[Rush Yds],MATCH(RBmatchups[Name],RBYTD[Player],0)),"0")</f>
        <v>183</v>
      </c>
      <c r="I22" s="191">
        <f>IFERROR(INDEX(RBYTD[Rush TD],MATCH(RBmatchups[Name],RBYTD[Player],0)),"0")</f>
        <v>2</v>
      </c>
      <c r="J22" s="191">
        <f>IFERROR(INDEX(RBYTD[Rec],MATCH(RBmatchups[Name],RBYTD[Player],0)),"0")</f>
        <v>3</v>
      </c>
      <c r="K22" s="191">
        <f>IFERROR(INDEX(targettracker54[TTL],MATCH(RBmatchups[Name],targettracker54[Name],0)),"0")</f>
        <v>6</v>
      </c>
      <c r="L22" s="191">
        <f>IFERROR(INDEX(RBYTD[Rec Yds],MATCH(RBmatchups[Name],RBYTD[Player],0)),"0")</f>
        <v>9</v>
      </c>
      <c r="M22" s="411">
        <f>IFERROR(INDEX(RBYTD[Rec TD],MATCH(RBmatchups[Name],RBYTD[Player],0)),"0")</f>
        <v>0</v>
      </c>
      <c r="N22" s="441">
        <f>IFERROR(INDEX(Salaries[O/U],MATCH(RBmatchups[[#This Row],[Team]],Salaries[Team],0)),"")</f>
        <v>43</v>
      </c>
      <c r="O22" s="189">
        <f>IFERROR(INDEX(Salaries[Team O/U],MATCH(RBmatchups[[#This Row],[Team]],Salaries[Team],0)),"")</f>
        <v>17.5</v>
      </c>
      <c r="P22" s="442">
        <f>IFERROR(INDEX(Salaries[Spread],MATCH(RBmatchups[[#This Row],[Team]],Salaries[Team],0)),"")</f>
        <v>8</v>
      </c>
      <c r="Q22" s="424">
        <f>IFERROR(INDEX(HBallowed[DVP],MATCH(RBmatchups[[#This Row],[Opp]],HBallowed[Team],0)),IFERROR(INDEX(HBallowed[DVP],MATCH(RBmatchups[[#This Row],[Opp]],HBallowed[Opp],0)),""))</f>
        <v>8</v>
      </c>
      <c r="R22" s="441">
        <f>AVERAGE(RBmatchups[[#This Row],[Car1]:[Car3]])</f>
        <v>18.124333333333336</v>
      </c>
      <c r="S22" s="190">
        <f>AVERAGE(RBmatchups[[#This Row],[Yards1]:[Yards3]])</f>
        <v>78.809333333333328</v>
      </c>
      <c r="T22" s="189">
        <f>SUM(RBmatchups[[#This Row],[Yards]]/RBmatchups[[#This Row],[Carries2]])</f>
        <v>4.3482610854652117</v>
      </c>
      <c r="U22" s="189">
        <f>AVERAGE(RBmatchups[[#This Row],[TD1]:[TD3]])</f>
        <v>0.505</v>
      </c>
      <c r="V22" s="189">
        <f>AVERAGE(RBmatchups[[#This Row],[Tar1]:[Tar3]])</f>
        <v>2.6</v>
      </c>
      <c r="W22" s="189">
        <f>AVERAGE(RBmatchups[[#This Row],[Rec1]:[Rec3]])</f>
        <v>2.3323333333333331</v>
      </c>
      <c r="X22" s="189">
        <f>AVERAGE(RBmatchups[[#This Row],[RecYards1]:[RecYards3]])</f>
        <v>18.84</v>
      </c>
      <c r="Y22" s="189">
        <f>AVERAGE(RBmatchups[[#This Row],[RecTD1]:[RecTd3]])</f>
        <v>2.5499999999999998E-2</v>
      </c>
      <c r="Z22" s="190">
        <f>SUM(RBmatchups[[#This Row],[Carries2]]+RBmatchups[[#This Row],[Rec4]])</f>
        <v>20.456666666666671</v>
      </c>
      <c r="AA22" s="189">
        <f>SUM(RBmatchups[[#This Row],[Yards]]+RBmatchups[[#This Row],[RecYards]])</f>
        <v>97.649333333333331</v>
      </c>
      <c r="AB22" s="189">
        <f>SUM(RBmatchups[[#This Row],[TD]]+RBmatchups[[#This Row],[RecTD5]])</f>
        <v>0.53049999999999997</v>
      </c>
      <c r="AC22" s="191">
        <f>_xlfn.RANK.EQ(RBmatchups[Projection],RBmatchups[Projection],0)</f>
        <v>12</v>
      </c>
      <c r="AD22" s="189">
        <f>SUM(RBmatchups[[#This Row],[Total Yards]]*0.1)+(RBmatchups[[#This Row],[Rec4]]*1)+(RBmatchups[[#This Row],[Total TD]]*6)+(RBmatchups[[#This Row],[100+]])</f>
        <v>15.280266666666666</v>
      </c>
      <c r="AE22" s="191" t="e">
        <f>_xlfn.RANK.EQ(RBmatchups[[#This Row],[$/FP]],RBmatchups[$/FP],1)</f>
        <v>#VALUE!</v>
      </c>
      <c r="AF22" s="453">
        <f>SUM(RBmatchups[[#This Row],[Salary]]/RBmatchups[[#This Row],[Projection]])</f>
        <v>438.4740231409574</v>
      </c>
      <c r="AG22" s="448" t="e">
        <f>_xlfn.RANK.EQ(RBmatchups[[#This Row],[Average]],RBmatchups[Average],1)</f>
        <v>#VALUE!</v>
      </c>
      <c r="AH22" s="190" t="e">
        <f>AVERAGE(RBmatchups[[#This Row],[Proj Rank]],RBmatchups[[#This Row],[Value Rank]])</f>
        <v>#VALUE!</v>
      </c>
      <c r="AI22" s="214">
        <f>RBmatchups[[#This Row],[Salary]]/50000</f>
        <v>0.13400000000000001</v>
      </c>
      <c r="AJ22" s="214"/>
      <c r="AK22" s="14">
        <f>IFERROR(INDEX(HBstats1[Rush Att],MATCH(RBmatchups[[#This Row],[Name]],HBstats1[Player],0)),"0")</f>
        <v>19.172999999999998</v>
      </c>
      <c r="AL22" s="14">
        <f>IFERROR(INDEX(HBstats2[Carries],MATCH(RBmatchups[[#This Row],[Name]],HBstats2[Player],0)),"0")</f>
        <v>18</v>
      </c>
      <c r="AM22" s="14">
        <f>IFERROR(INDEX(HBstats3[Carries],MATCH(RBmatchups[[#This Row],[Name]],HBstats3[Player],0)),"0")</f>
        <v>17.2</v>
      </c>
      <c r="AN22" s="14" t="str">
        <f>IFERROR(INDEX(HBallowed[Carries],MATCH(RBmatchups[[#This Row],[Opp]],HBallowed[Team],0)),"0")</f>
        <v>0</v>
      </c>
      <c r="AO22" s="14">
        <f>IFERROR(INDEX(HBstats1[Rush Yds],MATCH(RBmatchups[[#This Row],[Name]],HBstats1[Player],0)),"0")</f>
        <v>85.328000000000003</v>
      </c>
      <c r="AP22" s="14">
        <f>IFERROR(INDEX(HBstats2[RushYards],MATCH(RBmatchups[[#This Row],[Name]],HBstats2[Player],0)),"0")</f>
        <v>69.599999999999994</v>
      </c>
      <c r="AQ22" s="14">
        <f>IFERROR(INDEX(HBstats3[RushYards],MATCH(RBmatchups[[#This Row],[Name]],HBstats3[Player],0)),"0")</f>
        <v>81.5</v>
      </c>
      <c r="AR22" s="32" t="str">
        <f>IFERROR(INDEX(HBallowed[Yards],MATCH(RBmatchups[[#This Row],[Opp]],HBallowed[Team],0)),"0")</f>
        <v>0</v>
      </c>
      <c r="AS22" s="14">
        <f>IFERROR(INDEX(HBstats1[Rush TD],MATCH(RBmatchups[[#This Row],[Name]],HBstats1[Player],0)),"0")</f>
        <v>0.51</v>
      </c>
      <c r="AT22" s="14" t="str">
        <f>IFERROR(INDEX(HBstats2[RushTD],MATCH(RBmatchups[[#This Row],[Name]],HBstats2[Player],0)),"0")</f>
        <v>0.4</v>
      </c>
      <c r="AU22" s="14">
        <f>IFERROR(INDEX(HBstats3[RushTD],MATCH(RBmatchups[[#This Row],[Name]],HBstats3[Player],0)),"0")</f>
        <v>0.5</v>
      </c>
      <c r="AV22" s="32" t="str">
        <f>IFERROR(INDEX(HBallowed[TD],MATCH(RBmatchups[[#This Row],[Opp]],HBallowed[Team],0)),"0")</f>
        <v>0</v>
      </c>
      <c r="AW22" s="32">
        <f>IFERROR(INDEX(HBstats3[Targets],MATCH(RBmatchups[[#This Row],[Name]],HBstats3[Player],0)),"0")</f>
        <v>2.6</v>
      </c>
      <c r="AX22" s="14" t="str">
        <f>IFERROR(INDEX(HBstats2[Targets],MATCH(RBmatchups[[#This Row],[Name]],HBstats2[Player],0)),"0")</f>
        <v>0</v>
      </c>
      <c r="AY22" s="14">
        <f>IFERROR(INDEX(HBstats3[Targets],MATCH(RBmatchups[[#This Row],[Name]],HBstats3[Player],0)),"0")</f>
        <v>2.6</v>
      </c>
      <c r="AZ22" s="14">
        <f>IFERROR(INDEX(HBstats1[Rec],MATCH(RBmatchups[[#This Row],[Name]],HBstats1[Player],0)),"0")</f>
        <v>1.897</v>
      </c>
      <c r="BA22" s="14">
        <f>IFERROR(INDEX(HBstats2[Rec],MATCH(RBmatchups[[#This Row],[Name]],HBstats2[Player],0)),"0")</f>
        <v>3</v>
      </c>
      <c r="BB22" s="14">
        <f>IFERROR(INDEX(HBstats3[Rec],MATCH(RBmatchups[[#This Row],[Name]],HBstats3[Player],0)),"0")</f>
        <v>2.1</v>
      </c>
      <c r="BC22" s="32" t="str">
        <f>IFERROR(INDEX(HBallowed[Rec],MATCH(RBmatchups[[#This Row],[Opp]],HBallowed[Team],0)),"0")</f>
        <v>0</v>
      </c>
      <c r="BD22" s="14">
        <f>IFERROR(INDEX(HBstats1[Rec Yds],MATCH(RBmatchups[[#This Row],[Name]],HBstats1[Player],0)),"0")</f>
        <v>14.72</v>
      </c>
      <c r="BE22" s="14">
        <f>IFERROR(INDEX(HBstats2[RecYards],MATCH(RBmatchups[[#This Row],[Name]],HBstats2[Player],0)),"0")</f>
        <v>25.3</v>
      </c>
      <c r="BF22" s="14">
        <f>IFERROR(INDEX(HBstats3[RecYards],MATCH(RBmatchups[[#This Row],[Name]],HBstats3[Player],0)),"0")</f>
        <v>16.5</v>
      </c>
      <c r="BG22" s="32" t="str">
        <f>IFERROR(INDEX(HBallowed[RecYards],MATCH(RBmatchups[[#This Row],[Opp]],HBallowed[Team],0)),"0")</f>
        <v>0</v>
      </c>
      <c r="BH22" s="14">
        <f>IFERROR(INDEX(HBstats1[Rec TD],MATCH(RBmatchups[[#This Row],[Name]],HBstats1[Player],0)),"0")</f>
        <v>5.0999999999999997E-2</v>
      </c>
      <c r="BI22" s="14" t="str">
        <f>IFERROR(INDEX(HBstats2[RecTD],MATCH(RBmatchups[[#This Row],[Name]],HBstats2[Player],0)),"0")</f>
        <v>0.1</v>
      </c>
      <c r="BJ22" s="14">
        <f>IFERROR(INDEX(HBstats3[RecTD],MATCH(RBmatchups[[#This Row],[Name]],HBstats3[Player],0)),"0")</f>
        <v>0</v>
      </c>
      <c r="BK22" s="32" t="str">
        <f>IFERROR(INDEX(HBallowed[RecTD],MATCH(RBmatchups[[#This Row],[Opp]],HBallowed[Team],0)),"0")</f>
        <v>0</v>
      </c>
      <c r="BL22" s="268">
        <f>IF(RBmatchups[[#This Row],[Yards]]&gt;=100,3,0)</f>
        <v>0</v>
      </c>
    </row>
    <row r="23" spans="1:64" x14ac:dyDescent="0.3">
      <c r="A23" s="37">
        <f>HBstats1!AL21</f>
        <v>13</v>
      </c>
      <c r="B23" s="153" t="str">
        <f>HBstats1!D21</f>
        <v>Jordan Howard</v>
      </c>
      <c r="C23" s="154">
        <f>IFERROR(INDEX(Salaries[DraftKings (Price)],MATCH(RBmatchups[[#This Row],[Name]],Salaries[Player],0)),"")</f>
        <v>3700</v>
      </c>
      <c r="D23" s="154">
        <f>IFERROR(INDEX(DK_Salary_Changes[WeekChange],MATCH(RBmatchups[[#This Row],[Name]],DK_Salary_Changes[Player],0)),"")</f>
        <v>400</v>
      </c>
      <c r="E23" s="154" t="str">
        <f>IFERROR(INDEX(Salaries[Team],MATCH(RBmatchups[[#This Row],[Name]],Salaries[Player],0)),"")</f>
        <v>CHI</v>
      </c>
      <c r="F23" s="189" t="str">
        <f>IFERROR(INDEX(Salaries[Opp],MATCH(RBmatchups[[#This Row],[Team]],Salaries[Team],0)),"")</f>
        <v>DET</v>
      </c>
      <c r="G23" s="410">
        <f>IFERROR(INDEX(RBYTD[Rush ATT],MATCH(RBmatchups[Name],RBYTD[Player],0)),"0")</f>
        <v>12</v>
      </c>
      <c r="H23" s="191">
        <f>IFERROR(INDEX(RBYTD[Rush Yds],MATCH(RBmatchups[Name],RBYTD[Player],0)),"0")</f>
        <v>67</v>
      </c>
      <c r="I23" s="191">
        <f>IFERROR(INDEX(RBYTD[Rush TD],MATCH(RBmatchups[Name],RBYTD[Player],0)),"0")</f>
        <v>0</v>
      </c>
      <c r="J23" s="191">
        <f>IFERROR(INDEX(RBYTD[Rec],MATCH(RBmatchups[Name],RBYTD[Player],0)),"0")</f>
        <v>6</v>
      </c>
      <c r="K23" s="191">
        <f>IFERROR(INDEX(targettracker54[TTL],MATCH(RBmatchups[Name],targettracker54[Name],0)),"0")</f>
        <v>8</v>
      </c>
      <c r="L23" s="191">
        <f>IFERROR(INDEX(RBYTD[Rec Yds],MATCH(RBmatchups[Name],RBYTD[Player],0)),"0")</f>
        <v>56</v>
      </c>
      <c r="M23" s="411">
        <f>IFERROR(INDEX(RBYTD[Rec TD],MATCH(RBmatchups[Name],RBYTD[Player],0)),"0")</f>
        <v>0</v>
      </c>
      <c r="N23" s="441">
        <f>IFERROR(INDEX(Salaries[O/U],MATCH(RBmatchups[[#This Row],[Team]],Salaries[Team],0)),"")</f>
        <v>46.5</v>
      </c>
      <c r="O23" s="189">
        <f>IFERROR(INDEX(Salaries[Team O/U],MATCH(RBmatchups[[#This Row],[Team]],Salaries[Team],0)),"")</f>
        <v>21.75</v>
      </c>
      <c r="P23" s="442">
        <f>IFERROR(INDEX(Salaries[Spread],MATCH(RBmatchups[[#This Row],[Team]],Salaries[Team],0)),"")</f>
        <v>3</v>
      </c>
      <c r="Q23" s="424">
        <f>IFERROR(INDEX(HBallowed[DVP],MATCH(RBmatchups[[#This Row],[Opp]],HBallowed[Team],0)),IFERROR(INDEX(HBallowed[DVP],MATCH(RBmatchups[[#This Row],[Opp]],HBallowed[Opp],0)),""))</f>
        <v>20</v>
      </c>
      <c r="R23" s="441">
        <f>AVERAGE(RBmatchups[[#This Row],[Car1]:[Car3]])</f>
        <v>14.581333333333333</v>
      </c>
      <c r="S23" s="190">
        <f>AVERAGE(RBmatchups[[#This Row],[Yards1]:[Yards3]])</f>
        <v>65.437666666666658</v>
      </c>
      <c r="T23" s="189">
        <f>SUM(RBmatchups[[#This Row],[Yards]]/RBmatchups[[#This Row],[Carries2]])</f>
        <v>4.4877697512801751</v>
      </c>
      <c r="U23" s="189">
        <f>AVERAGE(RBmatchups[[#This Row],[TD1]:[TD3]])</f>
        <v>0.46399999999999997</v>
      </c>
      <c r="V23" s="189">
        <f>AVERAGE(RBmatchups[[#This Row],[Tar1]:[Tar3]])</f>
        <v>3.1</v>
      </c>
      <c r="W23" s="189">
        <f>AVERAGE(RBmatchups[[#This Row],[Rec1]:[Rec3]])</f>
        <v>2.8356666666666666</v>
      </c>
      <c r="X23" s="189">
        <f>AVERAGE(RBmatchups[[#This Row],[RecYards1]:[RecYards3]])</f>
        <v>19.864000000000001</v>
      </c>
      <c r="Y23" s="189">
        <f>AVERAGE(RBmatchups[[#This Row],[RecTD1]:[RecTd3]])</f>
        <v>0.13200000000000001</v>
      </c>
      <c r="Z23" s="190">
        <f>SUM(RBmatchups[[#This Row],[Carries2]]+RBmatchups[[#This Row],[Rec4]])</f>
        <v>17.417000000000002</v>
      </c>
      <c r="AA23" s="189">
        <f>SUM(RBmatchups[[#This Row],[Yards]]+RBmatchups[[#This Row],[RecYards]])</f>
        <v>85.301666666666662</v>
      </c>
      <c r="AB23" s="189">
        <f>SUM(RBmatchups[[#This Row],[TD]]+RBmatchups[[#This Row],[RecTD5]])</f>
        <v>0.59599999999999997</v>
      </c>
      <c r="AC23" s="191">
        <f>_xlfn.RANK.EQ(RBmatchups[Projection],RBmatchups[Projection],0)</f>
        <v>13</v>
      </c>
      <c r="AD23" s="189">
        <f>SUM(RBmatchups[[#This Row],[Total Yards]]*0.1)+(RBmatchups[[#This Row],[Rec4]]*1)+(RBmatchups[[#This Row],[Total TD]]*6)+(RBmatchups[[#This Row],[100+]])</f>
        <v>14.941833333333332</v>
      </c>
      <c r="AE23" s="191" t="e">
        <f>_xlfn.RANK.EQ(RBmatchups[[#This Row],[$/FP]],RBmatchups[$/FP],1)</f>
        <v>#VALUE!</v>
      </c>
      <c r="AF23" s="453">
        <f>SUM(RBmatchups[[#This Row],[Salary]]/RBmatchups[[#This Row],[Projection]])</f>
        <v>247.62690879075529</v>
      </c>
      <c r="AG23" s="448" t="e">
        <f>_xlfn.RANK.EQ(RBmatchups[[#This Row],[Average]],RBmatchups[Average],1)</f>
        <v>#VALUE!</v>
      </c>
      <c r="AH23" s="190" t="e">
        <f>AVERAGE(RBmatchups[[#This Row],[Proj Rank]],RBmatchups[[#This Row],[Value Rank]])</f>
        <v>#VALUE!</v>
      </c>
      <c r="AI23" s="214">
        <f>RBmatchups[[#This Row],[Salary]]/50000</f>
        <v>7.3999999999999996E-2</v>
      </c>
      <c r="AJ23" s="214"/>
      <c r="AK23" s="14">
        <f>IFERROR(INDEX(HBstats1[Rush Att],MATCH(RBmatchups[[#This Row],[Name]],HBstats1[Player],0)),"0")</f>
        <v>15.544</v>
      </c>
      <c r="AL23" s="14">
        <f>IFERROR(INDEX(HBstats2[Carries],MATCH(RBmatchups[[#This Row],[Name]],HBstats2[Player],0)),"0")</f>
        <v>14.2</v>
      </c>
      <c r="AM23" s="14">
        <f>IFERROR(INDEX(HBstats3[Carries],MATCH(RBmatchups[[#This Row],[Name]],HBstats3[Player],0)),"0")</f>
        <v>14</v>
      </c>
      <c r="AN23" s="14">
        <f>IFERROR(INDEX(HBallowed[Carries],MATCH(RBmatchups[[#This Row],[Opp]],HBallowed[Team],0)),"0")</f>
        <v>24.4375</v>
      </c>
      <c r="AO23" s="14">
        <f>IFERROR(INDEX(HBstats1[Rush Yds],MATCH(RBmatchups[[#This Row],[Name]],HBstats1[Player],0)),"0")</f>
        <v>67.912999999999997</v>
      </c>
      <c r="AP23" s="14">
        <f>IFERROR(INDEX(HBstats2[RushYards],MATCH(RBmatchups[[#This Row],[Name]],HBstats2[Player],0)),"0")</f>
        <v>60.1</v>
      </c>
      <c r="AQ23" s="14">
        <f>IFERROR(INDEX(HBstats3[RushYards],MATCH(RBmatchups[[#This Row],[Name]],HBstats3[Player],0)),"0")</f>
        <v>68.3</v>
      </c>
      <c r="AR23" s="32">
        <f>IFERROR(INDEX(HBallowed[Yards],MATCH(RBmatchups[[#This Row],[Opp]],HBallowed[Team],0)),"0")</f>
        <v>101.5625</v>
      </c>
      <c r="AS23" s="14">
        <f>IFERROR(INDEX(HBstats1[Rush TD],MATCH(RBmatchups[[#This Row],[Name]],HBstats1[Player],0)),"0")</f>
        <v>0.42799999999999999</v>
      </c>
      <c r="AT23" s="14" t="str">
        <f>IFERROR(INDEX(HBstats2[RushTD],MATCH(RBmatchups[[#This Row],[Name]],HBstats2[Player],0)),"0")</f>
        <v>0.4</v>
      </c>
      <c r="AU23" s="14">
        <f>IFERROR(INDEX(HBstats3[RushTD],MATCH(RBmatchups[[#This Row],[Name]],HBstats3[Player],0)),"0")</f>
        <v>0.5</v>
      </c>
      <c r="AV23" s="32">
        <f>IFERROR(INDEX(HBallowed[TD],MATCH(RBmatchups[[#This Row],[Opp]],HBallowed[Team],0)),"0")</f>
        <v>0.75</v>
      </c>
      <c r="AW23" s="32">
        <f>IFERROR(INDEX(HBstats3[Targets],MATCH(RBmatchups[[#This Row],[Name]],HBstats3[Player],0)),"0")</f>
        <v>3.1</v>
      </c>
      <c r="AX23" s="32" t="str">
        <f>IFERROR(INDEX(HBstats2[Targets],MATCH(RBmatchups[[#This Row],[Name]],HBstats2[Player],0)),"0")</f>
        <v>0</v>
      </c>
      <c r="AY23" s="32">
        <f>IFERROR(INDEX(HBstats3[Targets],MATCH(RBmatchups[[#This Row],[Name]],HBstats3[Player],0)),"0")</f>
        <v>3.1</v>
      </c>
      <c r="AZ23" s="14">
        <f>IFERROR(INDEX(HBstats1[Rec],MATCH(RBmatchups[[#This Row],[Name]],HBstats1[Player],0)),"0")</f>
        <v>3.1070000000000002</v>
      </c>
      <c r="BA23" s="14">
        <f>IFERROR(INDEX(HBstats2[Rec],MATCH(RBmatchups[[#This Row],[Name]],HBstats2[Player],0)),"0")</f>
        <v>3</v>
      </c>
      <c r="BB23" s="14">
        <f>IFERROR(INDEX(HBstats3[Rec],MATCH(RBmatchups[[#This Row],[Name]],HBstats3[Player],0)),"0")</f>
        <v>2.4</v>
      </c>
      <c r="BC23" s="32">
        <f>IFERROR(INDEX(HBallowed[Rec],MATCH(RBmatchups[[#This Row],[Opp]],HBallowed[Team],0)),"0")</f>
        <v>4.5</v>
      </c>
      <c r="BD23" s="14">
        <f>IFERROR(INDEX(HBstats1[Rec Yds],MATCH(RBmatchups[[#This Row],[Name]],HBstats1[Player],0)),"0")</f>
        <v>20.591999999999999</v>
      </c>
      <c r="BE23" s="14">
        <f>IFERROR(INDEX(HBstats2[RecYards],MATCH(RBmatchups[[#This Row],[Name]],HBstats2[Player],0)),"0")</f>
        <v>22.5</v>
      </c>
      <c r="BF23" s="14">
        <f>IFERROR(INDEX(HBstats3[RecYards],MATCH(RBmatchups[[#This Row],[Name]],HBstats3[Player],0)),"0")</f>
        <v>16.5</v>
      </c>
      <c r="BG23" s="32">
        <f>IFERROR(INDEX(HBallowed[RecYards],MATCH(RBmatchups[[#This Row],[Opp]],HBallowed[Team],0)),"0")</f>
        <v>34.9375</v>
      </c>
      <c r="BH23" s="14">
        <f>IFERROR(INDEX(HBstats1[Rec TD],MATCH(RBmatchups[[#This Row],[Name]],HBstats1[Player],0)),"0")</f>
        <v>6.4000000000000001E-2</v>
      </c>
      <c r="BI23" s="14" t="str">
        <f>IFERROR(INDEX(HBstats2[RecTD],MATCH(RBmatchups[[#This Row],[Name]],HBstats2[Player],0)),"0")</f>
        <v>0.1</v>
      </c>
      <c r="BJ23" s="14">
        <f>IFERROR(INDEX(HBstats3[RecTD],MATCH(RBmatchups[[#This Row],[Name]],HBstats3[Player],0)),"0")</f>
        <v>0.2</v>
      </c>
      <c r="BK23" s="32">
        <f>IFERROR(INDEX(HBallowed[RecTD],MATCH(RBmatchups[[#This Row],[Opp]],HBallowed[Team],0)),"0")</f>
        <v>0.1875</v>
      </c>
      <c r="BL23" s="268">
        <f>IF(RBmatchups[[#This Row],[Yards]]&gt;=100,3,0)</f>
        <v>0</v>
      </c>
    </row>
    <row r="24" spans="1:64" x14ac:dyDescent="0.3">
      <c r="A24" s="37">
        <f>HBstats1!AL22</f>
        <v>13.8</v>
      </c>
      <c r="B24" s="153" t="str">
        <f>HBstats1!D22</f>
        <v>Theo Riddick</v>
      </c>
      <c r="C24" s="154">
        <f>IFERROR(INDEX(Salaries[DraftKings (Price)],MATCH(RBmatchups[[#This Row],[Name]],Salaries[Player],0)),"")</f>
        <v>5200</v>
      </c>
      <c r="D24" s="154">
        <f>IFERROR(INDEX(DK_Salary_Changes[WeekChange],MATCH(RBmatchups[[#This Row],[Name]],DK_Salary_Changes[Player],0)),"")</f>
        <v>300</v>
      </c>
      <c r="E24" s="154" t="str">
        <f>IFERROR(INDEX(Salaries[Team],MATCH(RBmatchups[[#This Row],[Name]],Salaries[Player],0)),"")</f>
        <v>DET</v>
      </c>
      <c r="F24" s="189" t="str">
        <f>IFERROR(INDEX(Salaries[Opp],MATCH(RBmatchups[[#This Row],[Team]],Salaries[Team],0)),"")</f>
        <v>@CHI</v>
      </c>
      <c r="G24" s="410">
        <f>IFERROR(INDEX(RBYTD[Rush ATT],MATCH(RBmatchups[Name],RBYTD[Player],0)),"0")</f>
        <v>28</v>
      </c>
      <c r="H24" s="191">
        <f>IFERROR(INDEX(RBYTD[Rush Yds],MATCH(RBmatchups[Name],RBYTD[Player],0)),"0")</f>
        <v>91</v>
      </c>
      <c r="I24" s="191">
        <f>IFERROR(INDEX(RBYTD[Rush TD],MATCH(RBmatchups[Name],RBYTD[Player],0)),"0")</f>
        <v>1</v>
      </c>
      <c r="J24" s="191">
        <f>IFERROR(INDEX(RBYTD[Rec],MATCH(RBmatchups[Name],RBYTD[Player],0)),"0")</f>
        <v>16</v>
      </c>
      <c r="K24" s="191">
        <f>IFERROR(INDEX(targettracker54[TTL],MATCH(RBmatchups[Name],targettracker54[Name],0)),"0")</f>
        <v>19</v>
      </c>
      <c r="L24" s="191">
        <f>IFERROR(INDEX(RBYTD[Rec Yds],MATCH(RBmatchups[Name],RBYTD[Player],0)),"0")</f>
        <v>130</v>
      </c>
      <c r="M24" s="411">
        <f>IFERROR(INDEX(RBYTD[Rec TD],MATCH(RBmatchups[Name],RBYTD[Player],0)),"0")</f>
        <v>1</v>
      </c>
      <c r="N24" s="441">
        <f>IFERROR(INDEX(Salaries[O/U],MATCH(RBmatchups[[#This Row],[Team]],Salaries[Team],0)),"")</f>
        <v>46.5</v>
      </c>
      <c r="O24" s="189">
        <f>IFERROR(INDEX(Salaries[Team O/U],MATCH(RBmatchups[[#This Row],[Team]],Salaries[Team],0)),"")</f>
        <v>24.75</v>
      </c>
      <c r="P24" s="442">
        <f>IFERROR(INDEX(Salaries[Spread],MATCH(RBmatchups[[#This Row],[Team]],Salaries[Team],0)),"")</f>
        <v>-3</v>
      </c>
      <c r="Q24" s="424">
        <f>IFERROR(INDEX(HBallowed[DVP],MATCH(RBmatchups[[#This Row],[Opp]],HBallowed[Team],0)),IFERROR(INDEX(HBallowed[DVP],MATCH(RBmatchups[[#This Row],[Opp]],HBallowed[Opp],0)),""))</f>
        <v>23</v>
      </c>
      <c r="R24" s="441">
        <f>AVERAGE(RBmatchups[[#This Row],[Car1]:[Car3]])</f>
        <v>10.369333333333334</v>
      </c>
      <c r="S24" s="190">
        <f>AVERAGE(RBmatchups[[#This Row],[Yards1]:[Yards3]])</f>
        <v>43.496333333333332</v>
      </c>
      <c r="T24" s="189">
        <f>SUM(RBmatchups[[#This Row],[Yards]]/RBmatchups[[#This Row],[Carries2]])</f>
        <v>4.1947087565899448</v>
      </c>
      <c r="U24" s="189">
        <f>AVERAGE(RBmatchups[[#This Row],[TD1]:[TD3]])</f>
        <v>0.192</v>
      </c>
      <c r="V24" s="189">
        <f>AVERAGE(RBmatchups[[#This Row],[Tar1]:[Tar3]])</f>
        <v>4.0999999999999996</v>
      </c>
      <c r="W24" s="189">
        <f>AVERAGE(RBmatchups[[#This Row],[Rec1]:[Rec3]])</f>
        <v>4.319</v>
      </c>
      <c r="X24" s="189">
        <f>AVERAGE(RBmatchups[[#This Row],[RecYards1]:[RecYards3]])</f>
        <v>37.508333333333333</v>
      </c>
      <c r="Y24" s="189">
        <f>AVERAGE(RBmatchups[[#This Row],[RecTD1]:[RecTd3]])</f>
        <v>0.21650000000000003</v>
      </c>
      <c r="Z24" s="190">
        <f>SUM(RBmatchups[[#This Row],[Carries2]]+RBmatchups[[#This Row],[Rec4]])</f>
        <v>14.688333333333333</v>
      </c>
      <c r="AA24" s="189">
        <f>SUM(RBmatchups[[#This Row],[Yards]]+RBmatchups[[#This Row],[RecYards]])</f>
        <v>81.004666666666665</v>
      </c>
      <c r="AB24" s="189">
        <f>SUM(RBmatchups[[#This Row],[TD]]+RBmatchups[[#This Row],[RecTD5]])</f>
        <v>0.40850000000000003</v>
      </c>
      <c r="AC24" s="191">
        <f>_xlfn.RANK.EQ(RBmatchups[Projection],RBmatchups[Projection],0)</f>
        <v>14</v>
      </c>
      <c r="AD24" s="189">
        <f>SUM(RBmatchups[[#This Row],[Total Yards]]*0.1)+(RBmatchups[[#This Row],[Rec4]]*1)+(RBmatchups[[#This Row],[Total TD]]*6)+(RBmatchups[[#This Row],[100+]])</f>
        <v>14.870466666666669</v>
      </c>
      <c r="AE24" s="191" t="e">
        <f>_xlfn.RANK.EQ(RBmatchups[[#This Row],[$/FP]],RBmatchups[$/FP],1)</f>
        <v>#VALUE!</v>
      </c>
      <c r="AF24" s="453">
        <f>SUM(RBmatchups[[#This Row],[Salary]]/RBmatchups[[#This Row],[Projection]])</f>
        <v>349.68640302702892</v>
      </c>
      <c r="AG24" s="448" t="e">
        <f>_xlfn.RANK.EQ(RBmatchups[[#This Row],[Average]],RBmatchups[Average],1)</f>
        <v>#VALUE!</v>
      </c>
      <c r="AH24" s="190" t="e">
        <f>AVERAGE(RBmatchups[[#This Row],[Proj Rank]],RBmatchups[[#This Row],[Value Rank]])</f>
        <v>#VALUE!</v>
      </c>
      <c r="AI24" s="214">
        <f>RBmatchups[[#This Row],[Salary]]/50000</f>
        <v>0.104</v>
      </c>
      <c r="AJ24" s="214"/>
      <c r="AK24" s="14">
        <f>IFERROR(INDEX(HBstats1[Rush Att],MATCH(RBmatchups[[#This Row],[Name]],HBstats1[Player],0)),"0")</f>
        <v>11.407999999999999</v>
      </c>
      <c r="AL24" s="14">
        <f>IFERROR(INDEX(HBstats2[Carries],MATCH(RBmatchups[[#This Row],[Name]],HBstats2[Player],0)),"0")</f>
        <v>10.5</v>
      </c>
      <c r="AM24" s="14">
        <f>IFERROR(INDEX(HBstats3[Carries],MATCH(RBmatchups[[#This Row],[Name]],HBstats3[Player],0)),"0")</f>
        <v>9.1999999999999993</v>
      </c>
      <c r="AN24" s="14" t="str">
        <f>IFERROR(INDEX(HBallowed[Carries],MATCH(RBmatchups[[#This Row],[Opp]],HBallowed[Team],0)),"0")</f>
        <v>0</v>
      </c>
      <c r="AO24" s="14">
        <f>IFERROR(INDEX(HBstats1[Rush Yds],MATCH(RBmatchups[[#This Row],[Name]],HBstats1[Player],0)),"0")</f>
        <v>42.988999999999997</v>
      </c>
      <c r="AP24" s="14">
        <f>IFERROR(INDEX(HBstats2[RushYards],MATCH(RBmatchups[[#This Row],[Name]],HBstats2[Player],0)),"0")</f>
        <v>47.1</v>
      </c>
      <c r="AQ24" s="14">
        <f>IFERROR(INDEX(HBstats3[RushYards],MATCH(RBmatchups[[#This Row],[Name]],HBstats3[Player],0)),"0")</f>
        <v>40.4</v>
      </c>
      <c r="AR24" s="32" t="str">
        <f>IFERROR(INDEX(HBallowed[Yards],MATCH(RBmatchups[[#This Row],[Opp]],HBallowed[Team],0)),"0")</f>
        <v>0</v>
      </c>
      <c r="AS24" s="14">
        <f>IFERROR(INDEX(HBstats1[Rush TD],MATCH(RBmatchups[[#This Row],[Name]],HBstats1[Player],0)),"0")</f>
        <v>0.184</v>
      </c>
      <c r="AT24" s="14" t="str">
        <f>IFERROR(INDEX(HBstats2[RushTD],MATCH(RBmatchups[[#This Row],[Name]],HBstats2[Player],0)),"0")</f>
        <v>0.3</v>
      </c>
      <c r="AU24" s="14">
        <f>IFERROR(INDEX(HBstats3[RushTD],MATCH(RBmatchups[[#This Row],[Name]],HBstats3[Player],0)),"0")</f>
        <v>0.2</v>
      </c>
      <c r="AV24" s="32" t="str">
        <f>IFERROR(INDEX(HBallowed[TD],MATCH(RBmatchups[[#This Row],[Opp]],HBallowed[Team],0)),"0")</f>
        <v>0</v>
      </c>
      <c r="AW24" s="32">
        <f>IFERROR(INDEX(HBstats3[Targets],MATCH(RBmatchups[[#This Row],[Name]],HBstats3[Player],0)),"0")</f>
        <v>4.0999999999999996</v>
      </c>
      <c r="AX24" s="32" t="str">
        <f>IFERROR(INDEX(HBstats2[Targets],MATCH(RBmatchups[[#This Row],[Name]],HBstats2[Player],0)),"0")</f>
        <v>0</v>
      </c>
      <c r="AY24" s="32">
        <f>IFERROR(INDEX(HBstats3[Targets],MATCH(RBmatchups[[#This Row],[Name]],HBstats3[Player],0)),"0")</f>
        <v>4.0999999999999996</v>
      </c>
      <c r="AZ24" s="14">
        <f>IFERROR(INDEX(HBstats1[Rec],MATCH(RBmatchups[[#This Row],[Name]],HBstats1[Player],0)),"0")</f>
        <v>5.2569999999999997</v>
      </c>
      <c r="BA24" s="14">
        <f>IFERROR(INDEX(HBstats2[Rec],MATCH(RBmatchups[[#This Row],[Name]],HBstats2[Player],0)),"0")</f>
        <v>4.3</v>
      </c>
      <c r="BB24" s="14">
        <f>IFERROR(INDEX(HBstats3[Rec],MATCH(RBmatchups[[#This Row],[Name]],HBstats3[Player],0)),"0")</f>
        <v>3.4</v>
      </c>
      <c r="BC24" s="32" t="str">
        <f>IFERROR(INDEX(HBallowed[Rec],MATCH(RBmatchups[[#This Row],[Opp]],HBallowed[Team],0)),"0")</f>
        <v>0</v>
      </c>
      <c r="BD24" s="14">
        <f>IFERROR(INDEX(HBstats1[Rec Yds],MATCH(RBmatchups[[#This Row],[Name]],HBstats1[Player],0)),"0")</f>
        <v>46.325000000000003</v>
      </c>
      <c r="BE24" s="14">
        <f>IFERROR(INDEX(HBstats2[RecYards],MATCH(RBmatchups[[#This Row],[Name]],HBstats2[Player],0)),"0")</f>
        <v>34.299999999999997</v>
      </c>
      <c r="BF24" s="14">
        <f>IFERROR(INDEX(HBstats3[RecYards],MATCH(RBmatchups[[#This Row],[Name]],HBstats3[Player],0)),"0")</f>
        <v>31.9</v>
      </c>
      <c r="BG24" s="32" t="str">
        <f>IFERROR(INDEX(HBallowed[RecYards],MATCH(RBmatchups[[#This Row],[Opp]],HBallowed[Team],0)),"0")</f>
        <v>0</v>
      </c>
      <c r="BH24" s="14">
        <f>IFERROR(INDEX(HBstats1[Rec TD],MATCH(RBmatchups[[#This Row],[Name]],HBstats1[Player],0)),"0")</f>
        <v>0.23300000000000001</v>
      </c>
      <c r="BI24" s="14" t="str">
        <f>IFERROR(INDEX(HBstats2[RecTD],MATCH(RBmatchups[[#This Row],[Name]],HBstats2[Player],0)),"0")</f>
        <v>0.2</v>
      </c>
      <c r="BJ24" s="14">
        <f>IFERROR(INDEX(HBstats3[RecTD],MATCH(RBmatchups[[#This Row],[Name]],HBstats3[Player],0)),"0")</f>
        <v>0.2</v>
      </c>
      <c r="BK24" s="32" t="str">
        <f>IFERROR(INDEX(HBallowed[RecTD],MATCH(RBmatchups[[#This Row],[Opp]],HBallowed[Team],0)),"0")</f>
        <v>0</v>
      </c>
      <c r="BL24" s="268">
        <f>IF(RBmatchups[[#This Row],[Yards]]&gt;=100,3,0)</f>
        <v>0</v>
      </c>
    </row>
    <row r="25" spans="1:64" x14ac:dyDescent="0.3">
      <c r="A25" s="37">
        <f>HBstats1!AL14</f>
        <v>13.6</v>
      </c>
      <c r="B25" s="153" t="str">
        <f>HBstats1!D14</f>
        <v>Carlos Hyde</v>
      </c>
      <c r="C25" s="154">
        <f>IFERROR(INDEX(Salaries[DraftKings (Price)],MATCH(RBmatchups[[#This Row],[Name]],Salaries[Player],0)),"")</f>
        <v>4200</v>
      </c>
      <c r="D25" s="154">
        <f>IFERROR(INDEX(DK_Salary_Changes[WeekChange],MATCH(RBmatchups[[#This Row],[Name]],DK_Salary_Changes[Player],0)),"")</f>
        <v>-200</v>
      </c>
      <c r="E25" s="154" t="str">
        <f>IFERROR(INDEX(Salaries[Team],MATCH(RBmatchups[[#This Row],[Name]],Salaries[Player],0)),"")</f>
        <v>SF</v>
      </c>
      <c r="F25" s="189" t="str">
        <f>IFERROR(INDEX(Salaries[Opp],MATCH(RBmatchups[[#This Row],[Team]],Salaries[Team],0)),"")</f>
        <v>DAL</v>
      </c>
      <c r="G25" s="410">
        <f>IFERROR(INDEX(RBYTD[Rush ATT],MATCH(RBmatchups[Name],RBYTD[Player],0)),"0")</f>
        <v>58</v>
      </c>
      <c r="H25" s="191">
        <f>IFERROR(INDEX(RBYTD[Rush Yds],MATCH(RBmatchups[Name],RBYTD[Player],0)),"0")</f>
        <v>225</v>
      </c>
      <c r="I25" s="191">
        <f>IFERROR(INDEX(RBYTD[Rush TD],MATCH(RBmatchups[Name],RBYTD[Player],0)),"0")</f>
        <v>4</v>
      </c>
      <c r="J25" s="191">
        <f>IFERROR(INDEX(RBYTD[Rec],MATCH(RBmatchups[Name],RBYTD[Player],0)),"0")</f>
        <v>6</v>
      </c>
      <c r="K25" s="191">
        <f>IFERROR(INDEX(targettracker54[TTL],MATCH(RBmatchups[Name],targettracker54[Name],0)),"0")</f>
        <v>7</v>
      </c>
      <c r="L25" s="191">
        <f>IFERROR(INDEX(RBYTD[Rec Yds],MATCH(RBmatchups[Name],RBYTD[Player],0)),"0")</f>
        <v>25</v>
      </c>
      <c r="M25" s="411">
        <f>IFERROR(INDEX(RBYTD[Rec TD],MATCH(RBmatchups[Name],RBYTD[Player],0)),"0")</f>
        <v>0</v>
      </c>
      <c r="N25" s="441">
        <f>IFERROR(INDEX(Salaries[O/U],MATCH(RBmatchups[[#This Row],[Team]],Salaries[Team],0)),"")</f>
        <v>46</v>
      </c>
      <c r="O25" s="189">
        <f>IFERROR(INDEX(Salaries[Team O/U],MATCH(RBmatchups[[#This Row],[Team]],Salaries[Team],0)),"")</f>
        <v>21.5</v>
      </c>
      <c r="P25" s="442">
        <f>IFERROR(INDEX(Salaries[Spread],MATCH(RBmatchups[[#This Row],[Team]],Salaries[Team],0)),"")</f>
        <v>3</v>
      </c>
      <c r="Q25" s="424">
        <f>IFERROR(INDEX(HBallowed[DVP],MATCH(RBmatchups[[#This Row],[Opp]],HBallowed[Team],0)),IFERROR(INDEX(HBallowed[DVP],MATCH(RBmatchups[[#This Row],[Opp]],HBallowed[Opp],0)),""))</f>
        <v>25</v>
      </c>
      <c r="R25" s="441">
        <f>AVERAGE(RBmatchups[[#This Row],[Car1]:[Car3]])</f>
        <v>17.700666666666667</v>
      </c>
      <c r="S25" s="190">
        <f>AVERAGE(RBmatchups[[#This Row],[Yards1]:[Yards3]])</f>
        <v>78.426000000000002</v>
      </c>
      <c r="T25" s="189">
        <f>SUM(RBmatchups[[#This Row],[Yards]]/RBmatchups[[#This Row],[Carries2]])</f>
        <v>4.4306805770027493</v>
      </c>
      <c r="U25" s="189">
        <f>AVERAGE(RBmatchups[[#This Row],[TD1]:[TD3]])</f>
        <v>0.54099999999999993</v>
      </c>
      <c r="V25" s="189">
        <f>AVERAGE(RBmatchups[[#This Row],[Tar1]:[Tar3]])</f>
        <v>2</v>
      </c>
      <c r="W25" s="189">
        <f>AVERAGE(RBmatchups[[#This Row],[Rec1]:[Rec3]])</f>
        <v>1.992</v>
      </c>
      <c r="X25" s="189">
        <f>AVERAGE(RBmatchups[[#This Row],[RecYards1]:[RecYards3]])</f>
        <v>12.485999999999999</v>
      </c>
      <c r="Y25" s="189">
        <f>AVERAGE(RBmatchups[[#This Row],[RecTD1]:[RecTd3]])</f>
        <v>8.4000000000000005E-2</v>
      </c>
      <c r="Z25" s="190">
        <f>SUM(RBmatchups[[#This Row],[Carries2]]+RBmatchups[[#This Row],[Rec4]])</f>
        <v>19.692666666666668</v>
      </c>
      <c r="AA25" s="189">
        <f>SUM(RBmatchups[[#This Row],[Yards]]+RBmatchups[[#This Row],[RecYards]])</f>
        <v>90.912000000000006</v>
      </c>
      <c r="AB25" s="189">
        <f>SUM(RBmatchups[[#This Row],[TD]]+RBmatchups[[#This Row],[RecTD5]])</f>
        <v>0.62499999999999989</v>
      </c>
      <c r="AC25" s="191">
        <f>_xlfn.RANK.EQ(RBmatchups[Projection],RBmatchups[Projection],0)</f>
        <v>15</v>
      </c>
      <c r="AD25" s="189">
        <f>SUM(RBmatchups[[#This Row],[Total Yards]]*0.1)+(RBmatchups[[#This Row],[Rec4]]*1)+(RBmatchups[[#This Row],[Total TD]]*6)+(RBmatchups[[#This Row],[100+]])</f>
        <v>14.833200000000001</v>
      </c>
      <c r="AE25" s="191" t="e">
        <f>_xlfn.RANK.EQ(RBmatchups[[#This Row],[$/FP]],RBmatchups[$/FP],1)</f>
        <v>#VALUE!</v>
      </c>
      <c r="AF25" s="453">
        <f>SUM(RBmatchups[[#This Row],[Salary]]/RBmatchups[[#This Row],[Projection]])</f>
        <v>283.14861257179837</v>
      </c>
      <c r="AG25" s="448" t="e">
        <f>_xlfn.RANK.EQ(RBmatchups[[#This Row],[Average]],RBmatchups[Average],1)</f>
        <v>#VALUE!</v>
      </c>
      <c r="AH25" s="190" t="e">
        <f>AVERAGE(RBmatchups[[#This Row],[Proj Rank]],RBmatchups[[#This Row],[Value Rank]])</f>
        <v>#VALUE!</v>
      </c>
      <c r="AI25" s="214">
        <f>RBmatchups[[#This Row],[Salary]]/50000</f>
        <v>8.4000000000000005E-2</v>
      </c>
      <c r="AJ25" s="214"/>
      <c r="AK25" s="14">
        <f>IFERROR(INDEX(HBstats1[Rush Att],MATCH(RBmatchups[[#This Row],[Name]],HBstats1[Player],0)),"0")</f>
        <v>17.402000000000001</v>
      </c>
      <c r="AL25" s="14">
        <f>IFERROR(INDEX(HBstats2[Carries],MATCH(RBmatchups[[#This Row],[Name]],HBstats2[Player],0)),"0")</f>
        <v>18.2</v>
      </c>
      <c r="AM25" s="14">
        <f>IFERROR(INDEX(HBstats3[Carries],MATCH(RBmatchups[[#This Row],[Name]],HBstats3[Player],0)),"0")</f>
        <v>17.5</v>
      </c>
      <c r="AN25" s="14">
        <f>IFERROR(INDEX(HBallowed[Carries],MATCH(RBmatchups[[#This Row],[Opp]],HBallowed[Team],0)),"0")</f>
        <v>23.9375</v>
      </c>
      <c r="AO25" s="14">
        <f>IFERROR(INDEX(HBstats1[Rush Yds],MATCH(RBmatchups[[#This Row],[Name]],HBstats1[Player],0)),"0")</f>
        <v>72.778000000000006</v>
      </c>
      <c r="AP25" s="14">
        <f>IFERROR(INDEX(HBstats2[RushYards],MATCH(RBmatchups[[#This Row],[Name]],HBstats2[Player],0)),"0")</f>
        <v>78.2</v>
      </c>
      <c r="AQ25" s="14">
        <f>IFERROR(INDEX(HBstats3[RushYards],MATCH(RBmatchups[[#This Row],[Name]],HBstats3[Player],0)),"0")</f>
        <v>84.3</v>
      </c>
      <c r="AR25" s="32">
        <f>IFERROR(INDEX(HBallowed[Yards],MATCH(RBmatchups[[#This Row],[Opp]],HBallowed[Team],0)),"0")</f>
        <v>87.625</v>
      </c>
      <c r="AS25" s="14">
        <f>IFERROR(INDEX(HBstats1[Rush TD],MATCH(RBmatchups[[#This Row],[Name]],HBstats1[Player],0)),"0")</f>
        <v>0.58199999999999996</v>
      </c>
      <c r="AT25" s="14" t="str">
        <f>IFERROR(INDEX(HBstats2[RushTD],MATCH(RBmatchups[[#This Row],[Name]],HBstats2[Player],0)),"0")</f>
        <v>0.5</v>
      </c>
      <c r="AU25" s="14">
        <f>IFERROR(INDEX(HBstats3[RushTD],MATCH(RBmatchups[[#This Row],[Name]],HBstats3[Player],0)),"0")</f>
        <v>0.5</v>
      </c>
      <c r="AV25" s="32">
        <f>IFERROR(INDEX(HBallowed[TD],MATCH(RBmatchups[[#This Row],[Opp]],HBallowed[Team],0)),"0")</f>
        <v>0.8125</v>
      </c>
      <c r="AW25" s="32">
        <f>IFERROR(INDEX(HBstats3[Targets],MATCH(RBmatchups[[#This Row],[Name]],HBstats3[Player],0)),"0")</f>
        <v>2</v>
      </c>
      <c r="AX25" s="32" t="str">
        <f>IFERROR(INDEX(HBstats2[Targets],MATCH(RBmatchups[[#This Row],[Name]],HBstats2[Player],0)),"0")</f>
        <v>0</v>
      </c>
      <c r="AY25" s="32">
        <f>IFERROR(INDEX(HBstats3[Targets],MATCH(RBmatchups[[#This Row],[Name]],HBstats3[Player],0)),"0")</f>
        <v>2</v>
      </c>
      <c r="AZ25" s="14">
        <f>IFERROR(INDEX(HBstats1[Rec],MATCH(RBmatchups[[#This Row],[Name]],HBstats1[Player],0)),"0")</f>
        <v>2.476</v>
      </c>
      <c r="BA25" s="14">
        <f>IFERROR(INDEX(HBstats2[Rec],MATCH(RBmatchups[[#This Row],[Name]],HBstats2[Player],0)),"0")</f>
        <v>2</v>
      </c>
      <c r="BB25" s="14">
        <f>IFERROR(INDEX(HBstats3[Rec],MATCH(RBmatchups[[#This Row],[Name]],HBstats3[Player],0)),"0")</f>
        <v>1.5</v>
      </c>
      <c r="BC25" s="32">
        <f>IFERROR(INDEX(HBallowed[Rec],MATCH(RBmatchups[[#This Row],[Opp]],HBallowed[Team],0)),"0")</f>
        <v>6.5625</v>
      </c>
      <c r="BD25" s="14">
        <f>IFERROR(INDEX(HBstats1[Rec Yds],MATCH(RBmatchups[[#This Row],[Name]],HBstats1[Player],0)),"0")</f>
        <v>15.458</v>
      </c>
      <c r="BE25" s="14">
        <f>IFERROR(INDEX(HBstats2[RecYards],MATCH(RBmatchups[[#This Row],[Name]],HBstats2[Player],0)),"0")</f>
        <v>10.9</v>
      </c>
      <c r="BF25" s="14">
        <f>IFERROR(INDEX(HBstats3[RecYards],MATCH(RBmatchups[[#This Row],[Name]],HBstats3[Player],0)),"0")</f>
        <v>11.1</v>
      </c>
      <c r="BG25" s="32">
        <f>IFERROR(INDEX(HBallowed[RecYards],MATCH(RBmatchups[[#This Row],[Opp]],HBallowed[Team],0)),"0")</f>
        <v>56.0625</v>
      </c>
      <c r="BH25" s="14">
        <f>IFERROR(INDEX(HBstats1[Rec TD],MATCH(RBmatchups[[#This Row],[Name]],HBstats1[Player],0)),"0")</f>
        <v>6.8000000000000005E-2</v>
      </c>
      <c r="BI25" s="14" t="str">
        <f>IFERROR(INDEX(HBstats2[RecTD],MATCH(RBmatchups[[#This Row],[Name]],HBstats2[Player],0)),"0")</f>
        <v>0</v>
      </c>
      <c r="BJ25" s="14">
        <f>IFERROR(INDEX(HBstats3[RecTD],MATCH(RBmatchups[[#This Row],[Name]],HBstats3[Player],0)),"0")</f>
        <v>0.1</v>
      </c>
      <c r="BK25" s="32">
        <f>IFERROR(INDEX(HBallowed[RecTD],MATCH(RBmatchups[[#This Row],[Opp]],HBallowed[Team],0)),"0")</f>
        <v>0.3125</v>
      </c>
      <c r="BL25" s="268">
        <f>IF(RBmatchups[[#This Row],[Yards]]&gt;=100,3,0)</f>
        <v>0</v>
      </c>
    </row>
    <row r="26" spans="1:64" x14ac:dyDescent="0.3">
      <c r="A26" s="37">
        <f>HBstats1!AL8</f>
        <v>14.4</v>
      </c>
      <c r="B26" s="153" t="str">
        <f>HBstats1!D8</f>
        <v>LeGarrette Blount</v>
      </c>
      <c r="C26" s="154">
        <f>IFERROR(INDEX(Salaries[DraftKings (Price)],MATCH(RBmatchups[[#This Row],[Name]],Salaries[Player],0)),"")</f>
        <v>5000</v>
      </c>
      <c r="D26" s="154">
        <f>IFERROR(INDEX(DK_Salary_Changes[WeekChange],MATCH(RBmatchups[[#This Row],[Name]],DK_Salary_Changes[Player],0)),"")</f>
        <v>600</v>
      </c>
      <c r="E26" s="154" t="str">
        <f>IFERROR(INDEX(Salaries[Team],MATCH(RBmatchups[[#This Row],[Name]],Salaries[Player],0)),"")</f>
        <v>NE</v>
      </c>
      <c r="F26" s="189" t="str">
        <f>IFERROR(INDEX(Salaries[Opp],MATCH(RBmatchups[[#This Row],[Team]],Salaries[Team],0)),"")</f>
        <v>BUF</v>
      </c>
      <c r="G26" s="410">
        <f>IFERROR(INDEX(RBYTD[Rush ATT],MATCH(RBmatchups[Name],RBYTD[Player],0)),"0")</f>
        <v>75</v>
      </c>
      <c r="H26" s="191">
        <f>IFERROR(INDEX(RBYTD[Rush Yds],MATCH(RBmatchups[Name],RBYTD[Player],0)),"0")</f>
        <v>298</v>
      </c>
      <c r="I26" s="191">
        <f>IFERROR(INDEX(RBYTD[Rush TD],MATCH(RBmatchups[Name],RBYTD[Player],0)),"0")</f>
        <v>4</v>
      </c>
      <c r="J26" s="191">
        <f>IFERROR(INDEX(RBYTD[Rec],MATCH(RBmatchups[Name],RBYTD[Player],0)),"0")</f>
        <v>0</v>
      </c>
      <c r="K26" s="191">
        <f>IFERROR(INDEX(targettracker54[TTL],MATCH(RBmatchups[Name],targettracker54[Name],0)),"0")</f>
        <v>0</v>
      </c>
      <c r="L26" s="191">
        <f>IFERROR(INDEX(RBYTD[Rec Yds],MATCH(RBmatchups[Name],RBYTD[Player],0)),"0")</f>
        <v>0</v>
      </c>
      <c r="M26" s="411">
        <f>IFERROR(INDEX(RBYTD[Rec TD],MATCH(RBmatchups[Name],RBYTD[Player],0)),"0")</f>
        <v>0</v>
      </c>
      <c r="N26" s="441">
        <f>IFERROR(INDEX(Salaries[O/U],MATCH(RBmatchups[[#This Row],[Team]],Salaries[Team],0)),"")</f>
        <v>44</v>
      </c>
      <c r="O26" s="189">
        <f>IFERROR(INDEX(Salaries[Team O/U],MATCH(RBmatchups[[#This Row],[Team]],Salaries[Team],0)),"")</f>
        <v>24.25</v>
      </c>
      <c r="P26" s="442">
        <f>IFERROR(INDEX(Salaries[Spread],MATCH(RBmatchups[[#This Row],[Team]],Salaries[Team],0)),"")</f>
        <v>-4.5</v>
      </c>
      <c r="Q26" s="424">
        <f>IFERROR(INDEX(HBallowed[DVP],MATCH(RBmatchups[[#This Row],[Opp]],HBallowed[Team],0)),IFERROR(INDEX(HBallowed[DVP],MATCH(RBmatchups[[#This Row],[Opp]],HBallowed[Opp],0)),""))</f>
        <v>16</v>
      </c>
      <c r="R26" s="441">
        <f>AVERAGE(RBmatchups[[#This Row],[Car1]:[Car3]])</f>
        <v>18.007999999999999</v>
      </c>
      <c r="S26" s="190">
        <f>AVERAGE(RBmatchups[[#This Row],[Yards1]:[Yards3]])</f>
        <v>78.033999999999992</v>
      </c>
      <c r="T26" s="189">
        <f>SUM(RBmatchups[[#This Row],[Yards]]/RBmatchups[[#This Row],[Carries2]])</f>
        <v>4.3332963127498889</v>
      </c>
      <c r="U26" s="189">
        <f>AVERAGE(RBmatchups[[#This Row],[TD1]:[TD3]])</f>
        <v>0.70950000000000002</v>
      </c>
      <c r="V26" s="189">
        <f>AVERAGE(RBmatchups[[#This Row],[Tar1]:[Tar3]])</f>
        <v>1.1000000000000001</v>
      </c>
      <c r="W26" s="189">
        <f>AVERAGE(RBmatchups[[#This Row],[Rec1]:[Rec3]])</f>
        <v>1.4029999999999998</v>
      </c>
      <c r="X26" s="189">
        <f>AVERAGE(RBmatchups[[#This Row],[RecYards1]:[RecYards3]])</f>
        <v>10.536333333333333</v>
      </c>
      <c r="Y26" s="189">
        <f>AVERAGE(RBmatchups[[#This Row],[RecTD1]:[RecTd3]])</f>
        <v>0</v>
      </c>
      <c r="Z26" s="190">
        <f>SUM(RBmatchups[[#This Row],[Carries2]]+RBmatchups[[#This Row],[Rec4]])</f>
        <v>19.410999999999998</v>
      </c>
      <c r="AA26" s="189">
        <f>SUM(RBmatchups[[#This Row],[Yards]]+RBmatchups[[#This Row],[RecYards]])</f>
        <v>88.570333333333323</v>
      </c>
      <c r="AB26" s="189">
        <f>SUM(RBmatchups[[#This Row],[TD]]+RBmatchups[[#This Row],[RecTD5]])</f>
        <v>0.70950000000000002</v>
      </c>
      <c r="AC26" s="191">
        <f>_xlfn.RANK.EQ(RBmatchups[Projection],RBmatchups[Projection],0)</f>
        <v>16</v>
      </c>
      <c r="AD26" s="189">
        <f>SUM(RBmatchups[[#This Row],[Total Yards]]*0.1)+(RBmatchups[[#This Row],[Rec4]]*1)+(RBmatchups[[#This Row],[Total TD]]*6)+(RBmatchups[[#This Row],[100+]])</f>
        <v>14.517033333333332</v>
      </c>
      <c r="AE26" s="191" t="e">
        <f>_xlfn.RANK.EQ(RBmatchups[[#This Row],[$/FP]],RBmatchups[$/FP],1)</f>
        <v>#VALUE!</v>
      </c>
      <c r="AF26" s="453">
        <f>SUM(RBmatchups[[#This Row],[Salary]]/RBmatchups[[#This Row],[Projection]])</f>
        <v>344.42298816792231</v>
      </c>
      <c r="AG26" s="448" t="e">
        <f>_xlfn.RANK.EQ(RBmatchups[[#This Row],[Average]],RBmatchups[Average],1)</f>
        <v>#VALUE!</v>
      </c>
      <c r="AH26" s="190" t="e">
        <f>AVERAGE(RBmatchups[[#This Row],[Proj Rank]],RBmatchups[[#This Row],[Value Rank]])</f>
        <v>#VALUE!</v>
      </c>
      <c r="AI26" s="214">
        <f>RBmatchups[[#This Row],[Salary]]/50000</f>
        <v>0.1</v>
      </c>
      <c r="AJ26" s="214"/>
      <c r="AK26" s="14">
        <f>IFERROR(INDEX(HBstats1[Rush Att],MATCH(RBmatchups[[#This Row],[Name]],HBstats1[Player],0)),"0")</f>
        <v>22.524000000000001</v>
      </c>
      <c r="AL26" s="14">
        <f>IFERROR(INDEX(HBstats2[Carries],MATCH(RBmatchups[[#This Row],[Name]],HBstats2[Player],0)),"0")</f>
        <v>14.9</v>
      </c>
      <c r="AM26" s="14">
        <f>IFERROR(INDEX(HBstats3[Carries],MATCH(RBmatchups[[#This Row],[Name]],HBstats3[Player],0)),"0")</f>
        <v>16.600000000000001</v>
      </c>
      <c r="AN26" s="14">
        <f>IFERROR(INDEX(HBallowed[Carries],MATCH(RBmatchups[[#This Row],[Opp]],HBallowed[Team],0)),"0")</f>
        <v>22.4375</v>
      </c>
      <c r="AO26" s="14">
        <f>IFERROR(INDEX(HBstats1[Rush Yds],MATCH(RBmatchups[[#This Row],[Name]],HBstats1[Player],0)),"0")</f>
        <v>86.602000000000004</v>
      </c>
      <c r="AP26" s="14">
        <f>IFERROR(INDEX(HBstats2[RushYards],MATCH(RBmatchups[[#This Row],[Name]],HBstats2[Player],0)),"0")</f>
        <v>62.8</v>
      </c>
      <c r="AQ26" s="14">
        <f>IFERROR(INDEX(HBstats3[RushYards],MATCH(RBmatchups[[#This Row],[Name]],HBstats3[Player],0)),"0")</f>
        <v>84.7</v>
      </c>
      <c r="AR26" s="32">
        <f>IFERROR(INDEX(HBallowed[Yards],MATCH(RBmatchups[[#This Row],[Opp]],HBallowed[Team],0)),"0")</f>
        <v>111.6875</v>
      </c>
      <c r="AS26" s="14">
        <f>IFERROR(INDEX(HBstats1[Rush TD],MATCH(RBmatchups[[#This Row],[Name]],HBstats1[Player],0)),"0")</f>
        <v>0.91900000000000004</v>
      </c>
      <c r="AT26" s="14" t="str">
        <f>IFERROR(INDEX(HBstats2[RushTD],MATCH(RBmatchups[[#This Row],[Name]],HBstats2[Player],0)),"0")</f>
        <v>0.6</v>
      </c>
      <c r="AU26" s="14">
        <f>IFERROR(INDEX(HBstats3[RushTD],MATCH(RBmatchups[[#This Row],[Name]],HBstats3[Player],0)),"0")</f>
        <v>0.5</v>
      </c>
      <c r="AV26" s="32">
        <f>IFERROR(INDEX(HBallowed[TD],MATCH(RBmatchups[[#This Row],[Opp]],HBallowed[Team],0)),"0")</f>
        <v>0.875</v>
      </c>
      <c r="AW26" s="32">
        <f>IFERROR(INDEX(HBstats3[Targets],MATCH(RBmatchups[[#This Row],[Name]],HBstats3[Player],0)),"0")</f>
        <v>1.1000000000000001</v>
      </c>
      <c r="AX26" s="32" t="str">
        <f>IFERROR(INDEX(HBstats2[Targets],MATCH(RBmatchups[[#This Row],[Name]],HBstats2[Player],0)),"0")</f>
        <v>0</v>
      </c>
      <c r="AY26" s="32">
        <f>IFERROR(INDEX(HBstats3[Targets],MATCH(RBmatchups[[#This Row],[Name]],HBstats3[Player],0)),"0")</f>
        <v>1.1000000000000001</v>
      </c>
      <c r="AZ26" s="14">
        <f>IFERROR(INDEX(HBstats1[Rec],MATCH(RBmatchups[[#This Row],[Name]],HBstats1[Player],0)),"0")</f>
        <v>0.40899999999999997</v>
      </c>
      <c r="BA26" s="14">
        <f>IFERROR(INDEX(HBstats2[Rec],MATCH(RBmatchups[[#This Row],[Name]],HBstats2[Player],0)),"0")</f>
        <v>2.7</v>
      </c>
      <c r="BB26" s="14">
        <f>IFERROR(INDEX(HBstats3[Rec],MATCH(RBmatchups[[#This Row],[Name]],HBstats3[Player],0)),"0")</f>
        <v>1.1000000000000001</v>
      </c>
      <c r="BC26" s="32">
        <f>IFERROR(INDEX(HBallowed[Rec],MATCH(RBmatchups[[#This Row],[Opp]],HBallowed[Team],0)),"0")</f>
        <v>4.8125</v>
      </c>
      <c r="BD26" s="14">
        <f>IFERROR(INDEX(HBstats1[Rec Yds],MATCH(RBmatchups[[#This Row],[Name]],HBstats1[Player],0)),"0")</f>
        <v>3.7090000000000001</v>
      </c>
      <c r="BE26" s="14">
        <f>IFERROR(INDEX(HBstats2[RecYards],MATCH(RBmatchups[[#This Row],[Name]],HBstats2[Player],0)),"0")</f>
        <v>21.4</v>
      </c>
      <c r="BF26" s="14">
        <f>IFERROR(INDEX(HBstats3[RecYards],MATCH(RBmatchups[[#This Row],[Name]],HBstats3[Player],0)),"0")</f>
        <v>6.5</v>
      </c>
      <c r="BG26" s="32">
        <f>IFERROR(INDEX(HBallowed[RecYards],MATCH(RBmatchups[[#This Row],[Opp]],HBallowed[Team],0)),"0")</f>
        <v>46.4375</v>
      </c>
      <c r="BH26" s="14">
        <f>IFERROR(INDEX(HBstats1[Rec TD],MATCH(RBmatchups[[#This Row],[Name]],HBstats1[Player],0)),"0")</f>
        <v>0</v>
      </c>
      <c r="BI26" s="14" t="str">
        <f>IFERROR(INDEX(HBstats2[RecTD],MATCH(RBmatchups[[#This Row],[Name]],HBstats2[Player],0)),"0")</f>
        <v>0.1</v>
      </c>
      <c r="BJ26" s="14">
        <f>IFERROR(INDEX(HBstats3[RecTD],MATCH(RBmatchups[[#This Row],[Name]],HBstats3[Player],0)),"0")</f>
        <v>0</v>
      </c>
      <c r="BK26" s="32">
        <f>IFERROR(INDEX(HBallowed[RecTD],MATCH(RBmatchups[[#This Row],[Opp]],HBallowed[Team],0)),"0")</f>
        <v>0.1875</v>
      </c>
      <c r="BL26" s="268">
        <f>IF(RBmatchups[[#This Row],[Yards]]&gt;=100,3,0)</f>
        <v>0</v>
      </c>
    </row>
    <row r="27" spans="1:64" x14ac:dyDescent="0.3">
      <c r="A27" s="37">
        <f>HBstats1!AL20</f>
        <v>12.9</v>
      </c>
      <c r="B27" s="153" t="str">
        <f>HBstats1!D20</f>
        <v>Devonta Freeman</v>
      </c>
      <c r="C27" s="154">
        <f>IFERROR(INDEX(Salaries[DraftKings (Price)],MATCH(RBmatchups[[#This Row],[Name]],Salaries[Player],0)),"")</f>
        <v>5500</v>
      </c>
      <c r="D27" s="154">
        <f>IFERROR(INDEX(DK_Salary_Changes[WeekChange],MATCH(RBmatchups[[#This Row],[Name]],DK_Salary_Changes[Player],0)),"")</f>
        <v>-300</v>
      </c>
      <c r="E27" s="154" t="str">
        <f>IFERROR(INDEX(Salaries[Team],MATCH(RBmatchups[[#This Row],[Name]],Salaries[Player],0)),"")</f>
        <v>ATL</v>
      </c>
      <c r="F27" s="189" t="str">
        <f>IFERROR(INDEX(Salaries[Opp],MATCH(RBmatchups[[#This Row],[Team]],Salaries[Team],0)),"")</f>
        <v>CAR</v>
      </c>
      <c r="G27" s="410">
        <f>IFERROR(INDEX(RBYTD[Rush ATT],MATCH(RBmatchups[Name],RBYTD[Player],0)),"0")</f>
        <v>42</v>
      </c>
      <c r="H27" s="191">
        <f>IFERROR(INDEX(RBYTD[Rush Yds],MATCH(RBmatchups[Name],RBYTD[Player],0)),"0")</f>
        <v>265</v>
      </c>
      <c r="I27" s="191">
        <f>IFERROR(INDEX(RBYTD[Rush TD],MATCH(RBmatchups[Name],RBYTD[Player],0)),"0")</f>
        <v>0</v>
      </c>
      <c r="J27" s="191">
        <f>IFERROR(INDEX(RBYTD[Rec],MATCH(RBmatchups[Name],RBYTD[Player],0)),"0")</f>
        <v>9</v>
      </c>
      <c r="K27" s="191">
        <f>IFERROR(INDEX(targettracker54[TTL],MATCH(RBmatchups[Name],targettracker54[Name],0)),"0")</f>
        <v>9</v>
      </c>
      <c r="L27" s="191">
        <f>IFERROR(INDEX(RBYTD[Rec Yds],MATCH(RBmatchups[Name],RBYTD[Player],0)),"0")</f>
        <v>75</v>
      </c>
      <c r="M27" s="411">
        <f>IFERROR(INDEX(RBYTD[Rec TD],MATCH(RBmatchups[Name],RBYTD[Player],0)),"0")</f>
        <v>1</v>
      </c>
      <c r="N27" s="441">
        <f>IFERROR(INDEX(Salaries[O/U],MATCH(RBmatchups[[#This Row],[Team]],Salaries[Team],0)),"")</f>
        <v>50</v>
      </c>
      <c r="O27" s="189">
        <f>IFERROR(INDEX(Salaries[Team O/U],MATCH(RBmatchups[[#This Row],[Team]],Salaries[Team],0)),"")</f>
        <v>23.5</v>
      </c>
      <c r="P27" s="442">
        <f>IFERROR(INDEX(Salaries[Spread],MATCH(RBmatchups[[#This Row],[Team]],Salaries[Team],0)),"")</f>
        <v>3</v>
      </c>
      <c r="Q27" s="424">
        <f>IFERROR(INDEX(HBallowed[DVP],MATCH(RBmatchups[[#This Row],[Opp]],HBallowed[Team],0)),IFERROR(INDEX(HBallowed[DVP],MATCH(RBmatchups[[#This Row],[Opp]],HBallowed[Opp],0)),""))</f>
        <v>13</v>
      </c>
      <c r="R27" s="441">
        <f>AVERAGE(RBmatchups[[#This Row],[Car1]:[Car3]])</f>
        <v>12.492333333333335</v>
      </c>
      <c r="S27" s="190">
        <f>AVERAGE(RBmatchups[[#This Row],[Yards1]:[Yards3]])</f>
        <v>54.842666666666666</v>
      </c>
      <c r="T27" s="189">
        <f>SUM(RBmatchups[[#This Row],[Yards]]/RBmatchups[[#This Row],[Carries2]])</f>
        <v>4.3901059316380708</v>
      </c>
      <c r="U27" s="189">
        <f>AVERAGE(RBmatchups[[#This Row],[TD1]:[TD3]])</f>
        <v>0.35599999999999998</v>
      </c>
      <c r="V27" s="189">
        <f>AVERAGE(RBmatchups[[#This Row],[Tar1]:[Tar3]])</f>
        <v>4</v>
      </c>
      <c r="W27" s="189">
        <f>AVERAGE(RBmatchups[[#This Row],[Rec1]:[Rec3]])</f>
        <v>3.327</v>
      </c>
      <c r="X27" s="189">
        <f>AVERAGE(RBmatchups[[#This Row],[RecYards1]:[RecYards3]])</f>
        <v>25.394666666666666</v>
      </c>
      <c r="Y27" s="189">
        <f>AVERAGE(RBmatchups[[#This Row],[RecTD1]:[RecTd3]])</f>
        <v>0.1305</v>
      </c>
      <c r="Z27" s="190">
        <f>SUM(RBmatchups[[#This Row],[Carries2]]+RBmatchups[[#This Row],[Rec4]])</f>
        <v>15.819333333333335</v>
      </c>
      <c r="AA27" s="189">
        <f>SUM(RBmatchups[[#This Row],[Yards]]+RBmatchups[[#This Row],[RecYards]])</f>
        <v>80.237333333333339</v>
      </c>
      <c r="AB27" s="189">
        <f>SUM(RBmatchups[[#This Row],[TD]]+RBmatchups[[#This Row],[RecTD5]])</f>
        <v>0.48649999999999999</v>
      </c>
      <c r="AC27" s="191">
        <f>_xlfn.RANK.EQ(RBmatchups[Projection],RBmatchups[Projection],0)</f>
        <v>17</v>
      </c>
      <c r="AD27" s="189">
        <f>SUM(RBmatchups[[#This Row],[Total Yards]]*0.1)+(RBmatchups[[#This Row],[Rec4]]*1)+(RBmatchups[[#This Row],[Total TD]]*6)+(RBmatchups[[#This Row],[100+]])</f>
        <v>14.269733333333335</v>
      </c>
      <c r="AE27" s="191" t="e">
        <f>_xlfn.RANK.EQ(RBmatchups[[#This Row],[$/FP]],RBmatchups[$/FP],1)</f>
        <v>#VALUE!</v>
      </c>
      <c r="AF27" s="453">
        <f>SUM(RBmatchups[[#This Row],[Salary]]/RBmatchups[[#This Row],[Projection]])</f>
        <v>385.43116900105582</v>
      </c>
      <c r="AG27" s="448" t="e">
        <f>_xlfn.RANK.EQ(RBmatchups[[#This Row],[Average]],RBmatchups[Average],1)</f>
        <v>#VALUE!</v>
      </c>
      <c r="AH27" s="190" t="e">
        <f>AVERAGE(RBmatchups[[#This Row],[Proj Rank]],RBmatchups[[#This Row],[Value Rank]])</f>
        <v>#VALUE!</v>
      </c>
      <c r="AI27" s="214">
        <f>RBmatchups[[#This Row],[Salary]]/50000</f>
        <v>0.11</v>
      </c>
      <c r="AJ27" s="214"/>
      <c r="AK27" s="14">
        <f>IFERROR(INDEX(HBstats1[Rush Att],MATCH(RBmatchups[[#This Row],[Name]],HBstats1[Player],0)),"0")</f>
        <v>13.477</v>
      </c>
      <c r="AL27" s="14">
        <f>IFERROR(INDEX(HBstats2[Carries],MATCH(RBmatchups[[#This Row],[Name]],HBstats2[Player],0)),"0")</f>
        <v>13.2</v>
      </c>
      <c r="AM27" s="14">
        <f>IFERROR(INDEX(HBstats3[Carries],MATCH(RBmatchups[[#This Row],[Name]],HBstats3[Player],0)),"0")</f>
        <v>10.8</v>
      </c>
      <c r="AN27" s="14">
        <f>IFERROR(INDEX(HBallowed[Carries],MATCH(RBmatchups[[#This Row],[Opp]],HBallowed[Team],0)),"0")</f>
        <v>22.4375</v>
      </c>
      <c r="AO27" s="14">
        <f>IFERROR(INDEX(HBstats1[Rush Yds],MATCH(RBmatchups[[#This Row],[Name]],HBstats1[Player],0)),"0")</f>
        <v>61.927999999999997</v>
      </c>
      <c r="AP27" s="14">
        <f>IFERROR(INDEX(HBstats2[RushYards],MATCH(RBmatchups[[#This Row],[Name]],HBstats2[Player],0)),"0")</f>
        <v>55.8</v>
      </c>
      <c r="AQ27" s="14">
        <f>IFERROR(INDEX(HBstats3[RushYards],MATCH(RBmatchups[[#This Row],[Name]],HBstats3[Player],0)),"0")</f>
        <v>46.8</v>
      </c>
      <c r="AR27" s="32">
        <f>IFERROR(INDEX(HBallowed[Yards],MATCH(RBmatchups[[#This Row],[Opp]],HBallowed[Team],0)),"0")</f>
        <v>90.0625</v>
      </c>
      <c r="AS27" s="14">
        <f>IFERROR(INDEX(HBstats1[Rush TD],MATCH(RBmatchups[[#This Row],[Name]],HBstats1[Player],0)),"0")</f>
        <v>0.41199999999999998</v>
      </c>
      <c r="AT27" s="14" t="str">
        <f>IFERROR(INDEX(HBstats2[RushTD],MATCH(RBmatchups[[#This Row],[Name]],HBstats2[Player],0)),"0")</f>
        <v>0.4</v>
      </c>
      <c r="AU27" s="14">
        <f>IFERROR(INDEX(HBstats3[RushTD],MATCH(RBmatchups[[#This Row],[Name]],HBstats3[Player],0)),"0")</f>
        <v>0.3</v>
      </c>
      <c r="AV27" s="32">
        <f>IFERROR(INDEX(HBallowed[TD],MATCH(RBmatchups[[#This Row],[Opp]],HBallowed[Team],0)),"0")</f>
        <v>1</v>
      </c>
      <c r="AW27" s="32">
        <f>IFERROR(INDEX(HBstats3[Targets],MATCH(RBmatchups[[#This Row],[Name]],HBstats3[Player],0)),"0")</f>
        <v>4</v>
      </c>
      <c r="AX27" s="32" t="str">
        <f>IFERROR(INDEX(HBstats2[Targets],MATCH(RBmatchups[[#This Row],[Name]],HBstats2[Player],0)),"0")</f>
        <v>0</v>
      </c>
      <c r="AY27" s="32">
        <f>IFERROR(INDEX(HBstats3[Targets],MATCH(RBmatchups[[#This Row],[Name]],HBstats3[Player],0)),"0")</f>
        <v>4</v>
      </c>
      <c r="AZ27" s="14">
        <f>IFERROR(INDEX(HBstats1[Rec],MATCH(RBmatchups[[#This Row],[Name]],HBstats1[Player],0)),"0")</f>
        <v>2.8809999999999998</v>
      </c>
      <c r="BA27" s="14">
        <f>IFERROR(INDEX(HBstats2[Rec],MATCH(RBmatchups[[#This Row],[Name]],HBstats2[Player],0)),"0")</f>
        <v>3.9</v>
      </c>
      <c r="BB27" s="14">
        <f>IFERROR(INDEX(HBstats3[Rec],MATCH(RBmatchups[[#This Row],[Name]],HBstats3[Player],0)),"0")</f>
        <v>3.2</v>
      </c>
      <c r="BC27" s="32">
        <f>IFERROR(INDEX(HBallowed[Rec],MATCH(RBmatchups[[#This Row],[Opp]],HBallowed[Team],0)),"0")</f>
        <v>7.375</v>
      </c>
      <c r="BD27" s="14">
        <f>IFERROR(INDEX(HBstats1[Rec Yds],MATCH(RBmatchups[[#This Row],[Name]],HBstats1[Player],0)),"0")</f>
        <v>21.783999999999999</v>
      </c>
      <c r="BE27" s="14">
        <f>IFERROR(INDEX(HBstats2[RecYards],MATCH(RBmatchups[[#This Row],[Name]],HBstats2[Player],0)),"0")</f>
        <v>30</v>
      </c>
      <c r="BF27" s="14">
        <f>IFERROR(INDEX(HBstats3[RecYards],MATCH(RBmatchups[[#This Row],[Name]],HBstats3[Player],0)),"0")</f>
        <v>24.4</v>
      </c>
      <c r="BG27" s="32">
        <f>IFERROR(INDEX(HBallowed[RecYards],MATCH(RBmatchups[[#This Row],[Opp]],HBallowed[Team],0)),"0")</f>
        <v>59</v>
      </c>
      <c r="BH27" s="14">
        <f>IFERROR(INDEX(HBstats1[Rec TD],MATCH(RBmatchups[[#This Row],[Name]],HBstats1[Player],0)),"0")</f>
        <v>0.161</v>
      </c>
      <c r="BI27" s="14" t="str">
        <f>IFERROR(INDEX(HBstats2[RecTD],MATCH(RBmatchups[[#This Row],[Name]],HBstats2[Player],0)),"0")</f>
        <v>0.1</v>
      </c>
      <c r="BJ27" s="14">
        <f>IFERROR(INDEX(HBstats3[RecTD],MATCH(RBmatchups[[#This Row],[Name]],HBstats3[Player],0)),"0")</f>
        <v>0.1</v>
      </c>
      <c r="BK27" s="32">
        <f>IFERROR(INDEX(HBallowed[RecTD],MATCH(RBmatchups[[#This Row],[Opp]],HBallowed[Team],0)),"0")</f>
        <v>0.1875</v>
      </c>
      <c r="BL27" s="268">
        <f>IF(RBmatchups[[#This Row],[Yards]]&gt;=100,3,0)</f>
        <v>0</v>
      </c>
    </row>
    <row r="28" spans="1:64" x14ac:dyDescent="0.3">
      <c r="A28" s="37">
        <f>HBstats1!AL18</f>
        <v>12.2</v>
      </c>
      <c r="B28" s="153" t="str">
        <f>HBstats1!D18</f>
        <v>Jeremy Hill</v>
      </c>
      <c r="C28" s="154">
        <f>IFERROR(INDEX(Salaries[DraftKings (Price)],MATCH(RBmatchups[[#This Row],[Name]],Salaries[Player],0)),"")</f>
        <v>4100</v>
      </c>
      <c r="D28" s="154">
        <f>IFERROR(INDEX(DK_Salary_Changes[WeekChange],MATCH(RBmatchups[[#This Row],[Name]],DK_Salary_Changes[Player],0)),"")</f>
        <v>400</v>
      </c>
      <c r="E28" s="154" t="str">
        <f>IFERROR(INDEX(Salaries[Team],MATCH(RBmatchups[[#This Row],[Name]],Salaries[Player],0)),"")</f>
        <v>CIN</v>
      </c>
      <c r="F28" s="189" t="str">
        <f>IFERROR(INDEX(Salaries[Opp],MATCH(RBmatchups[[#This Row],[Team]],Salaries[Team],0)),"")</f>
        <v>MIA</v>
      </c>
      <c r="G28" s="410">
        <f>IFERROR(INDEX(RBYTD[Rush ATT],MATCH(RBmatchups[Name],RBYTD[Player],0)),"0")</f>
        <v>37</v>
      </c>
      <c r="H28" s="191">
        <f>IFERROR(INDEX(RBYTD[Rush Yds],MATCH(RBmatchups[Name],RBYTD[Player],0)),"0")</f>
        <v>150</v>
      </c>
      <c r="I28" s="191">
        <f>IFERROR(INDEX(RBYTD[Rush TD],MATCH(RBmatchups[Name],RBYTD[Player],0)),"0")</f>
        <v>3</v>
      </c>
      <c r="J28" s="191">
        <f>IFERROR(INDEX(RBYTD[Rec],MATCH(RBmatchups[Name],RBYTD[Player],0)),"0")</f>
        <v>3</v>
      </c>
      <c r="K28" s="191">
        <f>IFERROR(INDEX(targettracker54[TTL],MATCH(RBmatchups[Name],targettracker54[Name],0)),"0")</f>
        <v>5</v>
      </c>
      <c r="L28" s="191">
        <f>IFERROR(INDEX(RBYTD[Rec Yds],MATCH(RBmatchups[Name],RBYTD[Player],0)),"0")</f>
        <v>37</v>
      </c>
      <c r="M28" s="411">
        <f>IFERROR(INDEX(RBYTD[Rec TD],MATCH(RBmatchups[Name],RBYTD[Player],0)),"0")</f>
        <v>0</v>
      </c>
      <c r="N28" s="441">
        <f>IFERROR(INDEX(Salaries[O/U],MATCH(RBmatchups[[#This Row],[Team]],Salaries[Team],0)),"")</f>
        <v>44.5</v>
      </c>
      <c r="O28" s="189">
        <f>IFERROR(INDEX(Salaries[Team O/U],MATCH(RBmatchups[[#This Row],[Team]],Salaries[Team],0)),"")</f>
        <v>25.75</v>
      </c>
      <c r="P28" s="442">
        <f>IFERROR(INDEX(Salaries[Spread],MATCH(RBmatchups[[#This Row],[Team]],Salaries[Team],0)),"")</f>
        <v>-7</v>
      </c>
      <c r="Q28" s="424">
        <f>IFERROR(INDEX(HBallowed[DVP],MATCH(RBmatchups[[#This Row],[Opp]],HBallowed[Team],0)),IFERROR(INDEX(HBallowed[DVP],MATCH(RBmatchups[[#This Row],[Opp]],HBallowed[Opp],0)),""))</f>
        <v>32</v>
      </c>
      <c r="R28" s="441">
        <f>AVERAGE(RBmatchups[[#This Row],[Car1]:[Car3]])</f>
        <v>16.006666666666664</v>
      </c>
      <c r="S28" s="190">
        <f>AVERAGE(RBmatchups[[#This Row],[Yards1]:[Yards3]])</f>
        <v>69.137666666666675</v>
      </c>
      <c r="T28" s="189">
        <f>SUM(RBmatchups[[#This Row],[Yards]]/RBmatchups[[#This Row],[Carries2]])</f>
        <v>4.3193044564764698</v>
      </c>
      <c r="U28" s="189">
        <f>AVERAGE(RBmatchups[[#This Row],[TD1]:[TD3]])</f>
        <v>0.503</v>
      </c>
      <c r="V28" s="189">
        <f>AVERAGE(RBmatchups[[#This Row],[Tar1]:[Tar3]])</f>
        <v>1.3</v>
      </c>
      <c r="W28" s="189">
        <f>AVERAGE(RBmatchups[[#This Row],[Rec1]:[Rec3]])</f>
        <v>1.6873333333333334</v>
      </c>
      <c r="X28" s="189">
        <f>AVERAGE(RBmatchups[[#This Row],[RecYards1]:[RecYards3]])</f>
        <v>13.291333333333332</v>
      </c>
      <c r="Y28" s="189">
        <f>AVERAGE(RBmatchups[[#This Row],[RecTD1]:[RecTd3]])</f>
        <v>6.8000000000000005E-2</v>
      </c>
      <c r="Z28" s="190">
        <f>SUM(RBmatchups[[#This Row],[Carries2]]+RBmatchups[[#This Row],[Rec4]])</f>
        <v>17.693999999999999</v>
      </c>
      <c r="AA28" s="189">
        <f>SUM(RBmatchups[[#This Row],[Yards]]+RBmatchups[[#This Row],[RecYards]])</f>
        <v>82.429000000000002</v>
      </c>
      <c r="AB28" s="189">
        <f>SUM(RBmatchups[[#This Row],[TD]]+RBmatchups[[#This Row],[RecTD5]])</f>
        <v>0.57099999999999995</v>
      </c>
      <c r="AC28" s="191">
        <f>_xlfn.RANK.EQ(RBmatchups[Projection],RBmatchups[Projection],0)</f>
        <v>18</v>
      </c>
      <c r="AD28" s="189">
        <f>SUM(RBmatchups[[#This Row],[Total Yards]]*0.1)+(RBmatchups[[#This Row],[Rec4]]*1)+(RBmatchups[[#This Row],[Total TD]]*6)+(RBmatchups[[#This Row],[100+]])</f>
        <v>13.356233333333334</v>
      </c>
      <c r="AE28" s="191" t="e">
        <f>_xlfn.RANK.EQ(RBmatchups[[#This Row],[$/FP]],RBmatchups[$/FP],1)</f>
        <v>#VALUE!</v>
      </c>
      <c r="AF28" s="453">
        <f>SUM(RBmatchups[[#This Row],[Salary]]/RBmatchups[[#This Row],[Projection]])</f>
        <v>306.9727742602081</v>
      </c>
      <c r="AG28" s="448" t="e">
        <f>_xlfn.RANK.EQ(RBmatchups[[#This Row],[Average]],RBmatchups[Average],1)</f>
        <v>#VALUE!</v>
      </c>
      <c r="AH28" s="190" t="e">
        <f>AVERAGE(RBmatchups[[#This Row],[Proj Rank]],RBmatchups[[#This Row],[Value Rank]])</f>
        <v>#VALUE!</v>
      </c>
      <c r="AI28" s="214">
        <f>RBmatchups[[#This Row],[Salary]]/50000</f>
        <v>8.2000000000000003E-2</v>
      </c>
      <c r="AJ28" s="214"/>
      <c r="AK28" s="14">
        <f>IFERROR(INDEX(HBstats1[Rush Att],MATCH(RBmatchups[[#This Row],[Name]],HBstats1[Player],0)),"0")</f>
        <v>17.62</v>
      </c>
      <c r="AL28" s="14">
        <f>IFERROR(INDEX(HBstats2[Carries],MATCH(RBmatchups[[#This Row],[Name]],HBstats2[Player],0)),"0")</f>
        <v>13.7</v>
      </c>
      <c r="AM28" s="14">
        <f>IFERROR(INDEX(HBstats3[Carries],MATCH(RBmatchups[[#This Row],[Name]],HBstats3[Player],0)),"0")</f>
        <v>16.7</v>
      </c>
      <c r="AN28" s="14">
        <f>IFERROR(INDEX(HBallowed[Carries],MATCH(RBmatchups[[#This Row],[Opp]],HBallowed[Team],0)),"0")</f>
        <v>21.625</v>
      </c>
      <c r="AO28" s="14">
        <f>IFERROR(INDEX(HBstats1[Rush Yds],MATCH(RBmatchups[[#This Row],[Name]],HBstats1[Player],0)),"0")</f>
        <v>73.212999999999994</v>
      </c>
      <c r="AP28" s="14">
        <f>IFERROR(INDEX(HBstats2[RushYards],MATCH(RBmatchups[[#This Row],[Name]],HBstats2[Player],0)),"0")</f>
        <v>60.4</v>
      </c>
      <c r="AQ28" s="14">
        <f>IFERROR(INDEX(HBstats3[RushYards],MATCH(RBmatchups[[#This Row],[Name]],HBstats3[Player],0)),"0")</f>
        <v>73.8</v>
      </c>
      <c r="AR28" s="32">
        <f>IFERROR(INDEX(HBallowed[Yards],MATCH(RBmatchups[[#This Row],[Opp]],HBallowed[Team],0)),"0")</f>
        <v>89.0625</v>
      </c>
      <c r="AS28" s="14">
        <f>IFERROR(INDEX(HBstats1[Rush TD],MATCH(RBmatchups[[#This Row],[Name]],HBstats1[Player],0)),"0")</f>
        <v>0.60599999999999998</v>
      </c>
      <c r="AT28" s="14" t="str">
        <f>IFERROR(INDEX(HBstats2[RushTD],MATCH(RBmatchups[[#This Row],[Name]],HBstats2[Player],0)),"0")</f>
        <v>0.3</v>
      </c>
      <c r="AU28" s="14">
        <f>IFERROR(INDEX(HBstats3[RushTD],MATCH(RBmatchups[[#This Row],[Name]],HBstats3[Player],0)),"0")</f>
        <v>0.4</v>
      </c>
      <c r="AV28" s="32">
        <f>IFERROR(INDEX(HBallowed[TD],MATCH(RBmatchups[[#This Row],[Opp]],HBallowed[Team],0)),"0")</f>
        <v>0.75</v>
      </c>
      <c r="AW28" s="32">
        <f>IFERROR(INDEX(HBstats3[Targets],MATCH(RBmatchups[[#This Row],[Name]],HBstats3[Player],0)),"0")</f>
        <v>1.3</v>
      </c>
      <c r="AX28" s="32" t="str">
        <f>IFERROR(INDEX(HBstats2[Targets],MATCH(RBmatchups[[#This Row],[Name]],HBstats2[Player],0)),"0")</f>
        <v>0</v>
      </c>
      <c r="AY28" s="32">
        <f>IFERROR(INDEX(HBstats3[Targets],MATCH(RBmatchups[[#This Row],[Name]],HBstats3[Player],0)),"0")</f>
        <v>1.3</v>
      </c>
      <c r="AZ28" s="14">
        <f>IFERROR(INDEX(HBstats1[Rec],MATCH(RBmatchups[[#This Row],[Name]],HBstats1[Player],0)),"0")</f>
        <v>0.96199999999999997</v>
      </c>
      <c r="BA28" s="14">
        <f>IFERROR(INDEX(HBstats2[Rec],MATCH(RBmatchups[[#This Row],[Name]],HBstats2[Player],0)),"0")</f>
        <v>3.1</v>
      </c>
      <c r="BB28" s="14">
        <f>IFERROR(INDEX(HBstats3[Rec],MATCH(RBmatchups[[#This Row],[Name]],HBstats3[Player],0)),"0")</f>
        <v>1</v>
      </c>
      <c r="BC28" s="32">
        <f>IFERROR(INDEX(HBallowed[Rec],MATCH(RBmatchups[[#This Row],[Opp]],HBallowed[Team],0)),"0")</f>
        <v>4.25</v>
      </c>
      <c r="BD28" s="14">
        <f>IFERROR(INDEX(HBstats1[Rec Yds],MATCH(RBmatchups[[#This Row],[Name]],HBstats1[Player],0)),"0")</f>
        <v>8.3740000000000006</v>
      </c>
      <c r="BE28" s="14">
        <f>IFERROR(INDEX(HBstats2[RecYards],MATCH(RBmatchups[[#This Row],[Name]],HBstats2[Player],0)),"0")</f>
        <v>23.3</v>
      </c>
      <c r="BF28" s="14">
        <f>IFERROR(INDEX(HBstats3[RecYards],MATCH(RBmatchups[[#This Row],[Name]],HBstats3[Player],0)),"0")</f>
        <v>8.1999999999999993</v>
      </c>
      <c r="BG28" s="32">
        <f>IFERROR(INDEX(HBallowed[RecYards],MATCH(RBmatchups[[#This Row],[Opp]],HBallowed[Team],0)),"0")</f>
        <v>36.3125</v>
      </c>
      <c r="BH28" s="14">
        <f>IFERROR(INDEX(HBstats1[Rec TD],MATCH(RBmatchups[[#This Row],[Name]],HBstats1[Player],0)),"0")</f>
        <v>3.5999999999999997E-2</v>
      </c>
      <c r="BI28" s="14" t="str">
        <f>IFERROR(INDEX(HBstats2[RecTD],MATCH(RBmatchups[[#This Row],[Name]],HBstats2[Player],0)),"0")</f>
        <v>0.1</v>
      </c>
      <c r="BJ28" s="14">
        <f>IFERROR(INDEX(HBstats3[RecTD],MATCH(RBmatchups[[#This Row],[Name]],HBstats3[Player],0)),"0")</f>
        <v>0.1</v>
      </c>
      <c r="BK28" s="32">
        <f>IFERROR(INDEX(HBallowed[RecTD],MATCH(RBmatchups[[#This Row],[Opp]],HBallowed[Team],0)),"0")</f>
        <v>6.25E-2</v>
      </c>
      <c r="BL28" s="268">
        <f>IF(RBmatchups[[#This Row],[Yards]]&gt;=100,3,0)</f>
        <v>0</v>
      </c>
    </row>
    <row r="29" spans="1:64" x14ac:dyDescent="0.3">
      <c r="A29" s="37">
        <f>HBstats1!AL29</f>
        <v>11.3</v>
      </c>
      <c r="B29" s="153" t="str">
        <f>HBstats1!D29</f>
        <v>Giovani Bernard</v>
      </c>
      <c r="C29" s="154">
        <f>IFERROR(INDEX(Salaries[DraftKings (Price)],MATCH(RBmatchups[[#This Row],[Name]],Salaries[Player],0)),"")</f>
        <v>4700</v>
      </c>
      <c r="D29" s="154">
        <f>IFERROR(INDEX(DK_Salary_Changes[WeekChange],MATCH(RBmatchups[[#This Row],[Name]],DK_Salary_Changes[Player],0)),"")</f>
        <v>400</v>
      </c>
      <c r="E29" s="154" t="str">
        <f>IFERROR(INDEX(Salaries[Team],MATCH(RBmatchups[[#This Row],[Name]],Salaries[Player],0)),"")</f>
        <v>CIN</v>
      </c>
      <c r="F29" s="189" t="str">
        <f>IFERROR(INDEX(Salaries[Opp],MATCH(RBmatchups[[#This Row],[Team]],Salaries[Team],0)),"")</f>
        <v>MIA</v>
      </c>
      <c r="G29" s="410">
        <f>IFERROR(INDEX(RBYTD[Rush ATT],MATCH(RBmatchups[Name],RBYTD[Player],0)),"0")</f>
        <v>15</v>
      </c>
      <c r="H29" s="191">
        <f>IFERROR(INDEX(RBYTD[Rush Yds],MATCH(RBmatchups[Name],RBYTD[Player],0)),"0")</f>
        <v>50</v>
      </c>
      <c r="I29" s="191">
        <f>IFERROR(INDEX(RBYTD[Rush TD],MATCH(RBmatchups[Name],RBYTD[Player],0)),"0")</f>
        <v>0</v>
      </c>
      <c r="J29" s="191">
        <f>IFERROR(INDEX(RBYTD[Rec],MATCH(RBmatchups[Name],RBYTD[Player],0)),"0")</f>
        <v>16</v>
      </c>
      <c r="K29" s="191">
        <f>IFERROR(INDEX(targettracker54[TTL],MATCH(RBmatchups[Name],targettracker54[Name],0)),"0")</f>
        <v>20</v>
      </c>
      <c r="L29" s="191">
        <f>IFERROR(INDEX(RBYTD[Rec Yds],MATCH(RBmatchups[Name],RBYTD[Player],0)),"0")</f>
        <v>141</v>
      </c>
      <c r="M29" s="411">
        <f>IFERROR(INDEX(RBYTD[Rec TD],MATCH(RBmatchups[Name],RBYTD[Player],0)),"0")</f>
        <v>1</v>
      </c>
      <c r="N29" s="441">
        <f>IFERROR(INDEX(Salaries[O/U],MATCH(RBmatchups[[#This Row],[Team]],Salaries[Team],0)),"")</f>
        <v>44.5</v>
      </c>
      <c r="O29" s="189">
        <f>IFERROR(INDEX(Salaries[Team O/U],MATCH(RBmatchups[[#This Row],[Team]],Salaries[Team],0)),"")</f>
        <v>25.75</v>
      </c>
      <c r="P29" s="442">
        <f>IFERROR(INDEX(Salaries[Spread],MATCH(RBmatchups[[#This Row],[Team]],Salaries[Team],0)),"")</f>
        <v>-7</v>
      </c>
      <c r="Q29" s="424">
        <f>IFERROR(INDEX(HBallowed[DVP],MATCH(RBmatchups[[#This Row],[Opp]],HBallowed[Team],0)),IFERROR(INDEX(HBallowed[DVP],MATCH(RBmatchups[[#This Row],[Opp]],HBallowed[Opp],0)),""))</f>
        <v>32</v>
      </c>
      <c r="R29" s="441">
        <f>AVERAGE(RBmatchups[[#This Row],[Car1]:[Car3]])</f>
        <v>7.836666666666666</v>
      </c>
      <c r="S29" s="190">
        <f>AVERAGE(RBmatchups[[#This Row],[Yards1]:[Yards3]])</f>
        <v>36.699666666666666</v>
      </c>
      <c r="T29" s="189">
        <f>SUM(RBmatchups[[#This Row],[Yards]]/RBmatchups[[#This Row],[Carries2]])</f>
        <v>4.6830710336027224</v>
      </c>
      <c r="U29" s="189">
        <f>AVERAGE(RBmatchups[[#This Row],[TD1]:[TD3]])</f>
        <v>0.16450000000000001</v>
      </c>
      <c r="V29" s="189">
        <f>AVERAGE(RBmatchups[[#This Row],[Tar1]:[Tar3]])</f>
        <v>5.0999999999999996</v>
      </c>
      <c r="W29" s="189">
        <f>AVERAGE(RBmatchups[[#This Row],[Rec1]:[Rec3]])</f>
        <v>3.9506666666666668</v>
      </c>
      <c r="X29" s="189">
        <f>AVERAGE(RBmatchups[[#This Row],[RecYards1]:[RecYards3]])</f>
        <v>34.589999999999996</v>
      </c>
      <c r="Y29" s="189">
        <f>AVERAGE(RBmatchups[[#This Row],[RecTD1]:[RecTd3]])</f>
        <v>0.21299999999999999</v>
      </c>
      <c r="Z29" s="190">
        <f>SUM(RBmatchups[[#This Row],[Carries2]]+RBmatchups[[#This Row],[Rec4]])</f>
        <v>11.787333333333333</v>
      </c>
      <c r="AA29" s="189">
        <f>SUM(RBmatchups[[#This Row],[Yards]]+RBmatchups[[#This Row],[RecYards]])</f>
        <v>71.289666666666662</v>
      </c>
      <c r="AB29" s="189">
        <f>SUM(RBmatchups[[#This Row],[TD]]+RBmatchups[[#This Row],[RecTD5]])</f>
        <v>0.3775</v>
      </c>
      <c r="AC29" s="191">
        <f>_xlfn.RANK.EQ(RBmatchups[Projection],RBmatchups[Projection],0)</f>
        <v>19</v>
      </c>
      <c r="AD29" s="189">
        <f>SUM(RBmatchups[[#This Row],[Total Yards]]*0.1)+(RBmatchups[[#This Row],[Rec4]]*1)+(RBmatchups[[#This Row],[Total TD]]*6)+(RBmatchups[[#This Row],[100+]])</f>
        <v>13.344633333333334</v>
      </c>
      <c r="AE29" s="191" t="e">
        <f>_xlfn.RANK.EQ(RBmatchups[[#This Row],[$/FP]],RBmatchups[$/FP],1)</f>
        <v>#VALUE!</v>
      </c>
      <c r="AF29" s="453">
        <f>SUM(RBmatchups[[#This Row],[Salary]]/RBmatchups[[#This Row],[Projection]])</f>
        <v>352.20150922093524</v>
      </c>
      <c r="AG29" s="448" t="e">
        <f>_xlfn.RANK.EQ(RBmatchups[[#This Row],[Average]],RBmatchups[Average],1)</f>
        <v>#VALUE!</v>
      </c>
      <c r="AH29" s="190" t="e">
        <f>AVERAGE(RBmatchups[[#This Row],[Proj Rank]],RBmatchups[[#This Row],[Value Rank]])</f>
        <v>#VALUE!</v>
      </c>
      <c r="AI29" s="214">
        <f>RBmatchups[[#This Row],[Salary]]/50000</f>
        <v>9.4E-2</v>
      </c>
      <c r="AJ29" s="214"/>
      <c r="AK29" s="14">
        <f>IFERROR(INDEX(HBstats1[Rush Att],MATCH(RBmatchups[[#This Row],[Name]],HBstats1[Player],0)),"0")</f>
        <v>6.21</v>
      </c>
      <c r="AL29" s="14">
        <f>IFERROR(INDEX(HBstats2[Carries],MATCH(RBmatchups[[#This Row],[Name]],HBstats2[Player],0)),"0")</f>
        <v>9.4</v>
      </c>
      <c r="AM29" s="14">
        <f>IFERROR(INDEX(HBstats3[Carries],MATCH(RBmatchups[[#This Row],[Name]],HBstats3[Player],0)),"0")</f>
        <v>7.9</v>
      </c>
      <c r="AN29" s="14">
        <f>IFERROR(INDEX(HBallowed[Carries],MATCH(RBmatchups[[#This Row],[Opp]],HBallowed[Team],0)),"0")</f>
        <v>21.625</v>
      </c>
      <c r="AO29" s="14">
        <f>IFERROR(INDEX(HBstats1[Rush Yds],MATCH(RBmatchups[[#This Row],[Name]],HBstats1[Player],0)),"0")</f>
        <v>32.798999999999999</v>
      </c>
      <c r="AP29" s="14">
        <f>IFERROR(INDEX(HBstats2[RushYards],MATCH(RBmatchups[[#This Row],[Name]],HBstats2[Player],0)),"0")</f>
        <v>39.299999999999997</v>
      </c>
      <c r="AQ29" s="14">
        <f>IFERROR(INDEX(HBstats3[RushYards],MATCH(RBmatchups[[#This Row],[Name]],HBstats3[Player],0)),"0")</f>
        <v>38</v>
      </c>
      <c r="AR29" s="32">
        <f>IFERROR(INDEX(HBallowed[Yards],MATCH(RBmatchups[[#This Row],[Opp]],HBallowed[Team],0)),"0")</f>
        <v>89.0625</v>
      </c>
      <c r="AS29" s="14">
        <f>IFERROR(INDEX(HBstats1[Rush TD],MATCH(RBmatchups[[#This Row],[Name]],HBstats1[Player],0)),"0")</f>
        <v>0.129</v>
      </c>
      <c r="AT29" s="14" t="str">
        <f>IFERROR(INDEX(HBstats2[RushTD],MATCH(RBmatchups[[#This Row],[Name]],HBstats2[Player],0)),"0")</f>
        <v>0.2</v>
      </c>
      <c r="AU29" s="14">
        <f>IFERROR(INDEX(HBstats3[RushTD],MATCH(RBmatchups[[#This Row],[Name]],HBstats3[Player],0)),"0")</f>
        <v>0.2</v>
      </c>
      <c r="AV29" s="32">
        <f>IFERROR(INDEX(HBallowed[TD],MATCH(RBmatchups[[#This Row],[Opp]],HBallowed[Team],0)),"0")</f>
        <v>0.75</v>
      </c>
      <c r="AW29" s="32">
        <f>IFERROR(INDEX(HBstats3[Targets],MATCH(RBmatchups[[#This Row],[Name]],HBstats3[Player],0)),"0")</f>
        <v>5.0999999999999996</v>
      </c>
      <c r="AX29" s="32" t="str">
        <f>IFERROR(INDEX(HBstats2[Targets],MATCH(RBmatchups[[#This Row],[Name]],HBstats2[Player],0)),"0")</f>
        <v>0</v>
      </c>
      <c r="AY29" s="32">
        <f>IFERROR(INDEX(HBstats3[Targets],MATCH(RBmatchups[[#This Row],[Name]],HBstats3[Player],0)),"0")</f>
        <v>5.0999999999999996</v>
      </c>
      <c r="AZ29" s="14">
        <f>IFERROR(INDEX(HBstats1[Rec],MATCH(RBmatchups[[#This Row],[Name]],HBstats1[Player],0)),"0")</f>
        <v>5.0519999999999996</v>
      </c>
      <c r="BA29" s="14">
        <f>IFERROR(INDEX(HBstats2[Rec],MATCH(RBmatchups[[#This Row],[Name]],HBstats2[Player],0)),"0")</f>
        <v>3.1</v>
      </c>
      <c r="BB29" s="14">
        <f>IFERROR(INDEX(HBstats3[Rec],MATCH(RBmatchups[[#This Row],[Name]],HBstats3[Player],0)),"0")</f>
        <v>3.7</v>
      </c>
      <c r="BC29" s="32">
        <f>IFERROR(INDEX(HBallowed[Rec],MATCH(RBmatchups[[#This Row],[Opp]],HBallowed[Team],0)),"0")</f>
        <v>4.25</v>
      </c>
      <c r="BD29" s="14">
        <f>IFERROR(INDEX(HBstats1[Rec Yds],MATCH(RBmatchups[[#This Row],[Name]],HBstats1[Player],0)),"0")</f>
        <v>41.87</v>
      </c>
      <c r="BE29" s="14">
        <f>IFERROR(INDEX(HBstats2[RecYards],MATCH(RBmatchups[[#This Row],[Name]],HBstats2[Player],0)),"0")</f>
        <v>26.2</v>
      </c>
      <c r="BF29" s="14">
        <f>IFERROR(INDEX(HBstats3[RecYards],MATCH(RBmatchups[[#This Row],[Name]],HBstats3[Player],0)),"0")</f>
        <v>35.700000000000003</v>
      </c>
      <c r="BG29" s="32">
        <f>IFERROR(INDEX(HBallowed[RecYards],MATCH(RBmatchups[[#This Row],[Opp]],HBallowed[Team],0)),"0")</f>
        <v>36.3125</v>
      </c>
      <c r="BH29" s="14">
        <f>IFERROR(INDEX(HBstats1[Rec TD],MATCH(RBmatchups[[#This Row],[Name]],HBstats1[Player],0)),"0")</f>
        <v>0.126</v>
      </c>
      <c r="BI29" s="14" t="str">
        <f>IFERROR(INDEX(HBstats2[RecTD],MATCH(RBmatchups[[#This Row],[Name]],HBstats2[Player],0)),"0")</f>
        <v>0</v>
      </c>
      <c r="BJ29" s="14">
        <f>IFERROR(INDEX(HBstats3[RecTD],MATCH(RBmatchups[[#This Row],[Name]],HBstats3[Player],0)),"0")</f>
        <v>0.3</v>
      </c>
      <c r="BK29" s="32">
        <f>IFERROR(INDEX(HBallowed[RecTD],MATCH(RBmatchups[[#This Row],[Opp]],HBallowed[Team],0)),"0")</f>
        <v>6.25E-2</v>
      </c>
      <c r="BL29" s="268">
        <f>IF(RBmatchups[[#This Row],[Yards]]&gt;=100,3,0)</f>
        <v>0</v>
      </c>
    </row>
    <row r="30" spans="1:64" x14ac:dyDescent="0.3">
      <c r="A30" s="37">
        <f>HBstats1!AL16</f>
        <v>13.1</v>
      </c>
      <c r="B30" s="153" t="str">
        <f>HBstats1!D16</f>
        <v>Frank Gore</v>
      </c>
      <c r="C30" s="154">
        <f>IFERROR(INDEX(Salaries[DraftKings (Price)],MATCH(RBmatchups[[#This Row],[Name]],Salaries[Player],0)),"")</f>
        <v>5200</v>
      </c>
      <c r="D30" s="154">
        <f>IFERROR(INDEX(DK_Salary_Changes[WeekChange],MATCH(RBmatchups[[#This Row],[Name]],DK_Salary_Changes[Player],0)),"")</f>
        <v>200</v>
      </c>
      <c r="E30" s="154" t="str">
        <f>IFERROR(INDEX(Salaries[Team],MATCH(RBmatchups[[#This Row],[Name]],Salaries[Player],0)),"")</f>
        <v>IND</v>
      </c>
      <c r="F30" s="189" t="str">
        <f>IFERROR(INDEX(Salaries[Opp],MATCH(RBmatchups[[#This Row],[Team]],Salaries[Team],0)),"")</f>
        <v>@JAX</v>
      </c>
      <c r="G30" s="410">
        <f>IFERROR(INDEX(RBYTD[Rush ATT],MATCH(RBmatchups[Name],RBYTD[Player],0)),"0")</f>
        <v>48</v>
      </c>
      <c r="H30" s="191">
        <f>IFERROR(INDEX(RBYTD[Rush Yds],MATCH(RBmatchups[Name],RBYTD[Player],0)),"0")</f>
        <v>185</v>
      </c>
      <c r="I30" s="191">
        <f>IFERROR(INDEX(RBYTD[Rush TD],MATCH(RBmatchups[Name],RBYTD[Player],0)),"0")</f>
        <v>1</v>
      </c>
      <c r="J30" s="191">
        <f>IFERROR(INDEX(RBYTD[Rec],MATCH(RBmatchups[Name],RBYTD[Player],0)),"0")</f>
        <v>8</v>
      </c>
      <c r="K30" s="191">
        <f>IFERROR(INDEX(targettracker54[TTL],MATCH(RBmatchups[Name],targettracker54[Name],0)),"0")</f>
        <v>12</v>
      </c>
      <c r="L30" s="191">
        <f>IFERROR(INDEX(RBYTD[Rec Yds],MATCH(RBmatchups[Name],RBYTD[Player],0)),"0")</f>
        <v>39</v>
      </c>
      <c r="M30" s="411">
        <f>IFERROR(INDEX(RBYTD[Rec TD],MATCH(RBmatchups[Name],RBYTD[Player],0)),"0")</f>
        <v>1</v>
      </c>
      <c r="N30" s="441">
        <f>IFERROR(INDEX(Salaries[O/U],MATCH(RBmatchups[[#This Row],[Team]],Salaries[Team],0)),"")</f>
        <v>49.5</v>
      </c>
      <c r="O30" s="189">
        <f>IFERROR(INDEX(Salaries[Team O/U],MATCH(RBmatchups[[#This Row],[Team]],Salaries[Team],0)),"")</f>
        <v>26</v>
      </c>
      <c r="P30" s="442">
        <f>IFERROR(INDEX(Salaries[Spread],MATCH(RBmatchups[[#This Row],[Team]],Salaries[Team],0)),"")</f>
        <v>-2.5</v>
      </c>
      <c r="Q30" s="424">
        <f>IFERROR(INDEX(HBallowed[DVP],MATCH(RBmatchups[[#This Row],[Opp]],HBallowed[Team],0)),IFERROR(INDEX(HBallowed[DVP],MATCH(RBmatchups[[#This Row],[Opp]],HBallowed[Opp],0)),""))</f>
        <v>24</v>
      </c>
      <c r="R30" s="441">
        <f>AVERAGE(RBmatchups[[#This Row],[Car1]:[Car3]])</f>
        <v>16.177333333333333</v>
      </c>
      <c r="S30" s="190">
        <f>AVERAGE(RBmatchups[[#This Row],[Yards1]:[Yards3]])</f>
        <v>63.934000000000005</v>
      </c>
      <c r="T30" s="189">
        <f>SUM(RBmatchups[[#This Row],[Yards]]/RBmatchups[[#This Row],[Carries2]])</f>
        <v>3.9520728591444825</v>
      </c>
      <c r="U30" s="189">
        <f>AVERAGE(RBmatchups[[#This Row],[TD1]:[TD3]])</f>
        <v>0.36049999999999999</v>
      </c>
      <c r="V30" s="189">
        <f>AVERAGE(RBmatchups[[#This Row],[Tar1]:[Tar3]])</f>
        <v>2.4</v>
      </c>
      <c r="W30" s="189">
        <f>AVERAGE(RBmatchups[[#This Row],[Rec1]:[Rec3]])</f>
        <v>2.4093333333333331</v>
      </c>
      <c r="X30" s="189">
        <f>AVERAGE(RBmatchups[[#This Row],[RecYards1]:[RecYards3]])</f>
        <v>18.510666666666665</v>
      </c>
      <c r="Y30" s="189">
        <f>AVERAGE(RBmatchups[[#This Row],[RecTD1]:[RecTd3]])</f>
        <v>7.9500000000000001E-2</v>
      </c>
      <c r="Z30" s="190">
        <f>SUM(RBmatchups[[#This Row],[Carries2]]+RBmatchups[[#This Row],[Rec4]])</f>
        <v>18.586666666666666</v>
      </c>
      <c r="AA30" s="189">
        <f>SUM(RBmatchups[[#This Row],[Yards]]+RBmatchups[[#This Row],[RecYards]])</f>
        <v>82.444666666666677</v>
      </c>
      <c r="AB30" s="189">
        <f>SUM(RBmatchups[[#This Row],[TD]]+RBmatchups[[#This Row],[RecTD5]])</f>
        <v>0.44</v>
      </c>
      <c r="AC30" s="191">
        <f>_xlfn.RANK.EQ(RBmatchups[Projection],RBmatchups[Projection],0)</f>
        <v>20</v>
      </c>
      <c r="AD30" s="189">
        <f>SUM(RBmatchups[[#This Row],[Total Yards]]*0.1)+(RBmatchups[[#This Row],[Rec4]]*1)+(RBmatchups[[#This Row],[Total TD]]*6)+(RBmatchups[[#This Row],[100+]])</f>
        <v>13.293800000000001</v>
      </c>
      <c r="AE30" s="191" t="e">
        <f>_xlfn.RANK.EQ(RBmatchups[[#This Row],[$/FP]],RBmatchups[$/FP],1)</f>
        <v>#VALUE!</v>
      </c>
      <c r="AF30" s="453">
        <f>SUM(RBmatchups[[#This Row],[Salary]]/RBmatchups[[#This Row],[Projection]])</f>
        <v>391.15978877371401</v>
      </c>
      <c r="AG30" s="448" t="e">
        <f>_xlfn.RANK.EQ(RBmatchups[[#This Row],[Average]],RBmatchups[Average],1)</f>
        <v>#VALUE!</v>
      </c>
      <c r="AH30" s="190" t="e">
        <f>AVERAGE(RBmatchups[[#This Row],[Proj Rank]],RBmatchups[[#This Row],[Value Rank]])</f>
        <v>#VALUE!</v>
      </c>
      <c r="AI30" s="214">
        <f>RBmatchups[[#This Row],[Salary]]/50000</f>
        <v>0.104</v>
      </c>
      <c r="AJ30" s="214"/>
      <c r="AK30" s="14">
        <f>IFERROR(INDEX(HBstats1[Rush Att],MATCH(RBmatchups[[#This Row],[Name]],HBstats1[Player],0)),"0")</f>
        <v>18.632000000000001</v>
      </c>
      <c r="AL30" s="14">
        <f>IFERROR(INDEX(HBstats2[Carries],MATCH(RBmatchups[[#This Row],[Name]],HBstats2[Player],0)),"0")</f>
        <v>15.5</v>
      </c>
      <c r="AM30" s="14">
        <f>IFERROR(INDEX(HBstats3[Carries],MATCH(RBmatchups[[#This Row],[Name]],HBstats3[Player],0)),"0")</f>
        <v>14.4</v>
      </c>
      <c r="AN30" s="14" t="str">
        <f>IFERROR(INDEX(HBallowed[Carries],MATCH(RBmatchups[[#This Row],[Opp]],HBallowed[Team],0)),"0")</f>
        <v>0</v>
      </c>
      <c r="AO30" s="14">
        <f>IFERROR(INDEX(HBstats1[Rush Yds],MATCH(RBmatchups[[#This Row],[Name]],HBstats1[Player],0)),"0")</f>
        <v>71.902000000000001</v>
      </c>
      <c r="AP30" s="14">
        <f>IFERROR(INDEX(HBstats2[RushYards],MATCH(RBmatchups[[#This Row],[Name]],HBstats2[Player],0)),"0")</f>
        <v>63.6</v>
      </c>
      <c r="AQ30" s="14">
        <f>IFERROR(INDEX(HBstats3[RushYards],MATCH(RBmatchups[[#This Row],[Name]],HBstats3[Player],0)),"0")</f>
        <v>56.3</v>
      </c>
      <c r="AR30" s="32" t="str">
        <f>IFERROR(INDEX(HBallowed[Yards],MATCH(RBmatchups[[#This Row],[Opp]],HBallowed[Team],0)),"0")</f>
        <v>0</v>
      </c>
      <c r="AS30" s="14">
        <f>IFERROR(INDEX(HBstats1[Rush TD],MATCH(RBmatchups[[#This Row],[Name]],HBstats1[Player],0)),"0")</f>
        <v>0.42099999999999999</v>
      </c>
      <c r="AT30" s="14" t="str">
        <f>IFERROR(INDEX(HBstats2[RushTD],MATCH(RBmatchups[[#This Row],[Name]],HBstats2[Player],0)),"0")</f>
        <v>0.4</v>
      </c>
      <c r="AU30" s="14">
        <f>IFERROR(INDEX(HBstats3[RushTD],MATCH(RBmatchups[[#This Row],[Name]],HBstats3[Player],0)),"0")</f>
        <v>0.3</v>
      </c>
      <c r="AV30" s="32" t="str">
        <f>IFERROR(INDEX(HBallowed[TD],MATCH(RBmatchups[[#This Row],[Opp]],HBallowed[Team],0)),"0")</f>
        <v>0</v>
      </c>
      <c r="AW30" s="32">
        <f>IFERROR(INDEX(HBstats3[Targets],MATCH(RBmatchups[[#This Row],[Name]],HBstats3[Player],0)),"0")</f>
        <v>2.4</v>
      </c>
      <c r="AX30" s="32" t="str">
        <f>IFERROR(INDEX(HBstats2[Targets],MATCH(RBmatchups[[#This Row],[Name]],HBstats2[Player],0)),"0")</f>
        <v>0</v>
      </c>
      <c r="AY30" s="32">
        <f>IFERROR(INDEX(HBstats3[Targets],MATCH(RBmatchups[[#This Row],[Name]],HBstats3[Player],0)),"0")</f>
        <v>2.4</v>
      </c>
      <c r="AZ30" s="14">
        <f>IFERROR(INDEX(HBstats1[Rec],MATCH(RBmatchups[[#This Row],[Name]],HBstats1[Player],0)),"0")</f>
        <v>2.6280000000000001</v>
      </c>
      <c r="BA30" s="14">
        <f>IFERROR(INDEX(HBstats2[Rec],MATCH(RBmatchups[[#This Row],[Name]],HBstats2[Player],0)),"0")</f>
        <v>3</v>
      </c>
      <c r="BB30" s="14">
        <f>IFERROR(INDEX(HBstats3[Rec],MATCH(RBmatchups[[#This Row],[Name]],HBstats3[Player],0)),"0")</f>
        <v>1.6</v>
      </c>
      <c r="BC30" s="32" t="str">
        <f>IFERROR(INDEX(HBallowed[Rec],MATCH(RBmatchups[[#This Row],[Opp]],HBallowed[Team],0)),"0")</f>
        <v>0</v>
      </c>
      <c r="BD30" s="14">
        <f>IFERROR(INDEX(HBstats1[Rec Yds],MATCH(RBmatchups[[#This Row],[Name]],HBstats1[Player],0)),"0")</f>
        <v>19.931999999999999</v>
      </c>
      <c r="BE30" s="14">
        <f>IFERROR(INDEX(HBstats2[RecYards],MATCH(RBmatchups[[#This Row],[Name]],HBstats2[Player],0)),"0")</f>
        <v>23.6</v>
      </c>
      <c r="BF30" s="14">
        <f>IFERROR(INDEX(HBstats3[RecYards],MATCH(RBmatchups[[#This Row],[Name]],HBstats3[Player],0)),"0")</f>
        <v>12</v>
      </c>
      <c r="BG30" s="32" t="str">
        <f>IFERROR(INDEX(HBallowed[RecYards],MATCH(RBmatchups[[#This Row],[Opp]],HBallowed[Team],0)),"0")</f>
        <v>0</v>
      </c>
      <c r="BH30" s="14">
        <f>IFERROR(INDEX(HBstats1[Rec TD],MATCH(RBmatchups[[#This Row],[Name]],HBstats1[Player],0)),"0")</f>
        <v>5.8999999999999997E-2</v>
      </c>
      <c r="BI30" s="14" t="str">
        <f>IFERROR(INDEX(HBstats2[RecTD],MATCH(RBmatchups[[#This Row],[Name]],HBstats2[Player],0)),"0")</f>
        <v>0</v>
      </c>
      <c r="BJ30" s="14">
        <f>IFERROR(INDEX(HBstats3[RecTD],MATCH(RBmatchups[[#This Row],[Name]],HBstats3[Player],0)),"0")</f>
        <v>0.1</v>
      </c>
      <c r="BK30" s="32" t="str">
        <f>IFERROR(INDEX(HBallowed[RecTD],MATCH(RBmatchups[[#This Row],[Opp]],HBallowed[Team],0)),"0")</f>
        <v>0</v>
      </c>
      <c r="BL30" s="268">
        <f>IF(RBmatchups[[#This Row],[Yards]]&gt;=100,3,0)</f>
        <v>0</v>
      </c>
    </row>
    <row r="31" spans="1:64" x14ac:dyDescent="0.3">
      <c r="A31" s="37">
        <f>HBstats1!AL28</f>
        <v>10.6</v>
      </c>
      <c r="B31" s="153" t="str">
        <f>HBstats1!D28</f>
        <v>Jerick McKinnon</v>
      </c>
      <c r="C31" s="154">
        <f>IFERROR(INDEX(Salaries[DraftKings (Price)],MATCH(RBmatchups[[#This Row],[Name]],Salaries[Player],0)),"")</f>
        <v>3900</v>
      </c>
      <c r="D31" s="154">
        <f>IFERROR(INDEX(DK_Salary_Changes[WeekChange],MATCH(RBmatchups[[#This Row],[Name]],DK_Salary_Changes[Player],0)),"")</f>
        <v>100</v>
      </c>
      <c r="E31" s="154" t="str">
        <f>IFERROR(INDEX(Salaries[Team],MATCH(RBmatchups[[#This Row],[Name]],Salaries[Player],0)),"")</f>
        <v>MIN</v>
      </c>
      <c r="F31" s="189" t="str">
        <f>IFERROR(INDEX(Salaries[Opp],MATCH(RBmatchups[[#This Row],[Team]],Salaries[Team],0)),"")</f>
        <v>NYG</v>
      </c>
      <c r="G31" s="410">
        <f>IFERROR(INDEX(RBYTD[Rush ATT],MATCH(RBmatchups[Name],RBYTD[Player],0)),"0")</f>
        <v>19</v>
      </c>
      <c r="H31" s="191">
        <f>IFERROR(INDEX(RBYTD[Rush Yds],MATCH(RBmatchups[Name],RBYTD[Player],0)),"0")</f>
        <v>53</v>
      </c>
      <c r="I31" s="191">
        <f>IFERROR(INDEX(RBYTD[Rush TD],MATCH(RBmatchups[Name],RBYTD[Player],0)),"0")</f>
        <v>0</v>
      </c>
      <c r="J31" s="191">
        <f>IFERROR(INDEX(RBYTD[Rec],MATCH(RBmatchups[Name],RBYTD[Player],0)),"0")</f>
        <v>3</v>
      </c>
      <c r="K31" s="191">
        <f>IFERROR(INDEX(targettracker54[TTL],MATCH(RBmatchups[Name],targettracker54[Name],0)),"0")</f>
        <v>5</v>
      </c>
      <c r="L31" s="191">
        <f>IFERROR(INDEX(RBYTD[Rec Yds],MATCH(RBmatchups[Name],RBYTD[Player],0)),"0")</f>
        <v>4</v>
      </c>
      <c r="M31" s="411">
        <f>IFERROR(INDEX(RBYTD[Rec TD],MATCH(RBmatchups[Name],RBYTD[Player],0)),"0")</f>
        <v>0</v>
      </c>
      <c r="N31" s="441">
        <f>IFERROR(INDEX(Salaries[O/U],MATCH(RBmatchups[[#This Row],[Team]],Salaries[Team],0)),"")</f>
        <v>43.5</v>
      </c>
      <c r="O31" s="189">
        <f>IFERROR(INDEX(Salaries[Team O/U],MATCH(RBmatchups[[#This Row],[Team]],Salaries[Team],0)),"")</f>
        <v>23.75</v>
      </c>
      <c r="P31" s="442">
        <f>IFERROR(INDEX(Salaries[Spread],MATCH(RBmatchups[[#This Row],[Team]],Salaries[Team],0)),"")</f>
        <v>-4</v>
      </c>
      <c r="Q31" s="424">
        <f>IFERROR(INDEX(HBallowed[DVP],MATCH(RBmatchups[[#This Row],[Opp]],HBallowed[Team],0)),IFERROR(INDEX(HBallowed[DVP],MATCH(RBmatchups[[#This Row],[Opp]],HBallowed[Opp],0)),""))</f>
        <v>26</v>
      </c>
      <c r="R31" s="441">
        <f>AVERAGE(RBmatchups[[#This Row],[Car1]:[Car3]])</f>
        <v>13.445</v>
      </c>
      <c r="S31" s="190">
        <f>AVERAGE(RBmatchups[[#This Row],[Yards1]:[Yards3]])</f>
        <v>63.237000000000002</v>
      </c>
      <c r="T31" s="189">
        <f>SUM(RBmatchups[[#This Row],[Yards]]/RBmatchups[[#This Row],[Carries2]])</f>
        <v>4.7033841576794346</v>
      </c>
      <c r="U31" s="189">
        <f>AVERAGE(RBmatchups[[#This Row],[TD1]:[TD3]])</f>
        <v>0.26850000000000002</v>
      </c>
      <c r="V31" s="189">
        <f>AVERAGE(RBmatchups[[#This Row],[Tar1]:[Tar3]])</f>
        <v>3.1</v>
      </c>
      <c r="W31" s="189">
        <f>AVERAGE(RBmatchups[[#This Row],[Rec1]:[Rec3]])</f>
        <v>2.5456666666666665</v>
      </c>
      <c r="X31" s="189">
        <f>AVERAGE(RBmatchups[[#This Row],[RecYards1]:[RecYards3]])</f>
        <v>19.282</v>
      </c>
      <c r="Y31" s="189">
        <f>AVERAGE(RBmatchups[[#This Row],[RecTD1]:[RecTd3]])</f>
        <v>8.3500000000000005E-2</v>
      </c>
      <c r="Z31" s="190">
        <f>SUM(RBmatchups[[#This Row],[Carries2]]+RBmatchups[[#This Row],[Rec4]])</f>
        <v>15.990666666666666</v>
      </c>
      <c r="AA31" s="189">
        <f>SUM(RBmatchups[[#This Row],[Yards]]+RBmatchups[[#This Row],[RecYards]])</f>
        <v>82.519000000000005</v>
      </c>
      <c r="AB31" s="189">
        <f>SUM(RBmatchups[[#This Row],[TD]]+RBmatchups[[#This Row],[RecTD5]])</f>
        <v>0.35200000000000004</v>
      </c>
      <c r="AC31" s="191">
        <f>_xlfn.RANK.EQ(RBmatchups[Projection],RBmatchups[Projection],0)</f>
        <v>21</v>
      </c>
      <c r="AD31" s="189">
        <f>SUM(RBmatchups[[#This Row],[Total Yards]]*0.1)+(RBmatchups[[#This Row],[Rec4]]*1)+(RBmatchups[[#This Row],[Total TD]]*6)+(RBmatchups[[#This Row],[100+]])</f>
        <v>12.909566666666668</v>
      </c>
      <c r="AE31" s="191" t="e">
        <f>_xlfn.RANK.EQ(RBmatchups[[#This Row],[$/FP]],RBmatchups[$/FP],1)</f>
        <v>#VALUE!</v>
      </c>
      <c r="AF31" s="453">
        <f>SUM(RBmatchups[[#This Row],[Salary]]/RBmatchups[[#This Row],[Projection]])</f>
        <v>302.10154226710421</v>
      </c>
      <c r="AG31" s="448" t="e">
        <f>_xlfn.RANK.EQ(RBmatchups[[#This Row],[Average]],RBmatchups[Average],1)</f>
        <v>#VALUE!</v>
      </c>
      <c r="AH31" s="190" t="e">
        <f>AVERAGE(RBmatchups[[#This Row],[Proj Rank]],RBmatchups[[#This Row],[Value Rank]])</f>
        <v>#VALUE!</v>
      </c>
      <c r="AI31" s="214">
        <f>RBmatchups[[#This Row],[Salary]]/50000</f>
        <v>7.8E-2</v>
      </c>
      <c r="AJ31" s="214"/>
      <c r="AK31" s="14">
        <f>IFERROR(INDEX(HBstats1[Rush Att],MATCH(RBmatchups[[#This Row],[Name]],HBstats1[Player],0)),"0")</f>
        <v>14.535</v>
      </c>
      <c r="AL31" s="14">
        <f>IFERROR(INDEX(HBstats2[Carries],MATCH(RBmatchups[[#This Row],[Name]],HBstats2[Player],0)),"0")</f>
        <v>12.2</v>
      </c>
      <c r="AM31" s="14">
        <f>IFERROR(INDEX(HBstats3[Carries],MATCH(RBmatchups[[#This Row],[Name]],HBstats3[Player],0)),"0")</f>
        <v>13.6</v>
      </c>
      <c r="AN31" s="14">
        <f>IFERROR(INDEX(HBallowed[Carries],MATCH(RBmatchups[[#This Row],[Opp]],HBallowed[Team],0)),"0")</f>
        <v>22.5</v>
      </c>
      <c r="AO31" s="14">
        <f>IFERROR(INDEX(HBstats1[Rush Yds],MATCH(RBmatchups[[#This Row],[Name]],HBstats1[Player],0)),"0")</f>
        <v>58.511000000000003</v>
      </c>
      <c r="AP31" s="14">
        <f>IFERROR(INDEX(HBstats2[RushYards],MATCH(RBmatchups[[#This Row],[Name]],HBstats2[Player],0)),"0")</f>
        <v>58.9</v>
      </c>
      <c r="AQ31" s="14">
        <f>IFERROR(INDEX(HBstats3[RushYards],MATCH(RBmatchups[[#This Row],[Name]],HBstats3[Player],0)),"0")</f>
        <v>72.3</v>
      </c>
      <c r="AR31" s="32">
        <f>IFERROR(INDEX(HBallowed[Yards],MATCH(RBmatchups[[#This Row],[Opp]],HBallowed[Team],0)),"0")</f>
        <v>69.25</v>
      </c>
      <c r="AS31" s="14">
        <f>IFERROR(INDEX(HBstats1[Rush TD],MATCH(RBmatchups[[#This Row],[Name]],HBstats1[Player],0)),"0")</f>
        <v>0.13700000000000001</v>
      </c>
      <c r="AT31" s="14" t="str">
        <f>IFERROR(INDEX(HBstats2[RushTD],MATCH(RBmatchups[[#This Row],[Name]],HBstats2[Player],0)),"0")</f>
        <v>0.3</v>
      </c>
      <c r="AU31" s="14">
        <f>IFERROR(INDEX(HBstats3[RushTD],MATCH(RBmatchups[[#This Row],[Name]],HBstats3[Player],0)),"0")</f>
        <v>0.4</v>
      </c>
      <c r="AV31" s="32">
        <f>IFERROR(INDEX(HBallowed[TD],MATCH(RBmatchups[[#This Row],[Opp]],HBallowed[Team],0)),"0")</f>
        <v>0.5625</v>
      </c>
      <c r="AW31" s="32">
        <f>IFERROR(INDEX(HBstats3[Targets],MATCH(RBmatchups[[#This Row],[Name]],HBstats3[Player],0)),"0")</f>
        <v>3.1</v>
      </c>
      <c r="AX31" s="32" t="str">
        <f>IFERROR(INDEX(HBstats2[Targets],MATCH(RBmatchups[[#This Row],[Name]],HBstats2[Player],0)),"0")</f>
        <v>0</v>
      </c>
      <c r="AY31" s="32">
        <f>IFERROR(INDEX(HBstats3[Targets],MATCH(RBmatchups[[#This Row],[Name]],HBstats3[Player],0)),"0")</f>
        <v>3.1</v>
      </c>
      <c r="AZ31" s="14">
        <f>IFERROR(INDEX(HBstats1[Rec],MATCH(RBmatchups[[#This Row],[Name]],HBstats1[Player],0)),"0")</f>
        <v>3.0369999999999999</v>
      </c>
      <c r="BA31" s="14">
        <f>IFERROR(INDEX(HBstats2[Rec],MATCH(RBmatchups[[#This Row],[Name]],HBstats2[Player],0)),"0")</f>
        <v>1.9</v>
      </c>
      <c r="BB31" s="14">
        <f>IFERROR(INDEX(HBstats3[Rec],MATCH(RBmatchups[[#This Row],[Name]],HBstats3[Player],0)),"0")</f>
        <v>2.7</v>
      </c>
      <c r="BC31" s="32">
        <f>IFERROR(INDEX(HBallowed[Rec],MATCH(RBmatchups[[#This Row],[Opp]],HBallowed[Team],0)),"0")</f>
        <v>6</v>
      </c>
      <c r="BD31" s="14">
        <f>IFERROR(INDEX(HBstats1[Rec Yds],MATCH(RBmatchups[[#This Row],[Name]],HBstats1[Player],0)),"0")</f>
        <v>23.045999999999999</v>
      </c>
      <c r="BE31" s="14">
        <f>IFERROR(INDEX(HBstats2[RecYards],MATCH(RBmatchups[[#This Row],[Name]],HBstats2[Player],0)),"0")</f>
        <v>13</v>
      </c>
      <c r="BF31" s="14">
        <f>IFERROR(INDEX(HBstats3[RecYards],MATCH(RBmatchups[[#This Row],[Name]],HBstats3[Player],0)),"0")</f>
        <v>21.8</v>
      </c>
      <c r="BG31" s="32">
        <f>IFERROR(INDEX(HBallowed[RecYards],MATCH(RBmatchups[[#This Row],[Opp]],HBallowed[Team],0)),"0")</f>
        <v>45.4375</v>
      </c>
      <c r="BH31" s="14">
        <f>IFERROR(INDEX(HBstats1[Rec TD],MATCH(RBmatchups[[#This Row],[Name]],HBstats1[Player],0)),"0")</f>
        <v>6.7000000000000004E-2</v>
      </c>
      <c r="BI31" s="14" t="str">
        <f>IFERROR(INDEX(HBstats2[RecTD],MATCH(RBmatchups[[#This Row],[Name]],HBstats2[Player],0)),"0")</f>
        <v>0</v>
      </c>
      <c r="BJ31" s="14">
        <f>IFERROR(INDEX(HBstats3[RecTD],MATCH(RBmatchups[[#This Row],[Name]],HBstats3[Player],0)),"0")</f>
        <v>0.1</v>
      </c>
      <c r="BK31" s="32">
        <f>IFERROR(INDEX(HBallowed[RecTD],MATCH(RBmatchups[[#This Row],[Opp]],HBallowed[Team],0)),"0")</f>
        <v>0.3125</v>
      </c>
      <c r="BL31" s="268">
        <f>IF(RBmatchups[[#This Row],[Yards]]&gt;=100,3,0)</f>
        <v>0</v>
      </c>
    </row>
    <row r="32" spans="1:64" x14ac:dyDescent="0.3">
      <c r="A32" s="37">
        <f>HBstats1!AL17</f>
        <v>13</v>
      </c>
      <c r="B32" s="153" t="str">
        <f>HBstats1!D17</f>
        <v>Christine Michael</v>
      </c>
      <c r="C32" s="154">
        <f>IFERROR(INDEX(Salaries[DraftKings (Price)],MATCH(RBmatchups[[#This Row],[Name]],Salaries[Player],0)),"")</f>
        <v>6000</v>
      </c>
      <c r="D32" s="154">
        <f>IFERROR(INDEX(DK_Salary_Changes[WeekChange],MATCH(RBmatchups[[#This Row],[Name]],DK_Salary_Changes[Player],0)),"")</f>
        <v>1000</v>
      </c>
      <c r="E32" s="154" t="str">
        <f>IFERROR(INDEX(Salaries[Team],MATCH(RBmatchups[[#This Row],[Name]],Salaries[Player],0)),"")</f>
        <v>SEA</v>
      </c>
      <c r="F32" s="189" t="str">
        <f>IFERROR(INDEX(Salaries[Opp],MATCH(RBmatchups[[#This Row],[Team]],Salaries[Team],0)),"")</f>
        <v>@NYJ</v>
      </c>
      <c r="G32" s="410">
        <f>IFERROR(INDEX(RBYTD[Rush ATT],MATCH(RBmatchups[Name],RBYTD[Player],0)),"0")</f>
        <v>45</v>
      </c>
      <c r="H32" s="191">
        <f>IFERROR(INDEX(RBYTD[Rush Yds],MATCH(RBmatchups[Name],RBYTD[Player],0)),"0")</f>
        <v>232</v>
      </c>
      <c r="I32" s="191">
        <f>IFERROR(INDEX(RBYTD[Rush TD],MATCH(RBmatchups[Name],RBYTD[Player],0)),"0")</f>
        <v>2</v>
      </c>
      <c r="J32" s="191">
        <f>IFERROR(INDEX(RBYTD[Rec],MATCH(RBmatchups[Name],RBYTD[Player],0)),"0")</f>
        <v>7</v>
      </c>
      <c r="K32" s="191">
        <f>IFERROR(INDEX(targettracker54[TTL],MATCH(RBmatchups[Name],targettracker54[Name],0)),"0")</f>
        <v>11</v>
      </c>
      <c r="L32" s="191">
        <f>IFERROR(INDEX(RBYTD[Rec Yds],MATCH(RBmatchups[Name],RBYTD[Player],0)),"0")</f>
        <v>36</v>
      </c>
      <c r="M32" s="411">
        <f>IFERROR(INDEX(RBYTD[Rec TD],MATCH(RBmatchups[Name],RBYTD[Player],0)),"0")</f>
        <v>0</v>
      </c>
      <c r="N32" s="441">
        <f>IFERROR(INDEX(Salaries[O/U],MATCH(RBmatchups[[#This Row],[Team]],Salaries[Team],0)),"")</f>
        <v>40.5</v>
      </c>
      <c r="O32" s="189">
        <f>IFERROR(INDEX(Salaries[Team O/U],MATCH(RBmatchups[[#This Row],[Team]],Salaries[Team],0)),"")</f>
        <v>21</v>
      </c>
      <c r="P32" s="442">
        <f>IFERROR(INDEX(Salaries[Spread],MATCH(RBmatchups[[#This Row],[Team]],Salaries[Team],0)),"")</f>
        <v>-1.5</v>
      </c>
      <c r="Q32" s="424">
        <f>IFERROR(INDEX(HBallowed[DVP],MATCH(RBmatchups[[#This Row],[Opp]],HBallowed[Team],0)),IFERROR(INDEX(HBallowed[DVP],MATCH(RBmatchups[[#This Row],[Opp]],HBallowed[Opp],0)),""))</f>
        <v>2</v>
      </c>
      <c r="R32" s="441">
        <f>AVERAGE(RBmatchups[[#This Row],[Car1]:[Car3]])</f>
        <v>16.178000000000001</v>
      </c>
      <c r="S32" s="190">
        <f>AVERAGE(RBmatchups[[#This Row],[Yards1]:[Yards3]])</f>
        <v>64.096999999999994</v>
      </c>
      <c r="T32" s="189">
        <f>SUM(RBmatchups[[#This Row],[Yards]]/RBmatchups[[#This Row],[Carries2]])</f>
        <v>3.9619854122882923</v>
      </c>
      <c r="U32" s="189">
        <f>AVERAGE(RBmatchups[[#This Row],[TD1]:[TD3]])</f>
        <v>0.34250000000000003</v>
      </c>
      <c r="V32" s="189">
        <f>AVERAGE(RBmatchups[[#This Row],[Tar1]:[Tar3]])</f>
        <v>2.4</v>
      </c>
      <c r="W32" s="189">
        <f>AVERAGE(RBmatchups[[#This Row],[Rec1]:[Rec3]])</f>
        <v>2.3906666666666667</v>
      </c>
      <c r="X32" s="189">
        <f>AVERAGE(RBmatchups[[#This Row],[RecYards1]:[RecYards3]])</f>
        <v>15.310666666666668</v>
      </c>
      <c r="Y32" s="189">
        <f>AVERAGE(RBmatchups[[#This Row],[RecTD1]:[RecTd3]])</f>
        <v>7.5000000000000011E-2</v>
      </c>
      <c r="Z32" s="190">
        <f>SUM(RBmatchups[[#This Row],[Carries2]]+RBmatchups[[#This Row],[Rec4]])</f>
        <v>18.568666666666669</v>
      </c>
      <c r="AA32" s="189">
        <f>SUM(RBmatchups[[#This Row],[Yards]]+RBmatchups[[#This Row],[RecYards]])</f>
        <v>79.407666666666657</v>
      </c>
      <c r="AB32" s="189">
        <f>SUM(RBmatchups[[#This Row],[TD]]+RBmatchups[[#This Row],[RecTD5]])</f>
        <v>0.41750000000000004</v>
      </c>
      <c r="AC32" s="191">
        <f>_xlfn.RANK.EQ(RBmatchups[Projection],RBmatchups[Projection],0)</f>
        <v>22</v>
      </c>
      <c r="AD32" s="189">
        <f>SUM(RBmatchups[[#This Row],[Total Yards]]*0.1)+(RBmatchups[[#This Row],[Rec4]]*1)+(RBmatchups[[#This Row],[Total TD]]*6)+(RBmatchups[[#This Row],[100+]])</f>
        <v>12.836433333333334</v>
      </c>
      <c r="AE32" s="191" t="e">
        <f>_xlfn.RANK.EQ(RBmatchups[[#This Row],[$/FP]],RBmatchups[$/FP],1)</f>
        <v>#VALUE!</v>
      </c>
      <c r="AF32" s="453">
        <f>SUM(RBmatchups[[#This Row],[Salary]]/RBmatchups[[#This Row],[Projection]])</f>
        <v>467.4195583923883</v>
      </c>
      <c r="AG32" s="448" t="e">
        <f>_xlfn.RANK.EQ(RBmatchups[[#This Row],[Average]],RBmatchups[Average],1)</f>
        <v>#VALUE!</v>
      </c>
      <c r="AH32" s="190" t="e">
        <f>AVERAGE(RBmatchups[[#This Row],[Proj Rank]],RBmatchups[[#This Row],[Value Rank]])</f>
        <v>#VALUE!</v>
      </c>
      <c r="AI32" s="214">
        <f>RBmatchups[[#This Row],[Salary]]/50000</f>
        <v>0.12</v>
      </c>
      <c r="AJ32" s="214"/>
      <c r="AK32" s="14">
        <f>IFERROR(INDEX(HBstats1[Rush Att],MATCH(RBmatchups[[#This Row],[Name]],HBstats1[Player],0)),"0")</f>
        <v>19.934000000000001</v>
      </c>
      <c r="AL32" s="14">
        <f>IFERROR(INDEX(HBstats2[Carries],MATCH(RBmatchups[[#This Row],[Name]],HBstats2[Player],0)),"0")</f>
        <v>16.600000000000001</v>
      </c>
      <c r="AM32" s="14">
        <f>IFERROR(INDEX(HBstats3[Carries],MATCH(RBmatchups[[#This Row],[Name]],HBstats3[Player],0)),"0")</f>
        <v>12</v>
      </c>
      <c r="AN32" s="14" t="str">
        <f>IFERROR(INDEX(HBallowed[Carries],MATCH(RBmatchups[[#This Row],[Opp]],HBallowed[Team],0)),"0")</f>
        <v>0</v>
      </c>
      <c r="AO32" s="14">
        <f>IFERROR(INDEX(HBstats1[Rush Yds],MATCH(RBmatchups[[#This Row],[Name]],HBstats1[Player],0)),"0")</f>
        <v>76.391000000000005</v>
      </c>
      <c r="AP32" s="14">
        <f>IFERROR(INDEX(HBstats2[RushYards],MATCH(RBmatchups[[#This Row],[Name]],HBstats2[Player],0)),"0")</f>
        <v>68.099999999999994</v>
      </c>
      <c r="AQ32" s="14">
        <f>IFERROR(INDEX(HBstats3[RushYards],MATCH(RBmatchups[[#This Row],[Name]],HBstats3[Player],0)),"0")</f>
        <v>47.8</v>
      </c>
      <c r="AR32" s="32" t="str">
        <f>IFERROR(INDEX(HBallowed[Yards],MATCH(RBmatchups[[#This Row],[Opp]],HBallowed[Team],0)),"0")</f>
        <v>0</v>
      </c>
      <c r="AS32" s="14">
        <f>IFERROR(INDEX(HBstats1[Rush TD],MATCH(RBmatchups[[#This Row],[Name]],HBstats1[Player],0)),"0")</f>
        <v>0.48499999999999999</v>
      </c>
      <c r="AT32" s="14" t="str">
        <f>IFERROR(INDEX(HBstats2[RushTD],MATCH(RBmatchups[[#This Row],[Name]],HBstats2[Player],0)),"0")</f>
        <v>0.3</v>
      </c>
      <c r="AU32" s="14">
        <f>IFERROR(INDEX(HBstats3[RushTD],MATCH(RBmatchups[[#This Row],[Name]],HBstats3[Player],0)),"0")</f>
        <v>0.2</v>
      </c>
      <c r="AV32" s="32" t="str">
        <f>IFERROR(INDEX(HBallowed[TD],MATCH(RBmatchups[[#This Row],[Opp]],HBallowed[Team],0)),"0")</f>
        <v>0</v>
      </c>
      <c r="AW32" s="32">
        <f>IFERROR(INDEX(HBstats3[Targets],MATCH(RBmatchups[[#This Row],[Name]],HBstats3[Player],0)),"0")</f>
        <v>2.4</v>
      </c>
      <c r="AX32" s="32" t="str">
        <f>IFERROR(INDEX(HBstats2[Targets],MATCH(RBmatchups[[#This Row],[Name]],HBstats2[Player],0)),"0")</f>
        <v>0</v>
      </c>
      <c r="AY32" s="32">
        <f>IFERROR(INDEX(HBstats3[Targets],MATCH(RBmatchups[[#This Row],[Name]],HBstats3[Player],0)),"0")</f>
        <v>2.4</v>
      </c>
      <c r="AZ32" s="14">
        <f>IFERROR(INDEX(HBstats1[Rec],MATCH(RBmatchups[[#This Row],[Name]],HBstats1[Player],0)),"0")</f>
        <v>2.472</v>
      </c>
      <c r="BA32" s="14">
        <f>IFERROR(INDEX(HBstats2[Rec],MATCH(RBmatchups[[#This Row],[Name]],HBstats2[Player],0)),"0")</f>
        <v>3</v>
      </c>
      <c r="BB32" s="14">
        <f>IFERROR(INDEX(HBstats3[Rec],MATCH(RBmatchups[[#This Row],[Name]],HBstats3[Player],0)),"0")</f>
        <v>1.7</v>
      </c>
      <c r="BC32" s="32" t="str">
        <f>IFERROR(INDEX(HBallowed[Rec],MATCH(RBmatchups[[#This Row],[Opp]],HBallowed[Team],0)),"0")</f>
        <v>0</v>
      </c>
      <c r="BD32" s="14">
        <f>IFERROR(INDEX(HBstats1[Rec Yds],MATCH(RBmatchups[[#This Row],[Name]],HBstats1[Player],0)),"0")</f>
        <v>12.731999999999999</v>
      </c>
      <c r="BE32" s="14">
        <f>IFERROR(INDEX(HBstats2[RecYards],MATCH(RBmatchups[[#This Row],[Name]],HBstats2[Player],0)),"0")</f>
        <v>22</v>
      </c>
      <c r="BF32" s="14">
        <f>IFERROR(INDEX(HBstats3[RecYards],MATCH(RBmatchups[[#This Row],[Name]],HBstats3[Player],0)),"0")</f>
        <v>11.2</v>
      </c>
      <c r="BG32" s="32" t="str">
        <f>IFERROR(INDEX(HBallowed[RecYards],MATCH(RBmatchups[[#This Row],[Opp]],HBallowed[Team],0)),"0")</f>
        <v>0</v>
      </c>
      <c r="BH32" s="14">
        <f>IFERROR(INDEX(HBstats1[Rec TD],MATCH(RBmatchups[[#This Row],[Name]],HBstats1[Player],0)),"0")</f>
        <v>0.05</v>
      </c>
      <c r="BI32" s="14" t="str">
        <f>IFERROR(INDEX(HBstats2[RecTD],MATCH(RBmatchups[[#This Row],[Name]],HBstats2[Player],0)),"0")</f>
        <v>0</v>
      </c>
      <c r="BJ32" s="14">
        <f>IFERROR(INDEX(HBstats3[RecTD],MATCH(RBmatchups[[#This Row],[Name]],HBstats3[Player],0)),"0")</f>
        <v>0.1</v>
      </c>
      <c r="BK32" s="32" t="str">
        <f>IFERROR(INDEX(HBallowed[RecTD],MATCH(RBmatchups[[#This Row],[Opp]],HBallowed[Team],0)),"0")</f>
        <v>0</v>
      </c>
      <c r="BL32" s="268">
        <f>IF(RBmatchups[[#This Row],[Yards]]&gt;=100,3,0)</f>
        <v>0</v>
      </c>
    </row>
    <row r="33" spans="1:64" x14ac:dyDescent="0.3">
      <c r="A33" s="37">
        <f>HBstats1!AL25</f>
        <v>11.6</v>
      </c>
      <c r="B33" s="153" t="str">
        <f>HBstats1!D25</f>
        <v>Latavius Murray</v>
      </c>
      <c r="C33" s="154">
        <f>IFERROR(INDEX(Salaries[DraftKings (Price)],MATCH(RBmatchups[[#This Row],[Name]],Salaries[Player],0)),"")</f>
        <v>4900</v>
      </c>
      <c r="D33" s="154">
        <f>IFERROR(INDEX(DK_Salary_Changes[WeekChange],MATCH(RBmatchups[[#This Row],[Name]],DK_Salary_Changes[Player],0)),"")</f>
        <v>-800</v>
      </c>
      <c r="E33" s="154" t="str">
        <f>IFERROR(INDEX(Salaries[Team],MATCH(RBmatchups[[#This Row],[Name]],Salaries[Player],0)),"")</f>
        <v>OAK</v>
      </c>
      <c r="F33" s="189" t="str">
        <f>IFERROR(INDEX(Salaries[Opp],MATCH(RBmatchups[[#This Row],[Team]],Salaries[Team],0)),"")</f>
        <v>@BAL</v>
      </c>
      <c r="G33" s="410">
        <f>IFERROR(INDEX(RBYTD[Rush ATT],MATCH(RBmatchups[Name],RBYTD[Player],0)),"0")</f>
        <v>32</v>
      </c>
      <c r="H33" s="191">
        <f>IFERROR(INDEX(RBYTD[Rush Yds],MATCH(RBmatchups[Name],RBYTD[Player],0)),"0")</f>
        <v>153</v>
      </c>
      <c r="I33" s="191">
        <f>IFERROR(INDEX(RBYTD[Rush TD],MATCH(RBmatchups[Name],RBYTD[Player],0)),"0")</f>
        <v>3</v>
      </c>
      <c r="J33" s="191">
        <f>IFERROR(INDEX(RBYTD[Rec],MATCH(RBmatchups[Name],RBYTD[Player],0)),"0")</f>
        <v>8</v>
      </c>
      <c r="K33" s="191">
        <f>IFERROR(INDEX(targettracker54[TTL],MATCH(RBmatchups[Name],targettracker54[Name],0)),"0")</f>
        <v>9</v>
      </c>
      <c r="L33" s="191">
        <f>IFERROR(INDEX(RBYTD[Rec Yds],MATCH(RBmatchups[Name],RBYTD[Player],0)),"0")</f>
        <v>58</v>
      </c>
      <c r="M33" s="411">
        <f>IFERROR(INDEX(RBYTD[Rec TD],MATCH(RBmatchups[Name],RBYTD[Player],0)),"0")</f>
        <v>0</v>
      </c>
      <c r="N33" s="441">
        <f>IFERROR(INDEX(Salaries[O/U],MATCH(RBmatchups[[#This Row],[Team]],Salaries[Team],0)),"")</f>
        <v>46.5</v>
      </c>
      <c r="O33" s="189">
        <f>IFERROR(INDEX(Salaries[Team O/U],MATCH(RBmatchups[[#This Row],[Team]],Salaries[Team],0)),"")</f>
        <v>21.5</v>
      </c>
      <c r="P33" s="442">
        <f>IFERROR(INDEX(Salaries[Spread],MATCH(RBmatchups[[#This Row],[Team]],Salaries[Team],0)),"")</f>
        <v>3.5</v>
      </c>
      <c r="Q33" s="424">
        <f>IFERROR(INDEX(HBallowed[DVP],MATCH(RBmatchups[[#This Row],[Opp]],HBallowed[Team],0)),IFERROR(INDEX(HBallowed[DVP],MATCH(RBmatchups[[#This Row],[Opp]],HBallowed[Opp],0)),""))</f>
        <v>7</v>
      </c>
      <c r="R33" s="441">
        <f>AVERAGE(RBmatchups[[#This Row],[Car1]:[Car3]])</f>
        <v>12.57</v>
      </c>
      <c r="S33" s="190">
        <f>AVERAGE(RBmatchups[[#This Row],[Yards1]:[Yards3]])</f>
        <v>51.378666666666675</v>
      </c>
      <c r="T33" s="189">
        <f>SUM(RBmatchups[[#This Row],[Yards]]/RBmatchups[[#This Row],[Carries2]])</f>
        <v>4.0874038716520822</v>
      </c>
      <c r="U33" s="189">
        <f>AVERAGE(RBmatchups[[#This Row],[TD1]:[TD3]])</f>
        <v>0.36350000000000005</v>
      </c>
      <c r="V33" s="189">
        <f>AVERAGE(RBmatchups[[#This Row],[Tar1]:[Tar3]])</f>
        <v>2.4</v>
      </c>
      <c r="W33" s="189">
        <f>AVERAGE(RBmatchups[[#This Row],[Rec1]:[Rec3]])</f>
        <v>2.9006666666666665</v>
      </c>
      <c r="X33" s="189">
        <f>AVERAGE(RBmatchups[[#This Row],[RecYards1]:[RecYards3]])</f>
        <v>20.412000000000003</v>
      </c>
      <c r="Y33" s="189">
        <f>AVERAGE(RBmatchups[[#This Row],[RecTD1]:[RecTd3]])</f>
        <v>7.9500000000000001E-2</v>
      </c>
      <c r="Z33" s="190">
        <f>SUM(RBmatchups[[#This Row],[Carries2]]+RBmatchups[[#This Row],[Rec4]])</f>
        <v>15.470666666666666</v>
      </c>
      <c r="AA33" s="189">
        <f>SUM(RBmatchups[[#This Row],[Yards]]+RBmatchups[[#This Row],[RecYards]])</f>
        <v>71.790666666666681</v>
      </c>
      <c r="AB33" s="189">
        <f>SUM(RBmatchups[[#This Row],[TD]]+RBmatchups[[#This Row],[RecTD5]])</f>
        <v>0.44300000000000006</v>
      </c>
      <c r="AC33" s="191">
        <f>_xlfn.RANK.EQ(RBmatchups[Projection],RBmatchups[Projection],0)</f>
        <v>23</v>
      </c>
      <c r="AD33" s="189">
        <f>SUM(RBmatchups[[#This Row],[Total Yards]]*0.1)+(RBmatchups[[#This Row],[Rec4]]*1)+(RBmatchups[[#This Row],[Total TD]]*6)+(RBmatchups[[#This Row],[100+]])</f>
        <v>12.737733333333335</v>
      </c>
      <c r="AE33" s="191" t="e">
        <f>_xlfn.RANK.EQ(RBmatchups[[#This Row],[$/FP]],RBmatchups[$/FP],1)</f>
        <v>#VALUE!</v>
      </c>
      <c r="AF33" s="453">
        <f>SUM(RBmatchups[[#This Row],[Salary]]/RBmatchups[[#This Row],[Projection]])</f>
        <v>384.68382653114628</v>
      </c>
      <c r="AG33" s="448" t="e">
        <f>_xlfn.RANK.EQ(RBmatchups[[#This Row],[Average]],RBmatchups[Average],1)</f>
        <v>#VALUE!</v>
      </c>
      <c r="AH33" s="190" t="e">
        <f>AVERAGE(RBmatchups[[#This Row],[Proj Rank]],RBmatchups[[#This Row],[Value Rank]])</f>
        <v>#VALUE!</v>
      </c>
      <c r="AI33" s="214">
        <f>RBmatchups[[#This Row],[Salary]]/50000</f>
        <v>9.8000000000000004E-2</v>
      </c>
      <c r="AJ33" s="214"/>
      <c r="AK33" s="14">
        <f>IFERROR(INDEX(HBstats1[Rush Att],MATCH(RBmatchups[[#This Row],[Name]],HBstats1[Player],0)),"0")</f>
        <v>11.51</v>
      </c>
      <c r="AL33" s="14">
        <f>IFERROR(INDEX(HBstats2[Carries],MATCH(RBmatchups[[#This Row],[Name]],HBstats2[Player],0)),"0")</f>
        <v>16.2</v>
      </c>
      <c r="AM33" s="14">
        <f>IFERROR(INDEX(HBstats3[Carries],MATCH(RBmatchups[[#This Row],[Name]],HBstats3[Player],0)),"0")</f>
        <v>10</v>
      </c>
      <c r="AN33" s="14" t="str">
        <f>IFERROR(INDEX(HBallowed[Carries],MATCH(RBmatchups[[#This Row],[Opp]],HBallowed[Team],0)),"0")</f>
        <v>0</v>
      </c>
      <c r="AO33" s="14">
        <f>IFERROR(INDEX(HBstats1[Rush Yds],MATCH(RBmatchups[[#This Row],[Name]],HBstats1[Player],0)),"0")</f>
        <v>52.835999999999999</v>
      </c>
      <c r="AP33" s="14">
        <f>IFERROR(INDEX(HBstats2[RushYards],MATCH(RBmatchups[[#This Row],[Name]],HBstats2[Player],0)),"0")</f>
        <v>59.1</v>
      </c>
      <c r="AQ33" s="14">
        <f>IFERROR(INDEX(HBstats3[RushYards],MATCH(RBmatchups[[#This Row],[Name]],HBstats3[Player],0)),"0")</f>
        <v>42.2</v>
      </c>
      <c r="AR33" s="32" t="str">
        <f>IFERROR(INDEX(HBallowed[Yards],MATCH(RBmatchups[[#This Row],[Opp]],HBallowed[Team],0)),"0")</f>
        <v>0</v>
      </c>
      <c r="AS33" s="14">
        <f>IFERROR(INDEX(HBstats1[Rush TD],MATCH(RBmatchups[[#This Row],[Name]],HBstats1[Player],0)),"0")</f>
        <v>0.52700000000000002</v>
      </c>
      <c r="AT33" s="14" t="str">
        <f>IFERROR(INDEX(HBstats2[RushTD],MATCH(RBmatchups[[#This Row],[Name]],HBstats2[Player],0)),"0")</f>
        <v>0.4</v>
      </c>
      <c r="AU33" s="14">
        <f>IFERROR(INDEX(HBstats3[RushTD],MATCH(RBmatchups[[#This Row],[Name]],HBstats3[Player],0)),"0")</f>
        <v>0.2</v>
      </c>
      <c r="AV33" s="32" t="str">
        <f>IFERROR(INDEX(HBallowed[TD],MATCH(RBmatchups[[#This Row],[Opp]],HBallowed[Team],0)),"0")</f>
        <v>0</v>
      </c>
      <c r="AW33" s="32">
        <f>IFERROR(INDEX(HBstats3[Targets],MATCH(RBmatchups[[#This Row],[Name]],HBstats3[Player],0)),"0")</f>
        <v>2.4</v>
      </c>
      <c r="AX33" s="32" t="str">
        <f>IFERROR(INDEX(HBstats2[Targets],MATCH(RBmatchups[[#This Row],[Name]],HBstats2[Player],0)),"0")</f>
        <v>0</v>
      </c>
      <c r="AY33" s="32">
        <f>IFERROR(INDEX(HBstats3[Targets],MATCH(RBmatchups[[#This Row],[Name]],HBstats3[Player],0)),"0")</f>
        <v>2.4</v>
      </c>
      <c r="AZ33" s="14">
        <f>IFERROR(INDEX(HBstats1[Rec],MATCH(RBmatchups[[#This Row],[Name]],HBstats1[Player],0)),"0")</f>
        <v>2.5019999999999998</v>
      </c>
      <c r="BA33" s="14">
        <f>IFERROR(INDEX(HBstats2[Rec],MATCH(RBmatchups[[#This Row],[Name]],HBstats2[Player],0)),"0")</f>
        <v>4.2</v>
      </c>
      <c r="BB33" s="14">
        <f>IFERROR(INDEX(HBstats3[Rec],MATCH(RBmatchups[[#This Row],[Name]],HBstats3[Player],0)),"0")</f>
        <v>2</v>
      </c>
      <c r="BC33" s="32" t="str">
        <f>IFERROR(INDEX(HBallowed[Rec],MATCH(RBmatchups[[#This Row],[Opp]],HBallowed[Team],0)),"0")</f>
        <v>0</v>
      </c>
      <c r="BD33" s="14">
        <f>IFERROR(INDEX(HBstats1[Rec Yds],MATCH(RBmatchups[[#This Row],[Name]],HBstats1[Player],0)),"0")</f>
        <v>18.436</v>
      </c>
      <c r="BE33" s="14">
        <f>IFERROR(INDEX(HBstats2[RecYards],MATCH(RBmatchups[[#This Row],[Name]],HBstats2[Player],0)),"0")</f>
        <v>28.1</v>
      </c>
      <c r="BF33" s="14">
        <f>IFERROR(INDEX(HBstats3[RecYards],MATCH(RBmatchups[[#This Row],[Name]],HBstats3[Player],0)),"0")</f>
        <v>14.7</v>
      </c>
      <c r="BG33" s="32" t="str">
        <f>IFERROR(INDEX(HBallowed[RecYards],MATCH(RBmatchups[[#This Row],[Opp]],HBallowed[Team],0)),"0")</f>
        <v>0</v>
      </c>
      <c r="BH33" s="14">
        <f>IFERROR(INDEX(HBstats1[Rec TD],MATCH(RBmatchups[[#This Row],[Name]],HBstats1[Player],0)),"0")</f>
        <v>5.8999999999999997E-2</v>
      </c>
      <c r="BI33" s="14" t="str">
        <f>IFERROR(INDEX(HBstats2[RecTD],MATCH(RBmatchups[[#This Row],[Name]],HBstats2[Player],0)),"0")</f>
        <v>0</v>
      </c>
      <c r="BJ33" s="14">
        <f>IFERROR(INDEX(HBstats3[RecTD],MATCH(RBmatchups[[#This Row],[Name]],HBstats3[Player],0)),"0")</f>
        <v>0.1</v>
      </c>
      <c r="BK33" s="32" t="str">
        <f>IFERROR(INDEX(HBallowed[RecTD],MATCH(RBmatchups[[#This Row],[Opp]],HBallowed[Team],0)),"0")</f>
        <v>0</v>
      </c>
      <c r="BL33" s="268">
        <f>IF(RBmatchups[[#This Row],[Yards]]&gt;=100,3,0)</f>
        <v>0</v>
      </c>
    </row>
    <row r="34" spans="1:64" x14ac:dyDescent="0.3">
      <c r="A34" s="37">
        <f>HBstats1!AL24</f>
        <v>12.3</v>
      </c>
      <c r="B34" s="153" t="str">
        <f>HBstats1!D24</f>
        <v>Tevin Coleman</v>
      </c>
      <c r="C34" s="154">
        <f>IFERROR(INDEX(Salaries[DraftKings (Price)],MATCH(RBmatchups[[#This Row],[Name]],Salaries[Player],0)),"")</f>
        <v>4500</v>
      </c>
      <c r="D34" s="154">
        <f>IFERROR(INDEX(DK_Salary_Changes[WeekChange],MATCH(RBmatchups[[#This Row],[Name]],DK_Salary_Changes[Player],0)),"")</f>
        <v>0</v>
      </c>
      <c r="E34" s="154" t="str">
        <f>IFERROR(INDEX(Salaries[Team],MATCH(RBmatchups[[#This Row],[Name]],Salaries[Player],0)),"")</f>
        <v>ATL</v>
      </c>
      <c r="F34" s="189" t="str">
        <f>IFERROR(INDEX(Salaries[Opp],MATCH(RBmatchups[[#This Row],[Team]],Salaries[Team],0)),"")</f>
        <v>CAR</v>
      </c>
      <c r="G34" s="410">
        <f>IFERROR(INDEX(RBYTD[Rush ATT],MATCH(RBmatchups[Name],RBYTD[Player],0)),"0")</f>
        <v>32</v>
      </c>
      <c r="H34" s="191">
        <f>IFERROR(INDEX(RBYTD[Rush Yds],MATCH(RBmatchups[Name],RBYTD[Player],0)),"0")</f>
        <v>110</v>
      </c>
      <c r="I34" s="191">
        <f>IFERROR(INDEX(RBYTD[Rush TD],MATCH(RBmatchups[Name],RBYTD[Player],0)),"0")</f>
        <v>4</v>
      </c>
      <c r="J34" s="191">
        <f>IFERROR(INDEX(RBYTD[Rec],MATCH(RBmatchups[Name],RBYTD[Player],0)),"0")</f>
        <v>10</v>
      </c>
      <c r="K34" s="191">
        <f>IFERROR(INDEX(targettracker54[TTL],MATCH(RBmatchups[Name],targettracker54[Name],0)),"0")</f>
        <v>11</v>
      </c>
      <c r="L34" s="191">
        <f>IFERROR(INDEX(RBYTD[Rec Yds],MATCH(RBmatchups[Name],RBYTD[Player],0)),"0")</f>
        <v>167</v>
      </c>
      <c r="M34" s="411">
        <f>IFERROR(INDEX(RBYTD[Rec TD],MATCH(RBmatchups[Name],RBYTD[Player],0)),"0")</f>
        <v>0</v>
      </c>
      <c r="N34" s="441">
        <f>IFERROR(INDEX(Salaries[O/U],MATCH(RBmatchups[[#This Row],[Team]],Salaries[Team],0)),"")</f>
        <v>50</v>
      </c>
      <c r="O34" s="189">
        <f>IFERROR(INDEX(Salaries[Team O/U],MATCH(RBmatchups[[#This Row],[Team]],Salaries[Team],0)),"")</f>
        <v>23.5</v>
      </c>
      <c r="P34" s="442">
        <f>IFERROR(INDEX(Salaries[Spread],MATCH(RBmatchups[[#This Row],[Team]],Salaries[Team],0)),"")</f>
        <v>3</v>
      </c>
      <c r="Q34" s="424">
        <f>IFERROR(INDEX(HBallowed[DVP],MATCH(RBmatchups[[#This Row],[Opp]],HBallowed[Team],0)),IFERROR(INDEX(HBallowed[DVP],MATCH(RBmatchups[[#This Row],[Opp]],HBallowed[Opp],0)),""))</f>
        <v>13</v>
      </c>
      <c r="R34" s="441">
        <f>AVERAGE(RBmatchups[[#This Row],[Car1]:[Car3]])</f>
        <v>9.6623333333333346</v>
      </c>
      <c r="S34" s="190">
        <f>AVERAGE(RBmatchups[[#This Row],[Yards1]:[Yards3]])</f>
        <v>42.44</v>
      </c>
      <c r="T34" s="189">
        <f>SUM(RBmatchups[[#This Row],[Yards]]/RBmatchups[[#This Row],[Carries2]])</f>
        <v>4.3923137958395131</v>
      </c>
      <c r="U34" s="189">
        <f>AVERAGE(RBmatchups[[#This Row],[TD1]:[TD3]])</f>
        <v>0.315</v>
      </c>
      <c r="V34" s="189">
        <f>AVERAGE(RBmatchups[[#This Row],[Tar1]:[Tar3]])</f>
        <v>4</v>
      </c>
      <c r="W34" s="189">
        <f>AVERAGE(RBmatchups[[#This Row],[Rec1]:[Rec3]])</f>
        <v>3.1703333333333332</v>
      </c>
      <c r="X34" s="189">
        <f>AVERAGE(RBmatchups[[#This Row],[RecYards1]:[RecYards3]])</f>
        <v>25.684333333333331</v>
      </c>
      <c r="Y34" s="189">
        <f>AVERAGE(RBmatchups[[#This Row],[RecTD1]:[RecTd3]])</f>
        <v>0.1215</v>
      </c>
      <c r="Z34" s="190">
        <f>SUM(RBmatchups[[#This Row],[Carries2]]+RBmatchups[[#This Row],[Rec4]])</f>
        <v>12.832666666666668</v>
      </c>
      <c r="AA34" s="189">
        <f>SUM(RBmatchups[[#This Row],[Yards]]+RBmatchups[[#This Row],[RecYards]])</f>
        <v>68.124333333333325</v>
      </c>
      <c r="AB34" s="189">
        <f>SUM(RBmatchups[[#This Row],[TD]]+RBmatchups[[#This Row],[RecTD5]])</f>
        <v>0.4365</v>
      </c>
      <c r="AC34" s="191">
        <f>_xlfn.RANK.EQ(RBmatchups[Projection],RBmatchups[Projection],0)</f>
        <v>24</v>
      </c>
      <c r="AD34" s="189">
        <f>SUM(RBmatchups[[#This Row],[Total Yards]]*0.1)+(RBmatchups[[#This Row],[Rec4]]*1)+(RBmatchups[[#This Row],[Total TD]]*6)+(RBmatchups[[#This Row],[100+]])</f>
        <v>12.601766666666666</v>
      </c>
      <c r="AE34" s="191" t="e">
        <f>_xlfn.RANK.EQ(RBmatchups[[#This Row],[$/FP]],RBmatchups[$/FP],1)</f>
        <v>#VALUE!</v>
      </c>
      <c r="AF34" s="453">
        <f>SUM(RBmatchups[[#This Row],[Salary]]/RBmatchups[[#This Row],[Projection]])</f>
        <v>357.09278857726298</v>
      </c>
      <c r="AG34" s="448" t="e">
        <f>_xlfn.RANK.EQ(RBmatchups[[#This Row],[Average]],RBmatchups[Average],1)</f>
        <v>#VALUE!</v>
      </c>
      <c r="AH34" s="190" t="e">
        <f>AVERAGE(RBmatchups[[#This Row],[Proj Rank]],RBmatchups[[#This Row],[Value Rank]])</f>
        <v>#VALUE!</v>
      </c>
      <c r="AI34" s="214">
        <f>RBmatchups[[#This Row],[Salary]]/50000</f>
        <v>0.09</v>
      </c>
      <c r="AJ34" s="214"/>
      <c r="AK34" s="14">
        <f>IFERROR(INDEX(HBstats1[Rush Att],MATCH(RBmatchups[[#This Row],[Name]],HBstats1[Player],0)),"0")</f>
        <v>10.287000000000001</v>
      </c>
      <c r="AL34" s="14">
        <f>IFERROR(INDEX(HBstats2[Carries],MATCH(RBmatchups[[#This Row],[Name]],HBstats2[Player],0)),"0")</f>
        <v>11.2</v>
      </c>
      <c r="AM34" s="14">
        <f>IFERROR(INDEX(HBstats3[Carries],MATCH(RBmatchups[[#This Row],[Name]],HBstats3[Player],0)),"0")</f>
        <v>7.5</v>
      </c>
      <c r="AN34" s="14">
        <f>IFERROR(INDEX(HBallowed[Carries],MATCH(RBmatchups[[#This Row],[Opp]],HBallowed[Team],0)),"0")</f>
        <v>22.4375</v>
      </c>
      <c r="AO34" s="14">
        <f>IFERROR(INDEX(HBstats1[Rush Yds],MATCH(RBmatchups[[#This Row],[Name]],HBstats1[Player],0)),"0")</f>
        <v>46.02</v>
      </c>
      <c r="AP34" s="14">
        <f>IFERROR(INDEX(HBstats2[RushYards],MATCH(RBmatchups[[#This Row],[Name]],HBstats2[Player],0)),"0")</f>
        <v>47.7</v>
      </c>
      <c r="AQ34" s="14">
        <f>IFERROR(INDEX(HBstats3[RushYards],MATCH(RBmatchups[[#This Row],[Name]],HBstats3[Player],0)),"0")</f>
        <v>33.6</v>
      </c>
      <c r="AR34" s="32">
        <f>IFERROR(INDEX(HBallowed[Yards],MATCH(RBmatchups[[#This Row],[Opp]],HBallowed[Team],0)),"0")</f>
        <v>90.0625</v>
      </c>
      <c r="AS34" s="14">
        <f>IFERROR(INDEX(HBstats1[Rush TD],MATCH(RBmatchups[[#This Row],[Name]],HBstats1[Player],0)),"0")</f>
        <v>0.43</v>
      </c>
      <c r="AT34" s="14" t="str">
        <f>IFERROR(INDEX(HBstats2[RushTD],MATCH(RBmatchups[[#This Row],[Name]],HBstats2[Player],0)),"0")</f>
        <v>0.3</v>
      </c>
      <c r="AU34" s="14">
        <f>IFERROR(INDEX(HBstats3[RushTD],MATCH(RBmatchups[[#This Row],[Name]],HBstats3[Player],0)),"0")</f>
        <v>0.2</v>
      </c>
      <c r="AV34" s="32">
        <f>IFERROR(INDEX(HBallowed[TD],MATCH(RBmatchups[[#This Row],[Opp]],HBallowed[Team],0)),"0")</f>
        <v>1</v>
      </c>
      <c r="AW34" s="32">
        <f>IFERROR(INDEX(HBstats3[Targets],MATCH(RBmatchups[[#This Row],[Name]],HBstats3[Player],0)),"0")</f>
        <v>4</v>
      </c>
      <c r="AX34" s="32" t="str">
        <f>IFERROR(INDEX(HBstats2[Targets],MATCH(RBmatchups[[#This Row],[Name]],HBstats2[Player],0)),"0")</f>
        <v>0</v>
      </c>
      <c r="AY34" s="32">
        <f>IFERROR(INDEX(HBstats3[Targets],MATCH(RBmatchups[[#This Row],[Name]],HBstats3[Player],0)),"0")</f>
        <v>4</v>
      </c>
      <c r="AZ34" s="14">
        <f>IFERROR(INDEX(HBstats1[Rec],MATCH(RBmatchups[[#This Row],[Name]],HBstats1[Player],0)),"0")</f>
        <v>3.1110000000000002</v>
      </c>
      <c r="BA34" s="14">
        <f>IFERROR(INDEX(HBstats2[Rec],MATCH(RBmatchups[[#This Row],[Name]],HBstats2[Player],0)),"0")</f>
        <v>3.2</v>
      </c>
      <c r="BB34" s="14">
        <f>IFERROR(INDEX(HBstats3[Rec],MATCH(RBmatchups[[#This Row],[Name]],HBstats3[Player],0)),"0")</f>
        <v>3.2</v>
      </c>
      <c r="BC34" s="32">
        <f>IFERROR(INDEX(HBallowed[Rec],MATCH(RBmatchups[[#This Row],[Opp]],HBallowed[Team],0)),"0")</f>
        <v>7.375</v>
      </c>
      <c r="BD34" s="14">
        <f>IFERROR(INDEX(HBstats1[Rec Yds],MATCH(RBmatchups[[#This Row],[Name]],HBstats1[Player],0)),"0")</f>
        <v>29.952999999999999</v>
      </c>
      <c r="BE34" s="14">
        <f>IFERROR(INDEX(HBstats2[RecYards],MATCH(RBmatchups[[#This Row],[Name]],HBstats2[Player],0)),"0")</f>
        <v>26.9</v>
      </c>
      <c r="BF34" s="14">
        <f>IFERROR(INDEX(HBstats3[RecYards],MATCH(RBmatchups[[#This Row],[Name]],HBstats3[Player],0)),"0")</f>
        <v>20.2</v>
      </c>
      <c r="BG34" s="32">
        <f>IFERROR(INDEX(HBallowed[RecYards],MATCH(RBmatchups[[#This Row],[Opp]],HBallowed[Team],0)),"0")</f>
        <v>59</v>
      </c>
      <c r="BH34" s="14">
        <f>IFERROR(INDEX(HBstats1[Rec TD],MATCH(RBmatchups[[#This Row],[Name]],HBstats1[Player],0)),"0")</f>
        <v>0.14299999999999999</v>
      </c>
      <c r="BI34" s="14" t="str">
        <f>IFERROR(INDEX(HBstats2[RecTD],MATCH(RBmatchups[[#This Row],[Name]],HBstats2[Player],0)),"0")</f>
        <v>0</v>
      </c>
      <c r="BJ34" s="14">
        <f>IFERROR(INDEX(HBstats3[RecTD],MATCH(RBmatchups[[#This Row],[Name]],HBstats3[Player],0)),"0")</f>
        <v>0.1</v>
      </c>
      <c r="BK34" s="32">
        <f>IFERROR(INDEX(HBallowed[RecTD],MATCH(RBmatchups[[#This Row],[Opp]],HBallowed[Team],0)),"0")</f>
        <v>0.1875</v>
      </c>
      <c r="BL34" s="268">
        <f>IF(RBmatchups[[#This Row],[Yards]]&gt;=100,3,0)</f>
        <v>0</v>
      </c>
    </row>
    <row r="35" spans="1:64" x14ac:dyDescent="0.3">
      <c r="A35" s="37">
        <f>HBstats1!AL19</f>
        <v>12.3</v>
      </c>
      <c r="B35" s="153" t="str">
        <f>HBstats1!D19</f>
        <v>Isaiah Crowell</v>
      </c>
      <c r="C35" s="154">
        <f>IFERROR(INDEX(Salaries[DraftKings (Price)],MATCH(RBmatchups[[#This Row],[Name]],Salaries[Player],0)),"")</f>
        <v>4400</v>
      </c>
      <c r="D35" s="154">
        <f>IFERROR(INDEX(DK_Salary_Changes[WeekChange],MATCH(RBmatchups[[#This Row],[Name]],DK_Salary_Changes[Player],0)),"")</f>
        <v>-300</v>
      </c>
      <c r="E35" s="154" t="str">
        <f>IFERROR(INDEX(Salaries[Team],MATCH(RBmatchups[[#This Row],[Name]],Salaries[Player],0)),"")</f>
        <v>CLE</v>
      </c>
      <c r="F35" s="189" t="str">
        <f>IFERROR(INDEX(Salaries[Opp],MATCH(RBmatchups[[#This Row],[Team]],Salaries[Team],0)),"")</f>
        <v>@WAS</v>
      </c>
      <c r="G35" s="410">
        <f>IFERROR(INDEX(RBYTD[Rush ATT],MATCH(RBmatchups[Name],RBYTD[Player],0)),"0")</f>
        <v>45</v>
      </c>
      <c r="H35" s="191">
        <f>IFERROR(INDEX(RBYTD[Rush Yds],MATCH(RBmatchups[Name],RBYTD[Player],0)),"0")</f>
        <v>274</v>
      </c>
      <c r="I35" s="191">
        <f>IFERROR(INDEX(RBYTD[Rush TD],MATCH(RBmatchups[Name],RBYTD[Player],0)),"0")</f>
        <v>2</v>
      </c>
      <c r="J35" s="191">
        <f>IFERROR(INDEX(RBYTD[Rec],MATCH(RBmatchups[Name],RBYTD[Player],0)),"0")</f>
        <v>3</v>
      </c>
      <c r="K35" s="191">
        <f>IFERROR(INDEX(targettracker54[TTL],MATCH(RBmatchups[Name],targettracker54[Name],0)),"0")</f>
        <v>4</v>
      </c>
      <c r="L35" s="191">
        <f>IFERROR(INDEX(RBYTD[Rec Yds],MATCH(RBmatchups[Name],RBYTD[Player],0)),"0")</f>
        <v>31</v>
      </c>
      <c r="M35" s="411">
        <f>IFERROR(INDEX(RBYTD[Rec TD],MATCH(RBmatchups[Name],RBYTD[Player],0)),"0")</f>
        <v>0</v>
      </c>
      <c r="N35" s="441">
        <f>IFERROR(INDEX(Salaries[O/U],MATCH(RBmatchups[[#This Row],[Team]],Salaries[Team],0)),"")</f>
        <v>45.5</v>
      </c>
      <c r="O35" s="189">
        <f>IFERROR(INDEX(Salaries[Team O/U],MATCH(RBmatchups[[#This Row],[Team]],Salaries[Team],0)),"")</f>
        <v>18.75</v>
      </c>
      <c r="P35" s="442">
        <f>IFERROR(INDEX(Salaries[Spread],MATCH(RBmatchups[[#This Row],[Team]],Salaries[Team],0)),"")</f>
        <v>8</v>
      </c>
      <c r="Q35" s="424">
        <f>IFERROR(INDEX(HBallowed[DVP],MATCH(RBmatchups[[#This Row],[Opp]],HBallowed[Team],0)),IFERROR(INDEX(HBallowed[DVP],MATCH(RBmatchups[[#This Row],[Opp]],HBallowed[Opp],0)),""))</f>
        <v>18</v>
      </c>
      <c r="R35" s="441">
        <f>AVERAGE(RBmatchups[[#This Row],[Car1]:[Car3]])</f>
        <v>13.842666666666668</v>
      </c>
      <c r="S35" s="190">
        <f>AVERAGE(RBmatchups[[#This Row],[Yards1]:[Yards3]])</f>
        <v>67.182666666666663</v>
      </c>
      <c r="T35" s="189">
        <f>SUM(RBmatchups[[#This Row],[Yards]]/RBmatchups[[#This Row],[Carries2]])</f>
        <v>4.8533037950298583</v>
      </c>
      <c r="U35" s="189">
        <f>AVERAGE(RBmatchups[[#This Row],[TD1]:[TD3]])</f>
        <v>0.51550000000000007</v>
      </c>
      <c r="V35" s="189">
        <f>AVERAGE(RBmatchups[[#This Row],[Tar1]:[Tar3]])</f>
        <v>0.9</v>
      </c>
      <c r="W35" s="189">
        <f>AVERAGE(RBmatchups[[#This Row],[Rec1]:[Rec3]])</f>
        <v>1.4506666666666665</v>
      </c>
      <c r="X35" s="189">
        <f>AVERAGE(RBmatchups[[#This Row],[RecYards1]:[RecYards3]])</f>
        <v>12.561666666666667</v>
      </c>
      <c r="Y35" s="189">
        <f>AVERAGE(RBmatchups[[#This Row],[RecTD1]:[RecTd3]])</f>
        <v>1.15E-2</v>
      </c>
      <c r="Z35" s="190">
        <f>SUM(RBmatchups[[#This Row],[Carries2]]+RBmatchups[[#This Row],[Rec4]])</f>
        <v>15.293333333333335</v>
      </c>
      <c r="AA35" s="189">
        <f>SUM(RBmatchups[[#This Row],[Yards]]+RBmatchups[[#This Row],[RecYards]])</f>
        <v>79.74433333333333</v>
      </c>
      <c r="AB35" s="189">
        <f>SUM(RBmatchups[[#This Row],[TD]]+RBmatchups[[#This Row],[RecTD5]])</f>
        <v>0.52700000000000002</v>
      </c>
      <c r="AC35" s="191">
        <f>_xlfn.RANK.EQ(RBmatchups[Projection],RBmatchups[Projection],0)</f>
        <v>25</v>
      </c>
      <c r="AD35" s="189">
        <f>SUM(RBmatchups[[#This Row],[Total Yards]]*0.1)+(RBmatchups[[#This Row],[Rec4]]*1)+(RBmatchups[[#This Row],[Total TD]]*6)+(RBmatchups[[#This Row],[100+]])</f>
        <v>12.5871</v>
      </c>
      <c r="AE35" s="191" t="e">
        <f>_xlfn.RANK.EQ(RBmatchups[[#This Row],[$/FP]],RBmatchups[$/FP],1)</f>
        <v>#VALUE!</v>
      </c>
      <c r="AF35" s="453">
        <f>SUM(RBmatchups[[#This Row],[Salary]]/RBmatchups[[#This Row],[Projection]])</f>
        <v>349.56423640075951</v>
      </c>
      <c r="AG35" s="448" t="e">
        <f>_xlfn.RANK.EQ(RBmatchups[[#This Row],[Average]],RBmatchups[Average],1)</f>
        <v>#VALUE!</v>
      </c>
      <c r="AH35" s="190" t="e">
        <f>AVERAGE(RBmatchups[[#This Row],[Proj Rank]],RBmatchups[[#This Row],[Value Rank]])</f>
        <v>#VALUE!</v>
      </c>
      <c r="AI35" s="214">
        <f>RBmatchups[[#This Row],[Salary]]/50000</f>
        <v>8.7999999999999995E-2</v>
      </c>
      <c r="AJ35" s="214"/>
      <c r="AK35" s="14">
        <f>IFERROR(INDEX(HBstats1[Rush Att],MATCH(RBmatchups[[#This Row],[Name]],HBstats1[Player],0)),"0")</f>
        <v>16.128</v>
      </c>
      <c r="AL35" s="14">
        <f>IFERROR(INDEX(HBstats2[Carries],MATCH(RBmatchups[[#This Row],[Name]],HBstats2[Player],0)),"0")</f>
        <v>12.1</v>
      </c>
      <c r="AM35" s="14">
        <f>IFERROR(INDEX(HBstats3[Carries],MATCH(RBmatchups[[#This Row],[Name]],HBstats3[Player],0)),"0")</f>
        <v>13.3</v>
      </c>
      <c r="AN35" s="14" t="str">
        <f>IFERROR(INDEX(HBallowed[Carries],MATCH(RBmatchups[[#This Row],[Opp]],HBallowed[Team],0)),"0")</f>
        <v>0</v>
      </c>
      <c r="AO35" s="14">
        <f>IFERROR(INDEX(HBstats1[Rush Yds],MATCH(RBmatchups[[#This Row],[Name]],HBstats1[Player],0)),"0")</f>
        <v>76.748000000000005</v>
      </c>
      <c r="AP35" s="14">
        <f>IFERROR(INDEX(HBstats2[RushYards],MATCH(RBmatchups[[#This Row],[Name]],HBstats2[Player],0)),"0")</f>
        <v>54</v>
      </c>
      <c r="AQ35" s="14">
        <f>IFERROR(INDEX(HBstats3[RushYards],MATCH(RBmatchups[[#This Row],[Name]],HBstats3[Player],0)),"0")</f>
        <v>70.8</v>
      </c>
      <c r="AR35" s="32" t="str">
        <f>IFERROR(INDEX(HBallowed[Yards],MATCH(RBmatchups[[#This Row],[Opp]],HBallowed[Team],0)),"0")</f>
        <v>0</v>
      </c>
      <c r="AS35" s="14">
        <f>IFERROR(INDEX(HBstats1[Rush TD],MATCH(RBmatchups[[#This Row],[Name]],HBstats1[Player],0)),"0")</f>
        <v>0.53100000000000003</v>
      </c>
      <c r="AT35" s="14" t="str">
        <f>IFERROR(INDEX(HBstats2[RushTD],MATCH(RBmatchups[[#This Row],[Name]],HBstats2[Player],0)),"0")</f>
        <v>0.3</v>
      </c>
      <c r="AU35" s="14">
        <f>IFERROR(INDEX(HBstats3[RushTD],MATCH(RBmatchups[[#This Row],[Name]],HBstats3[Player],0)),"0")</f>
        <v>0.5</v>
      </c>
      <c r="AV35" s="32" t="str">
        <f>IFERROR(INDEX(HBallowed[TD],MATCH(RBmatchups[[#This Row],[Opp]],HBallowed[Team],0)),"0")</f>
        <v>0</v>
      </c>
      <c r="AW35" s="32">
        <f>IFERROR(INDEX(HBstats3[Targets],MATCH(RBmatchups[[#This Row],[Name]],HBstats3[Player],0)),"0")</f>
        <v>0.9</v>
      </c>
      <c r="AX35" s="32" t="str">
        <f>IFERROR(INDEX(HBstats2[Targets],MATCH(RBmatchups[[#This Row],[Name]],HBstats2[Player],0)),"0")</f>
        <v>0</v>
      </c>
      <c r="AY35" s="32">
        <f>IFERROR(INDEX(HBstats3[Targets],MATCH(RBmatchups[[#This Row],[Name]],HBstats3[Player],0)),"0")</f>
        <v>0.9</v>
      </c>
      <c r="AZ35" s="14">
        <f>IFERROR(INDEX(HBstats1[Rec],MATCH(RBmatchups[[#This Row],[Name]],HBstats1[Player],0)),"0")</f>
        <v>1.1519999999999999</v>
      </c>
      <c r="BA35" s="14">
        <f>IFERROR(INDEX(HBstats2[Rec],MATCH(RBmatchups[[#This Row],[Name]],HBstats2[Player],0)),"0")</f>
        <v>2.4</v>
      </c>
      <c r="BB35" s="14">
        <f>IFERROR(INDEX(HBstats3[Rec],MATCH(RBmatchups[[#This Row],[Name]],HBstats3[Player],0)),"0")</f>
        <v>0.8</v>
      </c>
      <c r="BC35" s="32" t="str">
        <f>IFERROR(INDEX(HBallowed[Rec],MATCH(RBmatchups[[#This Row],[Opp]],HBallowed[Team],0)),"0")</f>
        <v>0</v>
      </c>
      <c r="BD35" s="14">
        <f>IFERROR(INDEX(HBstats1[Rec Yds],MATCH(RBmatchups[[#This Row],[Name]],HBstats1[Player],0)),"0")</f>
        <v>9.9849999999999994</v>
      </c>
      <c r="BE35" s="14">
        <f>IFERROR(INDEX(HBstats2[RecYards],MATCH(RBmatchups[[#This Row],[Name]],HBstats2[Player],0)),"0")</f>
        <v>21.7</v>
      </c>
      <c r="BF35" s="14">
        <f>IFERROR(INDEX(HBstats3[RecYards],MATCH(RBmatchups[[#This Row],[Name]],HBstats3[Player],0)),"0")</f>
        <v>6</v>
      </c>
      <c r="BG35" s="32" t="str">
        <f>IFERROR(INDEX(HBallowed[RecYards],MATCH(RBmatchups[[#This Row],[Opp]],HBallowed[Team],0)),"0")</f>
        <v>0</v>
      </c>
      <c r="BH35" s="14">
        <f>IFERROR(INDEX(HBstats1[Rec TD],MATCH(RBmatchups[[#This Row],[Name]],HBstats1[Player],0)),"0")</f>
        <v>2.3E-2</v>
      </c>
      <c r="BI35" s="14" t="str">
        <f>IFERROR(INDEX(HBstats2[RecTD],MATCH(RBmatchups[[#This Row],[Name]],HBstats2[Player],0)),"0")</f>
        <v>0.1</v>
      </c>
      <c r="BJ35" s="14">
        <f>IFERROR(INDEX(HBstats3[RecTD],MATCH(RBmatchups[[#This Row],[Name]],HBstats3[Player],0)),"0")</f>
        <v>0</v>
      </c>
      <c r="BK35" s="32" t="str">
        <f>IFERROR(INDEX(HBallowed[RecTD],MATCH(RBmatchups[[#This Row],[Opp]],HBallowed[Team],0)),"0")</f>
        <v>0</v>
      </c>
      <c r="BL35" s="268">
        <f>IF(RBmatchups[[#This Row],[Yards]]&gt;=100,3,0)</f>
        <v>0</v>
      </c>
    </row>
    <row r="36" spans="1:64" x14ac:dyDescent="0.3">
      <c r="A36" s="37">
        <f>HBstats1!AL26</f>
        <v>10.7</v>
      </c>
      <c r="B36" s="153" t="str">
        <f>HBstats1!D26</f>
        <v>Matt Jones</v>
      </c>
      <c r="C36" s="154">
        <f>IFERROR(INDEX(Salaries[DraftKings (Price)],MATCH(RBmatchups[[#This Row],[Name]],Salaries[Player],0)),"")</f>
        <v>4300</v>
      </c>
      <c r="D36" s="154">
        <f>IFERROR(INDEX(DK_Salary_Changes[WeekChange],MATCH(RBmatchups[[#This Row],[Name]],DK_Salary_Changes[Player],0)),"")</f>
        <v>200</v>
      </c>
      <c r="E36" s="154" t="str">
        <f>IFERROR(INDEX(Salaries[Team],MATCH(RBmatchups[[#This Row],[Name]],Salaries[Player],0)),"")</f>
        <v>WAS</v>
      </c>
      <c r="F36" s="189" t="str">
        <f>IFERROR(INDEX(Salaries[Opp],MATCH(RBmatchups[[#This Row],[Team]],Salaries[Team],0)),"")</f>
        <v>CLE</v>
      </c>
      <c r="G36" s="410">
        <f>IFERROR(INDEX(RBYTD[Rush ATT],MATCH(RBmatchups[Name],RBYTD[Player],0)),"0")</f>
        <v>37</v>
      </c>
      <c r="H36" s="191">
        <f>IFERROR(INDEX(RBYTD[Rush Yds],MATCH(RBmatchups[Name],RBYTD[Player],0)),"0")</f>
        <v>150</v>
      </c>
      <c r="I36" s="191">
        <f>IFERROR(INDEX(RBYTD[Rush TD],MATCH(RBmatchups[Name],RBYTD[Player],0)),"0")</f>
        <v>1</v>
      </c>
      <c r="J36" s="191">
        <f>IFERROR(INDEX(RBYTD[Rec],MATCH(RBmatchups[Name],RBYTD[Player],0)),"0")</f>
        <v>4</v>
      </c>
      <c r="K36" s="191">
        <f>IFERROR(INDEX(targettracker54[TTL],MATCH(RBmatchups[Name],targettracker54[Name],0)),"0")</f>
        <v>4</v>
      </c>
      <c r="L36" s="191">
        <f>IFERROR(INDEX(RBYTD[Rec Yds],MATCH(RBmatchups[Name],RBYTD[Player],0)),"0")</f>
        <v>27</v>
      </c>
      <c r="M36" s="411">
        <f>IFERROR(INDEX(RBYTD[Rec TD],MATCH(RBmatchups[Name],RBYTD[Player],0)),"0")</f>
        <v>0</v>
      </c>
      <c r="N36" s="441">
        <f>IFERROR(INDEX(Salaries[O/U],MATCH(RBmatchups[[#This Row],[Team]],Salaries[Team],0)),"")</f>
        <v>45.5</v>
      </c>
      <c r="O36" s="189">
        <f>IFERROR(INDEX(Salaries[Team O/U],MATCH(RBmatchups[[#This Row],[Team]],Salaries[Team],0)),"")</f>
        <v>26.75</v>
      </c>
      <c r="P36" s="442">
        <f>IFERROR(INDEX(Salaries[Spread],MATCH(RBmatchups[[#This Row],[Team]],Salaries[Team],0)),"")</f>
        <v>-8</v>
      </c>
      <c r="Q36" s="424">
        <f>IFERROR(INDEX(HBallowed[DVP],MATCH(RBmatchups[[#This Row],[Opp]],HBallowed[Team],0)),IFERROR(INDEX(HBallowed[DVP],MATCH(RBmatchups[[#This Row],[Opp]],HBallowed[Opp],0)),""))</f>
        <v>19</v>
      </c>
      <c r="R36" s="441">
        <f>AVERAGE(RBmatchups[[#This Row],[Car1]:[Car3]])</f>
        <v>14.881333333333336</v>
      </c>
      <c r="S36" s="190">
        <f>AVERAGE(RBmatchups[[#This Row],[Yards1]:[Yards3]])</f>
        <v>62.576000000000001</v>
      </c>
      <c r="T36" s="189">
        <f>SUM(RBmatchups[[#This Row],[Yards]]/RBmatchups[[#This Row],[Carries2]])</f>
        <v>4.2049995520114676</v>
      </c>
      <c r="U36" s="189">
        <f>AVERAGE(RBmatchups[[#This Row],[TD1]:[TD3]])</f>
        <v>0.45050000000000001</v>
      </c>
      <c r="V36" s="189">
        <f>AVERAGE(RBmatchups[[#This Row],[Tar1]:[Tar3]])</f>
        <v>0.9</v>
      </c>
      <c r="W36" s="189">
        <f>AVERAGE(RBmatchups[[#This Row],[Rec1]:[Rec3]])</f>
        <v>1.3716666666666668</v>
      </c>
      <c r="X36" s="189">
        <f>AVERAGE(RBmatchups[[#This Row],[RecYards1]:[RecYards3]])</f>
        <v>11.791333333333334</v>
      </c>
      <c r="Y36" s="189">
        <f>AVERAGE(RBmatchups[[#This Row],[RecTD1]:[RecTd3]])</f>
        <v>9.4999999999999998E-3</v>
      </c>
      <c r="Z36" s="190">
        <f>SUM(RBmatchups[[#This Row],[Carries2]]+RBmatchups[[#This Row],[Rec4]])</f>
        <v>16.253000000000004</v>
      </c>
      <c r="AA36" s="189">
        <f>SUM(RBmatchups[[#This Row],[Yards]]+RBmatchups[[#This Row],[RecYards]])</f>
        <v>74.367333333333335</v>
      </c>
      <c r="AB36" s="189">
        <f>SUM(RBmatchups[[#This Row],[TD]]+RBmatchups[[#This Row],[RecTD5]])</f>
        <v>0.46</v>
      </c>
      <c r="AC36" s="191">
        <f>_xlfn.RANK.EQ(RBmatchups[Projection],RBmatchups[Projection],0)</f>
        <v>26</v>
      </c>
      <c r="AD36" s="189">
        <f>SUM(RBmatchups[[#This Row],[Total Yards]]*0.1)+(RBmatchups[[#This Row],[Rec4]]*1)+(RBmatchups[[#This Row],[Total TD]]*6)+(RBmatchups[[#This Row],[100+]])</f>
        <v>11.5684</v>
      </c>
      <c r="AE36" s="191" t="e">
        <f>_xlfn.RANK.EQ(RBmatchups[[#This Row],[$/FP]],RBmatchups[$/FP],1)</f>
        <v>#VALUE!</v>
      </c>
      <c r="AF36" s="453">
        <f>SUM(RBmatchups[[#This Row],[Salary]]/RBmatchups[[#This Row],[Projection]])</f>
        <v>371.70222329794956</v>
      </c>
      <c r="AG36" s="448" t="e">
        <f>_xlfn.RANK.EQ(RBmatchups[[#This Row],[Average]],RBmatchups[Average],1)</f>
        <v>#VALUE!</v>
      </c>
      <c r="AH36" s="190" t="e">
        <f>AVERAGE(RBmatchups[[#This Row],[Proj Rank]],RBmatchups[[#This Row],[Value Rank]])</f>
        <v>#VALUE!</v>
      </c>
      <c r="AI36" s="214">
        <f>RBmatchups[[#This Row],[Salary]]/50000</f>
        <v>8.5999999999999993E-2</v>
      </c>
      <c r="AJ36" s="214"/>
      <c r="AK36" s="14">
        <f>IFERROR(INDEX(HBstats1[Rush Att],MATCH(RBmatchups[[#This Row],[Name]],HBstats1[Player],0)),"0")</f>
        <v>16.744</v>
      </c>
      <c r="AL36" s="14">
        <f>IFERROR(INDEX(HBstats2[Carries],MATCH(RBmatchups[[#This Row],[Name]],HBstats2[Player],0)),"0")</f>
        <v>12.1</v>
      </c>
      <c r="AM36" s="14">
        <f>IFERROR(INDEX(HBstats3[Carries],MATCH(RBmatchups[[#This Row],[Name]],HBstats3[Player],0)),"0")</f>
        <v>15.8</v>
      </c>
      <c r="AN36" s="14">
        <f>IFERROR(INDEX(HBallowed[Carries],MATCH(RBmatchups[[#This Row],[Opp]],HBallowed[Team],0)),"0")</f>
        <v>24.4375</v>
      </c>
      <c r="AO36" s="14">
        <f>IFERROR(INDEX(HBstats1[Rush Yds],MATCH(RBmatchups[[#This Row],[Name]],HBstats1[Player],0)),"0")</f>
        <v>63.427999999999997</v>
      </c>
      <c r="AP36" s="14">
        <f>IFERROR(INDEX(HBstats2[RushYards],MATCH(RBmatchups[[#This Row],[Name]],HBstats2[Player],0)),"0")</f>
        <v>46.8</v>
      </c>
      <c r="AQ36" s="14">
        <f>IFERROR(INDEX(HBstats3[RushYards],MATCH(RBmatchups[[#This Row],[Name]],HBstats3[Player],0)),"0")</f>
        <v>77.5</v>
      </c>
      <c r="AR36" s="32">
        <f>IFERROR(INDEX(HBallowed[Yards],MATCH(RBmatchups[[#This Row],[Opp]],HBallowed[Team],0)),"0")</f>
        <v>105.25</v>
      </c>
      <c r="AS36" s="14">
        <f>IFERROR(INDEX(HBstats1[Rush TD],MATCH(RBmatchups[[#This Row],[Name]],HBstats1[Player],0)),"0")</f>
        <v>0.501</v>
      </c>
      <c r="AT36" s="14" t="str">
        <f>IFERROR(INDEX(HBstats2[RushTD],MATCH(RBmatchups[[#This Row],[Name]],HBstats2[Player],0)),"0")</f>
        <v>0.3</v>
      </c>
      <c r="AU36" s="14">
        <f>IFERROR(INDEX(HBstats3[RushTD],MATCH(RBmatchups[[#This Row],[Name]],HBstats3[Player],0)),"0")</f>
        <v>0.4</v>
      </c>
      <c r="AV36" s="32">
        <f>IFERROR(INDEX(HBallowed[TD],MATCH(RBmatchups[[#This Row],[Opp]],HBallowed[Team],0)),"0")</f>
        <v>0.8125</v>
      </c>
      <c r="AW36" s="32">
        <f>IFERROR(INDEX(HBstats3[Targets],MATCH(RBmatchups[[#This Row],[Name]],HBstats3[Player],0)),"0")</f>
        <v>0.9</v>
      </c>
      <c r="AX36" s="32" t="str">
        <f>IFERROR(INDEX(HBstats2[Targets],MATCH(RBmatchups[[#This Row],[Name]],HBstats2[Player],0)),"0")</f>
        <v>0</v>
      </c>
      <c r="AY36" s="32">
        <f>IFERROR(INDEX(HBstats3[Targets],MATCH(RBmatchups[[#This Row],[Name]],HBstats3[Player],0)),"0")</f>
        <v>0.9</v>
      </c>
      <c r="AZ36" s="14">
        <f>IFERROR(INDEX(HBstats1[Rec],MATCH(RBmatchups[[#This Row],[Name]],HBstats1[Player],0)),"0")</f>
        <v>1.2150000000000001</v>
      </c>
      <c r="BA36" s="14">
        <f>IFERROR(INDEX(HBstats2[Rec],MATCH(RBmatchups[[#This Row],[Name]],HBstats2[Player],0)),"0")</f>
        <v>2.1</v>
      </c>
      <c r="BB36" s="14">
        <f>IFERROR(INDEX(HBstats3[Rec],MATCH(RBmatchups[[#This Row],[Name]],HBstats3[Player],0)),"0")</f>
        <v>0.8</v>
      </c>
      <c r="BC36" s="32">
        <f>IFERROR(INDEX(HBallowed[Rec],MATCH(RBmatchups[[#This Row],[Opp]],HBallowed[Team],0)),"0")</f>
        <v>5.75</v>
      </c>
      <c r="BD36" s="14">
        <f>IFERROR(INDEX(HBstats1[Rec Yds],MATCH(RBmatchups[[#This Row],[Name]],HBstats1[Player],0)),"0")</f>
        <v>8.6739999999999995</v>
      </c>
      <c r="BE36" s="14">
        <f>IFERROR(INDEX(HBstats2[RecYards],MATCH(RBmatchups[[#This Row],[Name]],HBstats2[Player],0)),"0")</f>
        <v>20</v>
      </c>
      <c r="BF36" s="14">
        <f>IFERROR(INDEX(HBstats3[RecYards],MATCH(RBmatchups[[#This Row],[Name]],HBstats3[Player],0)),"0")</f>
        <v>6.7</v>
      </c>
      <c r="BG36" s="32">
        <f>IFERROR(INDEX(HBallowed[RecYards],MATCH(RBmatchups[[#This Row],[Opp]],HBallowed[Team],0)),"0")</f>
        <v>50.4375</v>
      </c>
      <c r="BH36" s="14">
        <f>IFERROR(INDEX(HBstats1[Rec TD],MATCH(RBmatchups[[#This Row],[Name]],HBstats1[Player],0)),"0")</f>
        <v>1.9E-2</v>
      </c>
      <c r="BI36" s="14" t="str">
        <f>IFERROR(INDEX(HBstats2[RecTD],MATCH(RBmatchups[[#This Row],[Name]],HBstats2[Player],0)),"0")</f>
        <v>0</v>
      </c>
      <c r="BJ36" s="14">
        <f>IFERROR(INDEX(HBstats3[RecTD],MATCH(RBmatchups[[#This Row],[Name]],HBstats3[Player],0)),"0")</f>
        <v>0</v>
      </c>
      <c r="BK36" s="32">
        <f>IFERROR(INDEX(HBallowed[RecTD],MATCH(RBmatchups[[#This Row],[Opp]],HBallowed[Team],0)),"0")</f>
        <v>0.1875</v>
      </c>
      <c r="BL36" s="268">
        <f>IF(RBmatchups[[#This Row],[Yards]]&gt;=100,3,0)</f>
        <v>0</v>
      </c>
    </row>
    <row r="37" spans="1:64" x14ac:dyDescent="0.3">
      <c r="A37" s="37">
        <f>HBstats1!AL32</f>
        <v>10.199999999999999</v>
      </c>
      <c r="B37" s="153" t="str">
        <f>HBstats1!D32</f>
        <v>Duke Johnson</v>
      </c>
      <c r="C37" s="154">
        <f>IFERROR(INDEX(Salaries[DraftKings (Price)],MATCH(RBmatchups[[#This Row],[Name]],Salaries[Player],0)),"")</f>
        <v>4000</v>
      </c>
      <c r="D37" s="154">
        <f>IFERROR(INDEX(DK_Salary_Changes[WeekChange],MATCH(RBmatchups[[#This Row],[Name]],DK_Salary_Changes[Player],0)),"")</f>
        <v>-200</v>
      </c>
      <c r="E37" s="154" t="str">
        <f>IFERROR(INDEX(Salaries[Team],MATCH(RBmatchups[[#This Row],[Name]],Salaries[Player],0)),"")</f>
        <v>CLE</v>
      </c>
      <c r="F37" s="189" t="str">
        <f>IFERROR(INDEX(Salaries[Opp],MATCH(RBmatchups[[#This Row],[Team]],Salaries[Team],0)),"")</f>
        <v>@WAS</v>
      </c>
      <c r="G37" s="410">
        <f>IFERROR(INDEX(RBYTD[Rush ATT],MATCH(RBmatchups[Name],RBYTD[Player],0)),"0")</f>
        <v>16</v>
      </c>
      <c r="H37" s="191">
        <f>IFERROR(INDEX(RBYTD[Rush Yds],MATCH(RBmatchups[Name],RBYTD[Player],0)),"0")</f>
        <v>103</v>
      </c>
      <c r="I37" s="191">
        <f>IFERROR(INDEX(RBYTD[Rush TD],MATCH(RBmatchups[Name],RBYTD[Player],0)),"0")</f>
        <v>0</v>
      </c>
      <c r="J37" s="191">
        <f>IFERROR(INDEX(RBYTD[Rec],MATCH(RBmatchups[Name],RBYTD[Player],0)),"0")</f>
        <v>12</v>
      </c>
      <c r="K37" s="191">
        <f>IFERROR(INDEX(targettracker54[TTL],MATCH(RBmatchups[Name],targettracker54[Name],0)),"0")</f>
        <v>17</v>
      </c>
      <c r="L37" s="191">
        <f>IFERROR(INDEX(RBYTD[Rec Yds],MATCH(RBmatchups[Name],RBYTD[Player],0)),"0")</f>
        <v>84</v>
      </c>
      <c r="M37" s="411">
        <f>IFERROR(INDEX(RBYTD[Rec TD],MATCH(RBmatchups[Name],RBYTD[Player],0)),"0")</f>
        <v>0</v>
      </c>
      <c r="N37" s="441">
        <f>IFERROR(INDEX(Salaries[O/U],MATCH(RBmatchups[[#This Row],[Team]],Salaries[Team],0)),"")</f>
        <v>45.5</v>
      </c>
      <c r="O37" s="189">
        <f>IFERROR(INDEX(Salaries[Team O/U],MATCH(RBmatchups[[#This Row],[Team]],Salaries[Team],0)),"")</f>
        <v>18.75</v>
      </c>
      <c r="P37" s="442">
        <f>IFERROR(INDEX(Salaries[Spread],MATCH(RBmatchups[[#This Row],[Team]],Salaries[Team],0)),"")</f>
        <v>8</v>
      </c>
      <c r="Q37" s="424">
        <f>IFERROR(INDEX(HBallowed[DVP],MATCH(RBmatchups[[#This Row],[Opp]],HBallowed[Team],0)),IFERROR(INDEX(HBallowed[DVP],MATCH(RBmatchups[[#This Row],[Opp]],HBallowed[Opp],0)),""))</f>
        <v>18</v>
      </c>
      <c r="R37" s="441">
        <f>AVERAGE(RBmatchups[[#This Row],[Car1]:[Car3]])</f>
        <v>7.1179999999999994</v>
      </c>
      <c r="S37" s="190">
        <f>AVERAGE(RBmatchups[[#This Row],[Yards1]:[Yards3]])</f>
        <v>32.457999999999998</v>
      </c>
      <c r="T37" s="189">
        <f>SUM(RBmatchups[[#This Row],[Yards]]/RBmatchups[[#This Row],[Carries2]])</f>
        <v>4.5599887608878902</v>
      </c>
      <c r="U37" s="189">
        <f>AVERAGE(RBmatchups[[#This Row],[TD1]:[TD3]])</f>
        <v>0.186</v>
      </c>
      <c r="V37" s="189">
        <f>AVERAGE(RBmatchups[[#This Row],[Tar1]:[Tar3]])</f>
        <v>4.3</v>
      </c>
      <c r="W37" s="189">
        <f>AVERAGE(RBmatchups[[#This Row],[Rec1]:[Rec3]])</f>
        <v>3.5660000000000003</v>
      </c>
      <c r="X37" s="189">
        <f>AVERAGE(RBmatchups[[#This Row],[RecYards1]:[RecYards3]])</f>
        <v>25.342333333333329</v>
      </c>
      <c r="Y37" s="189">
        <f>AVERAGE(RBmatchups[[#This Row],[RecTD1]:[RecTd3]])</f>
        <v>0.1585</v>
      </c>
      <c r="Z37" s="190">
        <f>SUM(RBmatchups[[#This Row],[Carries2]]+RBmatchups[[#This Row],[Rec4]])</f>
        <v>10.683999999999999</v>
      </c>
      <c r="AA37" s="189">
        <f>SUM(RBmatchups[[#This Row],[Yards]]+RBmatchups[[#This Row],[RecYards]])</f>
        <v>57.800333333333327</v>
      </c>
      <c r="AB37" s="189">
        <f>SUM(RBmatchups[[#This Row],[TD]]+RBmatchups[[#This Row],[RecTD5]])</f>
        <v>0.34450000000000003</v>
      </c>
      <c r="AC37" s="191">
        <f>_xlfn.RANK.EQ(RBmatchups[Projection],RBmatchups[Projection],0)</f>
        <v>27</v>
      </c>
      <c r="AD37" s="189">
        <f>SUM(RBmatchups[[#This Row],[Total Yards]]*0.1)+(RBmatchups[[#This Row],[Rec4]]*1)+(RBmatchups[[#This Row],[Total TD]]*6)+(RBmatchups[[#This Row],[100+]])</f>
        <v>11.413033333333333</v>
      </c>
      <c r="AE37" s="191" t="e">
        <f>_xlfn.RANK.EQ(RBmatchups[[#This Row],[$/FP]],RBmatchups[$/FP],1)</f>
        <v>#VALUE!</v>
      </c>
      <c r="AF37" s="453">
        <f>SUM(RBmatchups[[#This Row],[Salary]]/RBmatchups[[#This Row],[Projection]])</f>
        <v>350.47650201085895</v>
      </c>
      <c r="AG37" s="448" t="e">
        <f>_xlfn.RANK.EQ(RBmatchups[[#This Row],[Average]],RBmatchups[Average],1)</f>
        <v>#VALUE!</v>
      </c>
      <c r="AH37" s="190" t="e">
        <f>AVERAGE(RBmatchups[[#This Row],[Proj Rank]],RBmatchups[[#This Row],[Value Rank]])</f>
        <v>#VALUE!</v>
      </c>
      <c r="AI37" s="214">
        <f>RBmatchups[[#This Row],[Salary]]/50000</f>
        <v>0.08</v>
      </c>
      <c r="AJ37" s="214"/>
      <c r="AK37" s="14">
        <f>IFERROR(INDEX(HBstats1[Rush Att],MATCH(RBmatchups[[#This Row],[Name]],HBstats1[Player],0)),"0")</f>
        <v>8.5540000000000003</v>
      </c>
      <c r="AL37" s="14">
        <f>IFERROR(INDEX(HBstats2[Carries],MATCH(RBmatchups[[#This Row],[Name]],HBstats2[Player],0)),"0")</f>
        <v>6.3</v>
      </c>
      <c r="AM37" s="14">
        <f>IFERROR(INDEX(HBstats3[Carries],MATCH(RBmatchups[[#This Row],[Name]],HBstats3[Player],0)),"0")</f>
        <v>6.5</v>
      </c>
      <c r="AN37" s="14" t="str">
        <f>IFERROR(INDEX(HBallowed[Carries],MATCH(RBmatchups[[#This Row],[Opp]],HBallowed[Team],0)),"0")</f>
        <v>0</v>
      </c>
      <c r="AO37" s="14">
        <f>IFERROR(INDEX(HBstats1[Rush Yds],MATCH(RBmatchups[[#This Row],[Name]],HBstats1[Player],0)),"0")</f>
        <v>38.374000000000002</v>
      </c>
      <c r="AP37" s="14">
        <f>IFERROR(INDEX(HBstats2[RushYards],MATCH(RBmatchups[[#This Row],[Name]],HBstats2[Player],0)),"0")</f>
        <v>26.2</v>
      </c>
      <c r="AQ37" s="14">
        <f>IFERROR(INDEX(HBstats3[RushYards],MATCH(RBmatchups[[#This Row],[Name]],HBstats3[Player],0)),"0")</f>
        <v>32.799999999999997</v>
      </c>
      <c r="AR37" s="32" t="str">
        <f>IFERROR(INDEX(HBallowed[Yards],MATCH(RBmatchups[[#This Row],[Opp]],HBallowed[Team],0)),"0")</f>
        <v>0</v>
      </c>
      <c r="AS37" s="14">
        <f>IFERROR(INDEX(HBstats1[Rush TD],MATCH(RBmatchups[[#This Row],[Name]],HBstats1[Player],0)),"0")</f>
        <v>0.17199999999999999</v>
      </c>
      <c r="AT37" s="14" t="str">
        <f>IFERROR(INDEX(HBstats2[RushTD],MATCH(RBmatchups[[#This Row],[Name]],HBstats2[Player],0)),"0")</f>
        <v>0.1</v>
      </c>
      <c r="AU37" s="14">
        <f>IFERROR(INDEX(HBstats3[RushTD],MATCH(RBmatchups[[#This Row],[Name]],HBstats3[Player],0)),"0")</f>
        <v>0.2</v>
      </c>
      <c r="AV37" s="32" t="str">
        <f>IFERROR(INDEX(HBallowed[TD],MATCH(RBmatchups[[#This Row],[Opp]],HBallowed[Team],0)),"0")</f>
        <v>0</v>
      </c>
      <c r="AW37" s="32">
        <f>IFERROR(INDEX(HBstats3[Targets],MATCH(RBmatchups[[#This Row],[Name]],HBstats3[Player],0)),"0")</f>
        <v>4.3</v>
      </c>
      <c r="AX37" s="32" t="str">
        <f>IFERROR(INDEX(HBstats2[Targets],MATCH(RBmatchups[[#This Row],[Name]],HBstats2[Player],0)),"0")</f>
        <v>0</v>
      </c>
      <c r="AY37" s="32">
        <f>IFERROR(INDEX(HBstats3[Targets],MATCH(RBmatchups[[#This Row],[Name]],HBstats3[Player],0)),"0")</f>
        <v>4.3</v>
      </c>
      <c r="AZ37" s="14">
        <f>IFERROR(INDEX(HBstats1[Rec],MATCH(RBmatchups[[#This Row],[Name]],HBstats1[Player],0)),"0")</f>
        <v>4.3979999999999997</v>
      </c>
      <c r="BA37" s="14">
        <f>IFERROR(INDEX(HBstats2[Rec],MATCH(RBmatchups[[#This Row],[Name]],HBstats2[Player],0)),"0")</f>
        <v>2.6</v>
      </c>
      <c r="BB37" s="14">
        <f>IFERROR(INDEX(HBstats3[Rec],MATCH(RBmatchups[[#This Row],[Name]],HBstats3[Player],0)),"0")</f>
        <v>3.7</v>
      </c>
      <c r="BC37" s="32" t="str">
        <f>IFERROR(INDEX(HBallowed[Rec],MATCH(RBmatchups[[#This Row],[Opp]],HBallowed[Team],0)),"0")</f>
        <v>0</v>
      </c>
      <c r="BD37" s="14">
        <f>IFERROR(INDEX(HBstats1[Rec Yds],MATCH(RBmatchups[[#This Row],[Name]],HBstats1[Player],0)),"0")</f>
        <v>26.626999999999999</v>
      </c>
      <c r="BE37" s="14">
        <f>IFERROR(INDEX(HBstats2[RecYards],MATCH(RBmatchups[[#This Row],[Name]],HBstats2[Player],0)),"0")</f>
        <v>19</v>
      </c>
      <c r="BF37" s="14">
        <f>IFERROR(INDEX(HBstats3[RecYards],MATCH(RBmatchups[[#This Row],[Name]],HBstats3[Player],0)),"0")</f>
        <v>30.4</v>
      </c>
      <c r="BG37" s="32" t="str">
        <f>IFERROR(INDEX(HBallowed[RecYards],MATCH(RBmatchups[[#This Row],[Opp]],HBallowed[Team],0)),"0")</f>
        <v>0</v>
      </c>
      <c r="BH37" s="14">
        <f>IFERROR(INDEX(HBstats1[Rec TD],MATCH(RBmatchups[[#This Row],[Name]],HBstats1[Player],0)),"0")</f>
        <v>0.11700000000000001</v>
      </c>
      <c r="BI37" s="14" t="str">
        <f>IFERROR(INDEX(HBstats2[RecTD],MATCH(RBmatchups[[#This Row],[Name]],HBstats2[Player],0)),"0")</f>
        <v>0.1</v>
      </c>
      <c r="BJ37" s="14">
        <f>IFERROR(INDEX(HBstats3[RecTD],MATCH(RBmatchups[[#This Row],[Name]],HBstats3[Player],0)),"0")</f>
        <v>0.2</v>
      </c>
      <c r="BK37" s="32" t="str">
        <f>IFERROR(INDEX(HBallowed[RecTD],MATCH(RBmatchups[[#This Row],[Opp]],HBallowed[Team],0)),"0")</f>
        <v>0</v>
      </c>
      <c r="BL37" s="268">
        <f>IF(RBmatchups[[#This Row],[Yards]]&gt;=100,3,0)</f>
        <v>0</v>
      </c>
    </row>
    <row r="38" spans="1:64" x14ac:dyDescent="0.3">
      <c r="A38" s="37">
        <f>HBstats1!AL23</f>
        <v>12.5</v>
      </c>
      <c r="B38" s="153" t="str">
        <f>HBstats1!D23</f>
        <v>Spencer Ware</v>
      </c>
      <c r="C38" s="154">
        <f>IFERROR(INDEX(Salaries[DraftKings (Price)],MATCH(RBmatchups[[#This Row],[Name]],Salaries[Player],0)),"")</f>
        <v>5700</v>
      </c>
      <c r="D38" s="154">
        <f>IFERROR(INDEX(DK_Salary_Changes[WeekChange],MATCH(RBmatchups[[#This Row],[Name]],DK_Salary_Changes[Player],0)),"")</f>
        <v>0</v>
      </c>
      <c r="E38" s="154" t="str">
        <f>IFERROR(INDEX(Salaries[Team],MATCH(RBmatchups[[#This Row],[Name]],Salaries[Player],0)),"")</f>
        <v>KC</v>
      </c>
      <c r="F38" s="189" t="str">
        <f>IFERROR(INDEX(Salaries[Opp],MATCH(RBmatchups[[#This Row],[Team]],Salaries[Team],0)),"")</f>
        <v>@PIT</v>
      </c>
      <c r="G38" s="410">
        <f>IFERROR(INDEX(RBYTD[Rush ATT],MATCH(RBmatchups[Name],RBYTD[Player],0)),"0")</f>
        <v>41</v>
      </c>
      <c r="H38" s="191">
        <f>IFERROR(INDEX(RBYTD[Rush Yds],MATCH(RBmatchups[Name],RBYTD[Player],0)),"0")</f>
        <v>202</v>
      </c>
      <c r="I38" s="191">
        <f>IFERROR(INDEX(RBYTD[Rush TD],MATCH(RBmatchups[Name],RBYTD[Player],0)),"0")</f>
        <v>1</v>
      </c>
      <c r="J38" s="191">
        <f>IFERROR(INDEX(RBYTD[Rec],MATCH(RBmatchups[Name],RBYTD[Player],0)),"0")</f>
        <v>10</v>
      </c>
      <c r="K38" s="191">
        <f>IFERROR(INDEX(targettracker54[TTL],MATCH(RBmatchups[Name],targettracker54[Name],0)),"0")</f>
        <v>12</v>
      </c>
      <c r="L38" s="191">
        <f>IFERROR(INDEX(RBYTD[Rec Yds],MATCH(RBmatchups[Name],RBYTD[Player],0)),"0")</f>
        <v>185</v>
      </c>
      <c r="M38" s="411">
        <f>IFERROR(INDEX(RBYTD[Rec TD],MATCH(RBmatchups[Name],RBYTD[Player],0)),"0")</f>
        <v>0</v>
      </c>
      <c r="N38" s="441">
        <f>IFERROR(INDEX(Salaries[O/U],MATCH(RBmatchups[[#This Row],[Team]],Salaries[Team],0)),"")</f>
        <v>47.5</v>
      </c>
      <c r="O38" s="189">
        <f>IFERROR(INDEX(Salaries[Team O/U],MATCH(RBmatchups[[#This Row],[Team]],Salaries[Team],0)),"")</f>
        <v>21</v>
      </c>
      <c r="P38" s="442">
        <f>IFERROR(INDEX(Salaries[Spread],MATCH(RBmatchups[[#This Row],[Team]],Salaries[Team],0)),"")</f>
        <v>5.5</v>
      </c>
      <c r="Q38" s="424">
        <f>IFERROR(INDEX(HBallowed[DVP],MATCH(RBmatchups[[#This Row],[Opp]],HBallowed[Team],0)),IFERROR(INDEX(HBallowed[DVP],MATCH(RBmatchups[[#This Row],[Opp]],HBallowed[Opp],0)),""))</f>
        <v>3</v>
      </c>
      <c r="R38" s="441">
        <f>AVERAGE(RBmatchups[[#This Row],[Car1]:[Car3]])</f>
        <v>8.9893333333333327</v>
      </c>
      <c r="S38" s="190">
        <f>AVERAGE(RBmatchups[[#This Row],[Yards1]:[Yards3]])</f>
        <v>38.217666666666666</v>
      </c>
      <c r="T38" s="189">
        <f>SUM(RBmatchups[[#This Row],[Yards]]/RBmatchups[[#This Row],[Carries2]])</f>
        <v>4.2514461584099674</v>
      </c>
      <c r="U38" s="189">
        <f>AVERAGE(RBmatchups[[#This Row],[TD1]:[TD3]])</f>
        <v>0.28100000000000003</v>
      </c>
      <c r="V38" s="189">
        <f>AVERAGE(RBmatchups[[#This Row],[Tar1]:[Tar3]])</f>
        <v>1.2</v>
      </c>
      <c r="W38" s="189">
        <f>AVERAGE(RBmatchups[[#This Row],[Rec1]:[Rec3]])</f>
        <v>2.4686666666666666</v>
      </c>
      <c r="X38" s="189">
        <f>AVERAGE(RBmatchups[[#This Row],[RecYards1]:[RecYards3]])</f>
        <v>20.887</v>
      </c>
      <c r="Y38" s="189">
        <f>AVERAGE(RBmatchups[[#This Row],[RecTD1]:[RecTd3]])</f>
        <v>4.2500000000000003E-2</v>
      </c>
      <c r="Z38" s="190">
        <f>SUM(RBmatchups[[#This Row],[Carries2]]+RBmatchups[[#This Row],[Rec4]])</f>
        <v>11.457999999999998</v>
      </c>
      <c r="AA38" s="189">
        <f>SUM(RBmatchups[[#This Row],[Yards]]+RBmatchups[[#This Row],[RecYards]])</f>
        <v>59.104666666666667</v>
      </c>
      <c r="AB38" s="189">
        <f>SUM(RBmatchups[[#This Row],[TD]]+RBmatchups[[#This Row],[RecTD5]])</f>
        <v>0.32350000000000001</v>
      </c>
      <c r="AC38" s="191">
        <f>_xlfn.RANK.EQ(RBmatchups[Projection],RBmatchups[Projection],0)</f>
        <v>28</v>
      </c>
      <c r="AD38" s="189">
        <f>SUM(RBmatchups[[#This Row],[Total Yards]]*0.1)+(RBmatchups[[#This Row],[Rec4]]*1)+(RBmatchups[[#This Row],[Total TD]]*6)+(RBmatchups[[#This Row],[100+]])</f>
        <v>10.320133333333334</v>
      </c>
      <c r="AE38" s="191" t="e">
        <f>_xlfn.RANK.EQ(RBmatchups[[#This Row],[$/FP]],RBmatchups[$/FP],1)</f>
        <v>#VALUE!</v>
      </c>
      <c r="AF38" s="453">
        <f>SUM(RBmatchups[[#This Row],[Salary]]/RBmatchups[[#This Row],[Projection]])</f>
        <v>552.31844549812013</v>
      </c>
      <c r="AG38" s="448" t="e">
        <f>_xlfn.RANK.EQ(RBmatchups[[#This Row],[Average]],RBmatchups[Average],1)</f>
        <v>#VALUE!</v>
      </c>
      <c r="AH38" s="190" t="e">
        <f>AVERAGE(RBmatchups[[#This Row],[Proj Rank]],RBmatchups[[#This Row],[Value Rank]])</f>
        <v>#VALUE!</v>
      </c>
      <c r="AI38" s="214">
        <f>RBmatchups[[#This Row],[Salary]]/50000</f>
        <v>0.114</v>
      </c>
      <c r="AJ38" s="214"/>
      <c r="AK38" s="14">
        <f>IFERROR(INDEX(HBstats1[Rush Att],MATCH(RBmatchups[[#This Row],[Name]],HBstats1[Player],0)),"0")</f>
        <v>11.667999999999999</v>
      </c>
      <c r="AL38" s="14">
        <f>IFERROR(INDEX(HBstats2[Carries],MATCH(RBmatchups[[#This Row],[Name]],HBstats2[Player],0)),"0")</f>
        <v>10.3</v>
      </c>
      <c r="AM38" s="14">
        <f>IFERROR(INDEX(HBstats3[Carries],MATCH(RBmatchups[[#This Row],[Name]],HBstats3[Player],0)),"0")</f>
        <v>5</v>
      </c>
      <c r="AN38" s="14" t="str">
        <f>IFERROR(INDEX(HBallowed[Carries],MATCH(RBmatchups[[#This Row],[Opp]],HBallowed[Team],0)),"0")</f>
        <v>0</v>
      </c>
      <c r="AO38" s="14">
        <f>IFERROR(INDEX(HBstats1[Rush Yds],MATCH(RBmatchups[[#This Row],[Name]],HBstats1[Player],0)),"0")</f>
        <v>50.652999999999999</v>
      </c>
      <c r="AP38" s="14">
        <f>IFERROR(INDEX(HBstats2[RushYards],MATCH(RBmatchups[[#This Row],[Name]],HBstats2[Player],0)),"0")</f>
        <v>41</v>
      </c>
      <c r="AQ38" s="14">
        <f>IFERROR(INDEX(HBstats3[RushYards],MATCH(RBmatchups[[#This Row],[Name]],HBstats3[Player],0)),"0")</f>
        <v>23</v>
      </c>
      <c r="AR38" s="32" t="str">
        <f>IFERROR(INDEX(HBallowed[Yards],MATCH(RBmatchups[[#This Row],[Opp]],HBallowed[Team],0)),"0")</f>
        <v>0</v>
      </c>
      <c r="AS38" s="14">
        <f>IFERROR(INDEX(HBstats1[Rush TD],MATCH(RBmatchups[[#This Row],[Name]],HBstats1[Player],0)),"0")</f>
        <v>0.36199999999999999</v>
      </c>
      <c r="AT38" s="14" t="str">
        <f>IFERROR(INDEX(HBstats2[RushTD],MATCH(RBmatchups[[#This Row],[Name]],HBstats2[Player],0)),"0")</f>
        <v>0.2</v>
      </c>
      <c r="AU38" s="14">
        <f>IFERROR(INDEX(HBstats3[RushTD],MATCH(RBmatchups[[#This Row],[Name]],HBstats3[Player],0)),"0")</f>
        <v>0.2</v>
      </c>
      <c r="AV38" s="32" t="str">
        <f>IFERROR(INDEX(HBallowed[TD],MATCH(RBmatchups[[#This Row],[Opp]],HBallowed[Team],0)),"0")</f>
        <v>0</v>
      </c>
      <c r="AW38" s="32">
        <f>IFERROR(INDEX(HBstats3[Targets],MATCH(RBmatchups[[#This Row],[Name]],HBstats3[Player],0)),"0")</f>
        <v>1.2</v>
      </c>
      <c r="AX38" s="32" t="str">
        <f>IFERROR(INDEX(HBstats2[Targets],MATCH(RBmatchups[[#This Row],[Name]],HBstats2[Player],0)),"0")</f>
        <v>0</v>
      </c>
      <c r="AY38" s="32">
        <f>IFERROR(INDEX(HBstats3[Targets],MATCH(RBmatchups[[#This Row],[Name]],HBstats3[Player],0)),"0")</f>
        <v>1.2</v>
      </c>
      <c r="AZ38" s="14">
        <f>IFERROR(INDEX(HBstats1[Rec],MATCH(RBmatchups[[#This Row],[Name]],HBstats1[Player],0)),"0")</f>
        <v>3.306</v>
      </c>
      <c r="BA38" s="14">
        <f>IFERROR(INDEX(HBstats2[Rec],MATCH(RBmatchups[[#This Row],[Name]],HBstats2[Player],0)),"0")</f>
        <v>2.9</v>
      </c>
      <c r="BB38" s="14">
        <f>IFERROR(INDEX(HBstats3[Rec],MATCH(RBmatchups[[#This Row],[Name]],HBstats3[Player],0)),"0")</f>
        <v>1.2</v>
      </c>
      <c r="BC38" s="32" t="str">
        <f>IFERROR(INDEX(HBallowed[Rec],MATCH(RBmatchups[[#This Row],[Opp]],HBallowed[Team],0)),"0")</f>
        <v>0</v>
      </c>
      <c r="BD38" s="14">
        <f>IFERROR(INDEX(HBstats1[Rec Yds],MATCH(RBmatchups[[#This Row],[Name]],HBstats1[Player],0)),"0")</f>
        <v>33.061</v>
      </c>
      <c r="BE38" s="14">
        <f>IFERROR(INDEX(HBstats2[RecYards],MATCH(RBmatchups[[#This Row],[Name]],HBstats2[Player],0)),"0")</f>
        <v>21</v>
      </c>
      <c r="BF38" s="14">
        <f>IFERROR(INDEX(HBstats3[RecYards],MATCH(RBmatchups[[#This Row],[Name]],HBstats3[Player],0)),"0")</f>
        <v>8.6</v>
      </c>
      <c r="BG38" s="32" t="str">
        <f>IFERROR(INDEX(HBallowed[RecYards],MATCH(RBmatchups[[#This Row],[Opp]],HBallowed[Team],0)),"0")</f>
        <v>0</v>
      </c>
      <c r="BH38" s="14">
        <f>IFERROR(INDEX(HBstats1[Rec TD],MATCH(RBmatchups[[#This Row],[Name]],HBstats1[Player],0)),"0")</f>
        <v>8.5000000000000006E-2</v>
      </c>
      <c r="BI38" s="14" t="str">
        <f>IFERROR(INDEX(HBstats2[RecTD],MATCH(RBmatchups[[#This Row],[Name]],HBstats2[Player],0)),"0")</f>
        <v>0.1</v>
      </c>
      <c r="BJ38" s="14">
        <f>IFERROR(INDEX(HBstats3[RecTD],MATCH(RBmatchups[[#This Row],[Name]],HBstats3[Player],0)),"0")</f>
        <v>0</v>
      </c>
      <c r="BK38" s="32" t="str">
        <f>IFERROR(INDEX(HBallowed[RecTD],MATCH(RBmatchups[[#This Row],[Opp]],HBallowed[Team],0)),"0")</f>
        <v>0</v>
      </c>
      <c r="BL38" s="268">
        <f>IF(RBmatchups[[#This Row],[Yards]]&gt;=100,3,0)</f>
        <v>0</v>
      </c>
    </row>
    <row r="39" spans="1:64" x14ac:dyDescent="0.3">
      <c r="A39" s="37">
        <f>HBstats1!AL46</f>
        <v>6</v>
      </c>
      <c r="B39" s="153" t="str">
        <f>HBstats1!D46</f>
        <v>T.J. Yeldon</v>
      </c>
      <c r="C39" s="154">
        <f>IFERROR(INDEX(Salaries[DraftKings (Price)],MATCH(RBmatchups[[#This Row],[Name]],Salaries[Player],0)),"")</f>
        <v>4600</v>
      </c>
      <c r="D39" s="154">
        <f>IFERROR(INDEX(DK_Salary_Changes[WeekChange],MATCH(RBmatchups[[#This Row],[Name]],DK_Salary_Changes[Player],0)),"")</f>
        <v>-1000</v>
      </c>
      <c r="E39" s="154" t="str">
        <f>IFERROR(INDEX(Salaries[Team],MATCH(RBmatchups[[#This Row],[Name]],Salaries[Player],0)),"")</f>
        <v>JAX</v>
      </c>
      <c r="F39" s="189" t="str">
        <f>IFERROR(INDEX(Salaries[Opp],MATCH(RBmatchups[[#This Row],[Team]],Salaries[Team],0)),"")</f>
        <v>IND</v>
      </c>
      <c r="G39" s="410">
        <f>IFERROR(INDEX(RBYTD[Rush ATT],MATCH(RBmatchups[Name],RBYTD[Player],0)),"0")</f>
        <v>34</v>
      </c>
      <c r="H39" s="191">
        <f>IFERROR(INDEX(RBYTD[Rush Yds],MATCH(RBmatchups[Name],RBYTD[Player],0)),"0")</f>
        <v>84</v>
      </c>
      <c r="I39" s="191">
        <f>IFERROR(INDEX(RBYTD[Rush TD],MATCH(RBmatchups[Name],RBYTD[Player],0)),"0")</f>
        <v>1</v>
      </c>
      <c r="J39" s="191">
        <f>IFERROR(INDEX(RBYTD[Rec],MATCH(RBmatchups[Name],RBYTD[Player],0)),"0")</f>
        <v>14</v>
      </c>
      <c r="K39" s="191">
        <f>IFERROR(INDEX(targettracker54[TTL],MATCH(RBmatchups[Name],targettracker54[Name],0)),"0")</f>
        <v>18</v>
      </c>
      <c r="L39" s="191">
        <f>IFERROR(INDEX(RBYTD[Rec Yds],MATCH(RBmatchups[Name],RBYTD[Player],0)),"0")</f>
        <v>51</v>
      </c>
      <c r="M39" s="411">
        <f>IFERROR(INDEX(RBYTD[Rec TD],MATCH(RBmatchups[Name],RBYTD[Player],0)),"0")</f>
        <v>0</v>
      </c>
      <c r="N39" s="441">
        <f>IFERROR(INDEX(Salaries[O/U],MATCH(RBmatchups[[#This Row],[Team]],Salaries[Team],0)),"")</f>
        <v>49.5</v>
      </c>
      <c r="O39" s="189">
        <f>IFERROR(INDEX(Salaries[Team O/U],MATCH(RBmatchups[[#This Row],[Team]],Salaries[Team],0)),"")</f>
        <v>23.5</v>
      </c>
      <c r="P39" s="442">
        <f>IFERROR(INDEX(Salaries[Spread],MATCH(RBmatchups[[#This Row],[Team]],Salaries[Team],0)),"")</f>
        <v>2.5</v>
      </c>
      <c r="Q39" s="424">
        <f>IFERROR(INDEX(HBallowed[DVP],MATCH(RBmatchups[[#This Row],[Opp]],HBallowed[Team],0)),IFERROR(INDEX(HBallowed[DVP],MATCH(RBmatchups[[#This Row],[Opp]],HBallowed[Opp],0)),""))</f>
        <v>22</v>
      </c>
      <c r="R39" s="441">
        <f>AVERAGE(RBmatchups[[#This Row],[Car1]:[Car3]])</f>
        <v>7.4033333333333333</v>
      </c>
      <c r="S39" s="190">
        <f>AVERAGE(RBmatchups[[#This Row],[Yards1]:[Yards3]])</f>
        <v>31.254333333333335</v>
      </c>
      <c r="T39" s="189">
        <f>SUM(RBmatchups[[#This Row],[Yards]]/RBmatchups[[#This Row],[Carries2]])</f>
        <v>4.2216569113012161</v>
      </c>
      <c r="U39" s="189">
        <f>AVERAGE(RBmatchups[[#This Row],[TD1]:[TD3]])</f>
        <v>0.19750000000000001</v>
      </c>
      <c r="V39" s="189">
        <f>AVERAGE(RBmatchups[[#This Row],[Tar1]:[Tar3]])</f>
        <v>3.2</v>
      </c>
      <c r="W39" s="189">
        <f>AVERAGE(RBmatchups[[#This Row],[Rec1]:[Rec3]])</f>
        <v>2.9463333333333335</v>
      </c>
      <c r="X39" s="189">
        <f>AVERAGE(RBmatchups[[#This Row],[RecYards1]:[RecYards3]])</f>
        <v>19.983999999999998</v>
      </c>
      <c r="Y39" s="189">
        <f>AVERAGE(RBmatchups[[#This Row],[RecTD1]:[RecTd3]])</f>
        <v>0.13700000000000001</v>
      </c>
      <c r="Z39" s="190">
        <f>SUM(RBmatchups[[#This Row],[Carries2]]+RBmatchups[[#This Row],[Rec4]])</f>
        <v>10.349666666666668</v>
      </c>
      <c r="AA39" s="189">
        <f>SUM(RBmatchups[[#This Row],[Yards]]+RBmatchups[[#This Row],[RecYards]])</f>
        <v>51.23833333333333</v>
      </c>
      <c r="AB39" s="189">
        <f>SUM(RBmatchups[[#This Row],[TD]]+RBmatchups[[#This Row],[RecTD5]])</f>
        <v>0.33450000000000002</v>
      </c>
      <c r="AC39" s="191">
        <f>_xlfn.RANK.EQ(RBmatchups[Projection],RBmatchups[Projection],0)</f>
        <v>29</v>
      </c>
      <c r="AD39" s="189">
        <f>SUM(RBmatchups[[#This Row],[Total Yards]]*0.1)+(RBmatchups[[#This Row],[Rec4]]*1)+(RBmatchups[[#This Row],[Total TD]]*6)+(RBmatchups[[#This Row],[100+]])</f>
        <v>10.077166666666667</v>
      </c>
      <c r="AE39" s="191" t="e">
        <f>_xlfn.RANK.EQ(RBmatchups[[#This Row],[$/FP]],RBmatchups[$/FP],1)</f>
        <v>#VALUE!</v>
      </c>
      <c r="AF39" s="453">
        <f>SUM(RBmatchups[[#This Row],[Salary]]/RBmatchups[[#This Row],[Projection]])</f>
        <v>456.47751517456959</v>
      </c>
      <c r="AG39" s="449" t="e">
        <f>_xlfn.RANK.EQ(RBmatchups[[#This Row],[Average]],RBmatchups[Average],1)</f>
        <v>#VALUE!</v>
      </c>
      <c r="AH39" s="190" t="e">
        <f>AVERAGE(RBmatchups[[#This Row],[Proj Rank]],RBmatchups[[#This Row],[Value Rank]])</f>
        <v>#VALUE!</v>
      </c>
      <c r="AI39" s="214">
        <f>RBmatchups[[#This Row],[Salary]]/50000</f>
        <v>9.1999999999999998E-2</v>
      </c>
      <c r="AJ39" s="214"/>
      <c r="AK39" s="14">
        <f>IFERROR(INDEX(HBstats1[Rush Att],MATCH(RBmatchups[[#This Row],[Name]],HBstats1[Player],0)),"0")</f>
        <v>4.51</v>
      </c>
      <c r="AL39" s="14">
        <f>IFERROR(INDEX(HBstats2[Carries],MATCH(RBmatchups[[#This Row],[Name]],HBstats2[Player],0)),"0")</f>
        <v>8.6999999999999993</v>
      </c>
      <c r="AM39" s="14">
        <f>IFERROR(INDEX(HBstats3[Carries],MATCH(RBmatchups[[#This Row],[Name]],HBstats3[Player],0)),"0")</f>
        <v>9</v>
      </c>
      <c r="AN39" s="14">
        <f>IFERROR(INDEX(HBallowed[Carries],MATCH(RBmatchups[[#This Row],[Opp]],HBallowed[Team],0)),"0")</f>
        <v>25.125</v>
      </c>
      <c r="AO39" s="14">
        <f>IFERROR(INDEX(HBstats1[Rush Yds],MATCH(RBmatchups[[#This Row],[Name]],HBstats1[Player],0)),"0")</f>
        <v>15.863</v>
      </c>
      <c r="AP39" s="14">
        <f>IFERROR(INDEX(HBstats2[RushYards],MATCH(RBmatchups[[#This Row],[Name]],HBstats2[Player],0)),"0")</f>
        <v>33.1</v>
      </c>
      <c r="AQ39" s="14">
        <f>IFERROR(INDEX(HBstats3[RushYards],MATCH(RBmatchups[[#This Row],[Name]],HBstats3[Player],0)),"0")</f>
        <v>44.8</v>
      </c>
      <c r="AR39" s="32">
        <f>IFERROR(INDEX(HBallowed[Yards],MATCH(RBmatchups[[#This Row],[Opp]],HBallowed[Team],0)),"0")</f>
        <v>115.0625</v>
      </c>
      <c r="AS39" s="14">
        <f>IFERROR(INDEX(HBstats1[Rush TD],MATCH(RBmatchups[[#This Row],[Name]],HBstats1[Player],0)),"0")</f>
        <v>9.5000000000000001E-2</v>
      </c>
      <c r="AT39" s="14" t="str">
        <f>IFERROR(INDEX(HBstats2[RushTD],MATCH(RBmatchups[[#This Row],[Name]],HBstats2[Player],0)),"0")</f>
        <v>0.2</v>
      </c>
      <c r="AU39" s="14">
        <f>IFERROR(INDEX(HBstats3[RushTD],MATCH(RBmatchups[[#This Row],[Name]],HBstats3[Player],0)),"0")</f>
        <v>0.3</v>
      </c>
      <c r="AV39" s="32">
        <f>IFERROR(INDEX(HBallowed[TD],MATCH(RBmatchups[[#This Row],[Opp]],HBallowed[Team],0)),"0")</f>
        <v>0.4375</v>
      </c>
      <c r="AW39" s="32">
        <f>IFERROR(INDEX(HBstats3[Targets],MATCH(RBmatchups[[#This Row],[Name]],HBstats3[Player],0)),"0")</f>
        <v>3.2</v>
      </c>
      <c r="AX39" s="32" t="str">
        <f>IFERROR(INDEX(HBstats2[Targets],MATCH(RBmatchups[[#This Row],[Name]],HBstats2[Player],0)),"0")</f>
        <v>0</v>
      </c>
      <c r="AY39" s="32">
        <f>IFERROR(INDEX(HBstats3[Targets],MATCH(RBmatchups[[#This Row],[Name]],HBstats3[Player],0)),"0")</f>
        <v>3.2</v>
      </c>
      <c r="AZ39" s="14">
        <f>IFERROR(INDEX(HBstats1[Rec],MATCH(RBmatchups[[#This Row],[Name]],HBstats1[Player],0)),"0")</f>
        <v>3.5390000000000001</v>
      </c>
      <c r="BA39" s="14">
        <f>IFERROR(INDEX(HBstats2[Rec],MATCH(RBmatchups[[#This Row],[Name]],HBstats2[Player],0)),"0")</f>
        <v>2.7</v>
      </c>
      <c r="BB39" s="14">
        <f>IFERROR(INDEX(HBstats3[Rec],MATCH(RBmatchups[[#This Row],[Name]],HBstats3[Player],0)),"0")</f>
        <v>2.6</v>
      </c>
      <c r="BC39" s="32">
        <f>IFERROR(INDEX(HBallowed[Rec],MATCH(RBmatchups[[#This Row],[Opp]],HBallowed[Team],0)),"0")</f>
        <v>3.8125</v>
      </c>
      <c r="BD39" s="14">
        <f>IFERROR(INDEX(HBstats1[Rec Yds],MATCH(RBmatchups[[#This Row],[Name]],HBstats1[Player],0)),"0")</f>
        <v>17.452000000000002</v>
      </c>
      <c r="BE39" s="14">
        <f>IFERROR(INDEX(HBstats2[RecYards],MATCH(RBmatchups[[#This Row],[Name]],HBstats2[Player],0)),"0")</f>
        <v>20.8</v>
      </c>
      <c r="BF39" s="14">
        <f>IFERROR(INDEX(HBstats3[RecYards],MATCH(RBmatchups[[#This Row],[Name]],HBstats3[Player],0)),"0")</f>
        <v>21.7</v>
      </c>
      <c r="BG39" s="32">
        <f>IFERROR(INDEX(HBallowed[RecYards],MATCH(RBmatchups[[#This Row],[Opp]],HBallowed[Team],0)),"0")</f>
        <v>38.1875</v>
      </c>
      <c r="BH39" s="14">
        <f>IFERROR(INDEX(HBstats1[Rec TD],MATCH(RBmatchups[[#This Row],[Name]],HBstats1[Player],0)),"0")</f>
        <v>7.3999999999999996E-2</v>
      </c>
      <c r="BI39" s="14" t="str">
        <f>IFERROR(INDEX(HBstats2[RecTD],MATCH(RBmatchups[[#This Row],[Name]],HBstats2[Player],0)),"0")</f>
        <v>0.1</v>
      </c>
      <c r="BJ39" s="14">
        <f>IFERROR(INDEX(HBstats3[RecTD],MATCH(RBmatchups[[#This Row],[Name]],HBstats3[Player],0)),"0")</f>
        <v>0.2</v>
      </c>
      <c r="BK39" s="32">
        <f>IFERROR(INDEX(HBallowed[RecTD],MATCH(RBmatchups[[#This Row],[Opp]],HBallowed[Team],0)),"0")</f>
        <v>0.125</v>
      </c>
      <c r="BL39" s="268">
        <f>IF(RBmatchups[[#This Row],[Yards]]&gt;=100,3,0)</f>
        <v>0</v>
      </c>
    </row>
    <row r="40" spans="1:64" x14ac:dyDescent="0.3">
      <c r="A40" s="37">
        <f>HBstats1!AL27</f>
        <v>10.8</v>
      </c>
      <c r="B40" s="153" t="str">
        <f>HBstats1!D27</f>
        <v>Dwayne Washington</v>
      </c>
      <c r="C40" s="154">
        <f>IFERROR(INDEX(Salaries[DraftKings (Price)],MATCH(RBmatchups[[#This Row],[Name]],Salaries[Player],0)),"")</f>
        <v>3800</v>
      </c>
      <c r="D40" s="154">
        <f>IFERROR(INDEX(DK_Salary_Changes[WeekChange],MATCH(RBmatchups[[#This Row],[Name]],DK_Salary_Changes[Player],0)),"")</f>
        <v>200</v>
      </c>
      <c r="E40" s="154" t="str">
        <f>IFERROR(INDEX(Salaries[Team],MATCH(RBmatchups[[#This Row],[Name]],Salaries[Player],0)),"")</f>
        <v>DET</v>
      </c>
      <c r="F40" s="189" t="str">
        <f>IFERROR(INDEX(Salaries[Opp],MATCH(RBmatchups[[#This Row],[Team]],Salaries[Team],0)),"")</f>
        <v>@CHI</v>
      </c>
      <c r="G40" s="410">
        <f>IFERROR(INDEX(RBYTD[Rush ATT],MATCH(RBmatchups[Name],RBYTD[Player],0)),"0")</f>
        <v>16</v>
      </c>
      <c r="H40" s="191">
        <f>IFERROR(INDEX(RBYTD[Rush Yds],MATCH(RBmatchups[Name],RBYTD[Player],0)),"0")</f>
        <v>70</v>
      </c>
      <c r="I40" s="191">
        <f>IFERROR(INDEX(RBYTD[Rush TD],MATCH(RBmatchups[Name],RBYTD[Player],0)),"0")</f>
        <v>1</v>
      </c>
      <c r="J40" s="191">
        <f>IFERROR(INDEX(RBYTD[Rec],MATCH(RBmatchups[Name],RBYTD[Player],0)),"0")</f>
        <v>1</v>
      </c>
      <c r="K40" s="191">
        <f>IFERROR(INDEX(targettracker54[TTL],MATCH(RBmatchups[Name],targettracker54[Name],0)),"0")</f>
        <v>1</v>
      </c>
      <c r="L40" s="191">
        <f>IFERROR(INDEX(RBYTD[Rec Yds],MATCH(RBmatchups[Name],RBYTD[Player],0)),"0")</f>
        <v>-3</v>
      </c>
      <c r="M40" s="411">
        <f>IFERROR(INDEX(RBYTD[Rec TD],MATCH(RBmatchups[Name],RBYTD[Player],0)),"0")</f>
        <v>0</v>
      </c>
      <c r="N40" s="441">
        <f>IFERROR(INDEX(Salaries[O/U],MATCH(RBmatchups[[#This Row],[Team]],Salaries[Team],0)),"")</f>
        <v>46.5</v>
      </c>
      <c r="O40" s="189">
        <f>IFERROR(INDEX(Salaries[Team O/U],MATCH(RBmatchups[[#This Row],[Team]],Salaries[Team],0)),"")</f>
        <v>24.75</v>
      </c>
      <c r="P40" s="442">
        <f>IFERROR(INDEX(Salaries[Spread],MATCH(RBmatchups[[#This Row],[Team]],Salaries[Team],0)),"")</f>
        <v>-3</v>
      </c>
      <c r="Q40" s="424">
        <f>IFERROR(INDEX(HBallowed[DVP],MATCH(RBmatchups[[#This Row],[Opp]],HBallowed[Team],0)),IFERROR(INDEX(HBallowed[DVP],MATCH(RBmatchups[[#This Row],[Opp]],HBallowed[Opp],0)),""))</f>
        <v>23</v>
      </c>
      <c r="R40" s="441">
        <f>AVERAGE(RBmatchups[[#This Row],[Car1]:[Car3]])</f>
        <v>9.4636666666666667</v>
      </c>
      <c r="S40" s="190">
        <f>AVERAGE(RBmatchups[[#This Row],[Yards1]:[Yards3]])</f>
        <v>41.569333333333333</v>
      </c>
      <c r="T40" s="189">
        <f>SUM(RBmatchups[[#This Row],[Yards]]/RBmatchups[[#This Row],[Carries2]])</f>
        <v>4.3925187559437848</v>
      </c>
      <c r="U40" s="189">
        <f>AVERAGE(RBmatchups[[#This Row],[TD1]:[TD3]])</f>
        <v>0.35450000000000004</v>
      </c>
      <c r="V40" s="189">
        <f>AVERAGE(RBmatchups[[#This Row],[Tar1]:[Tar3]])</f>
        <v>1.5</v>
      </c>
      <c r="W40" s="189">
        <f>AVERAGE(RBmatchups[[#This Row],[Rec1]:[Rec3]])</f>
        <v>1.8706666666666667</v>
      </c>
      <c r="X40" s="189">
        <f>AVERAGE(RBmatchups[[#This Row],[RecYards1]:[RecYards3]])</f>
        <v>13.711333333333334</v>
      </c>
      <c r="Y40" s="189">
        <f>AVERAGE(RBmatchups[[#This Row],[RecTD1]:[RecTd3]])</f>
        <v>3.2500000000000001E-2</v>
      </c>
      <c r="Z40" s="190">
        <f>SUM(RBmatchups[[#This Row],[Carries2]]+RBmatchups[[#This Row],[Rec4]])</f>
        <v>11.334333333333333</v>
      </c>
      <c r="AA40" s="189">
        <f>SUM(RBmatchups[[#This Row],[Yards]]+RBmatchups[[#This Row],[RecYards]])</f>
        <v>55.280666666666669</v>
      </c>
      <c r="AB40" s="189">
        <f>SUM(RBmatchups[[#This Row],[TD]]+RBmatchups[[#This Row],[RecTD5]])</f>
        <v>0.38700000000000001</v>
      </c>
      <c r="AC40" s="191">
        <f>_xlfn.RANK.EQ(RBmatchups[Projection],RBmatchups[Projection],0)</f>
        <v>30</v>
      </c>
      <c r="AD40" s="189">
        <f>SUM(RBmatchups[[#This Row],[Total Yards]]*0.1)+(RBmatchups[[#This Row],[Rec4]]*1)+(RBmatchups[[#This Row],[Total TD]]*6)+(RBmatchups[[#This Row],[100+]])</f>
        <v>9.7207333333333352</v>
      </c>
      <c r="AE40" s="191" t="e">
        <f>_xlfn.RANK.EQ(RBmatchups[[#This Row],[$/FP]],RBmatchups[$/FP],1)</f>
        <v>#VALUE!</v>
      </c>
      <c r="AF40" s="453">
        <f>SUM(RBmatchups[[#This Row],[Salary]]/RBmatchups[[#This Row],[Projection]])</f>
        <v>390.91700900480754</v>
      </c>
      <c r="AG40" s="448" t="e">
        <f>_xlfn.RANK.EQ(RBmatchups[[#This Row],[Average]],RBmatchups[Average],1)</f>
        <v>#VALUE!</v>
      </c>
      <c r="AH40" s="190" t="e">
        <f>AVERAGE(RBmatchups[[#This Row],[Proj Rank]],RBmatchups[[#This Row],[Value Rank]])</f>
        <v>#VALUE!</v>
      </c>
      <c r="AI40" s="214">
        <f>RBmatchups[[#This Row],[Salary]]/50000</f>
        <v>7.5999999999999998E-2</v>
      </c>
      <c r="AJ40" s="214"/>
      <c r="AK40" s="14">
        <f>IFERROR(INDEX(HBstats1[Rush Att],MATCH(RBmatchups[[#This Row],[Name]],HBstats1[Player],0)),"0")</f>
        <v>12.191000000000001</v>
      </c>
      <c r="AL40" s="14">
        <f>IFERROR(INDEX(HBstats2[Carries],MATCH(RBmatchups[[#This Row],[Name]],HBstats2[Player],0)),"0")</f>
        <v>6.8</v>
      </c>
      <c r="AM40" s="14">
        <f>IFERROR(INDEX(HBstats3[Carries],MATCH(RBmatchups[[#This Row],[Name]],HBstats3[Player],0)),"0")</f>
        <v>9.4</v>
      </c>
      <c r="AN40" s="14" t="str">
        <f>IFERROR(INDEX(HBallowed[Carries],MATCH(RBmatchups[[#This Row],[Opp]],HBallowed[Team],0)),"0")</f>
        <v>0</v>
      </c>
      <c r="AO40" s="14">
        <f>IFERROR(INDEX(HBstats1[Rush Yds],MATCH(RBmatchups[[#This Row],[Name]],HBstats1[Player],0)),"0")</f>
        <v>54.607999999999997</v>
      </c>
      <c r="AP40" s="14">
        <f>IFERROR(INDEX(HBstats2[RushYards],MATCH(RBmatchups[[#This Row],[Name]],HBstats2[Player],0)),"0")</f>
        <v>27.6</v>
      </c>
      <c r="AQ40" s="14">
        <f>IFERROR(INDEX(HBstats3[RushYards],MATCH(RBmatchups[[#This Row],[Name]],HBstats3[Player],0)),"0")</f>
        <v>42.5</v>
      </c>
      <c r="AR40" s="32" t="str">
        <f>IFERROR(INDEX(HBallowed[Yards],MATCH(RBmatchups[[#This Row],[Opp]],HBallowed[Team],0)),"0")</f>
        <v>0</v>
      </c>
      <c r="AS40" s="14">
        <f>IFERROR(INDEX(HBstats1[Rush TD],MATCH(RBmatchups[[#This Row],[Name]],HBstats1[Player],0)),"0")</f>
        <v>0.50900000000000001</v>
      </c>
      <c r="AT40" s="14" t="str">
        <f>IFERROR(INDEX(HBstats2[RushTD],MATCH(RBmatchups[[#This Row],[Name]],HBstats2[Player],0)),"0")</f>
        <v>0.3</v>
      </c>
      <c r="AU40" s="14">
        <f>IFERROR(INDEX(HBstats3[RushTD],MATCH(RBmatchups[[#This Row],[Name]],HBstats3[Player],0)),"0")</f>
        <v>0.2</v>
      </c>
      <c r="AV40" s="32" t="str">
        <f>IFERROR(INDEX(HBallowed[TD],MATCH(RBmatchups[[#This Row],[Opp]],HBallowed[Team],0)),"0")</f>
        <v>0</v>
      </c>
      <c r="AW40" s="32">
        <f>IFERROR(INDEX(HBstats3[Targets],MATCH(RBmatchups[[#This Row],[Name]],HBstats3[Player],0)),"0")</f>
        <v>1.5</v>
      </c>
      <c r="AX40" s="32" t="str">
        <f>IFERROR(INDEX(HBstats2[Targets],MATCH(RBmatchups[[#This Row],[Name]],HBstats2[Player],0)),"0")</f>
        <v>0</v>
      </c>
      <c r="AY40" s="32">
        <f>IFERROR(INDEX(HBstats3[Targets],MATCH(RBmatchups[[#This Row],[Name]],HBstats3[Player],0)),"0")</f>
        <v>1.5</v>
      </c>
      <c r="AZ40" s="14">
        <f>IFERROR(INDEX(HBstats1[Rec],MATCH(RBmatchups[[#This Row],[Name]],HBstats1[Player],0)),"0")</f>
        <v>1.712</v>
      </c>
      <c r="BA40" s="14">
        <f>IFERROR(INDEX(HBstats2[Rec],MATCH(RBmatchups[[#This Row],[Name]],HBstats2[Player],0)),"0")</f>
        <v>2.8</v>
      </c>
      <c r="BB40" s="14">
        <f>IFERROR(INDEX(HBstats3[Rec],MATCH(RBmatchups[[#This Row],[Name]],HBstats3[Player],0)),"0")</f>
        <v>1.1000000000000001</v>
      </c>
      <c r="BC40" s="32" t="str">
        <f>IFERROR(INDEX(HBallowed[Rec],MATCH(RBmatchups[[#This Row],[Opp]],HBallowed[Team],0)),"0")</f>
        <v>0</v>
      </c>
      <c r="BD40" s="14">
        <f>IFERROR(INDEX(HBstats1[Rec Yds],MATCH(RBmatchups[[#This Row],[Name]],HBstats1[Player],0)),"0")</f>
        <v>12.634</v>
      </c>
      <c r="BE40" s="14">
        <f>IFERROR(INDEX(HBstats2[RecYards],MATCH(RBmatchups[[#This Row],[Name]],HBstats2[Player],0)),"0")</f>
        <v>20.3</v>
      </c>
      <c r="BF40" s="14">
        <f>IFERROR(INDEX(HBstats3[RecYards],MATCH(RBmatchups[[#This Row],[Name]],HBstats3[Player],0)),"0")</f>
        <v>8.1999999999999993</v>
      </c>
      <c r="BG40" s="32" t="str">
        <f>IFERROR(INDEX(HBallowed[RecYards],MATCH(RBmatchups[[#This Row],[Opp]],HBallowed[Team],0)),"0")</f>
        <v>0</v>
      </c>
      <c r="BH40" s="14">
        <f>IFERROR(INDEX(HBstats1[Rec TD],MATCH(RBmatchups[[#This Row],[Name]],HBstats1[Player],0)),"0")</f>
        <v>6.5000000000000002E-2</v>
      </c>
      <c r="BI40" s="14" t="str">
        <f>IFERROR(INDEX(HBstats2[RecTD],MATCH(RBmatchups[[#This Row],[Name]],HBstats2[Player],0)),"0")</f>
        <v>0</v>
      </c>
      <c r="BJ40" s="14">
        <f>IFERROR(INDEX(HBstats3[RecTD],MATCH(RBmatchups[[#This Row],[Name]],HBstats3[Player],0)),"0")</f>
        <v>0</v>
      </c>
      <c r="BK40" s="32" t="str">
        <f>IFERROR(INDEX(HBallowed[RecTD],MATCH(RBmatchups[[#This Row],[Opp]],HBallowed[Team],0)),"0")</f>
        <v>0</v>
      </c>
      <c r="BL40" s="268">
        <f>IF(RBmatchups[[#This Row],[Yards]]&gt;=100,3,0)</f>
        <v>0</v>
      </c>
    </row>
    <row r="41" spans="1:64" x14ac:dyDescent="0.3">
      <c r="A41" s="37">
        <f>HBstats1!AL37</f>
        <v>6.6</v>
      </c>
      <c r="B41" s="153" t="str">
        <f>HBstats1!D37</f>
        <v>Rashad Jennings</v>
      </c>
      <c r="C41" s="154">
        <f>IFERROR(INDEX(Salaries[DraftKings (Price)],MATCH(RBmatchups[[#This Row],[Name]],Salaries[Player],0)),"")</f>
        <v>4700</v>
      </c>
      <c r="D41" s="154">
        <f>IFERROR(INDEX(DK_Salary_Changes[WeekChange],MATCH(RBmatchups[[#This Row],[Name]],DK_Salary_Changes[Player],0)),"")</f>
        <v>-400</v>
      </c>
      <c r="E41" s="154" t="str">
        <f>IFERROR(INDEX(Salaries[Team],MATCH(RBmatchups[[#This Row],[Name]],Salaries[Player],0)),"")</f>
        <v>NYG</v>
      </c>
      <c r="F41" s="189" t="str">
        <f>IFERROR(INDEX(Salaries[Opp],MATCH(RBmatchups[[#This Row],[Team]],Salaries[Team],0)),"")</f>
        <v>@MIN</v>
      </c>
      <c r="G41" s="410">
        <f>IFERROR(INDEX(RBYTD[Rush ATT],MATCH(RBmatchups[Name],RBYTD[Player],0)),"0")</f>
        <v>31</v>
      </c>
      <c r="H41" s="191">
        <f>IFERROR(INDEX(RBYTD[Rush Yds],MATCH(RBmatchups[Name],RBYTD[Player],0)),"0")</f>
        <v>102</v>
      </c>
      <c r="I41" s="191">
        <f>IFERROR(INDEX(RBYTD[Rush TD],MATCH(RBmatchups[Name],RBYTD[Player],0)),"0")</f>
        <v>0</v>
      </c>
      <c r="J41" s="191">
        <f>IFERROR(INDEX(RBYTD[Rec],MATCH(RBmatchups[Name],RBYTD[Player],0)),"0")</f>
        <v>3</v>
      </c>
      <c r="K41" s="191">
        <f>IFERROR(INDEX(targettracker54[TTL],MATCH(RBmatchups[Name],targettracker54[Name],0)),"0")</f>
        <v>4</v>
      </c>
      <c r="L41" s="191">
        <f>IFERROR(INDEX(RBYTD[Rec Yds],MATCH(RBmatchups[Name],RBYTD[Player],0)),"0")</f>
        <v>16</v>
      </c>
      <c r="M41" s="411">
        <f>IFERROR(INDEX(RBYTD[Rec TD],MATCH(RBmatchups[Name],RBYTD[Player],0)),"0")</f>
        <v>0</v>
      </c>
      <c r="N41" s="441">
        <f>IFERROR(INDEX(Salaries[O/U],MATCH(RBmatchups[[#This Row],[Team]],Salaries[Team],0)),"")</f>
        <v>43.5</v>
      </c>
      <c r="O41" s="189">
        <f>IFERROR(INDEX(Salaries[Team O/U],MATCH(RBmatchups[[#This Row],[Team]],Salaries[Team],0)),"")</f>
        <v>19.75</v>
      </c>
      <c r="P41" s="442">
        <f>IFERROR(INDEX(Salaries[Spread],MATCH(RBmatchups[[#This Row],[Team]],Salaries[Team],0)),"")</f>
        <v>4</v>
      </c>
      <c r="Q41" s="424">
        <f>IFERROR(INDEX(HBallowed[DVP],MATCH(RBmatchups[[#This Row],[Opp]],HBallowed[Team],0)),IFERROR(INDEX(HBallowed[DVP],MATCH(RBmatchups[[#This Row],[Opp]],HBallowed[Opp],0)),""))</f>
        <v>9</v>
      </c>
      <c r="R41" s="441">
        <f>AVERAGE(RBmatchups[[#This Row],[Car1]:[Car3]])</f>
        <v>10.023666666666667</v>
      </c>
      <c r="S41" s="190">
        <f>AVERAGE(RBmatchups[[#This Row],[Yards1]:[Yards3]])</f>
        <v>44.969000000000001</v>
      </c>
      <c r="T41" s="189">
        <f>SUM(RBmatchups[[#This Row],[Yards]]/RBmatchups[[#This Row],[Carries2]])</f>
        <v>4.486282464833228</v>
      </c>
      <c r="U41" s="189">
        <f>AVERAGE(RBmatchups[[#This Row],[TD1]:[TD3]])</f>
        <v>0.29049999999999998</v>
      </c>
      <c r="V41" s="189">
        <f>AVERAGE(RBmatchups[[#This Row],[Tar1]:[Tar3]])</f>
        <v>2.8</v>
      </c>
      <c r="W41" s="189">
        <f>AVERAGE(RBmatchups[[#This Row],[Rec1]:[Rec3]])</f>
        <v>1.6786666666666665</v>
      </c>
      <c r="X41" s="189">
        <f>AVERAGE(RBmatchups[[#This Row],[RecYards1]:[RecYards3]])</f>
        <v>13.135333333333335</v>
      </c>
      <c r="Y41" s="189">
        <f>AVERAGE(RBmatchups[[#This Row],[RecTD1]:[RecTd3]])</f>
        <v>6.6500000000000004E-2</v>
      </c>
      <c r="Z41" s="190">
        <f>SUM(RBmatchups[[#This Row],[Carries2]]+RBmatchups[[#This Row],[Rec4]])</f>
        <v>11.702333333333334</v>
      </c>
      <c r="AA41" s="189">
        <f>SUM(RBmatchups[[#This Row],[Yards]]+RBmatchups[[#This Row],[RecYards]])</f>
        <v>58.104333333333336</v>
      </c>
      <c r="AB41" s="189">
        <f>SUM(RBmatchups[[#This Row],[TD]]+RBmatchups[[#This Row],[RecTD5]])</f>
        <v>0.35699999999999998</v>
      </c>
      <c r="AC41" s="191">
        <f>_xlfn.RANK.EQ(RBmatchups[Projection],RBmatchups[Projection],0)</f>
        <v>31</v>
      </c>
      <c r="AD41" s="189">
        <f>SUM(RBmatchups[[#This Row],[Total Yards]]*0.1)+(RBmatchups[[#This Row],[Rec4]]*1)+(RBmatchups[[#This Row],[Total TD]]*6)+(RBmatchups[[#This Row],[100+]])</f>
        <v>9.6311</v>
      </c>
      <c r="AE41" s="191" t="e">
        <f>_xlfn.RANK.EQ(RBmatchups[[#This Row],[$/FP]],RBmatchups[$/FP],1)</f>
        <v>#VALUE!</v>
      </c>
      <c r="AF41" s="453">
        <f>SUM(RBmatchups[[#This Row],[Salary]]/RBmatchups[[#This Row],[Projection]])</f>
        <v>488.00240886295438</v>
      </c>
      <c r="AG41" s="448" t="e">
        <f>_xlfn.RANK.EQ(RBmatchups[[#This Row],[Average]],RBmatchups[Average],1)</f>
        <v>#VALUE!</v>
      </c>
      <c r="AH41" s="190" t="e">
        <f>AVERAGE(RBmatchups[[#This Row],[Proj Rank]],RBmatchups[[#This Row],[Value Rank]])</f>
        <v>#VALUE!</v>
      </c>
      <c r="AI41" s="214">
        <f>RBmatchups[[#This Row],[Salary]]/50000</f>
        <v>9.4E-2</v>
      </c>
      <c r="AJ41" s="214"/>
      <c r="AK41" s="14">
        <f>IFERROR(INDEX(HBstats1[Rush Att],MATCH(RBmatchups[[#This Row],[Name]],HBstats1[Player],0)),"0")</f>
        <v>10.471</v>
      </c>
      <c r="AL41" s="14">
        <f>IFERROR(INDEX(HBstats2[Carries],MATCH(RBmatchups[[#This Row],[Name]],HBstats2[Player],0)),"0")</f>
        <v>5.9</v>
      </c>
      <c r="AM41" s="14">
        <f>IFERROR(INDEX(HBstats3[Carries],MATCH(RBmatchups[[#This Row],[Name]],HBstats3[Player],0)),"0")</f>
        <v>13.7</v>
      </c>
      <c r="AN41" s="14" t="str">
        <f>IFERROR(INDEX(HBallowed[Carries],MATCH(RBmatchups[[#This Row],[Opp]],HBallowed[Team],0)),"0")</f>
        <v>0</v>
      </c>
      <c r="AO41" s="14">
        <f>IFERROR(INDEX(HBstats1[Rush Yds],MATCH(RBmatchups[[#This Row],[Name]],HBstats1[Player],0)),"0")</f>
        <v>42.807000000000002</v>
      </c>
      <c r="AP41" s="14">
        <f>IFERROR(INDEX(HBstats2[RushYards],MATCH(RBmatchups[[#This Row],[Name]],HBstats2[Player],0)),"0")</f>
        <v>26.1</v>
      </c>
      <c r="AQ41" s="14">
        <f>IFERROR(INDEX(HBstats3[RushYards],MATCH(RBmatchups[[#This Row],[Name]],HBstats3[Player],0)),"0")</f>
        <v>66</v>
      </c>
      <c r="AR41" s="32" t="str">
        <f>IFERROR(INDEX(HBallowed[Yards],MATCH(RBmatchups[[#This Row],[Opp]],HBallowed[Team],0)),"0")</f>
        <v>0</v>
      </c>
      <c r="AS41" s="14">
        <f>IFERROR(INDEX(HBstats1[Rush TD],MATCH(RBmatchups[[#This Row],[Name]],HBstats1[Player],0)),"0")</f>
        <v>0.18099999999999999</v>
      </c>
      <c r="AT41" s="14" t="str">
        <f>IFERROR(INDEX(HBstats2[RushTD],MATCH(RBmatchups[[#This Row],[Name]],HBstats2[Player],0)),"0")</f>
        <v>0.2</v>
      </c>
      <c r="AU41" s="14">
        <f>IFERROR(INDEX(HBstats3[RushTD],MATCH(RBmatchups[[#This Row],[Name]],HBstats3[Player],0)),"0")</f>
        <v>0.4</v>
      </c>
      <c r="AV41" s="32" t="str">
        <f>IFERROR(INDEX(HBallowed[TD],MATCH(RBmatchups[[#This Row],[Opp]],HBallowed[Team],0)),"0")</f>
        <v>0</v>
      </c>
      <c r="AW41" s="32">
        <f>IFERROR(INDEX(HBstats3[Targets],MATCH(RBmatchups[[#This Row],[Name]],HBstats3[Player],0)),"0")</f>
        <v>2.8</v>
      </c>
      <c r="AX41" s="32" t="str">
        <f>IFERROR(INDEX(HBstats2[Targets],MATCH(RBmatchups[[#This Row],[Name]],HBstats2[Player],0)),"0")</f>
        <v>0</v>
      </c>
      <c r="AY41" s="32">
        <f>IFERROR(INDEX(HBstats3[Targets],MATCH(RBmatchups[[#This Row],[Name]],HBstats3[Player],0)),"0")</f>
        <v>2.8</v>
      </c>
      <c r="AZ41" s="14">
        <f>IFERROR(INDEX(HBstats1[Rec],MATCH(RBmatchups[[#This Row],[Name]],HBstats1[Player],0)),"0")</f>
        <v>1.036</v>
      </c>
      <c r="BA41" s="14">
        <f>IFERROR(INDEX(HBstats2[Rec],MATCH(RBmatchups[[#This Row],[Name]],HBstats2[Player],0)),"0")</f>
        <v>1.4</v>
      </c>
      <c r="BB41" s="14">
        <f>IFERROR(INDEX(HBstats3[Rec],MATCH(RBmatchups[[#This Row],[Name]],HBstats3[Player],0)),"0")</f>
        <v>2.6</v>
      </c>
      <c r="BC41" s="32" t="str">
        <f>IFERROR(INDEX(HBallowed[Rec],MATCH(RBmatchups[[#This Row],[Opp]],HBallowed[Team],0)),"0")</f>
        <v>0</v>
      </c>
      <c r="BD41" s="14">
        <f>IFERROR(INDEX(HBstats1[Rec Yds],MATCH(RBmatchups[[#This Row],[Name]],HBstats1[Player],0)),"0")</f>
        <v>7.806</v>
      </c>
      <c r="BE41" s="14">
        <f>IFERROR(INDEX(HBstats2[RecYards],MATCH(RBmatchups[[#This Row],[Name]],HBstats2[Player],0)),"0")</f>
        <v>11.5</v>
      </c>
      <c r="BF41" s="14">
        <f>IFERROR(INDEX(HBstats3[RecYards],MATCH(RBmatchups[[#This Row],[Name]],HBstats3[Player],0)),"0")</f>
        <v>20.100000000000001</v>
      </c>
      <c r="BG41" s="32" t="str">
        <f>IFERROR(INDEX(HBallowed[RecYards],MATCH(RBmatchups[[#This Row],[Opp]],HBallowed[Team],0)),"0")</f>
        <v>0</v>
      </c>
      <c r="BH41" s="14">
        <f>IFERROR(INDEX(HBstats1[Rec TD],MATCH(RBmatchups[[#This Row],[Name]],HBstats1[Player],0)),"0")</f>
        <v>3.3000000000000002E-2</v>
      </c>
      <c r="BI41" s="14" t="str">
        <f>IFERROR(INDEX(HBstats2[RecTD],MATCH(RBmatchups[[#This Row],[Name]],HBstats2[Player],0)),"0")</f>
        <v>0</v>
      </c>
      <c r="BJ41" s="14">
        <f>IFERROR(INDEX(HBstats3[RecTD],MATCH(RBmatchups[[#This Row],[Name]],HBstats3[Player],0)),"0")</f>
        <v>0.1</v>
      </c>
      <c r="BK41" s="32" t="str">
        <f>IFERROR(INDEX(HBallowed[RecTD],MATCH(RBmatchups[[#This Row],[Opp]],HBallowed[Team],0)),"0")</f>
        <v>0</v>
      </c>
      <c r="BL41" s="268">
        <f>IF(RBmatchups[[#This Row],[Yards]]&gt;=100,3,0)</f>
        <v>0</v>
      </c>
    </row>
    <row r="42" spans="1:64" x14ac:dyDescent="0.3">
      <c r="A42" s="37">
        <f>HBstats1!AL33</f>
        <v>9.3000000000000007</v>
      </c>
      <c r="B42" s="153" t="str">
        <f>HBstats1!D33</f>
        <v>Justin Forsett</v>
      </c>
      <c r="C42" s="154">
        <f>IFERROR(INDEX(Salaries[DraftKings (Price)],MATCH(RBmatchups[[#This Row],[Name]],Salaries[Player],0)),"")</f>
        <v>3800</v>
      </c>
      <c r="D42" s="154">
        <f>IFERROR(INDEX(DK_Salary_Changes[WeekChange],MATCH(RBmatchups[[#This Row],[Name]],DK_Salary_Changes[Player],0)),"")</f>
        <v>-100</v>
      </c>
      <c r="E42" s="154" t="str">
        <f>IFERROR(INDEX(Salaries[Team],MATCH(RBmatchups[[#This Row],[Name]],Salaries[Player],0)),"")</f>
        <v>BAL</v>
      </c>
      <c r="F42" s="189" t="str">
        <f>IFERROR(INDEX(Salaries[Opp],MATCH(RBmatchups[[#This Row],[Team]],Salaries[Team],0)),"")</f>
        <v>OAK</v>
      </c>
      <c r="G42" s="410">
        <f>IFERROR(INDEX(RBYTD[Rush ATT],MATCH(RBmatchups[Name],RBYTD[Player],0)),"0")</f>
        <v>31</v>
      </c>
      <c r="H42" s="191">
        <f>IFERROR(INDEX(RBYTD[Rush Yds],MATCH(RBmatchups[Name],RBYTD[Player],0)),"0")</f>
        <v>98</v>
      </c>
      <c r="I42" s="191">
        <f>IFERROR(INDEX(RBYTD[Rush TD],MATCH(RBmatchups[Name],RBYTD[Player],0)),"0")</f>
        <v>0</v>
      </c>
      <c r="J42" s="191">
        <f>IFERROR(INDEX(RBYTD[Rec],MATCH(RBmatchups[Name],RBYTD[Player],0)),"0")</f>
        <v>12</v>
      </c>
      <c r="K42" s="191">
        <f>IFERROR(INDEX(targettracker54[TTL],MATCH(RBmatchups[Name],targettracker54[Name],0)),"0")</f>
        <v>15</v>
      </c>
      <c r="L42" s="191">
        <f>IFERROR(INDEX(RBYTD[Rec Yds],MATCH(RBmatchups[Name],RBYTD[Player],0)),"0")</f>
        <v>36</v>
      </c>
      <c r="M42" s="411">
        <f>IFERROR(INDEX(RBYTD[Rec TD],MATCH(RBmatchups[Name],RBYTD[Player],0)),"0")</f>
        <v>0</v>
      </c>
      <c r="N42" s="441">
        <f>IFERROR(INDEX(Salaries[O/U],MATCH(RBmatchups[[#This Row],[Team]],Salaries[Team],0)),"")</f>
        <v>46.5</v>
      </c>
      <c r="O42" s="189">
        <f>IFERROR(INDEX(Salaries[Team O/U],MATCH(RBmatchups[[#This Row],[Team]],Salaries[Team],0)),"")</f>
        <v>25</v>
      </c>
      <c r="P42" s="442">
        <f>IFERROR(INDEX(Salaries[Spread],MATCH(RBmatchups[[#This Row],[Team]],Salaries[Team],0)),"")</f>
        <v>-3.5</v>
      </c>
      <c r="Q42" s="424">
        <f>IFERROR(INDEX(HBallowed[DVP],MATCH(RBmatchups[[#This Row],[Opp]],HBallowed[Team],0)),IFERROR(INDEX(HBallowed[DVP],MATCH(RBmatchups[[#This Row],[Opp]],HBallowed[Opp],0)),""))</f>
        <v>17</v>
      </c>
      <c r="R42" s="441">
        <f>AVERAGE(RBmatchups[[#This Row],[Car1]:[Car3]])</f>
        <v>8.3223333333333329</v>
      </c>
      <c r="S42" s="190">
        <f>AVERAGE(RBmatchups[[#This Row],[Yards1]:[Yards3]])</f>
        <v>34.023666666666664</v>
      </c>
      <c r="T42" s="189">
        <f>SUM(RBmatchups[[#This Row],[Yards]]/RBmatchups[[#This Row],[Carries2]])</f>
        <v>4.0882364721432287</v>
      </c>
      <c r="U42" s="189">
        <f>AVERAGE(RBmatchups[[#This Row],[TD1]:[TD3]])</f>
        <v>0.21150000000000002</v>
      </c>
      <c r="V42" s="189">
        <f>AVERAGE(RBmatchups[[#This Row],[Tar1]:[Tar3]])</f>
        <v>2.6</v>
      </c>
      <c r="W42" s="189">
        <f>AVERAGE(RBmatchups[[#This Row],[Rec1]:[Rec3]])</f>
        <v>2.6869999999999998</v>
      </c>
      <c r="X42" s="189">
        <f>AVERAGE(RBmatchups[[#This Row],[RecYards1]:[RecYards3]])</f>
        <v>14.952333333333334</v>
      </c>
      <c r="Y42" s="189">
        <f>AVERAGE(RBmatchups[[#This Row],[RecTD1]:[RecTd3]])</f>
        <v>9.6000000000000002E-2</v>
      </c>
      <c r="Z42" s="190">
        <f>SUM(RBmatchups[[#This Row],[Carries2]]+RBmatchups[[#This Row],[Rec4]])</f>
        <v>11.009333333333332</v>
      </c>
      <c r="AA42" s="189">
        <f>SUM(RBmatchups[[#This Row],[Yards]]+RBmatchups[[#This Row],[RecYards]])</f>
        <v>48.975999999999999</v>
      </c>
      <c r="AB42" s="189">
        <f>SUM(RBmatchups[[#This Row],[TD]]+RBmatchups[[#This Row],[RecTD5]])</f>
        <v>0.3075</v>
      </c>
      <c r="AC42" s="191">
        <f>_xlfn.RANK.EQ(RBmatchups[Projection],RBmatchups[Projection],0)</f>
        <v>32</v>
      </c>
      <c r="AD42" s="189">
        <f>SUM(RBmatchups[[#This Row],[Total Yards]]*0.1)+(RBmatchups[[#This Row],[Rec4]]*1)+(RBmatchups[[#This Row],[Total TD]]*6)+(RBmatchups[[#This Row],[100+]])</f>
        <v>9.4296000000000006</v>
      </c>
      <c r="AE42" s="191" t="e">
        <f>_xlfn.RANK.EQ(RBmatchups[[#This Row],[$/FP]],RBmatchups[$/FP],1)</f>
        <v>#VALUE!</v>
      </c>
      <c r="AF42" s="453">
        <f>SUM(RBmatchups[[#This Row],[Salary]]/RBmatchups[[#This Row],[Projection]])</f>
        <v>402.98634088402474</v>
      </c>
      <c r="AG42" s="448" t="e">
        <f>_xlfn.RANK.EQ(RBmatchups[[#This Row],[Average]],RBmatchups[Average],1)</f>
        <v>#VALUE!</v>
      </c>
      <c r="AH42" s="190" t="e">
        <f>AVERAGE(RBmatchups[[#This Row],[Proj Rank]],RBmatchups[[#This Row],[Value Rank]])</f>
        <v>#VALUE!</v>
      </c>
      <c r="AI42" s="214">
        <f>RBmatchups[[#This Row],[Salary]]/50000</f>
        <v>7.5999999999999998E-2</v>
      </c>
      <c r="AJ42" s="214"/>
      <c r="AK42" s="14">
        <f>IFERROR(INDEX(HBstats1[Rush Att],MATCH(RBmatchups[[#This Row],[Name]],HBstats1[Player],0)),"0")</f>
        <v>10.266999999999999</v>
      </c>
      <c r="AL42" s="14">
        <f>IFERROR(INDEX(HBstats2[Carries],MATCH(RBmatchups[[#This Row],[Name]],HBstats2[Player],0)),"0")</f>
        <v>7.5</v>
      </c>
      <c r="AM42" s="14">
        <f>IFERROR(INDEX(HBstats3[Carries],MATCH(RBmatchups[[#This Row],[Name]],HBstats3[Player],0)),"0")</f>
        <v>7.2</v>
      </c>
      <c r="AN42" s="14">
        <f>IFERROR(INDEX(HBallowed[Carries],MATCH(RBmatchups[[#This Row],[Opp]],HBallowed[Team],0)),"0")</f>
        <v>22.1875</v>
      </c>
      <c r="AO42" s="14">
        <f>IFERROR(INDEX(HBstats1[Rush Yds],MATCH(RBmatchups[[#This Row],[Name]],HBstats1[Player],0)),"0")</f>
        <v>37.871000000000002</v>
      </c>
      <c r="AP42" s="14">
        <f>IFERROR(INDEX(HBstats2[RushYards],MATCH(RBmatchups[[#This Row],[Name]],HBstats2[Player],0)),"0")</f>
        <v>29.6</v>
      </c>
      <c r="AQ42" s="14">
        <f>IFERROR(INDEX(HBstats3[RushYards],MATCH(RBmatchups[[#This Row],[Name]],HBstats3[Player],0)),"0")</f>
        <v>34.6</v>
      </c>
      <c r="AR42" s="32">
        <f>IFERROR(INDEX(HBallowed[Yards],MATCH(RBmatchups[[#This Row],[Opp]],HBallowed[Team],0)),"0")</f>
        <v>93.875</v>
      </c>
      <c r="AS42" s="14">
        <f>IFERROR(INDEX(HBstats1[Rush TD],MATCH(RBmatchups[[#This Row],[Name]],HBstats1[Player],0)),"0")</f>
        <v>0.223</v>
      </c>
      <c r="AT42" s="14" t="str">
        <f>IFERROR(INDEX(HBstats2[RushTD],MATCH(RBmatchups[[#This Row],[Name]],HBstats2[Player],0)),"0")</f>
        <v>0.2</v>
      </c>
      <c r="AU42" s="14">
        <f>IFERROR(INDEX(HBstats3[RushTD],MATCH(RBmatchups[[#This Row],[Name]],HBstats3[Player],0)),"0")</f>
        <v>0.2</v>
      </c>
      <c r="AV42" s="32">
        <f>IFERROR(INDEX(HBallowed[TD],MATCH(RBmatchups[[#This Row],[Opp]],HBallowed[Team],0)),"0")</f>
        <v>0.3125</v>
      </c>
      <c r="AW42" s="32">
        <f>IFERROR(INDEX(HBstats3[Targets],MATCH(RBmatchups[[#This Row],[Name]],HBstats3[Player],0)),"0")</f>
        <v>2.6</v>
      </c>
      <c r="AX42" s="32" t="str">
        <f>IFERROR(INDEX(HBstats2[Targets],MATCH(RBmatchups[[#This Row],[Name]],HBstats2[Player],0)),"0")</f>
        <v>0</v>
      </c>
      <c r="AY42" s="32">
        <f>IFERROR(INDEX(HBstats3[Targets],MATCH(RBmatchups[[#This Row],[Name]],HBstats3[Player],0)),"0")</f>
        <v>2.6</v>
      </c>
      <c r="AZ42" s="14">
        <f>IFERROR(INDEX(HBstats1[Rec],MATCH(RBmatchups[[#This Row],[Name]],HBstats1[Player],0)),"0")</f>
        <v>3.8610000000000002</v>
      </c>
      <c r="BA42" s="14">
        <f>IFERROR(INDEX(HBstats2[Rec],MATCH(RBmatchups[[#This Row],[Name]],HBstats2[Player],0)),"0")</f>
        <v>1.9</v>
      </c>
      <c r="BB42" s="14">
        <f>IFERROR(INDEX(HBstats3[Rec],MATCH(RBmatchups[[#This Row],[Name]],HBstats3[Player],0)),"0")</f>
        <v>2.2999999999999998</v>
      </c>
      <c r="BC42" s="32">
        <f>IFERROR(INDEX(HBallowed[Rec],MATCH(RBmatchups[[#This Row],[Opp]],HBallowed[Team],0)),"0")</f>
        <v>4.75</v>
      </c>
      <c r="BD42" s="14">
        <f>IFERROR(INDEX(HBstats1[Rec Yds],MATCH(RBmatchups[[#This Row],[Name]],HBstats1[Player],0)),"0")</f>
        <v>18.356999999999999</v>
      </c>
      <c r="BE42" s="14">
        <f>IFERROR(INDEX(HBstats2[RecYards],MATCH(RBmatchups[[#This Row],[Name]],HBstats2[Player],0)),"0")</f>
        <v>11.3</v>
      </c>
      <c r="BF42" s="14">
        <f>IFERROR(INDEX(HBstats3[RecYards],MATCH(RBmatchups[[#This Row],[Name]],HBstats3[Player],0)),"0")</f>
        <v>15.2</v>
      </c>
      <c r="BG42" s="32">
        <f>IFERROR(INDEX(HBallowed[RecYards],MATCH(RBmatchups[[#This Row],[Opp]],HBallowed[Team],0)),"0")</f>
        <v>42.5625</v>
      </c>
      <c r="BH42" s="14">
        <f>IFERROR(INDEX(HBstats1[Rec TD],MATCH(RBmatchups[[#This Row],[Name]],HBstats1[Player],0)),"0")</f>
        <v>9.1999999999999998E-2</v>
      </c>
      <c r="BI42" s="14" t="str">
        <f>IFERROR(INDEX(HBstats2[RecTD],MATCH(RBmatchups[[#This Row],[Name]],HBstats2[Player],0)),"0")</f>
        <v>0</v>
      </c>
      <c r="BJ42" s="14">
        <f>IFERROR(INDEX(HBstats3[RecTD],MATCH(RBmatchups[[#This Row],[Name]],HBstats3[Player],0)),"0")</f>
        <v>0.1</v>
      </c>
      <c r="BK42" s="32">
        <f>IFERROR(INDEX(HBallowed[RecTD],MATCH(RBmatchups[[#This Row],[Opp]],HBallowed[Team],0)),"0")</f>
        <v>0.125</v>
      </c>
      <c r="BL42" s="268">
        <f>IF(RBmatchups[[#This Row],[Yards]]&gt;=100,3,0)</f>
        <v>0</v>
      </c>
    </row>
    <row r="43" spans="1:64" x14ac:dyDescent="0.3">
      <c r="A43" s="37">
        <f>HBstats1!AL38</f>
        <v>7.1</v>
      </c>
      <c r="B43" s="153" t="str">
        <f>HBstats1!D38</f>
        <v>James White</v>
      </c>
      <c r="C43" s="154">
        <f>IFERROR(INDEX(Salaries[DraftKings (Price)],MATCH(RBmatchups[[#This Row],[Name]],Salaries[Player],0)),"")</f>
        <v>3600</v>
      </c>
      <c r="D43" s="154">
        <f>IFERROR(INDEX(DK_Salary_Changes[WeekChange],MATCH(RBmatchups[[#This Row],[Name]],DK_Salary_Changes[Player],0)),"")</f>
        <v>-600</v>
      </c>
      <c r="E43" s="154" t="str">
        <f>IFERROR(INDEX(Salaries[Team],MATCH(RBmatchups[[#This Row],[Name]],Salaries[Player],0)),"")</f>
        <v>NE</v>
      </c>
      <c r="F43" s="189" t="str">
        <f>IFERROR(INDEX(Salaries[Opp],MATCH(RBmatchups[[#This Row],[Team]],Salaries[Team],0)),"")</f>
        <v>BUF</v>
      </c>
      <c r="G43" s="410">
        <f>IFERROR(INDEX(RBYTD[Rush ATT],MATCH(RBmatchups[Name],RBYTD[Player],0)),"0")</f>
        <v>8</v>
      </c>
      <c r="H43" s="191">
        <f>IFERROR(INDEX(RBYTD[Rush Yds],MATCH(RBmatchups[Name],RBYTD[Player],0)),"0")</f>
        <v>35</v>
      </c>
      <c r="I43" s="191">
        <f>IFERROR(INDEX(RBYTD[Rush TD],MATCH(RBmatchups[Name],RBYTD[Player],0)),"0")</f>
        <v>0</v>
      </c>
      <c r="J43" s="191">
        <f>IFERROR(INDEX(RBYTD[Rec],MATCH(RBmatchups[Name],RBYTD[Player],0)),"0")</f>
        <v>8</v>
      </c>
      <c r="K43" s="191">
        <f>IFERROR(INDEX(targettracker54[TTL],MATCH(RBmatchups[Name],targettracker54[Name],0)),"0")</f>
        <v>13</v>
      </c>
      <c r="L43" s="191">
        <f>IFERROR(INDEX(RBYTD[Rec Yds],MATCH(RBmatchups[Name],RBYTD[Player],0)),"0")</f>
        <v>52</v>
      </c>
      <c r="M43" s="411">
        <f>IFERROR(INDEX(RBYTD[Rec TD],MATCH(RBmatchups[Name],RBYTD[Player],0)),"0")</f>
        <v>0</v>
      </c>
      <c r="N43" s="441">
        <f>IFERROR(INDEX(Salaries[O/U],MATCH(RBmatchups[[#This Row],[Team]],Salaries[Team],0)),"")</f>
        <v>44</v>
      </c>
      <c r="O43" s="189">
        <f>IFERROR(INDEX(Salaries[Team O/U],MATCH(RBmatchups[[#This Row],[Team]],Salaries[Team],0)),"")</f>
        <v>24.25</v>
      </c>
      <c r="P43" s="442">
        <f>IFERROR(INDEX(Salaries[Spread],MATCH(RBmatchups[[#This Row],[Team]],Salaries[Team],0)),"")</f>
        <v>-4.5</v>
      </c>
      <c r="Q43" s="424">
        <f>IFERROR(INDEX(HBallowed[DVP],MATCH(RBmatchups[[#This Row],[Opp]],HBallowed[Team],0)),IFERROR(INDEX(HBallowed[DVP],MATCH(RBmatchups[[#This Row],[Opp]],HBallowed[Opp],0)),""))</f>
        <v>16</v>
      </c>
      <c r="R43" s="441">
        <f>AVERAGE(RBmatchups[[#This Row],[Car1]:[Car3]])</f>
        <v>3.441333333333334</v>
      </c>
      <c r="S43" s="190">
        <f>AVERAGE(RBmatchups[[#This Row],[Yards1]:[Yards3]])</f>
        <v>12.290666666666667</v>
      </c>
      <c r="T43" s="189">
        <f>SUM(RBmatchups[[#This Row],[Yards]]/RBmatchups[[#This Row],[Carries2]])</f>
        <v>3.5714839209608673</v>
      </c>
      <c r="U43" s="189">
        <f>AVERAGE(RBmatchups[[#This Row],[TD1]:[TD3]])</f>
        <v>0.08</v>
      </c>
      <c r="V43" s="189">
        <f>AVERAGE(RBmatchups[[#This Row],[Tar1]:[Tar3]])</f>
        <v>4.5999999999999996</v>
      </c>
      <c r="W43" s="189">
        <f>AVERAGE(RBmatchups[[#This Row],[Rec1]:[Rec3]])</f>
        <v>3.2243333333333335</v>
      </c>
      <c r="X43" s="189">
        <f>AVERAGE(RBmatchups[[#This Row],[RecYards1]:[RecYards3]])</f>
        <v>29.322666666666663</v>
      </c>
      <c r="Y43" s="189">
        <f>AVERAGE(RBmatchups[[#This Row],[RecTD1]:[RecTd3]])</f>
        <v>0.24349999999999999</v>
      </c>
      <c r="Z43" s="190">
        <f>SUM(RBmatchups[[#This Row],[Carries2]]+RBmatchups[[#This Row],[Rec4]])</f>
        <v>6.6656666666666675</v>
      </c>
      <c r="AA43" s="189">
        <f>SUM(RBmatchups[[#This Row],[Yards]]+RBmatchups[[#This Row],[RecYards]])</f>
        <v>41.61333333333333</v>
      </c>
      <c r="AB43" s="189">
        <f>SUM(RBmatchups[[#This Row],[TD]]+RBmatchups[[#This Row],[RecTD5]])</f>
        <v>0.32350000000000001</v>
      </c>
      <c r="AC43" s="191">
        <f>_xlfn.RANK.EQ(RBmatchups[Projection],RBmatchups[Projection],0)</f>
        <v>33</v>
      </c>
      <c r="AD43" s="189">
        <f>SUM(RBmatchups[[#This Row],[Total Yards]]*0.1)+(RBmatchups[[#This Row],[Rec4]]*1)+(RBmatchups[[#This Row],[Total TD]]*6)+(RBmatchups[[#This Row],[100+]])</f>
        <v>9.326666666666668</v>
      </c>
      <c r="AE43" s="191" t="e">
        <f>_xlfn.RANK.EQ(RBmatchups[[#This Row],[$/FP]],RBmatchups[$/FP],1)</f>
        <v>#VALUE!</v>
      </c>
      <c r="AF43" s="453">
        <f>SUM(RBmatchups[[#This Row],[Salary]]/RBmatchups[[#This Row],[Projection]])</f>
        <v>385.98999285203712</v>
      </c>
      <c r="AG43" s="448" t="e">
        <f>_xlfn.RANK.EQ(RBmatchups[[#This Row],[Average]],RBmatchups[Average],1)</f>
        <v>#VALUE!</v>
      </c>
      <c r="AH43" s="190" t="e">
        <f>AVERAGE(RBmatchups[[#This Row],[Proj Rank]],RBmatchups[[#This Row],[Value Rank]])</f>
        <v>#VALUE!</v>
      </c>
      <c r="AI43" s="214">
        <f>RBmatchups[[#This Row],[Salary]]/50000</f>
        <v>7.1999999999999995E-2</v>
      </c>
      <c r="AJ43" s="214"/>
      <c r="AK43" s="14">
        <f>IFERROR(INDEX(HBstats1[Rush Att],MATCH(RBmatchups[[#This Row],[Name]],HBstats1[Player],0)),"0")</f>
        <v>4.4240000000000004</v>
      </c>
      <c r="AL43" s="14">
        <f>IFERROR(INDEX(HBstats2[Carries],MATCH(RBmatchups[[#This Row],[Name]],HBstats2[Player],0)),"0")</f>
        <v>3.2</v>
      </c>
      <c r="AM43" s="14">
        <f>IFERROR(INDEX(HBstats3[Carries],MATCH(RBmatchups[[#This Row],[Name]],HBstats3[Player],0)),"0")</f>
        <v>2.7</v>
      </c>
      <c r="AN43" s="14">
        <f>IFERROR(INDEX(HBallowed[Carries],MATCH(RBmatchups[[#This Row],[Opp]],HBallowed[Team],0)),"0")</f>
        <v>22.4375</v>
      </c>
      <c r="AO43" s="14">
        <f>IFERROR(INDEX(HBstats1[Rush Yds],MATCH(RBmatchups[[#This Row],[Name]],HBstats1[Player],0)),"0")</f>
        <v>12.372</v>
      </c>
      <c r="AP43" s="14">
        <f>IFERROR(INDEX(HBstats2[RushYards],MATCH(RBmatchups[[#This Row],[Name]],HBstats2[Player],0)),"0")</f>
        <v>10.199999999999999</v>
      </c>
      <c r="AQ43" s="14">
        <f>IFERROR(INDEX(HBstats3[RushYards],MATCH(RBmatchups[[#This Row],[Name]],HBstats3[Player],0)),"0")</f>
        <v>14.3</v>
      </c>
      <c r="AR43" s="32">
        <f>IFERROR(INDEX(HBallowed[Yards],MATCH(RBmatchups[[#This Row],[Opp]],HBallowed[Team],0)),"0")</f>
        <v>111.6875</v>
      </c>
      <c r="AS43" s="14">
        <f>IFERROR(INDEX(HBstats1[Rush TD],MATCH(RBmatchups[[#This Row],[Name]],HBstats1[Player],0)),"0")</f>
        <v>0.06</v>
      </c>
      <c r="AT43" s="14" t="str">
        <f>IFERROR(INDEX(HBstats2[RushTD],MATCH(RBmatchups[[#This Row],[Name]],HBstats2[Player],0)),"0")</f>
        <v>0</v>
      </c>
      <c r="AU43" s="14">
        <f>IFERROR(INDEX(HBstats3[RushTD],MATCH(RBmatchups[[#This Row],[Name]],HBstats3[Player],0)),"0")</f>
        <v>0.1</v>
      </c>
      <c r="AV43" s="32">
        <f>IFERROR(INDEX(HBallowed[TD],MATCH(RBmatchups[[#This Row],[Opp]],HBallowed[Team],0)),"0")</f>
        <v>0.875</v>
      </c>
      <c r="AW43" s="32">
        <f>IFERROR(INDEX(HBstats3[Targets],MATCH(RBmatchups[[#This Row],[Name]],HBstats3[Player],0)),"0")</f>
        <v>4.5999999999999996</v>
      </c>
      <c r="AX43" s="32" t="str">
        <f>IFERROR(INDEX(HBstats2[Targets],MATCH(RBmatchups[[#This Row],[Name]],HBstats2[Player],0)),"0")</f>
        <v>0</v>
      </c>
      <c r="AY43" s="32">
        <f>IFERROR(INDEX(HBstats3[Targets],MATCH(RBmatchups[[#This Row],[Name]],HBstats3[Player],0)),"0")</f>
        <v>4.5999999999999996</v>
      </c>
      <c r="AZ43" s="14">
        <f>IFERROR(INDEX(HBstats1[Rec],MATCH(RBmatchups[[#This Row],[Name]],HBstats1[Player],0)),"0")</f>
        <v>3.173</v>
      </c>
      <c r="BA43" s="14">
        <f>IFERROR(INDEX(HBstats2[Rec],MATCH(RBmatchups[[#This Row],[Name]],HBstats2[Player],0)),"0")</f>
        <v>2.7</v>
      </c>
      <c r="BB43" s="14">
        <f>IFERROR(INDEX(HBstats3[Rec],MATCH(RBmatchups[[#This Row],[Name]],HBstats3[Player],0)),"0")</f>
        <v>3.8</v>
      </c>
      <c r="BC43" s="32">
        <f>IFERROR(INDEX(HBallowed[Rec],MATCH(RBmatchups[[#This Row],[Opp]],HBallowed[Team],0)),"0")</f>
        <v>4.8125</v>
      </c>
      <c r="BD43" s="14">
        <f>IFERROR(INDEX(HBstats1[Rec Yds],MATCH(RBmatchups[[#This Row],[Name]],HBstats1[Player],0)),"0")</f>
        <v>29.667999999999999</v>
      </c>
      <c r="BE43" s="14">
        <f>IFERROR(INDEX(HBstats2[RecYards],MATCH(RBmatchups[[#This Row],[Name]],HBstats2[Player],0)),"0")</f>
        <v>24.4</v>
      </c>
      <c r="BF43" s="14">
        <f>IFERROR(INDEX(HBstats3[RecYards],MATCH(RBmatchups[[#This Row],[Name]],HBstats3[Player],0)),"0")</f>
        <v>33.9</v>
      </c>
      <c r="BG43" s="32">
        <f>IFERROR(INDEX(HBallowed[RecYards],MATCH(RBmatchups[[#This Row],[Opp]],HBallowed[Team],0)),"0")</f>
        <v>46.4375</v>
      </c>
      <c r="BH43" s="14">
        <f>IFERROR(INDEX(HBstats1[Rec TD],MATCH(RBmatchups[[#This Row],[Name]],HBstats1[Player],0)),"0")</f>
        <v>0.187</v>
      </c>
      <c r="BI43" s="14" t="str">
        <f>IFERROR(INDEX(HBstats2[RecTD],MATCH(RBmatchups[[#This Row],[Name]],HBstats2[Player],0)),"0")</f>
        <v>0.1</v>
      </c>
      <c r="BJ43" s="14">
        <f>IFERROR(INDEX(HBstats3[RecTD],MATCH(RBmatchups[[#This Row],[Name]],HBstats3[Player],0)),"0")</f>
        <v>0.3</v>
      </c>
      <c r="BK43" s="32">
        <f>IFERROR(INDEX(HBallowed[RecTD],MATCH(RBmatchups[[#This Row],[Opp]],HBallowed[Team],0)),"0")</f>
        <v>0.1875</v>
      </c>
      <c r="BL43" s="268">
        <f>IF(RBmatchups[[#This Row],[Yards]]&gt;=100,3,0)</f>
        <v>0</v>
      </c>
    </row>
    <row r="44" spans="1:64" x14ac:dyDescent="0.3">
      <c r="A44" s="37">
        <f>HBstats1!AL30</f>
        <v>9.5</v>
      </c>
      <c r="B44" s="153" t="str">
        <f>HBstats1!D30</f>
        <v>Cameron Artis-Payne</v>
      </c>
      <c r="C44" s="154">
        <f>IFERROR(INDEX(Salaries[DraftKings (Price)],MATCH(RBmatchups[[#This Row],[Name]],Salaries[Player],0)),"")</f>
        <v>3400</v>
      </c>
      <c r="D44" s="154">
        <f>IFERROR(INDEX(DK_Salary_Changes[WeekChange],MATCH(RBmatchups[[#This Row],[Name]],DK_Salary_Changes[Player],0)),"")</f>
        <v>400</v>
      </c>
      <c r="E44" s="154" t="str">
        <f>IFERROR(INDEX(Salaries[Team],MATCH(RBmatchups[[#This Row],[Name]],Salaries[Player],0)),"")</f>
        <v>CAR</v>
      </c>
      <c r="F44" s="189" t="str">
        <f>IFERROR(INDEX(Salaries[Opp],MATCH(RBmatchups[[#This Row],[Team]],Salaries[Team],0)),"")</f>
        <v>@ATL</v>
      </c>
      <c r="G44" s="410">
        <f>IFERROR(INDEX(RBYTD[Rush ATT],MATCH(RBmatchups[Name],RBYTD[Player],0)),"0")</f>
        <v>12</v>
      </c>
      <c r="H44" s="191">
        <f>IFERROR(INDEX(RBYTD[Rush Yds],MATCH(RBmatchups[Name],RBYTD[Player],0)),"0")</f>
        <v>47</v>
      </c>
      <c r="I44" s="191">
        <f>IFERROR(INDEX(RBYTD[Rush TD],MATCH(RBmatchups[Name],RBYTD[Player],0)),"0")</f>
        <v>0</v>
      </c>
      <c r="J44" s="191">
        <f>IFERROR(INDEX(RBYTD[Rec],MATCH(RBmatchups[Name],RBYTD[Player],0)),"0")</f>
        <v>1</v>
      </c>
      <c r="K44" s="191">
        <f>IFERROR(INDEX(targettracker54[TTL],MATCH(RBmatchups[Name],targettracker54[Name],0)),"0")</f>
        <v>1</v>
      </c>
      <c r="L44" s="191">
        <f>IFERROR(INDEX(RBYTD[Rec Yds],MATCH(RBmatchups[Name],RBYTD[Player],0)),"0")</f>
        <v>11</v>
      </c>
      <c r="M44" s="411">
        <f>IFERROR(INDEX(RBYTD[Rec TD],MATCH(RBmatchups[Name],RBYTD[Player],0)),"0")</f>
        <v>0</v>
      </c>
      <c r="N44" s="441">
        <f>IFERROR(INDEX(Salaries[O/U],MATCH(RBmatchups[[#This Row],[Team]],Salaries[Team],0)),"")</f>
        <v>50</v>
      </c>
      <c r="O44" s="189">
        <f>IFERROR(INDEX(Salaries[Team O/U],MATCH(RBmatchups[[#This Row],[Team]],Salaries[Team],0)),"")</f>
        <v>26.5</v>
      </c>
      <c r="P44" s="442">
        <f>IFERROR(INDEX(Salaries[Spread],MATCH(RBmatchups[[#This Row],[Team]],Salaries[Team],0)),"")</f>
        <v>-3</v>
      </c>
      <c r="Q44" s="424">
        <f>IFERROR(INDEX(HBallowed[DVP],MATCH(RBmatchups[[#This Row],[Opp]],HBallowed[Team],0)),IFERROR(INDEX(HBallowed[DVP],MATCH(RBmatchups[[#This Row],[Opp]],HBallowed[Opp],0)),""))</f>
        <v>28</v>
      </c>
      <c r="R44" s="441">
        <f>AVERAGE(RBmatchups[[#This Row],[Car1]:[Car3]])</f>
        <v>11.962333333333333</v>
      </c>
      <c r="S44" s="190">
        <f>AVERAGE(RBmatchups[[#This Row],[Yards1]:[Yards3]])</f>
        <v>49.191666666666663</v>
      </c>
      <c r="T44" s="189">
        <f>SUM(RBmatchups[[#This Row],[Yards]]/RBmatchups[[#This Row],[Carries2]])</f>
        <v>4.1122133363056257</v>
      </c>
      <c r="U44" s="189">
        <f>AVERAGE(RBmatchups[[#This Row],[TD1]:[TD3]])</f>
        <v>0.32550000000000001</v>
      </c>
      <c r="V44" s="189">
        <f>AVERAGE(RBmatchups[[#This Row],[Tar1]:[Tar3]])</f>
        <v>0.5</v>
      </c>
      <c r="W44" s="189">
        <f>AVERAGE(RBmatchups[[#This Row],[Rec1]:[Rec3]])</f>
        <v>1.1933333333333334</v>
      </c>
      <c r="X44" s="189">
        <f>AVERAGE(RBmatchups[[#This Row],[RecYards1]:[RecYards3]])</f>
        <v>11.721666666666666</v>
      </c>
      <c r="Y44" s="189">
        <f>AVERAGE(RBmatchups[[#This Row],[RecTD1]:[RecTd3]])</f>
        <v>9.4999999999999998E-3</v>
      </c>
      <c r="Z44" s="190">
        <f>SUM(RBmatchups[[#This Row],[Carries2]]+RBmatchups[[#This Row],[Rec4]])</f>
        <v>13.155666666666667</v>
      </c>
      <c r="AA44" s="189">
        <f>SUM(RBmatchups[[#This Row],[Yards]]+RBmatchups[[#This Row],[RecYards]])</f>
        <v>60.913333333333327</v>
      </c>
      <c r="AB44" s="189">
        <f>SUM(RBmatchups[[#This Row],[TD]]+RBmatchups[[#This Row],[RecTD5]])</f>
        <v>0.33500000000000002</v>
      </c>
      <c r="AC44" s="191">
        <f>_xlfn.RANK.EQ(RBmatchups[Projection],RBmatchups[Projection],0)</f>
        <v>34</v>
      </c>
      <c r="AD44" s="189">
        <f>SUM(RBmatchups[[#This Row],[Total Yards]]*0.1)+(RBmatchups[[#This Row],[Rec4]]*1)+(RBmatchups[[#This Row],[Total TD]]*6)+(RBmatchups[[#This Row],[100+]])</f>
        <v>9.2946666666666662</v>
      </c>
      <c r="AE44" s="191" t="e">
        <f>_xlfn.RANK.EQ(RBmatchups[[#This Row],[$/FP]],RBmatchups[$/FP],1)</f>
        <v>#VALUE!</v>
      </c>
      <c r="AF44" s="453">
        <f>SUM(RBmatchups[[#This Row],[Salary]]/RBmatchups[[#This Row],[Projection]])</f>
        <v>365.80117630182184</v>
      </c>
      <c r="AG44" s="448" t="e">
        <f>_xlfn.RANK.EQ(RBmatchups[[#This Row],[Average]],RBmatchups[Average],1)</f>
        <v>#VALUE!</v>
      </c>
      <c r="AH44" s="190" t="e">
        <f>AVERAGE(RBmatchups[[#This Row],[Proj Rank]],RBmatchups[[#This Row],[Value Rank]])</f>
        <v>#VALUE!</v>
      </c>
      <c r="AI44" s="214">
        <f>RBmatchups[[#This Row],[Salary]]/50000</f>
        <v>6.8000000000000005E-2</v>
      </c>
      <c r="AJ44" s="214"/>
      <c r="AK44" s="14">
        <f>IFERROR(INDEX(HBstats1[Rush Att],MATCH(RBmatchups[[#This Row],[Name]],HBstats1[Player],0)),"0")</f>
        <v>13.487</v>
      </c>
      <c r="AL44" s="14">
        <f>IFERROR(INDEX(HBstats2[Carries],MATCH(RBmatchups[[#This Row],[Name]],HBstats2[Player],0)),"0")</f>
        <v>10.8</v>
      </c>
      <c r="AM44" s="14">
        <f>IFERROR(INDEX(HBstats3[Carries],MATCH(RBmatchups[[#This Row],[Name]],HBstats3[Player],0)),"0")</f>
        <v>11.6</v>
      </c>
      <c r="AN44" s="14" t="str">
        <f>IFERROR(INDEX(HBallowed[Carries],MATCH(RBmatchups[[#This Row],[Opp]],HBallowed[Team],0)),"0")</f>
        <v>0</v>
      </c>
      <c r="AO44" s="14">
        <f>IFERROR(INDEX(HBstats1[Rush Yds],MATCH(RBmatchups[[#This Row],[Name]],HBstats1[Player],0)),"0")</f>
        <v>56.174999999999997</v>
      </c>
      <c r="AP44" s="14">
        <f>IFERROR(INDEX(HBstats2[RushYards],MATCH(RBmatchups[[#This Row],[Name]],HBstats2[Player],0)),"0")</f>
        <v>38.700000000000003</v>
      </c>
      <c r="AQ44" s="14">
        <f>IFERROR(INDEX(HBstats3[RushYards],MATCH(RBmatchups[[#This Row],[Name]],HBstats3[Player],0)),"0")</f>
        <v>52.7</v>
      </c>
      <c r="AR44" s="32" t="str">
        <f>IFERROR(INDEX(HBallowed[Yards],MATCH(RBmatchups[[#This Row],[Opp]],HBallowed[Team],0)),"0")</f>
        <v>0</v>
      </c>
      <c r="AS44" s="14">
        <f>IFERROR(INDEX(HBstats1[Rush TD],MATCH(RBmatchups[[#This Row],[Name]],HBstats1[Player],0)),"0")</f>
        <v>0.35099999999999998</v>
      </c>
      <c r="AT44" s="14" t="str">
        <f>IFERROR(INDEX(HBstats2[RushTD],MATCH(RBmatchups[[#This Row],[Name]],HBstats2[Player],0)),"0")</f>
        <v>0.4</v>
      </c>
      <c r="AU44" s="14">
        <f>IFERROR(INDEX(HBstats3[RushTD],MATCH(RBmatchups[[#This Row],[Name]],HBstats3[Player],0)),"0")</f>
        <v>0.3</v>
      </c>
      <c r="AV44" s="32" t="str">
        <f>IFERROR(INDEX(HBallowed[TD],MATCH(RBmatchups[[#This Row],[Opp]],HBallowed[Team],0)),"0")</f>
        <v>0</v>
      </c>
      <c r="AW44" s="32">
        <f>IFERROR(INDEX(HBstats3[Targets],MATCH(RBmatchups[[#This Row],[Name]],HBstats3[Player],0)),"0")</f>
        <v>0.5</v>
      </c>
      <c r="AX44" s="32" t="str">
        <f>IFERROR(INDEX(HBstats2[Targets],MATCH(RBmatchups[[#This Row],[Name]],HBstats2[Player],0)),"0")</f>
        <v>0</v>
      </c>
      <c r="AY44" s="32">
        <f>IFERROR(INDEX(HBstats3[Targets],MATCH(RBmatchups[[#This Row],[Name]],HBstats3[Player],0)),"0")</f>
        <v>0.5</v>
      </c>
      <c r="AZ44" s="14">
        <f>IFERROR(INDEX(HBstats1[Rec],MATCH(RBmatchups[[#This Row],[Name]],HBstats1[Player],0)),"0")</f>
        <v>1.68</v>
      </c>
      <c r="BA44" s="14">
        <f>IFERROR(INDEX(HBstats2[Rec],MATCH(RBmatchups[[#This Row],[Name]],HBstats2[Player],0)),"0")</f>
        <v>1.4</v>
      </c>
      <c r="BB44" s="14">
        <f>IFERROR(INDEX(HBstats3[Rec],MATCH(RBmatchups[[#This Row],[Name]],HBstats3[Player],0)),"0")</f>
        <v>0.5</v>
      </c>
      <c r="BC44" s="32" t="str">
        <f>IFERROR(INDEX(HBallowed[Rec],MATCH(RBmatchups[[#This Row],[Opp]],HBallowed[Team],0)),"0")</f>
        <v>0</v>
      </c>
      <c r="BD44" s="14">
        <f>IFERROR(INDEX(HBstats1[Rec Yds],MATCH(RBmatchups[[#This Row],[Name]],HBstats1[Player],0)),"0")</f>
        <v>11.065</v>
      </c>
      <c r="BE44" s="14">
        <f>IFERROR(INDEX(HBstats2[RecYards],MATCH(RBmatchups[[#This Row],[Name]],HBstats2[Player],0)),"0")</f>
        <v>19.3</v>
      </c>
      <c r="BF44" s="14">
        <f>IFERROR(INDEX(HBstats3[RecYards],MATCH(RBmatchups[[#This Row],[Name]],HBstats3[Player],0)),"0")</f>
        <v>4.8</v>
      </c>
      <c r="BG44" s="32" t="str">
        <f>IFERROR(INDEX(HBallowed[RecYards],MATCH(RBmatchups[[#This Row],[Opp]],HBallowed[Team],0)),"0")</f>
        <v>0</v>
      </c>
      <c r="BH44" s="14">
        <f>IFERROR(INDEX(HBstats1[Rec TD],MATCH(RBmatchups[[#This Row],[Name]],HBstats1[Player],0)),"0")</f>
        <v>1.9E-2</v>
      </c>
      <c r="BI44" s="14" t="str">
        <f>IFERROR(INDEX(HBstats2[RecTD],MATCH(RBmatchups[[#This Row],[Name]],HBstats2[Player],0)),"0")</f>
        <v>0.1</v>
      </c>
      <c r="BJ44" s="14">
        <f>IFERROR(INDEX(HBstats3[RecTD],MATCH(RBmatchups[[#This Row],[Name]],HBstats3[Player],0)),"0")</f>
        <v>0</v>
      </c>
      <c r="BK44" s="32" t="str">
        <f>IFERROR(INDEX(HBallowed[RecTD],MATCH(RBmatchups[[#This Row],[Opp]],HBallowed[Team],0)),"0")</f>
        <v>0</v>
      </c>
      <c r="BL44" s="268">
        <f>IF(RBmatchups[[#This Row],[Yards]]&gt;=100,3,0)</f>
        <v>0</v>
      </c>
    </row>
    <row r="45" spans="1:64" x14ac:dyDescent="0.3">
      <c r="A45" s="37">
        <f>HBstats1!AL35</f>
        <v>8.5</v>
      </c>
      <c r="B45" s="153" t="str">
        <f>HBstats1!D35</f>
        <v>Matt Asiata</v>
      </c>
      <c r="C45" s="154">
        <f>IFERROR(INDEX(Salaries[DraftKings (Price)],MATCH(RBmatchups[[#This Row],[Name]],Salaries[Player],0)),"")</f>
        <v>3300</v>
      </c>
      <c r="D45" s="154">
        <f>IFERROR(INDEX(DK_Salary_Changes[WeekChange],MATCH(RBmatchups[[#This Row],[Name]],DK_Salary_Changes[Player],0)),"")</f>
        <v>300</v>
      </c>
      <c r="E45" s="154" t="str">
        <f>IFERROR(INDEX(Salaries[Team],MATCH(RBmatchups[[#This Row],[Name]],Salaries[Player],0)),"")</f>
        <v>MIN</v>
      </c>
      <c r="F45" s="189" t="str">
        <f>IFERROR(INDEX(Salaries[Opp],MATCH(RBmatchups[[#This Row],[Team]],Salaries[Team],0)),"")</f>
        <v>NYG</v>
      </c>
      <c r="G45" s="410">
        <f>IFERROR(INDEX(RBYTD[Rush ATT],MATCH(RBmatchups[Name],RBYTD[Player],0)),"0")</f>
        <v>16</v>
      </c>
      <c r="H45" s="191">
        <f>IFERROR(INDEX(RBYTD[Rush Yds],MATCH(RBmatchups[Name],RBYTD[Player],0)),"0")</f>
        <v>42</v>
      </c>
      <c r="I45" s="191">
        <f>IFERROR(INDEX(RBYTD[Rush TD],MATCH(RBmatchups[Name],RBYTD[Player],0)),"0")</f>
        <v>0</v>
      </c>
      <c r="J45" s="191">
        <f>IFERROR(INDEX(RBYTD[Rec],MATCH(RBmatchups[Name],RBYTD[Player],0)),"0")</f>
        <v>2</v>
      </c>
      <c r="K45" s="191">
        <f>IFERROR(INDEX(targettracker54[TTL],MATCH(RBmatchups[Name],targettracker54[Name],0)),"0")</f>
        <v>2</v>
      </c>
      <c r="L45" s="191">
        <f>IFERROR(INDEX(RBYTD[Rec Yds],MATCH(RBmatchups[Name],RBYTD[Player],0)),"0")</f>
        <v>15</v>
      </c>
      <c r="M45" s="411">
        <f>IFERROR(INDEX(RBYTD[Rec TD],MATCH(RBmatchups[Name],RBYTD[Player],0)),"0")</f>
        <v>0</v>
      </c>
      <c r="N45" s="441">
        <f>IFERROR(INDEX(Salaries[O/U],MATCH(RBmatchups[[#This Row],[Team]],Salaries[Team],0)),"")</f>
        <v>43.5</v>
      </c>
      <c r="O45" s="189">
        <f>IFERROR(INDEX(Salaries[Team O/U],MATCH(RBmatchups[[#This Row],[Team]],Salaries[Team],0)),"")</f>
        <v>23.75</v>
      </c>
      <c r="P45" s="442">
        <f>IFERROR(INDEX(Salaries[Spread],MATCH(RBmatchups[[#This Row],[Team]],Salaries[Team],0)),"")</f>
        <v>-4</v>
      </c>
      <c r="Q45" s="424">
        <f>IFERROR(INDEX(HBallowed[DVP],MATCH(RBmatchups[[#This Row],[Opp]],HBallowed[Team],0)),IFERROR(INDEX(HBallowed[DVP],MATCH(RBmatchups[[#This Row],[Opp]],HBallowed[Opp],0)),""))</f>
        <v>26</v>
      </c>
      <c r="R45" s="441">
        <f>AVERAGE(RBmatchups[[#This Row],[Car1]:[Car3]])</f>
        <v>7.3686666666666669</v>
      </c>
      <c r="S45" s="190">
        <f>AVERAGE(RBmatchups[[#This Row],[Yards1]:[Yards3]])</f>
        <v>29.255666666666666</v>
      </c>
      <c r="T45" s="189">
        <f>SUM(RBmatchups[[#This Row],[Yards]]/RBmatchups[[#This Row],[Carries2]])</f>
        <v>3.9702795621098343</v>
      </c>
      <c r="U45" s="189">
        <f>AVERAGE(RBmatchups[[#This Row],[TD1]:[TD3]])</f>
        <v>0.30249999999999999</v>
      </c>
      <c r="V45" s="189">
        <f>AVERAGE(RBmatchups[[#This Row],[Tar1]:[Tar3]])</f>
        <v>2.5</v>
      </c>
      <c r="W45" s="189">
        <f>AVERAGE(RBmatchups[[#This Row],[Rec1]:[Rec3]])</f>
        <v>2.2663333333333333</v>
      </c>
      <c r="X45" s="189">
        <f>AVERAGE(RBmatchups[[#This Row],[RecYards1]:[RecYards3]])</f>
        <v>17.328666666666667</v>
      </c>
      <c r="Y45" s="189">
        <f>AVERAGE(RBmatchups[[#This Row],[RecTD1]:[RecTd3]])</f>
        <v>8.3500000000000005E-2</v>
      </c>
      <c r="Z45" s="190">
        <f>SUM(RBmatchups[[#This Row],[Carries2]]+RBmatchups[[#This Row],[Rec4]])</f>
        <v>9.6349999999999998</v>
      </c>
      <c r="AA45" s="189">
        <f>SUM(RBmatchups[[#This Row],[Yards]]+RBmatchups[[#This Row],[RecYards]])</f>
        <v>46.584333333333333</v>
      </c>
      <c r="AB45" s="189">
        <f>SUM(RBmatchups[[#This Row],[TD]]+RBmatchups[[#This Row],[RecTD5]])</f>
        <v>0.38600000000000001</v>
      </c>
      <c r="AC45" s="191">
        <f>_xlfn.RANK.EQ(RBmatchups[Projection],RBmatchups[Projection],0)</f>
        <v>35</v>
      </c>
      <c r="AD45" s="189">
        <f>SUM(RBmatchups[[#This Row],[Total Yards]]*0.1)+(RBmatchups[[#This Row],[Rec4]]*1)+(RBmatchups[[#This Row],[Total TD]]*6)+(RBmatchups[[#This Row],[100+]])</f>
        <v>9.2407666666666657</v>
      </c>
      <c r="AE45" s="191" t="e">
        <f>_xlfn.RANK.EQ(RBmatchups[[#This Row],[$/FP]],RBmatchups[$/FP],1)</f>
        <v>#VALUE!</v>
      </c>
      <c r="AF45" s="453">
        <f>SUM(RBmatchups[[#This Row],[Salary]]/RBmatchups[[#This Row],[Projection]])</f>
        <v>357.11322653603781</v>
      </c>
      <c r="AG45" s="448" t="e">
        <f>_xlfn.RANK.EQ(RBmatchups[[#This Row],[Average]],RBmatchups[Average],1)</f>
        <v>#VALUE!</v>
      </c>
      <c r="AH45" s="190" t="e">
        <f>AVERAGE(RBmatchups[[#This Row],[Proj Rank]],RBmatchups[[#This Row],[Value Rank]])</f>
        <v>#VALUE!</v>
      </c>
      <c r="AI45" s="214">
        <f>RBmatchups[[#This Row],[Salary]]/50000</f>
        <v>6.6000000000000003E-2</v>
      </c>
      <c r="AJ45" s="214"/>
      <c r="AK45" s="14">
        <f>IFERROR(INDEX(HBstats1[Rush Att],MATCH(RBmatchups[[#This Row],[Name]],HBstats1[Player],0)),"0")</f>
        <v>8.0060000000000002</v>
      </c>
      <c r="AL45" s="14">
        <f>IFERROR(INDEX(HBstats2[Carries],MATCH(RBmatchups[[#This Row],[Name]],HBstats2[Player],0)),"0")</f>
        <v>6.2</v>
      </c>
      <c r="AM45" s="14">
        <f>IFERROR(INDEX(HBstats3[Carries],MATCH(RBmatchups[[#This Row],[Name]],HBstats3[Player],0)),"0")</f>
        <v>7.9</v>
      </c>
      <c r="AN45" s="14">
        <f>IFERROR(INDEX(HBallowed[Carries],MATCH(RBmatchups[[#This Row],[Opp]],HBallowed[Team],0)),"0")</f>
        <v>22.5</v>
      </c>
      <c r="AO45" s="14">
        <f>IFERROR(INDEX(HBstats1[Rush Yds],MATCH(RBmatchups[[#This Row],[Name]],HBstats1[Player],0)),"0")</f>
        <v>24.167000000000002</v>
      </c>
      <c r="AP45" s="14">
        <f>IFERROR(INDEX(HBstats2[RushYards],MATCH(RBmatchups[[#This Row],[Name]],HBstats2[Player],0)),"0")</f>
        <v>25.4</v>
      </c>
      <c r="AQ45" s="14">
        <f>IFERROR(INDEX(HBstats3[RushYards],MATCH(RBmatchups[[#This Row],[Name]],HBstats3[Player],0)),"0")</f>
        <v>38.200000000000003</v>
      </c>
      <c r="AR45" s="32">
        <f>IFERROR(INDEX(HBallowed[Yards],MATCH(RBmatchups[[#This Row],[Opp]],HBallowed[Team],0)),"0")</f>
        <v>69.25</v>
      </c>
      <c r="AS45" s="14">
        <f>IFERROR(INDEX(HBstats1[Rush TD],MATCH(RBmatchups[[#This Row],[Name]],HBstats1[Player],0)),"0")</f>
        <v>0.40500000000000003</v>
      </c>
      <c r="AT45" s="14" t="str">
        <f>IFERROR(INDEX(HBstats2[RushTD],MATCH(RBmatchups[[#This Row],[Name]],HBstats2[Player],0)),"0")</f>
        <v>0.1</v>
      </c>
      <c r="AU45" s="14">
        <f>IFERROR(INDEX(HBstats3[RushTD],MATCH(RBmatchups[[#This Row],[Name]],HBstats3[Player],0)),"0")</f>
        <v>0.2</v>
      </c>
      <c r="AV45" s="32">
        <f>IFERROR(INDEX(HBallowed[TD],MATCH(RBmatchups[[#This Row],[Opp]],HBallowed[Team],0)),"0")</f>
        <v>0.5625</v>
      </c>
      <c r="AW45" s="32">
        <f>IFERROR(INDEX(HBstats3[Targets],MATCH(RBmatchups[[#This Row],[Name]],HBstats3[Player],0)),"0")</f>
        <v>2.5</v>
      </c>
      <c r="AX45" s="32" t="str">
        <f>IFERROR(INDEX(HBstats2[Targets],MATCH(RBmatchups[[#This Row],[Name]],HBstats2[Player],0)),"0")</f>
        <v>0</v>
      </c>
      <c r="AY45" s="32">
        <f>IFERROR(INDEX(HBstats3[Targets],MATCH(RBmatchups[[#This Row],[Name]],HBstats3[Player],0)),"0")</f>
        <v>2.5</v>
      </c>
      <c r="AZ45" s="14">
        <f>IFERROR(INDEX(HBstats1[Rec],MATCH(RBmatchups[[#This Row],[Name]],HBstats1[Player],0)),"0")</f>
        <v>2.6989999999999998</v>
      </c>
      <c r="BA45" s="14">
        <f>IFERROR(INDEX(HBstats2[Rec],MATCH(RBmatchups[[#This Row],[Name]],HBstats2[Player],0)),"0")</f>
        <v>1.9</v>
      </c>
      <c r="BB45" s="14">
        <f>IFERROR(INDEX(HBstats3[Rec],MATCH(RBmatchups[[#This Row],[Name]],HBstats3[Player],0)),"0")</f>
        <v>2.2000000000000002</v>
      </c>
      <c r="BC45" s="32">
        <f>IFERROR(INDEX(HBallowed[Rec],MATCH(RBmatchups[[#This Row],[Opp]],HBallowed[Team],0)),"0")</f>
        <v>6</v>
      </c>
      <c r="BD45" s="14">
        <f>IFERROR(INDEX(HBstats1[Rec Yds],MATCH(RBmatchups[[#This Row],[Name]],HBstats1[Player],0)),"0")</f>
        <v>20.486000000000001</v>
      </c>
      <c r="BE45" s="14">
        <f>IFERROR(INDEX(HBstats2[RecYards],MATCH(RBmatchups[[#This Row],[Name]],HBstats2[Player],0)),"0")</f>
        <v>13.4</v>
      </c>
      <c r="BF45" s="14">
        <f>IFERROR(INDEX(HBstats3[RecYards],MATCH(RBmatchups[[#This Row],[Name]],HBstats3[Player],0)),"0")</f>
        <v>18.100000000000001</v>
      </c>
      <c r="BG45" s="32">
        <f>IFERROR(INDEX(HBallowed[RecYards],MATCH(RBmatchups[[#This Row],[Opp]],HBallowed[Team],0)),"0")</f>
        <v>45.4375</v>
      </c>
      <c r="BH45" s="14">
        <f>IFERROR(INDEX(HBstats1[Rec TD],MATCH(RBmatchups[[#This Row],[Name]],HBstats1[Player],0)),"0")</f>
        <v>6.7000000000000004E-2</v>
      </c>
      <c r="BI45" s="14" t="str">
        <f>IFERROR(INDEX(HBstats2[RecTD],MATCH(RBmatchups[[#This Row],[Name]],HBstats2[Player],0)),"0")</f>
        <v>0.1</v>
      </c>
      <c r="BJ45" s="14">
        <f>IFERROR(INDEX(HBstats3[RecTD],MATCH(RBmatchups[[#This Row],[Name]],HBstats3[Player],0)),"0")</f>
        <v>0.1</v>
      </c>
      <c r="BK45" s="32">
        <f>IFERROR(INDEX(HBallowed[RecTD],MATCH(RBmatchups[[#This Row],[Opp]],HBallowed[Team],0)),"0")</f>
        <v>0.3125</v>
      </c>
      <c r="BL45" s="268">
        <f>IF(RBmatchups[[#This Row],[Yards]]&gt;=100,3,0)</f>
        <v>0</v>
      </c>
    </row>
    <row r="46" spans="1:64" x14ac:dyDescent="0.3">
      <c r="A46" s="37">
        <f>HBstats1!AL34</f>
        <v>7.8</v>
      </c>
      <c r="B46" s="153" t="str">
        <f>HBstats1!D34</f>
        <v>Chris Ivory</v>
      </c>
      <c r="C46" s="154">
        <f>IFERROR(INDEX(Salaries[DraftKings (Price)],MATCH(RBmatchups[[#This Row],[Name]],Salaries[Player],0)),"")</f>
        <v>3700</v>
      </c>
      <c r="D46" s="154">
        <f>IFERROR(INDEX(DK_Salary_Changes[WeekChange],MATCH(RBmatchups[[#This Row],[Name]],DK_Salary_Changes[Player],0)),"")</f>
        <v>-200</v>
      </c>
      <c r="E46" s="154" t="str">
        <f>IFERROR(INDEX(Salaries[Team],MATCH(RBmatchups[[#This Row],[Name]],Salaries[Player],0)),"")</f>
        <v>JAX</v>
      </c>
      <c r="F46" s="189" t="str">
        <f>IFERROR(INDEX(Salaries[Opp],MATCH(RBmatchups[[#This Row],[Team]],Salaries[Team],0)),"")</f>
        <v>IND</v>
      </c>
      <c r="G46" s="410" t="str">
        <f>IFERROR(INDEX(RBYTD[Rush ATT],MATCH(RBmatchups[Name],RBYTD[Player],0)),"0")</f>
        <v>0</v>
      </c>
      <c r="H46" s="191" t="str">
        <f>IFERROR(INDEX(RBYTD[Rush Yds],MATCH(RBmatchups[Name],RBYTD[Player],0)),"0")</f>
        <v>0</v>
      </c>
      <c r="I46" s="191" t="str">
        <f>IFERROR(INDEX(RBYTD[Rush TD],MATCH(RBmatchups[Name],RBYTD[Player],0)),"0")</f>
        <v>0</v>
      </c>
      <c r="J46" s="191" t="str">
        <f>IFERROR(INDEX(RBYTD[Rec],MATCH(RBmatchups[Name],RBYTD[Player],0)),"0")</f>
        <v>0</v>
      </c>
      <c r="K46" s="191">
        <f>IFERROR(INDEX(targettracker54[TTL],MATCH(RBmatchups[Name],targettracker54[Name],0)),"0")</f>
        <v>1</v>
      </c>
      <c r="L46" s="191" t="str">
        <f>IFERROR(INDEX(RBYTD[Rec Yds],MATCH(RBmatchups[Name],RBYTD[Player],0)),"0")</f>
        <v>0</v>
      </c>
      <c r="M46" s="411" t="str">
        <f>IFERROR(INDEX(RBYTD[Rec TD],MATCH(RBmatchups[Name],RBYTD[Player],0)),"0")</f>
        <v>0</v>
      </c>
      <c r="N46" s="441">
        <f>IFERROR(INDEX(Salaries[O/U],MATCH(RBmatchups[[#This Row],[Team]],Salaries[Team],0)),"")</f>
        <v>49.5</v>
      </c>
      <c r="O46" s="189">
        <f>IFERROR(INDEX(Salaries[Team O/U],MATCH(RBmatchups[[#This Row],[Team]],Salaries[Team],0)),"")</f>
        <v>23.5</v>
      </c>
      <c r="P46" s="442">
        <f>IFERROR(INDEX(Salaries[Spread],MATCH(RBmatchups[[#This Row],[Team]],Salaries[Team],0)),"")</f>
        <v>2.5</v>
      </c>
      <c r="Q46" s="424">
        <f>IFERROR(INDEX(HBallowed[DVP],MATCH(RBmatchups[[#This Row],[Opp]],HBallowed[Team],0)),IFERROR(INDEX(HBallowed[DVP],MATCH(RBmatchups[[#This Row],[Opp]],HBallowed[Opp],0)),""))</f>
        <v>22</v>
      </c>
      <c r="R46" s="441">
        <f>AVERAGE(RBmatchups[[#This Row],[Car1]:[Car3]])</f>
        <v>10.539666666666667</v>
      </c>
      <c r="S46" s="190">
        <f>AVERAGE(RBmatchups[[#This Row],[Yards1]:[Yards3]])</f>
        <v>45.021666666666668</v>
      </c>
      <c r="T46" s="189">
        <f>SUM(RBmatchups[[#This Row],[Yards]]/RBmatchups[[#This Row],[Carries2]])</f>
        <v>4.2716404693380561</v>
      </c>
      <c r="U46" s="189">
        <f>AVERAGE(RBmatchups[[#This Row],[TD1]:[TD3]])</f>
        <v>0.38150000000000001</v>
      </c>
      <c r="V46" s="189">
        <f>AVERAGE(RBmatchups[[#This Row],[Tar1]:[Tar3]])</f>
        <v>1</v>
      </c>
      <c r="W46" s="189">
        <f>AVERAGE(RBmatchups[[#This Row],[Rec1]:[Rec3]])</f>
        <v>1.3630000000000002</v>
      </c>
      <c r="X46" s="189">
        <f>AVERAGE(RBmatchups[[#This Row],[RecYards1]:[RecYards3]])</f>
        <v>10.257333333333333</v>
      </c>
      <c r="Y46" s="189">
        <f>AVERAGE(RBmatchups[[#This Row],[RecTD1]:[RecTd3]])</f>
        <v>9.4999999999999998E-3</v>
      </c>
      <c r="Z46" s="190">
        <f>SUM(RBmatchups[[#This Row],[Carries2]]+RBmatchups[[#This Row],[Rec4]])</f>
        <v>11.902666666666667</v>
      </c>
      <c r="AA46" s="189">
        <f>SUM(RBmatchups[[#This Row],[Yards]]+RBmatchups[[#This Row],[RecYards]])</f>
        <v>55.279000000000003</v>
      </c>
      <c r="AB46" s="189">
        <f>SUM(RBmatchups[[#This Row],[TD]]+RBmatchups[[#This Row],[RecTD5]])</f>
        <v>0.39100000000000001</v>
      </c>
      <c r="AC46" s="191">
        <f>_xlfn.RANK.EQ(RBmatchups[Projection],RBmatchups[Projection],0)</f>
        <v>36</v>
      </c>
      <c r="AD46" s="189">
        <f>SUM(RBmatchups[[#This Row],[Total Yards]]*0.1)+(RBmatchups[[#This Row],[Rec4]]*1)+(RBmatchups[[#This Row],[Total TD]]*6)+(RBmatchups[[#This Row],[100+]])</f>
        <v>9.2369000000000021</v>
      </c>
      <c r="AE46" s="191" t="e">
        <f>_xlfn.RANK.EQ(RBmatchups[[#This Row],[$/FP]],RBmatchups[$/FP],1)</f>
        <v>#VALUE!</v>
      </c>
      <c r="AF46" s="453">
        <f>SUM(RBmatchups[[#This Row],[Salary]]/RBmatchups[[#This Row],[Projection]])</f>
        <v>400.5672898916302</v>
      </c>
      <c r="AG46" s="448" t="e">
        <f>_xlfn.RANK.EQ(RBmatchups[[#This Row],[Average]],RBmatchups[Average],1)</f>
        <v>#VALUE!</v>
      </c>
      <c r="AH46" s="190" t="e">
        <f>AVERAGE(RBmatchups[[#This Row],[Proj Rank]],RBmatchups[[#This Row],[Value Rank]])</f>
        <v>#VALUE!</v>
      </c>
      <c r="AI46" s="214">
        <f>RBmatchups[[#This Row],[Salary]]/50000</f>
        <v>7.3999999999999996E-2</v>
      </c>
      <c r="AJ46" s="214"/>
      <c r="AK46" s="14">
        <f>IFERROR(INDEX(HBstats1[Rush Att],MATCH(RBmatchups[[#This Row],[Name]],HBstats1[Player],0)),"0")</f>
        <v>11.419</v>
      </c>
      <c r="AL46" s="14">
        <f>IFERROR(INDEX(HBstats2[Carries],MATCH(RBmatchups[[#This Row],[Name]],HBstats2[Player],0)),"0")</f>
        <v>8.8000000000000007</v>
      </c>
      <c r="AM46" s="14">
        <f>IFERROR(INDEX(HBstats3[Carries],MATCH(RBmatchups[[#This Row],[Name]],HBstats3[Player],0)),"0")</f>
        <v>11.4</v>
      </c>
      <c r="AN46" s="14">
        <f>IFERROR(INDEX(HBallowed[Carries],MATCH(RBmatchups[[#This Row],[Opp]],HBallowed[Team],0)),"0")</f>
        <v>25.125</v>
      </c>
      <c r="AO46" s="14">
        <f>IFERROR(INDEX(HBstats1[Rush Yds],MATCH(RBmatchups[[#This Row],[Name]],HBstats1[Player],0)),"0")</f>
        <v>44.064999999999998</v>
      </c>
      <c r="AP46" s="14">
        <f>IFERROR(INDEX(HBstats2[RushYards],MATCH(RBmatchups[[#This Row],[Name]],HBstats2[Player],0)),"0")</f>
        <v>33</v>
      </c>
      <c r="AQ46" s="14">
        <f>IFERROR(INDEX(HBstats3[RushYards],MATCH(RBmatchups[[#This Row],[Name]],HBstats3[Player],0)),"0")</f>
        <v>58</v>
      </c>
      <c r="AR46" s="32">
        <f>IFERROR(INDEX(HBallowed[Yards],MATCH(RBmatchups[[#This Row],[Opp]],HBallowed[Team],0)),"0")</f>
        <v>115.0625</v>
      </c>
      <c r="AS46" s="14">
        <f>IFERROR(INDEX(HBstats1[Rush TD],MATCH(RBmatchups[[#This Row],[Name]],HBstats1[Player],0)),"0")</f>
        <v>0.36299999999999999</v>
      </c>
      <c r="AT46" s="14" t="str">
        <f>IFERROR(INDEX(HBstats2[RushTD],MATCH(RBmatchups[[#This Row],[Name]],HBstats2[Player],0)),"0")</f>
        <v>0.2</v>
      </c>
      <c r="AU46" s="14">
        <f>IFERROR(INDEX(HBstats3[RushTD],MATCH(RBmatchups[[#This Row],[Name]],HBstats3[Player],0)),"0")</f>
        <v>0.4</v>
      </c>
      <c r="AV46" s="32">
        <f>IFERROR(INDEX(HBallowed[TD],MATCH(RBmatchups[[#This Row],[Opp]],HBallowed[Team],0)),"0")</f>
        <v>0.4375</v>
      </c>
      <c r="AW46" s="32">
        <f>IFERROR(INDEX(HBstats3[Targets],MATCH(RBmatchups[[#This Row],[Name]],HBstats3[Player],0)),"0")</f>
        <v>1</v>
      </c>
      <c r="AX46" s="32" t="str">
        <f>IFERROR(INDEX(HBstats2[Targets],MATCH(RBmatchups[[#This Row],[Name]],HBstats2[Player],0)),"0")</f>
        <v>0</v>
      </c>
      <c r="AY46" s="32">
        <f>IFERROR(INDEX(HBstats3[Targets],MATCH(RBmatchups[[#This Row],[Name]],HBstats3[Player],0)),"0")</f>
        <v>1</v>
      </c>
      <c r="AZ46" s="14">
        <f>IFERROR(INDEX(HBstats1[Rec],MATCH(RBmatchups[[#This Row],[Name]],HBstats1[Player],0)),"0")</f>
        <v>1.089</v>
      </c>
      <c r="BA46" s="14">
        <f>IFERROR(INDEX(HBstats2[Rec],MATCH(RBmatchups[[#This Row],[Name]],HBstats2[Player],0)),"0")</f>
        <v>2.2000000000000002</v>
      </c>
      <c r="BB46" s="14">
        <f>IFERROR(INDEX(HBstats3[Rec],MATCH(RBmatchups[[#This Row],[Name]],HBstats3[Player],0)),"0")</f>
        <v>0.8</v>
      </c>
      <c r="BC46" s="32">
        <f>IFERROR(INDEX(HBallowed[Rec],MATCH(RBmatchups[[#This Row],[Opp]],HBallowed[Team],0)),"0")</f>
        <v>3.8125</v>
      </c>
      <c r="BD46" s="14">
        <f>IFERROR(INDEX(HBstats1[Rec Yds],MATCH(RBmatchups[[#This Row],[Name]],HBstats1[Player],0)),"0")</f>
        <v>7.2720000000000002</v>
      </c>
      <c r="BE46" s="14">
        <f>IFERROR(INDEX(HBstats2[RecYards],MATCH(RBmatchups[[#This Row],[Name]],HBstats2[Player],0)),"0")</f>
        <v>16.8</v>
      </c>
      <c r="BF46" s="14">
        <f>IFERROR(INDEX(HBstats3[RecYards],MATCH(RBmatchups[[#This Row],[Name]],HBstats3[Player],0)),"0")</f>
        <v>6.7</v>
      </c>
      <c r="BG46" s="32">
        <f>IFERROR(INDEX(HBallowed[RecYards],MATCH(RBmatchups[[#This Row],[Opp]],HBallowed[Team],0)),"0")</f>
        <v>38.1875</v>
      </c>
      <c r="BH46" s="14">
        <f>IFERROR(INDEX(HBstats1[Rec TD],MATCH(RBmatchups[[#This Row],[Name]],HBstats1[Player],0)),"0")</f>
        <v>1.9E-2</v>
      </c>
      <c r="BI46" s="14" t="str">
        <f>IFERROR(INDEX(HBstats2[RecTD],MATCH(RBmatchups[[#This Row],[Name]],HBstats2[Player],0)),"0")</f>
        <v>0</v>
      </c>
      <c r="BJ46" s="14">
        <f>IFERROR(INDEX(HBstats3[RecTD],MATCH(RBmatchups[[#This Row],[Name]],HBstats3[Player],0)),"0")</f>
        <v>0</v>
      </c>
      <c r="BK46" s="32">
        <f>IFERROR(INDEX(HBallowed[RecTD],MATCH(RBmatchups[[#This Row],[Opp]],HBallowed[Team],0)),"0")</f>
        <v>0.125</v>
      </c>
      <c r="BL46" s="268">
        <f>IF(RBmatchups[[#This Row],[Yards]]&gt;=100,3,0)</f>
        <v>0</v>
      </c>
    </row>
    <row r="47" spans="1:64" x14ac:dyDescent="0.3">
      <c r="A47" s="37">
        <f>HBstats1!AL39</f>
        <v>6.3</v>
      </c>
      <c r="B47" s="153" t="str">
        <f>HBstats1!D39</f>
        <v>Kenyan Drake</v>
      </c>
      <c r="C47" s="154">
        <f>IFERROR(INDEX(Salaries[DraftKings (Price)],MATCH(RBmatchups[[#This Row],[Name]],Salaries[Player],0)),"")</f>
        <v>3600</v>
      </c>
      <c r="D47" s="154">
        <f>IFERROR(INDEX(DK_Salary_Changes[WeekChange],MATCH(RBmatchups[[#This Row],[Name]],DK_Salary_Changes[Player],0)),"")</f>
        <v>0</v>
      </c>
      <c r="E47" s="154" t="str">
        <f>IFERROR(INDEX(Salaries[Team],MATCH(RBmatchups[[#This Row],[Name]],Salaries[Player],0)),"")</f>
        <v>MIA</v>
      </c>
      <c r="F47" s="189" t="str">
        <f>IFERROR(INDEX(Salaries[Opp],MATCH(RBmatchups[[#This Row],[Team]],Salaries[Team],0)),"")</f>
        <v>@CIN</v>
      </c>
      <c r="G47" s="410">
        <f>IFERROR(INDEX(RBYTD[Rush ATT],MATCH(RBmatchups[Name],RBYTD[Player],0)),"0")</f>
        <v>11</v>
      </c>
      <c r="H47" s="191">
        <f>IFERROR(INDEX(RBYTD[Rush Yds],MATCH(RBmatchups[Name],RBYTD[Player],0)),"0")</f>
        <v>49</v>
      </c>
      <c r="I47" s="191">
        <f>IFERROR(INDEX(RBYTD[Rush TD],MATCH(RBmatchups[Name],RBYTD[Player],0)),"0")</f>
        <v>1</v>
      </c>
      <c r="J47" s="191">
        <f>IFERROR(INDEX(RBYTD[Rec],MATCH(RBmatchups[Name],RBYTD[Player],0)),"0")</f>
        <v>4</v>
      </c>
      <c r="K47" s="191">
        <f>IFERROR(INDEX(targettracker54[TTL],MATCH(RBmatchups[Name],targettracker54[Name],0)),"0")</f>
        <v>4</v>
      </c>
      <c r="L47" s="191">
        <f>IFERROR(INDEX(RBYTD[Rec Yds],MATCH(RBmatchups[Name],RBYTD[Player],0)),"0")</f>
        <v>17</v>
      </c>
      <c r="M47" s="411">
        <f>IFERROR(INDEX(RBYTD[Rec TD],MATCH(RBmatchups[Name],RBYTD[Player],0)),"0")</f>
        <v>0</v>
      </c>
      <c r="N47" s="441">
        <f>IFERROR(INDEX(Salaries[O/U],MATCH(RBmatchups[[#This Row],[Team]],Salaries[Team],0)),"")</f>
        <v>44.5</v>
      </c>
      <c r="O47" s="189">
        <f>IFERROR(INDEX(Salaries[Team O/U],MATCH(RBmatchups[[#This Row],[Team]],Salaries[Team],0)),"")</f>
        <v>18.75</v>
      </c>
      <c r="P47" s="442">
        <f>IFERROR(INDEX(Salaries[Spread],MATCH(RBmatchups[[#This Row],[Team]],Salaries[Team],0)),"")</f>
        <v>7</v>
      </c>
      <c r="Q47" s="424">
        <f>IFERROR(INDEX(HBallowed[DVP],MATCH(RBmatchups[[#This Row],[Opp]],HBallowed[Team],0)),IFERROR(INDEX(HBallowed[DVP],MATCH(RBmatchups[[#This Row],[Opp]],HBallowed[Opp],0)),""))</f>
        <v>12</v>
      </c>
      <c r="R47" s="441">
        <f>AVERAGE(RBmatchups[[#This Row],[Car1]:[Car3]])</f>
        <v>6.8860000000000001</v>
      </c>
      <c r="S47" s="190">
        <f>AVERAGE(RBmatchups[[#This Row],[Yards1]:[Yards3]])</f>
        <v>27.808333333333334</v>
      </c>
      <c r="T47" s="189">
        <f>SUM(RBmatchups[[#This Row],[Yards]]/RBmatchups[[#This Row],[Carries2]])</f>
        <v>4.0383870655436152</v>
      </c>
      <c r="U47" s="189">
        <f>AVERAGE(RBmatchups[[#This Row],[TD1]:[TD3]])</f>
        <v>0.22849999999999998</v>
      </c>
      <c r="V47" s="189">
        <f>AVERAGE(RBmatchups[[#This Row],[Tar1]:[Tar3]])</f>
        <v>3</v>
      </c>
      <c r="W47" s="189">
        <f>AVERAGE(RBmatchups[[#This Row],[Rec1]:[Rec3]])</f>
        <v>2.2736666666666667</v>
      </c>
      <c r="X47" s="189">
        <f>AVERAGE(RBmatchups[[#This Row],[RecYards1]:[RecYards3]])</f>
        <v>17.369</v>
      </c>
      <c r="Y47" s="189">
        <f>AVERAGE(RBmatchups[[#This Row],[RecTD1]:[RecTd3]])</f>
        <v>7.2000000000000008E-2</v>
      </c>
      <c r="Z47" s="190">
        <f>SUM(RBmatchups[[#This Row],[Carries2]]+RBmatchups[[#This Row],[Rec4]])</f>
        <v>9.1596666666666664</v>
      </c>
      <c r="AA47" s="189">
        <f>SUM(RBmatchups[[#This Row],[Yards]]+RBmatchups[[#This Row],[RecYards]])</f>
        <v>45.177333333333337</v>
      </c>
      <c r="AB47" s="189">
        <f>SUM(RBmatchups[[#This Row],[TD]]+RBmatchups[[#This Row],[RecTD5]])</f>
        <v>0.30049999999999999</v>
      </c>
      <c r="AC47" s="191">
        <f>_xlfn.RANK.EQ(RBmatchups[Projection],RBmatchups[Projection],0)</f>
        <v>37</v>
      </c>
      <c r="AD47" s="189">
        <f>SUM(RBmatchups[[#This Row],[Total Yards]]*0.1)+(RBmatchups[[#This Row],[Rec4]]*1)+(RBmatchups[[#This Row],[Total TD]]*6)+(RBmatchups[[#This Row],[100+]])</f>
        <v>8.5944000000000003</v>
      </c>
      <c r="AE47" s="191" t="e">
        <f>_xlfn.RANK.EQ(RBmatchups[[#This Row],[$/FP]],RBmatchups[$/FP],1)</f>
        <v>#VALUE!</v>
      </c>
      <c r="AF47" s="453">
        <f>SUM(RBmatchups[[#This Row],[Salary]]/RBmatchups[[#This Row],[Projection]])</f>
        <v>418.87740854509912</v>
      </c>
      <c r="AG47" s="448" t="e">
        <f>_xlfn.RANK.EQ(RBmatchups[[#This Row],[Average]],RBmatchups[Average],1)</f>
        <v>#VALUE!</v>
      </c>
      <c r="AH47" s="190" t="e">
        <f>AVERAGE(RBmatchups[[#This Row],[Proj Rank]],RBmatchups[[#This Row],[Value Rank]])</f>
        <v>#VALUE!</v>
      </c>
      <c r="AI47" s="214">
        <f>RBmatchups[[#This Row],[Salary]]/50000</f>
        <v>7.1999999999999995E-2</v>
      </c>
      <c r="AJ47" s="214"/>
      <c r="AK47" s="14">
        <f>IFERROR(INDEX(HBstats1[Rush Att],MATCH(RBmatchups[[#This Row],[Name]],HBstats1[Player],0)),"0")</f>
        <v>8.3580000000000005</v>
      </c>
      <c r="AL47" s="14">
        <f>IFERROR(INDEX(HBstats2[Carries],MATCH(RBmatchups[[#This Row],[Name]],HBstats2[Player],0)),"0")</f>
        <v>5.0999999999999996</v>
      </c>
      <c r="AM47" s="14">
        <f>IFERROR(INDEX(HBstats3[Carries],MATCH(RBmatchups[[#This Row],[Name]],HBstats3[Player],0)),"0")</f>
        <v>7.2</v>
      </c>
      <c r="AN47" s="14" t="str">
        <f>IFERROR(INDEX(HBallowed[Carries],MATCH(RBmatchups[[#This Row],[Opp]],HBallowed[Team],0)),"0")</f>
        <v>0</v>
      </c>
      <c r="AO47" s="14">
        <f>IFERROR(INDEX(HBstats1[Rush Yds],MATCH(RBmatchups[[#This Row],[Name]],HBstats1[Player],0)),"0")</f>
        <v>31.125</v>
      </c>
      <c r="AP47" s="14">
        <f>IFERROR(INDEX(HBstats2[RushYards],MATCH(RBmatchups[[#This Row],[Name]],HBstats2[Player],0)),"0")</f>
        <v>20.8</v>
      </c>
      <c r="AQ47" s="14">
        <f>IFERROR(INDEX(HBstats3[RushYards],MATCH(RBmatchups[[#This Row],[Name]],HBstats3[Player],0)),"0")</f>
        <v>31.5</v>
      </c>
      <c r="AR47" s="32" t="str">
        <f>IFERROR(INDEX(HBallowed[Yards],MATCH(RBmatchups[[#This Row],[Opp]],HBallowed[Team],0)),"0")</f>
        <v>0</v>
      </c>
      <c r="AS47" s="14">
        <f>IFERROR(INDEX(HBstats1[Rush TD],MATCH(RBmatchups[[#This Row],[Name]],HBstats1[Player],0)),"0")</f>
        <v>0.157</v>
      </c>
      <c r="AT47" s="14" t="str">
        <f>IFERROR(INDEX(HBstats2[RushTD],MATCH(RBmatchups[[#This Row],[Name]],HBstats2[Player],0)),"0")</f>
        <v>0.2</v>
      </c>
      <c r="AU47" s="14">
        <f>IFERROR(INDEX(HBstats3[RushTD],MATCH(RBmatchups[[#This Row],[Name]],HBstats3[Player],0)),"0")</f>
        <v>0.3</v>
      </c>
      <c r="AV47" s="32" t="str">
        <f>IFERROR(INDEX(HBallowed[TD],MATCH(RBmatchups[[#This Row],[Opp]],HBallowed[Team],0)),"0")</f>
        <v>0</v>
      </c>
      <c r="AW47" s="32">
        <f>IFERROR(INDEX(HBstats3[Targets],MATCH(RBmatchups[[#This Row],[Name]],HBstats3[Player],0)),"0")</f>
        <v>3</v>
      </c>
      <c r="AX47" s="32" t="str">
        <f>IFERROR(INDEX(HBstats2[Targets],MATCH(RBmatchups[[#This Row],[Name]],HBstats2[Player],0)),"0")</f>
        <v>0</v>
      </c>
      <c r="AY47" s="32">
        <f>IFERROR(INDEX(HBstats3[Targets],MATCH(RBmatchups[[#This Row],[Name]],HBstats3[Player],0)),"0")</f>
        <v>3</v>
      </c>
      <c r="AZ47" s="14">
        <f>IFERROR(INDEX(HBstats1[Rec],MATCH(RBmatchups[[#This Row],[Name]],HBstats1[Player],0)),"0")</f>
        <v>1.7210000000000001</v>
      </c>
      <c r="BA47" s="14">
        <f>IFERROR(INDEX(HBstats2[Rec],MATCH(RBmatchups[[#This Row],[Name]],HBstats2[Player],0)),"0")</f>
        <v>2.8</v>
      </c>
      <c r="BB47" s="14">
        <f>IFERROR(INDEX(HBstats3[Rec],MATCH(RBmatchups[[#This Row],[Name]],HBstats3[Player],0)),"0")</f>
        <v>2.2999999999999998</v>
      </c>
      <c r="BC47" s="32" t="str">
        <f>IFERROR(INDEX(HBallowed[Rec],MATCH(RBmatchups[[#This Row],[Opp]],HBallowed[Team],0)),"0")</f>
        <v>0</v>
      </c>
      <c r="BD47" s="14">
        <f>IFERROR(INDEX(HBstats1[Rec Yds],MATCH(RBmatchups[[#This Row],[Name]],HBstats1[Player],0)),"0")</f>
        <v>13.407</v>
      </c>
      <c r="BE47" s="14">
        <f>IFERROR(INDEX(HBstats2[RecYards],MATCH(RBmatchups[[#This Row],[Name]],HBstats2[Player],0)),"0")</f>
        <v>22.5</v>
      </c>
      <c r="BF47" s="14">
        <f>IFERROR(INDEX(HBstats3[RecYards],MATCH(RBmatchups[[#This Row],[Name]],HBstats3[Player],0)),"0")</f>
        <v>16.2</v>
      </c>
      <c r="BG47" s="32" t="str">
        <f>IFERROR(INDEX(HBallowed[RecYards],MATCH(RBmatchups[[#This Row],[Opp]],HBallowed[Team],0)),"0")</f>
        <v>0</v>
      </c>
      <c r="BH47" s="14">
        <f>IFERROR(INDEX(HBstats1[Rec TD],MATCH(RBmatchups[[#This Row],[Name]],HBstats1[Player],0)),"0")</f>
        <v>4.3999999999999997E-2</v>
      </c>
      <c r="BI47" s="14" t="str">
        <f>IFERROR(INDEX(HBstats2[RecTD],MATCH(RBmatchups[[#This Row],[Name]],HBstats2[Player],0)),"0")</f>
        <v>0.1</v>
      </c>
      <c r="BJ47" s="14">
        <f>IFERROR(INDEX(HBstats3[RecTD],MATCH(RBmatchups[[#This Row],[Name]],HBstats3[Player],0)),"0")</f>
        <v>0.1</v>
      </c>
      <c r="BK47" s="32" t="str">
        <f>IFERROR(INDEX(HBallowed[RecTD],MATCH(RBmatchups[[#This Row],[Opp]],HBallowed[Team],0)),"0")</f>
        <v>0</v>
      </c>
      <c r="BL47" s="268">
        <f>IF(RBmatchups[[#This Row],[Yards]]&gt;=100,3,0)</f>
        <v>0</v>
      </c>
    </row>
    <row r="48" spans="1:64" x14ac:dyDescent="0.3">
      <c r="A48" s="37">
        <f>HBstats1!AL31</f>
        <v>9.1</v>
      </c>
      <c r="B48" s="153" t="str">
        <f>HBstats1!D31</f>
        <v>Terrance West</v>
      </c>
      <c r="C48" s="154">
        <f>IFERROR(INDEX(Salaries[DraftKings (Price)],MATCH(RBmatchups[[#This Row],[Name]],Salaries[Player],0)),"")</f>
        <v>3400</v>
      </c>
      <c r="D48" s="154">
        <f>IFERROR(INDEX(DK_Salary_Changes[WeekChange],MATCH(RBmatchups[[#This Row],[Name]],DK_Salary_Changes[Player],0)),"")</f>
        <v>-100</v>
      </c>
      <c r="E48" s="154" t="str">
        <f>IFERROR(INDEX(Salaries[Team],MATCH(RBmatchups[[#This Row],[Name]],Salaries[Player],0)),"")</f>
        <v>BAL</v>
      </c>
      <c r="F48" s="189" t="str">
        <f>IFERROR(INDEX(Salaries[Opp],MATCH(RBmatchups[[#This Row],[Team]],Salaries[Team],0)),"")</f>
        <v>OAK</v>
      </c>
      <c r="G48" s="410">
        <f>IFERROR(INDEX(RBYTD[Rush ATT],MATCH(RBmatchups[Name],RBYTD[Player],0)),"0")</f>
        <v>33</v>
      </c>
      <c r="H48" s="191">
        <f>IFERROR(INDEX(RBYTD[Rush Yds],MATCH(RBmatchups[Name],RBYTD[Player],0)),"0")</f>
        <v>119</v>
      </c>
      <c r="I48" s="191">
        <f>IFERROR(INDEX(RBYTD[Rush TD],MATCH(RBmatchups[Name],RBYTD[Player],0)),"0")</f>
        <v>0</v>
      </c>
      <c r="J48" s="191">
        <f>IFERROR(INDEX(RBYTD[Rec],MATCH(RBmatchups[Name],RBYTD[Player],0)),"0")</f>
        <v>4</v>
      </c>
      <c r="K48" s="191">
        <f>IFERROR(INDEX(targettracker54[TTL],MATCH(RBmatchups[Name],targettracker54[Name],0)),"0")</f>
        <v>6</v>
      </c>
      <c r="L48" s="191">
        <f>IFERROR(INDEX(RBYTD[Rec Yds],MATCH(RBmatchups[Name],RBYTD[Player],0)),"0")</f>
        <v>29</v>
      </c>
      <c r="M48" s="411">
        <f>IFERROR(INDEX(RBYTD[Rec TD],MATCH(RBmatchups[Name],RBYTD[Player],0)),"0")</f>
        <v>0</v>
      </c>
      <c r="N48" s="441">
        <f>IFERROR(INDEX(Salaries[O/U],MATCH(RBmatchups[[#This Row],[Team]],Salaries[Team],0)),"")</f>
        <v>46.5</v>
      </c>
      <c r="O48" s="189">
        <f>IFERROR(INDEX(Salaries[Team O/U],MATCH(RBmatchups[[#This Row],[Team]],Salaries[Team],0)),"")</f>
        <v>25</v>
      </c>
      <c r="P48" s="442">
        <f>IFERROR(INDEX(Salaries[Spread],MATCH(RBmatchups[[#This Row],[Team]],Salaries[Team],0)),"")</f>
        <v>-3.5</v>
      </c>
      <c r="Q48" s="424">
        <f>IFERROR(INDEX(HBallowed[DVP],MATCH(RBmatchups[[#This Row],[Opp]],HBallowed[Team],0)),IFERROR(INDEX(HBallowed[DVP],MATCH(RBmatchups[[#This Row],[Opp]],HBallowed[Opp],0)),""))</f>
        <v>17</v>
      </c>
      <c r="R48" s="441">
        <f>AVERAGE(RBmatchups[[#This Row],[Car1]:[Car3]])</f>
        <v>10.201666666666666</v>
      </c>
      <c r="S48" s="190">
        <f>AVERAGE(RBmatchups[[#This Row],[Yards1]:[Yards3]])</f>
        <v>39.228333333333332</v>
      </c>
      <c r="T48" s="189">
        <f>SUM(RBmatchups[[#This Row],[Yards]]/RBmatchups[[#This Row],[Carries2]])</f>
        <v>3.8452867178565593</v>
      </c>
      <c r="U48" s="189">
        <f>AVERAGE(RBmatchups[[#This Row],[TD1]:[TD3]])</f>
        <v>0.3175</v>
      </c>
      <c r="V48" s="189">
        <f>AVERAGE(RBmatchups[[#This Row],[Tar1]:[Tar3]])</f>
        <v>0.8</v>
      </c>
      <c r="W48" s="189">
        <f>AVERAGE(RBmatchups[[#This Row],[Rec1]:[Rec3]])</f>
        <v>1.3566666666666667</v>
      </c>
      <c r="X48" s="189">
        <f>AVERAGE(RBmatchups[[#This Row],[RecYards1]:[RecYards3]])</f>
        <v>9.3323333333333327</v>
      </c>
      <c r="Y48" s="189">
        <f>AVERAGE(RBmatchups[[#This Row],[RecTD1]:[RecTd3]])</f>
        <v>2.75E-2</v>
      </c>
      <c r="Z48" s="190">
        <f>SUM(RBmatchups[[#This Row],[Carries2]]+RBmatchups[[#This Row],[Rec4]])</f>
        <v>11.558333333333334</v>
      </c>
      <c r="AA48" s="189">
        <f>SUM(RBmatchups[[#This Row],[Yards]]+RBmatchups[[#This Row],[RecYards]])</f>
        <v>48.560666666666663</v>
      </c>
      <c r="AB48" s="189">
        <f>SUM(RBmatchups[[#This Row],[TD]]+RBmatchups[[#This Row],[RecTD5]])</f>
        <v>0.34500000000000003</v>
      </c>
      <c r="AC48" s="191">
        <f>_xlfn.RANK.EQ(RBmatchups[Projection],RBmatchups[Projection],0)</f>
        <v>38</v>
      </c>
      <c r="AD48" s="189">
        <f>SUM(RBmatchups[[#This Row],[Total Yards]]*0.1)+(RBmatchups[[#This Row],[Rec4]]*1)+(RBmatchups[[#This Row],[Total TD]]*6)+(RBmatchups[[#This Row],[100+]])</f>
        <v>8.2827333333333328</v>
      </c>
      <c r="AE48" s="191" t="e">
        <f>_xlfn.RANK.EQ(RBmatchups[[#This Row],[$/FP]],RBmatchups[$/FP],1)</f>
        <v>#VALUE!</v>
      </c>
      <c r="AF48" s="453">
        <f>SUM(RBmatchups[[#This Row],[Salary]]/RBmatchups[[#This Row],[Projection]])</f>
        <v>410.49251052390116</v>
      </c>
      <c r="AG48" s="448" t="e">
        <f>_xlfn.RANK.EQ(RBmatchups[[#This Row],[Average]],RBmatchups[Average],1)</f>
        <v>#VALUE!</v>
      </c>
      <c r="AH48" s="190" t="e">
        <f>AVERAGE(RBmatchups[[#This Row],[Proj Rank]],RBmatchups[[#This Row],[Value Rank]])</f>
        <v>#VALUE!</v>
      </c>
      <c r="AI48" s="214">
        <f>RBmatchups[[#This Row],[Salary]]/50000</f>
        <v>6.8000000000000005E-2</v>
      </c>
      <c r="AJ48" s="214"/>
      <c r="AK48" s="14">
        <f>IFERROR(INDEX(HBstats1[Rush Att],MATCH(RBmatchups[[#This Row],[Name]],HBstats1[Player],0)),"0")</f>
        <v>13.404999999999999</v>
      </c>
      <c r="AL48" s="14">
        <f>IFERROR(INDEX(HBstats2[Carries],MATCH(RBmatchups[[#This Row],[Name]],HBstats2[Player],0)),"0")</f>
        <v>9.1</v>
      </c>
      <c r="AM48" s="14">
        <f>IFERROR(INDEX(HBstats3[Carries],MATCH(RBmatchups[[#This Row],[Name]],HBstats3[Player],0)),"0")</f>
        <v>8.1</v>
      </c>
      <c r="AN48" s="14">
        <f>IFERROR(INDEX(HBallowed[Carries],MATCH(RBmatchups[[#This Row],[Opp]],HBallowed[Team],0)),"0")</f>
        <v>22.1875</v>
      </c>
      <c r="AO48" s="14">
        <f>IFERROR(INDEX(HBstats1[Rush Yds],MATCH(RBmatchups[[#This Row],[Name]],HBstats1[Player],0)),"0")</f>
        <v>45.085000000000001</v>
      </c>
      <c r="AP48" s="14">
        <f>IFERROR(INDEX(HBstats2[RushYards],MATCH(RBmatchups[[#This Row],[Name]],HBstats2[Player],0)),"0")</f>
        <v>35.1</v>
      </c>
      <c r="AQ48" s="14">
        <f>IFERROR(INDEX(HBstats3[RushYards],MATCH(RBmatchups[[#This Row],[Name]],HBstats3[Player],0)),"0")</f>
        <v>37.5</v>
      </c>
      <c r="AR48" s="32">
        <f>IFERROR(INDEX(HBallowed[Yards],MATCH(RBmatchups[[#This Row],[Opp]],HBallowed[Team],0)),"0")</f>
        <v>93.875</v>
      </c>
      <c r="AS48" s="14">
        <f>IFERROR(INDEX(HBstats1[Rush TD],MATCH(RBmatchups[[#This Row],[Name]],HBstats1[Player],0)),"0")</f>
        <v>0.435</v>
      </c>
      <c r="AT48" s="14" t="str">
        <f>IFERROR(INDEX(HBstats2[RushTD],MATCH(RBmatchups[[#This Row],[Name]],HBstats2[Player],0)),"0")</f>
        <v>0.1</v>
      </c>
      <c r="AU48" s="14">
        <f>IFERROR(INDEX(HBstats3[RushTD],MATCH(RBmatchups[[#This Row],[Name]],HBstats3[Player],0)),"0")</f>
        <v>0.2</v>
      </c>
      <c r="AV48" s="32">
        <f>IFERROR(INDEX(HBallowed[TD],MATCH(RBmatchups[[#This Row],[Opp]],HBallowed[Team],0)),"0")</f>
        <v>0.3125</v>
      </c>
      <c r="AW48" s="32">
        <f>IFERROR(INDEX(HBstats3[Targets],MATCH(RBmatchups[[#This Row],[Name]],HBstats3[Player],0)),"0")</f>
        <v>0.8</v>
      </c>
      <c r="AX48" s="32" t="str">
        <f>IFERROR(INDEX(HBstats2[Targets],MATCH(RBmatchups[[#This Row],[Name]],HBstats2[Player],0)),"0")</f>
        <v>0</v>
      </c>
      <c r="AY48" s="32">
        <f>IFERROR(INDEX(HBstats3[Targets],MATCH(RBmatchups[[#This Row],[Name]],HBstats3[Player],0)),"0")</f>
        <v>0.8</v>
      </c>
      <c r="AZ48" s="14">
        <f>IFERROR(INDEX(HBstats1[Rec],MATCH(RBmatchups[[#This Row],[Name]],HBstats1[Player],0)),"0")</f>
        <v>1.37</v>
      </c>
      <c r="BA48" s="14">
        <f>IFERROR(INDEX(HBstats2[Rec],MATCH(RBmatchups[[#This Row],[Name]],HBstats2[Player],0)),"0")</f>
        <v>2</v>
      </c>
      <c r="BB48" s="14">
        <f>IFERROR(INDEX(HBstats3[Rec],MATCH(RBmatchups[[#This Row],[Name]],HBstats3[Player],0)),"0")</f>
        <v>0.7</v>
      </c>
      <c r="BC48" s="32">
        <f>IFERROR(INDEX(HBallowed[Rec],MATCH(RBmatchups[[#This Row],[Opp]],HBallowed[Team],0)),"0")</f>
        <v>4.75</v>
      </c>
      <c r="BD48" s="14">
        <f>IFERROR(INDEX(HBstats1[Rec Yds],MATCH(RBmatchups[[#This Row],[Name]],HBstats1[Player],0)),"0")</f>
        <v>11.297000000000001</v>
      </c>
      <c r="BE48" s="14">
        <f>IFERROR(INDEX(HBstats2[RecYards],MATCH(RBmatchups[[#This Row],[Name]],HBstats2[Player],0)),"0")</f>
        <v>12</v>
      </c>
      <c r="BF48" s="14">
        <f>IFERROR(INDEX(HBstats3[RecYards],MATCH(RBmatchups[[#This Row],[Name]],HBstats3[Player],0)),"0")</f>
        <v>4.7</v>
      </c>
      <c r="BG48" s="32">
        <f>IFERROR(INDEX(HBallowed[RecYards],MATCH(RBmatchups[[#This Row],[Opp]],HBallowed[Team],0)),"0")</f>
        <v>42.5625</v>
      </c>
      <c r="BH48" s="14">
        <f>IFERROR(INDEX(HBstats1[Rec TD],MATCH(RBmatchups[[#This Row],[Name]],HBstats1[Player],0)),"0")</f>
        <v>5.5E-2</v>
      </c>
      <c r="BI48" s="14" t="str">
        <f>IFERROR(INDEX(HBstats2[RecTD],MATCH(RBmatchups[[#This Row],[Name]],HBstats2[Player],0)),"0")</f>
        <v>0</v>
      </c>
      <c r="BJ48" s="14">
        <f>IFERROR(INDEX(HBstats3[RecTD],MATCH(RBmatchups[[#This Row],[Name]],HBstats3[Player],0)),"0")</f>
        <v>0</v>
      </c>
      <c r="BK48" s="32">
        <f>IFERROR(INDEX(HBallowed[RecTD],MATCH(RBmatchups[[#This Row],[Opp]],HBallowed[Team],0)),"0")</f>
        <v>0.125</v>
      </c>
      <c r="BL48" s="268">
        <f>IF(RBmatchups[[#This Row],[Yards]]&gt;=100,3,0)</f>
        <v>0</v>
      </c>
    </row>
    <row r="49" spans="1:64" x14ac:dyDescent="0.3">
      <c r="A49" s="37">
        <f>HBstats1!AL36</f>
        <v>7.9</v>
      </c>
      <c r="B49" s="153" t="str">
        <f>HBstats1!D36</f>
        <v>Fozzy Whittaker</v>
      </c>
      <c r="C49" s="154">
        <f>IFERROR(INDEX(Salaries[DraftKings (Price)],MATCH(RBmatchups[[#This Row],[Name]],Salaries[Player],0)),"")</f>
        <v>3900</v>
      </c>
      <c r="D49" s="154">
        <f>IFERROR(INDEX(DK_Salary_Changes[WeekChange],MATCH(RBmatchups[[#This Row],[Name]],DK_Salary_Changes[Player],0)),"")</f>
        <v>100</v>
      </c>
      <c r="E49" s="154" t="str">
        <f>IFERROR(INDEX(Salaries[Team],MATCH(RBmatchups[[#This Row],[Name]],Salaries[Player],0)),"")</f>
        <v>CAR</v>
      </c>
      <c r="F49" s="189" t="str">
        <f>IFERROR(INDEX(Salaries[Opp],MATCH(RBmatchups[[#This Row],[Team]],Salaries[Team],0)),"")</f>
        <v>@ATL</v>
      </c>
      <c r="G49" s="410">
        <f>IFERROR(INDEX(RBYTD[Rush ATT],MATCH(RBmatchups[Name],RBYTD[Player],0)),"0")</f>
        <v>24</v>
      </c>
      <c r="H49" s="191">
        <f>IFERROR(INDEX(RBYTD[Rush Yds],MATCH(RBmatchups[Name],RBYTD[Player],0)),"0")</f>
        <v>135</v>
      </c>
      <c r="I49" s="191">
        <f>IFERROR(INDEX(RBYTD[Rush TD],MATCH(RBmatchups[Name],RBYTD[Player],0)),"0")</f>
        <v>0</v>
      </c>
      <c r="J49" s="191">
        <f>IFERROR(INDEX(RBYTD[Rec],MATCH(RBmatchups[Name],RBYTD[Player],0)),"0")</f>
        <v>9</v>
      </c>
      <c r="K49" s="191">
        <f>IFERROR(INDEX(targettracker54[TTL],MATCH(RBmatchups[Name],targettracker54[Name],0)),"0")</f>
        <v>11</v>
      </c>
      <c r="L49" s="191">
        <f>IFERROR(INDEX(RBYTD[Rec Yds],MATCH(RBmatchups[Name],RBYTD[Player],0)),"0")</f>
        <v>69</v>
      </c>
      <c r="M49" s="411">
        <f>IFERROR(INDEX(RBYTD[Rec TD],MATCH(RBmatchups[Name],RBYTD[Player],0)),"0")</f>
        <v>0</v>
      </c>
      <c r="N49" s="441">
        <f>IFERROR(INDEX(Salaries[O/U],MATCH(RBmatchups[[#This Row],[Team]],Salaries[Team],0)),"")</f>
        <v>50</v>
      </c>
      <c r="O49" s="189">
        <f>IFERROR(INDEX(Salaries[Team O/U],MATCH(RBmatchups[[#This Row],[Team]],Salaries[Team],0)),"")</f>
        <v>26.5</v>
      </c>
      <c r="P49" s="442">
        <f>IFERROR(INDEX(Salaries[Spread],MATCH(RBmatchups[[#This Row],[Team]],Salaries[Team],0)),"")</f>
        <v>-3</v>
      </c>
      <c r="Q49" s="424">
        <f>IFERROR(INDEX(HBallowed[DVP],MATCH(RBmatchups[[#This Row],[Opp]],HBallowed[Team],0)),IFERROR(INDEX(HBallowed[DVP],MATCH(RBmatchups[[#This Row],[Opp]],HBallowed[Opp],0)),""))</f>
        <v>28</v>
      </c>
      <c r="R49" s="441">
        <f>AVERAGE(RBmatchups[[#This Row],[Car1]:[Car3]])</f>
        <v>5.4383333333333335</v>
      </c>
      <c r="S49" s="190">
        <f>AVERAGE(RBmatchups[[#This Row],[Yards1]:[Yards3]])</f>
        <v>26.713666666666668</v>
      </c>
      <c r="T49" s="189">
        <f>SUM(RBmatchups[[#This Row],[Yards]]/RBmatchups[[#This Row],[Carries2]])</f>
        <v>4.9121054244560227</v>
      </c>
      <c r="U49" s="189">
        <f>AVERAGE(RBmatchups[[#This Row],[TD1]:[TD3]])</f>
        <v>0.13500000000000001</v>
      </c>
      <c r="V49" s="189">
        <f>AVERAGE(RBmatchups[[#This Row],[Tar1]:[Tar3]])</f>
        <v>1.4</v>
      </c>
      <c r="W49" s="189">
        <f>AVERAGE(RBmatchups[[#This Row],[Rec1]:[Rec3]])</f>
        <v>2.6203333333333334</v>
      </c>
      <c r="X49" s="189">
        <f>AVERAGE(RBmatchups[[#This Row],[RecYards1]:[RecYards3]])</f>
        <v>18.037666666666667</v>
      </c>
      <c r="Y49" s="189">
        <f>AVERAGE(RBmatchups[[#This Row],[RecTD1]:[RecTd3]])</f>
        <v>5.8000000000000003E-2</v>
      </c>
      <c r="Z49" s="190">
        <f>SUM(RBmatchups[[#This Row],[Carries2]]+RBmatchups[[#This Row],[Rec4]])</f>
        <v>8.0586666666666673</v>
      </c>
      <c r="AA49" s="189">
        <f>SUM(RBmatchups[[#This Row],[Yards]]+RBmatchups[[#This Row],[RecYards]])</f>
        <v>44.751333333333335</v>
      </c>
      <c r="AB49" s="189">
        <f>SUM(RBmatchups[[#This Row],[TD]]+RBmatchups[[#This Row],[RecTD5]])</f>
        <v>0.193</v>
      </c>
      <c r="AC49" s="191">
        <f>_xlfn.RANK.EQ(RBmatchups[Projection],RBmatchups[Projection],0)</f>
        <v>39</v>
      </c>
      <c r="AD49" s="189">
        <f>SUM(RBmatchups[[#This Row],[Total Yards]]*0.1)+(RBmatchups[[#This Row],[Rec4]]*1)+(RBmatchups[[#This Row],[Total TD]]*6)+(RBmatchups[[#This Row],[100+]])</f>
        <v>8.2534666666666663</v>
      </c>
      <c r="AE49" s="191" t="e">
        <f>_xlfn.RANK.EQ(RBmatchups[[#This Row],[$/FP]],RBmatchups[$/FP],1)</f>
        <v>#VALUE!</v>
      </c>
      <c r="AF49" s="453">
        <f>SUM(RBmatchups[[#This Row],[Salary]]/RBmatchups[[#This Row],[Projection]])</f>
        <v>472.52871520653952</v>
      </c>
      <c r="AG49" s="448" t="e">
        <f>_xlfn.RANK.EQ(RBmatchups[[#This Row],[Average]],RBmatchups[Average],1)</f>
        <v>#VALUE!</v>
      </c>
      <c r="AH49" s="190" t="e">
        <f>AVERAGE(RBmatchups[[#This Row],[Proj Rank]],RBmatchups[[#This Row],[Value Rank]])</f>
        <v>#VALUE!</v>
      </c>
      <c r="AI49" s="214">
        <f>RBmatchups[[#This Row],[Salary]]/50000</f>
        <v>7.8E-2</v>
      </c>
      <c r="AJ49" s="214"/>
      <c r="AK49" s="14">
        <f>IFERROR(INDEX(HBstats1[Rush Att],MATCH(RBmatchups[[#This Row],[Name]],HBstats1[Player],0)),"0")</f>
        <v>5.6150000000000002</v>
      </c>
      <c r="AL49" s="14">
        <f>IFERROR(INDEX(HBstats2[Carries],MATCH(RBmatchups[[#This Row],[Name]],HBstats2[Player],0)),"0")</f>
        <v>4</v>
      </c>
      <c r="AM49" s="14">
        <f>IFERROR(INDEX(HBstats3[Carries],MATCH(RBmatchups[[#This Row],[Name]],HBstats3[Player],0)),"0")</f>
        <v>6.7</v>
      </c>
      <c r="AN49" s="14" t="str">
        <f>IFERROR(INDEX(HBallowed[Carries],MATCH(RBmatchups[[#This Row],[Opp]],HBallowed[Team],0)),"0")</f>
        <v>0</v>
      </c>
      <c r="AO49" s="14">
        <f>IFERROR(INDEX(HBstats1[Rush Yds],MATCH(RBmatchups[[#This Row],[Name]],HBstats1[Player],0)),"0")</f>
        <v>28.741</v>
      </c>
      <c r="AP49" s="14">
        <f>IFERROR(INDEX(HBstats2[RushYards],MATCH(RBmatchups[[#This Row],[Name]],HBstats2[Player],0)),"0")</f>
        <v>20.100000000000001</v>
      </c>
      <c r="AQ49" s="14">
        <f>IFERROR(INDEX(HBstats3[RushYards],MATCH(RBmatchups[[#This Row],[Name]],HBstats3[Player],0)),"0")</f>
        <v>31.3</v>
      </c>
      <c r="AR49" s="32" t="str">
        <f>IFERROR(INDEX(HBallowed[Yards],MATCH(RBmatchups[[#This Row],[Opp]],HBallowed[Team],0)),"0")</f>
        <v>0</v>
      </c>
      <c r="AS49" s="14">
        <f>IFERROR(INDEX(HBstats1[Rush TD],MATCH(RBmatchups[[#This Row],[Name]],HBstats1[Player],0)),"0")</f>
        <v>7.0000000000000007E-2</v>
      </c>
      <c r="AT49" s="14" t="str">
        <f>IFERROR(INDEX(HBstats2[RushTD],MATCH(RBmatchups[[#This Row],[Name]],HBstats2[Player],0)),"0")</f>
        <v>0.2</v>
      </c>
      <c r="AU49" s="14">
        <f>IFERROR(INDEX(HBstats3[RushTD],MATCH(RBmatchups[[#This Row],[Name]],HBstats3[Player],0)),"0")</f>
        <v>0.2</v>
      </c>
      <c r="AV49" s="32" t="str">
        <f>IFERROR(INDEX(HBallowed[TD],MATCH(RBmatchups[[#This Row],[Opp]],HBallowed[Team],0)),"0")</f>
        <v>0</v>
      </c>
      <c r="AW49" s="32">
        <f>IFERROR(INDEX(HBstats3[Targets],MATCH(RBmatchups[[#This Row],[Name]],HBstats3[Player],0)),"0")</f>
        <v>1.4</v>
      </c>
      <c r="AX49" s="32" t="str">
        <f>IFERROR(INDEX(HBstats2[Targets],MATCH(RBmatchups[[#This Row],[Name]],HBstats2[Player],0)),"0")</f>
        <v>0</v>
      </c>
      <c r="AY49" s="32">
        <f>IFERROR(INDEX(HBstats3[Targets],MATCH(RBmatchups[[#This Row],[Name]],HBstats3[Player],0)),"0")</f>
        <v>1.4</v>
      </c>
      <c r="AZ49" s="14">
        <f>IFERROR(INDEX(HBstats1[Rec],MATCH(RBmatchups[[#This Row],[Name]],HBstats1[Player],0)),"0")</f>
        <v>3.3610000000000002</v>
      </c>
      <c r="BA49" s="14">
        <f>IFERROR(INDEX(HBstats2[Rec],MATCH(RBmatchups[[#This Row],[Name]],HBstats2[Player],0)),"0")</f>
        <v>3.3</v>
      </c>
      <c r="BB49" s="14">
        <f>IFERROR(INDEX(HBstats3[Rec],MATCH(RBmatchups[[#This Row],[Name]],HBstats3[Player],0)),"0")</f>
        <v>1.2</v>
      </c>
      <c r="BC49" s="32" t="str">
        <f>IFERROR(INDEX(HBallowed[Rec],MATCH(RBmatchups[[#This Row],[Opp]],HBallowed[Team],0)),"0")</f>
        <v>0</v>
      </c>
      <c r="BD49" s="14">
        <f>IFERROR(INDEX(HBstats1[Rec Yds],MATCH(RBmatchups[[#This Row],[Name]],HBstats1[Player],0)),"0")</f>
        <v>23.513000000000002</v>
      </c>
      <c r="BE49" s="14">
        <f>IFERROR(INDEX(HBstats2[RecYards],MATCH(RBmatchups[[#This Row],[Name]],HBstats2[Player],0)),"0")</f>
        <v>21.9</v>
      </c>
      <c r="BF49" s="14">
        <f>IFERROR(INDEX(HBstats3[RecYards],MATCH(RBmatchups[[#This Row],[Name]],HBstats3[Player],0)),"0")</f>
        <v>8.6999999999999993</v>
      </c>
      <c r="BG49" s="32" t="str">
        <f>IFERROR(INDEX(HBallowed[RecYards],MATCH(RBmatchups[[#This Row],[Opp]],HBallowed[Team],0)),"0")</f>
        <v>0</v>
      </c>
      <c r="BH49" s="14">
        <f>IFERROR(INDEX(HBstats1[Rec TD],MATCH(RBmatchups[[#This Row],[Name]],HBstats1[Player],0)),"0")</f>
        <v>0.11600000000000001</v>
      </c>
      <c r="BI49" s="14" t="str">
        <f>IFERROR(INDEX(HBstats2[RecTD],MATCH(RBmatchups[[#This Row],[Name]],HBstats2[Player],0)),"0")</f>
        <v>0.2</v>
      </c>
      <c r="BJ49" s="14">
        <f>IFERROR(INDEX(HBstats3[RecTD],MATCH(RBmatchups[[#This Row],[Name]],HBstats3[Player],0)),"0")</f>
        <v>0</v>
      </c>
      <c r="BK49" s="32" t="str">
        <f>IFERROR(INDEX(HBallowed[RecTD],MATCH(RBmatchups[[#This Row],[Opp]],HBallowed[Team],0)),"0")</f>
        <v>0</v>
      </c>
      <c r="BL49" s="268">
        <f>IF(RBmatchups[[#This Row],[Yards]]&gt;=100,3,0)</f>
        <v>0</v>
      </c>
    </row>
    <row r="50" spans="1:64" x14ac:dyDescent="0.3">
      <c r="A50" s="37">
        <f>HBstats1!AL43</f>
        <v>4.9000000000000004</v>
      </c>
      <c r="B50" s="153" t="str">
        <f>HBstats1!D43</f>
        <v>Orleans Darkwa</v>
      </c>
      <c r="C50" s="154">
        <f>IFERROR(INDEX(Salaries[DraftKings (Price)],MATCH(RBmatchups[[#This Row],[Name]],Salaries[Player],0)),"")</f>
        <v>3000</v>
      </c>
      <c r="D50" s="154">
        <f>IFERROR(INDEX(DK_Salary_Changes[WeekChange],MATCH(RBmatchups[[#This Row],[Name]],DK_Salary_Changes[Player],0)),"")</f>
        <v>0</v>
      </c>
      <c r="E50" s="154" t="str">
        <f>IFERROR(INDEX(Salaries[Team],MATCH(RBmatchups[[#This Row],[Name]],Salaries[Player],0)),"")</f>
        <v>NYG</v>
      </c>
      <c r="F50" s="189" t="str">
        <f>IFERROR(INDEX(Salaries[Opp],MATCH(RBmatchups[[#This Row],[Team]],Salaries[Team],0)),"")</f>
        <v>@MIN</v>
      </c>
      <c r="G50" s="410">
        <f>IFERROR(INDEX(RBYTD[Rush ATT],MATCH(RBmatchups[Name],RBYTD[Player],0)),"0")</f>
        <v>11</v>
      </c>
      <c r="H50" s="191">
        <f>IFERROR(INDEX(RBYTD[Rush Yds],MATCH(RBmatchups[Name],RBYTD[Player],0)),"0")</f>
        <v>52</v>
      </c>
      <c r="I50" s="191">
        <f>IFERROR(INDEX(RBYTD[Rush TD],MATCH(RBmatchups[Name],RBYTD[Player],0)),"0")</f>
        <v>1</v>
      </c>
      <c r="J50" s="191">
        <f>IFERROR(INDEX(RBYTD[Rec],MATCH(RBmatchups[Name],RBYTD[Player],0)),"0")</f>
        <v>2</v>
      </c>
      <c r="K50" s="191">
        <f>IFERROR(INDEX(targettracker54[TTL],MATCH(RBmatchups[Name],targettracker54[Name],0)),"0")</f>
        <v>2</v>
      </c>
      <c r="L50" s="191">
        <f>IFERROR(INDEX(RBYTD[Rec Yds],MATCH(RBmatchups[Name],RBYTD[Player],0)),"0")</f>
        <v>12</v>
      </c>
      <c r="M50" s="411">
        <f>IFERROR(INDEX(RBYTD[Rec TD],MATCH(RBmatchups[Name],RBYTD[Player],0)),"0")</f>
        <v>0</v>
      </c>
      <c r="N50" s="441">
        <f>IFERROR(INDEX(Salaries[O/U],MATCH(RBmatchups[[#This Row],[Team]],Salaries[Team],0)),"")</f>
        <v>43.5</v>
      </c>
      <c r="O50" s="189">
        <f>IFERROR(INDEX(Salaries[Team O/U],MATCH(RBmatchups[[#This Row],[Team]],Salaries[Team],0)),"")</f>
        <v>19.75</v>
      </c>
      <c r="P50" s="442">
        <f>IFERROR(INDEX(Salaries[Spread],MATCH(RBmatchups[[#This Row],[Team]],Salaries[Team],0)),"")</f>
        <v>4</v>
      </c>
      <c r="Q50" s="424">
        <f>IFERROR(INDEX(HBallowed[DVP],MATCH(RBmatchups[[#This Row],[Opp]],HBallowed[Team],0)),IFERROR(INDEX(HBallowed[DVP],MATCH(RBmatchups[[#This Row],[Opp]],HBallowed[Opp],0)),""))</f>
        <v>9</v>
      </c>
      <c r="R50" s="441">
        <f>AVERAGE(RBmatchups[[#This Row],[Car1]:[Car3]])</f>
        <v>7.3140000000000001</v>
      </c>
      <c r="S50" s="190">
        <f>AVERAGE(RBmatchups[[#This Row],[Yards1]:[Yards3]])</f>
        <v>33.864666666666665</v>
      </c>
      <c r="T50" s="189">
        <f>SUM(RBmatchups[[#This Row],[Yards]]/RBmatchups[[#This Row],[Carries2]])</f>
        <v>4.6301157597301978</v>
      </c>
      <c r="U50" s="189">
        <f>AVERAGE(RBmatchups[[#This Row],[TD1]:[TD3]])</f>
        <v>0.1825</v>
      </c>
      <c r="V50" s="189">
        <f>AVERAGE(RBmatchups[[#This Row],[Tar1]:[Tar3]])</f>
        <v>1.4</v>
      </c>
      <c r="W50" s="189">
        <f>AVERAGE(RBmatchups[[#This Row],[Rec1]:[Rec3]])</f>
        <v>1.6586666666666667</v>
      </c>
      <c r="X50" s="189">
        <f>AVERAGE(RBmatchups[[#This Row],[RecYards1]:[RecYards3]])</f>
        <v>13.367666666666665</v>
      </c>
      <c r="Y50" s="189">
        <f>AVERAGE(RBmatchups[[#This Row],[RecTD1]:[RecTd3]])</f>
        <v>8.0000000000000002E-3</v>
      </c>
      <c r="Z50" s="190">
        <f>SUM(RBmatchups[[#This Row],[Carries2]]+RBmatchups[[#This Row],[Rec4]])</f>
        <v>8.972666666666667</v>
      </c>
      <c r="AA50" s="189">
        <f>SUM(RBmatchups[[#This Row],[Yards]]+RBmatchups[[#This Row],[RecYards]])</f>
        <v>47.23233333333333</v>
      </c>
      <c r="AB50" s="189">
        <f>SUM(RBmatchups[[#This Row],[TD]]+RBmatchups[[#This Row],[RecTD5]])</f>
        <v>0.1905</v>
      </c>
      <c r="AC50" s="191">
        <f>_xlfn.RANK.EQ(RBmatchups[Projection],RBmatchups[Projection],0)</f>
        <v>40</v>
      </c>
      <c r="AD50" s="189">
        <f>SUM(RBmatchups[[#This Row],[Total Yards]]*0.1)+(RBmatchups[[#This Row],[Rec4]]*1)+(RBmatchups[[#This Row],[Total TD]]*6)+(RBmatchups[[#This Row],[100+]])</f>
        <v>7.5248999999999997</v>
      </c>
      <c r="AE50" s="191" t="e">
        <f>_xlfn.RANK.EQ(RBmatchups[[#This Row],[$/FP]],RBmatchups[$/FP],1)</f>
        <v>#VALUE!</v>
      </c>
      <c r="AF50" s="453">
        <f>SUM(RBmatchups[[#This Row],[Salary]]/RBmatchups[[#This Row],[Projection]])</f>
        <v>398.67639437068931</v>
      </c>
      <c r="AG50" s="448" t="e">
        <f>_xlfn.RANK.EQ(RBmatchups[[#This Row],[Average]],RBmatchups[Average],1)</f>
        <v>#VALUE!</v>
      </c>
      <c r="AH50" s="190" t="e">
        <f>AVERAGE(RBmatchups[[#This Row],[Proj Rank]],RBmatchups[[#This Row],[Value Rank]])</f>
        <v>#VALUE!</v>
      </c>
      <c r="AI50" s="214">
        <f>RBmatchups[[#This Row],[Salary]]/50000</f>
        <v>0.06</v>
      </c>
      <c r="AJ50" s="214"/>
      <c r="AK50" s="14">
        <f>IFERROR(INDEX(HBstats1[Rush Att],MATCH(RBmatchups[[#This Row],[Name]],HBstats1[Player],0)),"0")</f>
        <v>8.1419999999999995</v>
      </c>
      <c r="AL50" s="14">
        <f>IFERROR(INDEX(HBstats2[Carries],MATCH(RBmatchups[[#This Row],[Name]],HBstats2[Player],0)),"0")</f>
        <v>8</v>
      </c>
      <c r="AM50" s="14">
        <f>IFERROR(INDEX(HBstats3[Carries],MATCH(RBmatchups[[#This Row],[Name]],HBstats3[Player],0)),"0")</f>
        <v>5.8</v>
      </c>
      <c r="AN50" s="14" t="str">
        <f>IFERROR(INDEX(HBallowed[Carries],MATCH(RBmatchups[[#This Row],[Opp]],HBallowed[Team],0)),"0")</f>
        <v>0</v>
      </c>
      <c r="AO50" s="14">
        <f>IFERROR(INDEX(HBstats1[Rush Yds],MATCH(RBmatchups[[#This Row],[Name]],HBstats1[Player],0)),"0")</f>
        <v>33.293999999999997</v>
      </c>
      <c r="AP50" s="14">
        <f>IFERROR(INDEX(HBstats2[RushYards],MATCH(RBmatchups[[#This Row],[Name]],HBstats2[Player],0)),"0")</f>
        <v>40.700000000000003</v>
      </c>
      <c r="AQ50" s="14">
        <f>IFERROR(INDEX(HBstats3[RushYards],MATCH(RBmatchups[[#This Row],[Name]],HBstats3[Player],0)),"0")</f>
        <v>27.6</v>
      </c>
      <c r="AR50" s="32" t="str">
        <f>IFERROR(INDEX(HBallowed[Yards],MATCH(RBmatchups[[#This Row],[Opp]],HBallowed[Team],0)),"0")</f>
        <v>0</v>
      </c>
      <c r="AS50" s="14">
        <f>IFERROR(INDEX(HBstats1[Rush TD],MATCH(RBmatchups[[#This Row],[Name]],HBstats1[Player],0)),"0")</f>
        <v>0.16500000000000001</v>
      </c>
      <c r="AT50" s="14" t="str">
        <f>IFERROR(INDEX(HBstats2[RushTD],MATCH(RBmatchups[[#This Row],[Name]],HBstats2[Player],0)),"0")</f>
        <v>0.1</v>
      </c>
      <c r="AU50" s="14">
        <f>IFERROR(INDEX(HBstats3[RushTD],MATCH(RBmatchups[[#This Row],[Name]],HBstats3[Player],0)),"0")</f>
        <v>0.2</v>
      </c>
      <c r="AV50" s="32" t="str">
        <f>IFERROR(INDEX(HBallowed[TD],MATCH(RBmatchups[[#This Row],[Opp]],HBallowed[Team],0)),"0")</f>
        <v>0</v>
      </c>
      <c r="AW50" s="32">
        <f>IFERROR(INDEX(HBstats3[Targets],MATCH(RBmatchups[[#This Row],[Name]],HBstats3[Player],0)),"0")</f>
        <v>1.4</v>
      </c>
      <c r="AX50" s="32" t="str">
        <f>IFERROR(INDEX(HBstats2[Targets],MATCH(RBmatchups[[#This Row],[Name]],HBstats2[Player],0)),"0")</f>
        <v>0</v>
      </c>
      <c r="AY50" s="32">
        <f>IFERROR(INDEX(HBstats3[Targets],MATCH(RBmatchups[[#This Row],[Name]],HBstats3[Player],0)),"0")</f>
        <v>1.4</v>
      </c>
      <c r="AZ50" s="14">
        <f>IFERROR(INDEX(HBstats1[Rec],MATCH(RBmatchups[[#This Row],[Name]],HBstats1[Player],0)),"0")</f>
        <v>0.57599999999999996</v>
      </c>
      <c r="BA50" s="14">
        <f>IFERROR(INDEX(HBstats2[Rec],MATCH(RBmatchups[[#This Row],[Name]],HBstats2[Player],0)),"0")</f>
        <v>3</v>
      </c>
      <c r="BB50" s="14">
        <f>IFERROR(INDEX(HBstats3[Rec],MATCH(RBmatchups[[#This Row],[Name]],HBstats3[Player],0)),"0")</f>
        <v>1.4</v>
      </c>
      <c r="BC50" s="32" t="str">
        <f>IFERROR(INDEX(HBallowed[Rec],MATCH(RBmatchups[[#This Row],[Opp]],HBallowed[Team],0)),"0")</f>
        <v>0</v>
      </c>
      <c r="BD50" s="14">
        <f>IFERROR(INDEX(HBstats1[Rec Yds],MATCH(RBmatchups[[#This Row],[Name]],HBstats1[Player],0)),"0")</f>
        <v>3.903</v>
      </c>
      <c r="BE50" s="14">
        <f>IFERROR(INDEX(HBstats2[RecYards],MATCH(RBmatchups[[#This Row],[Name]],HBstats2[Player],0)),"0")</f>
        <v>26</v>
      </c>
      <c r="BF50" s="14">
        <f>IFERROR(INDEX(HBstats3[RecYards],MATCH(RBmatchups[[#This Row],[Name]],HBstats3[Player],0)),"0")</f>
        <v>10.199999999999999</v>
      </c>
      <c r="BG50" s="32" t="str">
        <f>IFERROR(INDEX(HBallowed[RecYards],MATCH(RBmatchups[[#This Row],[Opp]],HBallowed[Team],0)),"0")</f>
        <v>0</v>
      </c>
      <c r="BH50" s="14">
        <f>IFERROR(INDEX(HBstats1[Rec TD],MATCH(RBmatchups[[#This Row],[Name]],HBstats1[Player],0)),"0")</f>
        <v>1.6E-2</v>
      </c>
      <c r="BI50" s="14" t="str">
        <f>IFERROR(INDEX(HBstats2[RecTD],MATCH(RBmatchups[[#This Row],[Name]],HBstats2[Player],0)),"0")</f>
        <v>0.1</v>
      </c>
      <c r="BJ50" s="14">
        <f>IFERROR(INDEX(HBstats3[RecTD],MATCH(RBmatchups[[#This Row],[Name]],HBstats3[Player],0)),"0")</f>
        <v>0</v>
      </c>
      <c r="BK50" s="32" t="str">
        <f>IFERROR(INDEX(HBallowed[RecTD],MATCH(RBmatchups[[#This Row],[Opp]],HBallowed[Team],0)),"0")</f>
        <v>0</v>
      </c>
      <c r="BL50" s="268">
        <f>IF(RBmatchups[[#This Row],[Yards]]&gt;=100,3,0)</f>
        <v>0</v>
      </c>
    </row>
    <row r="51" spans="1:64" x14ac:dyDescent="0.3">
      <c r="A51" s="37">
        <f>HBstats1!AL40</f>
        <v>6.4</v>
      </c>
      <c r="B51" s="153" t="str">
        <f>HBstats1!D40</f>
        <v>Chris Thompson</v>
      </c>
      <c r="C51" s="154">
        <f>IFERROR(INDEX(Salaries[DraftKings (Price)],MATCH(RBmatchups[[#This Row],[Name]],Salaries[Player],0)),"")</f>
        <v>3400</v>
      </c>
      <c r="D51" s="154">
        <f>IFERROR(INDEX(DK_Salary_Changes[WeekChange],MATCH(RBmatchups[[#This Row],[Name]],DK_Salary_Changes[Player],0)),"")</f>
        <v>0</v>
      </c>
      <c r="E51" s="154" t="str">
        <f>IFERROR(INDEX(Salaries[Team],MATCH(RBmatchups[[#This Row],[Name]],Salaries[Player],0)),"")</f>
        <v>WAS</v>
      </c>
      <c r="F51" s="189" t="str">
        <f>IFERROR(INDEX(Salaries[Opp],MATCH(RBmatchups[[#This Row],[Team]],Salaries[Team],0)),"")</f>
        <v>CLE</v>
      </c>
      <c r="G51" s="410">
        <f>IFERROR(INDEX(RBYTD[Rush ATT],MATCH(RBmatchups[Name],RBYTD[Player],0)),"0")</f>
        <v>12</v>
      </c>
      <c r="H51" s="191">
        <f>IFERROR(INDEX(RBYTD[Rush Yds],MATCH(RBmatchups[Name],RBYTD[Player],0)),"0")</f>
        <v>47</v>
      </c>
      <c r="I51" s="191">
        <f>IFERROR(INDEX(RBYTD[Rush TD],MATCH(RBmatchups[Name],RBYTD[Player],0)),"0")</f>
        <v>1</v>
      </c>
      <c r="J51" s="191">
        <f>IFERROR(INDEX(RBYTD[Rec],MATCH(RBmatchups[Name],RBYTD[Player],0)),"0")</f>
        <v>6</v>
      </c>
      <c r="K51" s="191">
        <f>IFERROR(INDEX(targettracker54[TTL],MATCH(RBmatchups[Name],targettracker54[Name],0)),"0")</f>
        <v>8</v>
      </c>
      <c r="L51" s="191">
        <f>IFERROR(INDEX(RBYTD[Rec Yds],MATCH(RBmatchups[Name],RBYTD[Player],0)),"0")</f>
        <v>66</v>
      </c>
      <c r="M51" s="411">
        <f>IFERROR(INDEX(RBYTD[Rec TD],MATCH(RBmatchups[Name],RBYTD[Player],0)),"0")</f>
        <v>0</v>
      </c>
      <c r="N51" s="441">
        <f>IFERROR(INDEX(Salaries[O/U],MATCH(RBmatchups[[#This Row],[Team]],Salaries[Team],0)),"")</f>
        <v>45.5</v>
      </c>
      <c r="O51" s="189">
        <f>IFERROR(INDEX(Salaries[Team O/U],MATCH(RBmatchups[[#This Row],[Team]],Salaries[Team],0)),"")</f>
        <v>26.75</v>
      </c>
      <c r="P51" s="442">
        <f>IFERROR(INDEX(Salaries[Spread],MATCH(RBmatchups[[#This Row],[Team]],Salaries[Team],0)),"")</f>
        <v>-8</v>
      </c>
      <c r="Q51" s="424">
        <f>IFERROR(INDEX(HBallowed[DVP],MATCH(RBmatchups[[#This Row],[Opp]],HBallowed[Team],0)),IFERROR(INDEX(HBallowed[DVP],MATCH(RBmatchups[[#This Row],[Opp]],HBallowed[Opp],0)),""))</f>
        <v>19</v>
      </c>
      <c r="R51" s="441">
        <f>AVERAGE(RBmatchups[[#This Row],[Car1]:[Car3]])</f>
        <v>3.9586666666666672</v>
      </c>
      <c r="S51" s="190">
        <f>AVERAGE(RBmatchups[[#This Row],[Yards1]:[Yards3]])</f>
        <v>21.579666666666668</v>
      </c>
      <c r="T51" s="189">
        <f>SUM(RBmatchups[[#This Row],[Yards]]/RBmatchups[[#This Row],[Carries2]])</f>
        <v>5.4512462108454018</v>
      </c>
      <c r="U51" s="189">
        <f>AVERAGE(RBmatchups[[#This Row],[TD1]:[TD3]])</f>
        <v>0.14350000000000002</v>
      </c>
      <c r="V51" s="189">
        <f>AVERAGE(RBmatchups[[#This Row],[Tar1]:[Tar3]])</f>
        <v>2.8</v>
      </c>
      <c r="W51" s="189">
        <f>AVERAGE(RBmatchups[[#This Row],[Rec1]:[Rec3]])</f>
        <v>2.1030000000000002</v>
      </c>
      <c r="X51" s="189">
        <f>AVERAGE(RBmatchups[[#This Row],[RecYards1]:[RecYards3]])</f>
        <v>17.230999999999998</v>
      </c>
      <c r="Y51" s="189">
        <f>AVERAGE(RBmatchups[[#This Row],[RecTD1]:[RecTd3]])</f>
        <v>9.8500000000000004E-2</v>
      </c>
      <c r="Z51" s="190">
        <f>SUM(RBmatchups[[#This Row],[Carries2]]+RBmatchups[[#This Row],[Rec4]])</f>
        <v>6.0616666666666674</v>
      </c>
      <c r="AA51" s="189">
        <f>SUM(RBmatchups[[#This Row],[Yards]]+RBmatchups[[#This Row],[RecYards]])</f>
        <v>38.810666666666663</v>
      </c>
      <c r="AB51" s="189">
        <f>SUM(RBmatchups[[#This Row],[TD]]+RBmatchups[[#This Row],[RecTD5]])</f>
        <v>0.24200000000000002</v>
      </c>
      <c r="AC51" s="191">
        <f>_xlfn.RANK.EQ(RBmatchups[Projection],RBmatchups[Projection],0)</f>
        <v>41</v>
      </c>
      <c r="AD51" s="189">
        <f>SUM(RBmatchups[[#This Row],[Total Yards]]*0.1)+(RBmatchups[[#This Row],[Rec4]]*1)+(RBmatchups[[#This Row],[Total TD]]*6)+(RBmatchups[[#This Row],[100+]])</f>
        <v>7.436066666666667</v>
      </c>
      <c r="AE51" s="191" t="e">
        <f>_xlfn.RANK.EQ(RBmatchups[[#This Row],[$/FP]],RBmatchups[$/FP],1)</f>
        <v>#VALUE!</v>
      </c>
      <c r="AF51" s="453">
        <f>SUM(RBmatchups[[#This Row],[Salary]]/RBmatchups[[#This Row],[Projection]])</f>
        <v>457.23097336405448</v>
      </c>
      <c r="AG51" s="448" t="e">
        <f>_xlfn.RANK.EQ(RBmatchups[[#This Row],[Average]],RBmatchups[Average],1)</f>
        <v>#VALUE!</v>
      </c>
      <c r="AH51" s="190" t="e">
        <f>AVERAGE(RBmatchups[[#This Row],[Proj Rank]],RBmatchups[[#This Row],[Value Rank]])</f>
        <v>#VALUE!</v>
      </c>
      <c r="AI51" s="214">
        <f>RBmatchups[[#This Row],[Salary]]/50000</f>
        <v>6.8000000000000005E-2</v>
      </c>
      <c r="AJ51" s="214"/>
      <c r="AK51" s="14">
        <f>IFERROR(INDEX(HBstats1[Rush Att],MATCH(RBmatchups[[#This Row],[Name]],HBstats1[Player],0)),"0")</f>
        <v>2.976</v>
      </c>
      <c r="AL51" s="14">
        <f>IFERROR(INDEX(HBstats2[Carries],MATCH(RBmatchups[[#This Row],[Name]],HBstats2[Player],0)),"0")</f>
        <v>3.7</v>
      </c>
      <c r="AM51" s="14">
        <f>IFERROR(INDEX(HBstats3[Carries],MATCH(RBmatchups[[#This Row],[Name]],HBstats3[Player],0)),"0")</f>
        <v>5.2</v>
      </c>
      <c r="AN51" s="14">
        <f>IFERROR(INDEX(HBallowed[Carries],MATCH(RBmatchups[[#This Row],[Opp]],HBallowed[Team],0)),"0")</f>
        <v>24.4375</v>
      </c>
      <c r="AO51" s="14">
        <f>IFERROR(INDEX(HBstats1[Rush Yds],MATCH(RBmatchups[[#This Row],[Name]],HBstats1[Player],0)),"0")</f>
        <v>17.838999999999999</v>
      </c>
      <c r="AP51" s="14">
        <f>IFERROR(INDEX(HBstats2[RushYards],MATCH(RBmatchups[[#This Row],[Name]],HBstats2[Player],0)),"0")</f>
        <v>16.2</v>
      </c>
      <c r="AQ51" s="14">
        <f>IFERROR(INDEX(HBstats3[RushYards],MATCH(RBmatchups[[#This Row],[Name]],HBstats3[Player],0)),"0")</f>
        <v>30.7</v>
      </c>
      <c r="AR51" s="32">
        <f>IFERROR(INDEX(HBallowed[Yards],MATCH(RBmatchups[[#This Row],[Opp]],HBallowed[Team],0)),"0")</f>
        <v>105.25</v>
      </c>
      <c r="AS51" s="14">
        <f>IFERROR(INDEX(HBstats1[Rush TD],MATCH(RBmatchups[[#This Row],[Name]],HBstats1[Player],0)),"0")</f>
        <v>0.187</v>
      </c>
      <c r="AT51" s="14" t="str">
        <f>IFERROR(INDEX(HBstats2[RushTD],MATCH(RBmatchups[[#This Row],[Name]],HBstats2[Player],0)),"0")</f>
        <v>0.2</v>
      </c>
      <c r="AU51" s="14">
        <f>IFERROR(INDEX(HBstats3[RushTD],MATCH(RBmatchups[[#This Row],[Name]],HBstats3[Player],0)),"0")</f>
        <v>0.1</v>
      </c>
      <c r="AV51" s="32">
        <f>IFERROR(INDEX(HBallowed[TD],MATCH(RBmatchups[[#This Row],[Opp]],HBallowed[Team],0)),"0")</f>
        <v>0.8125</v>
      </c>
      <c r="AW51" s="32">
        <f>IFERROR(INDEX(HBstats3[Targets],MATCH(RBmatchups[[#This Row],[Name]],HBstats3[Player],0)),"0")</f>
        <v>2.8</v>
      </c>
      <c r="AX51" s="32" t="str">
        <f>IFERROR(INDEX(HBstats2[Targets],MATCH(RBmatchups[[#This Row],[Name]],HBstats2[Player],0)),"0")</f>
        <v>0</v>
      </c>
      <c r="AY51" s="32">
        <f>IFERROR(INDEX(HBstats3[Targets],MATCH(RBmatchups[[#This Row],[Name]],HBstats3[Player],0)),"0")</f>
        <v>2.8</v>
      </c>
      <c r="AZ51" s="14">
        <f>IFERROR(INDEX(HBstats1[Rec],MATCH(RBmatchups[[#This Row],[Name]],HBstats1[Player],0)),"0")</f>
        <v>2.3090000000000002</v>
      </c>
      <c r="BA51" s="14">
        <f>IFERROR(INDEX(HBstats2[Rec],MATCH(RBmatchups[[#This Row],[Name]],HBstats2[Player],0)),"0")</f>
        <v>1.8</v>
      </c>
      <c r="BB51" s="14">
        <f>IFERROR(INDEX(HBstats3[Rec],MATCH(RBmatchups[[#This Row],[Name]],HBstats3[Player],0)),"0")</f>
        <v>2.2000000000000002</v>
      </c>
      <c r="BC51" s="32">
        <f>IFERROR(INDEX(HBallowed[Rec],MATCH(RBmatchups[[#This Row],[Opp]],HBallowed[Team],0)),"0")</f>
        <v>5.75</v>
      </c>
      <c r="BD51" s="14">
        <f>IFERROR(INDEX(HBstats1[Rec Yds],MATCH(RBmatchups[[#This Row],[Name]],HBstats1[Player],0)),"0")</f>
        <v>18.792999999999999</v>
      </c>
      <c r="BE51" s="14">
        <f>IFERROR(INDEX(HBstats2[RecYards],MATCH(RBmatchups[[#This Row],[Name]],HBstats2[Player],0)),"0")</f>
        <v>13.7</v>
      </c>
      <c r="BF51" s="14">
        <f>IFERROR(INDEX(HBstats3[RecYards],MATCH(RBmatchups[[#This Row],[Name]],HBstats3[Player],0)),"0")</f>
        <v>19.2</v>
      </c>
      <c r="BG51" s="32">
        <f>IFERROR(INDEX(HBallowed[RecYards],MATCH(RBmatchups[[#This Row],[Opp]],HBallowed[Team],0)),"0")</f>
        <v>50.4375</v>
      </c>
      <c r="BH51" s="14">
        <f>IFERROR(INDEX(HBstats1[Rec TD],MATCH(RBmatchups[[#This Row],[Name]],HBstats1[Player],0)),"0")</f>
        <v>9.7000000000000003E-2</v>
      </c>
      <c r="BI51" s="14" t="str">
        <f>IFERROR(INDEX(HBstats2[RecTD],MATCH(RBmatchups[[#This Row],[Name]],HBstats2[Player],0)),"0")</f>
        <v>0.1</v>
      </c>
      <c r="BJ51" s="14">
        <f>IFERROR(INDEX(HBstats3[RecTD],MATCH(RBmatchups[[#This Row],[Name]],HBstats3[Player],0)),"0")</f>
        <v>0.1</v>
      </c>
      <c r="BK51" s="32">
        <f>IFERROR(INDEX(HBallowed[RecTD],MATCH(RBmatchups[[#This Row],[Opp]],HBallowed[Team],0)),"0")</f>
        <v>0.1875</v>
      </c>
      <c r="BL51" s="268">
        <f>IF(RBmatchups[[#This Row],[Yards]]&gt;=100,3,0)</f>
        <v>0</v>
      </c>
    </row>
    <row r="52" spans="1:64" x14ac:dyDescent="0.3">
      <c r="A52" s="37">
        <f>HBstats1!AL42</f>
        <v>5.5</v>
      </c>
      <c r="B52" s="153" t="str">
        <f>HBstats1!D42</f>
        <v>Jay Ajayi</v>
      </c>
      <c r="C52" s="154">
        <f>IFERROR(INDEX(Salaries[DraftKings (Price)],MATCH(RBmatchups[[#This Row],[Name]],Salaries[Player],0)),"")</f>
        <v>4000</v>
      </c>
      <c r="D52" s="154">
        <f>IFERROR(INDEX(DK_Salary_Changes[WeekChange],MATCH(RBmatchups[[#This Row],[Name]],DK_Salary_Changes[Player],0)),"")</f>
        <v>0</v>
      </c>
      <c r="E52" s="154" t="str">
        <f>IFERROR(INDEX(Salaries[Team],MATCH(RBmatchups[[#This Row],[Name]],Salaries[Player],0)),"")</f>
        <v>MIA</v>
      </c>
      <c r="F52" s="189" t="str">
        <f>IFERROR(INDEX(Salaries[Opp],MATCH(RBmatchups[[#This Row],[Team]],Salaries[Team],0)),"")</f>
        <v>@CIN</v>
      </c>
      <c r="G52" s="410">
        <f>IFERROR(INDEX(RBYTD[Rush ATT],MATCH(RBmatchups[Name],RBYTD[Player],0)),"0")</f>
        <v>12</v>
      </c>
      <c r="H52" s="191">
        <f>IFERROR(INDEX(RBYTD[Rush Yds],MATCH(RBmatchups[Name],RBYTD[Player],0)),"0")</f>
        <v>42</v>
      </c>
      <c r="I52" s="191">
        <f>IFERROR(INDEX(RBYTD[Rush TD],MATCH(RBmatchups[Name],RBYTD[Player],0)),"0")</f>
        <v>1</v>
      </c>
      <c r="J52" s="191">
        <f>IFERROR(INDEX(RBYTD[Rec],MATCH(RBmatchups[Name],RBYTD[Player],0)),"0")</f>
        <v>4</v>
      </c>
      <c r="K52" s="191">
        <f>IFERROR(INDEX(targettracker54[TTL],MATCH(RBmatchups[Name],targettracker54[Name],0)),"0")</f>
        <v>4</v>
      </c>
      <c r="L52" s="191">
        <f>IFERROR(INDEX(RBYTD[Rec Yds],MATCH(RBmatchups[Name],RBYTD[Player],0)),"0")</f>
        <v>31</v>
      </c>
      <c r="M52" s="411">
        <f>IFERROR(INDEX(RBYTD[Rec TD],MATCH(RBmatchups[Name],RBYTD[Player],0)),"0")</f>
        <v>0</v>
      </c>
      <c r="N52" s="441">
        <f>IFERROR(INDEX(Salaries[O/U],MATCH(RBmatchups[[#This Row],[Team]],Salaries[Team],0)),"")</f>
        <v>44.5</v>
      </c>
      <c r="O52" s="189">
        <f>IFERROR(INDEX(Salaries[Team O/U],MATCH(RBmatchups[[#This Row],[Team]],Salaries[Team],0)),"")</f>
        <v>18.75</v>
      </c>
      <c r="P52" s="442">
        <f>IFERROR(INDEX(Salaries[Spread],MATCH(RBmatchups[[#This Row],[Team]],Salaries[Team],0)),"")</f>
        <v>7</v>
      </c>
      <c r="Q52" s="424">
        <f>IFERROR(INDEX(HBallowed[DVP],MATCH(RBmatchups[[#This Row],[Opp]],HBallowed[Team],0)),IFERROR(INDEX(HBallowed[DVP],MATCH(RBmatchups[[#This Row],[Opp]],HBallowed[Opp],0)),""))</f>
        <v>12</v>
      </c>
      <c r="R52" s="441">
        <f>AVERAGE(RBmatchups[[#This Row],[Car1]:[Car3]])</f>
        <v>5.9083333333333341</v>
      </c>
      <c r="S52" s="190">
        <f>AVERAGE(RBmatchups[[#This Row],[Yards1]:[Yards3]])</f>
        <v>23.959999999999997</v>
      </c>
      <c r="T52" s="189">
        <f>SUM(RBmatchups[[#This Row],[Yards]]/RBmatchups[[#This Row],[Carries2]])</f>
        <v>4.0552891396332855</v>
      </c>
      <c r="U52" s="189">
        <f>AVERAGE(RBmatchups[[#This Row],[TD1]:[TD3]])</f>
        <v>0.20450000000000002</v>
      </c>
      <c r="V52" s="189">
        <f>AVERAGE(RBmatchups[[#This Row],[Tar1]:[Tar3]])</f>
        <v>3</v>
      </c>
      <c r="W52" s="189">
        <f>AVERAGE(RBmatchups[[#This Row],[Rec1]:[Rec3]])</f>
        <v>1.6353333333333335</v>
      </c>
      <c r="X52" s="189">
        <f>AVERAGE(RBmatchups[[#This Row],[RecYards1]:[RecYards3]])</f>
        <v>13.908333333333333</v>
      </c>
      <c r="Y52" s="189">
        <f>AVERAGE(RBmatchups[[#This Row],[RecTD1]:[RecTd3]])</f>
        <v>7.2000000000000008E-2</v>
      </c>
      <c r="Z52" s="190">
        <f>SUM(RBmatchups[[#This Row],[Carries2]]+RBmatchups[[#This Row],[Rec4]])</f>
        <v>7.5436666666666676</v>
      </c>
      <c r="AA52" s="189">
        <f>SUM(RBmatchups[[#This Row],[Yards]]+RBmatchups[[#This Row],[RecYards]])</f>
        <v>37.868333333333332</v>
      </c>
      <c r="AB52" s="189">
        <f>SUM(RBmatchups[[#This Row],[TD]]+RBmatchups[[#This Row],[RecTD5]])</f>
        <v>0.27650000000000002</v>
      </c>
      <c r="AC52" s="191">
        <f>_xlfn.RANK.EQ(RBmatchups[Projection],RBmatchups[Projection],0)</f>
        <v>42</v>
      </c>
      <c r="AD52" s="189">
        <f>SUM(RBmatchups[[#This Row],[Total Yards]]*0.1)+(RBmatchups[[#This Row],[Rec4]]*1)+(RBmatchups[[#This Row],[Total TD]]*6)+(RBmatchups[[#This Row],[100+]])</f>
        <v>7.0811666666666682</v>
      </c>
      <c r="AE52" s="191" t="e">
        <f>_xlfn.RANK.EQ(RBmatchups[[#This Row],[$/FP]],RBmatchups[$/FP],1)</f>
        <v>#VALUE!</v>
      </c>
      <c r="AF52" s="453">
        <f>SUM(RBmatchups[[#This Row],[Salary]]/RBmatchups[[#This Row],[Projection]])</f>
        <v>564.87866876927046</v>
      </c>
      <c r="AG52" s="448" t="e">
        <f>_xlfn.RANK.EQ(RBmatchups[[#This Row],[Average]],RBmatchups[Average],1)</f>
        <v>#VALUE!</v>
      </c>
      <c r="AH52" s="190" t="e">
        <f>AVERAGE(RBmatchups[[#This Row],[Proj Rank]],RBmatchups[[#This Row],[Value Rank]])</f>
        <v>#VALUE!</v>
      </c>
      <c r="AI52" s="214">
        <f>RBmatchups[[#This Row],[Salary]]/50000</f>
        <v>0.08</v>
      </c>
      <c r="AJ52" s="214"/>
      <c r="AK52" s="14">
        <f>IFERROR(INDEX(HBstats1[Rush Att],MATCH(RBmatchups[[#This Row],[Name]],HBstats1[Player],0)),"0")</f>
        <v>6.3250000000000002</v>
      </c>
      <c r="AL52" s="14">
        <f>IFERROR(INDEX(HBstats2[Carries],MATCH(RBmatchups[[#This Row],[Name]],HBstats2[Player],0)),"0")</f>
        <v>5.6</v>
      </c>
      <c r="AM52" s="14">
        <f>IFERROR(INDEX(HBstats3[Carries],MATCH(RBmatchups[[#This Row],[Name]],HBstats3[Player],0)),"0")</f>
        <v>5.8</v>
      </c>
      <c r="AN52" s="14" t="str">
        <f>IFERROR(INDEX(HBallowed[Carries],MATCH(RBmatchups[[#This Row],[Opp]],HBallowed[Team],0)),"0")</f>
        <v>0</v>
      </c>
      <c r="AO52" s="14">
        <f>IFERROR(INDEX(HBstats1[Rush Yds],MATCH(RBmatchups[[#This Row],[Name]],HBstats1[Player],0)),"0")</f>
        <v>23.58</v>
      </c>
      <c r="AP52" s="14">
        <f>IFERROR(INDEX(HBstats2[RushYards],MATCH(RBmatchups[[#This Row],[Name]],HBstats2[Player],0)),"0")</f>
        <v>21.9</v>
      </c>
      <c r="AQ52" s="14">
        <f>IFERROR(INDEX(HBstats3[RushYards],MATCH(RBmatchups[[#This Row],[Name]],HBstats3[Player],0)),"0")</f>
        <v>26.4</v>
      </c>
      <c r="AR52" s="32" t="str">
        <f>IFERROR(INDEX(HBallowed[Yards],MATCH(RBmatchups[[#This Row],[Opp]],HBallowed[Team],0)),"0")</f>
        <v>0</v>
      </c>
      <c r="AS52" s="14">
        <f>IFERROR(INDEX(HBstats1[Rush TD],MATCH(RBmatchups[[#This Row],[Name]],HBstats1[Player],0)),"0")</f>
        <v>0.20899999999999999</v>
      </c>
      <c r="AT52" s="14" t="str">
        <f>IFERROR(INDEX(HBstats2[RushTD],MATCH(RBmatchups[[#This Row],[Name]],HBstats2[Player],0)),"0")</f>
        <v>0.1</v>
      </c>
      <c r="AU52" s="14">
        <f>IFERROR(INDEX(HBstats3[RushTD],MATCH(RBmatchups[[#This Row],[Name]],HBstats3[Player],0)),"0")</f>
        <v>0.2</v>
      </c>
      <c r="AV52" s="32" t="str">
        <f>IFERROR(INDEX(HBallowed[TD],MATCH(RBmatchups[[#This Row],[Opp]],HBallowed[Team],0)),"0")</f>
        <v>0</v>
      </c>
      <c r="AW52" s="32">
        <f>IFERROR(INDEX(HBstats3[Targets],MATCH(RBmatchups[[#This Row],[Name]],HBstats3[Player],0)),"0")</f>
        <v>3</v>
      </c>
      <c r="AX52" s="32" t="str">
        <f>IFERROR(INDEX(HBstats2[Targets],MATCH(RBmatchups[[#This Row],[Name]],HBstats2[Player],0)),"0")</f>
        <v>0</v>
      </c>
      <c r="AY52" s="32">
        <f>IFERROR(INDEX(HBstats3[Targets],MATCH(RBmatchups[[#This Row],[Name]],HBstats3[Player],0)),"0")</f>
        <v>3</v>
      </c>
      <c r="AZ52" s="14">
        <f>IFERROR(INDEX(HBstats1[Rec],MATCH(RBmatchups[[#This Row],[Name]],HBstats1[Player],0)),"0")</f>
        <v>1.506</v>
      </c>
      <c r="BA52" s="14">
        <f>IFERROR(INDEX(HBstats2[Rec],MATCH(RBmatchups[[#This Row],[Name]],HBstats2[Player],0)),"0")</f>
        <v>1.5</v>
      </c>
      <c r="BB52" s="14">
        <f>IFERROR(INDEX(HBstats3[Rec],MATCH(RBmatchups[[#This Row],[Name]],HBstats3[Player],0)),"0")</f>
        <v>1.9</v>
      </c>
      <c r="BC52" s="32" t="str">
        <f>IFERROR(INDEX(HBallowed[Rec],MATCH(RBmatchups[[#This Row],[Opp]],HBallowed[Team],0)),"0")</f>
        <v>0</v>
      </c>
      <c r="BD52" s="14">
        <f>IFERROR(INDEX(HBstats1[Rec Yds],MATCH(RBmatchups[[#This Row],[Name]],HBstats1[Player],0)),"0")</f>
        <v>10.725</v>
      </c>
      <c r="BE52" s="14">
        <f>IFERROR(INDEX(HBstats2[RecYards],MATCH(RBmatchups[[#This Row],[Name]],HBstats2[Player],0)),"0")</f>
        <v>15.9</v>
      </c>
      <c r="BF52" s="14">
        <f>IFERROR(INDEX(HBstats3[RecYards],MATCH(RBmatchups[[#This Row],[Name]],HBstats3[Player],0)),"0")</f>
        <v>15.1</v>
      </c>
      <c r="BG52" s="32" t="str">
        <f>IFERROR(INDEX(HBallowed[RecYards],MATCH(RBmatchups[[#This Row],[Opp]],HBallowed[Team],0)),"0")</f>
        <v>0</v>
      </c>
      <c r="BH52" s="14">
        <f>IFERROR(INDEX(HBstats1[Rec TD],MATCH(RBmatchups[[#This Row],[Name]],HBstats1[Player],0)),"0")</f>
        <v>4.3999999999999997E-2</v>
      </c>
      <c r="BI52" s="14" t="str">
        <f>IFERROR(INDEX(HBstats2[RecTD],MATCH(RBmatchups[[#This Row],[Name]],HBstats2[Player],0)),"0")</f>
        <v>0.1</v>
      </c>
      <c r="BJ52" s="14">
        <f>IFERROR(INDEX(HBstats3[RecTD],MATCH(RBmatchups[[#This Row],[Name]],HBstats3[Player],0)),"0")</f>
        <v>0.1</v>
      </c>
      <c r="BK52" s="32" t="str">
        <f>IFERROR(INDEX(HBallowed[RecTD],MATCH(RBmatchups[[#This Row],[Opp]],HBallowed[Team],0)),"0")</f>
        <v>0</v>
      </c>
      <c r="BL52" s="268">
        <f>IF(RBmatchups[[#This Row],[Yards]]&gt;=100,3,0)</f>
        <v>0</v>
      </c>
    </row>
    <row r="53" spans="1:64" x14ac:dyDescent="0.3">
      <c r="A53" s="37">
        <f>HBstats1!AL56</f>
        <v>4.0999999999999996</v>
      </c>
      <c r="B53" s="153" t="str">
        <f>HBstats1!D56</f>
        <v>Shaun Draughn</v>
      </c>
      <c r="C53" s="154">
        <f>IFERROR(INDEX(Salaries[DraftKings (Price)],MATCH(RBmatchups[[#This Row],[Name]],Salaries[Player],0)),"")</f>
        <v>3300</v>
      </c>
      <c r="D53" s="154">
        <f>IFERROR(INDEX(DK_Salary_Changes[WeekChange],MATCH(RBmatchups[[#This Row],[Name]],DK_Salary_Changes[Player],0)),"")</f>
        <v>-100</v>
      </c>
      <c r="E53" s="154" t="str">
        <f>IFERROR(INDEX(Salaries[Team],MATCH(RBmatchups[[#This Row],[Name]],Salaries[Player],0)),"")</f>
        <v>SF</v>
      </c>
      <c r="F53" s="189" t="str">
        <f>IFERROR(INDEX(Salaries[Opp],MATCH(RBmatchups[[#This Row],[Team]],Salaries[Team],0)),"")</f>
        <v>DAL</v>
      </c>
      <c r="G53" s="410">
        <f>IFERROR(INDEX(RBYTD[Rush ATT],MATCH(RBmatchups[Name],RBYTD[Player],0)),"0")</f>
        <v>21</v>
      </c>
      <c r="H53" s="191">
        <f>IFERROR(INDEX(RBYTD[Rush Yds],MATCH(RBmatchups[Name],RBYTD[Player],0)),"0")</f>
        <v>49</v>
      </c>
      <c r="I53" s="191">
        <f>IFERROR(INDEX(RBYTD[Rush TD],MATCH(RBmatchups[Name],RBYTD[Player],0)),"0")</f>
        <v>1</v>
      </c>
      <c r="J53" s="191">
        <f>IFERROR(INDEX(RBYTD[Rec],MATCH(RBmatchups[Name],RBYTD[Player],0)),"0")</f>
        <v>3</v>
      </c>
      <c r="K53" s="191">
        <f>IFERROR(INDEX(targettracker54[TTL],MATCH(RBmatchups[Name],targettracker54[Name],0)),"0")</f>
        <v>5</v>
      </c>
      <c r="L53" s="191">
        <f>IFERROR(INDEX(RBYTD[Rec Yds],MATCH(RBmatchups[Name],RBYTD[Player],0)),"0")</f>
        <v>20</v>
      </c>
      <c r="M53" s="411">
        <f>IFERROR(INDEX(RBYTD[Rec TD],MATCH(RBmatchups[Name],RBYTD[Player],0)),"0")</f>
        <v>0</v>
      </c>
      <c r="N53" s="441">
        <f>IFERROR(INDEX(Salaries[O/U],MATCH(RBmatchups[[#This Row],[Team]],Salaries[Team],0)),"")</f>
        <v>46</v>
      </c>
      <c r="O53" s="189">
        <f>IFERROR(INDEX(Salaries[Team O/U],MATCH(RBmatchups[[#This Row],[Team]],Salaries[Team],0)),"")</f>
        <v>21.5</v>
      </c>
      <c r="P53" s="442">
        <f>IFERROR(INDEX(Salaries[Spread],MATCH(RBmatchups[[#This Row],[Team]],Salaries[Team],0)),"")</f>
        <v>3</v>
      </c>
      <c r="Q53" s="424">
        <f>IFERROR(INDEX(HBallowed[DVP],MATCH(RBmatchups[[#This Row],[Opp]],HBallowed[Team],0)),IFERROR(INDEX(HBallowed[DVP],MATCH(RBmatchups[[#This Row],[Opp]],HBallowed[Opp],0)),""))</f>
        <v>25</v>
      </c>
      <c r="R53" s="441">
        <f>AVERAGE(RBmatchups[[#This Row],[Car1]:[Car3]])</f>
        <v>5.6439999999999992</v>
      </c>
      <c r="S53" s="190">
        <f>AVERAGE(RBmatchups[[#This Row],[Yards1]:[Yards3]])</f>
        <v>23.522666666666666</v>
      </c>
      <c r="T53" s="189">
        <f>SUM(RBmatchups[[#This Row],[Yards]]/RBmatchups[[#This Row],[Carries2]])</f>
        <v>4.16772974249941</v>
      </c>
      <c r="U53" s="189">
        <f>AVERAGE(RBmatchups[[#This Row],[TD1]:[TD3]])</f>
        <v>0.16500000000000001</v>
      </c>
      <c r="V53" s="189">
        <f>AVERAGE(RBmatchups[[#This Row],[Tar1]:[Tar3]])</f>
        <v>2.2999999999999998</v>
      </c>
      <c r="W53" s="189">
        <f>AVERAGE(RBmatchups[[#This Row],[Rec1]:[Rec3]])</f>
        <v>1.3956666666666668</v>
      </c>
      <c r="X53" s="189">
        <f>AVERAGE(RBmatchups[[#This Row],[RecYards1]:[RecYards3]])</f>
        <v>9.7583333333333329</v>
      </c>
      <c r="Y53" s="189">
        <f>AVERAGE(RBmatchups[[#This Row],[RecTD1]:[RecTd3]])</f>
        <v>7.7499999999999999E-2</v>
      </c>
      <c r="Z53" s="190">
        <f>SUM(RBmatchups[[#This Row],[Carries2]]+RBmatchups[[#This Row],[Rec4]])</f>
        <v>7.0396666666666663</v>
      </c>
      <c r="AA53" s="189">
        <f>SUM(RBmatchups[[#This Row],[Yards]]+RBmatchups[[#This Row],[RecYards]])</f>
        <v>33.280999999999999</v>
      </c>
      <c r="AB53" s="189">
        <f>SUM(RBmatchups[[#This Row],[TD]]+RBmatchups[[#This Row],[RecTD5]])</f>
        <v>0.24249999999999999</v>
      </c>
      <c r="AC53" s="191">
        <f>_xlfn.RANK.EQ(RBmatchups[Projection],RBmatchups[Projection],0)</f>
        <v>43</v>
      </c>
      <c r="AD53" s="189">
        <f>SUM(RBmatchups[[#This Row],[Total Yards]]*0.1)+(RBmatchups[[#This Row],[Rec4]]*1)+(RBmatchups[[#This Row],[Total TD]]*6)+(RBmatchups[[#This Row],[100+]])</f>
        <v>6.1787666666666672</v>
      </c>
      <c r="AE53" s="191" t="e">
        <f>_xlfn.RANK.EQ(RBmatchups[[#This Row],[$/FP]],RBmatchups[$/FP],1)</f>
        <v>#VALUE!</v>
      </c>
      <c r="AF53" s="453">
        <f>SUM(RBmatchups[[#This Row],[Salary]]/RBmatchups[[#This Row],[Projection]])</f>
        <v>534.08716949984625</v>
      </c>
      <c r="AG53" s="448" t="e">
        <f>_xlfn.RANK.EQ(RBmatchups[[#This Row],[Average]],RBmatchups[Average],1)</f>
        <v>#VALUE!</v>
      </c>
      <c r="AH53" s="190" t="e">
        <f>AVERAGE(RBmatchups[[#This Row],[Proj Rank]],RBmatchups[[#This Row],[Value Rank]])</f>
        <v>#VALUE!</v>
      </c>
      <c r="AI53" s="214">
        <f>RBmatchups[[#This Row],[Salary]]/50000</f>
        <v>6.6000000000000003E-2</v>
      </c>
      <c r="AJ53" s="214"/>
      <c r="AK53" s="14">
        <f>IFERROR(INDEX(HBstats1[Rush Att],MATCH(RBmatchups[[#This Row],[Name]],HBstats1[Player],0)),"0")</f>
        <v>4.3319999999999999</v>
      </c>
      <c r="AL53" s="14">
        <f>IFERROR(INDEX(HBstats2[Carries],MATCH(RBmatchups[[#This Row],[Name]],HBstats2[Player],0)),"0")</f>
        <v>6.8</v>
      </c>
      <c r="AM53" s="14">
        <f>IFERROR(INDEX(HBstats3[Carries],MATCH(RBmatchups[[#This Row],[Name]],HBstats3[Player],0)),"0")</f>
        <v>5.8</v>
      </c>
      <c r="AN53" s="14">
        <f>IFERROR(INDEX(HBallowed[Carries],MATCH(RBmatchups[[#This Row],[Opp]],HBallowed[Team],0)),"0")</f>
        <v>23.9375</v>
      </c>
      <c r="AO53" s="14">
        <f>IFERROR(INDEX(HBstats1[Rush Yds],MATCH(RBmatchups[[#This Row],[Name]],HBstats1[Player],0)),"0")</f>
        <v>14.667999999999999</v>
      </c>
      <c r="AP53" s="14">
        <f>IFERROR(INDEX(HBstats2[RushYards],MATCH(RBmatchups[[#This Row],[Name]],HBstats2[Player],0)),"0")</f>
        <v>29</v>
      </c>
      <c r="AQ53" s="14">
        <f>IFERROR(INDEX(HBstats3[RushYards],MATCH(RBmatchups[[#This Row],[Name]],HBstats3[Player],0)),"0")</f>
        <v>26.9</v>
      </c>
      <c r="AR53" s="32">
        <f>IFERROR(INDEX(HBallowed[Yards],MATCH(RBmatchups[[#This Row],[Opp]],HBallowed[Team],0)),"0")</f>
        <v>87.625</v>
      </c>
      <c r="AS53" s="14">
        <f>IFERROR(INDEX(HBstats1[Rush TD],MATCH(RBmatchups[[#This Row],[Name]],HBstats1[Player],0)),"0")</f>
        <v>0.13</v>
      </c>
      <c r="AT53" s="14" t="str">
        <f>IFERROR(INDEX(HBstats2[RushTD],MATCH(RBmatchups[[#This Row],[Name]],HBstats2[Player],0)),"0")</f>
        <v>0.2</v>
      </c>
      <c r="AU53" s="14">
        <f>IFERROR(INDEX(HBstats3[RushTD],MATCH(RBmatchups[[#This Row],[Name]],HBstats3[Player],0)),"0")</f>
        <v>0.2</v>
      </c>
      <c r="AV53" s="32">
        <f>IFERROR(INDEX(HBallowed[TD],MATCH(RBmatchups[[#This Row],[Opp]],HBallowed[Team],0)),"0")</f>
        <v>0.8125</v>
      </c>
      <c r="AW53" s="32">
        <f>IFERROR(INDEX(HBstats3[Targets],MATCH(RBmatchups[[#This Row],[Name]],HBstats3[Player],0)),"0")</f>
        <v>2.2999999999999998</v>
      </c>
      <c r="AX53" s="32" t="str">
        <f>IFERROR(INDEX(HBstats2[Targets],MATCH(RBmatchups[[#This Row],[Name]],HBstats2[Player],0)),"0")</f>
        <v>0</v>
      </c>
      <c r="AY53" s="32">
        <f>IFERROR(INDEX(HBstats3[Targets],MATCH(RBmatchups[[#This Row],[Name]],HBstats3[Player],0)),"0")</f>
        <v>2.2999999999999998</v>
      </c>
      <c r="AZ53" s="14">
        <f>IFERROR(INDEX(HBstats1[Rec],MATCH(RBmatchups[[#This Row],[Name]],HBstats1[Player],0)),"0")</f>
        <v>1.387</v>
      </c>
      <c r="BA53" s="14">
        <f>IFERROR(INDEX(HBstats2[Rec],MATCH(RBmatchups[[#This Row],[Name]],HBstats2[Player],0)),"0")</f>
        <v>1.1000000000000001</v>
      </c>
      <c r="BB53" s="14">
        <f>IFERROR(INDEX(HBstats3[Rec],MATCH(RBmatchups[[#This Row],[Name]],HBstats3[Player],0)),"0")</f>
        <v>1.7</v>
      </c>
      <c r="BC53" s="32">
        <f>IFERROR(INDEX(HBallowed[Rec],MATCH(RBmatchups[[#This Row],[Opp]],HBallowed[Team],0)),"0")</f>
        <v>6.5625</v>
      </c>
      <c r="BD53" s="14">
        <f>IFERROR(INDEX(HBstats1[Rec Yds],MATCH(RBmatchups[[#This Row],[Name]],HBstats1[Player],0)),"0")</f>
        <v>9.2750000000000004</v>
      </c>
      <c r="BE53" s="14">
        <f>IFERROR(INDEX(HBstats2[RecYards],MATCH(RBmatchups[[#This Row],[Name]],HBstats2[Player],0)),"0")</f>
        <v>5.0999999999999996</v>
      </c>
      <c r="BF53" s="14">
        <f>IFERROR(INDEX(HBstats3[RecYards],MATCH(RBmatchups[[#This Row],[Name]],HBstats3[Player],0)),"0")</f>
        <v>14.9</v>
      </c>
      <c r="BG53" s="32">
        <f>IFERROR(INDEX(HBallowed[RecYards],MATCH(RBmatchups[[#This Row],[Opp]],HBallowed[Team],0)),"0")</f>
        <v>56.0625</v>
      </c>
      <c r="BH53" s="14">
        <f>IFERROR(INDEX(HBstats1[Rec TD],MATCH(RBmatchups[[#This Row],[Name]],HBstats1[Player],0)),"0")</f>
        <v>5.5E-2</v>
      </c>
      <c r="BI53" s="14" t="str">
        <f>IFERROR(INDEX(HBstats2[RecTD],MATCH(RBmatchups[[#This Row],[Name]],HBstats2[Player],0)),"0")</f>
        <v>0</v>
      </c>
      <c r="BJ53" s="14">
        <f>IFERROR(INDEX(HBstats3[RecTD],MATCH(RBmatchups[[#This Row],[Name]],HBstats3[Player],0)),"0")</f>
        <v>0.1</v>
      </c>
      <c r="BK53" s="32">
        <f>IFERROR(INDEX(HBallowed[RecTD],MATCH(RBmatchups[[#This Row],[Opp]],HBallowed[Team],0)),"0")</f>
        <v>0.3125</v>
      </c>
      <c r="BL53" s="268">
        <f>IF(RBmatchups[[#This Row],[Yards]]&gt;=100,3,0)</f>
        <v>0</v>
      </c>
    </row>
    <row r="54" spans="1:64" x14ac:dyDescent="0.3">
      <c r="A54" s="37">
        <f>HBstats1!AL58</f>
        <v>4.7</v>
      </c>
      <c r="B54" s="153" t="str">
        <f>HBstats1!D58</f>
        <v>Travaris Cadet</v>
      </c>
      <c r="C54" s="154">
        <f>IFERROR(INDEX(Salaries[DraftKings (Price)],MATCH(RBmatchups[[#This Row],[Name]],Salaries[Player],0)),"")</f>
        <v>3100</v>
      </c>
      <c r="D54" s="154">
        <f>IFERROR(INDEX(DK_Salary_Changes[WeekChange],MATCH(RBmatchups[[#This Row],[Name]],DK_Salary_Changes[Player],0)),"")</f>
        <v>0</v>
      </c>
      <c r="E54" s="154" t="str">
        <f>IFERROR(INDEX(Salaries[Team],MATCH(RBmatchups[[#This Row],[Name]],Salaries[Player],0)),"")</f>
        <v>NO</v>
      </c>
      <c r="F54" s="189" t="str">
        <f>IFERROR(INDEX(Salaries[Opp],MATCH(RBmatchups[[#This Row],[Team]],Salaries[Team],0)),"")</f>
        <v>@SD</v>
      </c>
      <c r="G54" s="410">
        <f>IFERROR(INDEX(RBYTD[Rush ATT],MATCH(RBmatchups[Name],RBYTD[Player],0)),"0")</f>
        <v>1</v>
      </c>
      <c r="H54" s="191">
        <f>IFERROR(INDEX(RBYTD[Rush Yds],MATCH(RBmatchups[Name],RBYTD[Player],0)),"0")</f>
        <v>1</v>
      </c>
      <c r="I54" s="191">
        <f>IFERROR(INDEX(RBYTD[Rush TD],MATCH(RBmatchups[Name],RBYTD[Player],0)),"0")</f>
        <v>0</v>
      </c>
      <c r="J54" s="191">
        <f>IFERROR(INDEX(RBYTD[Rec],MATCH(RBmatchups[Name],RBYTD[Player],0)),"0")</f>
        <v>11</v>
      </c>
      <c r="K54" s="191">
        <f>IFERROR(INDEX(targettracker54[TTL],MATCH(RBmatchups[Name],targettracker54[Name],0)),"0")</f>
        <v>16</v>
      </c>
      <c r="L54" s="191">
        <f>IFERROR(INDEX(RBYTD[Rec Yds],MATCH(RBmatchups[Name],RBYTD[Player],0)),"0")</f>
        <v>63</v>
      </c>
      <c r="M54" s="411">
        <f>IFERROR(INDEX(RBYTD[Rec TD],MATCH(RBmatchups[Name],RBYTD[Player],0)),"0")</f>
        <v>1</v>
      </c>
      <c r="N54" s="441">
        <f>IFERROR(INDEX(Salaries[O/U],MATCH(RBmatchups[[#This Row],[Team]],Salaries[Team],0)),"")</f>
        <v>53.5</v>
      </c>
      <c r="O54" s="189">
        <f>IFERROR(INDEX(Salaries[Team O/U],MATCH(RBmatchups[[#This Row],[Team]],Salaries[Team],0)),"")</f>
        <v>24.75</v>
      </c>
      <c r="P54" s="442">
        <f>IFERROR(INDEX(Salaries[Spread],MATCH(RBmatchups[[#This Row],[Team]],Salaries[Team],0)),"")</f>
        <v>4</v>
      </c>
      <c r="Q54" s="424">
        <f>IFERROR(INDEX(HBallowed[DVP],MATCH(RBmatchups[[#This Row],[Opp]],HBallowed[Team],0)),IFERROR(INDEX(HBallowed[DVP],MATCH(RBmatchups[[#This Row],[Opp]],HBallowed[Opp],0)),""))</f>
        <v>29</v>
      </c>
      <c r="R54" s="441">
        <f>AVERAGE(RBmatchups[[#This Row],[Car1]:[Car3]])</f>
        <v>1.071</v>
      </c>
      <c r="S54" s="190">
        <f>AVERAGE(RBmatchups[[#This Row],[Yards1]:[Yards3]])</f>
        <v>4.3019999999999996</v>
      </c>
      <c r="T54" s="189">
        <f>SUM(RBmatchups[[#This Row],[Yards]]/RBmatchups[[#This Row],[Carries2]])</f>
        <v>4.0168067226890756</v>
      </c>
      <c r="U54" s="189">
        <f>AVERAGE(RBmatchups[[#This Row],[TD1]:[TD3]])</f>
        <v>0</v>
      </c>
      <c r="V54" s="189">
        <f>AVERAGE(RBmatchups[[#This Row],[Tar1]:[Tar3]])</f>
        <v>2.4</v>
      </c>
      <c r="W54" s="189">
        <f>AVERAGE(RBmatchups[[#This Row],[Rec1]:[Rec3]])</f>
        <v>2.629</v>
      </c>
      <c r="X54" s="189">
        <f>AVERAGE(RBmatchups[[#This Row],[RecYards1]:[RecYards3]])</f>
        <v>24.301333333333332</v>
      </c>
      <c r="Y54" s="189">
        <f>AVERAGE(RBmatchups[[#This Row],[RecTD1]:[RecTd3]])</f>
        <v>0.111</v>
      </c>
      <c r="Z54" s="190">
        <f>SUM(RBmatchups[[#This Row],[Carries2]]+RBmatchups[[#This Row],[Rec4]])</f>
        <v>3.7</v>
      </c>
      <c r="AA54" s="189">
        <f>SUM(RBmatchups[[#This Row],[Yards]]+RBmatchups[[#This Row],[RecYards]])</f>
        <v>28.603333333333332</v>
      </c>
      <c r="AB54" s="189">
        <f>SUM(RBmatchups[[#This Row],[TD]]+RBmatchups[[#This Row],[RecTD5]])</f>
        <v>0.111</v>
      </c>
      <c r="AC54" s="191">
        <f>_xlfn.RANK.EQ(RBmatchups[Projection],RBmatchups[Projection],0)</f>
        <v>44</v>
      </c>
      <c r="AD54" s="189">
        <f>SUM(RBmatchups[[#This Row],[Total Yards]]*0.1)+(RBmatchups[[#This Row],[Rec4]]*1)+(RBmatchups[[#This Row],[Total TD]]*6)+(RBmatchups[[#This Row],[100+]])</f>
        <v>6.1553333333333331</v>
      </c>
      <c r="AE54" s="191" t="e">
        <f>_xlfn.RANK.EQ(RBmatchups[[#This Row],[$/FP]],RBmatchups[$/FP],1)</f>
        <v>#VALUE!</v>
      </c>
      <c r="AF54" s="453">
        <f>SUM(RBmatchups[[#This Row],[Salary]]/RBmatchups[[#This Row],[Projection]])</f>
        <v>503.62828982995779</v>
      </c>
      <c r="AG54" s="448" t="e">
        <f>_xlfn.RANK.EQ(RBmatchups[[#This Row],[Average]],RBmatchups[Average],1)</f>
        <v>#VALUE!</v>
      </c>
      <c r="AH54" s="190" t="e">
        <f>AVERAGE(RBmatchups[[#This Row],[Proj Rank]],RBmatchups[[#This Row],[Value Rank]])</f>
        <v>#VALUE!</v>
      </c>
      <c r="AI54" s="214">
        <f>RBmatchups[[#This Row],[Salary]]/50000</f>
        <v>6.2E-2</v>
      </c>
      <c r="AJ54" s="214"/>
      <c r="AK54" s="14">
        <f>IFERROR(INDEX(HBstats1[Rush Att],MATCH(RBmatchups[[#This Row],[Name]],HBstats1[Player],0)),"0")</f>
        <v>0.61299999999999999</v>
      </c>
      <c r="AL54" s="14">
        <f>IFERROR(INDEX(HBstats2[Carries],MATCH(RBmatchups[[#This Row],[Name]],HBstats2[Player],0)),"0")</f>
        <v>1.4</v>
      </c>
      <c r="AM54" s="14">
        <f>IFERROR(INDEX(HBstats3[Carries],MATCH(RBmatchups[[#This Row],[Name]],HBstats3[Player],0)),"0")</f>
        <v>1.2</v>
      </c>
      <c r="AN54" s="14" t="str">
        <f>IFERROR(INDEX(HBallowed[Carries],MATCH(RBmatchups[[#This Row],[Opp]],HBallowed[Team],0)),"0")</f>
        <v>0</v>
      </c>
      <c r="AO54" s="14">
        <f>IFERROR(INDEX(HBstats1[Rush Yds],MATCH(RBmatchups[[#This Row],[Name]],HBstats1[Player],0)),"0")</f>
        <v>1.9059999999999999</v>
      </c>
      <c r="AP54" s="14">
        <f>IFERROR(INDEX(HBstats2[RushYards],MATCH(RBmatchups[[#This Row],[Name]],HBstats2[Player],0)),"0")</f>
        <v>5.5</v>
      </c>
      <c r="AQ54" s="14">
        <f>IFERROR(INDEX(HBstats3[RushYards],MATCH(RBmatchups[[#This Row],[Name]],HBstats3[Player],0)),"0")</f>
        <v>5.5</v>
      </c>
      <c r="AR54" s="32" t="str">
        <f>IFERROR(INDEX(HBallowed[Yards],MATCH(RBmatchups[[#This Row],[Opp]],HBallowed[Team],0)),"0")</f>
        <v>0</v>
      </c>
      <c r="AS54" s="14">
        <f>IFERROR(INDEX(HBstats1[Rush TD],MATCH(RBmatchups[[#This Row],[Name]],HBstats1[Player],0)),"0")</f>
        <v>0</v>
      </c>
      <c r="AT54" s="14" t="str">
        <f>IFERROR(INDEX(HBstats2[RushTD],MATCH(RBmatchups[[#This Row],[Name]],HBstats2[Player],0)),"0")</f>
        <v>0</v>
      </c>
      <c r="AU54" s="14">
        <f>IFERROR(INDEX(HBstats3[RushTD],MATCH(RBmatchups[[#This Row],[Name]],HBstats3[Player],0)),"0")</f>
        <v>0</v>
      </c>
      <c r="AV54" s="32" t="str">
        <f>IFERROR(INDEX(HBallowed[TD],MATCH(RBmatchups[[#This Row],[Opp]],HBallowed[Team],0)),"0")</f>
        <v>0</v>
      </c>
      <c r="AW54" s="32">
        <f>IFERROR(INDEX(HBstats3[Targets],MATCH(RBmatchups[[#This Row],[Name]],HBstats3[Player],0)),"0")</f>
        <v>2.4</v>
      </c>
      <c r="AX54" s="32" t="str">
        <f>IFERROR(INDEX(HBstats2[Targets],MATCH(RBmatchups[[#This Row],[Name]],HBstats2[Player],0)),"0")</f>
        <v>0</v>
      </c>
      <c r="AY54" s="32">
        <f>IFERROR(INDEX(HBstats3[Targets],MATCH(RBmatchups[[#This Row],[Name]],HBstats3[Player],0)),"0")</f>
        <v>2.4</v>
      </c>
      <c r="AZ54" s="14">
        <f>IFERROR(INDEX(HBstats1[Rec],MATCH(RBmatchups[[#This Row],[Name]],HBstats1[Player],0)),"0")</f>
        <v>3.1869999999999998</v>
      </c>
      <c r="BA54" s="14">
        <f>IFERROR(INDEX(HBstats2[Rec],MATCH(RBmatchups[[#This Row],[Name]],HBstats2[Player],0)),"0")</f>
        <v>2.9</v>
      </c>
      <c r="BB54" s="14">
        <f>IFERROR(INDEX(HBstats3[Rec],MATCH(RBmatchups[[#This Row],[Name]],HBstats3[Player],0)),"0")</f>
        <v>1.8</v>
      </c>
      <c r="BC54" s="32" t="str">
        <f>IFERROR(INDEX(HBallowed[Rec],MATCH(RBmatchups[[#This Row],[Opp]],HBallowed[Team],0)),"0")</f>
        <v>0</v>
      </c>
      <c r="BD54" s="14">
        <f>IFERROR(INDEX(HBstats1[Rec Yds],MATCH(RBmatchups[[#This Row],[Name]],HBstats1[Player],0)),"0")</f>
        <v>22.603999999999999</v>
      </c>
      <c r="BE54" s="14">
        <f>IFERROR(INDEX(HBstats2[RecYards],MATCH(RBmatchups[[#This Row],[Name]],HBstats2[Player],0)),"0")</f>
        <v>27.7</v>
      </c>
      <c r="BF54" s="14">
        <f>IFERROR(INDEX(HBstats3[RecYards],MATCH(RBmatchups[[#This Row],[Name]],HBstats3[Player],0)),"0")</f>
        <v>22.6</v>
      </c>
      <c r="BG54" s="32" t="str">
        <f>IFERROR(INDEX(HBallowed[RecYards],MATCH(RBmatchups[[#This Row],[Opp]],HBallowed[Team],0)),"0")</f>
        <v>0</v>
      </c>
      <c r="BH54" s="14">
        <f>IFERROR(INDEX(HBstats1[Rec TD],MATCH(RBmatchups[[#This Row],[Name]],HBstats1[Player],0)),"0")</f>
        <v>0.122</v>
      </c>
      <c r="BI54" s="14" t="str">
        <f>IFERROR(INDEX(HBstats2[RecTD],MATCH(RBmatchups[[#This Row],[Name]],HBstats2[Player],0)),"0")</f>
        <v>0.1</v>
      </c>
      <c r="BJ54" s="14">
        <f>IFERROR(INDEX(HBstats3[RecTD],MATCH(RBmatchups[[#This Row],[Name]],HBstats3[Player],0)),"0")</f>
        <v>0.1</v>
      </c>
      <c r="BK54" s="32" t="str">
        <f>IFERROR(INDEX(HBallowed[RecTD],MATCH(RBmatchups[[#This Row],[Opp]],HBallowed[Team],0)),"0")</f>
        <v>0</v>
      </c>
      <c r="BL54" s="268">
        <f>IF(RBmatchups[[#This Row],[Yards]]&gt;=100,3,0)</f>
        <v>0</v>
      </c>
    </row>
    <row r="55" spans="1:64" x14ac:dyDescent="0.3">
      <c r="A55" s="37">
        <f>HBstats1!AL41</f>
        <v>5.4</v>
      </c>
      <c r="B55" s="153" t="str">
        <f>HBstats1!D41</f>
        <v>DeAngelo Williams</v>
      </c>
      <c r="C55" s="154">
        <f>IFERROR(INDEX(Salaries[DraftKings (Price)],MATCH(RBmatchups[[#This Row],[Name]],Salaries[Player],0)),"")</f>
        <v>6200</v>
      </c>
      <c r="D55" s="154">
        <f>IFERROR(INDEX(DK_Salary_Changes[WeekChange],MATCH(RBmatchups[[#This Row],[Name]],DK_Salary_Changes[Player],0)),"")</f>
        <v>-1300</v>
      </c>
      <c r="E55" s="154" t="str">
        <f>IFERROR(INDEX(Salaries[Team],MATCH(RBmatchups[[#This Row],[Name]],Salaries[Player],0)),"")</f>
        <v>PIT</v>
      </c>
      <c r="F55" s="189" t="str">
        <f>IFERROR(INDEX(Salaries[Opp],MATCH(RBmatchups[[#This Row],[Team]],Salaries[Team],0)),"")</f>
        <v>KC</v>
      </c>
      <c r="G55" s="410">
        <f>IFERROR(INDEX(RBYTD[Rush ATT],MATCH(RBmatchups[Name],RBYTD[Player],0)),"0")</f>
        <v>66</v>
      </c>
      <c r="H55" s="191">
        <f>IFERROR(INDEX(RBYTD[Rush Yds],MATCH(RBmatchups[Name],RBYTD[Player],0)),"0")</f>
        <v>258</v>
      </c>
      <c r="I55" s="191">
        <f>IFERROR(INDEX(RBYTD[Rush TD],MATCH(RBmatchups[Name],RBYTD[Player],0)),"0")</f>
        <v>2</v>
      </c>
      <c r="J55" s="191">
        <f>IFERROR(INDEX(RBYTD[Rec],MATCH(RBmatchups[Name],RBYTD[Player],0)),"0")</f>
        <v>14</v>
      </c>
      <c r="K55" s="191">
        <f>IFERROR(INDEX(targettracker54[TTL],MATCH(RBmatchups[Name],targettracker54[Name],0)),"0")</f>
        <v>21</v>
      </c>
      <c r="L55" s="191">
        <f>IFERROR(INDEX(RBYTD[Rec Yds],MATCH(RBmatchups[Name],RBYTD[Player],0)),"0")</f>
        <v>89</v>
      </c>
      <c r="M55" s="411">
        <f>IFERROR(INDEX(RBYTD[Rec TD],MATCH(RBmatchups[Name],RBYTD[Player],0)),"0")</f>
        <v>1</v>
      </c>
      <c r="N55" s="441">
        <f>IFERROR(INDEX(Salaries[O/U],MATCH(RBmatchups[[#This Row],[Team]],Salaries[Team],0)),"")</f>
        <v>47.5</v>
      </c>
      <c r="O55" s="189">
        <f>IFERROR(INDEX(Salaries[Team O/U],MATCH(RBmatchups[[#This Row],[Team]],Salaries[Team],0)),"")</f>
        <v>26.5</v>
      </c>
      <c r="P55" s="442">
        <f>IFERROR(INDEX(Salaries[Spread],MATCH(RBmatchups[[#This Row],[Team]],Salaries[Team],0)),"")</f>
        <v>-5.5</v>
      </c>
      <c r="Q55" s="424">
        <f>IFERROR(INDEX(HBallowed[DVP],MATCH(RBmatchups[[#This Row],[Opp]],HBallowed[Team],0)),IFERROR(INDEX(HBallowed[DVP],MATCH(RBmatchups[[#This Row],[Opp]],HBallowed[Opp],0)),""))</f>
        <v>4</v>
      </c>
      <c r="R55" s="441">
        <f>AVERAGE(RBmatchups[[#This Row],[Car1]:[Car3]])</f>
        <v>5.9783333333333344</v>
      </c>
      <c r="S55" s="190">
        <f>AVERAGE(RBmatchups[[#This Row],[Yards1]:[Yards3]])</f>
        <v>26.548333333333332</v>
      </c>
      <c r="T55" s="189">
        <f>SUM(RBmatchups[[#This Row],[Yards]]/RBmatchups[[#This Row],[Carries2]])</f>
        <v>4.4407582938388614</v>
      </c>
      <c r="U55" s="189">
        <f>AVERAGE(RBmatchups[[#This Row],[TD1]:[TD3]])</f>
        <v>0.13100000000000001</v>
      </c>
      <c r="V55" s="189">
        <f>AVERAGE(RBmatchups[[#This Row],[Tar1]:[Tar3]])</f>
        <v>1.4</v>
      </c>
      <c r="W55" s="189">
        <f>AVERAGE(RBmatchups[[#This Row],[Rec1]:[Rec3]])</f>
        <v>1.423</v>
      </c>
      <c r="X55" s="189">
        <f>AVERAGE(RBmatchups[[#This Row],[RecYards1]:[RecYards3]])</f>
        <v>11.765666666666666</v>
      </c>
      <c r="Y55" s="189">
        <f>AVERAGE(RBmatchups[[#This Row],[RecTD1]:[RecTd3]])</f>
        <v>1.8499999999999999E-2</v>
      </c>
      <c r="Z55" s="190">
        <f>SUM(RBmatchups[[#This Row],[Carries2]]+RBmatchups[[#This Row],[Rec4]])</f>
        <v>7.4013333333333344</v>
      </c>
      <c r="AA55" s="189">
        <f>SUM(RBmatchups[[#This Row],[Yards]]+RBmatchups[[#This Row],[RecYards]])</f>
        <v>38.314</v>
      </c>
      <c r="AB55" s="189">
        <f>SUM(RBmatchups[[#This Row],[TD]]+RBmatchups[[#This Row],[RecTD5]])</f>
        <v>0.14949999999999999</v>
      </c>
      <c r="AC55" s="191">
        <f>_xlfn.RANK.EQ(RBmatchups[Projection],RBmatchups[Projection],0)</f>
        <v>45</v>
      </c>
      <c r="AD55" s="189">
        <f>SUM(RBmatchups[[#This Row],[Total Yards]]*0.1)+(RBmatchups[[#This Row],[Rec4]]*1)+(RBmatchups[[#This Row],[Total TD]]*6)+(RBmatchups[[#This Row],[100+]])</f>
        <v>6.1514000000000006</v>
      </c>
      <c r="AE55" s="191" t="e">
        <f>_xlfn.RANK.EQ(RBmatchups[[#This Row],[$/FP]],RBmatchups[$/FP],1)</f>
        <v>#VALUE!</v>
      </c>
      <c r="AF55" s="453">
        <f>SUM(RBmatchups[[#This Row],[Salary]]/RBmatchups[[#This Row],[Projection]])</f>
        <v>1007.9006405046005</v>
      </c>
      <c r="AG55" s="448" t="e">
        <f>_xlfn.RANK.EQ(RBmatchups[[#This Row],[Average]],RBmatchups[Average],1)</f>
        <v>#VALUE!</v>
      </c>
      <c r="AH55" s="190" t="e">
        <f>AVERAGE(RBmatchups[[#This Row],[Proj Rank]],RBmatchups[[#This Row],[Value Rank]])</f>
        <v>#VALUE!</v>
      </c>
      <c r="AI55" s="214">
        <f>RBmatchups[[#This Row],[Salary]]/50000</f>
        <v>0.124</v>
      </c>
      <c r="AJ55" s="214"/>
      <c r="AK55" s="14">
        <f>IFERROR(INDEX(HBstats1[Rush Att],MATCH(RBmatchups[[#This Row],[Name]],HBstats1[Player],0)),"0")</f>
        <v>7.2350000000000003</v>
      </c>
      <c r="AL55" s="14">
        <f>IFERROR(INDEX(HBstats2[Carries],MATCH(RBmatchups[[#This Row],[Name]],HBstats2[Player],0)),"0")</f>
        <v>6.3</v>
      </c>
      <c r="AM55" s="14">
        <f>IFERROR(INDEX(HBstats3[Carries],MATCH(RBmatchups[[#This Row],[Name]],HBstats3[Player],0)),"0")</f>
        <v>4.4000000000000004</v>
      </c>
      <c r="AN55" s="14">
        <f>IFERROR(INDEX(HBallowed[Carries],MATCH(RBmatchups[[#This Row],[Opp]],HBallowed[Team],0)),"0")</f>
        <v>22.125</v>
      </c>
      <c r="AO55" s="14">
        <f>IFERROR(INDEX(HBstats1[Rush Yds],MATCH(RBmatchups[[#This Row],[Name]],HBstats1[Player],0)),"0")</f>
        <v>29.445</v>
      </c>
      <c r="AP55" s="14">
        <f>IFERROR(INDEX(HBstats2[RushYards],MATCH(RBmatchups[[#This Row],[Name]],HBstats2[Player],0)),"0")</f>
        <v>27.9</v>
      </c>
      <c r="AQ55" s="14">
        <f>IFERROR(INDEX(HBstats3[RushYards],MATCH(RBmatchups[[#This Row],[Name]],HBstats3[Player],0)),"0")</f>
        <v>22.3</v>
      </c>
      <c r="AR55" s="32">
        <f>IFERROR(INDEX(HBallowed[Yards],MATCH(RBmatchups[[#This Row],[Opp]],HBallowed[Team],0)),"0")</f>
        <v>87</v>
      </c>
      <c r="AS55" s="14">
        <f>IFERROR(INDEX(HBstats1[Rush TD],MATCH(RBmatchups[[#This Row],[Name]],HBstats1[Player],0)),"0")</f>
        <v>0.16200000000000001</v>
      </c>
      <c r="AT55" s="14" t="str">
        <f>IFERROR(INDEX(HBstats2[RushTD],MATCH(RBmatchups[[#This Row],[Name]],HBstats2[Player],0)),"0")</f>
        <v>0.2</v>
      </c>
      <c r="AU55" s="14">
        <f>IFERROR(INDEX(HBstats3[RushTD],MATCH(RBmatchups[[#This Row],[Name]],HBstats3[Player],0)),"0")</f>
        <v>0.1</v>
      </c>
      <c r="AV55" s="32">
        <f>IFERROR(INDEX(HBallowed[TD],MATCH(RBmatchups[[#This Row],[Opp]],HBallowed[Team],0)),"0")</f>
        <v>0.625</v>
      </c>
      <c r="AW55" s="32">
        <f>IFERROR(INDEX(HBstats3[Targets],MATCH(RBmatchups[[#This Row],[Name]],HBstats3[Player],0)),"0")</f>
        <v>1.4</v>
      </c>
      <c r="AX55" s="32" t="str">
        <f>IFERROR(INDEX(HBstats2[Targets],MATCH(RBmatchups[[#This Row],[Name]],HBstats2[Player],0)),"0")</f>
        <v>0</v>
      </c>
      <c r="AY55" s="32">
        <f>IFERROR(INDEX(HBstats3[Targets],MATCH(RBmatchups[[#This Row],[Name]],HBstats3[Player],0)),"0")</f>
        <v>1.4</v>
      </c>
      <c r="AZ55" s="14">
        <f>IFERROR(INDEX(HBstats1[Rec],MATCH(RBmatchups[[#This Row],[Name]],HBstats1[Player],0)),"0")</f>
        <v>0.86899999999999999</v>
      </c>
      <c r="BA55" s="14">
        <f>IFERROR(INDEX(HBstats2[Rec],MATCH(RBmatchups[[#This Row],[Name]],HBstats2[Player],0)),"0")</f>
        <v>2.2999999999999998</v>
      </c>
      <c r="BB55" s="14">
        <f>IFERROR(INDEX(HBstats3[Rec],MATCH(RBmatchups[[#This Row],[Name]],HBstats3[Player],0)),"0")</f>
        <v>1.1000000000000001</v>
      </c>
      <c r="BC55" s="32">
        <f>IFERROR(INDEX(HBallowed[Rec],MATCH(RBmatchups[[#This Row],[Opp]],HBallowed[Team],0)),"0")</f>
        <v>6.125</v>
      </c>
      <c r="BD55" s="14">
        <f>IFERROR(INDEX(HBstats1[Rec Yds],MATCH(RBmatchups[[#This Row],[Name]],HBstats1[Player],0)),"0")</f>
        <v>9.0969999999999995</v>
      </c>
      <c r="BE55" s="14">
        <f>IFERROR(INDEX(HBstats2[RecYards],MATCH(RBmatchups[[#This Row],[Name]],HBstats2[Player],0)),"0")</f>
        <v>17.2</v>
      </c>
      <c r="BF55" s="14">
        <f>IFERROR(INDEX(HBstats3[RecYards],MATCH(RBmatchups[[#This Row],[Name]],HBstats3[Player],0)),"0")</f>
        <v>9</v>
      </c>
      <c r="BG55" s="32">
        <f>IFERROR(INDEX(HBallowed[RecYards],MATCH(RBmatchups[[#This Row],[Opp]],HBallowed[Team],0)),"0")</f>
        <v>46.75</v>
      </c>
      <c r="BH55" s="14">
        <f>IFERROR(INDEX(HBstats1[Rec TD],MATCH(RBmatchups[[#This Row],[Name]],HBstats1[Player],0)),"0")</f>
        <v>3.6999999999999998E-2</v>
      </c>
      <c r="BI55" s="14" t="str">
        <f>IFERROR(INDEX(HBstats2[RecTD],MATCH(RBmatchups[[#This Row],[Name]],HBstats2[Player],0)),"0")</f>
        <v>0.1</v>
      </c>
      <c r="BJ55" s="14">
        <f>IFERROR(INDEX(HBstats3[RecTD],MATCH(RBmatchups[[#This Row],[Name]],HBstats3[Player],0)),"0")</f>
        <v>0</v>
      </c>
      <c r="BK55" s="32">
        <f>IFERROR(INDEX(HBallowed[RecTD],MATCH(RBmatchups[[#This Row],[Opp]],HBallowed[Team],0)),"0")</f>
        <v>0.1875</v>
      </c>
      <c r="BL55" s="268">
        <f>IF(RBmatchups[[#This Row],[Yards]]&gt;=100,3,0)</f>
        <v>0</v>
      </c>
    </row>
    <row r="56" spans="1:64" x14ac:dyDescent="0.3">
      <c r="A56" s="37">
        <f>HBstats1!AL49</f>
        <v>5.0999999999999996</v>
      </c>
      <c r="B56" s="153" t="str">
        <f>HBstats1!D49</f>
        <v>Bobby Rainey</v>
      </c>
      <c r="C56" s="154">
        <f>IFERROR(INDEX(Salaries[DraftKings (Price)],MATCH(RBmatchups[[#This Row],[Name]],Salaries[Player],0)),"")</f>
        <v>3000</v>
      </c>
      <c r="D56" s="154">
        <f>IFERROR(INDEX(DK_Salary_Changes[WeekChange],MATCH(RBmatchups[[#This Row],[Name]],DK_Salary_Changes[Player],0)),"")</f>
        <v>0</v>
      </c>
      <c r="E56" s="154" t="str">
        <f>IFERROR(INDEX(Salaries[Team],MATCH(RBmatchups[[#This Row],[Name]],Salaries[Player],0)),"")</f>
        <v>NYG</v>
      </c>
      <c r="F56" s="189" t="str">
        <f>IFERROR(INDEX(Salaries[Opp],MATCH(RBmatchups[[#This Row],[Team]],Salaries[Team],0)),"")</f>
        <v>@MIN</v>
      </c>
      <c r="G56" s="410" t="str">
        <f>IFERROR(INDEX(RBYTD[Rush ATT],MATCH(RBmatchups[Name],RBYTD[Player],0)),"0")</f>
        <v>0</v>
      </c>
      <c r="H56" s="191" t="str">
        <f>IFERROR(INDEX(RBYTD[Rush Yds],MATCH(RBmatchups[Name],RBYTD[Player],0)),"0")</f>
        <v>0</v>
      </c>
      <c r="I56" s="191" t="str">
        <f>IFERROR(INDEX(RBYTD[Rush TD],MATCH(RBmatchups[Name],RBYTD[Player],0)),"0")</f>
        <v>0</v>
      </c>
      <c r="J56" s="191" t="str">
        <f>IFERROR(INDEX(RBYTD[Rec],MATCH(RBmatchups[Name],RBYTD[Player],0)),"0")</f>
        <v>0</v>
      </c>
      <c r="K56" s="191">
        <f>IFERROR(INDEX(targettracker54[TTL],MATCH(RBmatchups[Name],targettracker54[Name],0)),"0")</f>
        <v>2</v>
      </c>
      <c r="L56" s="191" t="str">
        <f>IFERROR(INDEX(RBYTD[Rec Yds],MATCH(RBmatchups[Name],RBYTD[Player],0)),"0")</f>
        <v>0</v>
      </c>
      <c r="M56" s="411" t="str">
        <f>IFERROR(INDEX(RBYTD[Rec TD],MATCH(RBmatchups[Name],RBYTD[Player],0)),"0")</f>
        <v>0</v>
      </c>
      <c r="N56" s="441">
        <f>IFERROR(INDEX(Salaries[O/U],MATCH(RBmatchups[[#This Row],[Team]],Salaries[Team],0)),"")</f>
        <v>43.5</v>
      </c>
      <c r="O56" s="189">
        <f>IFERROR(INDEX(Salaries[Team O/U],MATCH(RBmatchups[[#This Row],[Team]],Salaries[Team],0)),"")</f>
        <v>19.75</v>
      </c>
      <c r="P56" s="442">
        <f>IFERROR(INDEX(Salaries[Spread],MATCH(RBmatchups[[#This Row],[Team]],Salaries[Team],0)),"")</f>
        <v>4</v>
      </c>
      <c r="Q56" s="424">
        <f>IFERROR(INDEX(HBallowed[DVP],MATCH(RBmatchups[[#This Row],[Opp]],HBallowed[Team],0)),IFERROR(INDEX(HBallowed[DVP],MATCH(RBmatchups[[#This Row],[Opp]],HBallowed[Opp],0)),""))</f>
        <v>9</v>
      </c>
      <c r="R56" s="441">
        <f>AVERAGE(RBmatchups[[#This Row],[Car1]:[Car3]])</f>
        <v>2.9766666666666666</v>
      </c>
      <c r="S56" s="190">
        <f>AVERAGE(RBmatchups[[#This Row],[Yards1]:[Yards3]])</f>
        <v>11.515666666666666</v>
      </c>
      <c r="T56" s="189">
        <f>SUM(RBmatchups[[#This Row],[Yards]]/RBmatchups[[#This Row],[Carries2]])</f>
        <v>3.8686450167973123</v>
      </c>
      <c r="U56" s="189">
        <f>AVERAGE(RBmatchups[[#This Row],[TD1]:[TD3]])</f>
        <v>2.4E-2</v>
      </c>
      <c r="V56" s="189">
        <f>AVERAGE(RBmatchups[[#This Row],[Tar1]:[Tar3]])</f>
        <v>2.1</v>
      </c>
      <c r="W56" s="189">
        <f>AVERAGE(RBmatchups[[#This Row],[Rec1]:[Rec3]])</f>
        <v>2.1343333333333336</v>
      </c>
      <c r="X56" s="189">
        <f>AVERAGE(RBmatchups[[#This Row],[RecYards1]:[RecYards3]])</f>
        <v>16.838333333333335</v>
      </c>
      <c r="Y56" s="189">
        <f>AVERAGE(RBmatchups[[#This Row],[RecTD1]:[RecTd3]])</f>
        <v>7.4500000000000011E-2</v>
      </c>
      <c r="Z56" s="190">
        <f>SUM(RBmatchups[[#This Row],[Carries2]]+RBmatchups[[#This Row],[Rec4]])</f>
        <v>5.1110000000000007</v>
      </c>
      <c r="AA56" s="189">
        <f>SUM(RBmatchups[[#This Row],[Yards]]+RBmatchups[[#This Row],[RecYards]])</f>
        <v>28.353999999999999</v>
      </c>
      <c r="AB56" s="189">
        <f>SUM(RBmatchups[[#This Row],[TD]]+RBmatchups[[#This Row],[RecTD5]])</f>
        <v>9.8500000000000004E-2</v>
      </c>
      <c r="AC56" s="191">
        <f>_xlfn.RANK.EQ(RBmatchups[Projection],RBmatchups[Projection],0)</f>
        <v>46</v>
      </c>
      <c r="AD56" s="189">
        <f>SUM(RBmatchups[[#This Row],[Total Yards]]*0.1)+(RBmatchups[[#This Row],[Rec4]]*1)+(RBmatchups[[#This Row],[Total TD]]*6)+(RBmatchups[[#This Row],[100+]])</f>
        <v>5.5607333333333342</v>
      </c>
      <c r="AE56" s="191" t="e">
        <f>_xlfn.RANK.EQ(RBmatchups[[#This Row],[$/FP]],RBmatchups[$/FP],1)</f>
        <v>#VALUE!</v>
      </c>
      <c r="AF56" s="453">
        <f>SUM(RBmatchups[[#This Row],[Salary]]/RBmatchups[[#This Row],[Projection]])</f>
        <v>539.49718862020586</v>
      </c>
      <c r="AG56" s="448" t="e">
        <f>_xlfn.RANK.EQ(RBmatchups[[#This Row],[Average]],RBmatchups[Average],1)</f>
        <v>#VALUE!</v>
      </c>
      <c r="AH56" s="190" t="e">
        <f>AVERAGE(RBmatchups[[#This Row],[Proj Rank]],RBmatchups[[#This Row],[Value Rank]])</f>
        <v>#VALUE!</v>
      </c>
      <c r="AI56" s="214">
        <f>RBmatchups[[#This Row],[Salary]]/50000</f>
        <v>0.06</v>
      </c>
      <c r="AJ56" s="214"/>
      <c r="AK56" s="14">
        <f>IFERROR(INDEX(HBstats1[Rush Att],MATCH(RBmatchups[[#This Row],[Name]],HBstats1[Player],0)),"0")</f>
        <v>4.83</v>
      </c>
      <c r="AL56" s="14">
        <f>IFERROR(INDEX(HBstats2[Carries],MATCH(RBmatchups[[#This Row],[Name]],HBstats2[Player],0)),"0")</f>
        <v>2.2000000000000002</v>
      </c>
      <c r="AM56" s="14">
        <f>IFERROR(INDEX(HBstats3[Carries],MATCH(RBmatchups[[#This Row],[Name]],HBstats3[Player],0)),"0")</f>
        <v>1.9</v>
      </c>
      <c r="AN56" s="14" t="str">
        <f>IFERROR(INDEX(HBallowed[Carries],MATCH(RBmatchups[[#This Row],[Opp]],HBallowed[Team],0)),"0")</f>
        <v>0</v>
      </c>
      <c r="AO56" s="14">
        <f>IFERROR(INDEX(HBstats1[Rush Yds],MATCH(RBmatchups[[#This Row],[Name]],HBstats1[Player],0)),"0")</f>
        <v>16.646999999999998</v>
      </c>
      <c r="AP56" s="14">
        <f>IFERROR(INDEX(HBstats2[RushYards],MATCH(RBmatchups[[#This Row],[Name]],HBstats2[Player],0)),"0")</f>
        <v>9.5</v>
      </c>
      <c r="AQ56" s="14">
        <f>IFERROR(INDEX(HBstats3[RushYards],MATCH(RBmatchups[[#This Row],[Name]],HBstats3[Player],0)),"0")</f>
        <v>8.4</v>
      </c>
      <c r="AR56" s="32" t="str">
        <f>IFERROR(INDEX(HBallowed[Yards],MATCH(RBmatchups[[#This Row],[Opp]],HBallowed[Team],0)),"0")</f>
        <v>0</v>
      </c>
      <c r="AS56" s="14">
        <f>IFERROR(INDEX(HBstats1[Rush TD],MATCH(RBmatchups[[#This Row],[Name]],HBstats1[Player],0)),"0")</f>
        <v>4.8000000000000001E-2</v>
      </c>
      <c r="AT56" s="14" t="str">
        <f>IFERROR(INDEX(HBstats2[RushTD],MATCH(RBmatchups[[#This Row],[Name]],HBstats2[Player],0)),"0")</f>
        <v>0</v>
      </c>
      <c r="AU56" s="14">
        <f>IFERROR(INDEX(HBstats3[RushTD],MATCH(RBmatchups[[#This Row],[Name]],HBstats3[Player],0)),"0")</f>
        <v>0</v>
      </c>
      <c r="AV56" s="32" t="str">
        <f>IFERROR(INDEX(HBallowed[TD],MATCH(RBmatchups[[#This Row],[Opp]],HBallowed[Team],0)),"0")</f>
        <v>0</v>
      </c>
      <c r="AW56" s="32">
        <f>IFERROR(INDEX(HBstats3[Targets],MATCH(RBmatchups[[#This Row],[Name]],HBstats3[Player],0)),"0")</f>
        <v>2.1</v>
      </c>
      <c r="AX56" s="32" t="str">
        <f>IFERROR(INDEX(HBstats2[Targets],MATCH(RBmatchups[[#This Row],[Name]],HBstats2[Player],0)),"0")</f>
        <v>0</v>
      </c>
      <c r="AY56" s="32">
        <f>IFERROR(INDEX(HBstats3[Targets],MATCH(RBmatchups[[#This Row],[Name]],HBstats3[Player],0)),"0")</f>
        <v>2.1</v>
      </c>
      <c r="AZ56" s="14">
        <f>IFERROR(INDEX(HBstats1[Rec],MATCH(RBmatchups[[#This Row],[Name]],HBstats1[Player],0)),"0")</f>
        <v>2.3029999999999999</v>
      </c>
      <c r="BA56" s="14">
        <f>IFERROR(INDEX(HBstats2[Rec],MATCH(RBmatchups[[#This Row],[Name]],HBstats2[Player],0)),"0")</f>
        <v>2</v>
      </c>
      <c r="BB56" s="14">
        <f>IFERROR(INDEX(HBstats3[Rec],MATCH(RBmatchups[[#This Row],[Name]],HBstats3[Player],0)),"0")</f>
        <v>2.1</v>
      </c>
      <c r="BC56" s="32" t="str">
        <f>IFERROR(INDEX(HBallowed[Rec],MATCH(RBmatchups[[#This Row],[Opp]],HBallowed[Team],0)),"0")</f>
        <v>0</v>
      </c>
      <c r="BD56" s="14">
        <f>IFERROR(INDEX(HBstats1[Rec Yds],MATCH(RBmatchups[[#This Row],[Name]],HBstats1[Player],0)),"0")</f>
        <v>18.215</v>
      </c>
      <c r="BE56" s="14">
        <f>IFERROR(INDEX(HBstats2[RecYards],MATCH(RBmatchups[[#This Row],[Name]],HBstats2[Player],0)),"0")</f>
        <v>15.8</v>
      </c>
      <c r="BF56" s="14">
        <f>IFERROR(INDEX(HBstats3[RecYards],MATCH(RBmatchups[[#This Row],[Name]],HBstats3[Player],0)),"0")</f>
        <v>16.5</v>
      </c>
      <c r="BG56" s="32" t="str">
        <f>IFERROR(INDEX(HBallowed[RecYards],MATCH(RBmatchups[[#This Row],[Opp]],HBallowed[Team],0)),"0")</f>
        <v>0</v>
      </c>
      <c r="BH56" s="14">
        <f>IFERROR(INDEX(HBstats1[Rec TD],MATCH(RBmatchups[[#This Row],[Name]],HBstats1[Player],0)),"0")</f>
        <v>4.9000000000000002E-2</v>
      </c>
      <c r="BI56" s="14" t="str">
        <f>IFERROR(INDEX(HBstats2[RecTD],MATCH(RBmatchups[[#This Row],[Name]],HBstats2[Player],0)),"0")</f>
        <v>0.1</v>
      </c>
      <c r="BJ56" s="14">
        <f>IFERROR(INDEX(HBstats3[RecTD],MATCH(RBmatchups[[#This Row],[Name]],HBstats3[Player],0)),"0")</f>
        <v>0.1</v>
      </c>
      <c r="BK56" s="32" t="str">
        <f>IFERROR(INDEX(HBallowed[RecTD],MATCH(RBmatchups[[#This Row],[Opp]],HBallowed[Team],0)),"0")</f>
        <v>0</v>
      </c>
      <c r="BL56" s="268">
        <f>IF(RBmatchups[[#This Row],[Yards]]&gt;=100,3,0)</f>
        <v>0</v>
      </c>
    </row>
    <row r="57" spans="1:64" x14ac:dyDescent="0.3">
      <c r="A57" s="37">
        <f>HBstats1!AL55</f>
        <v>3.8</v>
      </c>
      <c r="B57" s="153" t="str">
        <f>HBstats1!D55</f>
        <v>Devontae Booker</v>
      </c>
      <c r="C57" s="154">
        <f>IFERROR(INDEX(Salaries[DraftKings (Price)],MATCH(RBmatchups[[#This Row],[Name]],Salaries[Player],0)),"")</f>
        <v>3000</v>
      </c>
      <c r="D57" s="154">
        <f>IFERROR(INDEX(DK_Salary_Changes[WeekChange],MATCH(RBmatchups[[#This Row],[Name]],DK_Salary_Changes[Player],0)),"")</f>
        <v>0</v>
      </c>
      <c r="E57" s="154" t="str">
        <f>IFERROR(INDEX(Salaries[Team],MATCH(RBmatchups[[#This Row],[Name]],Salaries[Player],0)),"")</f>
        <v>DEN</v>
      </c>
      <c r="F57" s="189" t="str">
        <f>IFERROR(INDEX(Salaries[Opp],MATCH(RBmatchups[[#This Row],[Team]],Salaries[Team],0)),"")</f>
        <v>@TB</v>
      </c>
      <c r="G57" s="410">
        <f>IFERROR(INDEX(RBYTD[Rush ATT],MATCH(RBmatchups[Name],RBYTD[Player],0)),"0")</f>
        <v>16</v>
      </c>
      <c r="H57" s="191">
        <f>IFERROR(INDEX(RBYTD[Rush Yds],MATCH(RBmatchups[Name],RBYTD[Player],0)),"0")</f>
        <v>62</v>
      </c>
      <c r="I57" s="191">
        <f>IFERROR(INDEX(RBYTD[Rush TD],MATCH(RBmatchups[Name],RBYTD[Player],0)),"0")</f>
        <v>0</v>
      </c>
      <c r="J57" s="191">
        <f>IFERROR(INDEX(RBYTD[Rec],MATCH(RBmatchups[Name],RBYTD[Player],0)),"0")</f>
        <v>2</v>
      </c>
      <c r="K57" s="191">
        <f>IFERROR(INDEX(targettracker54[TTL],MATCH(RBmatchups[Name],targettracker54[Name],0)),"0")</f>
        <v>2</v>
      </c>
      <c r="L57" s="191">
        <f>IFERROR(INDEX(RBYTD[Rec Yds],MATCH(RBmatchups[Name],RBYTD[Player],0)),"0")</f>
        <v>22</v>
      </c>
      <c r="M57" s="411">
        <f>IFERROR(INDEX(RBYTD[Rec TD],MATCH(RBmatchups[Name],RBYTD[Player],0)),"0")</f>
        <v>0</v>
      </c>
      <c r="N57" s="441">
        <f>IFERROR(INDEX(Salaries[O/U],MATCH(RBmatchups[[#This Row],[Team]],Salaries[Team],0)),"")</f>
        <v>44</v>
      </c>
      <c r="O57" s="189">
        <f>IFERROR(INDEX(Salaries[Team O/U],MATCH(RBmatchups[[#This Row],[Team]],Salaries[Team],0)),"")</f>
        <v>23.5</v>
      </c>
      <c r="P57" s="442">
        <f>IFERROR(INDEX(Salaries[Spread],MATCH(RBmatchups[[#This Row],[Team]],Salaries[Team],0)),"")</f>
        <v>-3</v>
      </c>
      <c r="Q57" s="424">
        <f>IFERROR(INDEX(HBallowed[DVP],MATCH(RBmatchups[[#This Row],[Opp]],HBallowed[Team],0)),IFERROR(INDEX(HBallowed[DVP],MATCH(RBmatchups[[#This Row],[Opp]],HBallowed[Opp],0)),""))</f>
        <v>14</v>
      </c>
      <c r="R57" s="441">
        <f>AVERAGE(RBmatchups[[#This Row],[Car1]:[Car3]])</f>
        <v>5.7650000000000006</v>
      </c>
      <c r="S57" s="190">
        <f>AVERAGE(RBmatchups[[#This Row],[Yards1]:[Yards3]])</f>
        <v>22.123333333333335</v>
      </c>
      <c r="T57" s="189">
        <f>SUM(RBmatchups[[#This Row],[Yards]]/RBmatchups[[#This Row],[Carries2]])</f>
        <v>3.8375252963284185</v>
      </c>
      <c r="U57" s="189">
        <f>AVERAGE(RBmatchups[[#This Row],[TD1]:[TD3]])</f>
        <v>0.16450000000000001</v>
      </c>
      <c r="V57" s="189">
        <f>AVERAGE(RBmatchups[[#This Row],[Tar1]:[Tar3]])</f>
        <v>0.9</v>
      </c>
      <c r="W57" s="189">
        <f>AVERAGE(RBmatchups[[#This Row],[Rec1]:[Rec3]])</f>
        <v>1.1476666666666666</v>
      </c>
      <c r="X57" s="189">
        <f>AVERAGE(RBmatchups[[#This Row],[RecYards1]:[RecYards3]])</f>
        <v>9.2173333333333343</v>
      </c>
      <c r="Y57" s="189">
        <f>AVERAGE(RBmatchups[[#This Row],[RecTD1]:[RecTd3]])</f>
        <v>8.0000000000000002E-3</v>
      </c>
      <c r="Z57" s="190">
        <f>SUM(RBmatchups[[#This Row],[Carries2]]+RBmatchups[[#This Row],[Rec4]])</f>
        <v>6.9126666666666674</v>
      </c>
      <c r="AA57" s="189">
        <f>SUM(RBmatchups[[#This Row],[Yards]]+RBmatchups[[#This Row],[RecYards]])</f>
        <v>31.340666666666671</v>
      </c>
      <c r="AB57" s="189">
        <f>SUM(RBmatchups[[#This Row],[TD]]+RBmatchups[[#This Row],[RecTD5]])</f>
        <v>0.17250000000000001</v>
      </c>
      <c r="AC57" s="191">
        <f>_xlfn.RANK.EQ(RBmatchups[Projection],RBmatchups[Projection],0)</f>
        <v>47</v>
      </c>
      <c r="AD57" s="189">
        <f>SUM(RBmatchups[[#This Row],[Total Yards]]*0.1)+(RBmatchups[[#This Row],[Rec4]]*1)+(RBmatchups[[#This Row],[Total TD]]*6)+(RBmatchups[[#This Row],[100+]])</f>
        <v>5.3167333333333344</v>
      </c>
      <c r="AE57" s="191" t="e">
        <f>_xlfn.RANK.EQ(RBmatchups[[#This Row],[$/FP]],RBmatchups[$/FP],1)</f>
        <v>#VALUE!</v>
      </c>
      <c r="AF57" s="453">
        <f>SUM(RBmatchups[[#This Row],[Salary]]/RBmatchups[[#This Row],[Projection]])</f>
        <v>564.25624757056323</v>
      </c>
      <c r="AG57" s="448" t="e">
        <f>_xlfn.RANK.EQ(RBmatchups[[#This Row],[Average]],RBmatchups[Average],1)</f>
        <v>#VALUE!</v>
      </c>
      <c r="AH57" s="190" t="e">
        <f>AVERAGE(RBmatchups[[#This Row],[Proj Rank]],RBmatchups[[#This Row],[Value Rank]])</f>
        <v>#VALUE!</v>
      </c>
      <c r="AI57" s="214">
        <f>RBmatchups[[#This Row],[Salary]]/50000</f>
        <v>0.06</v>
      </c>
      <c r="AJ57" s="214"/>
      <c r="AK57" s="14">
        <f>IFERROR(INDEX(HBstats1[Rush Att],MATCH(RBmatchups[[#This Row],[Name]],HBstats1[Player],0)),"0")</f>
        <v>5.5949999999999998</v>
      </c>
      <c r="AL57" s="14">
        <f>IFERROR(INDEX(HBstats2[Carries],MATCH(RBmatchups[[#This Row],[Name]],HBstats2[Player],0)),"0")</f>
        <v>4.7</v>
      </c>
      <c r="AM57" s="14">
        <f>IFERROR(INDEX(HBstats3[Carries],MATCH(RBmatchups[[#This Row],[Name]],HBstats3[Player],0)),"0")</f>
        <v>7</v>
      </c>
      <c r="AN57" s="14" t="str">
        <f>IFERROR(INDEX(HBallowed[Carries],MATCH(RBmatchups[[#This Row],[Opp]],HBallowed[Team],0)),"0")</f>
        <v>0</v>
      </c>
      <c r="AO57" s="14">
        <f>IFERROR(INDEX(HBstats1[Rush Yds],MATCH(RBmatchups[[#This Row],[Name]],HBstats1[Player],0)),"0")</f>
        <v>20.57</v>
      </c>
      <c r="AP57" s="14">
        <f>IFERROR(INDEX(HBstats2[RushYards],MATCH(RBmatchups[[#This Row],[Name]],HBstats2[Player],0)),"0")</f>
        <v>18.2</v>
      </c>
      <c r="AQ57" s="14">
        <f>IFERROR(INDEX(HBstats3[RushYards],MATCH(RBmatchups[[#This Row],[Name]],HBstats3[Player],0)),"0")</f>
        <v>27.6</v>
      </c>
      <c r="AR57" s="32" t="str">
        <f>IFERROR(INDEX(HBallowed[Yards],MATCH(RBmatchups[[#This Row],[Opp]],HBallowed[Team],0)),"0")</f>
        <v>0</v>
      </c>
      <c r="AS57" s="14">
        <f>IFERROR(INDEX(HBstats1[Rush TD],MATCH(RBmatchups[[#This Row],[Name]],HBstats1[Player],0)),"0")</f>
        <v>0.129</v>
      </c>
      <c r="AT57" s="14" t="str">
        <f>IFERROR(INDEX(HBstats2[RushTD],MATCH(RBmatchups[[#This Row],[Name]],HBstats2[Player],0)),"0")</f>
        <v>0.1</v>
      </c>
      <c r="AU57" s="14">
        <f>IFERROR(INDEX(HBstats3[RushTD],MATCH(RBmatchups[[#This Row],[Name]],HBstats3[Player],0)),"0")</f>
        <v>0.2</v>
      </c>
      <c r="AV57" s="32" t="str">
        <f>IFERROR(INDEX(HBallowed[TD],MATCH(RBmatchups[[#This Row],[Opp]],HBallowed[Team],0)),"0")</f>
        <v>0</v>
      </c>
      <c r="AW57" s="32">
        <f>IFERROR(INDEX(HBstats3[Targets],MATCH(RBmatchups[[#This Row],[Name]],HBstats3[Player],0)),"0")</f>
        <v>0.9</v>
      </c>
      <c r="AX57" s="32" t="str">
        <f>IFERROR(INDEX(HBstats2[Targets],MATCH(RBmatchups[[#This Row],[Name]],HBstats2[Player],0)),"0")</f>
        <v>0</v>
      </c>
      <c r="AY57" s="32">
        <f>IFERROR(INDEX(HBstats3[Targets],MATCH(RBmatchups[[#This Row],[Name]],HBstats3[Player],0)),"0")</f>
        <v>0.9</v>
      </c>
      <c r="AZ57" s="14">
        <f>IFERROR(INDEX(HBstats1[Rec],MATCH(RBmatchups[[#This Row],[Name]],HBstats1[Player],0)),"0")</f>
        <v>0.74299999999999999</v>
      </c>
      <c r="BA57" s="14">
        <f>IFERROR(INDEX(HBstats2[Rec],MATCH(RBmatchups[[#This Row],[Name]],HBstats2[Player],0)),"0")</f>
        <v>2</v>
      </c>
      <c r="BB57" s="14">
        <f>IFERROR(INDEX(HBstats3[Rec],MATCH(RBmatchups[[#This Row],[Name]],HBstats3[Player],0)),"0")</f>
        <v>0.7</v>
      </c>
      <c r="BC57" s="32" t="str">
        <f>IFERROR(INDEX(HBallowed[Rec],MATCH(RBmatchups[[#This Row],[Opp]],HBallowed[Team],0)),"0")</f>
        <v>0</v>
      </c>
      <c r="BD57" s="14">
        <f>IFERROR(INDEX(HBstats1[Rec Yds],MATCH(RBmatchups[[#This Row],[Name]],HBstats1[Player],0)),"0")</f>
        <v>6.3520000000000003</v>
      </c>
      <c r="BE57" s="14">
        <f>IFERROR(INDEX(HBstats2[RecYards],MATCH(RBmatchups[[#This Row],[Name]],HBstats2[Player],0)),"0")</f>
        <v>16.3</v>
      </c>
      <c r="BF57" s="14">
        <f>IFERROR(INDEX(HBstats3[RecYards],MATCH(RBmatchups[[#This Row],[Name]],HBstats3[Player],0)),"0")</f>
        <v>5</v>
      </c>
      <c r="BG57" s="32" t="str">
        <f>IFERROR(INDEX(HBallowed[RecYards],MATCH(RBmatchups[[#This Row],[Opp]],HBallowed[Team],0)),"0")</f>
        <v>0</v>
      </c>
      <c r="BH57" s="14">
        <f>IFERROR(INDEX(HBstats1[Rec TD],MATCH(RBmatchups[[#This Row],[Name]],HBstats1[Player],0)),"0")</f>
        <v>1.6E-2</v>
      </c>
      <c r="BI57" s="14" t="str">
        <f>IFERROR(INDEX(HBstats2[RecTD],MATCH(RBmatchups[[#This Row],[Name]],HBstats2[Player],0)),"0")</f>
        <v>0.1</v>
      </c>
      <c r="BJ57" s="14">
        <f>IFERROR(INDEX(HBstats3[RecTD],MATCH(RBmatchups[[#This Row],[Name]],HBstats3[Player],0)),"0")</f>
        <v>0</v>
      </c>
      <c r="BK57" s="32" t="str">
        <f>IFERROR(INDEX(HBallowed[RecTD],MATCH(RBmatchups[[#This Row],[Opp]],HBallowed[Team],0)),"0")</f>
        <v>0</v>
      </c>
      <c r="BL57" s="268">
        <f>IF(RBmatchups[[#This Row],[Yards]]&gt;=100,3,0)</f>
        <v>0</v>
      </c>
    </row>
    <row r="58" spans="1:64" x14ac:dyDescent="0.3">
      <c r="A58" s="37">
        <f>HBstats1!AL59</f>
        <v>3.7</v>
      </c>
      <c r="B58" s="153" t="str">
        <f>HBstats1!D59</f>
        <v>Bilal Powell</v>
      </c>
      <c r="C58" s="154">
        <f>IFERROR(INDEX(Salaries[DraftKings (Price)],MATCH(RBmatchups[[#This Row],[Name]],Salaries[Player],0)),"")</f>
        <v>3300</v>
      </c>
      <c r="D58" s="154">
        <f>IFERROR(INDEX(DK_Salary_Changes[WeekChange],MATCH(RBmatchups[[#This Row],[Name]],DK_Salary_Changes[Player],0)),"")</f>
        <v>-100</v>
      </c>
      <c r="E58" s="154" t="str">
        <f>IFERROR(INDEX(Salaries[Team],MATCH(RBmatchups[[#This Row],[Name]],Salaries[Player],0)),"")</f>
        <v>NYJ</v>
      </c>
      <c r="F58" s="189" t="str">
        <f>IFERROR(INDEX(Salaries[Opp],MATCH(RBmatchups[[#This Row],[Team]],Salaries[Team],0)),"")</f>
        <v>SEA</v>
      </c>
      <c r="G58" s="410">
        <f>IFERROR(INDEX(RBYTD[Rush ATT],MATCH(RBmatchups[Name],RBYTD[Player],0)),"0")</f>
        <v>9</v>
      </c>
      <c r="H58" s="191">
        <f>IFERROR(INDEX(RBYTD[Rush Yds],MATCH(RBmatchups[Name],RBYTD[Player],0)),"0")</f>
        <v>73</v>
      </c>
      <c r="I58" s="191">
        <f>IFERROR(INDEX(RBYTD[Rush TD],MATCH(RBmatchups[Name],RBYTD[Player],0)),"0")</f>
        <v>0</v>
      </c>
      <c r="J58" s="191">
        <f>IFERROR(INDEX(RBYTD[Rec],MATCH(RBmatchups[Name],RBYTD[Player],0)),"0")</f>
        <v>9</v>
      </c>
      <c r="K58" s="191">
        <f>IFERROR(INDEX(targettracker54[TTL],MATCH(RBmatchups[Name],targettracker54[Name],0)),"0")</f>
        <v>13</v>
      </c>
      <c r="L58" s="191">
        <f>IFERROR(INDEX(RBYTD[Rec Yds],MATCH(RBmatchups[Name],RBYTD[Player],0)),"0")</f>
        <v>49</v>
      </c>
      <c r="M58" s="411">
        <f>IFERROR(INDEX(RBYTD[Rec TD],MATCH(RBmatchups[Name],RBYTD[Player],0)),"0")</f>
        <v>0</v>
      </c>
      <c r="N58" s="441">
        <f>IFERROR(INDEX(Salaries[O/U],MATCH(RBmatchups[[#This Row],[Team]],Salaries[Team],0)),"")</f>
        <v>40.5</v>
      </c>
      <c r="O58" s="189">
        <f>IFERROR(INDEX(Salaries[Team O/U],MATCH(RBmatchups[[#This Row],[Team]],Salaries[Team],0)),"")</f>
        <v>19.5</v>
      </c>
      <c r="P58" s="442">
        <f>IFERROR(INDEX(Salaries[Spread],MATCH(RBmatchups[[#This Row],[Team]],Salaries[Team],0)),"")</f>
        <v>1.5</v>
      </c>
      <c r="Q58" s="424">
        <f>IFERROR(INDEX(HBallowed[DVP],MATCH(RBmatchups[[#This Row],[Opp]],HBallowed[Team],0)),IFERROR(INDEX(HBallowed[DVP],MATCH(RBmatchups[[#This Row],[Opp]],HBallowed[Opp],0)),""))</f>
        <v>1</v>
      </c>
      <c r="R58" s="441">
        <f>AVERAGE(RBmatchups[[#This Row],[Car1]:[Car3]])</f>
        <v>3.8646666666666669</v>
      </c>
      <c r="S58" s="190">
        <f>AVERAGE(RBmatchups[[#This Row],[Yards1]:[Yards3]])</f>
        <v>16.627333333333336</v>
      </c>
      <c r="T58" s="189">
        <f>SUM(RBmatchups[[#This Row],[Yards]]/RBmatchups[[#This Row],[Carries2]])</f>
        <v>4.3023977919613596</v>
      </c>
      <c r="U58" s="189">
        <f>AVERAGE(RBmatchups[[#This Row],[TD1]:[TD3]])</f>
        <v>6.4000000000000001E-2</v>
      </c>
      <c r="V58" s="189">
        <f>AVERAGE(RBmatchups[[#This Row],[Tar1]:[Tar3]])</f>
        <v>2</v>
      </c>
      <c r="W58" s="189">
        <f>AVERAGE(RBmatchups[[#This Row],[Rec1]:[Rec3]])</f>
        <v>1.7243333333333333</v>
      </c>
      <c r="X58" s="189">
        <f>AVERAGE(RBmatchups[[#This Row],[RecYards1]:[RecYards3]])</f>
        <v>11.686</v>
      </c>
      <c r="Y58" s="189">
        <f>AVERAGE(RBmatchups[[#This Row],[RecTD1]:[RecTd3]])</f>
        <v>0.05</v>
      </c>
      <c r="Z58" s="190">
        <f>SUM(RBmatchups[[#This Row],[Carries2]]+RBmatchups[[#This Row],[Rec4]])</f>
        <v>5.5890000000000004</v>
      </c>
      <c r="AA58" s="189">
        <f>SUM(RBmatchups[[#This Row],[Yards]]+RBmatchups[[#This Row],[RecYards]])</f>
        <v>28.313333333333336</v>
      </c>
      <c r="AB58" s="189">
        <f>SUM(RBmatchups[[#This Row],[TD]]+RBmatchups[[#This Row],[RecTD5]])</f>
        <v>0.114</v>
      </c>
      <c r="AC58" s="191">
        <f>_xlfn.RANK.EQ(RBmatchups[Projection],RBmatchups[Projection],0)</f>
        <v>48</v>
      </c>
      <c r="AD58" s="189">
        <f>SUM(RBmatchups[[#This Row],[Total Yards]]*0.1)+(RBmatchups[[#This Row],[Rec4]]*1)+(RBmatchups[[#This Row],[Total TD]]*6)+(RBmatchups[[#This Row],[100+]])</f>
        <v>5.2396666666666674</v>
      </c>
      <c r="AE58" s="191" t="e">
        <f>_xlfn.RANK.EQ(RBmatchups[[#This Row],[$/FP]],RBmatchups[$/FP],1)</f>
        <v>#VALUE!</v>
      </c>
      <c r="AF58" s="453">
        <f>SUM(RBmatchups[[#This Row],[Salary]]/RBmatchups[[#This Row],[Projection]])</f>
        <v>629.81105668299506</v>
      </c>
      <c r="AG58" s="448" t="e">
        <f>_xlfn.RANK.EQ(RBmatchups[[#This Row],[Average]],RBmatchups[Average],1)</f>
        <v>#VALUE!</v>
      </c>
      <c r="AH58" s="190" t="e">
        <f>AVERAGE(RBmatchups[[#This Row],[Proj Rank]],RBmatchups[[#This Row],[Value Rank]])</f>
        <v>#VALUE!</v>
      </c>
      <c r="AI58" s="214">
        <f>RBmatchups[[#This Row],[Salary]]/50000</f>
        <v>6.6000000000000003E-2</v>
      </c>
      <c r="AJ58" s="214"/>
      <c r="AK58" s="14">
        <f>IFERROR(INDEX(HBstats1[Rush Att],MATCH(RBmatchups[[#This Row],[Name]],HBstats1[Player],0)),"0")</f>
        <v>5.194</v>
      </c>
      <c r="AL58" s="14">
        <f>IFERROR(INDEX(HBstats2[Carries],MATCH(RBmatchups[[#This Row],[Name]],HBstats2[Player],0)),"0")</f>
        <v>3.2</v>
      </c>
      <c r="AM58" s="14">
        <f>IFERROR(INDEX(HBstats3[Carries],MATCH(RBmatchups[[#This Row],[Name]],HBstats3[Player],0)),"0")</f>
        <v>3.2</v>
      </c>
      <c r="AN58" s="14">
        <f>IFERROR(INDEX(HBallowed[Carries],MATCH(RBmatchups[[#This Row],[Opp]],HBallowed[Team],0)),"0")</f>
        <v>24.1875</v>
      </c>
      <c r="AO58" s="14">
        <f>IFERROR(INDEX(HBstats1[Rush Yds],MATCH(RBmatchups[[#This Row],[Name]],HBstats1[Player],0)),"0")</f>
        <v>23.681999999999999</v>
      </c>
      <c r="AP58" s="14">
        <f>IFERROR(INDEX(HBstats2[RushYards],MATCH(RBmatchups[[#This Row],[Name]],HBstats2[Player],0)),"0")</f>
        <v>12.5</v>
      </c>
      <c r="AQ58" s="14">
        <f>IFERROR(INDEX(HBstats3[RushYards],MATCH(RBmatchups[[#This Row],[Name]],HBstats3[Player],0)),"0")</f>
        <v>13.7</v>
      </c>
      <c r="AR58" s="32">
        <f>IFERROR(INDEX(HBallowed[Yards],MATCH(RBmatchups[[#This Row],[Opp]],HBallowed[Team],0)),"0")</f>
        <v>94.625</v>
      </c>
      <c r="AS58" s="14">
        <f>IFERROR(INDEX(HBstats1[Rush TD],MATCH(RBmatchups[[#This Row],[Name]],HBstats1[Player],0)),"0")</f>
        <v>2.8000000000000001E-2</v>
      </c>
      <c r="AT58" s="14" t="str">
        <f>IFERROR(INDEX(HBstats2[RushTD],MATCH(RBmatchups[[#This Row],[Name]],HBstats2[Player],0)),"0")</f>
        <v>0.1</v>
      </c>
      <c r="AU58" s="14">
        <f>IFERROR(INDEX(HBstats3[RushTD],MATCH(RBmatchups[[#This Row],[Name]],HBstats3[Player],0)),"0")</f>
        <v>0.1</v>
      </c>
      <c r="AV58" s="32">
        <f>IFERROR(INDEX(HBallowed[TD],MATCH(RBmatchups[[#This Row],[Opp]],HBallowed[Team],0)),"0")</f>
        <v>0.375</v>
      </c>
      <c r="AW58" s="32">
        <f>IFERROR(INDEX(HBstats3[Targets],MATCH(RBmatchups[[#This Row],[Name]],HBstats3[Player],0)),"0")</f>
        <v>2</v>
      </c>
      <c r="AX58" s="32" t="str">
        <f>IFERROR(INDEX(HBstats2[Targets],MATCH(RBmatchups[[#This Row],[Name]],HBstats2[Player],0)),"0")</f>
        <v>0</v>
      </c>
      <c r="AY58" s="32">
        <f>IFERROR(INDEX(HBstats3[Targets],MATCH(RBmatchups[[#This Row],[Name]],HBstats3[Player],0)),"0")</f>
        <v>2</v>
      </c>
      <c r="AZ58" s="14">
        <f>IFERROR(INDEX(HBstats1[Rec],MATCH(RBmatchups[[#This Row],[Name]],HBstats1[Player],0)),"0")</f>
        <v>1.2729999999999999</v>
      </c>
      <c r="BA58" s="14">
        <f>IFERROR(INDEX(HBstats2[Rec],MATCH(RBmatchups[[#This Row],[Name]],HBstats2[Player],0)),"0")</f>
        <v>2.4</v>
      </c>
      <c r="BB58" s="14">
        <f>IFERROR(INDEX(HBstats3[Rec],MATCH(RBmatchups[[#This Row],[Name]],HBstats3[Player],0)),"0")</f>
        <v>1.5</v>
      </c>
      <c r="BC58" s="32">
        <f>IFERROR(INDEX(HBallowed[Rec],MATCH(RBmatchups[[#This Row],[Opp]],HBallowed[Team],0)),"0")</f>
        <v>3.5</v>
      </c>
      <c r="BD58" s="14">
        <f>IFERROR(INDEX(HBstats1[Rec Yds],MATCH(RBmatchups[[#This Row],[Name]],HBstats1[Player],0)),"0")</f>
        <v>6.3579999999999997</v>
      </c>
      <c r="BE58" s="14">
        <f>IFERROR(INDEX(HBstats2[RecYards],MATCH(RBmatchups[[#This Row],[Name]],HBstats2[Player],0)),"0")</f>
        <v>15.3</v>
      </c>
      <c r="BF58" s="14">
        <f>IFERROR(INDEX(HBstats3[RecYards],MATCH(RBmatchups[[#This Row],[Name]],HBstats3[Player],0)),"0")</f>
        <v>13.4</v>
      </c>
      <c r="BG58" s="32">
        <f>IFERROR(INDEX(HBallowed[RecYards],MATCH(RBmatchups[[#This Row],[Opp]],HBallowed[Team],0)),"0")</f>
        <v>31.0625</v>
      </c>
      <c r="BH58" s="14">
        <f>IFERROR(INDEX(HBstats1[Rec TD],MATCH(RBmatchups[[#This Row],[Name]],HBstats1[Player],0)),"0")</f>
        <v>0</v>
      </c>
      <c r="BI58" s="14" t="str">
        <f>IFERROR(INDEX(HBstats2[RecTD],MATCH(RBmatchups[[#This Row],[Name]],HBstats2[Player],0)),"0")</f>
        <v>0</v>
      </c>
      <c r="BJ58" s="14">
        <f>IFERROR(INDEX(HBstats3[RecTD],MATCH(RBmatchups[[#This Row],[Name]],HBstats3[Player],0)),"0")</f>
        <v>0.1</v>
      </c>
      <c r="BK58" s="32">
        <f>IFERROR(INDEX(HBallowed[RecTD],MATCH(RBmatchups[[#This Row],[Opp]],HBallowed[Team],0)),"0")</f>
        <v>0.125</v>
      </c>
      <c r="BL58" s="268">
        <f>IF(RBmatchups[[#This Row],[Yards]]&gt;=100,3,0)</f>
        <v>0</v>
      </c>
    </row>
    <row r="59" spans="1:64" x14ac:dyDescent="0.3">
      <c r="A59" s="37">
        <f>HBstats1!AL53</f>
        <v>5.0999999999999996</v>
      </c>
      <c r="B59" s="153" t="str">
        <f>HBstats1!D53</f>
        <v>Josh Ferguson</v>
      </c>
      <c r="C59" s="154">
        <f>IFERROR(INDEX(Salaries[DraftKings (Price)],MATCH(RBmatchups[[#This Row],[Name]],Salaries[Player],0)),"")</f>
        <v>3000</v>
      </c>
      <c r="D59" s="154">
        <f>IFERROR(INDEX(DK_Salary_Changes[WeekChange],MATCH(RBmatchups[[#This Row],[Name]],DK_Salary_Changes[Player],0)),"")</f>
        <v>0</v>
      </c>
      <c r="E59" s="154" t="str">
        <f>IFERROR(INDEX(Salaries[Team],MATCH(RBmatchups[[#This Row],[Name]],Salaries[Player],0)),"")</f>
        <v>IND</v>
      </c>
      <c r="F59" s="189" t="str">
        <f>IFERROR(INDEX(Salaries[Opp],MATCH(RBmatchups[[#This Row],[Team]],Salaries[Team],0)),"")</f>
        <v>@JAX</v>
      </c>
      <c r="G59" s="410">
        <f>IFERROR(INDEX(RBYTD[Rush ATT],MATCH(RBmatchups[Name],RBYTD[Player],0)),"0")</f>
        <v>4</v>
      </c>
      <c r="H59" s="191">
        <f>IFERROR(INDEX(RBYTD[Rush Yds],MATCH(RBmatchups[Name],RBYTD[Player],0)),"0")</f>
        <v>7</v>
      </c>
      <c r="I59" s="191">
        <f>IFERROR(INDEX(RBYTD[Rush TD],MATCH(RBmatchups[Name],RBYTD[Player],0)),"0")</f>
        <v>0</v>
      </c>
      <c r="J59" s="191">
        <f>IFERROR(INDEX(RBYTD[Rec],MATCH(RBmatchups[Name],RBYTD[Player],0)),"0")</f>
        <v>10</v>
      </c>
      <c r="K59" s="191">
        <f>IFERROR(INDEX(targettracker54[TTL],MATCH(RBmatchups[Name],targettracker54[Name],0)),"0")</f>
        <v>11</v>
      </c>
      <c r="L59" s="191">
        <f>IFERROR(INDEX(RBYTD[Rec Yds],MATCH(RBmatchups[Name],RBYTD[Player],0)),"0")</f>
        <v>84</v>
      </c>
      <c r="M59" s="411">
        <f>IFERROR(INDEX(RBYTD[Rec TD],MATCH(RBmatchups[Name],RBYTD[Player],0)),"0")</f>
        <v>0</v>
      </c>
      <c r="N59" s="441">
        <f>IFERROR(INDEX(Salaries[O/U],MATCH(RBmatchups[[#This Row],[Team]],Salaries[Team],0)),"")</f>
        <v>49.5</v>
      </c>
      <c r="O59" s="189">
        <f>IFERROR(INDEX(Salaries[Team O/U],MATCH(RBmatchups[[#This Row],[Team]],Salaries[Team],0)),"")</f>
        <v>26</v>
      </c>
      <c r="P59" s="442">
        <f>IFERROR(INDEX(Salaries[Spread],MATCH(RBmatchups[[#This Row],[Team]],Salaries[Team],0)),"")</f>
        <v>-2.5</v>
      </c>
      <c r="Q59" s="424">
        <f>IFERROR(INDEX(HBallowed[DVP],MATCH(RBmatchups[[#This Row],[Opp]],HBallowed[Team],0)),IFERROR(INDEX(HBallowed[DVP],MATCH(RBmatchups[[#This Row],[Opp]],HBallowed[Opp],0)),""))</f>
        <v>24</v>
      </c>
      <c r="R59" s="441">
        <f>AVERAGE(RBmatchups[[#This Row],[Car1]:[Car3]])</f>
        <v>1.6616666666666668</v>
      </c>
      <c r="S59" s="190">
        <f>AVERAGE(RBmatchups[[#This Row],[Yards1]:[Yards3]])</f>
        <v>6.7459999999999996</v>
      </c>
      <c r="T59" s="189">
        <f>SUM(RBmatchups[[#This Row],[Yards]]/RBmatchups[[#This Row],[Carries2]])</f>
        <v>4.0597793380140414</v>
      </c>
      <c r="U59" s="189">
        <f>AVERAGE(RBmatchups[[#This Row],[TD1]:[TD3]])</f>
        <v>0</v>
      </c>
      <c r="V59" s="189">
        <f>AVERAGE(RBmatchups[[#This Row],[Tar1]:[Tar3]])</f>
        <v>1.4</v>
      </c>
      <c r="W59" s="189">
        <f>AVERAGE(RBmatchups[[#This Row],[Rec1]:[Rec3]])</f>
        <v>2.1764999999999999</v>
      </c>
      <c r="X59" s="189">
        <f>AVERAGE(RBmatchups[[#This Row],[RecYards1]:[RecYards3]])</f>
        <v>13.075333333333333</v>
      </c>
      <c r="Y59" s="189">
        <f>AVERAGE(RBmatchups[[#This Row],[RecTD1]:[RecTd3]])</f>
        <v>0.10850000000000001</v>
      </c>
      <c r="Z59" s="190">
        <f>SUM(RBmatchups[[#This Row],[Carries2]]+RBmatchups[[#This Row],[Rec4]])</f>
        <v>3.8381666666666669</v>
      </c>
      <c r="AA59" s="189">
        <f>SUM(RBmatchups[[#This Row],[Yards]]+RBmatchups[[#This Row],[RecYards]])</f>
        <v>19.821333333333332</v>
      </c>
      <c r="AB59" s="189">
        <f>SUM(RBmatchups[[#This Row],[TD]]+RBmatchups[[#This Row],[RecTD5]])</f>
        <v>0.10850000000000001</v>
      </c>
      <c r="AC59" s="191">
        <f>_xlfn.RANK.EQ(RBmatchups[Projection],RBmatchups[Projection],0)</f>
        <v>49</v>
      </c>
      <c r="AD59" s="189">
        <f>SUM(RBmatchups[[#This Row],[Total Yards]]*0.1)+(RBmatchups[[#This Row],[Rec4]]*1)+(RBmatchups[[#This Row],[Total TD]]*6)+(RBmatchups[[#This Row],[100+]])</f>
        <v>4.8096333333333332</v>
      </c>
      <c r="AE59" s="191" t="e">
        <f>_xlfn.RANK.EQ(RBmatchups[[#This Row],[$/FP]],RBmatchups[$/FP],1)</f>
        <v>#VALUE!</v>
      </c>
      <c r="AF59" s="453">
        <f>SUM(RBmatchups[[#This Row],[Salary]]/RBmatchups[[#This Row],[Projection]])</f>
        <v>623.74817207132912</v>
      </c>
      <c r="AG59" s="448" t="e">
        <f>_xlfn.RANK.EQ(RBmatchups[[#This Row],[Average]],RBmatchups[Average],1)</f>
        <v>#VALUE!</v>
      </c>
      <c r="AH59" s="190" t="e">
        <f>AVERAGE(RBmatchups[[#This Row],[Proj Rank]],RBmatchups[[#This Row],[Value Rank]])</f>
        <v>#VALUE!</v>
      </c>
      <c r="AI59" s="214">
        <f>RBmatchups[[#This Row],[Salary]]/50000</f>
        <v>0.06</v>
      </c>
      <c r="AJ59" s="214"/>
      <c r="AK59" s="14">
        <f>IFERROR(INDEX(HBstats1[Rush Att],MATCH(RBmatchups[[#This Row],[Name]],HBstats1[Player],0)),"0")</f>
        <v>0.78500000000000003</v>
      </c>
      <c r="AL59" s="14">
        <f>IFERROR(INDEX(HBstats2[Carries],MATCH(RBmatchups[[#This Row],[Name]],HBstats2[Player],0)),"0")</f>
        <v>2.2000000000000002</v>
      </c>
      <c r="AM59" s="14">
        <f>IFERROR(INDEX(HBstats3[Carries],MATCH(RBmatchups[[#This Row],[Name]],HBstats3[Player],0)),"0")</f>
        <v>2</v>
      </c>
      <c r="AN59" s="14" t="str">
        <f>IFERROR(INDEX(HBallowed[Carries],MATCH(RBmatchups[[#This Row],[Opp]],HBallowed[Team],0)),"0")</f>
        <v>0</v>
      </c>
      <c r="AO59" s="14">
        <f>IFERROR(INDEX(HBstats1[Rush Yds],MATCH(RBmatchups[[#This Row],[Name]],HBstats1[Player],0)),"0")</f>
        <v>3.0379999999999998</v>
      </c>
      <c r="AP59" s="14">
        <f>IFERROR(INDEX(HBstats2[RushYards],MATCH(RBmatchups[[#This Row],[Name]],HBstats2[Player],0)),"0")</f>
        <v>9.1999999999999993</v>
      </c>
      <c r="AQ59" s="14">
        <f>IFERROR(INDEX(HBstats3[RushYards],MATCH(RBmatchups[[#This Row],[Name]],HBstats3[Player],0)),"0")</f>
        <v>8</v>
      </c>
      <c r="AR59" s="32" t="str">
        <f>IFERROR(INDEX(HBallowed[Yards],MATCH(RBmatchups[[#This Row],[Opp]],HBallowed[Team],0)),"0")</f>
        <v>0</v>
      </c>
      <c r="AS59" s="14">
        <f>IFERROR(INDEX(HBstats1[Rush TD],MATCH(RBmatchups[[#This Row],[Name]],HBstats1[Player],0)),"0")</f>
        <v>0</v>
      </c>
      <c r="AT59" s="14" t="str">
        <f>IFERROR(INDEX(HBstats2[RushTD],MATCH(RBmatchups[[#This Row],[Name]],HBstats2[Player],0)),"0")</f>
        <v>0</v>
      </c>
      <c r="AU59" s="14">
        <f>IFERROR(INDEX(HBstats3[RushTD],MATCH(RBmatchups[[#This Row],[Name]],HBstats3[Player],0)),"0")</f>
        <v>0</v>
      </c>
      <c r="AV59" s="32" t="str">
        <f>IFERROR(INDEX(HBallowed[TD],MATCH(RBmatchups[[#This Row],[Opp]],HBallowed[Team],0)),"0")</f>
        <v>0</v>
      </c>
      <c r="AW59" s="32">
        <f>IFERROR(INDEX(HBstats3[Targets],MATCH(RBmatchups[[#This Row],[Name]],HBstats3[Player],0)),"0")</f>
        <v>1.4</v>
      </c>
      <c r="AX59" s="32" t="str">
        <f>IFERROR(INDEX(HBstats2[Targets],MATCH(RBmatchups[[#This Row],[Name]],HBstats2[Player],0)),"0")</f>
        <v>0</v>
      </c>
      <c r="AY59" s="32">
        <f>IFERROR(INDEX(HBstats3[Targets],MATCH(RBmatchups[[#This Row],[Name]],HBstats3[Player],0)),"0")</f>
        <v>1.4</v>
      </c>
      <c r="AZ59" s="14">
        <f>IFERROR(INDEX(HBstats1[Rec],MATCH(RBmatchups[[#This Row],[Name]],HBstats1[Player],0)),"0")</f>
        <v>3.2530000000000001</v>
      </c>
      <c r="BA59" s="14" t="str">
        <f>IFERROR(INDEX(HBstats2[Rec],MATCH(RBmatchups[[#This Row],[Name]],HBstats2[Player],0)),"0")</f>
        <v>0.7</v>
      </c>
      <c r="BB59" s="14">
        <f>IFERROR(INDEX(HBstats3[Rec],MATCH(RBmatchups[[#This Row],[Name]],HBstats3[Player],0)),"0")</f>
        <v>1.1000000000000001</v>
      </c>
      <c r="BC59" s="32" t="str">
        <f>IFERROR(INDEX(HBallowed[Rec],MATCH(RBmatchups[[#This Row],[Opp]],HBallowed[Team],0)),"0")</f>
        <v>0</v>
      </c>
      <c r="BD59" s="14">
        <f>IFERROR(INDEX(HBstats1[Rec Yds],MATCH(RBmatchups[[#This Row],[Name]],HBstats1[Player],0)),"0")</f>
        <v>25.626000000000001</v>
      </c>
      <c r="BE59" s="14">
        <f>IFERROR(INDEX(HBstats2[RecYards],MATCH(RBmatchups[[#This Row],[Name]],HBstats2[Player],0)),"0")</f>
        <v>5.8</v>
      </c>
      <c r="BF59" s="14">
        <f>IFERROR(INDEX(HBstats3[RecYards],MATCH(RBmatchups[[#This Row],[Name]],HBstats3[Player],0)),"0")</f>
        <v>7.8</v>
      </c>
      <c r="BG59" s="32" t="str">
        <f>IFERROR(INDEX(HBallowed[RecYards],MATCH(RBmatchups[[#This Row],[Opp]],HBallowed[Team],0)),"0")</f>
        <v>0</v>
      </c>
      <c r="BH59" s="14">
        <f>IFERROR(INDEX(HBstats1[Rec TD],MATCH(RBmatchups[[#This Row],[Name]],HBstats1[Player],0)),"0")</f>
        <v>0.11700000000000001</v>
      </c>
      <c r="BI59" s="14" t="str">
        <f>IFERROR(INDEX(HBstats2[RecTD],MATCH(RBmatchups[[#This Row],[Name]],HBstats2[Player],0)),"0")</f>
        <v>0</v>
      </c>
      <c r="BJ59" s="14">
        <f>IFERROR(INDEX(HBstats3[RecTD],MATCH(RBmatchups[[#This Row],[Name]],HBstats3[Player],0)),"0")</f>
        <v>0.1</v>
      </c>
      <c r="BK59" s="32" t="str">
        <f>IFERROR(INDEX(HBallowed[RecTD],MATCH(RBmatchups[[#This Row],[Opp]],HBallowed[Team],0)),"0")</f>
        <v>0</v>
      </c>
      <c r="BL59" s="268">
        <f>IF(RBmatchups[[#This Row],[Yards]]&gt;=100,3,0)</f>
        <v>0</v>
      </c>
    </row>
    <row r="60" spans="1:64" x14ac:dyDescent="0.3">
      <c r="A60" s="37">
        <f>HBstats1!AL48</f>
        <v>4.4000000000000004</v>
      </c>
      <c r="B60" s="153" t="str">
        <f>HBstats1!D48</f>
        <v>DeAndre Washington</v>
      </c>
      <c r="C60" s="154">
        <f>IFERROR(INDEX(Salaries[DraftKings (Price)],MATCH(RBmatchups[[#This Row],[Name]],Salaries[Player],0)),"")</f>
        <v>3300</v>
      </c>
      <c r="D60" s="154">
        <f>IFERROR(INDEX(DK_Salary_Changes[WeekChange],MATCH(RBmatchups[[#This Row],[Name]],DK_Salary_Changes[Player],0)),"")</f>
        <v>-100</v>
      </c>
      <c r="E60" s="154" t="str">
        <f>IFERROR(INDEX(Salaries[Team],MATCH(RBmatchups[[#This Row],[Name]],Salaries[Player],0)),"")</f>
        <v>OAK</v>
      </c>
      <c r="F60" s="189" t="str">
        <f>IFERROR(INDEX(Salaries[Opp],MATCH(RBmatchups[[#This Row],[Team]],Salaries[Team],0)),"")</f>
        <v>@BAL</v>
      </c>
      <c r="G60" s="410">
        <f>IFERROR(INDEX(RBYTD[Rush ATT],MATCH(RBmatchups[Name],RBYTD[Player],0)),"0")</f>
        <v>18</v>
      </c>
      <c r="H60" s="191">
        <f>IFERROR(INDEX(RBYTD[Rush Yds],MATCH(RBmatchups[Name],RBYTD[Player],0)),"0")</f>
        <v>117</v>
      </c>
      <c r="I60" s="191">
        <f>IFERROR(INDEX(RBYTD[Rush TD],MATCH(RBmatchups[Name],RBYTD[Player],0)),"0")</f>
        <v>0</v>
      </c>
      <c r="J60" s="191">
        <f>IFERROR(INDEX(RBYTD[Rec],MATCH(RBmatchups[Name],RBYTD[Player],0)),"0")</f>
        <v>3</v>
      </c>
      <c r="K60" s="191">
        <f>IFERROR(INDEX(targettracker54[TTL],MATCH(RBmatchups[Name],targettracker54[Name],0)),"0")</f>
        <v>3</v>
      </c>
      <c r="L60" s="191">
        <f>IFERROR(INDEX(RBYTD[Rec Yds],MATCH(RBmatchups[Name],RBYTD[Player],0)),"0")</f>
        <v>21</v>
      </c>
      <c r="M60" s="411">
        <f>IFERROR(INDEX(RBYTD[Rec TD],MATCH(RBmatchups[Name],RBYTD[Player],0)),"0")</f>
        <v>0</v>
      </c>
      <c r="N60" s="441">
        <f>IFERROR(INDEX(Salaries[O/U],MATCH(RBmatchups[[#This Row],[Team]],Salaries[Team],0)),"")</f>
        <v>46.5</v>
      </c>
      <c r="O60" s="189">
        <f>IFERROR(INDEX(Salaries[Team O/U],MATCH(RBmatchups[[#This Row],[Team]],Salaries[Team],0)),"")</f>
        <v>21.5</v>
      </c>
      <c r="P60" s="442">
        <f>IFERROR(INDEX(Salaries[Spread],MATCH(RBmatchups[[#This Row],[Team]],Salaries[Team],0)),"")</f>
        <v>3.5</v>
      </c>
      <c r="Q60" s="424">
        <f>IFERROR(INDEX(HBallowed[DVP],MATCH(RBmatchups[[#This Row],[Opp]],HBallowed[Team],0)),IFERROR(INDEX(HBallowed[DVP],MATCH(RBmatchups[[#This Row],[Opp]],HBallowed[Opp],0)),""))</f>
        <v>7</v>
      </c>
      <c r="R60" s="441">
        <f>AVERAGE(RBmatchups[[#This Row],[Car1]:[Car3]])</f>
        <v>4.9543333333333335</v>
      </c>
      <c r="S60" s="190">
        <f>AVERAGE(RBmatchups[[#This Row],[Yards1]:[Yards3]])</f>
        <v>21.062999999999999</v>
      </c>
      <c r="T60" s="189">
        <f>SUM(RBmatchups[[#This Row],[Yards]]/RBmatchups[[#This Row],[Carries2]])</f>
        <v>4.2514297248200226</v>
      </c>
      <c r="U60" s="189">
        <f>AVERAGE(RBmatchups[[#This Row],[TD1]:[TD3]])</f>
        <v>9.8500000000000004E-2</v>
      </c>
      <c r="V60" s="189">
        <f>AVERAGE(RBmatchups[[#This Row],[Tar1]:[Tar3]])</f>
        <v>1</v>
      </c>
      <c r="W60" s="189">
        <f>AVERAGE(RBmatchups[[#This Row],[Rec1]:[Rec3]])</f>
        <v>1.1366666666666667</v>
      </c>
      <c r="X60" s="189">
        <f>AVERAGE(RBmatchups[[#This Row],[RecYards1]:[RecYards3]])</f>
        <v>8.9946666666666655</v>
      </c>
      <c r="Y60" s="189">
        <f>AVERAGE(RBmatchups[[#This Row],[RecTD1]:[RecTd3]])</f>
        <v>7.4999999999999997E-3</v>
      </c>
      <c r="Z60" s="190">
        <f>SUM(RBmatchups[[#This Row],[Carries2]]+RBmatchups[[#This Row],[Rec4]])</f>
        <v>6.0910000000000002</v>
      </c>
      <c r="AA60" s="189">
        <f>SUM(RBmatchups[[#This Row],[Yards]]+RBmatchups[[#This Row],[RecYards]])</f>
        <v>30.057666666666663</v>
      </c>
      <c r="AB60" s="189">
        <f>SUM(RBmatchups[[#This Row],[TD]]+RBmatchups[[#This Row],[RecTD5]])</f>
        <v>0.10600000000000001</v>
      </c>
      <c r="AC60" s="191">
        <f>_xlfn.RANK.EQ(RBmatchups[Projection],RBmatchups[Projection],0)</f>
        <v>50</v>
      </c>
      <c r="AD60" s="189">
        <f>SUM(RBmatchups[[#This Row],[Total Yards]]*0.1)+(RBmatchups[[#This Row],[Rec4]]*1)+(RBmatchups[[#This Row],[Total TD]]*6)+(RBmatchups[[#This Row],[100+]])</f>
        <v>4.7784333333333331</v>
      </c>
      <c r="AE60" s="191" t="e">
        <f>_xlfn.RANK.EQ(RBmatchups[[#This Row],[$/FP]],RBmatchups[$/FP],1)</f>
        <v>#VALUE!</v>
      </c>
      <c r="AF60" s="453">
        <f>SUM(RBmatchups[[#This Row],[Salary]]/RBmatchups[[#This Row],[Projection]])</f>
        <v>690.60291727414153</v>
      </c>
      <c r="AG60" s="448" t="e">
        <f>_xlfn.RANK.EQ(RBmatchups[[#This Row],[Average]],RBmatchups[Average],1)</f>
        <v>#VALUE!</v>
      </c>
      <c r="AH60" s="190" t="e">
        <f>AVERAGE(RBmatchups[[#This Row],[Proj Rank]],RBmatchups[[#This Row],[Value Rank]])</f>
        <v>#VALUE!</v>
      </c>
      <c r="AI60" s="214">
        <f>RBmatchups[[#This Row],[Salary]]/50000</f>
        <v>6.6000000000000003E-2</v>
      </c>
      <c r="AJ60" s="214"/>
      <c r="AK60" s="14">
        <f>IFERROR(INDEX(HBstats1[Rush Att],MATCH(RBmatchups[[#This Row],[Name]],HBstats1[Player],0)),"0")</f>
        <v>6.4630000000000001</v>
      </c>
      <c r="AL60" s="14">
        <f>IFERROR(INDEX(HBstats2[Carries],MATCH(RBmatchups[[#This Row],[Name]],HBstats2[Player],0)),"0")</f>
        <v>3.8</v>
      </c>
      <c r="AM60" s="14">
        <f>IFERROR(INDEX(HBstats3[Carries],MATCH(RBmatchups[[#This Row],[Name]],HBstats3[Player],0)),"0")</f>
        <v>4.5999999999999996</v>
      </c>
      <c r="AN60" s="14" t="str">
        <f>IFERROR(INDEX(HBallowed[Carries],MATCH(RBmatchups[[#This Row],[Opp]],HBallowed[Team],0)),"0")</f>
        <v>0</v>
      </c>
      <c r="AO60" s="14">
        <f>IFERROR(INDEX(HBstats1[Rush Yds],MATCH(RBmatchups[[#This Row],[Name]],HBstats1[Player],0)),"0")</f>
        <v>27.289000000000001</v>
      </c>
      <c r="AP60" s="14">
        <f>IFERROR(INDEX(HBstats2[RushYards],MATCH(RBmatchups[[#This Row],[Name]],HBstats2[Player],0)),"0")</f>
        <v>16.399999999999999</v>
      </c>
      <c r="AQ60" s="14">
        <f>IFERROR(INDEX(HBstats3[RushYards],MATCH(RBmatchups[[#This Row],[Name]],HBstats3[Player],0)),"0")</f>
        <v>19.5</v>
      </c>
      <c r="AR60" s="32" t="str">
        <f>IFERROR(INDEX(HBallowed[Yards],MATCH(RBmatchups[[#This Row],[Opp]],HBallowed[Team],0)),"0")</f>
        <v>0</v>
      </c>
      <c r="AS60" s="14">
        <f>IFERROR(INDEX(HBstats1[Rush TD],MATCH(RBmatchups[[#This Row],[Name]],HBstats1[Player],0)),"0")</f>
        <v>9.7000000000000003E-2</v>
      </c>
      <c r="AT60" s="14" t="str">
        <f>IFERROR(INDEX(HBstats2[RushTD],MATCH(RBmatchups[[#This Row],[Name]],HBstats2[Player],0)),"0")</f>
        <v>0.1</v>
      </c>
      <c r="AU60" s="14">
        <f>IFERROR(INDEX(HBstats3[RushTD],MATCH(RBmatchups[[#This Row],[Name]],HBstats3[Player],0)),"0")</f>
        <v>0.1</v>
      </c>
      <c r="AV60" s="32" t="str">
        <f>IFERROR(INDEX(HBallowed[TD],MATCH(RBmatchups[[#This Row],[Opp]],HBallowed[Team],0)),"0")</f>
        <v>0</v>
      </c>
      <c r="AW60" s="32">
        <f>IFERROR(INDEX(HBstats3[Targets],MATCH(RBmatchups[[#This Row],[Name]],HBstats3[Player],0)),"0")</f>
        <v>1</v>
      </c>
      <c r="AX60" s="32" t="str">
        <f>IFERROR(INDEX(HBstats2[Targets],MATCH(RBmatchups[[#This Row],[Name]],HBstats2[Player],0)),"0")</f>
        <v>0</v>
      </c>
      <c r="AY60" s="32">
        <f>IFERROR(INDEX(HBstats3[Targets],MATCH(RBmatchups[[#This Row],[Name]],HBstats3[Player],0)),"0")</f>
        <v>1</v>
      </c>
      <c r="AZ60" s="14">
        <f>IFERROR(INDEX(HBstats1[Rec],MATCH(RBmatchups[[#This Row],[Name]],HBstats1[Player],0)),"0")</f>
        <v>0.91</v>
      </c>
      <c r="BA60" s="14">
        <f>IFERROR(INDEX(HBstats2[Rec],MATCH(RBmatchups[[#This Row],[Name]],HBstats2[Player],0)),"0")</f>
        <v>1.7</v>
      </c>
      <c r="BB60" s="14">
        <f>IFERROR(INDEX(HBstats3[Rec],MATCH(RBmatchups[[#This Row],[Name]],HBstats3[Player],0)),"0")</f>
        <v>0.8</v>
      </c>
      <c r="BC60" s="32" t="str">
        <f>IFERROR(INDEX(HBallowed[Rec],MATCH(RBmatchups[[#This Row],[Opp]],HBallowed[Team],0)),"0")</f>
        <v>0</v>
      </c>
      <c r="BD60" s="14">
        <f>IFERROR(INDEX(HBstats1[Rec Yds],MATCH(RBmatchups[[#This Row],[Name]],HBstats1[Player],0)),"0")</f>
        <v>6.5839999999999996</v>
      </c>
      <c r="BE60" s="14">
        <f>IFERROR(INDEX(HBstats2[RecYards],MATCH(RBmatchups[[#This Row],[Name]],HBstats2[Player],0)),"0")</f>
        <v>13.6</v>
      </c>
      <c r="BF60" s="14">
        <f>IFERROR(INDEX(HBstats3[RecYards],MATCH(RBmatchups[[#This Row],[Name]],HBstats3[Player],0)),"0")</f>
        <v>6.8</v>
      </c>
      <c r="BG60" s="32" t="str">
        <f>IFERROR(INDEX(HBallowed[RecYards],MATCH(RBmatchups[[#This Row],[Opp]],HBallowed[Team],0)),"0")</f>
        <v>0</v>
      </c>
      <c r="BH60" s="14">
        <f>IFERROR(INDEX(HBstats1[Rec TD],MATCH(RBmatchups[[#This Row],[Name]],HBstats1[Player],0)),"0")</f>
        <v>1.4999999999999999E-2</v>
      </c>
      <c r="BI60" s="14" t="str">
        <f>IFERROR(INDEX(HBstats2[RecTD],MATCH(RBmatchups[[#This Row],[Name]],HBstats2[Player],0)),"0")</f>
        <v>0</v>
      </c>
      <c r="BJ60" s="14">
        <f>IFERROR(INDEX(HBstats3[RecTD],MATCH(RBmatchups[[#This Row],[Name]],HBstats3[Player],0)),"0")</f>
        <v>0</v>
      </c>
      <c r="BK60" s="32" t="str">
        <f>IFERROR(INDEX(HBallowed[RecTD],MATCH(RBmatchups[[#This Row],[Opp]],HBallowed[Team],0)),"0")</f>
        <v>0</v>
      </c>
      <c r="BL60" s="268">
        <f>IF(RBmatchups[[#This Row],[Yards]]&gt;=100,3,0)</f>
        <v>0</v>
      </c>
    </row>
    <row r="61" spans="1:64" x14ac:dyDescent="0.3">
      <c r="A61" s="37">
        <f>HBstats1!AL50</f>
        <v>4.3</v>
      </c>
      <c r="B61" s="153" t="str">
        <f>HBstats1!D50</f>
        <v>KaDeem Carey</v>
      </c>
      <c r="C61" s="154">
        <f>IFERROR(INDEX(Salaries[DraftKings (Price)],MATCH(RBmatchups[[#This Row],[Name]],Salaries[Player],0)),"")</f>
        <v>3100</v>
      </c>
      <c r="D61" s="154">
        <f>IFERROR(INDEX(DK_Salary_Changes[WeekChange],MATCH(RBmatchups[[#This Row],[Name]],DK_Salary_Changes[Player],0)),"")</f>
        <v>0</v>
      </c>
      <c r="E61" s="154" t="str">
        <f>IFERROR(INDEX(Salaries[Team],MATCH(RBmatchups[[#This Row],[Name]],Salaries[Player],0)),"")</f>
        <v>CHI</v>
      </c>
      <c r="F61" s="189" t="str">
        <f>IFERROR(INDEX(Salaries[Opp],MATCH(RBmatchups[[#This Row],[Team]],Salaries[Team],0)),"")</f>
        <v>DET</v>
      </c>
      <c r="G61" s="410" t="str">
        <f>IFERROR(INDEX(RBYTD[Rush ATT],MATCH(RBmatchups[Name],RBYTD[Player],0)),"0")</f>
        <v>0</v>
      </c>
      <c r="H61" s="191" t="str">
        <f>IFERROR(INDEX(RBYTD[Rush Yds],MATCH(RBmatchups[Name],RBYTD[Player],0)),"0")</f>
        <v>0</v>
      </c>
      <c r="I61" s="191" t="str">
        <f>IFERROR(INDEX(RBYTD[Rush TD],MATCH(RBmatchups[Name],RBYTD[Player],0)),"0")</f>
        <v>0</v>
      </c>
      <c r="J61" s="191" t="str">
        <f>IFERROR(INDEX(RBYTD[Rec],MATCH(RBmatchups[Name],RBYTD[Player],0)),"0")</f>
        <v>0</v>
      </c>
      <c r="K61" s="191" t="str">
        <f>IFERROR(INDEX(targettracker54[TTL],MATCH(RBmatchups[Name],targettracker54[Name],0)),"0")</f>
        <v>0</v>
      </c>
      <c r="L61" s="191" t="str">
        <f>IFERROR(INDEX(RBYTD[Rec Yds],MATCH(RBmatchups[Name],RBYTD[Player],0)),"0")</f>
        <v>0</v>
      </c>
      <c r="M61" s="411" t="str">
        <f>IFERROR(INDEX(RBYTD[Rec TD],MATCH(RBmatchups[Name],RBYTD[Player],0)),"0")</f>
        <v>0</v>
      </c>
      <c r="N61" s="441">
        <f>IFERROR(INDEX(Salaries[O/U],MATCH(RBmatchups[[#This Row],[Team]],Salaries[Team],0)),"")</f>
        <v>46.5</v>
      </c>
      <c r="O61" s="189">
        <f>IFERROR(INDEX(Salaries[Team O/U],MATCH(RBmatchups[[#This Row],[Team]],Salaries[Team],0)),"")</f>
        <v>21.75</v>
      </c>
      <c r="P61" s="442">
        <f>IFERROR(INDEX(Salaries[Spread],MATCH(RBmatchups[[#This Row],[Team]],Salaries[Team],0)),"")</f>
        <v>3</v>
      </c>
      <c r="Q61" s="424">
        <f>IFERROR(INDEX(HBallowed[DVP],MATCH(RBmatchups[[#This Row],[Opp]],HBallowed[Team],0)),IFERROR(INDEX(HBallowed[DVP],MATCH(RBmatchups[[#This Row],[Opp]],HBallowed[Opp],0)),""))</f>
        <v>20</v>
      </c>
      <c r="R61" s="441">
        <f>AVERAGE(RBmatchups[[#This Row],[Car1]:[Car3]])</f>
        <v>6.4610000000000003</v>
      </c>
      <c r="S61" s="190">
        <f>AVERAGE(RBmatchups[[#This Row],[Yards1]:[Yards3]])</f>
        <v>27.164999999999999</v>
      </c>
      <c r="T61" s="189">
        <f>SUM(RBmatchups[[#This Row],[Yards]]/RBmatchups[[#This Row],[Carries2]])</f>
        <v>4.2044575143166689</v>
      </c>
      <c r="U61" s="189">
        <f>AVERAGE(RBmatchups[[#This Row],[TD1]:[TD3]])</f>
        <v>0.122</v>
      </c>
      <c r="V61" s="189" t="e">
        <f>AVERAGE(RBmatchups[[#This Row],[Tar1]:[Tar3]])</f>
        <v>#DIV/0!</v>
      </c>
      <c r="W61" s="189">
        <f>AVERAGE(RBmatchups[[#This Row],[Rec1]:[Rec3]])</f>
        <v>0.71699999999999997</v>
      </c>
      <c r="X61" s="189">
        <f>AVERAGE(RBmatchups[[#This Row],[RecYards1]:[RecYards3]])</f>
        <v>5.1479999999999997</v>
      </c>
      <c r="Y61" s="189">
        <f>AVERAGE(RBmatchups[[#This Row],[RecTD1]:[RecTd3]])</f>
        <v>1.6E-2</v>
      </c>
      <c r="Z61" s="190">
        <f>SUM(RBmatchups[[#This Row],[Carries2]]+RBmatchups[[#This Row],[Rec4]])</f>
        <v>7.1779999999999999</v>
      </c>
      <c r="AA61" s="189">
        <f>SUM(RBmatchups[[#This Row],[Yards]]+RBmatchups[[#This Row],[RecYards]])</f>
        <v>32.313000000000002</v>
      </c>
      <c r="AB61" s="189">
        <f>SUM(RBmatchups[[#This Row],[TD]]+RBmatchups[[#This Row],[RecTD5]])</f>
        <v>0.13800000000000001</v>
      </c>
      <c r="AC61" s="191">
        <f>_xlfn.RANK.EQ(RBmatchups[Projection],RBmatchups[Projection],0)</f>
        <v>51</v>
      </c>
      <c r="AD61" s="189">
        <f>SUM(RBmatchups[[#This Row],[Total Yards]]*0.1)+(RBmatchups[[#This Row],[Rec4]]*1)+(RBmatchups[[#This Row],[Total TD]]*6)+(RBmatchups[[#This Row],[100+]])</f>
        <v>4.7763000000000009</v>
      </c>
      <c r="AE61" s="191" t="e">
        <f>_xlfn.RANK.EQ(RBmatchups[[#This Row],[$/FP]],RBmatchups[$/FP],1)</f>
        <v>#VALUE!</v>
      </c>
      <c r="AF61" s="453">
        <f>SUM(RBmatchups[[#This Row],[Salary]]/RBmatchups[[#This Row],[Projection]])</f>
        <v>649.03795825220345</v>
      </c>
      <c r="AG61" s="448" t="e">
        <f>_xlfn.RANK.EQ(RBmatchups[[#This Row],[Average]],RBmatchups[Average],1)</f>
        <v>#VALUE!</v>
      </c>
      <c r="AH61" s="190" t="e">
        <f>AVERAGE(RBmatchups[[#This Row],[Proj Rank]],RBmatchups[[#This Row],[Value Rank]])</f>
        <v>#VALUE!</v>
      </c>
      <c r="AI61" s="214">
        <f>RBmatchups[[#This Row],[Salary]]/50000</f>
        <v>6.2E-2</v>
      </c>
      <c r="AJ61" s="214"/>
      <c r="AK61" s="14">
        <f>IFERROR(INDEX(HBstats1[Rush Att],MATCH(RBmatchups[[#This Row],[Name]],HBstats1[Player],0)),"0")</f>
        <v>6.4610000000000003</v>
      </c>
      <c r="AL61" s="14" t="str">
        <f>IFERROR(INDEX(HBstats2[Carries],MATCH(RBmatchups[[#This Row],[Name]],HBstats2[Player],0)),"0")</f>
        <v>0</v>
      </c>
      <c r="AM61" s="14" t="str">
        <f>IFERROR(INDEX(HBstats3[Carries],MATCH(RBmatchups[[#This Row],[Name]],HBstats3[Player],0)),"0")</f>
        <v>0</v>
      </c>
      <c r="AN61" s="14">
        <f>IFERROR(INDEX(HBallowed[Carries],MATCH(RBmatchups[[#This Row],[Opp]],HBallowed[Team],0)),"0")</f>
        <v>24.4375</v>
      </c>
      <c r="AO61" s="14">
        <f>IFERROR(INDEX(HBstats1[Rush Yds],MATCH(RBmatchups[[#This Row],[Name]],HBstats1[Player],0)),"0")</f>
        <v>27.164999999999999</v>
      </c>
      <c r="AP61" s="14" t="str">
        <f>IFERROR(INDEX(HBstats2[RushYards],MATCH(RBmatchups[[#This Row],[Name]],HBstats2[Player],0)),"0")</f>
        <v>0</v>
      </c>
      <c r="AQ61" s="14" t="str">
        <f>IFERROR(INDEX(HBstats3[RushYards],MATCH(RBmatchups[[#This Row],[Name]],HBstats3[Player],0)),"0")</f>
        <v>0</v>
      </c>
      <c r="AR61" s="32">
        <f>IFERROR(INDEX(HBallowed[Yards],MATCH(RBmatchups[[#This Row],[Opp]],HBallowed[Team],0)),"0")</f>
        <v>101.5625</v>
      </c>
      <c r="AS61" s="14">
        <f>IFERROR(INDEX(HBstats1[Rush TD],MATCH(RBmatchups[[#This Row],[Name]],HBstats1[Player],0)),"0")</f>
        <v>0.122</v>
      </c>
      <c r="AT61" s="14" t="str">
        <f>IFERROR(INDEX(HBstats2[RushTD],MATCH(RBmatchups[[#This Row],[Name]],HBstats2[Player],0)),"0")</f>
        <v>0</v>
      </c>
      <c r="AU61" s="14" t="str">
        <f>IFERROR(INDEX(HBstats3[RushTD],MATCH(RBmatchups[[#This Row],[Name]],HBstats3[Player],0)),"0")</f>
        <v>0</v>
      </c>
      <c r="AV61" s="32">
        <f>IFERROR(INDEX(HBallowed[TD],MATCH(RBmatchups[[#This Row],[Opp]],HBallowed[Team],0)),"0")</f>
        <v>0.75</v>
      </c>
      <c r="AW61" s="32" t="str">
        <f>IFERROR(INDEX(HBstats3[Targets],MATCH(RBmatchups[[#This Row],[Name]],HBstats3[Player],0)),"0")</f>
        <v>0</v>
      </c>
      <c r="AX61" s="32" t="str">
        <f>IFERROR(INDEX(HBstats2[Targets],MATCH(RBmatchups[[#This Row],[Name]],HBstats2[Player],0)),"0")</f>
        <v>0</v>
      </c>
      <c r="AY61" s="32" t="str">
        <f>IFERROR(INDEX(HBstats3[Targets],MATCH(RBmatchups[[#This Row],[Name]],HBstats3[Player],0)),"0")</f>
        <v>0</v>
      </c>
      <c r="AZ61" s="14">
        <f>IFERROR(INDEX(HBstats1[Rec],MATCH(RBmatchups[[#This Row],[Name]],HBstats1[Player],0)),"0")</f>
        <v>0.71699999999999997</v>
      </c>
      <c r="BA61" s="14" t="str">
        <f>IFERROR(INDEX(HBstats2[Rec],MATCH(RBmatchups[[#This Row],[Name]],HBstats2[Player],0)),"0")</f>
        <v>0</v>
      </c>
      <c r="BB61" s="14" t="str">
        <f>IFERROR(INDEX(HBstats3[Rec],MATCH(RBmatchups[[#This Row],[Name]],HBstats3[Player],0)),"0")</f>
        <v>0</v>
      </c>
      <c r="BC61" s="32">
        <f>IFERROR(INDEX(HBallowed[Rec],MATCH(RBmatchups[[#This Row],[Opp]],HBallowed[Team],0)),"0")</f>
        <v>4.5</v>
      </c>
      <c r="BD61" s="14">
        <f>IFERROR(INDEX(HBstats1[Rec Yds],MATCH(RBmatchups[[#This Row],[Name]],HBstats1[Player],0)),"0")</f>
        <v>5.1479999999999997</v>
      </c>
      <c r="BE61" s="14" t="str">
        <f>IFERROR(INDEX(HBstats2[RecYards],MATCH(RBmatchups[[#This Row],[Name]],HBstats2[Player],0)),"0")</f>
        <v>0</v>
      </c>
      <c r="BF61" s="14" t="str">
        <f>IFERROR(INDEX(HBstats3[RecYards],MATCH(RBmatchups[[#This Row],[Name]],HBstats3[Player],0)),"0")</f>
        <v>0</v>
      </c>
      <c r="BG61" s="32">
        <f>IFERROR(INDEX(HBallowed[RecYards],MATCH(RBmatchups[[#This Row],[Opp]],HBallowed[Team],0)),"0")</f>
        <v>34.9375</v>
      </c>
      <c r="BH61" s="14">
        <f>IFERROR(INDEX(HBstats1[Rec TD],MATCH(RBmatchups[[#This Row],[Name]],HBstats1[Player],0)),"0")</f>
        <v>1.6E-2</v>
      </c>
      <c r="BI61" s="14" t="str">
        <f>IFERROR(INDEX(HBstats2[RecTD],MATCH(RBmatchups[[#This Row],[Name]],HBstats2[Player],0)),"0")</f>
        <v>0</v>
      </c>
      <c r="BJ61" s="14" t="str">
        <f>IFERROR(INDEX(HBstats3[RecTD],MATCH(RBmatchups[[#This Row],[Name]],HBstats3[Player],0)),"0")</f>
        <v>0</v>
      </c>
      <c r="BK61" s="32">
        <f>IFERROR(INDEX(HBallowed[RecTD],MATCH(RBmatchups[[#This Row],[Opp]],HBallowed[Team],0)),"0")</f>
        <v>0.1875</v>
      </c>
      <c r="BL61" s="268">
        <f>IF(RBmatchups[[#This Row],[Yards]]&gt;=100,3,0)</f>
        <v>0</v>
      </c>
    </row>
    <row r="62" spans="1:64" x14ac:dyDescent="0.3">
      <c r="A62" s="37">
        <f>HBstats1!AL51</f>
        <v>4.4000000000000004</v>
      </c>
      <c r="B62" s="153" t="str">
        <f>HBstats1!D51</f>
        <v>Jalen Richard</v>
      </c>
      <c r="C62" s="154">
        <f>IFERROR(INDEX(Salaries[DraftKings (Price)],MATCH(RBmatchups[[#This Row],[Name]],Salaries[Player],0)),"")</f>
        <v>3400</v>
      </c>
      <c r="D62" s="154">
        <f>IFERROR(INDEX(DK_Salary_Changes[WeekChange],MATCH(RBmatchups[[#This Row],[Name]],DK_Salary_Changes[Player],0)),"")</f>
        <v>-200</v>
      </c>
      <c r="E62" s="154" t="str">
        <f>IFERROR(INDEX(Salaries[Team],MATCH(RBmatchups[[#This Row],[Name]],Salaries[Player],0)),"")</f>
        <v>OAK</v>
      </c>
      <c r="F62" s="189" t="str">
        <f>IFERROR(INDEX(Salaries[Opp],MATCH(RBmatchups[[#This Row],[Team]],Salaries[Team],0)),"")</f>
        <v>@BAL</v>
      </c>
      <c r="G62" s="410">
        <f>IFERROR(INDEX(RBYTD[Rush ATT],MATCH(RBmatchups[Name],RBYTD[Player],0)),"0")</f>
        <v>15</v>
      </c>
      <c r="H62" s="191">
        <f>IFERROR(INDEX(RBYTD[Rush Yds],MATCH(RBmatchups[Name],RBYTD[Player],0)),"0")</f>
        <v>129</v>
      </c>
      <c r="I62" s="191">
        <f>IFERROR(INDEX(RBYTD[Rush TD],MATCH(RBmatchups[Name],RBYTD[Player],0)),"0")</f>
        <v>1</v>
      </c>
      <c r="J62" s="191">
        <f>IFERROR(INDEX(RBYTD[Rec],MATCH(RBmatchups[Name],RBYTD[Player],0)),"0")</f>
        <v>4</v>
      </c>
      <c r="K62" s="191">
        <f>IFERROR(INDEX(targettracker54[TTL],MATCH(RBmatchups[Name],targettracker54[Name],0)),"0")</f>
        <v>4</v>
      </c>
      <c r="L62" s="191">
        <f>IFERROR(INDEX(RBYTD[Rec Yds],MATCH(RBmatchups[Name],RBYTD[Player],0)),"0")</f>
        <v>34</v>
      </c>
      <c r="M62" s="411">
        <f>IFERROR(INDEX(RBYTD[Rec TD],MATCH(RBmatchups[Name],RBYTD[Player],0)),"0")</f>
        <v>0</v>
      </c>
      <c r="N62" s="441">
        <f>IFERROR(INDEX(Salaries[O/U],MATCH(RBmatchups[[#This Row],[Team]],Salaries[Team],0)),"")</f>
        <v>46.5</v>
      </c>
      <c r="O62" s="189">
        <f>IFERROR(INDEX(Salaries[Team O/U],MATCH(RBmatchups[[#This Row],[Team]],Salaries[Team],0)),"")</f>
        <v>21.5</v>
      </c>
      <c r="P62" s="442">
        <f>IFERROR(INDEX(Salaries[Spread],MATCH(RBmatchups[[#This Row],[Team]],Salaries[Team],0)),"")</f>
        <v>3.5</v>
      </c>
      <c r="Q62" s="424">
        <f>IFERROR(INDEX(HBallowed[DVP],MATCH(RBmatchups[[#This Row],[Opp]],HBallowed[Team],0)),IFERROR(INDEX(HBallowed[DVP],MATCH(RBmatchups[[#This Row],[Opp]],HBallowed[Opp],0)),""))</f>
        <v>7</v>
      </c>
      <c r="R62" s="441">
        <f>AVERAGE(RBmatchups[[#This Row],[Car1]:[Car3]])</f>
        <v>4.3999999999999995</v>
      </c>
      <c r="S62" s="190">
        <f>AVERAGE(RBmatchups[[#This Row],[Yards1]:[Yards3]])</f>
        <v>19.041666666666668</v>
      </c>
      <c r="T62" s="189">
        <f>SUM(RBmatchups[[#This Row],[Yards]]/RBmatchups[[#This Row],[Carries2]])</f>
        <v>4.3276515151515156</v>
      </c>
      <c r="U62" s="189">
        <f>AVERAGE(RBmatchups[[#This Row],[TD1]:[TD3]])</f>
        <v>8.9499999999999996E-2</v>
      </c>
      <c r="V62" s="189">
        <f>AVERAGE(RBmatchups[[#This Row],[Tar1]:[Tar3]])</f>
        <v>1</v>
      </c>
      <c r="W62" s="189">
        <f>AVERAGE(RBmatchups[[#This Row],[Rec1]:[Rec3]])</f>
        <v>1.1456666666666668</v>
      </c>
      <c r="X62" s="189">
        <f>AVERAGE(RBmatchups[[#This Row],[RecYards1]:[RecYards3]])</f>
        <v>9.9116666666666671</v>
      </c>
      <c r="Y62" s="189">
        <f>AVERAGE(RBmatchups[[#This Row],[RecTD1]:[RecTd3]])</f>
        <v>7.4999999999999997E-3</v>
      </c>
      <c r="Z62" s="190">
        <f>SUM(RBmatchups[[#This Row],[Carries2]]+RBmatchups[[#This Row],[Rec4]])</f>
        <v>5.5456666666666665</v>
      </c>
      <c r="AA62" s="189">
        <f>SUM(RBmatchups[[#This Row],[Yards]]+RBmatchups[[#This Row],[RecYards]])</f>
        <v>28.953333333333333</v>
      </c>
      <c r="AB62" s="189">
        <f>SUM(RBmatchups[[#This Row],[TD]]+RBmatchups[[#This Row],[RecTD5]])</f>
        <v>9.7000000000000003E-2</v>
      </c>
      <c r="AC62" s="191">
        <f>_xlfn.RANK.EQ(RBmatchups[Projection],RBmatchups[Projection],0)</f>
        <v>52</v>
      </c>
      <c r="AD62" s="189">
        <f>SUM(RBmatchups[[#This Row],[Total Yards]]*0.1)+(RBmatchups[[#This Row],[Rec4]]*1)+(RBmatchups[[#This Row],[Total TD]]*6)+(RBmatchups[[#This Row],[100+]])</f>
        <v>4.6230000000000002</v>
      </c>
      <c r="AE62" s="191" t="e">
        <f>_xlfn.RANK.EQ(RBmatchups[[#This Row],[$/FP]],RBmatchups[$/FP],1)</f>
        <v>#VALUE!</v>
      </c>
      <c r="AF62" s="453">
        <f>SUM(RBmatchups[[#This Row],[Salary]]/RBmatchups[[#This Row],[Projection]])</f>
        <v>735.45316893791903</v>
      </c>
      <c r="AG62" s="448" t="e">
        <f>_xlfn.RANK.EQ(RBmatchups[[#This Row],[Average]],RBmatchups[Average],1)</f>
        <v>#VALUE!</v>
      </c>
      <c r="AH62" s="190" t="e">
        <f>AVERAGE(RBmatchups[[#This Row],[Proj Rank]],RBmatchups[[#This Row],[Value Rank]])</f>
        <v>#VALUE!</v>
      </c>
      <c r="AI62" s="214">
        <f>RBmatchups[[#This Row],[Salary]]/50000</f>
        <v>6.8000000000000005E-2</v>
      </c>
      <c r="AJ62" s="214"/>
      <c r="AK62" s="14">
        <f>IFERROR(INDEX(HBstats1[Rush Att],MATCH(RBmatchups[[#This Row],[Name]],HBstats1[Player],0)),"0")</f>
        <v>5.5</v>
      </c>
      <c r="AL62" s="14">
        <f>IFERROR(INDEX(HBstats2[Carries],MATCH(RBmatchups[[#This Row],[Name]],HBstats2[Player],0)),"0")</f>
        <v>3.6</v>
      </c>
      <c r="AM62" s="14">
        <f>IFERROR(INDEX(HBstats3[Carries],MATCH(RBmatchups[[#This Row],[Name]],HBstats3[Player],0)),"0")</f>
        <v>4.0999999999999996</v>
      </c>
      <c r="AN62" s="14" t="str">
        <f>IFERROR(INDEX(HBallowed[Carries],MATCH(RBmatchups[[#This Row],[Opp]],HBallowed[Team],0)),"0")</f>
        <v>0</v>
      </c>
      <c r="AO62" s="14">
        <f>IFERROR(INDEX(HBstats1[Rush Yds],MATCH(RBmatchups[[#This Row],[Name]],HBstats1[Player],0)),"0")</f>
        <v>23.225000000000001</v>
      </c>
      <c r="AP62" s="14">
        <f>IFERROR(INDEX(HBstats2[RushYards],MATCH(RBmatchups[[#This Row],[Name]],HBstats2[Player],0)),"0")</f>
        <v>16.2</v>
      </c>
      <c r="AQ62" s="14">
        <f>IFERROR(INDEX(HBstats3[RushYards],MATCH(RBmatchups[[#This Row],[Name]],HBstats3[Player],0)),"0")</f>
        <v>17.7</v>
      </c>
      <c r="AR62" s="32" t="str">
        <f>IFERROR(INDEX(HBallowed[Yards],MATCH(RBmatchups[[#This Row],[Opp]],HBallowed[Team],0)),"0")</f>
        <v>0</v>
      </c>
      <c r="AS62" s="14">
        <f>IFERROR(INDEX(HBstats1[Rush TD],MATCH(RBmatchups[[#This Row],[Name]],HBstats1[Player],0)),"0")</f>
        <v>7.9000000000000001E-2</v>
      </c>
      <c r="AT62" s="14" t="str">
        <f>IFERROR(INDEX(HBstats2[RushTD],MATCH(RBmatchups[[#This Row],[Name]],HBstats2[Player],0)),"0")</f>
        <v>0.1</v>
      </c>
      <c r="AU62" s="14">
        <f>IFERROR(INDEX(HBstats3[RushTD],MATCH(RBmatchups[[#This Row],[Name]],HBstats3[Player],0)),"0")</f>
        <v>0.1</v>
      </c>
      <c r="AV62" s="32" t="str">
        <f>IFERROR(INDEX(HBallowed[TD],MATCH(RBmatchups[[#This Row],[Opp]],HBallowed[Team],0)),"0")</f>
        <v>0</v>
      </c>
      <c r="AW62" s="32">
        <f>IFERROR(INDEX(HBstats3[Targets],MATCH(RBmatchups[[#This Row],[Name]],HBstats3[Player],0)),"0")</f>
        <v>1</v>
      </c>
      <c r="AX62" s="32" t="str">
        <f>IFERROR(INDEX(HBstats2[Targets],MATCH(RBmatchups[[#This Row],[Name]],HBstats2[Player],0)),"0")</f>
        <v>0</v>
      </c>
      <c r="AY62" s="32">
        <f>IFERROR(INDEX(HBstats3[Targets],MATCH(RBmatchups[[#This Row],[Name]],HBstats3[Player],0)),"0")</f>
        <v>1</v>
      </c>
      <c r="AZ62" s="14">
        <f>IFERROR(INDEX(HBstats1[Rec],MATCH(RBmatchups[[#This Row],[Name]],HBstats1[Player],0)),"0")</f>
        <v>1.137</v>
      </c>
      <c r="BA62" s="14">
        <f>IFERROR(INDEX(HBstats2[Rec],MATCH(RBmatchups[[#This Row],[Name]],HBstats2[Player],0)),"0")</f>
        <v>1.5</v>
      </c>
      <c r="BB62" s="14">
        <f>IFERROR(INDEX(HBstats3[Rec],MATCH(RBmatchups[[#This Row],[Name]],HBstats3[Player],0)),"0")</f>
        <v>0.8</v>
      </c>
      <c r="BC62" s="32" t="str">
        <f>IFERROR(INDEX(HBallowed[Rec],MATCH(RBmatchups[[#This Row],[Opp]],HBallowed[Team],0)),"0")</f>
        <v>0</v>
      </c>
      <c r="BD62" s="14">
        <f>IFERROR(INDEX(HBstats1[Rec Yds],MATCH(RBmatchups[[#This Row],[Name]],HBstats1[Player],0)),"0")</f>
        <v>10.535</v>
      </c>
      <c r="BE62" s="14">
        <f>IFERROR(INDEX(HBstats2[RecYards],MATCH(RBmatchups[[#This Row],[Name]],HBstats2[Player],0)),"0")</f>
        <v>13.5</v>
      </c>
      <c r="BF62" s="14">
        <f>IFERROR(INDEX(HBstats3[RecYards],MATCH(RBmatchups[[#This Row],[Name]],HBstats3[Player],0)),"0")</f>
        <v>5.7</v>
      </c>
      <c r="BG62" s="32" t="str">
        <f>IFERROR(INDEX(HBallowed[RecYards],MATCH(RBmatchups[[#This Row],[Opp]],HBallowed[Team],0)),"0")</f>
        <v>0</v>
      </c>
      <c r="BH62" s="14">
        <f>IFERROR(INDEX(HBstats1[Rec TD],MATCH(RBmatchups[[#This Row],[Name]],HBstats1[Player],0)),"0")</f>
        <v>1.4999999999999999E-2</v>
      </c>
      <c r="BI62" s="14" t="str">
        <f>IFERROR(INDEX(HBstats2[RecTD],MATCH(RBmatchups[[#This Row],[Name]],HBstats2[Player],0)),"0")</f>
        <v>0.1</v>
      </c>
      <c r="BJ62" s="14">
        <f>IFERROR(INDEX(HBstats3[RecTD],MATCH(RBmatchups[[#This Row],[Name]],HBstats3[Player],0)),"0")</f>
        <v>0</v>
      </c>
      <c r="BK62" s="32" t="str">
        <f>IFERROR(INDEX(HBallowed[RecTD],MATCH(RBmatchups[[#This Row],[Opp]],HBallowed[Team],0)),"0")</f>
        <v>0</v>
      </c>
      <c r="BL62" s="268">
        <f>IF(RBmatchups[[#This Row],[Yards]]&gt;=100,3,0)</f>
        <v>0</v>
      </c>
    </row>
    <row r="63" spans="1:64" x14ac:dyDescent="0.3">
      <c r="A63" s="37">
        <f>HBstats1!AL44</f>
        <v>6</v>
      </c>
      <c r="B63" s="153" t="str">
        <f>HBstats1!D44</f>
        <v>Charcandrick West</v>
      </c>
      <c r="C63" s="154">
        <f>IFERROR(INDEX(Salaries[DraftKings (Price)],MATCH(RBmatchups[[#This Row],[Name]],Salaries[Player],0)),"")</f>
        <v>3400</v>
      </c>
      <c r="D63" s="154">
        <f>IFERROR(INDEX(DK_Salary_Changes[WeekChange],MATCH(RBmatchups[[#This Row],[Name]],DK_Salary_Changes[Player],0)),"")</f>
        <v>-100</v>
      </c>
      <c r="E63" s="154" t="str">
        <f>IFERROR(INDEX(Salaries[Team],MATCH(RBmatchups[[#This Row],[Name]],Salaries[Player],0)),"")</f>
        <v>KC</v>
      </c>
      <c r="F63" s="189" t="str">
        <f>IFERROR(INDEX(Salaries[Opp],MATCH(RBmatchups[[#This Row],[Team]],Salaries[Team],0)),"")</f>
        <v>@PIT</v>
      </c>
      <c r="G63" s="410">
        <f>IFERROR(INDEX(RBYTD[Rush ATT],MATCH(RBmatchups[Name],RBYTD[Player],0)),"0")</f>
        <v>12</v>
      </c>
      <c r="H63" s="191">
        <f>IFERROR(INDEX(RBYTD[Rush Yds],MATCH(RBmatchups[Name],RBYTD[Player],0)),"0")</f>
        <v>63</v>
      </c>
      <c r="I63" s="191">
        <f>IFERROR(INDEX(RBYTD[Rush TD],MATCH(RBmatchups[Name],RBYTD[Player],0)),"0")</f>
        <v>0</v>
      </c>
      <c r="J63" s="191">
        <f>IFERROR(INDEX(RBYTD[Rec],MATCH(RBmatchups[Name],RBYTD[Player],0)),"0")</f>
        <v>10</v>
      </c>
      <c r="K63" s="191">
        <f>IFERROR(INDEX(targettracker54[TTL],MATCH(RBmatchups[Name],targettracker54[Name],0)),"0")</f>
        <v>11</v>
      </c>
      <c r="L63" s="191">
        <f>IFERROR(INDEX(RBYTD[Rec Yds],MATCH(RBmatchups[Name],RBYTD[Player],0)),"0")</f>
        <v>34</v>
      </c>
      <c r="M63" s="411">
        <f>IFERROR(INDEX(RBYTD[Rec TD],MATCH(RBmatchups[Name],RBYTD[Player],0)),"0")</f>
        <v>0</v>
      </c>
      <c r="N63" s="441">
        <f>IFERROR(INDEX(Salaries[O/U],MATCH(RBmatchups[[#This Row],[Team]],Salaries[Team],0)),"")</f>
        <v>47.5</v>
      </c>
      <c r="O63" s="189">
        <f>IFERROR(INDEX(Salaries[Team O/U],MATCH(RBmatchups[[#This Row],[Team]],Salaries[Team],0)),"")</f>
        <v>21</v>
      </c>
      <c r="P63" s="442">
        <f>IFERROR(INDEX(Salaries[Spread],MATCH(RBmatchups[[#This Row],[Team]],Salaries[Team],0)),"")</f>
        <v>5.5</v>
      </c>
      <c r="Q63" s="424">
        <f>IFERROR(INDEX(HBallowed[DVP],MATCH(RBmatchups[[#This Row],[Opp]],HBallowed[Team],0)),IFERROR(INDEX(HBallowed[DVP],MATCH(RBmatchups[[#This Row],[Opp]],HBallowed[Opp],0)),""))</f>
        <v>3</v>
      </c>
      <c r="R63" s="441">
        <f>AVERAGE(RBmatchups[[#This Row],[Car1]:[Car3]])</f>
        <v>3.6710000000000007</v>
      </c>
      <c r="S63" s="190">
        <f>AVERAGE(RBmatchups[[#This Row],[Yards1]:[Yards3]])</f>
        <v>13.161999999999999</v>
      </c>
      <c r="T63" s="189">
        <f>SUM(RBmatchups[[#This Row],[Yards]]/RBmatchups[[#This Row],[Carries2]])</f>
        <v>3.5853990738218458</v>
      </c>
      <c r="U63" s="189">
        <f>AVERAGE(RBmatchups[[#This Row],[TD1]:[TD3]])</f>
        <v>0.10500000000000001</v>
      </c>
      <c r="V63" s="189">
        <f>AVERAGE(RBmatchups[[#This Row],[Tar1]:[Tar3]])</f>
        <v>0.6</v>
      </c>
      <c r="W63" s="189">
        <f>AVERAGE(RBmatchups[[#This Row],[Rec1]:[Rec3]])</f>
        <v>1.4326666666666668</v>
      </c>
      <c r="X63" s="189">
        <f>AVERAGE(RBmatchups[[#This Row],[RecYards1]:[RecYards3]])</f>
        <v>9.2896666666666672</v>
      </c>
      <c r="Y63" s="189">
        <f>AVERAGE(RBmatchups[[#This Row],[RecTD1]:[RecTd3]])</f>
        <v>3.85E-2</v>
      </c>
      <c r="Z63" s="190">
        <f>SUM(RBmatchups[[#This Row],[Carries2]]+RBmatchups[[#This Row],[Rec4]])</f>
        <v>5.1036666666666672</v>
      </c>
      <c r="AA63" s="189">
        <f>SUM(RBmatchups[[#This Row],[Yards]]+RBmatchups[[#This Row],[RecYards]])</f>
        <v>22.451666666666668</v>
      </c>
      <c r="AB63" s="189">
        <f>SUM(RBmatchups[[#This Row],[TD]]+RBmatchups[[#This Row],[RecTD5]])</f>
        <v>0.14350000000000002</v>
      </c>
      <c r="AC63" s="191">
        <f>_xlfn.RANK.EQ(RBmatchups[Projection],RBmatchups[Projection],0)</f>
        <v>53</v>
      </c>
      <c r="AD63" s="189">
        <f>SUM(RBmatchups[[#This Row],[Total Yards]]*0.1)+(RBmatchups[[#This Row],[Rec4]]*1)+(RBmatchups[[#This Row],[Total TD]]*6)+(RBmatchups[[#This Row],[100+]])</f>
        <v>4.5388333333333337</v>
      </c>
      <c r="AE63" s="191" t="e">
        <f>_xlfn.RANK.EQ(RBmatchups[[#This Row],[$/FP]],RBmatchups[$/FP],1)</f>
        <v>#VALUE!</v>
      </c>
      <c r="AF63" s="453">
        <f>SUM(RBmatchups[[#This Row],[Salary]]/RBmatchups[[#This Row],[Projection]])</f>
        <v>749.0911761465868</v>
      </c>
      <c r="AG63" s="448" t="e">
        <f>_xlfn.RANK.EQ(RBmatchups[[#This Row],[Average]],RBmatchups[Average],1)</f>
        <v>#VALUE!</v>
      </c>
      <c r="AH63" s="190" t="e">
        <f>AVERAGE(RBmatchups[[#This Row],[Proj Rank]],RBmatchups[[#This Row],[Value Rank]])</f>
        <v>#VALUE!</v>
      </c>
      <c r="AI63" s="214">
        <f>RBmatchups[[#This Row],[Salary]]/50000</f>
        <v>6.8000000000000005E-2</v>
      </c>
      <c r="AJ63" s="214"/>
      <c r="AK63" s="14">
        <f>IFERROR(INDEX(HBstats1[Rush Att],MATCH(RBmatchups[[#This Row],[Name]],HBstats1[Player],0)),"0")</f>
        <v>6.1130000000000004</v>
      </c>
      <c r="AL63" s="14">
        <f>IFERROR(INDEX(HBstats2[Carries],MATCH(RBmatchups[[#This Row],[Name]],HBstats2[Player],0)),"0")</f>
        <v>1.7</v>
      </c>
      <c r="AM63" s="14">
        <f>IFERROR(INDEX(HBstats3[Carries],MATCH(RBmatchups[[#This Row],[Name]],HBstats3[Player],0)),"0")</f>
        <v>3.2</v>
      </c>
      <c r="AN63" s="14" t="str">
        <f>IFERROR(INDEX(HBallowed[Carries],MATCH(RBmatchups[[#This Row],[Opp]],HBallowed[Team],0)),"0")</f>
        <v>0</v>
      </c>
      <c r="AO63" s="14">
        <f>IFERROR(INDEX(HBstats1[Rush Yds],MATCH(RBmatchups[[#This Row],[Name]],HBstats1[Player],0)),"0")</f>
        <v>20.085999999999999</v>
      </c>
      <c r="AP63" s="14">
        <f>IFERROR(INDEX(HBstats2[RushYards],MATCH(RBmatchups[[#This Row],[Name]],HBstats2[Player],0)),"0")</f>
        <v>6.4</v>
      </c>
      <c r="AQ63" s="14">
        <f>IFERROR(INDEX(HBstats3[RushYards],MATCH(RBmatchups[[#This Row],[Name]],HBstats3[Player],0)),"0")</f>
        <v>13</v>
      </c>
      <c r="AR63" s="32" t="str">
        <f>IFERROR(INDEX(HBallowed[Yards],MATCH(RBmatchups[[#This Row],[Opp]],HBallowed[Team],0)),"0")</f>
        <v>0</v>
      </c>
      <c r="AS63" s="14">
        <f>IFERROR(INDEX(HBstats1[Rush TD],MATCH(RBmatchups[[#This Row],[Name]],HBstats1[Player],0)),"0")</f>
        <v>0.11</v>
      </c>
      <c r="AT63" s="14" t="str">
        <f>IFERROR(INDEX(HBstats2[RushTD],MATCH(RBmatchups[[#This Row],[Name]],HBstats2[Player],0)),"0")</f>
        <v>0</v>
      </c>
      <c r="AU63" s="14">
        <f>IFERROR(INDEX(HBstats3[RushTD],MATCH(RBmatchups[[#This Row],[Name]],HBstats3[Player],0)),"0")</f>
        <v>0.1</v>
      </c>
      <c r="AV63" s="32" t="str">
        <f>IFERROR(INDEX(HBallowed[TD],MATCH(RBmatchups[[#This Row],[Opp]],HBallowed[Team],0)),"0")</f>
        <v>0</v>
      </c>
      <c r="AW63" s="32">
        <f>IFERROR(INDEX(HBstats3[Targets],MATCH(RBmatchups[[#This Row],[Name]],HBstats3[Player],0)),"0")</f>
        <v>0.6</v>
      </c>
      <c r="AX63" s="32" t="str">
        <f>IFERROR(INDEX(HBstats2[Targets],MATCH(RBmatchups[[#This Row],[Name]],HBstats2[Player],0)),"0")</f>
        <v>0</v>
      </c>
      <c r="AY63" s="32">
        <f>IFERROR(INDEX(HBstats3[Targets],MATCH(RBmatchups[[#This Row],[Name]],HBstats3[Player],0)),"0")</f>
        <v>0.6</v>
      </c>
      <c r="AZ63" s="14">
        <f>IFERROR(INDEX(HBstats1[Rec],MATCH(RBmatchups[[#This Row],[Name]],HBstats1[Player],0)),"0")</f>
        <v>2.798</v>
      </c>
      <c r="BA63" s="14">
        <f>IFERROR(INDEX(HBstats2[Rec],MATCH(RBmatchups[[#This Row],[Name]],HBstats2[Player],0)),"0")</f>
        <v>1.1000000000000001</v>
      </c>
      <c r="BB63" s="14">
        <f>IFERROR(INDEX(HBstats3[Rec],MATCH(RBmatchups[[#This Row],[Name]],HBstats3[Player],0)),"0")</f>
        <v>0.4</v>
      </c>
      <c r="BC63" s="32" t="str">
        <f>IFERROR(INDEX(HBallowed[Rec],MATCH(RBmatchups[[#This Row],[Opp]],HBallowed[Team],0)),"0")</f>
        <v>0</v>
      </c>
      <c r="BD63" s="14">
        <f>IFERROR(INDEX(HBstats1[Rec Yds],MATCH(RBmatchups[[#This Row],[Name]],HBstats1[Player],0)),"0")</f>
        <v>15.869</v>
      </c>
      <c r="BE63" s="14">
        <f>IFERROR(INDEX(HBstats2[RecYards],MATCH(RBmatchups[[#This Row],[Name]],HBstats2[Player],0)),"0")</f>
        <v>8.9</v>
      </c>
      <c r="BF63" s="14">
        <f>IFERROR(INDEX(HBstats3[RecYards],MATCH(RBmatchups[[#This Row],[Name]],HBstats3[Player],0)),"0")</f>
        <v>3.1</v>
      </c>
      <c r="BG63" s="32" t="str">
        <f>IFERROR(INDEX(HBallowed[RecYards],MATCH(RBmatchups[[#This Row],[Opp]],HBallowed[Team],0)),"0")</f>
        <v>0</v>
      </c>
      <c r="BH63" s="14">
        <f>IFERROR(INDEX(HBstats1[Rec TD],MATCH(RBmatchups[[#This Row],[Name]],HBstats1[Player],0)),"0")</f>
        <v>7.6999999999999999E-2</v>
      </c>
      <c r="BI63" s="14" t="str">
        <f>IFERROR(INDEX(HBstats2[RecTD],MATCH(RBmatchups[[#This Row],[Name]],HBstats2[Player],0)),"0")</f>
        <v>0</v>
      </c>
      <c r="BJ63" s="14">
        <f>IFERROR(INDEX(HBstats3[RecTD],MATCH(RBmatchups[[#This Row],[Name]],HBstats3[Player],0)),"0")</f>
        <v>0</v>
      </c>
      <c r="BK63" s="32" t="str">
        <f>IFERROR(INDEX(HBallowed[RecTD],MATCH(RBmatchups[[#This Row],[Opp]],HBallowed[Team],0)),"0")</f>
        <v>0</v>
      </c>
      <c r="BL63" s="268">
        <f>IF(RBmatchups[[#This Row],[Yards]]&gt;=100,3,0)</f>
        <v>0</v>
      </c>
    </row>
    <row r="64" spans="1:64" x14ac:dyDescent="0.3">
      <c r="A64" s="37">
        <f>HBstats1!AL57</f>
        <v>3.4</v>
      </c>
      <c r="B64" s="153" t="str">
        <f>HBstats1!D57</f>
        <v>Alfred Morris</v>
      </c>
      <c r="C64" s="154">
        <f>IFERROR(INDEX(Salaries[DraftKings (Price)],MATCH(RBmatchups[[#This Row],[Name]],Salaries[Player],0)),"")</f>
        <v>3900</v>
      </c>
      <c r="D64" s="154">
        <f>IFERROR(INDEX(DK_Salary_Changes[WeekChange],MATCH(RBmatchups[[#This Row],[Name]],DK_Salary_Changes[Player],0)),"")</f>
        <v>200</v>
      </c>
      <c r="E64" s="154" t="str">
        <f>IFERROR(INDEX(Salaries[Team],MATCH(RBmatchups[[#This Row],[Name]],Salaries[Player],0)),"")</f>
        <v>DAL</v>
      </c>
      <c r="F64" s="189" t="str">
        <f>IFERROR(INDEX(Salaries[Opp],MATCH(RBmatchups[[#This Row],[Team]],Salaries[Team],0)),"")</f>
        <v>@SF</v>
      </c>
      <c r="G64" s="410">
        <f>IFERROR(INDEX(RBYTD[Rush ATT],MATCH(RBmatchups[Name],RBYTD[Player],0)),"0")</f>
        <v>17</v>
      </c>
      <c r="H64" s="191">
        <f>IFERROR(INDEX(RBYTD[Rush Yds],MATCH(RBmatchups[Name],RBYTD[Player],0)),"0")</f>
        <v>61</v>
      </c>
      <c r="I64" s="191">
        <f>IFERROR(INDEX(RBYTD[Rush TD],MATCH(RBmatchups[Name],RBYTD[Player],0)),"0")</f>
        <v>2</v>
      </c>
      <c r="J64" s="191">
        <f>IFERROR(INDEX(RBYTD[Rec],MATCH(RBmatchups[Name],RBYTD[Player],0)),"0")</f>
        <v>1</v>
      </c>
      <c r="K64" s="191">
        <f>IFERROR(INDEX(targettracker54[TTL],MATCH(RBmatchups[Name],targettracker54[Name],0)),"0")</f>
        <v>2</v>
      </c>
      <c r="L64" s="191">
        <f>IFERROR(INDEX(RBYTD[Rec Yds],MATCH(RBmatchups[Name],RBYTD[Player],0)),"0")</f>
        <v>2</v>
      </c>
      <c r="M64" s="411">
        <f>IFERROR(INDEX(RBYTD[Rec TD],MATCH(RBmatchups[Name],RBYTD[Player],0)),"0")</f>
        <v>0</v>
      </c>
      <c r="N64" s="441">
        <f>IFERROR(INDEX(Salaries[O/U],MATCH(RBmatchups[[#This Row],[Team]],Salaries[Team],0)),"")</f>
        <v>46</v>
      </c>
      <c r="O64" s="189">
        <f>IFERROR(INDEX(Salaries[Team O/U],MATCH(RBmatchups[[#This Row],[Team]],Salaries[Team],0)),"")</f>
        <v>24.5</v>
      </c>
      <c r="P64" s="442">
        <f>IFERROR(INDEX(Salaries[Spread],MATCH(RBmatchups[[#This Row],[Team]],Salaries[Team],0)),"")</f>
        <v>-3</v>
      </c>
      <c r="Q64" s="424">
        <f>IFERROR(INDEX(HBallowed[DVP],MATCH(RBmatchups[[#This Row],[Opp]],HBallowed[Team],0)),IFERROR(INDEX(HBallowed[DVP],MATCH(RBmatchups[[#This Row],[Opp]],HBallowed[Opp],0)),""))</f>
        <v>30</v>
      </c>
      <c r="R64" s="441">
        <f>AVERAGE(RBmatchups[[#This Row],[Car1]:[Car3]])</f>
        <v>6.0853333333333337</v>
      </c>
      <c r="S64" s="190">
        <f>AVERAGE(RBmatchups[[#This Row],[Yards1]:[Yards3]])</f>
        <v>25.162666666666667</v>
      </c>
      <c r="T64" s="189">
        <f>SUM(RBmatchups[[#This Row],[Yards]]/RBmatchups[[#This Row],[Carries2]])</f>
        <v>4.1349693251533743</v>
      </c>
      <c r="U64" s="189">
        <f>AVERAGE(RBmatchups[[#This Row],[TD1]:[TD3]])</f>
        <v>0.21650000000000003</v>
      </c>
      <c r="V64" s="189">
        <f>AVERAGE(RBmatchups[[#This Row],[Tar1]:[Tar3]])</f>
        <v>0.6</v>
      </c>
      <c r="W64" s="189">
        <f>AVERAGE(RBmatchups[[#This Row],[Rec1]:[Rec3]])</f>
        <v>0.35549999999999998</v>
      </c>
      <c r="X64" s="189">
        <f>AVERAGE(RBmatchups[[#This Row],[RecYards1]:[RecYards3]])</f>
        <v>3.1716666666666669</v>
      </c>
      <c r="Y64" s="189">
        <f>AVERAGE(RBmatchups[[#This Row],[RecTD1]:[RecTd3]])</f>
        <v>0</v>
      </c>
      <c r="Z64" s="190">
        <f>SUM(RBmatchups[[#This Row],[Carries2]]+RBmatchups[[#This Row],[Rec4]])</f>
        <v>6.4408333333333339</v>
      </c>
      <c r="AA64" s="189">
        <f>SUM(RBmatchups[[#This Row],[Yards]]+RBmatchups[[#This Row],[RecYards]])</f>
        <v>28.334333333333333</v>
      </c>
      <c r="AB64" s="189">
        <f>SUM(RBmatchups[[#This Row],[TD]]+RBmatchups[[#This Row],[RecTD5]])</f>
        <v>0.21650000000000003</v>
      </c>
      <c r="AC64" s="191">
        <f>_xlfn.RANK.EQ(RBmatchups[Projection],RBmatchups[Projection],0)</f>
        <v>54</v>
      </c>
      <c r="AD64" s="189">
        <f>SUM(RBmatchups[[#This Row],[Total Yards]]*0.1)+(RBmatchups[[#This Row],[Rec4]]*1)+(RBmatchups[[#This Row],[Total TD]]*6)+(RBmatchups[[#This Row],[100+]])</f>
        <v>4.4879333333333342</v>
      </c>
      <c r="AE64" s="191" t="e">
        <f>_xlfn.RANK.EQ(RBmatchups[[#This Row],[$/FP]],RBmatchups[$/FP],1)</f>
        <v>#VALUE!</v>
      </c>
      <c r="AF64" s="453">
        <f>SUM(RBmatchups[[#This Row],[Salary]]/RBmatchups[[#This Row],[Projection]])</f>
        <v>868.99686566942455</v>
      </c>
      <c r="AG64" s="448" t="e">
        <f>_xlfn.RANK.EQ(RBmatchups[[#This Row],[Average]],RBmatchups[Average],1)</f>
        <v>#VALUE!</v>
      </c>
      <c r="AH64" s="190" t="e">
        <f>AVERAGE(RBmatchups[[#This Row],[Proj Rank]],RBmatchups[[#This Row],[Value Rank]])</f>
        <v>#VALUE!</v>
      </c>
      <c r="AI64" s="214">
        <f>RBmatchups[[#This Row],[Salary]]/50000</f>
        <v>7.8E-2</v>
      </c>
      <c r="AJ64" s="214"/>
      <c r="AK64" s="14">
        <f>IFERROR(INDEX(HBstats1[Rush Att],MATCH(RBmatchups[[#This Row],[Name]],HBstats1[Player],0)),"0")</f>
        <v>4.3559999999999999</v>
      </c>
      <c r="AL64" s="14">
        <f>IFERROR(INDEX(HBstats2[Carries],MATCH(RBmatchups[[#This Row],[Name]],HBstats2[Player],0)),"0")</f>
        <v>8.1999999999999993</v>
      </c>
      <c r="AM64" s="14">
        <f>IFERROR(INDEX(HBstats3[Carries],MATCH(RBmatchups[[#This Row],[Name]],HBstats3[Player],0)),"0")</f>
        <v>5.7</v>
      </c>
      <c r="AN64" s="14" t="str">
        <f>IFERROR(INDEX(HBallowed[Carries],MATCH(RBmatchups[[#This Row],[Opp]],HBallowed[Team],0)),"0")</f>
        <v>0</v>
      </c>
      <c r="AO64" s="14">
        <f>IFERROR(INDEX(HBstats1[Rush Yds],MATCH(RBmatchups[[#This Row],[Name]],HBstats1[Player],0)),"0")</f>
        <v>18.288</v>
      </c>
      <c r="AP64" s="14">
        <f>IFERROR(INDEX(HBstats2[RushYards],MATCH(RBmatchups[[#This Row],[Name]],HBstats2[Player],0)),"0")</f>
        <v>33.1</v>
      </c>
      <c r="AQ64" s="14">
        <f>IFERROR(INDEX(HBstats3[RushYards],MATCH(RBmatchups[[#This Row],[Name]],HBstats3[Player],0)),"0")</f>
        <v>24.1</v>
      </c>
      <c r="AR64" s="32" t="str">
        <f>IFERROR(INDEX(HBallowed[Yards],MATCH(RBmatchups[[#This Row],[Opp]],HBallowed[Team],0)),"0")</f>
        <v>0</v>
      </c>
      <c r="AS64" s="14">
        <f>IFERROR(INDEX(HBstats1[Rush TD],MATCH(RBmatchups[[#This Row],[Name]],HBstats1[Player],0)),"0")</f>
        <v>0.23300000000000001</v>
      </c>
      <c r="AT64" s="14" t="str">
        <f>IFERROR(INDEX(HBstats2[RushTD],MATCH(RBmatchups[[#This Row],[Name]],HBstats2[Player],0)),"0")</f>
        <v>0.2</v>
      </c>
      <c r="AU64" s="14">
        <f>IFERROR(INDEX(HBstats3[RushTD],MATCH(RBmatchups[[#This Row],[Name]],HBstats3[Player],0)),"0")</f>
        <v>0.2</v>
      </c>
      <c r="AV64" s="32" t="str">
        <f>IFERROR(INDEX(HBallowed[TD],MATCH(RBmatchups[[#This Row],[Opp]],HBallowed[Team],0)),"0")</f>
        <v>0</v>
      </c>
      <c r="AW64" s="32">
        <f>IFERROR(INDEX(HBstats3[Targets],MATCH(RBmatchups[[#This Row],[Name]],HBstats3[Player],0)),"0")</f>
        <v>0.6</v>
      </c>
      <c r="AX64" s="32" t="str">
        <f>IFERROR(INDEX(HBstats2[Targets],MATCH(RBmatchups[[#This Row],[Name]],HBstats2[Player],0)),"0")</f>
        <v>0</v>
      </c>
      <c r="AY64" s="32">
        <f>IFERROR(INDEX(HBstats3[Targets],MATCH(RBmatchups[[#This Row],[Name]],HBstats3[Player],0)),"0")</f>
        <v>0.6</v>
      </c>
      <c r="AZ64" s="14">
        <f>IFERROR(INDEX(HBstats1[Rec],MATCH(RBmatchups[[#This Row],[Name]],HBstats1[Player],0)),"0")</f>
        <v>0.21099999999999999</v>
      </c>
      <c r="BA64" s="14" t="str">
        <f>IFERROR(INDEX(HBstats2[Rec],MATCH(RBmatchups[[#This Row],[Name]],HBstats2[Player],0)),"0")</f>
        <v>0.8</v>
      </c>
      <c r="BB64" s="14">
        <f>IFERROR(INDEX(HBstats3[Rec],MATCH(RBmatchups[[#This Row],[Name]],HBstats3[Player],0)),"0")</f>
        <v>0.5</v>
      </c>
      <c r="BC64" s="32" t="str">
        <f>IFERROR(INDEX(HBallowed[Rec],MATCH(RBmatchups[[#This Row],[Opp]],HBallowed[Team],0)),"0")</f>
        <v>0</v>
      </c>
      <c r="BD64" s="14">
        <f>IFERROR(INDEX(HBstats1[Rec Yds],MATCH(RBmatchups[[#This Row],[Name]],HBstats1[Player],0)),"0")</f>
        <v>1.2150000000000001</v>
      </c>
      <c r="BE64" s="14">
        <f>IFERROR(INDEX(HBstats2[RecYards],MATCH(RBmatchups[[#This Row],[Name]],HBstats2[Player],0)),"0")</f>
        <v>4.8</v>
      </c>
      <c r="BF64" s="14">
        <f>IFERROR(INDEX(HBstats3[RecYards],MATCH(RBmatchups[[#This Row],[Name]],HBstats3[Player],0)),"0")</f>
        <v>3.5</v>
      </c>
      <c r="BG64" s="32" t="str">
        <f>IFERROR(INDEX(HBallowed[RecYards],MATCH(RBmatchups[[#This Row],[Opp]],HBallowed[Team],0)),"0")</f>
        <v>0</v>
      </c>
      <c r="BH64" s="14">
        <f>IFERROR(INDEX(HBstats1[Rec TD],MATCH(RBmatchups[[#This Row],[Name]],HBstats1[Player],0)),"0")</f>
        <v>0</v>
      </c>
      <c r="BI64" s="14" t="str">
        <f>IFERROR(INDEX(HBstats2[RecTD],MATCH(RBmatchups[[#This Row],[Name]],HBstats2[Player],0)),"0")</f>
        <v>0</v>
      </c>
      <c r="BJ64" s="14">
        <f>IFERROR(INDEX(HBstats3[RecTD],MATCH(RBmatchups[[#This Row],[Name]],HBstats3[Player],0)),"0")</f>
        <v>0</v>
      </c>
      <c r="BK64" s="32" t="str">
        <f>IFERROR(INDEX(HBallowed[RecTD],MATCH(RBmatchups[[#This Row],[Opp]],HBallowed[Team],0)),"0")</f>
        <v>0</v>
      </c>
      <c r="BL64" s="268">
        <f>IF(RBmatchups[[#This Row],[Yards]]&gt;=100,3,0)</f>
        <v>0</v>
      </c>
    </row>
    <row r="65" spans="1:64" x14ac:dyDescent="0.3">
      <c r="A65" s="37">
        <f>HBstats1!AL63</f>
        <v>2.7</v>
      </c>
      <c r="B65" s="153" t="str">
        <f>HBstats1!D63</f>
        <v>Mike Tolbert</v>
      </c>
      <c r="C65" s="154">
        <f>IFERROR(INDEX(Salaries[DraftKings (Price)],MATCH(RBmatchups[[#This Row],[Name]],Salaries[Player],0)),"")</f>
        <v>3000</v>
      </c>
      <c r="D65" s="154">
        <f>IFERROR(INDEX(DK_Salary_Changes[WeekChange],MATCH(RBmatchups[[#This Row],[Name]],DK_Salary_Changes[Player],0)),"")</f>
        <v>0</v>
      </c>
      <c r="E65" s="154" t="str">
        <f>IFERROR(INDEX(Salaries[Team],MATCH(RBmatchups[[#This Row],[Name]],Salaries[Player],0)),"")</f>
        <v>CAR</v>
      </c>
      <c r="F65" s="189" t="str">
        <f>IFERROR(INDEX(Salaries[Opp],MATCH(RBmatchups[[#This Row],[Team]],Salaries[Team],0)),"")</f>
        <v>@ATL</v>
      </c>
      <c r="G65" s="410" t="str">
        <f>IFERROR(INDEX(RBYTD[Rush ATT],MATCH(RBmatchups[Name],RBYTD[Player],0)),"0")</f>
        <v>0</v>
      </c>
      <c r="H65" s="191" t="str">
        <f>IFERROR(INDEX(RBYTD[Rush Yds],MATCH(RBmatchups[Name],RBYTD[Player],0)),"0")</f>
        <v>0</v>
      </c>
      <c r="I65" s="191" t="str">
        <f>IFERROR(INDEX(RBYTD[Rush TD],MATCH(RBmatchups[Name],RBYTD[Player],0)),"0")</f>
        <v>0</v>
      </c>
      <c r="J65" s="191" t="str">
        <f>IFERROR(INDEX(RBYTD[Rec],MATCH(RBmatchups[Name],RBYTD[Player],0)),"0")</f>
        <v>0</v>
      </c>
      <c r="K65" s="191">
        <f>IFERROR(INDEX(targettracker54[TTL],MATCH(RBmatchups[Name],targettracker54[Name],0)),"0")</f>
        <v>5</v>
      </c>
      <c r="L65" s="191" t="str">
        <f>IFERROR(INDEX(RBYTD[Rec Yds],MATCH(RBmatchups[Name],RBYTD[Player],0)),"0")</f>
        <v>0</v>
      </c>
      <c r="M65" s="411" t="str">
        <f>IFERROR(INDEX(RBYTD[Rec TD],MATCH(RBmatchups[Name],RBYTD[Player],0)),"0")</f>
        <v>0</v>
      </c>
      <c r="N65" s="441">
        <f>IFERROR(INDEX(Salaries[O/U],MATCH(RBmatchups[[#This Row],[Team]],Salaries[Team],0)),"")</f>
        <v>50</v>
      </c>
      <c r="O65" s="189">
        <f>IFERROR(INDEX(Salaries[Team O/U],MATCH(RBmatchups[[#This Row],[Team]],Salaries[Team],0)),"")</f>
        <v>26.5</v>
      </c>
      <c r="P65" s="442">
        <f>IFERROR(INDEX(Salaries[Spread],MATCH(RBmatchups[[#This Row],[Team]],Salaries[Team],0)),"")</f>
        <v>-3</v>
      </c>
      <c r="Q65" s="424">
        <f>IFERROR(INDEX(HBallowed[DVP],MATCH(RBmatchups[[#This Row],[Opp]],HBallowed[Team],0)),IFERROR(INDEX(HBallowed[DVP],MATCH(RBmatchups[[#This Row],[Opp]],HBallowed[Opp],0)),""))</f>
        <v>28</v>
      </c>
      <c r="R65" s="441">
        <f>AVERAGE(RBmatchups[[#This Row],[Car1]:[Car3]])</f>
        <v>2.8043333333333336</v>
      </c>
      <c r="S65" s="190">
        <f>AVERAGE(RBmatchups[[#This Row],[Yards1]:[Yards3]])</f>
        <v>12.064</v>
      </c>
      <c r="T65" s="189">
        <f>SUM(RBmatchups[[#This Row],[Yards]]/RBmatchups[[#This Row],[Carries2]])</f>
        <v>4.3019137049803868</v>
      </c>
      <c r="U65" s="189">
        <f>AVERAGE(RBmatchups[[#This Row],[TD1]:[TD3]])</f>
        <v>0.11</v>
      </c>
      <c r="V65" s="189">
        <f>AVERAGE(RBmatchups[[#This Row],[Tar1]:[Tar3]])</f>
        <v>1.9</v>
      </c>
      <c r="W65" s="189">
        <f>AVERAGE(RBmatchups[[#This Row],[Rec1]:[Rec3]])</f>
        <v>1.2266666666666668</v>
      </c>
      <c r="X65" s="189">
        <f>AVERAGE(RBmatchups[[#This Row],[RecYards1]:[RecYards3]])</f>
        <v>8.6443333333333339</v>
      </c>
      <c r="Y65" s="189">
        <f>AVERAGE(RBmatchups[[#This Row],[RecTD1]:[RecTd3]])</f>
        <v>5.9500000000000004E-2</v>
      </c>
      <c r="Z65" s="190">
        <f>SUM(RBmatchups[[#This Row],[Carries2]]+RBmatchups[[#This Row],[Rec4]])</f>
        <v>4.0310000000000006</v>
      </c>
      <c r="AA65" s="189">
        <f>SUM(RBmatchups[[#This Row],[Yards]]+RBmatchups[[#This Row],[RecYards]])</f>
        <v>20.708333333333336</v>
      </c>
      <c r="AB65" s="189">
        <f>SUM(RBmatchups[[#This Row],[TD]]+RBmatchups[[#This Row],[RecTD5]])</f>
        <v>0.16950000000000001</v>
      </c>
      <c r="AC65" s="191">
        <f>_xlfn.RANK.EQ(RBmatchups[Projection],RBmatchups[Projection],0)</f>
        <v>55</v>
      </c>
      <c r="AD65" s="189">
        <f>SUM(RBmatchups[[#This Row],[Total Yards]]*0.1)+(RBmatchups[[#This Row],[Rec4]]*1)+(RBmatchups[[#This Row],[Total TD]]*6)+(RBmatchups[[#This Row],[100+]])</f>
        <v>4.3145000000000007</v>
      </c>
      <c r="AE65" s="191" t="e">
        <f>_xlfn.RANK.EQ(RBmatchups[[#This Row],[$/FP]],RBmatchups[$/FP],1)</f>
        <v>#VALUE!</v>
      </c>
      <c r="AF65" s="453">
        <f>SUM(RBmatchups[[#This Row],[Salary]]/RBmatchups[[#This Row],[Projection]])</f>
        <v>695.32970216711078</v>
      </c>
      <c r="AG65" s="449" t="e">
        <f>_xlfn.RANK.EQ(RBmatchups[[#This Row],[Average]],RBmatchups[Average],1)</f>
        <v>#VALUE!</v>
      </c>
      <c r="AH65" s="190" t="e">
        <f>AVERAGE(RBmatchups[[#This Row],[Proj Rank]],RBmatchups[[#This Row],[Value Rank]])</f>
        <v>#VALUE!</v>
      </c>
      <c r="AI65" s="214">
        <f>RBmatchups[[#This Row],[Salary]]/50000</f>
        <v>0.06</v>
      </c>
      <c r="AJ65" s="214"/>
      <c r="AK65" s="14">
        <f>IFERROR(INDEX(HBstats1[Rush Att],MATCH(RBmatchups[[#This Row],[Name]],HBstats1[Player],0)),"0")</f>
        <v>2.113</v>
      </c>
      <c r="AL65" s="14">
        <f>IFERROR(INDEX(HBstats2[Carries],MATCH(RBmatchups[[#This Row],[Name]],HBstats2[Player],0)),"0")</f>
        <v>2.4</v>
      </c>
      <c r="AM65" s="14">
        <f>IFERROR(INDEX(HBstats3[Carries],MATCH(RBmatchups[[#This Row],[Name]],HBstats3[Player],0)),"0")</f>
        <v>3.9</v>
      </c>
      <c r="AN65" s="14" t="str">
        <f>IFERROR(INDEX(HBallowed[Carries],MATCH(RBmatchups[[#This Row],[Opp]],HBallowed[Team],0)),"0")</f>
        <v>0</v>
      </c>
      <c r="AO65" s="14">
        <f>IFERROR(INDEX(HBstats1[Rush Yds],MATCH(RBmatchups[[#This Row],[Name]],HBstats1[Player],0)),"0")</f>
        <v>8.4920000000000009</v>
      </c>
      <c r="AP65" s="14">
        <f>IFERROR(INDEX(HBstats2[RushYards],MATCH(RBmatchups[[#This Row],[Name]],HBstats2[Player],0)),"0")</f>
        <v>10.1</v>
      </c>
      <c r="AQ65" s="14">
        <f>IFERROR(INDEX(HBstats3[RushYards],MATCH(RBmatchups[[#This Row],[Name]],HBstats3[Player],0)),"0")</f>
        <v>17.600000000000001</v>
      </c>
      <c r="AR65" s="32" t="str">
        <f>IFERROR(INDEX(HBallowed[Yards],MATCH(RBmatchups[[#This Row],[Opp]],HBallowed[Team],0)),"0")</f>
        <v>0</v>
      </c>
      <c r="AS65" s="14">
        <f>IFERROR(INDEX(HBstats1[Rush TD],MATCH(RBmatchups[[#This Row],[Name]],HBstats1[Player],0)),"0")</f>
        <v>0.12</v>
      </c>
      <c r="AT65" s="14" t="str">
        <f>IFERROR(INDEX(HBstats2[RushTD],MATCH(RBmatchups[[#This Row],[Name]],HBstats2[Player],0)),"0")</f>
        <v>0.1</v>
      </c>
      <c r="AU65" s="14">
        <f>IFERROR(INDEX(HBstats3[RushTD],MATCH(RBmatchups[[#This Row],[Name]],HBstats3[Player],0)),"0")</f>
        <v>0.1</v>
      </c>
      <c r="AV65" s="32" t="str">
        <f>IFERROR(INDEX(HBallowed[TD],MATCH(RBmatchups[[#This Row],[Opp]],HBallowed[Team],0)),"0")</f>
        <v>0</v>
      </c>
      <c r="AW65" s="32">
        <f>IFERROR(INDEX(HBstats3[Targets],MATCH(RBmatchups[[#This Row],[Name]],HBstats3[Player],0)),"0")</f>
        <v>1.9</v>
      </c>
      <c r="AX65" s="32" t="str">
        <f>IFERROR(INDEX(HBstats2[Targets],MATCH(RBmatchups[[#This Row],[Name]],HBstats2[Player],0)),"0")</f>
        <v>0</v>
      </c>
      <c r="AY65" s="32">
        <f>IFERROR(INDEX(HBstats3[Targets],MATCH(RBmatchups[[#This Row],[Name]],HBstats3[Player],0)),"0")</f>
        <v>1.9</v>
      </c>
      <c r="AZ65" s="14">
        <f>IFERROR(INDEX(HBstats1[Rec],MATCH(RBmatchups[[#This Row],[Name]],HBstats1[Player],0)),"0")</f>
        <v>1.08</v>
      </c>
      <c r="BA65" s="14">
        <f>IFERROR(INDEX(HBstats2[Rec],MATCH(RBmatchups[[#This Row],[Name]],HBstats2[Player],0)),"0")</f>
        <v>1.1000000000000001</v>
      </c>
      <c r="BB65" s="14">
        <f>IFERROR(INDEX(HBstats3[Rec],MATCH(RBmatchups[[#This Row],[Name]],HBstats3[Player],0)),"0")</f>
        <v>1.5</v>
      </c>
      <c r="BC65" s="32" t="str">
        <f>IFERROR(INDEX(HBallowed[Rec],MATCH(RBmatchups[[#This Row],[Opp]],HBallowed[Team],0)),"0")</f>
        <v>0</v>
      </c>
      <c r="BD65" s="14">
        <f>IFERROR(INDEX(HBstats1[Rec Yds],MATCH(RBmatchups[[#This Row],[Name]],HBstats1[Player],0)),"0")</f>
        <v>5.5330000000000004</v>
      </c>
      <c r="BE65" s="14">
        <f>IFERROR(INDEX(HBstats2[RecYards],MATCH(RBmatchups[[#This Row],[Name]],HBstats2[Player],0)),"0")</f>
        <v>7.9</v>
      </c>
      <c r="BF65" s="14">
        <f>IFERROR(INDEX(HBstats3[RecYards],MATCH(RBmatchups[[#This Row],[Name]],HBstats3[Player],0)),"0")</f>
        <v>12.5</v>
      </c>
      <c r="BG65" s="32" t="str">
        <f>IFERROR(INDEX(HBallowed[RecYards],MATCH(RBmatchups[[#This Row],[Opp]],HBallowed[Team],0)),"0")</f>
        <v>0</v>
      </c>
      <c r="BH65" s="14">
        <f>IFERROR(INDEX(HBstats1[Rec TD],MATCH(RBmatchups[[#This Row],[Name]],HBstats1[Player],0)),"0")</f>
        <v>1.9E-2</v>
      </c>
      <c r="BI65" s="14" t="str">
        <f>IFERROR(INDEX(HBstats2[RecTD],MATCH(RBmatchups[[#This Row],[Name]],HBstats2[Player],0)),"0")</f>
        <v>0.1</v>
      </c>
      <c r="BJ65" s="14">
        <f>IFERROR(INDEX(HBstats3[RecTD],MATCH(RBmatchups[[#This Row],[Name]],HBstats3[Player],0)),"0")</f>
        <v>0.1</v>
      </c>
      <c r="BK65" s="32" t="str">
        <f>IFERROR(INDEX(HBallowed[RecTD],MATCH(RBmatchups[[#This Row],[Opp]],HBallowed[Team],0)),"0")</f>
        <v>0</v>
      </c>
      <c r="BL65" s="268">
        <f>IF(RBmatchups[[#This Row],[Yards]]&gt;=100,3,0)</f>
        <v>0</v>
      </c>
    </row>
    <row r="66" spans="1:64" x14ac:dyDescent="0.3">
      <c r="A66" s="37">
        <f>HBstats1!AL70</f>
        <v>1.6</v>
      </c>
      <c r="B66" s="153" t="str">
        <f>HBstats1!D70</f>
        <v>Lance Dunbar</v>
      </c>
      <c r="C66" s="154">
        <f>IFERROR(INDEX(Salaries[DraftKings (Price)],MATCH(RBmatchups[[#This Row],[Name]],Salaries[Player],0)),"")</f>
        <v>3000</v>
      </c>
      <c r="D66" s="154">
        <f>IFERROR(INDEX(DK_Salary_Changes[WeekChange],MATCH(RBmatchups[[#This Row],[Name]],DK_Salary_Changes[Player],0)),"")</f>
        <v>0</v>
      </c>
      <c r="E66" s="154" t="str">
        <f>IFERROR(INDEX(Salaries[Team],MATCH(RBmatchups[[#This Row],[Name]],Salaries[Player],0)),"")</f>
        <v>DAL</v>
      </c>
      <c r="F66" s="189" t="str">
        <f>IFERROR(INDEX(Salaries[Opp],MATCH(RBmatchups[[#This Row],[Team]],Salaries[Team],0)),"")</f>
        <v>@SF</v>
      </c>
      <c r="G66" s="410">
        <f>IFERROR(INDEX(RBYTD[Rush ATT],MATCH(RBmatchups[Name],RBYTD[Player],0)),"0")</f>
        <v>4</v>
      </c>
      <c r="H66" s="191">
        <f>IFERROR(INDEX(RBYTD[Rush Yds],MATCH(RBmatchups[Name],RBYTD[Player],0)),"0")</f>
        <v>7</v>
      </c>
      <c r="I66" s="191">
        <f>IFERROR(INDEX(RBYTD[Rush TD],MATCH(RBmatchups[Name],RBYTD[Player],0)),"0")</f>
        <v>1</v>
      </c>
      <c r="J66" s="191">
        <f>IFERROR(INDEX(RBYTD[Rec],MATCH(RBmatchups[Name],RBYTD[Player],0)),"0")</f>
        <v>3</v>
      </c>
      <c r="K66" s="191">
        <f>IFERROR(INDEX(targettracker54[TTL],MATCH(RBmatchups[Name],targettracker54[Name],0)),"0")</f>
        <v>4</v>
      </c>
      <c r="L66" s="191">
        <f>IFERROR(INDEX(RBYTD[Rec Yds],MATCH(RBmatchups[Name],RBYTD[Player],0)),"0")</f>
        <v>42</v>
      </c>
      <c r="M66" s="411">
        <f>IFERROR(INDEX(RBYTD[Rec TD],MATCH(RBmatchups[Name],RBYTD[Player],0)),"0")</f>
        <v>0</v>
      </c>
      <c r="N66" s="441">
        <f>IFERROR(INDEX(Salaries[O/U],MATCH(RBmatchups[[#This Row],[Team]],Salaries[Team],0)),"")</f>
        <v>46</v>
      </c>
      <c r="O66" s="189">
        <f>IFERROR(INDEX(Salaries[Team O/U],MATCH(RBmatchups[[#This Row],[Team]],Salaries[Team],0)),"")</f>
        <v>24.5</v>
      </c>
      <c r="P66" s="442">
        <f>IFERROR(INDEX(Salaries[Spread],MATCH(RBmatchups[[#This Row],[Team]],Salaries[Team],0)),"")</f>
        <v>-3</v>
      </c>
      <c r="Q66" s="424">
        <f>IFERROR(INDEX(HBallowed[DVP],MATCH(RBmatchups[[#This Row],[Opp]],HBallowed[Team],0)),IFERROR(INDEX(HBallowed[DVP],MATCH(RBmatchups[[#This Row],[Opp]],HBallowed[Opp],0)),""))</f>
        <v>30</v>
      </c>
      <c r="R66" s="441">
        <f>AVERAGE(RBmatchups[[#This Row],[Car1]:[Car3]])</f>
        <v>0.99399999999999999</v>
      </c>
      <c r="S66" s="190">
        <f>AVERAGE(RBmatchups[[#This Row],[Yards1]:[Yards3]])</f>
        <v>7.6564999999999994</v>
      </c>
      <c r="T66" s="189">
        <f>SUM(RBmatchups[[#This Row],[Yards]]/RBmatchups[[#This Row],[Carries2]])</f>
        <v>7.7027162977867194</v>
      </c>
      <c r="U66" s="189">
        <f>AVERAGE(RBmatchups[[#This Row],[TD1]:[TD3]])</f>
        <v>0</v>
      </c>
      <c r="V66" s="189">
        <f>AVERAGE(RBmatchups[[#This Row],[Tar1]:[Tar3]])</f>
        <v>2.1</v>
      </c>
      <c r="W66" s="189">
        <f>AVERAGE(RBmatchups[[#This Row],[Rec1]:[Rec3]])</f>
        <v>1.3714999999999999</v>
      </c>
      <c r="X66" s="189">
        <f>AVERAGE(RBmatchups[[#This Row],[RecYards1]:[RecYards3]])</f>
        <v>16.045999999999999</v>
      </c>
      <c r="Y66" s="189">
        <f>AVERAGE(RBmatchups[[#This Row],[RecTD1]:[RecTd3]])</f>
        <v>6.5500000000000003E-2</v>
      </c>
      <c r="Z66" s="190">
        <f>SUM(RBmatchups[[#This Row],[Carries2]]+RBmatchups[[#This Row],[Rec4]])</f>
        <v>2.3654999999999999</v>
      </c>
      <c r="AA66" s="189">
        <f>SUM(RBmatchups[[#This Row],[Yards]]+RBmatchups[[#This Row],[RecYards]])</f>
        <v>23.702500000000001</v>
      </c>
      <c r="AB66" s="189">
        <f>SUM(RBmatchups[[#This Row],[TD]]+RBmatchups[[#This Row],[RecTD5]])</f>
        <v>6.5500000000000003E-2</v>
      </c>
      <c r="AC66" s="191">
        <f>_xlfn.RANK.EQ(RBmatchups[Projection],RBmatchups[Projection],0)</f>
        <v>56</v>
      </c>
      <c r="AD66" s="189">
        <f>SUM(RBmatchups[[#This Row],[Total Yards]]*0.1)+(RBmatchups[[#This Row],[Rec4]]*1)+(RBmatchups[[#This Row],[Total TD]]*6)+(RBmatchups[[#This Row],[100+]])</f>
        <v>4.1347499999999995</v>
      </c>
      <c r="AE66" s="191" t="e">
        <f>_xlfn.RANK.EQ(RBmatchups[[#This Row],[$/FP]],RBmatchups[$/FP],1)</f>
        <v>#VALUE!</v>
      </c>
      <c r="AF66" s="453">
        <f>SUM(RBmatchups[[#This Row],[Salary]]/RBmatchups[[#This Row],[Projection]])</f>
        <v>725.55777253763836</v>
      </c>
      <c r="AG66" s="448" t="e">
        <f>_xlfn.RANK.EQ(RBmatchups[[#This Row],[Average]],RBmatchups[Average],1)</f>
        <v>#VALUE!</v>
      </c>
      <c r="AH66" s="190" t="e">
        <f>AVERAGE(RBmatchups[[#This Row],[Proj Rank]],RBmatchups[[#This Row],[Value Rank]])</f>
        <v>#VALUE!</v>
      </c>
      <c r="AI66" s="214">
        <f>RBmatchups[[#This Row],[Salary]]/50000</f>
        <v>0.06</v>
      </c>
      <c r="AJ66" s="214"/>
      <c r="AK66" s="14">
        <f>IFERROR(INDEX(HBstats1[Rush Att],MATCH(RBmatchups[[#This Row],[Name]],HBstats1[Player],0)),"0")</f>
        <v>0.28799999999999998</v>
      </c>
      <c r="AL66" s="14" t="str">
        <f>IFERROR(INDEX(HBstats2[Carries],MATCH(RBmatchups[[#This Row],[Name]],HBstats2[Player],0)),"0")</f>
        <v>0</v>
      </c>
      <c r="AM66" s="14">
        <f>IFERROR(INDEX(HBstats3[Carries],MATCH(RBmatchups[[#This Row],[Name]],HBstats3[Player],0)),"0")</f>
        <v>1.7</v>
      </c>
      <c r="AN66" s="14" t="str">
        <f>IFERROR(INDEX(HBallowed[Carries],MATCH(RBmatchups[[#This Row],[Opp]],HBallowed[Team],0)),"0")</f>
        <v>0</v>
      </c>
      <c r="AO66" s="14">
        <f>IFERROR(INDEX(HBstats1[Rush Yds],MATCH(RBmatchups[[#This Row],[Name]],HBstats1[Player],0)),"0")</f>
        <v>2.613</v>
      </c>
      <c r="AP66" s="14" t="str">
        <f>IFERROR(INDEX(HBstats2[RushYards],MATCH(RBmatchups[[#This Row],[Name]],HBstats2[Player],0)),"0")</f>
        <v>0</v>
      </c>
      <c r="AQ66" s="14">
        <f>IFERROR(INDEX(HBstats3[RushYards],MATCH(RBmatchups[[#This Row],[Name]],HBstats3[Player],0)),"0")</f>
        <v>12.7</v>
      </c>
      <c r="AR66" s="32" t="str">
        <f>IFERROR(INDEX(HBallowed[Yards],MATCH(RBmatchups[[#This Row],[Opp]],HBallowed[Team],0)),"0")</f>
        <v>0</v>
      </c>
      <c r="AS66" s="14">
        <f>IFERROR(INDEX(HBstats1[Rush TD],MATCH(RBmatchups[[#This Row],[Name]],HBstats1[Player],0)),"0")</f>
        <v>0</v>
      </c>
      <c r="AT66" s="14" t="str">
        <f>IFERROR(INDEX(HBstats2[RushTD],MATCH(RBmatchups[[#This Row],[Name]],HBstats2[Player],0)),"0")</f>
        <v>0</v>
      </c>
      <c r="AU66" s="14">
        <f>IFERROR(INDEX(HBstats3[RushTD],MATCH(RBmatchups[[#This Row],[Name]],HBstats3[Player],0)),"0")</f>
        <v>0</v>
      </c>
      <c r="AV66" s="32" t="str">
        <f>IFERROR(INDEX(HBallowed[TD],MATCH(RBmatchups[[#This Row],[Opp]],HBallowed[Team],0)),"0")</f>
        <v>0</v>
      </c>
      <c r="AW66" s="32">
        <f>IFERROR(INDEX(HBstats3[Targets],MATCH(RBmatchups[[#This Row],[Name]],HBstats3[Player],0)),"0")</f>
        <v>2.1</v>
      </c>
      <c r="AX66" s="32" t="str">
        <f>IFERROR(INDEX(HBstats2[Targets],MATCH(RBmatchups[[#This Row],[Name]],HBstats2[Player],0)),"0")</f>
        <v>0</v>
      </c>
      <c r="AY66" s="32">
        <f>IFERROR(INDEX(HBstats3[Targets],MATCH(RBmatchups[[#This Row],[Name]],HBstats3[Player],0)),"0")</f>
        <v>2.1</v>
      </c>
      <c r="AZ66" s="14">
        <f>IFERROR(INDEX(HBstats1[Rec],MATCH(RBmatchups[[#This Row],[Name]],HBstats1[Player],0)),"0")</f>
        <v>0.84299999999999997</v>
      </c>
      <c r="BA66" s="14" t="str">
        <f>IFERROR(INDEX(HBstats2[Rec],MATCH(RBmatchups[[#This Row],[Name]],HBstats2[Player],0)),"0")</f>
        <v>0</v>
      </c>
      <c r="BB66" s="14">
        <f>IFERROR(INDEX(HBstats3[Rec],MATCH(RBmatchups[[#This Row],[Name]],HBstats3[Player],0)),"0")</f>
        <v>1.9</v>
      </c>
      <c r="BC66" s="32" t="str">
        <f>IFERROR(INDEX(HBallowed[Rec],MATCH(RBmatchups[[#This Row],[Opp]],HBallowed[Team],0)),"0")</f>
        <v>0</v>
      </c>
      <c r="BD66" s="14">
        <f>IFERROR(INDEX(HBstats1[Rec Yds],MATCH(RBmatchups[[#This Row],[Name]],HBstats1[Player],0)),"0")</f>
        <v>7.2919999999999998</v>
      </c>
      <c r="BE66" s="14" t="str">
        <f>IFERROR(INDEX(HBstats2[RecYards],MATCH(RBmatchups[[#This Row],[Name]],HBstats2[Player],0)),"0")</f>
        <v>0</v>
      </c>
      <c r="BF66" s="14">
        <f>IFERROR(INDEX(HBstats3[RecYards],MATCH(RBmatchups[[#This Row],[Name]],HBstats3[Player],0)),"0")</f>
        <v>24.8</v>
      </c>
      <c r="BG66" s="32" t="str">
        <f>IFERROR(INDEX(HBallowed[RecYards],MATCH(RBmatchups[[#This Row],[Opp]],HBallowed[Team],0)),"0")</f>
        <v>0</v>
      </c>
      <c r="BH66" s="14">
        <f>IFERROR(INDEX(HBstats1[Rec TD],MATCH(RBmatchups[[#This Row],[Name]],HBstats1[Player],0)),"0")</f>
        <v>3.1E-2</v>
      </c>
      <c r="BI66" s="14" t="str">
        <f>IFERROR(INDEX(HBstats2[RecTD],MATCH(RBmatchups[[#This Row],[Name]],HBstats2[Player],0)),"0")</f>
        <v>0</v>
      </c>
      <c r="BJ66" s="14">
        <f>IFERROR(INDEX(HBstats3[RecTD],MATCH(RBmatchups[[#This Row],[Name]],HBstats3[Player],0)),"0")</f>
        <v>0.1</v>
      </c>
      <c r="BK66" s="32" t="str">
        <f>IFERROR(INDEX(HBallowed[RecTD],MATCH(RBmatchups[[#This Row],[Opp]],HBallowed[Team],0)),"0")</f>
        <v>0</v>
      </c>
      <c r="BL66" s="268">
        <f>IF(RBmatchups[[#This Row],[Yards]]&gt;=100,3,0)</f>
        <v>0</v>
      </c>
    </row>
    <row r="67" spans="1:64" x14ac:dyDescent="0.3">
      <c r="A67" s="37">
        <f>HBstats1!AL47</f>
        <v>5</v>
      </c>
      <c r="B67" s="153" t="str">
        <f>HBstats1!D47</f>
        <v>Jacquizz Rodgers</v>
      </c>
      <c r="C67" s="154">
        <f>IFERROR(INDEX(Salaries[DraftKings (Price)],MATCH(RBmatchups[[#This Row],[Name]],Salaries[Player],0)),"")</f>
        <v>3000</v>
      </c>
      <c r="D67" s="154">
        <f>IFERROR(INDEX(DK_Salary_Changes[WeekChange],MATCH(RBmatchups[[#This Row],[Name]],DK_Salary_Changes[Player],0)),"")</f>
        <v>0</v>
      </c>
      <c r="E67" s="154" t="str">
        <f>IFERROR(INDEX(Salaries[Team],MATCH(RBmatchups[[#This Row],[Name]],Salaries[Player],0)),"")</f>
        <v>TB</v>
      </c>
      <c r="F67" s="189" t="str">
        <f>IFERROR(INDEX(Salaries[Opp],MATCH(RBmatchups[[#This Row],[Team]],Salaries[Team],0)),"")</f>
        <v>DEN</v>
      </c>
      <c r="G67" s="410" t="str">
        <f>IFERROR(INDEX(RBYTD[Rush ATT],MATCH(RBmatchups[Name],RBYTD[Player],0)),"0")</f>
        <v>0</v>
      </c>
      <c r="H67" s="191" t="str">
        <f>IFERROR(INDEX(RBYTD[Rush Yds],MATCH(RBmatchups[Name],RBYTD[Player],0)),"0")</f>
        <v>0</v>
      </c>
      <c r="I67" s="191" t="str">
        <f>IFERROR(INDEX(RBYTD[Rush TD],MATCH(RBmatchups[Name],RBYTD[Player],0)),"0")</f>
        <v>0</v>
      </c>
      <c r="J67" s="191" t="str">
        <f>IFERROR(INDEX(RBYTD[Rec],MATCH(RBmatchups[Name],RBYTD[Player],0)),"0")</f>
        <v>0</v>
      </c>
      <c r="K67" s="191">
        <f>IFERROR(INDEX(targettracker54[TTL],MATCH(RBmatchups[Name],targettracker54[Name],0)),"0")</f>
        <v>2</v>
      </c>
      <c r="L67" s="191" t="str">
        <f>IFERROR(INDEX(RBYTD[Rec Yds],MATCH(RBmatchups[Name],RBYTD[Player],0)),"0")</f>
        <v>0</v>
      </c>
      <c r="M67" s="411" t="str">
        <f>IFERROR(INDEX(RBYTD[Rec TD],MATCH(RBmatchups[Name],RBYTD[Player],0)),"0")</f>
        <v>0</v>
      </c>
      <c r="N67" s="441">
        <f>IFERROR(INDEX(Salaries[O/U],MATCH(RBmatchups[[#This Row],[Team]],Salaries[Team],0)),"")</f>
        <v>44</v>
      </c>
      <c r="O67" s="189">
        <f>IFERROR(INDEX(Salaries[Team O/U],MATCH(RBmatchups[[#This Row],[Team]],Salaries[Team],0)),"")</f>
        <v>20.5</v>
      </c>
      <c r="P67" s="442">
        <f>IFERROR(INDEX(Salaries[Spread],MATCH(RBmatchups[[#This Row],[Team]],Salaries[Team],0)),"")</f>
        <v>3</v>
      </c>
      <c r="Q67" s="424">
        <f>IFERROR(INDEX(HBallowed[DVP],MATCH(RBmatchups[[#This Row],[Opp]],HBallowed[Team],0)),IFERROR(INDEX(HBallowed[DVP],MATCH(RBmatchups[[#This Row],[Opp]],HBallowed[Opp],0)),""))</f>
        <v>11</v>
      </c>
      <c r="R67" s="441">
        <f>AVERAGE(RBmatchups[[#This Row],[Car1]:[Car3]])</f>
        <v>5.3143333333333338</v>
      </c>
      <c r="S67" s="190">
        <f>AVERAGE(RBmatchups[[#This Row],[Yards1]:[Yards3]])</f>
        <v>18.750666666666664</v>
      </c>
      <c r="T67" s="189">
        <f>SUM(RBmatchups[[#This Row],[Yards]]/RBmatchups[[#This Row],[Carries2]])</f>
        <v>3.5283196387129139</v>
      </c>
      <c r="U67" s="189">
        <f>AVERAGE(RBmatchups[[#This Row],[TD1]:[TD3]])</f>
        <v>3.95E-2</v>
      </c>
      <c r="V67" s="189">
        <f>AVERAGE(RBmatchups[[#This Row],[Tar1]:[Tar3]])</f>
        <v>0.5</v>
      </c>
      <c r="W67" s="189">
        <f>AVERAGE(RBmatchups[[#This Row],[Rec1]:[Rec3]])</f>
        <v>1.0780000000000001</v>
      </c>
      <c r="X67" s="189">
        <f>AVERAGE(RBmatchups[[#This Row],[RecYards1]:[RecYards3]])</f>
        <v>6.6033333333333344</v>
      </c>
      <c r="Y67" s="189">
        <f>AVERAGE(RBmatchups[[#This Row],[RecTD1]:[RecTd3]])</f>
        <v>3.9E-2</v>
      </c>
      <c r="Z67" s="190">
        <f>SUM(RBmatchups[[#This Row],[Carries2]]+RBmatchups[[#This Row],[Rec4]])</f>
        <v>6.3923333333333341</v>
      </c>
      <c r="AA67" s="189">
        <f>SUM(RBmatchups[[#This Row],[Yards]]+RBmatchups[[#This Row],[RecYards]])</f>
        <v>25.353999999999999</v>
      </c>
      <c r="AB67" s="189">
        <f>SUM(RBmatchups[[#This Row],[TD]]+RBmatchups[[#This Row],[RecTD5]])</f>
        <v>7.85E-2</v>
      </c>
      <c r="AC67" s="191">
        <f>_xlfn.RANK.EQ(RBmatchups[Projection],RBmatchups[Projection],0)</f>
        <v>57</v>
      </c>
      <c r="AD67" s="189">
        <f>SUM(RBmatchups[[#This Row],[Total Yards]]*0.1)+(RBmatchups[[#This Row],[Rec4]]*1)+(RBmatchups[[#This Row],[Total TD]]*6)+(RBmatchups[[#This Row],[100+]])</f>
        <v>4.0844000000000005</v>
      </c>
      <c r="AE67" s="191" t="e">
        <f>_xlfn.RANK.EQ(RBmatchups[[#This Row],[$/FP]],RBmatchups[$/FP],1)</f>
        <v>#VALUE!</v>
      </c>
      <c r="AF67" s="453">
        <f>SUM(RBmatchups[[#This Row],[Salary]]/RBmatchups[[#This Row],[Projection]])</f>
        <v>734.50200763882083</v>
      </c>
      <c r="AG67" s="448" t="e">
        <f>_xlfn.RANK.EQ(RBmatchups[[#This Row],[Average]],RBmatchups[Average],1)</f>
        <v>#VALUE!</v>
      </c>
      <c r="AH67" s="190" t="e">
        <f>AVERAGE(RBmatchups[[#This Row],[Proj Rank]],RBmatchups[[#This Row],[Value Rank]])</f>
        <v>#VALUE!</v>
      </c>
      <c r="AI67" s="214">
        <f>RBmatchups[[#This Row],[Salary]]/50000</f>
        <v>0.06</v>
      </c>
      <c r="AJ67" s="214"/>
      <c r="AK67" s="14">
        <f>IFERROR(INDEX(HBstats1[Rush Att],MATCH(RBmatchups[[#This Row],[Name]],HBstats1[Player],0)),"0")</f>
        <v>5.5430000000000001</v>
      </c>
      <c r="AL67" s="14">
        <f>IFERROR(INDEX(HBstats2[Carries],MATCH(RBmatchups[[#This Row],[Name]],HBstats2[Player],0)),"0")</f>
        <v>3.7</v>
      </c>
      <c r="AM67" s="14">
        <f>IFERROR(INDEX(HBstats3[Carries],MATCH(RBmatchups[[#This Row],[Name]],HBstats3[Player],0)),"0")</f>
        <v>6.7</v>
      </c>
      <c r="AN67" s="14">
        <f>IFERROR(INDEX(HBallowed[Carries],MATCH(RBmatchups[[#This Row],[Opp]],HBallowed[Team],0)),"0")</f>
        <v>23</v>
      </c>
      <c r="AO67" s="14">
        <f>IFERROR(INDEX(HBstats1[Rush Yds],MATCH(RBmatchups[[#This Row],[Name]],HBstats1[Player],0)),"0")</f>
        <v>19.552</v>
      </c>
      <c r="AP67" s="14">
        <f>IFERROR(INDEX(HBstats2[RushYards],MATCH(RBmatchups[[#This Row],[Name]],HBstats2[Player],0)),"0")</f>
        <v>13.7</v>
      </c>
      <c r="AQ67" s="14">
        <f>IFERROR(INDEX(HBstats3[RushYards],MATCH(RBmatchups[[#This Row],[Name]],HBstats3[Player],0)),"0")</f>
        <v>23</v>
      </c>
      <c r="AR67" s="32">
        <f>IFERROR(INDEX(HBallowed[Yards],MATCH(RBmatchups[[#This Row],[Opp]],HBallowed[Team],0)),"0")</f>
        <v>97.6875</v>
      </c>
      <c r="AS67" s="14">
        <f>IFERROR(INDEX(HBstats1[Rush TD],MATCH(RBmatchups[[#This Row],[Name]],HBstats1[Player],0)),"0")</f>
        <v>7.9000000000000001E-2</v>
      </c>
      <c r="AT67" s="14" t="str">
        <f>IFERROR(INDEX(HBstats2[RushTD],MATCH(RBmatchups[[#This Row],[Name]],HBstats2[Player],0)),"0")</f>
        <v>0.1</v>
      </c>
      <c r="AU67" s="14">
        <f>IFERROR(INDEX(HBstats3[RushTD],MATCH(RBmatchups[[#This Row],[Name]],HBstats3[Player],0)),"0")</f>
        <v>0</v>
      </c>
      <c r="AV67" s="32">
        <f>IFERROR(INDEX(HBallowed[TD],MATCH(RBmatchups[[#This Row],[Opp]],HBallowed[Team],0)),"0")</f>
        <v>0.375</v>
      </c>
      <c r="AW67" s="32">
        <f>IFERROR(INDEX(HBstats3[Targets],MATCH(RBmatchups[[#This Row],[Name]],HBstats3[Player],0)),"0")</f>
        <v>0.5</v>
      </c>
      <c r="AX67" s="32" t="str">
        <f>IFERROR(INDEX(HBstats2[Targets],MATCH(RBmatchups[[#This Row],[Name]],HBstats2[Player],0)),"0")</f>
        <v>0</v>
      </c>
      <c r="AY67" s="32">
        <f>IFERROR(INDEX(HBstats3[Targets],MATCH(RBmatchups[[#This Row],[Name]],HBstats3[Player],0)),"0")</f>
        <v>0.5</v>
      </c>
      <c r="AZ67" s="14">
        <f>IFERROR(INDEX(HBstats1[Rec],MATCH(RBmatchups[[#This Row],[Name]],HBstats1[Player],0)),"0")</f>
        <v>1.956</v>
      </c>
      <c r="BA67" s="14" t="str">
        <f>IFERROR(INDEX(HBstats2[Rec],MATCH(RBmatchups[[#This Row],[Name]],HBstats2[Player],0)),"0")</f>
        <v>0.8</v>
      </c>
      <c r="BB67" s="14">
        <f>IFERROR(INDEX(HBstats3[Rec],MATCH(RBmatchups[[#This Row],[Name]],HBstats3[Player],0)),"0")</f>
        <v>0.2</v>
      </c>
      <c r="BC67" s="32">
        <f>IFERROR(INDEX(HBallowed[Rec],MATCH(RBmatchups[[#This Row],[Opp]],HBallowed[Team],0)),"0")</f>
        <v>5.125</v>
      </c>
      <c r="BD67" s="14">
        <f>IFERROR(INDEX(HBstats1[Rec Yds],MATCH(RBmatchups[[#This Row],[Name]],HBstats1[Player],0)),"0")</f>
        <v>12.71</v>
      </c>
      <c r="BE67" s="14">
        <f>IFERROR(INDEX(HBstats2[RecYards],MATCH(RBmatchups[[#This Row],[Name]],HBstats2[Player],0)),"0")</f>
        <v>5.5</v>
      </c>
      <c r="BF67" s="14">
        <f>IFERROR(INDEX(HBstats3[RecYards],MATCH(RBmatchups[[#This Row],[Name]],HBstats3[Player],0)),"0")</f>
        <v>1.6</v>
      </c>
      <c r="BG67" s="32">
        <f>IFERROR(INDEX(HBallowed[RecYards],MATCH(RBmatchups[[#This Row],[Opp]],HBallowed[Team],0)),"0")</f>
        <v>51.5</v>
      </c>
      <c r="BH67" s="14">
        <f>IFERROR(INDEX(HBstats1[Rec TD],MATCH(RBmatchups[[#This Row],[Name]],HBstats1[Player],0)),"0")</f>
        <v>7.8E-2</v>
      </c>
      <c r="BI67" s="14" t="str">
        <f>IFERROR(INDEX(HBstats2[RecTD],MATCH(RBmatchups[[#This Row],[Name]],HBstats2[Player],0)),"0")</f>
        <v>0</v>
      </c>
      <c r="BJ67" s="14">
        <f>IFERROR(INDEX(HBstats3[RecTD],MATCH(RBmatchups[[#This Row],[Name]],HBstats3[Player],0)),"0")</f>
        <v>0</v>
      </c>
      <c r="BK67" s="32">
        <f>IFERROR(INDEX(HBallowed[RecTD],MATCH(RBmatchups[[#This Row],[Opp]],HBallowed[Team],0)),"0")</f>
        <v>0.4375</v>
      </c>
      <c r="BL67" s="268">
        <f>IF(RBmatchups[[#This Row],[Yards]]&gt;=100,3,0)</f>
        <v>0</v>
      </c>
    </row>
    <row r="68" spans="1:64" x14ac:dyDescent="0.3">
      <c r="A68" s="37">
        <f>HBstats1!AL62</f>
        <v>2.6</v>
      </c>
      <c r="B68" s="153" t="str">
        <f>HBstats1!D62</f>
        <v>Robert Turbin</v>
      </c>
      <c r="C68" s="154">
        <f>IFERROR(INDEX(Salaries[DraftKings (Price)],MATCH(RBmatchups[[#This Row],[Name]],Salaries[Player],0)),"")</f>
        <v>3000</v>
      </c>
      <c r="D68" s="154">
        <f>IFERROR(INDEX(DK_Salary_Changes[WeekChange],MATCH(RBmatchups[[#This Row],[Name]],DK_Salary_Changes[Player],0)),"")</f>
        <v>0</v>
      </c>
      <c r="E68" s="154" t="str">
        <f>IFERROR(INDEX(Salaries[Team],MATCH(RBmatchups[[#This Row],[Name]],Salaries[Player],0)),"")</f>
        <v>IND</v>
      </c>
      <c r="F68" s="189" t="str">
        <f>IFERROR(INDEX(Salaries[Opp],MATCH(RBmatchups[[#This Row],[Team]],Salaries[Team],0)),"")</f>
        <v>@JAX</v>
      </c>
      <c r="G68" s="410">
        <f>IFERROR(INDEX(RBYTD[Rush ATT],MATCH(RBmatchups[Name],RBYTD[Player],0)),"0")</f>
        <v>8</v>
      </c>
      <c r="H68" s="191">
        <f>IFERROR(INDEX(RBYTD[Rush Yds],MATCH(RBmatchups[Name],RBYTD[Player],0)),"0")</f>
        <v>23</v>
      </c>
      <c r="I68" s="191">
        <f>IFERROR(INDEX(RBYTD[Rush TD],MATCH(RBmatchups[Name],RBYTD[Player],0)),"0")</f>
        <v>2</v>
      </c>
      <c r="J68" s="191">
        <f>IFERROR(INDEX(RBYTD[Rec],MATCH(RBmatchups[Name],RBYTD[Player],0)),"0")</f>
        <v>2</v>
      </c>
      <c r="K68" s="191">
        <f>IFERROR(INDEX(targettracker54[TTL],MATCH(RBmatchups[Name],targettracker54[Name],0)),"0")</f>
        <v>3</v>
      </c>
      <c r="L68" s="191">
        <f>IFERROR(INDEX(RBYTD[Rec Yds],MATCH(RBmatchups[Name],RBYTD[Player],0)),"0")</f>
        <v>15</v>
      </c>
      <c r="M68" s="411">
        <f>IFERROR(INDEX(RBYTD[Rec TD],MATCH(RBmatchups[Name],RBYTD[Player],0)),"0")</f>
        <v>0</v>
      </c>
      <c r="N68" s="441">
        <f>IFERROR(INDEX(Salaries[O/U],MATCH(RBmatchups[[#This Row],[Team]],Salaries[Team],0)),"")</f>
        <v>49.5</v>
      </c>
      <c r="O68" s="189">
        <f>IFERROR(INDEX(Salaries[Team O/U],MATCH(RBmatchups[[#This Row],[Team]],Salaries[Team],0)),"")</f>
        <v>26</v>
      </c>
      <c r="P68" s="442">
        <f>IFERROR(INDEX(Salaries[Spread],MATCH(RBmatchups[[#This Row],[Team]],Salaries[Team],0)),"")</f>
        <v>-2.5</v>
      </c>
      <c r="Q68" s="424">
        <f>IFERROR(INDEX(HBallowed[DVP],MATCH(RBmatchups[[#This Row],[Opp]],HBallowed[Team],0)),IFERROR(INDEX(HBallowed[DVP],MATCH(RBmatchups[[#This Row],[Opp]],HBallowed[Opp],0)),""))</f>
        <v>24</v>
      </c>
      <c r="R68" s="441">
        <f>AVERAGE(RBmatchups[[#This Row],[Car1]:[Car3]])</f>
        <v>3.9359999999999999</v>
      </c>
      <c r="S68" s="190">
        <f>AVERAGE(RBmatchups[[#This Row],[Yards1]:[Yards3]])</f>
        <v>16.304666666666666</v>
      </c>
      <c r="T68" s="189">
        <f>SUM(RBmatchups[[#This Row],[Yards]]/RBmatchups[[#This Row],[Carries2]])</f>
        <v>4.1424457994579944</v>
      </c>
      <c r="U68" s="189">
        <f>AVERAGE(RBmatchups[[#This Row],[TD1]:[TD3]])</f>
        <v>0.126</v>
      </c>
      <c r="V68" s="189">
        <f>AVERAGE(RBmatchups[[#This Row],[Tar1]:[Tar3]])</f>
        <v>0.3</v>
      </c>
      <c r="W68" s="189">
        <f>AVERAGE(RBmatchups[[#This Row],[Rec1]:[Rec3]])</f>
        <v>0.8753333333333333</v>
      </c>
      <c r="X68" s="189">
        <f>AVERAGE(RBmatchups[[#This Row],[RecYards1]:[RecYards3]])</f>
        <v>6.2570000000000006</v>
      </c>
      <c r="Y68" s="189">
        <f>AVERAGE(RBmatchups[[#This Row],[RecTD1]:[RecTd3]])</f>
        <v>0.01</v>
      </c>
      <c r="Z68" s="190">
        <f>SUM(RBmatchups[[#This Row],[Carries2]]+RBmatchups[[#This Row],[Rec4]])</f>
        <v>4.8113333333333337</v>
      </c>
      <c r="AA68" s="189">
        <f>SUM(RBmatchups[[#This Row],[Yards]]+RBmatchups[[#This Row],[RecYards]])</f>
        <v>22.561666666666667</v>
      </c>
      <c r="AB68" s="189">
        <f>SUM(RBmatchups[[#This Row],[TD]]+RBmatchups[[#This Row],[RecTD5]])</f>
        <v>0.13600000000000001</v>
      </c>
      <c r="AC68" s="191">
        <f>_xlfn.RANK.EQ(RBmatchups[Projection],RBmatchups[Projection],0)</f>
        <v>58</v>
      </c>
      <c r="AD68" s="189">
        <f>SUM(RBmatchups[[#This Row],[Total Yards]]*0.1)+(RBmatchups[[#This Row],[Rec4]]*1)+(RBmatchups[[#This Row],[Total TD]]*6)+(RBmatchups[[#This Row],[100+]])</f>
        <v>3.9474999999999998</v>
      </c>
      <c r="AE68" s="191" t="e">
        <f>_xlfn.RANK.EQ(RBmatchups[[#This Row],[$/FP]],RBmatchups[$/FP],1)</f>
        <v>#VALUE!</v>
      </c>
      <c r="AF68" s="453">
        <f>SUM(RBmatchups[[#This Row],[Salary]]/RBmatchups[[#This Row],[Projection]])</f>
        <v>759.974667511083</v>
      </c>
      <c r="AG68" s="448" t="e">
        <f>_xlfn.RANK.EQ(RBmatchups[[#This Row],[Average]],RBmatchups[Average],1)</f>
        <v>#VALUE!</v>
      </c>
      <c r="AH68" s="190" t="e">
        <f>AVERAGE(RBmatchups[[#This Row],[Proj Rank]],RBmatchups[[#This Row],[Value Rank]])</f>
        <v>#VALUE!</v>
      </c>
      <c r="AI68" s="214">
        <f>RBmatchups[[#This Row],[Salary]]/50000</f>
        <v>0.06</v>
      </c>
      <c r="AJ68" s="214"/>
      <c r="AK68" s="14">
        <f>IFERROR(INDEX(HBstats1[Rush Att],MATCH(RBmatchups[[#This Row],[Name]],HBstats1[Player],0)),"0")</f>
        <v>2.3079999999999998</v>
      </c>
      <c r="AL68" s="14">
        <f>IFERROR(INDEX(HBstats2[Carries],MATCH(RBmatchups[[#This Row],[Name]],HBstats2[Player],0)),"0")</f>
        <v>6.2</v>
      </c>
      <c r="AM68" s="14">
        <f>IFERROR(INDEX(HBstats3[Carries],MATCH(RBmatchups[[#This Row],[Name]],HBstats3[Player],0)),"0")</f>
        <v>3.3</v>
      </c>
      <c r="AN68" s="14" t="str">
        <f>IFERROR(INDEX(HBallowed[Carries],MATCH(RBmatchups[[#This Row],[Opp]],HBallowed[Team],0)),"0")</f>
        <v>0</v>
      </c>
      <c r="AO68" s="14">
        <f>IFERROR(INDEX(HBstats1[Rush Yds],MATCH(RBmatchups[[#This Row],[Name]],HBstats1[Player],0)),"0")</f>
        <v>9.1140000000000008</v>
      </c>
      <c r="AP68" s="14">
        <f>IFERROR(INDEX(HBstats2[RushYards],MATCH(RBmatchups[[#This Row],[Name]],HBstats2[Player],0)),"0")</f>
        <v>26.5</v>
      </c>
      <c r="AQ68" s="14">
        <f>IFERROR(INDEX(HBstats3[RushYards],MATCH(RBmatchups[[#This Row],[Name]],HBstats3[Player],0)),"0")</f>
        <v>13.3</v>
      </c>
      <c r="AR68" s="32" t="str">
        <f>IFERROR(INDEX(HBallowed[Yards],MATCH(RBmatchups[[#This Row],[Opp]],HBallowed[Team],0)),"0")</f>
        <v>0</v>
      </c>
      <c r="AS68" s="14">
        <f>IFERROR(INDEX(HBstats1[Rush TD],MATCH(RBmatchups[[#This Row],[Name]],HBstats1[Player],0)),"0")</f>
        <v>0.152</v>
      </c>
      <c r="AT68" s="14" t="str">
        <f>IFERROR(INDEX(HBstats2[RushTD],MATCH(RBmatchups[[#This Row],[Name]],HBstats2[Player],0)),"0")</f>
        <v>0.2</v>
      </c>
      <c r="AU68" s="14">
        <f>IFERROR(INDEX(HBstats3[RushTD],MATCH(RBmatchups[[#This Row],[Name]],HBstats3[Player],0)),"0")</f>
        <v>0.1</v>
      </c>
      <c r="AV68" s="32" t="str">
        <f>IFERROR(INDEX(HBallowed[TD],MATCH(RBmatchups[[#This Row],[Opp]],HBallowed[Team],0)),"0")</f>
        <v>0</v>
      </c>
      <c r="AW68" s="32">
        <f>IFERROR(INDEX(HBstats3[Targets],MATCH(RBmatchups[[#This Row],[Name]],HBstats3[Player],0)),"0")</f>
        <v>0.3</v>
      </c>
      <c r="AX68" s="32" t="str">
        <f>IFERROR(INDEX(HBstats2[Targets],MATCH(RBmatchups[[#This Row],[Name]],HBstats2[Player],0)),"0")</f>
        <v>0</v>
      </c>
      <c r="AY68" s="32">
        <f>IFERROR(INDEX(HBstats3[Targets],MATCH(RBmatchups[[#This Row],[Name]],HBstats3[Player],0)),"0")</f>
        <v>0.3</v>
      </c>
      <c r="AZ68" s="14">
        <f>IFERROR(INDEX(HBstats1[Rec],MATCH(RBmatchups[[#This Row],[Name]],HBstats1[Player],0)),"0")</f>
        <v>0.626</v>
      </c>
      <c r="BA68" s="14">
        <f>IFERROR(INDEX(HBstats2[Rec],MATCH(RBmatchups[[#This Row],[Name]],HBstats2[Player],0)),"0")</f>
        <v>1.7</v>
      </c>
      <c r="BB68" s="14">
        <f>IFERROR(INDEX(HBstats3[Rec],MATCH(RBmatchups[[#This Row],[Name]],HBstats3[Player],0)),"0")</f>
        <v>0.3</v>
      </c>
      <c r="BC68" s="32" t="str">
        <f>IFERROR(INDEX(HBallowed[Rec],MATCH(RBmatchups[[#This Row],[Opp]],HBallowed[Team],0)),"0")</f>
        <v>0</v>
      </c>
      <c r="BD68" s="14">
        <f>IFERROR(INDEX(HBstats1[Rec Yds],MATCH(RBmatchups[[#This Row],[Name]],HBstats1[Player],0)),"0")</f>
        <v>4.2709999999999999</v>
      </c>
      <c r="BE68" s="14">
        <f>IFERROR(INDEX(HBstats2[RecYards],MATCH(RBmatchups[[#This Row],[Name]],HBstats2[Player],0)),"0")</f>
        <v>12.7</v>
      </c>
      <c r="BF68" s="14">
        <f>IFERROR(INDEX(HBstats3[RecYards],MATCH(RBmatchups[[#This Row],[Name]],HBstats3[Player],0)),"0")</f>
        <v>1.8</v>
      </c>
      <c r="BG68" s="32" t="str">
        <f>IFERROR(INDEX(HBallowed[RecYards],MATCH(RBmatchups[[#This Row],[Opp]],HBallowed[Team],0)),"0")</f>
        <v>0</v>
      </c>
      <c r="BH68" s="14">
        <f>IFERROR(INDEX(HBstats1[Rec TD],MATCH(RBmatchups[[#This Row],[Name]],HBstats1[Player],0)),"0")</f>
        <v>0.02</v>
      </c>
      <c r="BI68" s="14" t="str">
        <f>IFERROR(INDEX(HBstats2[RecTD],MATCH(RBmatchups[[#This Row],[Name]],HBstats2[Player],0)),"0")</f>
        <v>0</v>
      </c>
      <c r="BJ68" s="14">
        <f>IFERROR(INDEX(HBstats3[RecTD],MATCH(RBmatchups[[#This Row],[Name]],HBstats3[Player],0)),"0")</f>
        <v>0</v>
      </c>
      <c r="BK68" s="32" t="str">
        <f>IFERROR(INDEX(HBallowed[RecTD],MATCH(RBmatchups[[#This Row],[Opp]],HBallowed[Team],0)),"0")</f>
        <v>0</v>
      </c>
      <c r="BL68" s="268">
        <f>IF(RBmatchups[[#This Row],[Yards]]&gt;=100,3,0)</f>
        <v>0</v>
      </c>
    </row>
    <row r="69" spans="1:64" x14ac:dyDescent="0.3">
      <c r="A69" s="37">
        <f>HBstats1!AL61</f>
        <v>2.6</v>
      </c>
      <c r="B69" s="153" t="str">
        <f>HBstats1!D61</f>
        <v>Tim Hightower</v>
      </c>
      <c r="C69" s="154">
        <f>IFERROR(INDEX(Salaries[DraftKings (Price)],MATCH(RBmatchups[[#This Row],[Name]],Salaries[Player],0)),"")</f>
        <v>3300</v>
      </c>
      <c r="D69" s="154">
        <f>IFERROR(INDEX(DK_Salary_Changes[WeekChange],MATCH(RBmatchups[[#This Row],[Name]],DK_Salary_Changes[Player],0)),"")</f>
        <v>0</v>
      </c>
      <c r="E69" s="154" t="str">
        <f>IFERROR(INDEX(Salaries[Team],MATCH(RBmatchups[[#This Row],[Name]],Salaries[Player],0)),"")</f>
        <v>NO</v>
      </c>
      <c r="F69" s="189" t="str">
        <f>IFERROR(INDEX(Salaries[Opp],MATCH(RBmatchups[[#This Row],[Team]],Salaries[Team],0)),"")</f>
        <v>@SD</v>
      </c>
      <c r="G69" s="410" t="str">
        <f>IFERROR(INDEX(RBYTD[Rush ATT],MATCH(RBmatchups[Name],RBYTD[Player],0)),"0")</f>
        <v>0</v>
      </c>
      <c r="H69" s="191" t="str">
        <f>IFERROR(INDEX(RBYTD[Rush Yds],MATCH(RBmatchups[Name],RBYTD[Player],0)),"0")</f>
        <v>0</v>
      </c>
      <c r="I69" s="191" t="str">
        <f>IFERROR(INDEX(RBYTD[Rush TD],MATCH(RBmatchups[Name],RBYTD[Player],0)),"0")</f>
        <v>0</v>
      </c>
      <c r="J69" s="191" t="str">
        <f>IFERROR(INDEX(RBYTD[Rec],MATCH(RBmatchups[Name],RBYTD[Player],0)),"0")</f>
        <v>0</v>
      </c>
      <c r="K69" s="191">
        <f>IFERROR(INDEX(targettracker54[TTL],MATCH(RBmatchups[Name],targettracker54[Name],0)),"0")</f>
        <v>1</v>
      </c>
      <c r="L69" s="191" t="str">
        <f>IFERROR(INDEX(RBYTD[Rec Yds],MATCH(RBmatchups[Name],RBYTD[Player],0)),"0")</f>
        <v>0</v>
      </c>
      <c r="M69" s="411" t="str">
        <f>IFERROR(INDEX(RBYTD[Rec TD],MATCH(RBmatchups[Name],RBYTD[Player],0)),"0")</f>
        <v>0</v>
      </c>
      <c r="N69" s="441">
        <f>IFERROR(INDEX(Salaries[O/U],MATCH(RBmatchups[[#This Row],[Team]],Salaries[Team],0)),"")</f>
        <v>53.5</v>
      </c>
      <c r="O69" s="189">
        <f>IFERROR(INDEX(Salaries[Team O/U],MATCH(RBmatchups[[#This Row],[Team]],Salaries[Team],0)),"")</f>
        <v>24.75</v>
      </c>
      <c r="P69" s="442">
        <f>IFERROR(INDEX(Salaries[Spread],MATCH(RBmatchups[[#This Row],[Team]],Salaries[Team],0)),"")</f>
        <v>4</v>
      </c>
      <c r="Q69" s="424">
        <f>IFERROR(INDEX(HBallowed[DVP],MATCH(RBmatchups[[#This Row],[Opp]],HBallowed[Team],0)),IFERROR(INDEX(HBallowed[DVP],MATCH(RBmatchups[[#This Row],[Opp]],HBallowed[Opp],0)),""))</f>
        <v>29</v>
      </c>
      <c r="R69" s="441">
        <f>AVERAGE(RBmatchups[[#This Row],[Car1]:[Car3]])</f>
        <v>4.5259999999999998</v>
      </c>
      <c r="S69" s="190">
        <f>AVERAGE(RBmatchups[[#This Row],[Yards1]:[Yards3]])</f>
        <v>20.610333333333333</v>
      </c>
      <c r="T69" s="189">
        <f>SUM(RBmatchups[[#This Row],[Yards]]/RBmatchups[[#This Row],[Carries2]])</f>
        <v>4.553763440860215</v>
      </c>
      <c r="U69" s="189">
        <f>AVERAGE(RBmatchups[[#This Row],[TD1]:[TD3]])</f>
        <v>0.14250000000000002</v>
      </c>
      <c r="V69" s="189">
        <f>AVERAGE(RBmatchups[[#This Row],[Tar1]:[Tar3]])</f>
        <v>0.7</v>
      </c>
      <c r="W69" s="189">
        <f>AVERAGE(RBmatchups[[#This Row],[Rec1]:[Rec3]])</f>
        <v>0.44499999999999995</v>
      </c>
      <c r="X69" s="189">
        <f>AVERAGE(RBmatchups[[#This Row],[RecYards1]:[RecYards3]])</f>
        <v>4.9716666666666667</v>
      </c>
      <c r="Y69" s="189">
        <f>AVERAGE(RBmatchups[[#This Row],[RecTD1]:[RecTd3]])</f>
        <v>5.0000000000000001E-3</v>
      </c>
      <c r="Z69" s="190">
        <f>SUM(RBmatchups[[#This Row],[Carries2]]+RBmatchups[[#This Row],[Rec4]])</f>
        <v>4.9710000000000001</v>
      </c>
      <c r="AA69" s="189">
        <f>SUM(RBmatchups[[#This Row],[Yards]]+RBmatchups[[#This Row],[RecYards]])</f>
        <v>25.582000000000001</v>
      </c>
      <c r="AB69" s="189">
        <f>SUM(RBmatchups[[#This Row],[TD]]+RBmatchups[[#This Row],[RecTD5]])</f>
        <v>0.14750000000000002</v>
      </c>
      <c r="AC69" s="191">
        <f>_xlfn.RANK.EQ(RBmatchups[Projection],RBmatchups[Projection],0)</f>
        <v>59</v>
      </c>
      <c r="AD69" s="189">
        <f>SUM(RBmatchups[[#This Row],[Total Yards]]*0.1)+(RBmatchups[[#This Row],[Rec4]]*1)+(RBmatchups[[#This Row],[Total TD]]*6)+(RBmatchups[[#This Row],[100+]])</f>
        <v>3.8882000000000003</v>
      </c>
      <c r="AE69" s="191" t="e">
        <f>_xlfn.RANK.EQ(RBmatchups[[#This Row],[$/FP]],RBmatchups[$/FP],1)</f>
        <v>#VALUE!</v>
      </c>
      <c r="AF69" s="453">
        <f>SUM(RBmatchups[[#This Row],[Salary]]/RBmatchups[[#This Row],[Projection]])</f>
        <v>848.72177357131829</v>
      </c>
      <c r="AG69" s="448" t="e">
        <f>_xlfn.RANK.EQ(RBmatchups[[#This Row],[Average]],RBmatchups[Average],1)</f>
        <v>#VALUE!</v>
      </c>
      <c r="AH69" s="190" t="e">
        <f>AVERAGE(RBmatchups[[#This Row],[Proj Rank]],RBmatchups[[#This Row],[Value Rank]])</f>
        <v>#VALUE!</v>
      </c>
      <c r="AI69" s="214">
        <f>RBmatchups[[#This Row],[Salary]]/50000</f>
        <v>6.6000000000000003E-2</v>
      </c>
      <c r="AJ69" s="214"/>
      <c r="AK69" s="14">
        <f>IFERROR(INDEX(HBstats1[Rush Att],MATCH(RBmatchups[[#This Row],[Name]],HBstats1[Player],0)),"0")</f>
        <v>4.3780000000000001</v>
      </c>
      <c r="AL69" s="14">
        <f>IFERROR(INDEX(HBstats2[Carries],MATCH(RBmatchups[[#This Row],[Name]],HBstats2[Player],0)),"0")</f>
        <v>4.0999999999999996</v>
      </c>
      <c r="AM69" s="14">
        <f>IFERROR(INDEX(HBstats3[Carries],MATCH(RBmatchups[[#This Row],[Name]],HBstats3[Player],0)),"0")</f>
        <v>5.0999999999999996</v>
      </c>
      <c r="AN69" s="14" t="str">
        <f>IFERROR(INDEX(HBallowed[Carries],MATCH(RBmatchups[[#This Row],[Opp]],HBallowed[Team],0)),"0")</f>
        <v>0</v>
      </c>
      <c r="AO69" s="14">
        <f>IFERROR(INDEX(HBstats1[Rush Yds],MATCH(RBmatchups[[#This Row],[Name]],HBstats1[Player],0)),"0")</f>
        <v>17.631</v>
      </c>
      <c r="AP69" s="14">
        <f>IFERROR(INDEX(HBstats2[RushYards],MATCH(RBmatchups[[#This Row],[Name]],HBstats2[Player],0)),"0")</f>
        <v>18.2</v>
      </c>
      <c r="AQ69" s="14">
        <f>IFERROR(INDEX(HBstats3[RushYards],MATCH(RBmatchups[[#This Row],[Name]],HBstats3[Player],0)),"0")</f>
        <v>26</v>
      </c>
      <c r="AR69" s="32" t="str">
        <f>IFERROR(INDEX(HBallowed[Yards],MATCH(RBmatchups[[#This Row],[Opp]],HBallowed[Team],0)),"0")</f>
        <v>0</v>
      </c>
      <c r="AS69" s="14">
        <f>IFERROR(INDEX(HBstats1[Rush TD],MATCH(RBmatchups[[#This Row],[Name]],HBstats1[Player],0)),"0")</f>
        <v>8.5000000000000006E-2</v>
      </c>
      <c r="AT69" s="14" t="str">
        <f>IFERROR(INDEX(HBstats2[RushTD],MATCH(RBmatchups[[#This Row],[Name]],HBstats2[Player],0)),"0")</f>
        <v>0.2</v>
      </c>
      <c r="AU69" s="14">
        <f>IFERROR(INDEX(HBstats3[RushTD],MATCH(RBmatchups[[#This Row],[Name]],HBstats3[Player],0)),"0")</f>
        <v>0.2</v>
      </c>
      <c r="AV69" s="32" t="str">
        <f>IFERROR(INDEX(HBallowed[TD],MATCH(RBmatchups[[#This Row],[Opp]],HBallowed[Team],0)),"0")</f>
        <v>0</v>
      </c>
      <c r="AW69" s="32">
        <f>IFERROR(INDEX(HBstats3[Targets],MATCH(RBmatchups[[#This Row],[Name]],HBstats3[Player],0)),"0")</f>
        <v>0.7</v>
      </c>
      <c r="AX69" s="32" t="str">
        <f>IFERROR(INDEX(HBstats2[Targets],MATCH(RBmatchups[[#This Row],[Name]],HBstats2[Player],0)),"0")</f>
        <v>0</v>
      </c>
      <c r="AY69" s="32">
        <f>IFERROR(INDEX(HBstats3[Targets],MATCH(RBmatchups[[#This Row],[Name]],HBstats3[Player],0)),"0")</f>
        <v>0.7</v>
      </c>
      <c r="AZ69" s="14">
        <f>IFERROR(INDEX(HBstats1[Rec],MATCH(RBmatchups[[#This Row],[Name]],HBstats1[Player],0)),"0")</f>
        <v>0.28999999999999998</v>
      </c>
      <c r="BA69" s="14" t="str">
        <f>IFERROR(INDEX(HBstats2[Rec],MATCH(RBmatchups[[#This Row],[Name]],HBstats2[Player],0)),"0")</f>
        <v>0.6</v>
      </c>
      <c r="BB69" s="14">
        <f>IFERROR(INDEX(HBstats3[Rec],MATCH(RBmatchups[[#This Row],[Name]],HBstats3[Player],0)),"0")</f>
        <v>0.6</v>
      </c>
      <c r="BC69" s="32" t="str">
        <f>IFERROR(INDEX(HBallowed[Rec],MATCH(RBmatchups[[#This Row],[Opp]],HBallowed[Team],0)),"0")</f>
        <v>0</v>
      </c>
      <c r="BD69" s="14">
        <f>IFERROR(INDEX(HBstats1[Rec Yds],MATCH(RBmatchups[[#This Row],[Name]],HBstats1[Player],0)),"0")</f>
        <v>1.615</v>
      </c>
      <c r="BE69" s="14">
        <f>IFERROR(INDEX(HBstats2[RecYards],MATCH(RBmatchups[[#This Row],[Name]],HBstats2[Player],0)),"0")</f>
        <v>5.8</v>
      </c>
      <c r="BF69" s="14">
        <f>IFERROR(INDEX(HBstats3[RecYards],MATCH(RBmatchups[[#This Row],[Name]],HBstats3[Player],0)),"0")</f>
        <v>7.5</v>
      </c>
      <c r="BG69" s="32" t="str">
        <f>IFERROR(INDEX(HBallowed[RecYards],MATCH(RBmatchups[[#This Row],[Opp]],HBallowed[Team],0)),"0")</f>
        <v>0</v>
      </c>
      <c r="BH69" s="14">
        <f>IFERROR(INDEX(HBstats1[Rec TD],MATCH(RBmatchups[[#This Row],[Name]],HBstats1[Player],0)),"0")</f>
        <v>0.01</v>
      </c>
      <c r="BI69" s="14" t="str">
        <f>IFERROR(INDEX(HBstats2[RecTD],MATCH(RBmatchups[[#This Row],[Name]],HBstats2[Player],0)),"0")</f>
        <v>0</v>
      </c>
      <c r="BJ69" s="14">
        <f>IFERROR(INDEX(HBstats3[RecTD],MATCH(RBmatchups[[#This Row],[Name]],HBstats3[Player],0)),"0")</f>
        <v>0</v>
      </c>
      <c r="BK69" s="32" t="str">
        <f>IFERROR(INDEX(HBallowed[RecTD],MATCH(RBmatchups[[#This Row],[Opp]],HBallowed[Team],0)),"0")</f>
        <v>0</v>
      </c>
      <c r="BL69" s="268">
        <f>IF(RBmatchups[[#This Row],[Yards]]&gt;=100,3,0)</f>
        <v>0</v>
      </c>
    </row>
    <row r="70" spans="1:64" x14ac:dyDescent="0.3">
      <c r="A70" s="37">
        <f>HBstats1!AL52</f>
        <v>3.6</v>
      </c>
      <c r="B70" s="153" t="str">
        <f>HBstats1!D52</f>
        <v>Chris Johnson</v>
      </c>
      <c r="C70" s="154">
        <f>IFERROR(INDEX(Salaries[DraftKings (Price)],MATCH(RBmatchups[[#This Row],[Name]],Salaries[Player],0)),"")</f>
        <v>3400</v>
      </c>
      <c r="D70" s="154">
        <f>IFERROR(INDEX(DK_Salary_Changes[WeekChange],MATCH(RBmatchups[[#This Row],[Name]],DK_Salary_Changes[Player],0)),"")</f>
        <v>-100</v>
      </c>
      <c r="E70" s="154" t="str">
        <f>IFERROR(INDEX(Salaries[Team],MATCH(RBmatchups[[#This Row],[Name]],Salaries[Player],0)),"")</f>
        <v>ARI</v>
      </c>
      <c r="F70" s="189" t="str">
        <f>IFERROR(INDEX(Salaries[Opp],MATCH(RBmatchups[[#This Row],[Team]],Salaries[Team],0)),"")</f>
        <v>LA</v>
      </c>
      <c r="G70" s="410">
        <f>IFERROR(INDEX(RBYTD[Rush ATT],MATCH(RBmatchups[Name],RBYTD[Player],0)),"0")</f>
        <v>19</v>
      </c>
      <c r="H70" s="191">
        <f>IFERROR(INDEX(RBYTD[Rush Yds],MATCH(RBmatchups[Name],RBYTD[Player],0)),"0")</f>
        <v>61</v>
      </c>
      <c r="I70" s="191">
        <f>IFERROR(INDEX(RBYTD[Rush TD],MATCH(RBmatchups[Name],RBYTD[Player],0)),"0")</f>
        <v>1</v>
      </c>
      <c r="J70" s="191">
        <f>IFERROR(INDEX(RBYTD[Rec],MATCH(RBmatchups[Name],RBYTD[Player],0)),"0")</f>
        <v>0</v>
      </c>
      <c r="K70" s="191">
        <f>IFERROR(INDEX(targettracker54[TTL],MATCH(RBmatchups[Name],targettracker54[Name],0)),"0")</f>
        <v>0</v>
      </c>
      <c r="L70" s="191">
        <f>IFERROR(INDEX(RBYTD[Rec Yds],MATCH(RBmatchups[Name],RBYTD[Player],0)),"0")</f>
        <v>0</v>
      </c>
      <c r="M70" s="411">
        <f>IFERROR(INDEX(RBYTD[Rec TD],MATCH(RBmatchups[Name],RBYTD[Player],0)),"0")</f>
        <v>0</v>
      </c>
      <c r="N70" s="441">
        <f>IFERROR(INDEX(Salaries[O/U],MATCH(RBmatchups[[#This Row],[Team]],Salaries[Team],0)),"")</f>
        <v>43</v>
      </c>
      <c r="O70" s="189">
        <f>IFERROR(INDEX(Salaries[Team O/U],MATCH(RBmatchups[[#This Row],[Team]],Salaries[Team],0)),"")</f>
        <v>25.5</v>
      </c>
      <c r="P70" s="442">
        <f>IFERROR(INDEX(Salaries[Spread],MATCH(RBmatchups[[#This Row],[Team]],Salaries[Team],0)),"")</f>
        <v>-8</v>
      </c>
      <c r="Q70" s="424">
        <f>IFERROR(INDEX(HBallowed[DVP],MATCH(RBmatchups[[#This Row],[Opp]],HBallowed[Team],0)),IFERROR(INDEX(HBallowed[DVP],MATCH(RBmatchups[[#This Row],[Opp]],HBallowed[Opp],0)),""))</f>
        <v>21</v>
      </c>
      <c r="R70" s="441">
        <f>AVERAGE(RBmatchups[[#This Row],[Car1]:[Car3]])</f>
        <v>6.3743333333333325</v>
      </c>
      <c r="S70" s="190">
        <f>AVERAGE(RBmatchups[[#This Row],[Yards1]:[Yards3]])</f>
        <v>25.554999999999996</v>
      </c>
      <c r="T70" s="189">
        <f>SUM(RBmatchups[[#This Row],[Yards]]/RBmatchups[[#This Row],[Carries2]])</f>
        <v>4.0090466976938766</v>
      </c>
      <c r="U70" s="189">
        <f>AVERAGE(RBmatchups[[#This Row],[TD1]:[TD3]])</f>
        <v>0.161</v>
      </c>
      <c r="V70" s="189">
        <f>AVERAGE(RBmatchups[[#This Row],[Tar1]:[Tar3]])</f>
        <v>0.3</v>
      </c>
      <c r="W70" s="189">
        <f>AVERAGE(RBmatchups[[#This Row],[Rec1]:[Rec3]])</f>
        <v>0.1</v>
      </c>
      <c r="X70" s="189">
        <f>AVERAGE(RBmatchups[[#This Row],[RecYards1]:[RecYards3]])</f>
        <v>2.0333333333333337</v>
      </c>
      <c r="Y70" s="189">
        <f>AVERAGE(RBmatchups[[#This Row],[RecTD1]:[RecTd3]])</f>
        <v>0</v>
      </c>
      <c r="Z70" s="190">
        <f>SUM(RBmatchups[[#This Row],[Carries2]]+RBmatchups[[#This Row],[Rec4]])</f>
        <v>6.4743333333333322</v>
      </c>
      <c r="AA70" s="189">
        <f>SUM(RBmatchups[[#This Row],[Yards]]+RBmatchups[[#This Row],[RecYards]])</f>
        <v>27.588333333333331</v>
      </c>
      <c r="AB70" s="189">
        <f>SUM(RBmatchups[[#This Row],[TD]]+RBmatchups[[#This Row],[RecTD5]])</f>
        <v>0.161</v>
      </c>
      <c r="AC70" s="191">
        <f>_xlfn.RANK.EQ(RBmatchups[Projection],RBmatchups[Projection],0)</f>
        <v>60</v>
      </c>
      <c r="AD70" s="189">
        <f>SUM(RBmatchups[[#This Row],[Total Yards]]*0.1)+(RBmatchups[[#This Row],[Rec4]]*1)+(RBmatchups[[#This Row],[Total TD]]*6)+(RBmatchups[[#This Row],[100+]])</f>
        <v>3.8248333333333333</v>
      </c>
      <c r="AE70" s="191" t="e">
        <f>_xlfn.RANK.EQ(RBmatchups[[#This Row],[$/FP]],RBmatchups[$/FP],1)</f>
        <v>#VALUE!</v>
      </c>
      <c r="AF70" s="453">
        <f>SUM(RBmatchups[[#This Row],[Salary]]/RBmatchups[[#This Row],[Projection]])</f>
        <v>888.92762211861088</v>
      </c>
      <c r="AG70" s="448" t="e">
        <f>_xlfn.RANK.EQ(RBmatchups[[#This Row],[Average]],RBmatchups[Average],1)</f>
        <v>#VALUE!</v>
      </c>
      <c r="AH70" s="190" t="e">
        <f>AVERAGE(RBmatchups[[#This Row],[Proj Rank]],RBmatchups[[#This Row],[Value Rank]])</f>
        <v>#VALUE!</v>
      </c>
      <c r="AI70" s="214">
        <f>RBmatchups[[#This Row],[Salary]]/50000</f>
        <v>6.8000000000000005E-2</v>
      </c>
      <c r="AJ70" s="214"/>
      <c r="AK70" s="14">
        <f>IFERROR(INDEX(HBstats1[Rush Att],MATCH(RBmatchups[[#This Row],[Name]],HBstats1[Player],0)),"0")</f>
        <v>6.2229999999999999</v>
      </c>
      <c r="AL70" s="14">
        <f>IFERROR(INDEX(HBstats2[Carries],MATCH(RBmatchups[[#This Row],[Name]],HBstats2[Player],0)),"0")</f>
        <v>8.5</v>
      </c>
      <c r="AM70" s="14">
        <f>IFERROR(INDEX(HBstats3[Carries],MATCH(RBmatchups[[#This Row],[Name]],HBstats3[Player],0)),"0")</f>
        <v>4.4000000000000004</v>
      </c>
      <c r="AN70" s="14">
        <f>IFERROR(INDEX(HBallowed[Carries],MATCH(RBmatchups[[#This Row],[Opp]],HBallowed[Team],0)),"0")</f>
        <v>20.875</v>
      </c>
      <c r="AO70" s="14">
        <f>IFERROR(INDEX(HBstats1[Rush Yds],MATCH(RBmatchups[[#This Row],[Name]],HBstats1[Player],0)),"0")</f>
        <v>23.664999999999999</v>
      </c>
      <c r="AP70" s="14">
        <f>IFERROR(INDEX(HBstats2[RushYards],MATCH(RBmatchups[[#This Row],[Name]],HBstats2[Player],0)),"0")</f>
        <v>33</v>
      </c>
      <c r="AQ70" s="14">
        <f>IFERROR(INDEX(HBstats3[RushYards],MATCH(RBmatchups[[#This Row],[Name]],HBstats3[Player],0)),"0")</f>
        <v>20</v>
      </c>
      <c r="AR70" s="32">
        <f>IFERROR(INDEX(HBallowed[Yards],MATCH(RBmatchups[[#This Row],[Opp]],HBallowed[Team],0)),"0")</f>
        <v>94.6875</v>
      </c>
      <c r="AS70" s="14">
        <f>IFERROR(INDEX(HBstats1[Rush TD],MATCH(RBmatchups[[#This Row],[Name]],HBstats1[Player],0)),"0")</f>
        <v>0.222</v>
      </c>
      <c r="AT70" s="14" t="str">
        <f>IFERROR(INDEX(HBstats2[RushTD],MATCH(RBmatchups[[#This Row],[Name]],HBstats2[Player],0)),"0")</f>
        <v>0.2</v>
      </c>
      <c r="AU70" s="14">
        <f>IFERROR(INDEX(HBstats3[RushTD],MATCH(RBmatchups[[#This Row],[Name]],HBstats3[Player],0)),"0")</f>
        <v>0.1</v>
      </c>
      <c r="AV70" s="32">
        <f>IFERROR(INDEX(HBallowed[TD],MATCH(RBmatchups[[#This Row],[Opp]],HBallowed[Team],0)),"0")</f>
        <v>0.5625</v>
      </c>
      <c r="AW70" s="32">
        <f>IFERROR(INDEX(HBstats3[Targets],MATCH(RBmatchups[[#This Row],[Name]],HBstats3[Player],0)),"0")</f>
        <v>0.3</v>
      </c>
      <c r="AX70" s="32" t="str">
        <f>IFERROR(INDEX(HBstats2[Targets],MATCH(RBmatchups[[#This Row],[Name]],HBstats2[Player],0)),"0")</f>
        <v>0</v>
      </c>
      <c r="AY70" s="32">
        <f>IFERROR(INDEX(HBstats3[Targets],MATCH(RBmatchups[[#This Row],[Name]],HBstats3[Player],0)),"0")</f>
        <v>0.3</v>
      </c>
      <c r="AZ70" s="14">
        <f>IFERROR(INDEX(HBstats1[Rec],MATCH(RBmatchups[[#This Row],[Name]],HBstats1[Player],0)),"0")</f>
        <v>0</v>
      </c>
      <c r="BA70" s="14" t="str">
        <f>IFERROR(INDEX(HBstats2[Rec],MATCH(RBmatchups[[#This Row],[Name]],HBstats2[Player],0)),"0")</f>
        <v>0.9</v>
      </c>
      <c r="BB70" s="14">
        <f>IFERROR(INDEX(HBstats3[Rec],MATCH(RBmatchups[[#This Row],[Name]],HBstats3[Player],0)),"0")</f>
        <v>0.2</v>
      </c>
      <c r="BC70" s="32">
        <f>IFERROR(INDEX(HBallowed[Rec],MATCH(RBmatchups[[#This Row],[Opp]],HBallowed[Team],0)),"0")</f>
        <v>3.625</v>
      </c>
      <c r="BD70" s="14">
        <f>IFERROR(INDEX(HBstats1[Rec Yds],MATCH(RBmatchups[[#This Row],[Name]],HBstats1[Player],0)),"0")</f>
        <v>0</v>
      </c>
      <c r="BE70" s="14">
        <f>IFERROR(INDEX(HBstats2[RecYards],MATCH(RBmatchups[[#This Row],[Name]],HBstats2[Player],0)),"0")</f>
        <v>4.9000000000000004</v>
      </c>
      <c r="BF70" s="14">
        <f>IFERROR(INDEX(HBstats3[RecYards],MATCH(RBmatchups[[#This Row],[Name]],HBstats3[Player],0)),"0")</f>
        <v>1.2</v>
      </c>
      <c r="BG70" s="32">
        <f>IFERROR(INDEX(HBallowed[RecYards],MATCH(RBmatchups[[#This Row],[Opp]],HBallowed[Team],0)),"0")</f>
        <v>34.75</v>
      </c>
      <c r="BH70" s="14">
        <f>IFERROR(INDEX(HBstats1[Rec TD],MATCH(RBmatchups[[#This Row],[Name]],HBstats1[Player],0)),"0")</f>
        <v>0</v>
      </c>
      <c r="BI70" s="14" t="str">
        <f>IFERROR(INDEX(HBstats2[RecTD],MATCH(RBmatchups[[#This Row],[Name]],HBstats2[Player],0)),"0")</f>
        <v>0</v>
      </c>
      <c r="BJ70" s="14">
        <f>IFERROR(INDEX(HBstats3[RecTD],MATCH(RBmatchups[[#This Row],[Name]],HBstats3[Player],0)),"0")</f>
        <v>0</v>
      </c>
      <c r="BK70" s="32">
        <f>IFERROR(INDEX(HBallowed[RecTD],MATCH(RBmatchups[[#This Row],[Opp]],HBallowed[Team],0)),"0")</f>
        <v>0.25</v>
      </c>
      <c r="BL70" s="268">
        <f>IF(RBmatchups[[#This Row],[Yards]]&gt;=100,3,0)</f>
        <v>0</v>
      </c>
    </row>
    <row r="71" spans="1:64" x14ac:dyDescent="0.3">
      <c r="A71" s="37">
        <f>HBstats1!AL68</f>
        <v>2</v>
      </c>
      <c r="B71" s="153" t="str">
        <f>HBstats1!D68</f>
        <v>Jonathan Grimes</v>
      </c>
      <c r="C71" s="154">
        <f>IFERROR(INDEX(Salaries[DraftKings (Price)],MATCH(RBmatchups[[#This Row],[Name]],Salaries[Player],0)),"")</f>
        <v>3000</v>
      </c>
      <c r="D71" s="154">
        <f>IFERROR(INDEX(DK_Salary_Changes[WeekChange],MATCH(RBmatchups[[#This Row],[Name]],DK_Salary_Changes[Player],0)),"")</f>
        <v>0</v>
      </c>
      <c r="E71" s="154" t="str">
        <f>IFERROR(INDEX(Salaries[Team],MATCH(RBmatchups[[#This Row],[Name]],Salaries[Player],0)),"")</f>
        <v>HOU</v>
      </c>
      <c r="F71" s="189" t="str">
        <f>IFERROR(INDEX(Salaries[Opp],MATCH(RBmatchups[[#This Row],[Team]],Salaries[Team],0)),"")</f>
        <v>TEN</v>
      </c>
      <c r="G71" s="410" t="str">
        <f>IFERROR(INDEX(RBYTD[Rush ATT],MATCH(RBmatchups[Name],RBYTD[Player],0)),"0")</f>
        <v>0</v>
      </c>
      <c r="H71" s="191" t="str">
        <f>IFERROR(INDEX(RBYTD[Rush Yds],MATCH(RBmatchups[Name],RBYTD[Player],0)),"0")</f>
        <v>0</v>
      </c>
      <c r="I71" s="191" t="str">
        <f>IFERROR(INDEX(RBYTD[Rush TD],MATCH(RBmatchups[Name],RBYTD[Player],0)),"0")</f>
        <v>0</v>
      </c>
      <c r="J71" s="191" t="str">
        <f>IFERROR(INDEX(RBYTD[Rec],MATCH(RBmatchups[Name],RBYTD[Player],0)),"0")</f>
        <v>0</v>
      </c>
      <c r="K71" s="191">
        <f>IFERROR(INDEX(targettracker54[TTL],MATCH(RBmatchups[Name],targettracker54[Name],0)),"0")</f>
        <v>7</v>
      </c>
      <c r="L71" s="191" t="str">
        <f>IFERROR(INDEX(RBYTD[Rec Yds],MATCH(RBmatchups[Name],RBYTD[Player],0)),"0")</f>
        <v>0</v>
      </c>
      <c r="M71" s="411" t="str">
        <f>IFERROR(INDEX(RBYTD[Rec TD],MATCH(RBmatchups[Name],RBYTD[Player],0)),"0")</f>
        <v>0</v>
      </c>
      <c r="N71" s="441">
        <f>IFERROR(INDEX(Salaries[O/U],MATCH(RBmatchups[[#This Row],[Team]],Salaries[Team],0)),"")</f>
        <v>40.5</v>
      </c>
      <c r="O71" s="189">
        <f>IFERROR(INDEX(Salaries[Team O/U],MATCH(RBmatchups[[#This Row],[Team]],Salaries[Team],0)),"")</f>
        <v>23.5</v>
      </c>
      <c r="P71" s="442">
        <f>IFERROR(INDEX(Salaries[Spread],MATCH(RBmatchups[[#This Row],[Team]],Salaries[Team],0)),"")</f>
        <v>-6.5</v>
      </c>
      <c r="Q71" s="424">
        <f>IFERROR(INDEX(HBallowed[DVP],MATCH(RBmatchups[[#This Row],[Opp]],HBallowed[Team],0)),IFERROR(INDEX(HBallowed[DVP],MATCH(RBmatchups[[#This Row],[Opp]],HBallowed[Opp],0)),""))</f>
        <v>5</v>
      </c>
      <c r="R71" s="441">
        <f>AVERAGE(RBmatchups[[#This Row],[Car1]:[Car3]])</f>
        <v>2.4175</v>
      </c>
      <c r="S71" s="190">
        <f>AVERAGE(RBmatchups[[#This Row],[Yards1]:[Yards3]])</f>
        <v>11.273</v>
      </c>
      <c r="T71" s="189">
        <f>SUM(RBmatchups[[#This Row],[Yards]]/RBmatchups[[#This Row],[Carries2]])</f>
        <v>4.6630816959669081</v>
      </c>
      <c r="U71" s="189">
        <f>AVERAGE(RBmatchups[[#This Row],[TD1]:[TD3]])</f>
        <v>0.05</v>
      </c>
      <c r="V71" s="189">
        <f>AVERAGE(RBmatchups[[#This Row],[Tar1]:[Tar3]])</f>
        <v>1.2</v>
      </c>
      <c r="W71" s="189">
        <f>AVERAGE(RBmatchups[[#This Row],[Rec1]:[Rec3]])</f>
        <v>1.2204999999999999</v>
      </c>
      <c r="X71" s="189">
        <f>AVERAGE(RBmatchups[[#This Row],[RecYards1]:[RecYards3]])</f>
        <v>8.9920000000000009</v>
      </c>
      <c r="Y71" s="189">
        <f>AVERAGE(RBmatchups[[#This Row],[RecTD1]:[RecTd3]])</f>
        <v>0</v>
      </c>
      <c r="Z71" s="190">
        <f>SUM(RBmatchups[[#This Row],[Carries2]]+RBmatchups[[#This Row],[Rec4]])</f>
        <v>3.6379999999999999</v>
      </c>
      <c r="AA71" s="189">
        <f>SUM(RBmatchups[[#This Row],[Yards]]+RBmatchups[[#This Row],[RecYards]])</f>
        <v>20.265000000000001</v>
      </c>
      <c r="AB71" s="189">
        <f>SUM(RBmatchups[[#This Row],[TD]]+RBmatchups[[#This Row],[RecTD5]])</f>
        <v>0.05</v>
      </c>
      <c r="AC71" s="191">
        <f>_xlfn.RANK.EQ(RBmatchups[Projection],RBmatchups[Projection],0)</f>
        <v>61</v>
      </c>
      <c r="AD71" s="189">
        <f>SUM(RBmatchups[[#This Row],[Total Yards]]*0.1)+(RBmatchups[[#This Row],[Rec4]]*1)+(RBmatchups[[#This Row],[Total TD]]*6)+(RBmatchups[[#This Row],[100+]])</f>
        <v>3.5469999999999997</v>
      </c>
      <c r="AE71" s="191" t="e">
        <f>_xlfn.RANK.EQ(RBmatchups[[#This Row],[$/FP]],RBmatchups[$/FP],1)</f>
        <v>#VALUE!</v>
      </c>
      <c r="AF71" s="453">
        <f>SUM(RBmatchups[[#This Row],[Salary]]/RBmatchups[[#This Row],[Projection]])</f>
        <v>845.78517056667613</v>
      </c>
      <c r="AG71" s="448" t="e">
        <f>_xlfn.RANK.EQ(RBmatchups[[#This Row],[Average]],RBmatchups[Average],1)</f>
        <v>#VALUE!</v>
      </c>
      <c r="AH71" s="190" t="e">
        <f>AVERAGE(RBmatchups[[#This Row],[Proj Rank]],RBmatchups[[#This Row],[Value Rank]])</f>
        <v>#VALUE!</v>
      </c>
      <c r="AI71" s="214">
        <f>RBmatchups[[#This Row],[Salary]]/50000</f>
        <v>0.06</v>
      </c>
      <c r="AJ71" s="214"/>
      <c r="AK71" s="14">
        <f>IFERROR(INDEX(HBstats1[Rush Att],MATCH(RBmatchups[[#This Row],[Name]],HBstats1[Player],0)),"0")</f>
        <v>0.73499999999999999</v>
      </c>
      <c r="AL71" s="14" t="str">
        <f>IFERROR(INDEX(HBstats2[Carries],MATCH(RBmatchups[[#This Row],[Name]],HBstats2[Player],0)),"0")</f>
        <v>0</v>
      </c>
      <c r="AM71" s="14">
        <f>IFERROR(INDEX(HBstats3[Carries],MATCH(RBmatchups[[#This Row],[Name]],HBstats3[Player],0)),"0")</f>
        <v>4.0999999999999996</v>
      </c>
      <c r="AN71" s="14">
        <f>IFERROR(INDEX(HBallowed[Carries],MATCH(RBmatchups[[#This Row],[Opp]],HBallowed[Team],0)),"0")</f>
        <v>19.3125</v>
      </c>
      <c r="AO71" s="14">
        <f>IFERROR(INDEX(HBstats1[Rush Yds],MATCH(RBmatchups[[#This Row],[Name]],HBstats1[Player],0)),"0")</f>
        <v>3.5459999999999998</v>
      </c>
      <c r="AP71" s="14" t="str">
        <f>IFERROR(INDEX(HBstats2[RushYards],MATCH(RBmatchups[[#This Row],[Name]],HBstats2[Player],0)),"0")</f>
        <v>0</v>
      </c>
      <c r="AQ71" s="14">
        <f>IFERROR(INDEX(HBstats3[RushYards],MATCH(RBmatchups[[#This Row],[Name]],HBstats3[Player],0)),"0")</f>
        <v>19</v>
      </c>
      <c r="AR71" s="32">
        <f>IFERROR(INDEX(HBallowed[Yards],MATCH(RBmatchups[[#This Row],[Opp]],HBallowed[Team],0)),"0")</f>
        <v>64.4375</v>
      </c>
      <c r="AS71" s="14">
        <f>IFERROR(INDEX(HBstats1[Rush TD],MATCH(RBmatchups[[#This Row],[Name]],HBstats1[Player],0)),"0")</f>
        <v>0</v>
      </c>
      <c r="AT71" s="14" t="str">
        <f>IFERROR(INDEX(HBstats2[RushTD],MATCH(RBmatchups[[#This Row],[Name]],HBstats2[Player],0)),"0")</f>
        <v>0</v>
      </c>
      <c r="AU71" s="14">
        <f>IFERROR(INDEX(HBstats3[RushTD],MATCH(RBmatchups[[#This Row],[Name]],HBstats3[Player],0)),"0")</f>
        <v>0.1</v>
      </c>
      <c r="AV71" s="32">
        <f>IFERROR(INDEX(HBallowed[TD],MATCH(RBmatchups[[#This Row],[Opp]],HBallowed[Team],0)),"0")</f>
        <v>0.125</v>
      </c>
      <c r="AW71" s="32">
        <f>IFERROR(INDEX(HBstats3[Targets],MATCH(RBmatchups[[#This Row],[Name]],HBstats3[Player],0)),"0")</f>
        <v>1.2</v>
      </c>
      <c r="AX71" s="32" t="str">
        <f>IFERROR(INDEX(HBstats2[Targets],MATCH(RBmatchups[[#This Row],[Name]],HBstats2[Player],0)),"0")</f>
        <v>0</v>
      </c>
      <c r="AY71" s="32">
        <f>IFERROR(INDEX(HBstats3[Targets],MATCH(RBmatchups[[#This Row],[Name]],HBstats3[Player],0)),"0")</f>
        <v>1.2</v>
      </c>
      <c r="AZ71" s="14">
        <f>IFERROR(INDEX(HBstats1[Rec],MATCH(RBmatchups[[#This Row],[Name]],HBstats1[Player],0)),"0")</f>
        <v>1.4410000000000001</v>
      </c>
      <c r="BA71" s="14" t="str">
        <f>IFERROR(INDEX(HBstats2[Rec],MATCH(RBmatchups[[#This Row],[Name]],HBstats2[Player],0)),"0")</f>
        <v>0</v>
      </c>
      <c r="BB71" s="14">
        <f>IFERROR(INDEX(HBstats3[Rec],MATCH(RBmatchups[[#This Row],[Name]],HBstats3[Player],0)),"0")</f>
        <v>1</v>
      </c>
      <c r="BC71" s="32">
        <f>IFERROR(INDEX(HBallowed[Rec],MATCH(RBmatchups[[#This Row],[Opp]],HBallowed[Team],0)),"0")</f>
        <v>5</v>
      </c>
      <c r="BD71" s="14">
        <f>IFERROR(INDEX(HBstats1[Rec Yds],MATCH(RBmatchups[[#This Row],[Name]],HBstats1[Player],0)),"0")</f>
        <v>9.8840000000000003</v>
      </c>
      <c r="BE71" s="14" t="str">
        <f>IFERROR(INDEX(HBstats2[RecYards],MATCH(RBmatchups[[#This Row],[Name]],HBstats2[Player],0)),"0")</f>
        <v>0</v>
      </c>
      <c r="BF71" s="14">
        <f>IFERROR(INDEX(HBstats3[RecYards],MATCH(RBmatchups[[#This Row],[Name]],HBstats3[Player],0)),"0")</f>
        <v>8.1</v>
      </c>
      <c r="BG71" s="32">
        <f>IFERROR(INDEX(HBallowed[RecYards],MATCH(RBmatchups[[#This Row],[Opp]],HBallowed[Team],0)),"0")</f>
        <v>40.9375</v>
      </c>
      <c r="BH71" s="14">
        <f>IFERROR(INDEX(HBstats1[Rec TD],MATCH(RBmatchups[[#This Row],[Name]],HBstats1[Player],0)),"0")</f>
        <v>0</v>
      </c>
      <c r="BI71" s="14" t="str">
        <f>IFERROR(INDEX(HBstats2[RecTD],MATCH(RBmatchups[[#This Row],[Name]],HBstats2[Player],0)),"0")</f>
        <v>0</v>
      </c>
      <c r="BJ71" s="14">
        <f>IFERROR(INDEX(HBstats3[RecTD],MATCH(RBmatchups[[#This Row],[Name]],HBstats3[Player],0)),"0")</f>
        <v>0</v>
      </c>
      <c r="BK71" s="32">
        <f>IFERROR(INDEX(HBallowed[RecTD],MATCH(RBmatchups[[#This Row],[Opp]],HBallowed[Team],0)),"0")</f>
        <v>0.3125</v>
      </c>
      <c r="BL71" s="268">
        <f>IF(RBmatchups[[#This Row],[Yards]]&gt;=100,3,0)</f>
        <v>0</v>
      </c>
    </row>
    <row r="72" spans="1:64" x14ac:dyDescent="0.3">
      <c r="A72" s="37">
        <f>HBstats1!AL67</f>
        <v>1.9</v>
      </c>
      <c r="B72" s="153" t="str">
        <f>HBstats1!D67</f>
        <v>Mike Gillislee</v>
      </c>
      <c r="C72" s="154">
        <f>IFERROR(INDEX(Salaries[DraftKings (Price)],MATCH(RBmatchups[[#This Row],[Name]],Salaries[Player],0)),"")</f>
        <v>3000</v>
      </c>
      <c r="D72" s="154">
        <f>IFERROR(INDEX(DK_Salary_Changes[WeekChange],MATCH(RBmatchups[[#This Row],[Name]],DK_Salary_Changes[Player],0)),"")</f>
        <v>-300</v>
      </c>
      <c r="E72" s="154" t="str">
        <f>IFERROR(INDEX(Salaries[Team],MATCH(RBmatchups[[#This Row],[Name]],Salaries[Player],0)),"")</f>
        <v>BUF</v>
      </c>
      <c r="F72" s="189" t="str">
        <f>IFERROR(INDEX(Salaries[Opp],MATCH(RBmatchups[[#This Row],[Team]],Salaries[Team],0)),"")</f>
        <v>@NE</v>
      </c>
      <c r="G72" s="410">
        <f>IFERROR(INDEX(RBYTD[Rush ATT],MATCH(RBmatchups[Name],RBYTD[Player],0)),"0")</f>
        <v>3</v>
      </c>
      <c r="H72" s="191">
        <f>IFERROR(INDEX(RBYTD[Rush Yds],MATCH(RBmatchups[Name],RBYTD[Player],0)),"0")</f>
        <v>20</v>
      </c>
      <c r="I72" s="191">
        <f>IFERROR(INDEX(RBYTD[Rush TD],MATCH(RBmatchups[Name],RBYTD[Player],0)),"0")</f>
        <v>0</v>
      </c>
      <c r="J72" s="191">
        <f>IFERROR(INDEX(RBYTD[Rec],MATCH(RBmatchups[Name],RBYTD[Player],0)),"0")</f>
        <v>2</v>
      </c>
      <c r="K72" s="191">
        <f>IFERROR(INDEX(targettracker54[TTL],MATCH(RBmatchups[Name],targettracker54[Name],0)),"0")</f>
        <v>2</v>
      </c>
      <c r="L72" s="191">
        <f>IFERROR(INDEX(RBYTD[Rec Yds],MATCH(RBmatchups[Name],RBYTD[Player],0)),"0")</f>
        <v>14</v>
      </c>
      <c r="M72" s="411">
        <f>IFERROR(INDEX(RBYTD[Rec TD],MATCH(RBmatchups[Name],RBYTD[Player],0)),"0")</f>
        <v>1</v>
      </c>
      <c r="N72" s="441">
        <f>IFERROR(INDEX(Salaries[O/U],MATCH(RBmatchups[[#This Row],[Team]],Salaries[Team],0)),"")</f>
        <v>44</v>
      </c>
      <c r="O72" s="189">
        <f>IFERROR(INDEX(Salaries[Team O/U],MATCH(RBmatchups[[#This Row],[Team]],Salaries[Team],0)),"")</f>
        <v>19.75</v>
      </c>
      <c r="P72" s="442">
        <f>IFERROR(INDEX(Salaries[Spread],MATCH(RBmatchups[[#This Row],[Team]],Salaries[Team],0)),"")</f>
        <v>4.5</v>
      </c>
      <c r="Q72" s="424">
        <f>IFERROR(INDEX(HBallowed[DVP],MATCH(RBmatchups[[#This Row],[Opp]],HBallowed[Team],0)),IFERROR(INDEX(HBallowed[DVP],MATCH(RBmatchups[[#This Row],[Opp]],HBallowed[Opp],0)),""))</f>
        <v>6</v>
      </c>
      <c r="R72" s="441">
        <f>AVERAGE(RBmatchups[[#This Row],[Car1]:[Car3]])</f>
        <v>3.1643333333333334</v>
      </c>
      <c r="S72" s="190">
        <f>AVERAGE(RBmatchups[[#This Row],[Yards1]:[Yards3]])</f>
        <v>17.456333333333333</v>
      </c>
      <c r="T72" s="189">
        <f>SUM(RBmatchups[[#This Row],[Yards]]/RBmatchups[[#This Row],[Carries2]])</f>
        <v>5.516591172442852</v>
      </c>
      <c r="U72" s="189">
        <f>AVERAGE(RBmatchups[[#This Row],[TD1]:[TD3]])</f>
        <v>7.0500000000000007E-2</v>
      </c>
      <c r="V72" s="189">
        <f>AVERAGE(RBmatchups[[#This Row],[Tar1]:[Tar3]])</f>
        <v>0.6</v>
      </c>
      <c r="W72" s="189">
        <f>AVERAGE(RBmatchups[[#This Row],[Rec1]:[Rec3]])</f>
        <v>0.76633333333333331</v>
      </c>
      <c r="X72" s="189">
        <f>AVERAGE(RBmatchups[[#This Row],[RecYards1]:[RecYards3]])</f>
        <v>5.2393333333333336</v>
      </c>
      <c r="Y72" s="189">
        <f>AVERAGE(RBmatchups[[#This Row],[RecTD1]:[RecTd3]])</f>
        <v>1.15E-2</v>
      </c>
      <c r="Z72" s="190">
        <f>SUM(RBmatchups[[#This Row],[Carries2]]+RBmatchups[[#This Row],[Rec4]])</f>
        <v>3.9306666666666668</v>
      </c>
      <c r="AA72" s="189">
        <f>SUM(RBmatchups[[#This Row],[Yards]]+RBmatchups[[#This Row],[RecYards]])</f>
        <v>22.695666666666668</v>
      </c>
      <c r="AB72" s="189">
        <f>SUM(RBmatchups[[#This Row],[TD]]+RBmatchups[[#This Row],[RecTD5]])</f>
        <v>8.2000000000000003E-2</v>
      </c>
      <c r="AC72" s="191">
        <f>_xlfn.RANK.EQ(RBmatchups[Projection],RBmatchups[Projection],0)</f>
        <v>62</v>
      </c>
      <c r="AD72" s="189">
        <f>SUM(RBmatchups[[#This Row],[Total Yards]]*0.1)+(RBmatchups[[#This Row],[Rec4]]*1)+(RBmatchups[[#This Row],[Total TD]]*6)+(RBmatchups[[#This Row],[100+]])</f>
        <v>3.5279000000000003</v>
      </c>
      <c r="AE72" s="191" t="e">
        <f>_xlfn.RANK.EQ(RBmatchups[[#This Row],[$/FP]],RBmatchups[$/FP],1)</f>
        <v>#VALUE!</v>
      </c>
      <c r="AF72" s="453">
        <f>SUM(RBmatchups[[#This Row],[Salary]]/RBmatchups[[#This Row],[Projection]])</f>
        <v>850.36423934918787</v>
      </c>
      <c r="AG72" s="448" t="e">
        <f>_xlfn.RANK.EQ(RBmatchups[[#This Row],[Average]],RBmatchups[Average],1)</f>
        <v>#VALUE!</v>
      </c>
      <c r="AH72" s="190" t="e">
        <f>AVERAGE(RBmatchups[[#This Row],[Proj Rank]],RBmatchups[[#This Row],[Value Rank]])</f>
        <v>#VALUE!</v>
      </c>
      <c r="AI72" s="214">
        <f>RBmatchups[[#This Row],[Salary]]/50000</f>
        <v>0.06</v>
      </c>
      <c r="AJ72" s="214"/>
      <c r="AK72" s="14">
        <f>IFERROR(INDEX(HBstats1[Rush Att],MATCH(RBmatchups[[#This Row],[Name]],HBstats1[Player],0)),"0")</f>
        <v>1.1930000000000001</v>
      </c>
      <c r="AL72" s="14">
        <f>IFERROR(INDEX(HBstats2[Carries],MATCH(RBmatchups[[#This Row],[Name]],HBstats2[Player],0)),"0")</f>
        <v>5.9</v>
      </c>
      <c r="AM72" s="14">
        <f>IFERROR(INDEX(HBstats3[Carries],MATCH(RBmatchups[[#This Row],[Name]],HBstats3[Player],0)),"0")</f>
        <v>2.4</v>
      </c>
      <c r="AN72" s="14" t="str">
        <f>IFERROR(INDEX(HBallowed[Carries],MATCH(RBmatchups[[#This Row],[Opp]],HBallowed[Team],0)),"0")</f>
        <v>0</v>
      </c>
      <c r="AO72" s="14">
        <f>IFERROR(INDEX(HBstats1[Rush Yds],MATCH(RBmatchups[[#This Row],[Name]],HBstats1[Player],0)),"0")</f>
        <v>5.9690000000000003</v>
      </c>
      <c r="AP72" s="14">
        <f>IFERROR(INDEX(HBstats2[RushYards],MATCH(RBmatchups[[#This Row],[Name]],HBstats2[Player],0)),"0")</f>
        <v>34.6</v>
      </c>
      <c r="AQ72" s="14">
        <f>IFERROR(INDEX(HBstats3[RushYards],MATCH(RBmatchups[[#This Row],[Name]],HBstats3[Player],0)),"0")</f>
        <v>11.8</v>
      </c>
      <c r="AR72" s="32" t="str">
        <f>IFERROR(INDEX(HBallowed[Yards],MATCH(RBmatchups[[#This Row],[Opp]],HBallowed[Team],0)),"0")</f>
        <v>0</v>
      </c>
      <c r="AS72" s="14">
        <f>IFERROR(INDEX(HBstats1[Rush TD],MATCH(RBmatchups[[#This Row],[Name]],HBstats1[Player],0)),"0")</f>
        <v>4.1000000000000002E-2</v>
      </c>
      <c r="AT72" s="14" t="str">
        <f>IFERROR(INDEX(HBstats2[RushTD],MATCH(RBmatchups[[#This Row],[Name]],HBstats2[Player],0)),"0")</f>
        <v>0.3</v>
      </c>
      <c r="AU72" s="14">
        <f>IFERROR(INDEX(HBstats3[RushTD],MATCH(RBmatchups[[#This Row],[Name]],HBstats3[Player],0)),"0")</f>
        <v>0.1</v>
      </c>
      <c r="AV72" s="32" t="str">
        <f>IFERROR(INDEX(HBallowed[TD],MATCH(RBmatchups[[#This Row],[Opp]],HBallowed[Team],0)),"0")</f>
        <v>0</v>
      </c>
      <c r="AW72" s="32">
        <f>IFERROR(INDEX(HBstats3[Targets],MATCH(RBmatchups[[#This Row],[Name]],HBstats3[Player],0)),"0")</f>
        <v>0.6</v>
      </c>
      <c r="AX72" s="32" t="str">
        <f>IFERROR(INDEX(HBstats2[Targets],MATCH(RBmatchups[[#This Row],[Name]],HBstats2[Player],0)),"0")</f>
        <v>0</v>
      </c>
      <c r="AY72" s="32">
        <f>IFERROR(INDEX(HBstats3[Targets],MATCH(RBmatchups[[#This Row],[Name]],HBstats3[Player],0)),"0")</f>
        <v>0.6</v>
      </c>
      <c r="AZ72" s="14">
        <f>IFERROR(INDEX(HBstats1[Rec],MATCH(RBmatchups[[#This Row],[Name]],HBstats1[Player],0)),"0")</f>
        <v>0.79900000000000004</v>
      </c>
      <c r="BA72" s="14">
        <f>IFERROR(INDEX(HBstats2[Rec],MATCH(RBmatchups[[#This Row],[Name]],HBstats2[Player],0)),"0")</f>
        <v>1</v>
      </c>
      <c r="BB72" s="14">
        <f>IFERROR(INDEX(HBstats3[Rec],MATCH(RBmatchups[[#This Row],[Name]],HBstats3[Player],0)),"0")</f>
        <v>0.5</v>
      </c>
      <c r="BC72" s="32" t="str">
        <f>IFERROR(INDEX(HBallowed[Rec],MATCH(RBmatchups[[#This Row],[Opp]],HBallowed[Team],0)),"0")</f>
        <v>0</v>
      </c>
      <c r="BD72" s="14">
        <f>IFERROR(INDEX(HBstats1[Rec Yds],MATCH(RBmatchups[[#This Row],[Name]],HBstats1[Player],0)),"0")</f>
        <v>5.3179999999999996</v>
      </c>
      <c r="BE72" s="14">
        <f>IFERROR(INDEX(HBstats2[RecYards],MATCH(RBmatchups[[#This Row],[Name]],HBstats2[Player],0)),"0")</f>
        <v>7.2</v>
      </c>
      <c r="BF72" s="14">
        <f>IFERROR(INDEX(HBstats3[RecYards],MATCH(RBmatchups[[#This Row],[Name]],HBstats3[Player],0)),"0")</f>
        <v>3.2</v>
      </c>
      <c r="BG72" s="32" t="str">
        <f>IFERROR(INDEX(HBallowed[RecYards],MATCH(RBmatchups[[#This Row],[Opp]],HBallowed[Team],0)),"0")</f>
        <v>0</v>
      </c>
      <c r="BH72" s="14">
        <f>IFERROR(INDEX(HBstats1[Rec TD],MATCH(RBmatchups[[#This Row],[Name]],HBstats1[Player],0)),"0")</f>
        <v>2.3E-2</v>
      </c>
      <c r="BI72" s="14" t="str">
        <f>IFERROR(INDEX(HBstats2[RecTD],MATCH(RBmatchups[[#This Row],[Name]],HBstats2[Player],0)),"0")</f>
        <v>0</v>
      </c>
      <c r="BJ72" s="14">
        <f>IFERROR(INDEX(HBstats3[RecTD],MATCH(RBmatchups[[#This Row],[Name]],HBstats3[Player],0)),"0")</f>
        <v>0</v>
      </c>
      <c r="BK72" s="32" t="str">
        <f>IFERROR(INDEX(HBallowed[RecTD],MATCH(RBmatchups[[#This Row],[Opp]],HBallowed[Team],0)),"0")</f>
        <v>0</v>
      </c>
      <c r="BL72" s="268">
        <f>IF(RBmatchups[[#This Row],[Yards]]&gt;=100,3,0)</f>
        <v>0</v>
      </c>
    </row>
    <row r="73" spans="1:64" x14ac:dyDescent="0.3">
      <c r="A73" s="37">
        <f>HBstats1!AL71</f>
        <v>1</v>
      </c>
      <c r="B73" s="153" t="str">
        <f>HBstats1!D71</f>
        <v>Alfred Blue</v>
      </c>
      <c r="C73" s="154">
        <f>IFERROR(INDEX(Salaries[DraftKings (Price)],MATCH(RBmatchups[[#This Row],[Name]],Salaries[Player],0)),"")</f>
        <v>3100</v>
      </c>
      <c r="D73" s="154">
        <f>IFERROR(INDEX(DK_Salary_Changes[WeekChange],MATCH(RBmatchups[[#This Row],[Name]],DK_Salary_Changes[Player],0)),"")</f>
        <v>-300</v>
      </c>
      <c r="E73" s="154" t="str">
        <f>IFERROR(INDEX(Salaries[Team],MATCH(RBmatchups[[#This Row],[Name]],Salaries[Player],0)),"")</f>
        <v>HOU</v>
      </c>
      <c r="F73" s="189" t="str">
        <f>IFERROR(INDEX(Salaries[Opp],MATCH(RBmatchups[[#This Row],[Team]],Salaries[Team],0)),"")</f>
        <v>TEN</v>
      </c>
      <c r="G73" s="410" t="str">
        <f>IFERROR(INDEX(RBYTD[Rush ATT],MATCH(RBmatchups[Name],RBYTD[Player],0)),"0")</f>
        <v>0</v>
      </c>
      <c r="H73" s="191" t="str">
        <f>IFERROR(INDEX(RBYTD[Rush Yds],MATCH(RBmatchups[Name],RBYTD[Player],0)),"0")</f>
        <v>0</v>
      </c>
      <c r="I73" s="191" t="str">
        <f>IFERROR(INDEX(RBYTD[Rush TD],MATCH(RBmatchups[Name],RBYTD[Player],0)),"0")</f>
        <v>0</v>
      </c>
      <c r="J73" s="191" t="str">
        <f>IFERROR(INDEX(RBYTD[Rec],MATCH(RBmatchups[Name],RBYTD[Player],0)),"0")</f>
        <v>0</v>
      </c>
      <c r="K73" s="191">
        <f>IFERROR(INDEX(targettracker54[TTL],MATCH(RBmatchups[Name],targettracker54[Name],0)),"0")</f>
        <v>0</v>
      </c>
      <c r="L73" s="191" t="str">
        <f>IFERROR(INDEX(RBYTD[Rec Yds],MATCH(RBmatchups[Name],RBYTD[Player],0)),"0")</f>
        <v>0</v>
      </c>
      <c r="M73" s="411" t="str">
        <f>IFERROR(INDEX(RBYTD[Rec TD],MATCH(RBmatchups[Name],RBYTD[Player],0)),"0")</f>
        <v>0</v>
      </c>
      <c r="N73" s="441">
        <f>IFERROR(INDEX(Salaries[O/U],MATCH(RBmatchups[[#This Row],[Team]],Salaries[Team],0)),"")</f>
        <v>40.5</v>
      </c>
      <c r="O73" s="189">
        <f>IFERROR(INDEX(Salaries[Team O/U],MATCH(RBmatchups[[#This Row],[Team]],Salaries[Team],0)),"")</f>
        <v>23.5</v>
      </c>
      <c r="P73" s="442">
        <f>IFERROR(INDEX(Salaries[Spread],MATCH(RBmatchups[[#This Row],[Team]],Salaries[Team],0)),"")</f>
        <v>-6.5</v>
      </c>
      <c r="Q73" s="424">
        <f>IFERROR(INDEX(HBallowed[DVP],MATCH(RBmatchups[[#This Row],[Opp]],HBallowed[Team],0)),IFERROR(INDEX(HBallowed[DVP],MATCH(RBmatchups[[#This Row],[Opp]],HBallowed[Opp],0)),""))</f>
        <v>5</v>
      </c>
      <c r="R73" s="441">
        <f>AVERAGE(RBmatchups[[#This Row],[Car1]:[Car3]])</f>
        <v>4.0096666666666669</v>
      </c>
      <c r="S73" s="190">
        <f>AVERAGE(RBmatchups[[#This Row],[Yards1]:[Yards3]])</f>
        <v>14.851999999999999</v>
      </c>
      <c r="T73" s="189">
        <f>SUM(RBmatchups[[#This Row],[Yards]]/RBmatchups[[#This Row],[Carries2]])</f>
        <v>3.7040485493390967</v>
      </c>
      <c r="U73" s="189">
        <f>AVERAGE(RBmatchups[[#This Row],[TD1]:[TD3]])</f>
        <v>6.1499999999999999E-2</v>
      </c>
      <c r="V73" s="189">
        <f>AVERAGE(RBmatchups[[#This Row],[Tar1]:[Tar3]])</f>
        <v>0.3</v>
      </c>
      <c r="W73" s="189">
        <f>AVERAGE(RBmatchups[[#This Row],[Rec1]:[Rec3]])</f>
        <v>0.73333333333333328</v>
      </c>
      <c r="X73" s="189">
        <f>AVERAGE(RBmatchups[[#This Row],[RecYards1]:[RecYards3]])</f>
        <v>5.8000000000000007</v>
      </c>
      <c r="Y73" s="189">
        <f>AVERAGE(RBmatchups[[#This Row],[RecTD1]:[RecTd3]])</f>
        <v>0</v>
      </c>
      <c r="Z73" s="190">
        <f>SUM(RBmatchups[[#This Row],[Carries2]]+RBmatchups[[#This Row],[Rec4]])</f>
        <v>4.7430000000000003</v>
      </c>
      <c r="AA73" s="189">
        <f>SUM(RBmatchups[[#This Row],[Yards]]+RBmatchups[[#This Row],[RecYards]])</f>
        <v>20.652000000000001</v>
      </c>
      <c r="AB73" s="189">
        <f>SUM(RBmatchups[[#This Row],[TD]]+RBmatchups[[#This Row],[RecTD5]])</f>
        <v>6.1499999999999999E-2</v>
      </c>
      <c r="AC73" s="191">
        <f>_xlfn.RANK.EQ(RBmatchups[Projection],RBmatchups[Projection],0)</f>
        <v>63</v>
      </c>
      <c r="AD73" s="189">
        <f>SUM(RBmatchups[[#This Row],[Total Yards]]*0.1)+(RBmatchups[[#This Row],[Rec4]]*1)+(RBmatchups[[#This Row],[Total TD]]*6)+(RBmatchups[[#This Row],[100+]])</f>
        <v>3.167533333333334</v>
      </c>
      <c r="AE73" s="191" t="e">
        <f>_xlfn.RANK.EQ(RBmatchups[[#This Row],[$/FP]],RBmatchups[$/FP],1)</f>
        <v>#VALUE!</v>
      </c>
      <c r="AF73" s="453">
        <f>SUM(RBmatchups[[#This Row],[Salary]]/RBmatchups[[#This Row],[Projection]])</f>
        <v>978.6795192894574</v>
      </c>
      <c r="AG73" s="448" t="e">
        <f>_xlfn.RANK.EQ(RBmatchups[[#This Row],[Average]],RBmatchups[Average],1)</f>
        <v>#VALUE!</v>
      </c>
      <c r="AH73" s="190" t="e">
        <f>AVERAGE(RBmatchups[[#This Row],[Proj Rank]],RBmatchups[[#This Row],[Value Rank]])</f>
        <v>#VALUE!</v>
      </c>
      <c r="AI73" s="214">
        <f>RBmatchups[[#This Row],[Salary]]/50000</f>
        <v>6.2E-2</v>
      </c>
      <c r="AJ73" s="214"/>
      <c r="AK73" s="14">
        <f>IFERROR(INDEX(HBstats1[Rush Att],MATCH(RBmatchups[[#This Row],[Name]],HBstats1[Player],0)),"0")</f>
        <v>2.5289999999999999</v>
      </c>
      <c r="AL73" s="14">
        <f>IFERROR(INDEX(HBstats2[Carries],MATCH(RBmatchups[[#This Row],[Name]],HBstats2[Player],0)),"0")</f>
        <v>7.3</v>
      </c>
      <c r="AM73" s="14">
        <f>IFERROR(INDEX(HBstats3[Carries],MATCH(RBmatchups[[#This Row],[Name]],HBstats3[Player],0)),"0")</f>
        <v>2.2000000000000002</v>
      </c>
      <c r="AN73" s="14">
        <f>IFERROR(INDEX(HBallowed[Carries],MATCH(RBmatchups[[#This Row],[Opp]],HBallowed[Team],0)),"0")</f>
        <v>19.3125</v>
      </c>
      <c r="AO73" s="14">
        <f>IFERROR(INDEX(HBstats1[Rush Yds],MATCH(RBmatchups[[#This Row],[Name]],HBstats1[Player],0)),"0")</f>
        <v>9.4559999999999995</v>
      </c>
      <c r="AP73" s="14">
        <f>IFERROR(INDEX(HBstats2[RushYards],MATCH(RBmatchups[[#This Row],[Name]],HBstats2[Player],0)),"0")</f>
        <v>25.8</v>
      </c>
      <c r="AQ73" s="14">
        <f>IFERROR(INDEX(HBstats3[RushYards],MATCH(RBmatchups[[#This Row],[Name]],HBstats3[Player],0)),"0")</f>
        <v>9.3000000000000007</v>
      </c>
      <c r="AR73" s="32">
        <f>IFERROR(INDEX(HBallowed[Yards],MATCH(RBmatchups[[#This Row],[Opp]],HBallowed[Team],0)),"0")</f>
        <v>64.4375</v>
      </c>
      <c r="AS73" s="14">
        <f>IFERROR(INDEX(HBstats1[Rush TD],MATCH(RBmatchups[[#This Row],[Name]],HBstats1[Player],0)),"0")</f>
        <v>2.3E-2</v>
      </c>
      <c r="AT73" s="14" t="str">
        <f>IFERROR(INDEX(HBstats2[RushTD],MATCH(RBmatchups[[#This Row],[Name]],HBstats2[Player],0)),"0")</f>
        <v>0.1</v>
      </c>
      <c r="AU73" s="14">
        <f>IFERROR(INDEX(HBstats3[RushTD],MATCH(RBmatchups[[#This Row],[Name]],HBstats3[Player],0)),"0")</f>
        <v>0.1</v>
      </c>
      <c r="AV73" s="32">
        <f>IFERROR(INDEX(HBallowed[TD],MATCH(RBmatchups[[#This Row],[Opp]],HBallowed[Team],0)),"0")</f>
        <v>0.125</v>
      </c>
      <c r="AW73" s="32">
        <f>IFERROR(INDEX(HBstats3[Targets],MATCH(RBmatchups[[#This Row],[Name]],HBstats3[Player],0)),"0")</f>
        <v>0.3</v>
      </c>
      <c r="AX73" s="32" t="str">
        <f>IFERROR(INDEX(HBstats2[Targets],MATCH(RBmatchups[[#This Row],[Name]],HBstats2[Player],0)),"0")</f>
        <v>0</v>
      </c>
      <c r="AY73" s="32">
        <f>IFERROR(INDEX(HBstats3[Targets],MATCH(RBmatchups[[#This Row],[Name]],HBstats3[Player],0)),"0")</f>
        <v>0.3</v>
      </c>
      <c r="AZ73" s="14">
        <f>IFERROR(INDEX(HBstats1[Rec],MATCH(RBmatchups[[#This Row],[Name]],HBstats1[Player],0)),"0")</f>
        <v>0</v>
      </c>
      <c r="BA73" s="14">
        <f>IFERROR(INDEX(HBstats2[Rec],MATCH(RBmatchups[[#This Row],[Name]],HBstats2[Player],0)),"0")</f>
        <v>1.9</v>
      </c>
      <c r="BB73" s="14">
        <f>IFERROR(INDEX(HBstats3[Rec],MATCH(RBmatchups[[#This Row],[Name]],HBstats3[Player],0)),"0")</f>
        <v>0.3</v>
      </c>
      <c r="BC73" s="32">
        <f>IFERROR(INDEX(HBallowed[Rec],MATCH(RBmatchups[[#This Row],[Opp]],HBallowed[Team],0)),"0")</f>
        <v>5</v>
      </c>
      <c r="BD73" s="14">
        <f>IFERROR(INDEX(HBstats1[Rec Yds],MATCH(RBmatchups[[#This Row],[Name]],HBstats1[Player],0)),"0")</f>
        <v>0</v>
      </c>
      <c r="BE73" s="14">
        <f>IFERROR(INDEX(HBstats2[RecYards],MATCH(RBmatchups[[#This Row],[Name]],HBstats2[Player],0)),"0")</f>
        <v>15.3</v>
      </c>
      <c r="BF73" s="14">
        <f>IFERROR(INDEX(HBstats3[RecYards],MATCH(RBmatchups[[#This Row],[Name]],HBstats3[Player],0)),"0")</f>
        <v>2.1</v>
      </c>
      <c r="BG73" s="32">
        <f>IFERROR(INDEX(HBallowed[RecYards],MATCH(RBmatchups[[#This Row],[Opp]],HBallowed[Team],0)),"0")</f>
        <v>40.9375</v>
      </c>
      <c r="BH73" s="14">
        <f>IFERROR(INDEX(HBstats1[Rec TD],MATCH(RBmatchups[[#This Row],[Name]],HBstats1[Player],0)),"0")</f>
        <v>0</v>
      </c>
      <c r="BI73" s="14" t="str">
        <f>IFERROR(INDEX(HBstats2[RecTD],MATCH(RBmatchups[[#This Row],[Name]],HBstats2[Player],0)),"0")</f>
        <v>0</v>
      </c>
      <c r="BJ73" s="14">
        <f>IFERROR(INDEX(HBstats3[RecTD],MATCH(RBmatchups[[#This Row],[Name]],HBstats3[Player],0)),"0")</f>
        <v>0</v>
      </c>
      <c r="BK73" s="32">
        <f>IFERROR(INDEX(HBallowed[RecTD],MATCH(RBmatchups[[#This Row],[Opp]],HBallowed[Team],0)),"0")</f>
        <v>0.3125</v>
      </c>
      <c r="BL73" s="268">
        <f>IF(RBmatchups[[#This Row],[Yards]]&gt;=100,3,0)</f>
        <v>0</v>
      </c>
    </row>
    <row r="74" spans="1:64" x14ac:dyDescent="0.3">
      <c r="A74" s="37">
        <f>HBstats1!AL76</f>
        <v>1.2</v>
      </c>
      <c r="B74" s="153" t="str">
        <f>HBstats1!D76</f>
        <v>Andre Ellington</v>
      </c>
      <c r="C74" s="154">
        <f>IFERROR(INDEX(Salaries[DraftKings (Price)],MATCH(RBmatchups[[#This Row],[Name]],Salaries[Player],0)),"")</f>
        <v>3200</v>
      </c>
      <c r="D74" s="154">
        <f>IFERROR(INDEX(DK_Salary_Changes[WeekChange],MATCH(RBmatchups[[#This Row],[Name]],DK_Salary_Changes[Player],0)),"")</f>
        <v>-400</v>
      </c>
      <c r="E74" s="154" t="str">
        <f>IFERROR(INDEX(Salaries[Team],MATCH(RBmatchups[[#This Row],[Name]],Salaries[Player],0)),"")</f>
        <v>ARI</v>
      </c>
      <c r="F74" s="189" t="str">
        <f>IFERROR(INDEX(Salaries[Opp],MATCH(RBmatchups[[#This Row],[Team]],Salaries[Team],0)),"")</f>
        <v>LA</v>
      </c>
      <c r="G74" s="410" t="str">
        <f>IFERROR(INDEX(RBYTD[Rush ATT],MATCH(RBmatchups[Name],RBYTD[Player],0)),"0")</f>
        <v>0</v>
      </c>
      <c r="H74" s="191" t="str">
        <f>IFERROR(INDEX(RBYTD[Rush Yds],MATCH(RBmatchups[Name],RBYTD[Player],0)),"0")</f>
        <v>0</v>
      </c>
      <c r="I74" s="191" t="str">
        <f>IFERROR(INDEX(RBYTD[Rush TD],MATCH(RBmatchups[Name],RBYTD[Player],0)),"0")</f>
        <v>0</v>
      </c>
      <c r="J74" s="191" t="str">
        <f>IFERROR(INDEX(RBYTD[Rec],MATCH(RBmatchups[Name],RBYTD[Player],0)),"0")</f>
        <v>0</v>
      </c>
      <c r="K74" s="191">
        <f>IFERROR(INDEX(targettracker54[TTL],MATCH(RBmatchups[Name],targettracker54[Name],0)),"0")</f>
        <v>3</v>
      </c>
      <c r="L74" s="191" t="str">
        <f>IFERROR(INDEX(RBYTD[Rec Yds],MATCH(RBmatchups[Name],RBYTD[Player],0)),"0")</f>
        <v>0</v>
      </c>
      <c r="M74" s="411" t="str">
        <f>IFERROR(INDEX(RBYTD[Rec TD],MATCH(RBmatchups[Name],RBYTD[Player],0)),"0")</f>
        <v>0</v>
      </c>
      <c r="N74" s="441">
        <f>IFERROR(INDEX(Salaries[O/U],MATCH(RBmatchups[[#This Row],[Team]],Salaries[Team],0)),"")</f>
        <v>43</v>
      </c>
      <c r="O74" s="189">
        <f>IFERROR(INDEX(Salaries[Team O/U],MATCH(RBmatchups[[#This Row],[Team]],Salaries[Team],0)),"")</f>
        <v>25.5</v>
      </c>
      <c r="P74" s="442">
        <f>IFERROR(INDEX(Salaries[Spread],MATCH(RBmatchups[[#This Row],[Team]],Salaries[Team],0)),"")</f>
        <v>-8</v>
      </c>
      <c r="Q74" s="424">
        <f>IFERROR(INDEX(HBallowed[DVP],MATCH(RBmatchups[[#This Row],[Opp]],HBallowed[Team],0)),IFERROR(INDEX(HBallowed[DVP],MATCH(RBmatchups[[#This Row],[Opp]],HBallowed[Opp],0)),""))</f>
        <v>21</v>
      </c>
      <c r="R74" s="441">
        <f>AVERAGE(RBmatchups[[#This Row],[Car1]:[Car3]])</f>
        <v>1.7454999999999998</v>
      </c>
      <c r="S74" s="190">
        <f>AVERAGE(RBmatchups[[#This Row],[Yards1]:[Yards3]])</f>
        <v>8.5634999999999994</v>
      </c>
      <c r="T74" s="189">
        <f>SUM(RBmatchups[[#This Row],[Yards]]/RBmatchups[[#This Row],[Carries2]])</f>
        <v>4.9060441134345458</v>
      </c>
      <c r="U74" s="189">
        <f>AVERAGE(RBmatchups[[#This Row],[TD1]:[TD3]])</f>
        <v>5.5E-2</v>
      </c>
      <c r="V74" s="189">
        <f>AVERAGE(RBmatchups[[#This Row],[Tar1]:[Tar3]])</f>
        <v>1</v>
      </c>
      <c r="W74" s="189">
        <f>AVERAGE(RBmatchups[[#This Row],[Rec1]:[Rec3]])</f>
        <v>0.89200000000000002</v>
      </c>
      <c r="X74" s="189">
        <f>AVERAGE(RBmatchups[[#This Row],[RecYards1]:[RecYards3]])</f>
        <v>6.9459999999999997</v>
      </c>
      <c r="Y74" s="189">
        <f>AVERAGE(RBmatchups[[#This Row],[RecTD1]:[RecTd3]])</f>
        <v>0</v>
      </c>
      <c r="Z74" s="190">
        <f>SUM(RBmatchups[[#This Row],[Carries2]]+RBmatchups[[#This Row],[Rec4]])</f>
        <v>2.6374999999999997</v>
      </c>
      <c r="AA74" s="189">
        <f>SUM(RBmatchups[[#This Row],[Yards]]+RBmatchups[[#This Row],[RecYards]])</f>
        <v>15.509499999999999</v>
      </c>
      <c r="AB74" s="189">
        <f>SUM(RBmatchups[[#This Row],[TD]]+RBmatchups[[#This Row],[RecTD5]])</f>
        <v>5.5E-2</v>
      </c>
      <c r="AC74" s="191">
        <f>_xlfn.RANK.EQ(RBmatchups[Projection],RBmatchups[Projection],0)</f>
        <v>64</v>
      </c>
      <c r="AD74" s="189">
        <f>SUM(RBmatchups[[#This Row],[Total Yards]]*0.1)+(RBmatchups[[#This Row],[Rec4]]*1)+(RBmatchups[[#This Row],[Total TD]]*6)+(RBmatchups[[#This Row],[100+]])</f>
        <v>2.7729500000000002</v>
      </c>
      <c r="AE74" s="191" t="e">
        <f>_xlfn.RANK.EQ(RBmatchups[[#This Row],[$/FP]],RBmatchups[$/FP],1)</f>
        <v>#VALUE!</v>
      </c>
      <c r="AF74" s="453">
        <f>SUM(RBmatchups[[#This Row],[Salary]]/RBmatchups[[#This Row],[Projection]])</f>
        <v>1154.0056618402782</v>
      </c>
      <c r="AG74" s="448" t="e">
        <f>_xlfn.RANK.EQ(RBmatchups[[#This Row],[Average]],RBmatchups[Average],1)</f>
        <v>#VALUE!</v>
      </c>
      <c r="AH74" s="190" t="e">
        <f>AVERAGE(RBmatchups[[#This Row],[Proj Rank]],RBmatchups[[#This Row],[Value Rank]])</f>
        <v>#VALUE!</v>
      </c>
      <c r="AI74" s="214">
        <f>RBmatchups[[#This Row],[Salary]]/50000</f>
        <v>6.4000000000000001E-2</v>
      </c>
      <c r="AJ74" s="214"/>
      <c r="AK74" s="14">
        <f>IFERROR(INDEX(HBstats1[Rush Att],MATCH(RBmatchups[[#This Row],[Name]],HBstats1[Player],0)),"0")</f>
        <v>0.191</v>
      </c>
      <c r="AL74" s="14" t="str">
        <f>IFERROR(INDEX(HBstats2[Carries],MATCH(RBmatchups[[#This Row],[Name]],HBstats2[Player],0)),"0")</f>
        <v>0</v>
      </c>
      <c r="AM74" s="14">
        <f>IFERROR(INDEX(HBstats3[Carries],MATCH(RBmatchups[[#This Row],[Name]],HBstats3[Player],0)),"0")</f>
        <v>3.3</v>
      </c>
      <c r="AN74" s="14">
        <f>IFERROR(INDEX(HBallowed[Carries],MATCH(RBmatchups[[#This Row],[Opp]],HBallowed[Team],0)),"0")</f>
        <v>20.875</v>
      </c>
      <c r="AO74" s="14">
        <f>IFERROR(INDEX(HBstats1[Rush Yds],MATCH(RBmatchups[[#This Row],[Name]],HBstats1[Player],0)),"0")</f>
        <v>1.127</v>
      </c>
      <c r="AP74" s="14" t="str">
        <f>IFERROR(INDEX(HBstats2[RushYards],MATCH(RBmatchups[[#This Row],[Name]],HBstats2[Player],0)),"0")</f>
        <v>0</v>
      </c>
      <c r="AQ74" s="14">
        <f>IFERROR(INDEX(HBstats3[RushYards],MATCH(RBmatchups[[#This Row],[Name]],HBstats3[Player],0)),"0")</f>
        <v>16</v>
      </c>
      <c r="AR74" s="32">
        <f>IFERROR(INDEX(HBallowed[Yards],MATCH(RBmatchups[[#This Row],[Opp]],HBallowed[Team],0)),"0")</f>
        <v>94.6875</v>
      </c>
      <c r="AS74" s="14">
        <f>IFERROR(INDEX(HBstats1[Rush TD],MATCH(RBmatchups[[#This Row],[Name]],HBstats1[Player],0)),"0")</f>
        <v>0.01</v>
      </c>
      <c r="AT74" s="14" t="str">
        <f>IFERROR(INDEX(HBstats2[RushTD],MATCH(RBmatchups[[#This Row],[Name]],HBstats2[Player],0)),"0")</f>
        <v>0</v>
      </c>
      <c r="AU74" s="14">
        <f>IFERROR(INDEX(HBstats3[RushTD],MATCH(RBmatchups[[#This Row],[Name]],HBstats3[Player],0)),"0")</f>
        <v>0.1</v>
      </c>
      <c r="AV74" s="32">
        <f>IFERROR(INDEX(HBallowed[TD],MATCH(RBmatchups[[#This Row],[Opp]],HBallowed[Team],0)),"0")</f>
        <v>0.5625</v>
      </c>
      <c r="AW74" s="32">
        <f>IFERROR(INDEX(HBstats3[Targets],MATCH(RBmatchups[[#This Row],[Name]],HBstats3[Player],0)),"0")</f>
        <v>1</v>
      </c>
      <c r="AX74" s="32" t="str">
        <f>IFERROR(INDEX(HBstats2[Targets],MATCH(RBmatchups[[#This Row],[Name]],HBstats2[Player],0)),"0")</f>
        <v>0</v>
      </c>
      <c r="AY74" s="32">
        <f>IFERROR(INDEX(HBstats3[Targets],MATCH(RBmatchups[[#This Row],[Name]],HBstats3[Player],0)),"0")</f>
        <v>1</v>
      </c>
      <c r="AZ74" s="14">
        <f>IFERROR(INDEX(HBstats1[Rec],MATCH(RBmatchups[[#This Row],[Name]],HBstats1[Player],0)),"0")</f>
        <v>0.88400000000000001</v>
      </c>
      <c r="BA74" s="14" t="str">
        <f>IFERROR(INDEX(HBstats2[Rec],MATCH(RBmatchups[[#This Row],[Name]],HBstats2[Player],0)),"0")</f>
        <v>0</v>
      </c>
      <c r="BB74" s="14">
        <f>IFERROR(INDEX(HBstats3[Rec],MATCH(RBmatchups[[#This Row],[Name]],HBstats3[Player],0)),"0")</f>
        <v>0.9</v>
      </c>
      <c r="BC74" s="32">
        <f>IFERROR(INDEX(HBallowed[Rec],MATCH(RBmatchups[[#This Row],[Opp]],HBallowed[Team],0)),"0")</f>
        <v>3.625</v>
      </c>
      <c r="BD74" s="14">
        <f>IFERROR(INDEX(HBstats1[Rec Yds],MATCH(RBmatchups[[#This Row],[Name]],HBstats1[Player],0)),"0")</f>
        <v>5.7919999999999998</v>
      </c>
      <c r="BE74" s="14" t="str">
        <f>IFERROR(INDEX(HBstats2[RecYards],MATCH(RBmatchups[[#This Row],[Name]],HBstats2[Player],0)),"0")</f>
        <v>0</v>
      </c>
      <c r="BF74" s="14">
        <f>IFERROR(INDEX(HBstats3[RecYards],MATCH(RBmatchups[[#This Row],[Name]],HBstats3[Player],0)),"0")</f>
        <v>8.1</v>
      </c>
      <c r="BG74" s="32">
        <f>IFERROR(INDEX(HBallowed[RecYards],MATCH(RBmatchups[[#This Row],[Opp]],HBallowed[Team],0)),"0")</f>
        <v>34.75</v>
      </c>
      <c r="BH74" s="14">
        <f>IFERROR(INDEX(HBstats1[Rec TD],MATCH(RBmatchups[[#This Row],[Name]],HBstats1[Player],0)),"0")</f>
        <v>0</v>
      </c>
      <c r="BI74" s="14" t="str">
        <f>IFERROR(INDEX(HBstats2[RecTD],MATCH(RBmatchups[[#This Row],[Name]],HBstats2[Player],0)),"0")</f>
        <v>0</v>
      </c>
      <c r="BJ74" s="14">
        <f>IFERROR(INDEX(HBstats3[RecTD],MATCH(RBmatchups[[#This Row],[Name]],HBstats3[Player],0)),"0")</f>
        <v>0</v>
      </c>
      <c r="BK74" s="32">
        <f>IFERROR(INDEX(HBallowed[RecTD],MATCH(RBmatchups[[#This Row],[Opp]],HBallowed[Team],0)),"0")</f>
        <v>0.25</v>
      </c>
      <c r="BL74" s="268">
        <f>IF(RBmatchups[[#This Row],[Yards]]&gt;=100,3,0)</f>
        <v>0</v>
      </c>
    </row>
    <row r="75" spans="1:64" x14ac:dyDescent="0.3">
      <c r="A75" s="37">
        <f>HBstats1!AL64</f>
        <v>2.8</v>
      </c>
      <c r="B75" s="153" t="str">
        <f>HBstats1!D64</f>
        <v>Kyle Juszczyk</v>
      </c>
      <c r="C75" s="154">
        <f>IFERROR(INDEX(Salaries[DraftKings (Price)],MATCH(RBmatchups[[#This Row],[Name]],Salaries[Player],0)),"")</f>
        <v>3000</v>
      </c>
      <c r="D75" s="154">
        <f>IFERROR(INDEX(DK_Salary_Changes[WeekChange],MATCH(RBmatchups[[#This Row],[Name]],DK_Salary_Changes[Player],0)),"")</f>
        <v>0</v>
      </c>
      <c r="E75" s="154" t="str">
        <f>IFERROR(INDEX(Salaries[Team],MATCH(RBmatchups[[#This Row],[Name]],Salaries[Player],0)),"")</f>
        <v>BAL</v>
      </c>
      <c r="F75" s="189" t="str">
        <f>IFERROR(INDEX(Salaries[Opp],MATCH(RBmatchups[[#This Row],[Team]],Salaries[Team],0)),"")</f>
        <v>OAK</v>
      </c>
      <c r="G75" s="410" t="str">
        <f>IFERROR(INDEX(RBYTD[Rush ATT],MATCH(RBmatchups[Name],RBYTD[Player],0)),"0")</f>
        <v>0</v>
      </c>
      <c r="H75" s="191" t="str">
        <f>IFERROR(INDEX(RBYTD[Rush Yds],MATCH(RBmatchups[Name],RBYTD[Player],0)),"0")</f>
        <v>0</v>
      </c>
      <c r="I75" s="191" t="str">
        <f>IFERROR(INDEX(RBYTD[Rush TD],MATCH(RBmatchups[Name],RBYTD[Player],0)),"0")</f>
        <v>0</v>
      </c>
      <c r="J75" s="191" t="str">
        <f>IFERROR(INDEX(RBYTD[Rec],MATCH(RBmatchups[Name],RBYTD[Player],0)),"0")</f>
        <v>0</v>
      </c>
      <c r="K75" s="191">
        <f>IFERROR(INDEX(targettracker54[TTL],MATCH(RBmatchups[Name],targettracker54[Name],0)),"0")</f>
        <v>6</v>
      </c>
      <c r="L75" s="191" t="str">
        <f>IFERROR(INDEX(RBYTD[Rec Yds],MATCH(RBmatchups[Name],RBYTD[Player],0)),"0")</f>
        <v>0</v>
      </c>
      <c r="M75" s="411" t="str">
        <f>IFERROR(INDEX(RBYTD[Rec TD],MATCH(RBmatchups[Name],RBYTD[Player],0)),"0")</f>
        <v>0</v>
      </c>
      <c r="N75" s="441">
        <f>IFERROR(INDEX(Salaries[O/U],MATCH(RBmatchups[[#This Row],[Team]],Salaries[Team],0)),"")</f>
        <v>46.5</v>
      </c>
      <c r="O75" s="189">
        <f>IFERROR(INDEX(Salaries[Team O/U],MATCH(RBmatchups[[#This Row],[Team]],Salaries[Team],0)),"")</f>
        <v>25</v>
      </c>
      <c r="P75" s="442">
        <f>IFERROR(INDEX(Salaries[Spread],MATCH(RBmatchups[[#This Row],[Team]],Salaries[Team],0)),"")</f>
        <v>-3.5</v>
      </c>
      <c r="Q75" s="424">
        <f>IFERROR(INDEX(HBallowed[DVP],MATCH(RBmatchups[[#This Row],[Opp]],HBallowed[Team],0)),IFERROR(INDEX(HBallowed[DVP],MATCH(RBmatchups[[#This Row],[Opp]],HBallowed[Opp],0)),""))</f>
        <v>17</v>
      </c>
      <c r="R75" s="441">
        <f>AVERAGE(RBmatchups[[#This Row],[Car1]:[Car3]])</f>
        <v>0.4965</v>
      </c>
      <c r="S75" s="190">
        <f>AVERAGE(RBmatchups[[#This Row],[Yards1]:[Yards3]])</f>
        <v>1.3525</v>
      </c>
      <c r="T75" s="189">
        <f>SUM(RBmatchups[[#This Row],[Yards]]/RBmatchups[[#This Row],[Carries2]])</f>
        <v>2.7240684793554886</v>
      </c>
      <c r="U75" s="189">
        <f>AVERAGE(RBmatchups[[#This Row],[TD1]:[TD3]])</f>
        <v>0</v>
      </c>
      <c r="V75" s="189">
        <f>AVERAGE(RBmatchups[[#This Row],[Tar1]:[Tar3]])</f>
        <v>1.1000000000000001</v>
      </c>
      <c r="W75" s="189">
        <f>AVERAGE(RBmatchups[[#This Row],[Rec1]:[Rec3]])</f>
        <v>1.2595000000000001</v>
      </c>
      <c r="X75" s="189">
        <f>AVERAGE(RBmatchups[[#This Row],[RecYards1]:[RecYards3]])</f>
        <v>11.060500000000001</v>
      </c>
      <c r="Y75" s="189">
        <f>AVERAGE(RBmatchups[[#This Row],[RecTD1]:[RecTd3]])</f>
        <v>2.75E-2</v>
      </c>
      <c r="Z75" s="190">
        <f>SUM(RBmatchups[[#This Row],[Carries2]]+RBmatchups[[#This Row],[Rec4]])</f>
        <v>1.756</v>
      </c>
      <c r="AA75" s="189">
        <f>SUM(RBmatchups[[#This Row],[Yards]]+RBmatchups[[#This Row],[RecYards]])</f>
        <v>12.413</v>
      </c>
      <c r="AB75" s="189">
        <f>SUM(RBmatchups[[#This Row],[TD]]+RBmatchups[[#This Row],[RecTD5]])</f>
        <v>2.75E-2</v>
      </c>
      <c r="AC75" s="191">
        <f>_xlfn.RANK.EQ(RBmatchups[Projection],RBmatchups[Projection],0)</f>
        <v>65</v>
      </c>
      <c r="AD75" s="189">
        <f>SUM(RBmatchups[[#This Row],[Total Yards]]*0.1)+(RBmatchups[[#This Row],[Rec4]]*1)+(RBmatchups[[#This Row],[Total TD]]*6)+(RBmatchups[[#This Row],[100+]])</f>
        <v>2.6657999999999999</v>
      </c>
      <c r="AE75" s="191" t="e">
        <f>_xlfn.RANK.EQ(RBmatchups[[#This Row],[$/FP]],RBmatchups[$/FP],1)</f>
        <v>#VALUE!</v>
      </c>
      <c r="AF75" s="453">
        <f>SUM(RBmatchups[[#This Row],[Salary]]/RBmatchups[[#This Row],[Projection]])</f>
        <v>1125.3657438667567</v>
      </c>
      <c r="AG75" s="448" t="e">
        <f>_xlfn.RANK.EQ(RBmatchups[[#This Row],[Average]],RBmatchups[Average],1)</f>
        <v>#VALUE!</v>
      </c>
      <c r="AH75" s="190" t="e">
        <f>AVERAGE(RBmatchups[[#This Row],[Proj Rank]],RBmatchups[[#This Row],[Value Rank]])</f>
        <v>#VALUE!</v>
      </c>
      <c r="AI75" s="214">
        <f>RBmatchups[[#This Row],[Salary]]/50000</f>
        <v>0.06</v>
      </c>
      <c r="AJ75" s="214"/>
      <c r="AK75" s="14">
        <f>IFERROR(INDEX(HBstats1[Rush Att],MATCH(RBmatchups[[#This Row],[Name]],HBstats1[Player],0)),"0")</f>
        <v>0.99299999999999999</v>
      </c>
      <c r="AL75" s="14" t="str">
        <f>IFERROR(INDEX(HBstats2[Carries],MATCH(RBmatchups[[#This Row],[Name]],HBstats2[Player],0)),"0")</f>
        <v>0</v>
      </c>
      <c r="AM75" s="14">
        <f>IFERROR(INDEX(HBstats3[Carries],MATCH(RBmatchups[[#This Row],[Name]],HBstats3[Player],0)),"0")</f>
        <v>0</v>
      </c>
      <c r="AN75" s="14">
        <f>IFERROR(INDEX(HBallowed[Carries],MATCH(RBmatchups[[#This Row],[Opp]],HBallowed[Team],0)),"0")</f>
        <v>22.1875</v>
      </c>
      <c r="AO75" s="14">
        <f>IFERROR(INDEX(HBstats1[Rush Yds],MATCH(RBmatchups[[#This Row],[Name]],HBstats1[Player],0)),"0")</f>
        <v>2.7050000000000001</v>
      </c>
      <c r="AP75" s="14" t="str">
        <f>IFERROR(INDEX(HBstats2[RushYards],MATCH(RBmatchups[[#This Row],[Name]],HBstats2[Player],0)),"0")</f>
        <v>0</v>
      </c>
      <c r="AQ75" s="14">
        <f>IFERROR(INDEX(HBstats3[RushYards],MATCH(RBmatchups[[#This Row],[Name]],HBstats3[Player],0)),"0")</f>
        <v>0</v>
      </c>
      <c r="AR75" s="32">
        <f>IFERROR(INDEX(HBallowed[Yards],MATCH(RBmatchups[[#This Row],[Opp]],HBallowed[Team],0)),"0")</f>
        <v>93.875</v>
      </c>
      <c r="AS75" s="14">
        <f>IFERROR(INDEX(HBstats1[Rush TD],MATCH(RBmatchups[[#This Row],[Name]],HBstats1[Player],0)),"0")</f>
        <v>0</v>
      </c>
      <c r="AT75" s="14" t="str">
        <f>IFERROR(INDEX(HBstats2[RushTD],MATCH(RBmatchups[[#This Row],[Name]],HBstats2[Player],0)),"0")</f>
        <v>0</v>
      </c>
      <c r="AU75" s="14">
        <f>IFERROR(INDEX(HBstats3[RushTD],MATCH(RBmatchups[[#This Row],[Name]],HBstats3[Player],0)),"0")</f>
        <v>0</v>
      </c>
      <c r="AV75" s="32">
        <f>IFERROR(INDEX(HBallowed[TD],MATCH(RBmatchups[[#This Row],[Opp]],HBallowed[Team],0)),"0")</f>
        <v>0.3125</v>
      </c>
      <c r="AW75" s="32">
        <f>IFERROR(INDEX(HBstats3[Targets],MATCH(RBmatchups[[#This Row],[Name]],HBstats3[Player],0)),"0")</f>
        <v>1.1000000000000001</v>
      </c>
      <c r="AX75" s="32" t="str">
        <f>IFERROR(INDEX(HBstats2[Targets],MATCH(RBmatchups[[#This Row],[Name]],HBstats2[Player],0)),"0")</f>
        <v>0</v>
      </c>
      <c r="AY75" s="32">
        <f>IFERROR(INDEX(HBstats3[Targets],MATCH(RBmatchups[[#This Row],[Name]],HBstats3[Player],0)),"0")</f>
        <v>1.1000000000000001</v>
      </c>
      <c r="AZ75" s="14">
        <f>IFERROR(INDEX(HBstats1[Rec],MATCH(RBmatchups[[#This Row],[Name]],HBstats1[Player],0)),"0")</f>
        <v>1.619</v>
      </c>
      <c r="BA75" s="14" t="str">
        <f>IFERROR(INDEX(HBstats2[Rec],MATCH(RBmatchups[[#This Row],[Name]],HBstats2[Player],0)),"0")</f>
        <v>0</v>
      </c>
      <c r="BB75" s="14">
        <f>IFERROR(INDEX(HBstats3[Rec],MATCH(RBmatchups[[#This Row],[Name]],HBstats3[Player],0)),"0")</f>
        <v>0.9</v>
      </c>
      <c r="BC75" s="32">
        <f>IFERROR(INDEX(HBallowed[Rec],MATCH(RBmatchups[[#This Row],[Opp]],HBallowed[Team],0)),"0")</f>
        <v>4.75</v>
      </c>
      <c r="BD75" s="14">
        <f>IFERROR(INDEX(HBstats1[Rec Yds],MATCH(RBmatchups[[#This Row],[Name]],HBstats1[Player],0)),"0")</f>
        <v>14.121</v>
      </c>
      <c r="BE75" s="14" t="str">
        <f>IFERROR(INDEX(HBstats2[RecYards],MATCH(RBmatchups[[#This Row],[Name]],HBstats2[Player],0)),"0")</f>
        <v>0</v>
      </c>
      <c r="BF75" s="14">
        <f>IFERROR(INDEX(HBstats3[RecYards],MATCH(RBmatchups[[#This Row],[Name]],HBstats3[Player],0)),"0")</f>
        <v>8</v>
      </c>
      <c r="BG75" s="32">
        <f>IFERROR(INDEX(HBallowed[RecYards],MATCH(RBmatchups[[#This Row],[Opp]],HBallowed[Team],0)),"0")</f>
        <v>42.5625</v>
      </c>
      <c r="BH75" s="14">
        <f>IFERROR(INDEX(HBstats1[Rec TD],MATCH(RBmatchups[[#This Row],[Name]],HBstats1[Player],0)),"0")</f>
        <v>5.5E-2</v>
      </c>
      <c r="BI75" s="14" t="str">
        <f>IFERROR(INDEX(HBstats2[RecTD],MATCH(RBmatchups[[#This Row],[Name]],HBstats2[Player],0)),"0")</f>
        <v>0</v>
      </c>
      <c r="BJ75" s="14">
        <f>IFERROR(INDEX(HBstats3[RecTD],MATCH(RBmatchups[[#This Row],[Name]],HBstats3[Player],0)),"0")</f>
        <v>0</v>
      </c>
      <c r="BK75" s="32">
        <f>IFERROR(INDEX(HBallowed[RecTD],MATCH(RBmatchups[[#This Row],[Opp]],HBallowed[Team],0)),"0")</f>
        <v>0.125</v>
      </c>
      <c r="BL75" s="268">
        <f>IF(RBmatchups[[#This Row],[Yards]]&gt;=100,3,0)</f>
        <v>0</v>
      </c>
    </row>
    <row r="76" spans="1:64" x14ac:dyDescent="0.3">
      <c r="A76" s="37">
        <f>HBstats1!AL66</f>
        <v>1.8</v>
      </c>
      <c r="B76" s="153" t="str">
        <f>HBstats1!D66</f>
        <v>Kenneth Farrow</v>
      </c>
      <c r="C76" s="154">
        <f>IFERROR(INDEX(Salaries[DraftKings (Price)],MATCH(RBmatchups[[#This Row],[Name]],Salaries[Player],0)),"")</f>
        <v>3000</v>
      </c>
      <c r="D76" s="154">
        <f>IFERROR(INDEX(DK_Salary_Changes[WeekChange],MATCH(RBmatchups[[#This Row],[Name]],DK_Salary_Changes[Player],0)),"")</f>
        <v>0</v>
      </c>
      <c r="E76" s="154" t="str">
        <f>IFERROR(INDEX(Salaries[Team],MATCH(RBmatchups[[#This Row],[Name]],Salaries[Player],0)),"")</f>
        <v>SD</v>
      </c>
      <c r="F76" s="189" t="str">
        <f>IFERROR(INDEX(Salaries[Opp],MATCH(RBmatchups[[#This Row],[Team]],Salaries[Team],0)),"")</f>
        <v>NO</v>
      </c>
      <c r="G76" s="410" t="str">
        <f>IFERROR(INDEX(RBYTD[Rush ATT],MATCH(RBmatchups[Name],RBYTD[Player],0)),"0")</f>
        <v>0</v>
      </c>
      <c r="H76" s="191" t="str">
        <f>IFERROR(INDEX(RBYTD[Rush Yds],MATCH(RBmatchups[Name],RBYTD[Player],0)),"0")</f>
        <v>0</v>
      </c>
      <c r="I76" s="191" t="str">
        <f>IFERROR(INDEX(RBYTD[Rush TD],MATCH(RBmatchups[Name],RBYTD[Player],0)),"0")</f>
        <v>0</v>
      </c>
      <c r="J76" s="191" t="str">
        <f>IFERROR(INDEX(RBYTD[Rec],MATCH(RBmatchups[Name],RBYTD[Player],0)),"0")</f>
        <v>0</v>
      </c>
      <c r="K76" s="191">
        <f>IFERROR(INDEX(targettracker54[TTL],MATCH(RBmatchups[Name],targettracker54[Name],0)),"0")</f>
        <v>1</v>
      </c>
      <c r="L76" s="191" t="str">
        <f>IFERROR(INDEX(RBYTD[Rec Yds],MATCH(RBmatchups[Name],RBYTD[Player],0)),"0")</f>
        <v>0</v>
      </c>
      <c r="M76" s="411" t="str">
        <f>IFERROR(INDEX(RBYTD[Rec TD],MATCH(RBmatchups[Name],RBYTD[Player],0)),"0")</f>
        <v>0</v>
      </c>
      <c r="N76" s="441">
        <f>IFERROR(INDEX(Salaries[O/U],MATCH(RBmatchups[[#This Row],[Team]],Salaries[Team],0)),"")</f>
        <v>53.5</v>
      </c>
      <c r="O76" s="189">
        <f>IFERROR(INDEX(Salaries[Team O/U],MATCH(RBmatchups[[#This Row],[Team]],Salaries[Team],0)),"")</f>
        <v>28.75</v>
      </c>
      <c r="P76" s="442">
        <f>IFERROR(INDEX(Salaries[Spread],MATCH(RBmatchups[[#This Row],[Team]],Salaries[Team],0)),"")</f>
        <v>-4</v>
      </c>
      <c r="Q76" s="424">
        <f>IFERROR(INDEX(HBallowed[DVP],MATCH(RBmatchups[[#This Row],[Opp]],HBallowed[Team],0)),IFERROR(INDEX(HBallowed[DVP],MATCH(RBmatchups[[#This Row],[Opp]],HBallowed[Opp],0)),""))</f>
        <v>31</v>
      </c>
      <c r="R76" s="441">
        <f>AVERAGE(RBmatchups[[#This Row],[Car1]:[Car3]])</f>
        <v>3.4220000000000002</v>
      </c>
      <c r="S76" s="190">
        <f>AVERAGE(RBmatchups[[#This Row],[Yards1]:[Yards3]])</f>
        <v>16.656000000000002</v>
      </c>
      <c r="T76" s="189">
        <f>SUM(RBmatchups[[#This Row],[Yards]]/RBmatchups[[#This Row],[Carries2]])</f>
        <v>4.8673290473407365</v>
      </c>
      <c r="U76" s="189">
        <f>AVERAGE(RBmatchups[[#This Row],[TD1]:[TD3]])</f>
        <v>0.10700000000000001</v>
      </c>
      <c r="V76" s="189">
        <f>AVERAGE(RBmatchups[[#This Row],[Tar1]:[Tar3]])</f>
        <v>0</v>
      </c>
      <c r="W76" s="189">
        <f>AVERAGE(RBmatchups[[#This Row],[Rec1]:[Rec3]])</f>
        <v>0</v>
      </c>
      <c r="X76" s="189">
        <f>AVERAGE(RBmatchups[[#This Row],[RecYards1]:[RecYards3]])</f>
        <v>2.0333333333333332</v>
      </c>
      <c r="Y76" s="189">
        <f>AVERAGE(RBmatchups[[#This Row],[RecTD1]:[RecTd3]])</f>
        <v>0</v>
      </c>
      <c r="Z76" s="190">
        <f>SUM(RBmatchups[[#This Row],[Carries2]]+RBmatchups[[#This Row],[Rec4]])</f>
        <v>3.4220000000000002</v>
      </c>
      <c r="AA76" s="189">
        <f>SUM(RBmatchups[[#This Row],[Yards]]+RBmatchups[[#This Row],[RecYards]])</f>
        <v>18.689333333333337</v>
      </c>
      <c r="AB76" s="189">
        <f>SUM(RBmatchups[[#This Row],[TD]]+RBmatchups[[#This Row],[RecTD5]])</f>
        <v>0.10700000000000001</v>
      </c>
      <c r="AC76" s="191">
        <f>_xlfn.RANK.EQ(RBmatchups[Projection],RBmatchups[Projection],0)</f>
        <v>66</v>
      </c>
      <c r="AD76" s="189">
        <f>SUM(RBmatchups[[#This Row],[Total Yards]]*0.1)+(RBmatchups[[#This Row],[Rec4]]*1)+(RBmatchups[[#This Row],[Total TD]]*6)+(RBmatchups[[#This Row],[100+]])</f>
        <v>2.5109333333333339</v>
      </c>
      <c r="AE76" s="191" t="e">
        <f>_xlfn.RANK.EQ(RBmatchups[[#This Row],[$/FP]],RBmatchups[$/FP],1)</f>
        <v>#VALUE!</v>
      </c>
      <c r="AF76" s="453">
        <f>SUM(RBmatchups[[#This Row],[Salary]]/RBmatchups[[#This Row],[Projection]])</f>
        <v>1194.7748513169072</v>
      </c>
      <c r="AG76" s="448" t="e">
        <f>_xlfn.RANK.EQ(RBmatchups[[#This Row],[Average]],RBmatchups[Average],1)</f>
        <v>#VALUE!</v>
      </c>
      <c r="AH76" s="190" t="e">
        <f>AVERAGE(RBmatchups[[#This Row],[Proj Rank]],RBmatchups[[#This Row],[Value Rank]])</f>
        <v>#VALUE!</v>
      </c>
      <c r="AI76" s="214">
        <f>RBmatchups[[#This Row],[Salary]]/50000</f>
        <v>0.06</v>
      </c>
      <c r="AJ76" s="214"/>
      <c r="AK76" s="14">
        <f>IFERROR(INDEX(HBstats1[Rush Att],MATCH(RBmatchups[[#This Row],[Name]],HBstats1[Player],0)),"0")</f>
        <v>2.8660000000000001</v>
      </c>
      <c r="AL76" s="14">
        <f>IFERROR(INDEX(HBstats2[Carries],MATCH(RBmatchups[[#This Row],[Name]],HBstats2[Player],0)),"0")</f>
        <v>2.2999999999999998</v>
      </c>
      <c r="AM76" s="14">
        <f>IFERROR(INDEX(HBstats3[Carries],MATCH(RBmatchups[[#This Row],[Name]],HBstats3[Player],0)),"0")</f>
        <v>5.0999999999999996</v>
      </c>
      <c r="AN76" s="14">
        <f>IFERROR(INDEX(HBallowed[Carries],MATCH(RBmatchups[[#This Row],[Opp]],HBallowed[Team],0)),"0")</f>
        <v>18.5625</v>
      </c>
      <c r="AO76" s="14">
        <f>IFERROR(INDEX(HBstats1[Rush Yds],MATCH(RBmatchups[[#This Row],[Name]],HBstats1[Player],0)),"0")</f>
        <v>11.968</v>
      </c>
      <c r="AP76" s="14">
        <f>IFERROR(INDEX(HBstats2[RushYards],MATCH(RBmatchups[[#This Row],[Name]],HBstats2[Player],0)),"0")</f>
        <v>10.5</v>
      </c>
      <c r="AQ76" s="14">
        <f>IFERROR(INDEX(HBstats3[RushYards],MATCH(RBmatchups[[#This Row],[Name]],HBstats3[Player],0)),"0")</f>
        <v>27.5</v>
      </c>
      <c r="AR76" s="32">
        <f>IFERROR(INDEX(HBallowed[Yards],MATCH(RBmatchups[[#This Row],[Opp]],HBallowed[Team],0)),"0")</f>
        <v>77.3125</v>
      </c>
      <c r="AS76" s="14">
        <f>IFERROR(INDEX(HBstats1[Rush TD],MATCH(RBmatchups[[#This Row],[Name]],HBstats1[Player],0)),"0")</f>
        <v>0.114</v>
      </c>
      <c r="AT76" s="14" t="str">
        <f>IFERROR(INDEX(HBstats2[RushTD],MATCH(RBmatchups[[#This Row],[Name]],HBstats2[Player],0)),"0")</f>
        <v>0.1</v>
      </c>
      <c r="AU76" s="14">
        <f>IFERROR(INDEX(HBstats3[RushTD],MATCH(RBmatchups[[#This Row],[Name]],HBstats3[Player],0)),"0")</f>
        <v>0.1</v>
      </c>
      <c r="AV76" s="32">
        <f>IFERROR(INDEX(HBallowed[TD],MATCH(RBmatchups[[#This Row],[Opp]],HBallowed[Team],0)),"0")</f>
        <v>0.375</v>
      </c>
      <c r="AW76" s="32">
        <f>IFERROR(INDEX(HBstats3[Targets],MATCH(RBmatchups[[#This Row],[Name]],HBstats3[Player],0)),"0")</f>
        <v>0</v>
      </c>
      <c r="AX76" s="32" t="str">
        <f>IFERROR(INDEX(HBstats2[Targets],MATCH(RBmatchups[[#This Row],[Name]],HBstats2[Player],0)),"0")</f>
        <v>0</v>
      </c>
      <c r="AY76" s="32">
        <f>IFERROR(INDEX(HBstats3[Targets],MATCH(RBmatchups[[#This Row],[Name]],HBstats3[Player],0)),"0")</f>
        <v>0</v>
      </c>
      <c r="AZ76" s="14">
        <f>IFERROR(INDEX(HBstats1[Rec],MATCH(RBmatchups[[#This Row],[Name]],HBstats1[Player],0)),"0")</f>
        <v>0</v>
      </c>
      <c r="BA76" s="14" t="str">
        <f>IFERROR(INDEX(HBstats2[Rec],MATCH(RBmatchups[[#This Row],[Name]],HBstats2[Player],0)),"0")</f>
        <v>0.9</v>
      </c>
      <c r="BB76" s="14">
        <f>IFERROR(INDEX(HBstats3[Rec],MATCH(RBmatchups[[#This Row],[Name]],HBstats3[Player],0)),"0")</f>
        <v>0</v>
      </c>
      <c r="BC76" s="32">
        <f>IFERROR(INDEX(HBallowed[Rec],MATCH(RBmatchups[[#This Row],[Opp]],HBallowed[Team],0)),"0")</f>
        <v>6.375</v>
      </c>
      <c r="BD76" s="14">
        <f>IFERROR(INDEX(HBstats1[Rec Yds],MATCH(RBmatchups[[#This Row],[Name]],HBstats1[Player],0)),"0")</f>
        <v>0</v>
      </c>
      <c r="BE76" s="14">
        <f>IFERROR(INDEX(HBstats2[RecYards],MATCH(RBmatchups[[#This Row],[Name]],HBstats2[Player],0)),"0")</f>
        <v>6.1</v>
      </c>
      <c r="BF76" s="14">
        <f>IFERROR(INDEX(HBstats3[RecYards],MATCH(RBmatchups[[#This Row],[Name]],HBstats3[Player],0)),"0")</f>
        <v>0</v>
      </c>
      <c r="BG76" s="32">
        <f>IFERROR(INDEX(HBallowed[RecYards],MATCH(RBmatchups[[#This Row],[Opp]],HBallowed[Team],0)),"0")</f>
        <v>49.9375</v>
      </c>
      <c r="BH76" s="14">
        <f>IFERROR(INDEX(HBstats1[Rec TD],MATCH(RBmatchups[[#This Row],[Name]],HBstats1[Player],0)),"0")</f>
        <v>0</v>
      </c>
      <c r="BI76" s="14" t="str">
        <f>IFERROR(INDEX(HBstats2[RecTD],MATCH(RBmatchups[[#This Row],[Name]],HBstats2[Player],0)),"0")</f>
        <v>0</v>
      </c>
      <c r="BJ76" s="14">
        <f>IFERROR(INDEX(HBstats3[RecTD],MATCH(RBmatchups[[#This Row],[Name]],HBstats3[Player],0)),"0")</f>
        <v>0</v>
      </c>
      <c r="BK76" s="32">
        <f>IFERROR(INDEX(HBallowed[RecTD],MATCH(RBmatchups[[#This Row],[Opp]],HBallowed[Team],0)),"0")</f>
        <v>0.3125</v>
      </c>
      <c r="BL76" s="268">
        <f>IF(RBmatchups[[#This Row],[Yards]]&gt;=100,3,0)</f>
        <v>0</v>
      </c>
    </row>
    <row r="77" spans="1:64" x14ac:dyDescent="0.3">
      <c r="A77" s="37">
        <f>HBstats1!AL60</f>
        <v>3.6</v>
      </c>
      <c r="B77" s="153" t="str">
        <f>HBstats1!D60</f>
        <v>Damien Williams</v>
      </c>
      <c r="C77" s="154">
        <f>IFERROR(INDEX(Salaries[DraftKings (Price)],MATCH(RBmatchups[[#This Row],[Name]],Salaries[Player],0)),"")</f>
        <v>3000</v>
      </c>
      <c r="D77" s="154">
        <f>IFERROR(INDEX(DK_Salary_Changes[WeekChange],MATCH(RBmatchups[[#This Row],[Name]],DK_Salary_Changes[Player],0)),"")</f>
        <v>0</v>
      </c>
      <c r="E77" s="154" t="str">
        <f>IFERROR(INDEX(Salaries[Team],MATCH(RBmatchups[[#This Row],[Name]],Salaries[Player],0)),"")</f>
        <v>MIA</v>
      </c>
      <c r="F77" s="189" t="str">
        <f>IFERROR(INDEX(Salaries[Opp],MATCH(RBmatchups[[#This Row],[Team]],Salaries[Team],0)),"")</f>
        <v>@CIN</v>
      </c>
      <c r="G77" s="410">
        <f>IFERROR(INDEX(RBYTD[Rush ATT],MATCH(RBmatchups[Name],RBYTD[Player],0)),"0")</f>
        <v>3</v>
      </c>
      <c r="H77" s="191">
        <f>IFERROR(INDEX(RBYTD[Rush Yds],MATCH(RBmatchups[Name],RBYTD[Player],0)),"0")</f>
        <v>24</v>
      </c>
      <c r="I77" s="191">
        <f>IFERROR(INDEX(RBYTD[Rush TD],MATCH(RBmatchups[Name],RBYTD[Player],0)),"0")</f>
        <v>0</v>
      </c>
      <c r="J77" s="191">
        <f>IFERROR(INDEX(RBYTD[Rec],MATCH(RBmatchups[Name],RBYTD[Player],0)),"0")</f>
        <v>4</v>
      </c>
      <c r="K77" s="191">
        <f>IFERROR(INDEX(targettracker54[TTL],MATCH(RBmatchups[Name],targettracker54[Name],0)),"0")</f>
        <v>5</v>
      </c>
      <c r="L77" s="191">
        <f>IFERROR(INDEX(RBYTD[Rec Yds],MATCH(RBmatchups[Name],RBYTD[Player],0)),"0")</f>
        <v>39</v>
      </c>
      <c r="M77" s="411">
        <f>IFERROR(INDEX(RBYTD[Rec TD],MATCH(RBmatchups[Name],RBYTD[Player],0)),"0")</f>
        <v>1</v>
      </c>
      <c r="N77" s="441">
        <f>IFERROR(INDEX(Salaries[O/U],MATCH(RBmatchups[[#This Row],[Team]],Salaries[Team],0)),"")</f>
        <v>44.5</v>
      </c>
      <c r="O77" s="189">
        <f>IFERROR(INDEX(Salaries[Team O/U],MATCH(RBmatchups[[#This Row],[Team]],Salaries[Team],0)),"")</f>
        <v>18.75</v>
      </c>
      <c r="P77" s="442">
        <f>IFERROR(INDEX(Salaries[Spread],MATCH(RBmatchups[[#This Row],[Team]],Salaries[Team],0)),"")</f>
        <v>7</v>
      </c>
      <c r="Q77" s="424">
        <f>IFERROR(INDEX(HBallowed[DVP],MATCH(RBmatchups[[#This Row],[Opp]],HBallowed[Team],0)),IFERROR(INDEX(HBallowed[DVP],MATCH(RBmatchups[[#This Row],[Opp]],HBallowed[Opp],0)),""))</f>
        <v>12</v>
      </c>
      <c r="R77" s="441">
        <f>AVERAGE(RBmatchups[[#This Row],[Car1]:[Car3]])</f>
        <v>2.157</v>
      </c>
      <c r="S77" s="190">
        <f>AVERAGE(RBmatchups[[#This Row],[Yards1]:[Yards3]])</f>
        <v>9.4885000000000002</v>
      </c>
      <c r="T77" s="189">
        <f>SUM(RBmatchups[[#This Row],[Yards]]/RBmatchups[[#This Row],[Carries2]])</f>
        <v>4.3989337042188223</v>
      </c>
      <c r="U77" s="189">
        <f>AVERAGE(RBmatchups[[#This Row],[TD1]:[TD3]])</f>
        <v>2.1000000000000001E-2</v>
      </c>
      <c r="V77" s="189">
        <f>AVERAGE(RBmatchups[[#This Row],[Tar1]:[Tar3]])</f>
        <v>0</v>
      </c>
      <c r="W77" s="189">
        <f>AVERAGE(RBmatchups[[#This Row],[Rec1]:[Rec3]])</f>
        <v>0.64549999999999996</v>
      </c>
      <c r="X77" s="189">
        <f>AVERAGE(RBmatchups[[#This Row],[RecYards1]:[RecYards3]])</f>
        <v>4.6924999999999999</v>
      </c>
      <c r="Y77" s="189">
        <f>AVERAGE(RBmatchups[[#This Row],[RecTD1]:[RecTd3]])</f>
        <v>1.7999999999999999E-2</v>
      </c>
      <c r="Z77" s="190">
        <f>SUM(RBmatchups[[#This Row],[Carries2]]+RBmatchups[[#This Row],[Rec4]])</f>
        <v>2.8025000000000002</v>
      </c>
      <c r="AA77" s="189">
        <f>SUM(RBmatchups[[#This Row],[Yards]]+RBmatchups[[#This Row],[RecYards]])</f>
        <v>14.181000000000001</v>
      </c>
      <c r="AB77" s="189">
        <f>SUM(RBmatchups[[#This Row],[TD]]+RBmatchups[[#This Row],[RecTD5]])</f>
        <v>3.9E-2</v>
      </c>
      <c r="AC77" s="191">
        <f>_xlfn.RANK.EQ(RBmatchups[Projection],RBmatchups[Projection],0)</f>
        <v>67</v>
      </c>
      <c r="AD77" s="189">
        <f>SUM(RBmatchups[[#This Row],[Total Yards]]*0.1)+(RBmatchups[[#This Row],[Rec4]]*1)+(RBmatchups[[#This Row],[Total TD]]*6)+(RBmatchups[[#This Row],[100+]])</f>
        <v>2.2976000000000001</v>
      </c>
      <c r="AE77" s="191" t="e">
        <f>_xlfn.RANK.EQ(RBmatchups[[#This Row],[$/FP]],RBmatchups[$/FP],1)</f>
        <v>#VALUE!</v>
      </c>
      <c r="AF77" s="453">
        <f>SUM(RBmatchups[[#This Row],[Salary]]/RBmatchups[[#This Row],[Projection]])</f>
        <v>1305.7103064066853</v>
      </c>
      <c r="AG77" s="448" t="e">
        <f>_xlfn.RANK.EQ(RBmatchups[[#This Row],[Average]],RBmatchups[Average],1)</f>
        <v>#VALUE!</v>
      </c>
      <c r="AH77" s="190" t="e">
        <f>AVERAGE(RBmatchups[[#This Row],[Proj Rank]],RBmatchups[[#This Row],[Value Rank]])</f>
        <v>#VALUE!</v>
      </c>
      <c r="AI77" s="214">
        <f>RBmatchups[[#This Row],[Salary]]/50000</f>
        <v>0.06</v>
      </c>
      <c r="AJ77" s="214"/>
      <c r="AK77" s="14">
        <f>IFERROR(INDEX(HBstats1[Rush Att],MATCH(RBmatchups[[#This Row],[Name]],HBstats1[Player],0)),"0")</f>
        <v>3.9140000000000001</v>
      </c>
      <c r="AL77" s="14" t="str">
        <f>IFERROR(INDEX(HBstats2[Carries],MATCH(RBmatchups[[#This Row],[Name]],HBstats2[Player],0)),"0")</f>
        <v>0</v>
      </c>
      <c r="AM77" s="14">
        <f>IFERROR(INDEX(HBstats3[Carries],MATCH(RBmatchups[[#This Row],[Name]],HBstats3[Player],0)),"0")</f>
        <v>0.4</v>
      </c>
      <c r="AN77" s="14" t="str">
        <f>IFERROR(INDEX(HBallowed[Carries],MATCH(RBmatchups[[#This Row],[Opp]],HBallowed[Team],0)),"0")</f>
        <v>0</v>
      </c>
      <c r="AO77" s="14">
        <f>IFERROR(INDEX(HBstats1[Rush Yds],MATCH(RBmatchups[[#This Row],[Name]],HBstats1[Player],0)),"0")</f>
        <v>16.977</v>
      </c>
      <c r="AP77" s="14" t="str">
        <f>IFERROR(INDEX(HBstats2[RushYards],MATCH(RBmatchups[[#This Row],[Name]],HBstats2[Player],0)),"0")</f>
        <v>0</v>
      </c>
      <c r="AQ77" s="14">
        <f>IFERROR(INDEX(HBstats3[RushYards],MATCH(RBmatchups[[#This Row],[Name]],HBstats3[Player],0)),"0")</f>
        <v>2</v>
      </c>
      <c r="AR77" s="32" t="str">
        <f>IFERROR(INDEX(HBallowed[Yards],MATCH(RBmatchups[[#This Row],[Opp]],HBallowed[Team],0)),"0")</f>
        <v>0</v>
      </c>
      <c r="AS77" s="14">
        <f>IFERROR(INDEX(HBstats1[Rush TD],MATCH(RBmatchups[[#This Row],[Name]],HBstats1[Player],0)),"0")</f>
        <v>4.2000000000000003E-2</v>
      </c>
      <c r="AT77" s="14" t="str">
        <f>IFERROR(INDEX(HBstats2[RushTD],MATCH(RBmatchups[[#This Row],[Name]],HBstats2[Player],0)),"0")</f>
        <v>0</v>
      </c>
      <c r="AU77" s="14">
        <f>IFERROR(INDEX(HBstats3[RushTD],MATCH(RBmatchups[[#This Row],[Name]],HBstats3[Player],0)),"0")</f>
        <v>0</v>
      </c>
      <c r="AV77" s="32" t="str">
        <f>IFERROR(INDEX(HBallowed[TD],MATCH(RBmatchups[[#This Row],[Opp]],HBallowed[Team],0)),"0")</f>
        <v>0</v>
      </c>
      <c r="AW77" s="32">
        <f>IFERROR(INDEX(HBstats3[Targets],MATCH(RBmatchups[[#This Row],[Name]],HBstats3[Player],0)),"0")</f>
        <v>0</v>
      </c>
      <c r="AX77" s="32" t="str">
        <f>IFERROR(INDEX(HBstats2[Targets],MATCH(RBmatchups[[#This Row],[Name]],HBstats2[Player],0)),"0")</f>
        <v>0</v>
      </c>
      <c r="AY77" s="32">
        <f>IFERROR(INDEX(HBstats3[Targets],MATCH(RBmatchups[[#This Row],[Name]],HBstats3[Player],0)),"0")</f>
        <v>0</v>
      </c>
      <c r="AZ77" s="14">
        <f>IFERROR(INDEX(HBstats1[Rec],MATCH(RBmatchups[[#This Row],[Name]],HBstats1[Player],0)),"0")</f>
        <v>1.2909999999999999</v>
      </c>
      <c r="BA77" s="14" t="str">
        <f>IFERROR(INDEX(HBstats2[Rec],MATCH(RBmatchups[[#This Row],[Name]],HBstats2[Player],0)),"0")</f>
        <v>0</v>
      </c>
      <c r="BB77" s="14">
        <f>IFERROR(INDEX(HBstats3[Rec],MATCH(RBmatchups[[#This Row],[Name]],HBstats3[Player],0)),"0")</f>
        <v>0</v>
      </c>
      <c r="BC77" s="32" t="str">
        <f>IFERROR(INDEX(HBallowed[Rec],MATCH(RBmatchups[[#This Row],[Opp]],HBallowed[Team],0)),"0")</f>
        <v>0</v>
      </c>
      <c r="BD77" s="14">
        <f>IFERROR(INDEX(HBstats1[Rec Yds],MATCH(RBmatchups[[#This Row],[Name]],HBstats1[Player],0)),"0")</f>
        <v>9.3849999999999998</v>
      </c>
      <c r="BE77" s="14" t="str">
        <f>IFERROR(INDEX(HBstats2[RecYards],MATCH(RBmatchups[[#This Row],[Name]],HBstats2[Player],0)),"0")</f>
        <v>0</v>
      </c>
      <c r="BF77" s="14">
        <f>IFERROR(INDEX(HBstats3[RecYards],MATCH(RBmatchups[[#This Row],[Name]],HBstats3[Player],0)),"0")</f>
        <v>0</v>
      </c>
      <c r="BG77" s="32" t="str">
        <f>IFERROR(INDEX(HBallowed[RecYards],MATCH(RBmatchups[[#This Row],[Opp]],HBallowed[Team],0)),"0")</f>
        <v>0</v>
      </c>
      <c r="BH77" s="14">
        <f>IFERROR(INDEX(HBstats1[Rec TD],MATCH(RBmatchups[[#This Row],[Name]],HBstats1[Player],0)),"0")</f>
        <v>3.5999999999999997E-2</v>
      </c>
      <c r="BI77" s="14" t="str">
        <f>IFERROR(INDEX(HBstats2[RecTD],MATCH(RBmatchups[[#This Row],[Name]],HBstats2[Player],0)),"0")</f>
        <v>0</v>
      </c>
      <c r="BJ77" s="14">
        <f>IFERROR(INDEX(HBstats3[RecTD],MATCH(RBmatchups[[#This Row],[Name]],HBstats3[Player],0)),"0")</f>
        <v>0</v>
      </c>
      <c r="BK77" s="32" t="str">
        <f>IFERROR(INDEX(HBallowed[RecTD],MATCH(RBmatchups[[#This Row],[Opp]],HBallowed[Team],0)),"0")</f>
        <v>0</v>
      </c>
      <c r="BL77" s="268">
        <f>IF(RBmatchups[[#This Row],[Yards]]&gt;=100,3,0)</f>
        <v>0</v>
      </c>
    </row>
    <row r="78" spans="1:64" x14ac:dyDescent="0.3">
      <c r="A78" s="37">
        <f>HBstats1!AL69</f>
        <v>1.2</v>
      </c>
      <c r="B78" s="153" t="str">
        <f>HBstats1!D69</f>
        <v>Alex Collins</v>
      </c>
      <c r="C78" s="154">
        <f>IFERROR(INDEX(Salaries[DraftKings (Price)],MATCH(RBmatchups[[#This Row],[Name]],Salaries[Player],0)),"")</f>
        <v>3000</v>
      </c>
      <c r="D78" s="154">
        <f>IFERROR(INDEX(DK_Salary_Changes[WeekChange],MATCH(RBmatchups[[#This Row],[Name]],DK_Salary_Changes[Player],0)),"")</f>
        <v>0</v>
      </c>
      <c r="E78" s="154" t="str">
        <f>IFERROR(INDEX(Salaries[Team],MATCH(RBmatchups[[#This Row],[Name]],Salaries[Player],0)),"")</f>
        <v>SEA</v>
      </c>
      <c r="F78" s="189" t="str">
        <f>IFERROR(INDEX(Salaries[Opp],MATCH(RBmatchups[[#This Row],[Team]],Salaries[Team],0)),"")</f>
        <v>@NYJ</v>
      </c>
      <c r="G78" s="410" t="str">
        <f>IFERROR(INDEX(RBYTD[Rush ATT],MATCH(RBmatchups[Name],RBYTD[Player],0)),"0")</f>
        <v>0</v>
      </c>
      <c r="H78" s="191" t="str">
        <f>IFERROR(INDEX(RBYTD[Rush Yds],MATCH(RBmatchups[Name],RBYTD[Player],0)),"0")</f>
        <v>0</v>
      </c>
      <c r="I78" s="191" t="str">
        <f>IFERROR(INDEX(RBYTD[Rush TD],MATCH(RBmatchups[Name],RBYTD[Player],0)),"0")</f>
        <v>0</v>
      </c>
      <c r="J78" s="191" t="str">
        <f>IFERROR(INDEX(RBYTD[Rec],MATCH(RBmatchups[Name],RBYTD[Player],0)),"0")</f>
        <v>0</v>
      </c>
      <c r="K78" s="191">
        <f>IFERROR(INDEX(targettracker54[TTL],MATCH(RBmatchups[Name],targettracker54[Name],0)),"0")</f>
        <v>2</v>
      </c>
      <c r="L78" s="191" t="str">
        <f>IFERROR(INDEX(RBYTD[Rec Yds],MATCH(RBmatchups[Name],RBYTD[Player],0)),"0")</f>
        <v>0</v>
      </c>
      <c r="M78" s="411" t="str">
        <f>IFERROR(INDEX(RBYTD[Rec TD],MATCH(RBmatchups[Name],RBYTD[Player],0)),"0")</f>
        <v>0</v>
      </c>
      <c r="N78" s="441">
        <f>IFERROR(INDEX(Salaries[O/U],MATCH(RBmatchups[[#This Row],[Team]],Salaries[Team],0)),"")</f>
        <v>40.5</v>
      </c>
      <c r="O78" s="189">
        <f>IFERROR(INDEX(Salaries[Team O/U],MATCH(RBmatchups[[#This Row],[Team]],Salaries[Team],0)),"")</f>
        <v>21</v>
      </c>
      <c r="P78" s="442">
        <f>IFERROR(INDEX(Salaries[Spread],MATCH(RBmatchups[[#This Row],[Team]],Salaries[Team],0)),"")</f>
        <v>-1.5</v>
      </c>
      <c r="Q78" s="424">
        <f>IFERROR(INDEX(HBallowed[DVP],MATCH(RBmatchups[[#This Row],[Opp]],HBallowed[Team],0)),IFERROR(INDEX(HBallowed[DVP],MATCH(RBmatchups[[#This Row],[Opp]],HBallowed[Opp],0)),""))</f>
        <v>2</v>
      </c>
      <c r="R78" s="441">
        <f>AVERAGE(RBmatchups[[#This Row],[Car1]:[Car3]])</f>
        <v>3.7530000000000001</v>
      </c>
      <c r="S78" s="190">
        <f>AVERAGE(RBmatchups[[#This Row],[Yards1]:[Yards3]])</f>
        <v>12.801499999999999</v>
      </c>
      <c r="T78" s="189">
        <f>SUM(RBmatchups[[#This Row],[Yards]]/RBmatchups[[#This Row],[Carries2]])</f>
        <v>3.4110045297095652</v>
      </c>
      <c r="U78" s="189">
        <f>AVERAGE(RBmatchups[[#This Row],[TD1]:[TD3]])</f>
        <v>3.2500000000000001E-2</v>
      </c>
      <c r="V78" s="189">
        <f>AVERAGE(RBmatchups[[#This Row],[Tar1]:[Tar3]])</f>
        <v>1.2</v>
      </c>
      <c r="W78" s="189">
        <f>AVERAGE(RBmatchups[[#This Row],[Rec1]:[Rec3]])</f>
        <v>0.45</v>
      </c>
      <c r="X78" s="189">
        <f>AVERAGE(RBmatchups[[#This Row],[RecYards1]:[RecYards3]])</f>
        <v>3</v>
      </c>
      <c r="Y78" s="189">
        <f>AVERAGE(RBmatchups[[#This Row],[RecTD1]:[RecTd3]])</f>
        <v>0</v>
      </c>
      <c r="Z78" s="190">
        <f>SUM(RBmatchups[[#This Row],[Carries2]]+RBmatchups[[#This Row],[Rec4]])</f>
        <v>4.2030000000000003</v>
      </c>
      <c r="AA78" s="189">
        <f>SUM(RBmatchups[[#This Row],[Yards]]+RBmatchups[[#This Row],[RecYards]])</f>
        <v>15.801499999999999</v>
      </c>
      <c r="AB78" s="189">
        <f>SUM(RBmatchups[[#This Row],[TD]]+RBmatchups[[#This Row],[RecTD5]])</f>
        <v>3.2500000000000001E-2</v>
      </c>
      <c r="AC78" s="191">
        <f>_xlfn.RANK.EQ(RBmatchups[Projection],RBmatchups[Projection],0)</f>
        <v>68</v>
      </c>
      <c r="AD78" s="189">
        <f>SUM(RBmatchups[[#This Row],[Total Yards]]*0.1)+(RBmatchups[[#This Row],[Rec4]]*1)+(RBmatchups[[#This Row],[Total TD]]*6)+(RBmatchups[[#This Row],[100+]])</f>
        <v>2.2251499999999997</v>
      </c>
      <c r="AE78" s="191" t="e">
        <f>_xlfn.RANK.EQ(RBmatchups[[#This Row],[$/FP]],RBmatchups[$/FP],1)</f>
        <v>#VALUE!</v>
      </c>
      <c r="AF78" s="453">
        <f>SUM(RBmatchups[[#This Row],[Salary]]/RBmatchups[[#This Row],[Projection]])</f>
        <v>1348.2237152551515</v>
      </c>
      <c r="AG78" s="448" t="e">
        <f>_xlfn.RANK.EQ(RBmatchups[[#This Row],[Average]],RBmatchups[Average],1)</f>
        <v>#VALUE!</v>
      </c>
      <c r="AH78" s="190" t="e">
        <f>AVERAGE(RBmatchups[[#This Row],[Proj Rank]],RBmatchups[[#This Row],[Value Rank]])</f>
        <v>#VALUE!</v>
      </c>
      <c r="AI78" s="214">
        <f>RBmatchups[[#This Row],[Salary]]/50000</f>
        <v>0.06</v>
      </c>
      <c r="AJ78" s="214"/>
      <c r="AK78" s="14">
        <f>IFERROR(INDEX(HBstats1[Rush Att],MATCH(RBmatchups[[#This Row],[Name]],HBstats1[Player],0)),"0")</f>
        <v>2.9060000000000001</v>
      </c>
      <c r="AL78" s="14" t="str">
        <f>IFERROR(INDEX(HBstats2[Carries],MATCH(RBmatchups[[#This Row],[Name]],HBstats2[Player],0)),"0")</f>
        <v>0</v>
      </c>
      <c r="AM78" s="14">
        <f>IFERROR(INDEX(HBstats3[Carries],MATCH(RBmatchups[[#This Row],[Name]],HBstats3[Player],0)),"0")</f>
        <v>4.5999999999999996</v>
      </c>
      <c r="AN78" s="14" t="str">
        <f>IFERROR(INDEX(HBallowed[Carries],MATCH(RBmatchups[[#This Row],[Opp]],HBallowed[Team],0)),"0")</f>
        <v>0</v>
      </c>
      <c r="AO78" s="14">
        <f>IFERROR(INDEX(HBstats1[Rush Yds],MATCH(RBmatchups[[#This Row],[Name]],HBstats1[Player],0)),"0")</f>
        <v>8.7029999999999994</v>
      </c>
      <c r="AP78" s="14" t="str">
        <f>IFERROR(INDEX(HBstats2[RushYards],MATCH(RBmatchups[[#This Row],[Name]],HBstats2[Player],0)),"0")</f>
        <v>0</v>
      </c>
      <c r="AQ78" s="14">
        <f>IFERROR(INDEX(HBstats3[RushYards],MATCH(RBmatchups[[#This Row],[Name]],HBstats3[Player],0)),"0")</f>
        <v>16.899999999999999</v>
      </c>
      <c r="AR78" s="32" t="str">
        <f>IFERROR(INDEX(HBallowed[Yards],MATCH(RBmatchups[[#This Row],[Opp]],HBallowed[Team],0)),"0")</f>
        <v>0</v>
      </c>
      <c r="AS78" s="14">
        <f>IFERROR(INDEX(HBstats1[Rush TD],MATCH(RBmatchups[[#This Row],[Name]],HBstats1[Player],0)),"0")</f>
        <v>6.5000000000000002E-2</v>
      </c>
      <c r="AT78" s="14" t="str">
        <f>IFERROR(INDEX(HBstats2[RushTD],MATCH(RBmatchups[[#This Row],[Name]],HBstats2[Player],0)),"0")</f>
        <v>0</v>
      </c>
      <c r="AU78" s="14">
        <f>IFERROR(INDEX(HBstats3[RushTD],MATCH(RBmatchups[[#This Row],[Name]],HBstats3[Player],0)),"0")</f>
        <v>0</v>
      </c>
      <c r="AV78" s="32" t="str">
        <f>IFERROR(INDEX(HBallowed[TD],MATCH(RBmatchups[[#This Row],[Opp]],HBallowed[Team],0)),"0")</f>
        <v>0</v>
      </c>
      <c r="AW78" s="32">
        <f>IFERROR(INDEX(HBstats3[Targets],MATCH(RBmatchups[[#This Row],[Name]],HBstats3[Player],0)),"0")</f>
        <v>1.2</v>
      </c>
      <c r="AX78" s="32" t="str">
        <f>IFERROR(INDEX(HBstats2[Targets],MATCH(RBmatchups[[#This Row],[Name]],HBstats2[Player],0)),"0")</f>
        <v>0</v>
      </c>
      <c r="AY78" s="32">
        <f>IFERROR(INDEX(HBstats3[Targets],MATCH(RBmatchups[[#This Row],[Name]],HBstats3[Player],0)),"0")</f>
        <v>1.2</v>
      </c>
      <c r="AZ78" s="14">
        <f>IFERROR(INDEX(HBstats1[Rec],MATCH(RBmatchups[[#This Row],[Name]],HBstats1[Player],0)),"0")</f>
        <v>0</v>
      </c>
      <c r="BA78" s="14" t="str">
        <f>IFERROR(INDEX(HBstats2[Rec],MATCH(RBmatchups[[#This Row],[Name]],HBstats2[Player],0)),"0")</f>
        <v>0</v>
      </c>
      <c r="BB78" s="14">
        <f>IFERROR(INDEX(HBstats3[Rec],MATCH(RBmatchups[[#This Row],[Name]],HBstats3[Player],0)),"0")</f>
        <v>0.9</v>
      </c>
      <c r="BC78" s="32" t="str">
        <f>IFERROR(INDEX(HBallowed[Rec],MATCH(RBmatchups[[#This Row],[Opp]],HBallowed[Team],0)),"0")</f>
        <v>0</v>
      </c>
      <c r="BD78" s="14">
        <f>IFERROR(INDEX(HBstats1[Rec Yds],MATCH(RBmatchups[[#This Row],[Name]],HBstats1[Player],0)),"0")</f>
        <v>0</v>
      </c>
      <c r="BE78" s="14" t="str">
        <f>IFERROR(INDEX(HBstats2[RecYards],MATCH(RBmatchups[[#This Row],[Name]],HBstats2[Player],0)),"0")</f>
        <v>0</v>
      </c>
      <c r="BF78" s="14">
        <f>IFERROR(INDEX(HBstats3[RecYards],MATCH(RBmatchups[[#This Row],[Name]],HBstats3[Player],0)),"0")</f>
        <v>6</v>
      </c>
      <c r="BG78" s="32" t="str">
        <f>IFERROR(INDEX(HBallowed[RecYards],MATCH(RBmatchups[[#This Row],[Opp]],HBallowed[Team],0)),"0")</f>
        <v>0</v>
      </c>
      <c r="BH78" s="14">
        <f>IFERROR(INDEX(HBstats1[Rec TD],MATCH(RBmatchups[[#This Row],[Name]],HBstats1[Player],0)),"0")</f>
        <v>0</v>
      </c>
      <c r="BI78" s="14" t="str">
        <f>IFERROR(INDEX(HBstats2[RecTD],MATCH(RBmatchups[[#This Row],[Name]],HBstats2[Player],0)),"0")</f>
        <v>0</v>
      </c>
      <c r="BJ78" s="14">
        <f>IFERROR(INDEX(HBstats3[RecTD],MATCH(RBmatchups[[#This Row],[Name]],HBstats3[Player],0)),"0")</f>
        <v>0</v>
      </c>
      <c r="BK78" s="32" t="str">
        <f>IFERROR(INDEX(HBallowed[RecTD],MATCH(RBmatchups[[#This Row],[Opp]],HBallowed[Team],0)),"0")</f>
        <v>0</v>
      </c>
      <c r="BL78" s="268">
        <f>IF(RBmatchups[[#This Row],[Yards]]&gt;=100,3,0)</f>
        <v>0</v>
      </c>
    </row>
    <row r="79" spans="1:64" x14ac:dyDescent="0.3">
      <c r="A79" s="37">
        <f>HBstats1!AL80</f>
        <v>0.5</v>
      </c>
      <c r="B79" s="153" t="str">
        <f>HBstats1!D80</f>
        <v>Zach Zenner</v>
      </c>
      <c r="C79" s="154">
        <f>IFERROR(INDEX(Salaries[DraftKings (Price)],MATCH(RBmatchups[[#This Row],[Name]],Salaries[Player],0)),"")</f>
        <v>3000</v>
      </c>
      <c r="D79" s="154">
        <f>IFERROR(INDEX(DK_Salary_Changes[WeekChange],MATCH(RBmatchups[[#This Row],[Name]],DK_Salary_Changes[Player],0)),"")</f>
        <v>0</v>
      </c>
      <c r="E79" s="154" t="str">
        <f>IFERROR(INDEX(Salaries[Team],MATCH(RBmatchups[[#This Row],[Name]],Salaries[Player],0)),"")</f>
        <v>DET</v>
      </c>
      <c r="F79" s="189" t="str">
        <f>IFERROR(INDEX(Salaries[Opp],MATCH(RBmatchups[[#This Row],[Team]],Salaries[Team],0)),"")</f>
        <v>@CHI</v>
      </c>
      <c r="G79" s="410" t="str">
        <f>IFERROR(INDEX(RBYTD[Rush ATT],MATCH(RBmatchups[Name],RBYTD[Player],0)),"0")</f>
        <v>0</v>
      </c>
      <c r="H79" s="191" t="str">
        <f>IFERROR(INDEX(RBYTD[Rush Yds],MATCH(RBmatchups[Name],RBYTD[Player],0)),"0")</f>
        <v>0</v>
      </c>
      <c r="I79" s="191" t="str">
        <f>IFERROR(INDEX(RBYTD[Rush TD],MATCH(RBmatchups[Name],RBYTD[Player],0)),"0")</f>
        <v>0</v>
      </c>
      <c r="J79" s="191" t="str">
        <f>IFERROR(INDEX(RBYTD[Rec],MATCH(RBmatchups[Name],RBYTD[Player],0)),"0")</f>
        <v>0</v>
      </c>
      <c r="K79" s="191" t="str">
        <f>IFERROR(INDEX(targettracker54[TTL],MATCH(RBmatchups[Name],targettracker54[Name],0)),"0")</f>
        <v>0</v>
      </c>
      <c r="L79" s="191" t="str">
        <f>IFERROR(INDEX(RBYTD[Rec Yds],MATCH(RBmatchups[Name],RBYTD[Player],0)),"0")</f>
        <v>0</v>
      </c>
      <c r="M79" s="411" t="str">
        <f>IFERROR(INDEX(RBYTD[Rec TD],MATCH(RBmatchups[Name],RBYTD[Player],0)),"0")</f>
        <v>0</v>
      </c>
      <c r="N79" s="441">
        <f>IFERROR(INDEX(Salaries[O/U],MATCH(RBmatchups[[#This Row],[Team]],Salaries[Team],0)),"")</f>
        <v>46.5</v>
      </c>
      <c r="O79" s="189">
        <f>IFERROR(INDEX(Salaries[Team O/U],MATCH(RBmatchups[[#This Row],[Team]],Salaries[Team],0)),"")</f>
        <v>24.75</v>
      </c>
      <c r="P79" s="442">
        <f>IFERROR(INDEX(Salaries[Spread],MATCH(RBmatchups[[#This Row],[Team]],Salaries[Team],0)),"")</f>
        <v>-3</v>
      </c>
      <c r="Q79" s="424">
        <f>IFERROR(INDEX(HBallowed[DVP],MATCH(RBmatchups[[#This Row],[Opp]],HBallowed[Team],0)),IFERROR(INDEX(HBallowed[DVP],MATCH(RBmatchups[[#This Row],[Opp]],HBallowed[Opp],0)),""))</f>
        <v>23</v>
      </c>
      <c r="R79" s="441">
        <f>AVERAGE(RBmatchups[[#This Row],[Car1]:[Car3]])</f>
        <v>1.5634999999999999</v>
      </c>
      <c r="S79" s="190">
        <f>AVERAGE(RBmatchups[[#This Row],[Yards1]:[Yards3]])</f>
        <v>6.9930000000000003</v>
      </c>
      <c r="T79" s="189">
        <f>SUM(RBmatchups[[#This Row],[Yards]]/RBmatchups[[#This Row],[Carries2]])</f>
        <v>4.4726574992005119</v>
      </c>
      <c r="U79" s="189">
        <f>AVERAGE(RBmatchups[[#This Row],[TD1]:[TD3]])</f>
        <v>6.3E-2</v>
      </c>
      <c r="V79" s="189">
        <f>AVERAGE(RBmatchups[[#This Row],[Tar1]:[Tar3]])</f>
        <v>0.6</v>
      </c>
      <c r="W79" s="189">
        <f>AVERAGE(RBmatchups[[#This Row],[Rec1]:[Rec3]])</f>
        <v>0.3</v>
      </c>
      <c r="X79" s="189">
        <f>AVERAGE(RBmatchups[[#This Row],[RecYards1]:[RecYards3]])</f>
        <v>2.0499999999999998</v>
      </c>
      <c r="Y79" s="189">
        <f>AVERAGE(RBmatchups[[#This Row],[RecTD1]:[RecTd3]])</f>
        <v>4.4999999999999997E-3</v>
      </c>
      <c r="Z79" s="190">
        <f>SUM(RBmatchups[[#This Row],[Carries2]]+RBmatchups[[#This Row],[Rec4]])</f>
        <v>1.8634999999999999</v>
      </c>
      <c r="AA79" s="189">
        <f>SUM(RBmatchups[[#This Row],[Yards]]+RBmatchups[[#This Row],[RecYards]])</f>
        <v>9.0429999999999993</v>
      </c>
      <c r="AB79" s="189">
        <f>SUM(RBmatchups[[#This Row],[TD]]+RBmatchups[[#This Row],[RecTD5]])</f>
        <v>6.7500000000000004E-2</v>
      </c>
      <c r="AC79" s="191">
        <f>_xlfn.RANK.EQ(RBmatchups[Projection],RBmatchups[Projection],0)</f>
        <v>69</v>
      </c>
      <c r="AD79" s="189">
        <f>SUM(RBmatchups[[#This Row],[Total Yards]]*0.1)+(RBmatchups[[#This Row],[Rec4]]*1)+(RBmatchups[[#This Row],[Total TD]]*6)+(RBmatchups[[#This Row],[100+]])</f>
        <v>1.6093</v>
      </c>
      <c r="AE79" s="191" t="e">
        <f>_xlfn.RANK.EQ(RBmatchups[[#This Row],[$/FP]],RBmatchups[$/FP],1)</f>
        <v>#VALUE!</v>
      </c>
      <c r="AF79" s="453">
        <f>SUM(RBmatchups[[#This Row],[Salary]]/RBmatchups[[#This Row],[Projection]])</f>
        <v>1864.1645435903811</v>
      </c>
      <c r="AG79" s="448" t="e">
        <f>_xlfn.RANK.EQ(RBmatchups[[#This Row],[Average]],RBmatchups[Average],1)</f>
        <v>#VALUE!</v>
      </c>
      <c r="AH79" s="190" t="e">
        <f>AVERAGE(RBmatchups[[#This Row],[Proj Rank]],RBmatchups[[#This Row],[Value Rank]])</f>
        <v>#VALUE!</v>
      </c>
      <c r="AI79" s="214">
        <f>RBmatchups[[#This Row],[Salary]]/50000</f>
        <v>0.06</v>
      </c>
      <c r="AJ79" s="214"/>
      <c r="AK79" s="14">
        <f>IFERROR(INDEX(HBstats1[Rush Att],MATCH(RBmatchups[[#This Row],[Name]],HBstats1[Player],0)),"0")</f>
        <v>0.82699999999999996</v>
      </c>
      <c r="AL79" s="14" t="str">
        <f>IFERROR(INDEX(HBstats2[Carries],MATCH(RBmatchups[[#This Row],[Name]],HBstats2[Player],0)),"0")</f>
        <v>0</v>
      </c>
      <c r="AM79" s="14">
        <f>IFERROR(INDEX(HBstats3[Carries],MATCH(RBmatchups[[#This Row],[Name]],HBstats3[Player],0)),"0")</f>
        <v>2.2999999999999998</v>
      </c>
      <c r="AN79" s="14" t="str">
        <f>IFERROR(INDEX(HBallowed[Carries],MATCH(RBmatchups[[#This Row],[Opp]],HBallowed[Team],0)),"0")</f>
        <v>0</v>
      </c>
      <c r="AO79" s="14">
        <f>IFERROR(INDEX(HBstats1[Rush Yds],MATCH(RBmatchups[[#This Row],[Name]],HBstats1[Player],0)),"0")</f>
        <v>3.4860000000000002</v>
      </c>
      <c r="AP79" s="14" t="str">
        <f>IFERROR(INDEX(HBstats2[RushYards],MATCH(RBmatchups[[#This Row],[Name]],HBstats2[Player],0)),"0")</f>
        <v>0</v>
      </c>
      <c r="AQ79" s="14">
        <f>IFERROR(INDEX(HBstats3[RushYards],MATCH(RBmatchups[[#This Row],[Name]],HBstats3[Player],0)),"0")</f>
        <v>10.5</v>
      </c>
      <c r="AR79" s="32" t="str">
        <f>IFERROR(INDEX(HBallowed[Yards],MATCH(RBmatchups[[#This Row],[Opp]],HBallowed[Team],0)),"0")</f>
        <v>0</v>
      </c>
      <c r="AS79" s="14">
        <f>IFERROR(INDEX(HBstats1[Rush TD],MATCH(RBmatchups[[#This Row],[Name]],HBstats1[Player],0)),"0")</f>
        <v>2.5999999999999999E-2</v>
      </c>
      <c r="AT79" s="14" t="str">
        <f>IFERROR(INDEX(HBstats2[RushTD],MATCH(RBmatchups[[#This Row],[Name]],HBstats2[Player],0)),"0")</f>
        <v>0</v>
      </c>
      <c r="AU79" s="14">
        <f>IFERROR(INDEX(HBstats3[RushTD],MATCH(RBmatchups[[#This Row],[Name]],HBstats3[Player],0)),"0")</f>
        <v>0.1</v>
      </c>
      <c r="AV79" s="32" t="str">
        <f>IFERROR(INDEX(HBallowed[TD],MATCH(RBmatchups[[#This Row],[Opp]],HBallowed[Team],0)),"0")</f>
        <v>0</v>
      </c>
      <c r="AW79" s="32">
        <f>IFERROR(INDEX(HBstats3[Targets],MATCH(RBmatchups[[#This Row],[Name]],HBstats3[Player],0)),"0")</f>
        <v>0.6</v>
      </c>
      <c r="AX79" s="32" t="str">
        <f>IFERROR(INDEX(HBstats2[Targets],MATCH(RBmatchups[[#This Row],[Name]],HBstats2[Player],0)),"0")</f>
        <v>0</v>
      </c>
      <c r="AY79" s="32">
        <f>IFERROR(INDEX(HBstats3[Targets],MATCH(RBmatchups[[#This Row],[Name]],HBstats3[Player],0)),"0")</f>
        <v>0.6</v>
      </c>
      <c r="AZ79" s="14">
        <f>IFERROR(INDEX(HBstats1[Rec],MATCH(RBmatchups[[#This Row],[Name]],HBstats1[Player],0)),"0")</f>
        <v>0</v>
      </c>
      <c r="BA79" s="14" t="str">
        <f>IFERROR(INDEX(HBstats2[Rec],MATCH(RBmatchups[[#This Row],[Name]],HBstats2[Player],0)),"0")</f>
        <v>0</v>
      </c>
      <c r="BB79" s="14">
        <f>IFERROR(INDEX(HBstats3[Rec],MATCH(RBmatchups[[#This Row],[Name]],HBstats3[Player],0)),"0")</f>
        <v>0.6</v>
      </c>
      <c r="BC79" s="32" t="str">
        <f>IFERROR(INDEX(HBallowed[Rec],MATCH(RBmatchups[[#This Row],[Opp]],HBallowed[Team],0)),"0")</f>
        <v>0</v>
      </c>
      <c r="BD79" s="14">
        <f>IFERROR(INDEX(HBstats1[Rec Yds],MATCH(RBmatchups[[#This Row],[Name]],HBstats1[Player],0)),"0")</f>
        <v>0</v>
      </c>
      <c r="BE79" s="14" t="str">
        <f>IFERROR(INDEX(HBstats2[RecYards],MATCH(RBmatchups[[#This Row],[Name]],HBstats2[Player],0)),"0")</f>
        <v>0</v>
      </c>
      <c r="BF79" s="14">
        <f>IFERROR(INDEX(HBstats3[RecYards],MATCH(RBmatchups[[#This Row],[Name]],HBstats3[Player],0)),"0")</f>
        <v>4.0999999999999996</v>
      </c>
      <c r="BG79" s="32" t="str">
        <f>IFERROR(INDEX(HBallowed[RecYards],MATCH(RBmatchups[[#This Row],[Opp]],HBallowed[Team],0)),"0")</f>
        <v>0</v>
      </c>
      <c r="BH79" s="14">
        <f>IFERROR(INDEX(HBstats1[Rec TD],MATCH(RBmatchups[[#This Row],[Name]],HBstats1[Player],0)),"0")</f>
        <v>8.9999999999999993E-3</v>
      </c>
      <c r="BI79" s="14" t="str">
        <f>IFERROR(INDEX(HBstats2[RecTD],MATCH(RBmatchups[[#This Row],[Name]],HBstats2[Player],0)),"0")</f>
        <v>0</v>
      </c>
      <c r="BJ79" s="14">
        <f>IFERROR(INDEX(HBstats3[RecTD],MATCH(RBmatchups[[#This Row],[Name]],HBstats3[Player],0)),"0")</f>
        <v>0</v>
      </c>
      <c r="BK79" s="32" t="str">
        <f>IFERROR(INDEX(HBallowed[RecTD],MATCH(RBmatchups[[#This Row],[Opp]],HBallowed[Team],0)),"0")</f>
        <v>0</v>
      </c>
      <c r="BL79" s="268">
        <f>IF(RBmatchups[[#This Row],[Yards]]&gt;=100,3,0)</f>
        <v>0</v>
      </c>
    </row>
    <row r="80" spans="1:64" x14ac:dyDescent="0.3">
      <c r="A80" s="37">
        <f>HBstats1!AL74</f>
        <v>0.9</v>
      </c>
      <c r="B80" s="153" t="str">
        <f>HBstats1!D74</f>
        <v>Rob Kelley</v>
      </c>
      <c r="C80" s="154">
        <f>IFERROR(INDEX(Salaries[DraftKings (Price)],MATCH(RBmatchups[[#This Row],[Name]],Salaries[Player],0)),"")</f>
        <v>3400</v>
      </c>
      <c r="D80" s="154">
        <f>IFERROR(INDEX(DK_Salary_Changes[WeekChange],MATCH(RBmatchups[[#This Row],[Name]],DK_Salary_Changes[Player],0)),"")</f>
        <v>400</v>
      </c>
      <c r="E80" s="154" t="str">
        <f>IFERROR(INDEX(Salaries[Team],MATCH(RBmatchups[[#This Row],[Name]],Salaries[Player],0)),"")</f>
        <v>WAS</v>
      </c>
      <c r="F80" s="189" t="str">
        <f>IFERROR(INDEX(Salaries[Opp],MATCH(RBmatchups[[#This Row],[Team]],Salaries[Team],0)),"")</f>
        <v>CLE</v>
      </c>
      <c r="G80" s="410" t="str">
        <f>IFERROR(INDEX(RBYTD[Rush ATT],MATCH(RBmatchups[Name],RBYTD[Player],0)),"0")</f>
        <v>0</v>
      </c>
      <c r="H80" s="191" t="str">
        <f>IFERROR(INDEX(RBYTD[Rush Yds],MATCH(RBmatchups[Name],RBYTD[Player],0)),"0")</f>
        <v>0</v>
      </c>
      <c r="I80" s="191" t="str">
        <f>IFERROR(INDEX(RBYTD[Rush TD],MATCH(RBmatchups[Name],RBYTD[Player],0)),"0")</f>
        <v>0</v>
      </c>
      <c r="J80" s="191" t="str">
        <f>IFERROR(INDEX(RBYTD[Rec],MATCH(RBmatchups[Name],RBYTD[Player],0)),"0")</f>
        <v>0</v>
      </c>
      <c r="K80" s="191" t="str">
        <f>IFERROR(INDEX(targettracker54[TTL],MATCH(RBmatchups[Name],targettracker54[Name],0)),"0")</f>
        <v>0</v>
      </c>
      <c r="L80" s="191" t="str">
        <f>IFERROR(INDEX(RBYTD[Rec Yds],MATCH(RBmatchups[Name],RBYTD[Player],0)),"0")</f>
        <v>0</v>
      </c>
      <c r="M80" s="411" t="str">
        <f>IFERROR(INDEX(RBYTD[Rec TD],MATCH(RBmatchups[Name],RBYTD[Player],0)),"0")</f>
        <v>0</v>
      </c>
      <c r="N80" s="441">
        <f>IFERROR(INDEX(Salaries[O/U],MATCH(RBmatchups[[#This Row],[Team]],Salaries[Team],0)),"")</f>
        <v>45.5</v>
      </c>
      <c r="O80" s="189">
        <f>IFERROR(INDEX(Salaries[Team O/U],MATCH(RBmatchups[[#This Row],[Team]],Salaries[Team],0)),"")</f>
        <v>26.75</v>
      </c>
      <c r="P80" s="442">
        <f>IFERROR(INDEX(Salaries[Spread],MATCH(RBmatchups[[#This Row],[Team]],Salaries[Team],0)),"")</f>
        <v>-8</v>
      </c>
      <c r="Q80" s="424">
        <f>IFERROR(INDEX(HBallowed[DVP],MATCH(RBmatchups[[#This Row],[Opp]],HBallowed[Team],0)),IFERROR(INDEX(HBallowed[DVP],MATCH(RBmatchups[[#This Row],[Opp]],HBallowed[Opp],0)),""))</f>
        <v>19</v>
      </c>
      <c r="R80" s="441">
        <f>AVERAGE(RBmatchups[[#This Row],[Car1]:[Car3]])</f>
        <v>2.2869999999999999</v>
      </c>
      <c r="S80" s="190">
        <f>AVERAGE(RBmatchups[[#This Row],[Yards1]:[Yards3]])</f>
        <v>10.314499999999999</v>
      </c>
      <c r="T80" s="189">
        <f>SUM(RBmatchups[[#This Row],[Yards]]/RBmatchups[[#This Row],[Carries2]])</f>
        <v>4.5100568430257972</v>
      </c>
      <c r="U80" s="189">
        <f>AVERAGE(RBmatchups[[#This Row],[TD1]:[TD3]])</f>
        <v>5.8500000000000003E-2</v>
      </c>
      <c r="V80" s="189">
        <f>AVERAGE(RBmatchups[[#This Row],[Tar1]:[Tar3]])</f>
        <v>0.3</v>
      </c>
      <c r="W80" s="189">
        <f>AVERAGE(RBmatchups[[#This Row],[Rec1]:[Rec3]])</f>
        <v>0.1</v>
      </c>
      <c r="X80" s="189">
        <f>AVERAGE(RBmatchups[[#This Row],[RecYards1]:[RecYards3]])</f>
        <v>0.85</v>
      </c>
      <c r="Y80" s="189">
        <f>AVERAGE(RBmatchups[[#This Row],[RecTD1]:[RecTd3]])</f>
        <v>0</v>
      </c>
      <c r="Z80" s="190">
        <f>SUM(RBmatchups[[#This Row],[Carries2]]+RBmatchups[[#This Row],[Rec4]])</f>
        <v>2.387</v>
      </c>
      <c r="AA80" s="189">
        <f>SUM(RBmatchups[[#This Row],[Yards]]+RBmatchups[[#This Row],[RecYards]])</f>
        <v>11.164499999999999</v>
      </c>
      <c r="AB80" s="189">
        <f>SUM(RBmatchups[[#This Row],[TD]]+RBmatchups[[#This Row],[RecTD5]])</f>
        <v>5.8500000000000003E-2</v>
      </c>
      <c r="AC80" s="191">
        <f>_xlfn.RANK.EQ(RBmatchups[Projection],RBmatchups[Projection],0)</f>
        <v>70</v>
      </c>
      <c r="AD80" s="189">
        <f>SUM(RBmatchups[[#This Row],[Total Yards]]*0.1)+(RBmatchups[[#This Row],[Rec4]]*1)+(RBmatchups[[#This Row],[Total TD]]*6)+(RBmatchups[[#This Row],[100+]])</f>
        <v>1.56745</v>
      </c>
      <c r="AE80" s="191" t="e">
        <f>_xlfn.RANK.EQ(RBmatchups[[#This Row],[$/FP]],RBmatchups[$/FP],1)</f>
        <v>#VALUE!</v>
      </c>
      <c r="AF80" s="453">
        <f>SUM(RBmatchups[[#This Row],[Salary]]/RBmatchups[[#This Row],[Projection]])</f>
        <v>2169.1282018565184</v>
      </c>
      <c r="AG80" s="448" t="e">
        <f>_xlfn.RANK.EQ(RBmatchups[[#This Row],[Average]],RBmatchups[Average],1)</f>
        <v>#VALUE!</v>
      </c>
      <c r="AH80" s="190" t="e">
        <f>AVERAGE(RBmatchups[[#This Row],[Proj Rank]],RBmatchups[[#This Row],[Value Rank]])</f>
        <v>#VALUE!</v>
      </c>
      <c r="AI80" s="214">
        <f>RBmatchups[[#This Row],[Salary]]/50000</f>
        <v>6.8000000000000005E-2</v>
      </c>
      <c r="AJ80" s="214"/>
      <c r="AK80" s="14">
        <f>IFERROR(INDEX(HBstats1[Rush Att],MATCH(RBmatchups[[#This Row],[Name]],HBstats1[Player],0)),"0")</f>
        <v>1.974</v>
      </c>
      <c r="AL80" s="14" t="str">
        <f>IFERROR(INDEX(HBstats2[Carries],MATCH(RBmatchups[[#This Row],[Name]],HBstats2[Player],0)),"0")</f>
        <v>0</v>
      </c>
      <c r="AM80" s="14">
        <f>IFERROR(INDEX(HBstats3[Carries],MATCH(RBmatchups[[#This Row],[Name]],HBstats3[Player],0)),"0")</f>
        <v>2.6</v>
      </c>
      <c r="AN80" s="14">
        <f>IFERROR(INDEX(HBallowed[Carries],MATCH(RBmatchups[[#This Row],[Opp]],HBallowed[Team],0)),"0")</f>
        <v>24.4375</v>
      </c>
      <c r="AO80" s="14">
        <f>IFERROR(INDEX(HBstats1[Rush Yds],MATCH(RBmatchups[[#This Row],[Name]],HBstats1[Player],0)),"0")</f>
        <v>7.9290000000000003</v>
      </c>
      <c r="AP80" s="14" t="str">
        <f>IFERROR(INDEX(HBstats2[RushYards],MATCH(RBmatchups[[#This Row],[Name]],HBstats2[Player],0)),"0")</f>
        <v>0</v>
      </c>
      <c r="AQ80" s="14">
        <f>IFERROR(INDEX(HBstats3[RushYards],MATCH(RBmatchups[[#This Row],[Name]],HBstats3[Player],0)),"0")</f>
        <v>12.7</v>
      </c>
      <c r="AR80" s="32">
        <f>IFERROR(INDEX(HBallowed[Yards],MATCH(RBmatchups[[#This Row],[Opp]],HBallowed[Team],0)),"0")</f>
        <v>105.25</v>
      </c>
      <c r="AS80" s="14">
        <f>IFERROR(INDEX(HBstats1[Rush TD],MATCH(RBmatchups[[#This Row],[Name]],HBstats1[Player],0)),"0")</f>
        <v>1.7000000000000001E-2</v>
      </c>
      <c r="AT80" s="14" t="str">
        <f>IFERROR(INDEX(HBstats2[RushTD],MATCH(RBmatchups[[#This Row],[Name]],HBstats2[Player],0)),"0")</f>
        <v>0</v>
      </c>
      <c r="AU80" s="14">
        <f>IFERROR(INDEX(HBstats3[RushTD],MATCH(RBmatchups[[#This Row],[Name]],HBstats3[Player],0)),"0")</f>
        <v>0.1</v>
      </c>
      <c r="AV80" s="32">
        <f>IFERROR(INDEX(HBallowed[TD],MATCH(RBmatchups[[#This Row],[Opp]],HBallowed[Team],0)),"0")</f>
        <v>0.8125</v>
      </c>
      <c r="AW80" s="32">
        <f>IFERROR(INDEX(HBstats3[Targets],MATCH(RBmatchups[[#This Row],[Name]],HBstats3[Player],0)),"0")</f>
        <v>0.3</v>
      </c>
      <c r="AX80" s="32" t="str">
        <f>IFERROR(INDEX(HBstats2[Targets],MATCH(RBmatchups[[#This Row],[Name]],HBstats2[Player],0)),"0")</f>
        <v>0</v>
      </c>
      <c r="AY80" s="32">
        <f>IFERROR(INDEX(HBstats3[Targets],MATCH(RBmatchups[[#This Row],[Name]],HBstats3[Player],0)),"0")</f>
        <v>0.3</v>
      </c>
      <c r="AZ80" s="14">
        <f>IFERROR(INDEX(HBstats1[Rec],MATCH(RBmatchups[[#This Row],[Name]],HBstats1[Player],0)),"0")</f>
        <v>0</v>
      </c>
      <c r="BA80" s="14" t="str">
        <f>IFERROR(INDEX(HBstats2[Rec],MATCH(RBmatchups[[#This Row],[Name]],HBstats2[Player],0)),"0")</f>
        <v>0</v>
      </c>
      <c r="BB80" s="14">
        <f>IFERROR(INDEX(HBstats3[Rec],MATCH(RBmatchups[[#This Row],[Name]],HBstats3[Player],0)),"0")</f>
        <v>0.2</v>
      </c>
      <c r="BC80" s="32">
        <f>IFERROR(INDEX(HBallowed[Rec],MATCH(RBmatchups[[#This Row],[Opp]],HBallowed[Team],0)),"0")</f>
        <v>5.75</v>
      </c>
      <c r="BD80" s="14">
        <f>IFERROR(INDEX(HBstats1[Rec Yds],MATCH(RBmatchups[[#This Row],[Name]],HBstats1[Player],0)),"0")</f>
        <v>0</v>
      </c>
      <c r="BE80" s="14" t="str">
        <f>IFERROR(INDEX(HBstats2[RecYards],MATCH(RBmatchups[[#This Row],[Name]],HBstats2[Player],0)),"0")</f>
        <v>0</v>
      </c>
      <c r="BF80" s="14">
        <f>IFERROR(INDEX(HBstats3[RecYards],MATCH(RBmatchups[[#This Row],[Name]],HBstats3[Player],0)),"0")</f>
        <v>1.7</v>
      </c>
      <c r="BG80" s="32">
        <f>IFERROR(INDEX(HBallowed[RecYards],MATCH(RBmatchups[[#This Row],[Opp]],HBallowed[Team],0)),"0")</f>
        <v>50.4375</v>
      </c>
      <c r="BH80" s="14">
        <f>IFERROR(INDEX(HBstats1[Rec TD],MATCH(RBmatchups[[#This Row],[Name]],HBstats1[Player],0)),"0")</f>
        <v>0</v>
      </c>
      <c r="BI80" s="14" t="str">
        <f>IFERROR(INDEX(HBstats2[RecTD],MATCH(RBmatchups[[#This Row],[Name]],HBstats2[Player],0)),"0")</f>
        <v>0</v>
      </c>
      <c r="BJ80" s="14">
        <f>IFERROR(INDEX(HBstats3[RecTD],MATCH(RBmatchups[[#This Row],[Name]],HBstats3[Player],0)),"0")</f>
        <v>0</v>
      </c>
      <c r="BK80" s="32">
        <f>IFERROR(INDEX(HBallowed[RecTD],MATCH(RBmatchups[[#This Row],[Opp]],HBallowed[Team],0)),"0")</f>
        <v>0.1875</v>
      </c>
      <c r="BL80" s="268">
        <f>IF(RBmatchups[[#This Row],[Yards]]&gt;=100,3,0)</f>
        <v>0</v>
      </c>
    </row>
    <row r="81" spans="1:64" x14ac:dyDescent="0.3">
      <c r="A81" s="37">
        <f>HBstats1!AL72</f>
        <v>0</v>
      </c>
      <c r="B81" s="153" t="str">
        <f>HBstats1!D72</f>
        <v>Malcolm Brown</v>
      </c>
      <c r="C81" s="154">
        <f>IFERROR(INDEX(Salaries[DraftKings (Price)],MATCH(RBmatchups[[#This Row],[Name]],Salaries[Player],0)),"")</f>
        <v>0</v>
      </c>
      <c r="D81" s="154" t="str">
        <f>IFERROR(INDEX(DK_Salary_Changes[WeekChange],MATCH(RBmatchups[[#This Row],[Name]],DK_Salary_Changes[Player],0)),"")</f>
        <v/>
      </c>
      <c r="E81" s="154" t="str">
        <f>IFERROR(INDEX(Salaries[Team],MATCH(RBmatchups[[#This Row],[Name]],Salaries[Player],0)),"")</f>
        <v>LA</v>
      </c>
      <c r="F81" s="189" t="str">
        <f>IFERROR(INDEX(Salaries[Opp],MATCH(RBmatchups[[#This Row],[Team]],Salaries[Team],0)),"")</f>
        <v>@ARI</v>
      </c>
      <c r="G81" s="410" t="str">
        <f>IFERROR(INDEX(RBYTD[Rush ATT],MATCH(RBmatchups[Name],RBYTD[Player],0)),"0")</f>
        <v>0</v>
      </c>
      <c r="H81" s="191" t="str">
        <f>IFERROR(INDEX(RBYTD[Rush Yds],MATCH(RBmatchups[Name],RBYTD[Player],0)),"0")</f>
        <v>0</v>
      </c>
      <c r="I81" s="191" t="str">
        <f>IFERROR(INDEX(RBYTD[Rush TD],MATCH(RBmatchups[Name],RBYTD[Player],0)),"0")</f>
        <v>0</v>
      </c>
      <c r="J81" s="191" t="str">
        <f>IFERROR(INDEX(RBYTD[Rec],MATCH(RBmatchups[Name],RBYTD[Player],0)),"0")</f>
        <v>0</v>
      </c>
      <c r="K81" s="191">
        <f>IFERROR(INDEX(targettracker54[TTL],MATCH(RBmatchups[Name],targettracker54[Name],0)),"0")</f>
        <v>1</v>
      </c>
      <c r="L81" s="191" t="str">
        <f>IFERROR(INDEX(RBYTD[Rec Yds],MATCH(RBmatchups[Name],RBYTD[Player],0)),"0")</f>
        <v>0</v>
      </c>
      <c r="M81" s="411" t="str">
        <f>IFERROR(INDEX(RBYTD[Rec TD],MATCH(RBmatchups[Name],RBYTD[Player],0)),"0")</f>
        <v>0</v>
      </c>
      <c r="N81" s="441">
        <f>IFERROR(INDEX(Salaries[O/U],MATCH(RBmatchups[[#This Row],[Team]],Salaries[Team],0)),"")</f>
        <v>43</v>
      </c>
      <c r="O81" s="189">
        <f>IFERROR(INDEX(Salaries[Team O/U],MATCH(RBmatchups[[#This Row],[Team]],Salaries[Team],0)),"")</f>
        <v>17.5</v>
      </c>
      <c r="P81" s="442">
        <f>IFERROR(INDEX(Salaries[Spread],MATCH(RBmatchups[[#This Row],[Team]],Salaries[Team],0)),"")</f>
        <v>8</v>
      </c>
      <c r="Q81" s="424">
        <f>IFERROR(INDEX(HBallowed[DVP],MATCH(RBmatchups[[#This Row],[Opp]],HBallowed[Team],0)),IFERROR(INDEX(HBallowed[DVP],MATCH(RBmatchups[[#This Row],[Opp]],HBallowed[Opp],0)),""))</f>
        <v>8</v>
      </c>
      <c r="R81" s="441">
        <f>AVERAGE(RBmatchups[[#This Row],[Car1]:[Car3]])</f>
        <v>1.1425000000000001</v>
      </c>
      <c r="S81" s="190">
        <f>AVERAGE(RBmatchups[[#This Row],[Yards1]:[Yards3]])</f>
        <v>5.1535000000000002</v>
      </c>
      <c r="T81" s="189">
        <f>SUM(RBmatchups[[#This Row],[Yards]]/RBmatchups[[#This Row],[Carries2]])</f>
        <v>4.5107221006564551</v>
      </c>
      <c r="U81" s="189">
        <f>AVERAGE(RBmatchups[[#This Row],[TD1]:[TD3]])</f>
        <v>1.4500000000000001E-2</v>
      </c>
      <c r="V81" s="189">
        <f>AVERAGE(RBmatchups[[#This Row],[Tar1]:[Tar3]])</f>
        <v>0.3</v>
      </c>
      <c r="W81" s="189">
        <f>AVERAGE(RBmatchups[[#This Row],[Rec1]:[Rec3]])</f>
        <v>0.33950000000000002</v>
      </c>
      <c r="X81" s="189">
        <f>AVERAGE(RBmatchups[[#This Row],[RecYards1]:[RecYards3]])</f>
        <v>2.7770000000000001</v>
      </c>
      <c r="Y81" s="189">
        <f>AVERAGE(RBmatchups[[#This Row],[RecTD1]:[RecTd3]])</f>
        <v>2.5000000000000001E-3</v>
      </c>
      <c r="Z81" s="190">
        <f>SUM(RBmatchups[[#This Row],[Carries2]]+RBmatchups[[#This Row],[Rec4]])</f>
        <v>1.4820000000000002</v>
      </c>
      <c r="AA81" s="189">
        <f>SUM(RBmatchups[[#This Row],[Yards]]+RBmatchups[[#This Row],[RecYards]])</f>
        <v>7.9305000000000003</v>
      </c>
      <c r="AB81" s="189">
        <f>SUM(RBmatchups[[#This Row],[TD]]+RBmatchups[[#This Row],[RecTD5]])</f>
        <v>1.7000000000000001E-2</v>
      </c>
      <c r="AC81" s="191">
        <f>_xlfn.RANK.EQ(RBmatchups[Projection],RBmatchups[Projection],0)</f>
        <v>71</v>
      </c>
      <c r="AD81" s="189">
        <f>SUM(RBmatchups[[#This Row],[Total Yards]]*0.1)+(RBmatchups[[#This Row],[Rec4]]*1)+(RBmatchups[[#This Row],[Total TD]]*6)+(RBmatchups[[#This Row],[100+]])</f>
        <v>1.2345500000000003</v>
      </c>
      <c r="AE81" s="191" t="e">
        <f>_xlfn.RANK.EQ(RBmatchups[[#This Row],[$/FP]],RBmatchups[$/FP],1)</f>
        <v>#VALUE!</v>
      </c>
      <c r="AF81" s="453">
        <f>SUM(RBmatchups[[#This Row],[Salary]]/RBmatchups[[#This Row],[Projection]])</f>
        <v>0</v>
      </c>
      <c r="AG81" s="448" t="e">
        <f>_xlfn.RANK.EQ(RBmatchups[[#This Row],[Average]],RBmatchups[Average],1)</f>
        <v>#VALUE!</v>
      </c>
      <c r="AH81" s="190" t="e">
        <f>AVERAGE(RBmatchups[[#This Row],[Proj Rank]],RBmatchups[[#This Row],[Value Rank]])</f>
        <v>#VALUE!</v>
      </c>
      <c r="AI81" s="214">
        <f>RBmatchups[[#This Row],[Salary]]/50000</f>
        <v>0</v>
      </c>
      <c r="AJ81" s="214"/>
      <c r="AK81" s="14">
        <f>IFERROR(INDEX(HBstats1[Rush Att],MATCH(RBmatchups[[#This Row],[Name]],HBstats1[Player],0)),"0")</f>
        <v>1.085</v>
      </c>
      <c r="AL81" s="14" t="str">
        <f>IFERROR(INDEX(HBstats2[Carries],MATCH(RBmatchups[[#This Row],[Name]],HBstats2[Player],0)),"0")</f>
        <v>0</v>
      </c>
      <c r="AM81" s="14">
        <f>IFERROR(INDEX(HBstats3[Carries],MATCH(RBmatchups[[#This Row],[Name]],HBstats3[Player],0)),"0")</f>
        <v>1.2</v>
      </c>
      <c r="AN81" s="14" t="str">
        <f>IFERROR(INDEX(HBallowed[Carries],MATCH(RBmatchups[[#This Row],[Opp]],HBallowed[Team],0)),"0")</f>
        <v>0</v>
      </c>
      <c r="AO81" s="14">
        <f>IFERROR(INDEX(HBstats1[Rush Yds],MATCH(RBmatchups[[#This Row],[Name]],HBstats1[Player],0)),"0")</f>
        <v>4.8070000000000004</v>
      </c>
      <c r="AP81" s="14" t="str">
        <f>IFERROR(INDEX(HBstats2[RushYards],MATCH(RBmatchups[[#This Row],[Name]],HBstats2[Player],0)),"0")</f>
        <v>0</v>
      </c>
      <c r="AQ81" s="14">
        <f>IFERROR(INDEX(HBstats3[RushYards],MATCH(RBmatchups[[#This Row],[Name]],HBstats3[Player],0)),"0")</f>
        <v>5.5</v>
      </c>
      <c r="AR81" s="32" t="str">
        <f>IFERROR(INDEX(HBallowed[Yards],MATCH(RBmatchups[[#This Row],[Opp]],HBallowed[Team],0)),"0")</f>
        <v>0</v>
      </c>
      <c r="AS81" s="14">
        <f>IFERROR(INDEX(HBstats1[Rush TD],MATCH(RBmatchups[[#This Row],[Name]],HBstats1[Player],0)),"0")</f>
        <v>2.9000000000000001E-2</v>
      </c>
      <c r="AT81" s="14" t="str">
        <f>IFERROR(INDEX(HBstats2[RushTD],MATCH(RBmatchups[[#This Row],[Name]],HBstats2[Player],0)),"0")</f>
        <v>0</v>
      </c>
      <c r="AU81" s="14">
        <f>IFERROR(INDEX(HBstats3[RushTD],MATCH(RBmatchups[[#This Row],[Name]],HBstats3[Player],0)),"0")</f>
        <v>0</v>
      </c>
      <c r="AV81" s="32" t="str">
        <f>IFERROR(INDEX(HBallowed[TD],MATCH(RBmatchups[[#This Row],[Opp]],HBallowed[Team],0)),"0")</f>
        <v>0</v>
      </c>
      <c r="AW81" s="32">
        <f>IFERROR(INDEX(HBstats3[Targets],MATCH(RBmatchups[[#This Row],[Name]],HBstats3[Player],0)),"0")</f>
        <v>0.3</v>
      </c>
      <c r="AX81" s="32" t="str">
        <f>IFERROR(INDEX(HBstats2[Targets],MATCH(RBmatchups[[#This Row],[Name]],HBstats2[Player],0)),"0")</f>
        <v>0</v>
      </c>
      <c r="AY81" s="32">
        <f>IFERROR(INDEX(HBstats3[Targets],MATCH(RBmatchups[[#This Row],[Name]],HBstats3[Player],0)),"0")</f>
        <v>0.3</v>
      </c>
      <c r="AZ81" s="14">
        <f>IFERROR(INDEX(HBstats1[Rec],MATCH(RBmatchups[[#This Row],[Name]],HBstats1[Player],0)),"0")</f>
        <v>0.379</v>
      </c>
      <c r="BA81" s="14" t="str">
        <f>IFERROR(INDEX(HBstats2[Rec],MATCH(RBmatchups[[#This Row],[Name]],HBstats2[Player],0)),"0")</f>
        <v>0</v>
      </c>
      <c r="BB81" s="14">
        <f>IFERROR(INDEX(HBstats3[Rec],MATCH(RBmatchups[[#This Row],[Name]],HBstats3[Player],0)),"0")</f>
        <v>0.3</v>
      </c>
      <c r="BC81" s="32" t="str">
        <f>IFERROR(INDEX(HBallowed[Rec],MATCH(RBmatchups[[#This Row],[Opp]],HBallowed[Team],0)),"0")</f>
        <v>0</v>
      </c>
      <c r="BD81" s="14">
        <f>IFERROR(INDEX(HBstats1[Rec Yds],MATCH(RBmatchups[[#This Row],[Name]],HBstats1[Player],0)),"0")</f>
        <v>3.1539999999999999</v>
      </c>
      <c r="BE81" s="14" t="str">
        <f>IFERROR(INDEX(HBstats2[RecYards],MATCH(RBmatchups[[#This Row],[Name]],HBstats2[Player],0)),"0")</f>
        <v>0</v>
      </c>
      <c r="BF81" s="14">
        <f>IFERROR(INDEX(HBstats3[RecYards],MATCH(RBmatchups[[#This Row],[Name]],HBstats3[Player],0)),"0")</f>
        <v>2.4</v>
      </c>
      <c r="BG81" s="32" t="str">
        <f>IFERROR(INDEX(HBallowed[RecYards],MATCH(RBmatchups[[#This Row],[Opp]],HBallowed[Team],0)),"0")</f>
        <v>0</v>
      </c>
      <c r="BH81" s="14">
        <f>IFERROR(INDEX(HBstats1[Rec TD],MATCH(RBmatchups[[#This Row],[Name]],HBstats1[Player],0)),"0")</f>
        <v>5.0000000000000001E-3</v>
      </c>
      <c r="BI81" s="14" t="str">
        <f>IFERROR(INDEX(HBstats2[RecTD],MATCH(RBmatchups[[#This Row],[Name]],HBstats2[Player],0)),"0")</f>
        <v>0</v>
      </c>
      <c r="BJ81" s="14">
        <f>IFERROR(INDEX(HBstats3[RecTD],MATCH(RBmatchups[[#This Row],[Name]],HBstats3[Player],0)),"0")</f>
        <v>0</v>
      </c>
      <c r="BK81" s="32" t="str">
        <f>IFERROR(INDEX(HBallowed[RecTD],MATCH(RBmatchups[[#This Row],[Opp]],HBallowed[Team],0)),"0")</f>
        <v>0</v>
      </c>
      <c r="BL81" s="268">
        <f>IF(RBmatchups[[#This Row],[Yards]]&gt;=100,3,0)</f>
        <v>0</v>
      </c>
    </row>
    <row r="82" spans="1:64" x14ac:dyDescent="0.3">
      <c r="A82" s="37">
        <f>HBstats1!AL86</f>
        <v>0.3</v>
      </c>
      <c r="B82" s="153" t="str">
        <f>HBstats1!D86</f>
        <v>Brandon Bolden</v>
      </c>
      <c r="C82" s="154">
        <f>IFERROR(INDEX(Salaries[DraftKings (Price)],MATCH(RBmatchups[[#This Row],[Name]],Salaries[Player],0)),"")</f>
        <v>3000</v>
      </c>
      <c r="D82" s="154">
        <f>IFERROR(INDEX(DK_Salary_Changes[WeekChange],MATCH(RBmatchups[[#This Row],[Name]],DK_Salary_Changes[Player],0)),"")</f>
        <v>0</v>
      </c>
      <c r="E82" s="154" t="str">
        <f>IFERROR(INDEX(Salaries[Team],MATCH(RBmatchups[[#This Row],[Name]],Salaries[Player],0)),"")</f>
        <v>NE</v>
      </c>
      <c r="F82" s="189" t="str">
        <f>IFERROR(INDEX(Salaries[Opp],MATCH(RBmatchups[[#This Row],[Team]],Salaries[Team],0)),"")</f>
        <v>BUF</v>
      </c>
      <c r="G82" s="410" t="str">
        <f>IFERROR(INDEX(RBYTD[Rush ATT],MATCH(RBmatchups[Name],RBYTD[Player],0)),"0")</f>
        <v>0</v>
      </c>
      <c r="H82" s="191" t="str">
        <f>IFERROR(INDEX(RBYTD[Rush Yds],MATCH(RBmatchups[Name],RBYTD[Player],0)),"0")</f>
        <v>0</v>
      </c>
      <c r="I82" s="191" t="str">
        <f>IFERROR(INDEX(RBYTD[Rush TD],MATCH(RBmatchups[Name],RBYTD[Player],0)),"0")</f>
        <v>0</v>
      </c>
      <c r="J82" s="191" t="str">
        <f>IFERROR(INDEX(RBYTD[Rec],MATCH(RBmatchups[Name],RBYTD[Player],0)),"0")</f>
        <v>0</v>
      </c>
      <c r="K82" s="191">
        <f>IFERROR(INDEX(targettracker54[TTL],MATCH(RBmatchups[Name],targettracker54[Name],0)),"0")</f>
        <v>0</v>
      </c>
      <c r="L82" s="191" t="str">
        <f>IFERROR(INDEX(RBYTD[Rec Yds],MATCH(RBmatchups[Name],RBYTD[Player],0)),"0")</f>
        <v>0</v>
      </c>
      <c r="M82" s="411" t="str">
        <f>IFERROR(INDEX(RBYTD[Rec TD],MATCH(RBmatchups[Name],RBYTD[Player],0)),"0")</f>
        <v>0</v>
      </c>
      <c r="N82" s="441">
        <f>IFERROR(INDEX(Salaries[O/U],MATCH(RBmatchups[[#This Row],[Team]],Salaries[Team],0)),"")</f>
        <v>44</v>
      </c>
      <c r="O82" s="189">
        <f>IFERROR(INDEX(Salaries[Team O/U],MATCH(RBmatchups[[#This Row],[Team]],Salaries[Team],0)),"")</f>
        <v>24.25</v>
      </c>
      <c r="P82" s="442">
        <f>IFERROR(INDEX(Salaries[Spread],MATCH(RBmatchups[[#This Row],[Team]],Salaries[Team],0)),"")</f>
        <v>-4.5</v>
      </c>
      <c r="Q82" s="424">
        <f>IFERROR(INDEX(HBallowed[DVP],MATCH(RBmatchups[[#This Row],[Opp]],HBallowed[Team],0)),IFERROR(INDEX(HBallowed[DVP],MATCH(RBmatchups[[#This Row],[Opp]],HBallowed[Opp],0)),""))</f>
        <v>16</v>
      </c>
      <c r="R82" s="441">
        <f>AVERAGE(RBmatchups[[#This Row],[Car1]:[Car3]])</f>
        <v>1.7350000000000001</v>
      </c>
      <c r="S82" s="190">
        <f>AVERAGE(RBmatchups[[#This Row],[Yards1]:[Yards3]])</f>
        <v>6.8125</v>
      </c>
      <c r="T82" s="189">
        <f>SUM(RBmatchups[[#This Row],[Yards]]/RBmatchups[[#This Row],[Carries2]])</f>
        <v>3.9265129682997117</v>
      </c>
      <c r="U82" s="189">
        <f>AVERAGE(RBmatchups[[#This Row],[TD1]:[TD3]])</f>
        <v>0</v>
      </c>
      <c r="V82" s="189" t="e">
        <f>AVERAGE(RBmatchups[[#This Row],[Tar1]:[Tar3]])</f>
        <v>#DIV/0!</v>
      </c>
      <c r="W82" s="189">
        <f>AVERAGE(RBmatchups[[#This Row],[Rec1]:[Rec3]])</f>
        <v>0.20499999999999999</v>
      </c>
      <c r="X82" s="189">
        <f>AVERAGE(RBmatchups[[#This Row],[RecYards1]:[RecYards3]])</f>
        <v>3.468</v>
      </c>
      <c r="Y82" s="189">
        <f>AVERAGE(RBmatchups[[#This Row],[RecTD1]:[RecTd3]])</f>
        <v>0</v>
      </c>
      <c r="Z82" s="190">
        <f>SUM(RBmatchups[[#This Row],[Carries2]]+RBmatchups[[#This Row],[Rec4]])</f>
        <v>1.9400000000000002</v>
      </c>
      <c r="AA82" s="189">
        <f>SUM(RBmatchups[[#This Row],[Yards]]+RBmatchups[[#This Row],[RecYards]])</f>
        <v>10.2805</v>
      </c>
      <c r="AB82" s="189">
        <f>SUM(RBmatchups[[#This Row],[TD]]+RBmatchups[[#This Row],[RecTD5]])</f>
        <v>0</v>
      </c>
      <c r="AC82" s="191">
        <f>_xlfn.RANK.EQ(RBmatchups[Projection],RBmatchups[Projection],0)</f>
        <v>72</v>
      </c>
      <c r="AD82" s="189">
        <f>SUM(RBmatchups[[#This Row],[Total Yards]]*0.1)+(RBmatchups[[#This Row],[Rec4]]*1)+(RBmatchups[[#This Row],[Total TD]]*6)+(RBmatchups[[#This Row],[100+]])</f>
        <v>1.2330500000000002</v>
      </c>
      <c r="AE82" s="191" t="e">
        <f>_xlfn.RANK.EQ(RBmatchups[[#This Row],[$/FP]],RBmatchups[$/FP],1)</f>
        <v>#VALUE!</v>
      </c>
      <c r="AF82" s="453">
        <f>SUM(RBmatchups[[#This Row],[Salary]]/RBmatchups[[#This Row],[Projection]])</f>
        <v>2432.9913628806612</v>
      </c>
      <c r="AG82" s="448" t="e">
        <f>_xlfn.RANK.EQ(RBmatchups[[#This Row],[Average]],RBmatchups[Average],1)</f>
        <v>#VALUE!</v>
      </c>
      <c r="AH82" s="190" t="e">
        <f>AVERAGE(RBmatchups[[#This Row],[Proj Rank]],RBmatchups[[#This Row],[Value Rank]])</f>
        <v>#VALUE!</v>
      </c>
      <c r="AI82" s="214">
        <f>RBmatchups[[#This Row],[Salary]]/50000</f>
        <v>0.06</v>
      </c>
      <c r="AJ82" s="214"/>
      <c r="AK82" s="14">
        <f>IFERROR(INDEX(HBstats1[Rush Att],MATCH(RBmatchups[[#This Row],[Name]],HBstats1[Player],0)),"0")</f>
        <v>0.37</v>
      </c>
      <c r="AL82" s="14">
        <f>IFERROR(INDEX(HBstats2[Carries],MATCH(RBmatchups[[#This Row],[Name]],HBstats2[Player],0)),"0")</f>
        <v>3.1</v>
      </c>
      <c r="AM82" s="14" t="str">
        <f>IFERROR(INDEX(HBstats3[Carries],MATCH(RBmatchups[[#This Row],[Name]],HBstats3[Player],0)),"0")</f>
        <v>0</v>
      </c>
      <c r="AN82" s="14">
        <f>IFERROR(INDEX(HBallowed[Carries],MATCH(RBmatchups[[#This Row],[Opp]],HBallowed[Team],0)),"0")</f>
        <v>22.4375</v>
      </c>
      <c r="AO82" s="14">
        <f>IFERROR(INDEX(HBstats1[Rush Yds],MATCH(RBmatchups[[#This Row],[Name]],HBstats1[Player],0)),"0")</f>
        <v>1.125</v>
      </c>
      <c r="AP82" s="14">
        <f>IFERROR(INDEX(HBstats2[RushYards],MATCH(RBmatchups[[#This Row],[Name]],HBstats2[Player],0)),"0")</f>
        <v>12.5</v>
      </c>
      <c r="AQ82" s="14" t="str">
        <f>IFERROR(INDEX(HBstats3[RushYards],MATCH(RBmatchups[[#This Row],[Name]],HBstats3[Player],0)),"0")</f>
        <v>0</v>
      </c>
      <c r="AR82" s="32">
        <f>IFERROR(INDEX(HBallowed[Yards],MATCH(RBmatchups[[#This Row],[Opp]],HBallowed[Team],0)),"0")</f>
        <v>111.6875</v>
      </c>
      <c r="AS82" s="14">
        <f>IFERROR(INDEX(HBstats1[Rush TD],MATCH(RBmatchups[[#This Row],[Name]],HBstats1[Player],0)),"0")</f>
        <v>0</v>
      </c>
      <c r="AT82" s="14" t="str">
        <f>IFERROR(INDEX(HBstats2[RushTD],MATCH(RBmatchups[[#This Row],[Name]],HBstats2[Player],0)),"0")</f>
        <v>0.1</v>
      </c>
      <c r="AU82" s="14" t="str">
        <f>IFERROR(INDEX(HBstats3[RushTD],MATCH(RBmatchups[[#This Row],[Name]],HBstats3[Player],0)),"0")</f>
        <v>0</v>
      </c>
      <c r="AV82" s="32">
        <f>IFERROR(INDEX(HBallowed[TD],MATCH(RBmatchups[[#This Row],[Opp]],HBallowed[Team],0)),"0")</f>
        <v>0.875</v>
      </c>
      <c r="AW82" s="32" t="str">
        <f>IFERROR(INDEX(HBstats3[Targets],MATCH(RBmatchups[[#This Row],[Name]],HBstats3[Player],0)),"0")</f>
        <v>0</v>
      </c>
      <c r="AX82" s="32" t="str">
        <f>IFERROR(INDEX(HBstats2[Targets],MATCH(RBmatchups[[#This Row],[Name]],HBstats2[Player],0)),"0")</f>
        <v>0</v>
      </c>
      <c r="AY82" s="32" t="str">
        <f>IFERROR(INDEX(HBstats3[Targets],MATCH(RBmatchups[[#This Row],[Name]],HBstats3[Player],0)),"0")</f>
        <v>0</v>
      </c>
      <c r="AZ82" s="14">
        <f>IFERROR(INDEX(HBstats1[Rec],MATCH(RBmatchups[[#This Row],[Name]],HBstats1[Player],0)),"0")</f>
        <v>0.20499999999999999</v>
      </c>
      <c r="BA82" s="14" t="str">
        <f>IFERROR(INDEX(HBstats2[Rec],MATCH(RBmatchups[[#This Row],[Name]],HBstats2[Player],0)),"0")</f>
        <v>0.9</v>
      </c>
      <c r="BB82" s="14" t="str">
        <f>IFERROR(INDEX(HBstats3[Rec],MATCH(RBmatchups[[#This Row],[Name]],HBstats3[Player],0)),"0")</f>
        <v>0</v>
      </c>
      <c r="BC82" s="32">
        <f>IFERROR(INDEX(HBallowed[Rec],MATCH(RBmatchups[[#This Row],[Opp]],HBallowed[Team],0)),"0")</f>
        <v>4.8125</v>
      </c>
      <c r="BD82" s="14">
        <f>IFERROR(INDEX(HBstats1[Rec Yds],MATCH(RBmatchups[[#This Row],[Name]],HBstats1[Player],0)),"0")</f>
        <v>1.236</v>
      </c>
      <c r="BE82" s="14">
        <f>IFERROR(INDEX(HBstats2[RecYards],MATCH(RBmatchups[[#This Row],[Name]],HBstats2[Player],0)),"0")</f>
        <v>5.7</v>
      </c>
      <c r="BF82" s="14" t="str">
        <f>IFERROR(INDEX(HBstats3[RecYards],MATCH(RBmatchups[[#This Row],[Name]],HBstats3[Player],0)),"0")</f>
        <v>0</v>
      </c>
      <c r="BG82" s="32">
        <f>IFERROR(INDEX(HBallowed[RecYards],MATCH(RBmatchups[[#This Row],[Opp]],HBallowed[Team],0)),"0")</f>
        <v>46.4375</v>
      </c>
      <c r="BH82" s="14">
        <f>IFERROR(INDEX(HBstats1[Rec TD],MATCH(RBmatchups[[#This Row],[Name]],HBstats1[Player],0)),"0")</f>
        <v>0</v>
      </c>
      <c r="BI82" s="14" t="str">
        <f>IFERROR(INDEX(HBstats2[RecTD],MATCH(RBmatchups[[#This Row],[Name]],HBstats2[Player],0)),"0")</f>
        <v>0</v>
      </c>
      <c r="BJ82" s="14" t="str">
        <f>IFERROR(INDEX(HBstats3[RecTD],MATCH(RBmatchups[[#This Row],[Name]],HBstats3[Player],0)),"0")</f>
        <v>0</v>
      </c>
      <c r="BK82" s="32">
        <f>IFERROR(INDEX(HBallowed[RecTD],MATCH(RBmatchups[[#This Row],[Opp]],HBallowed[Team],0)),"0")</f>
        <v>0.1875</v>
      </c>
      <c r="BL82" s="268">
        <f>IF(RBmatchups[[#This Row],[Yards]]&gt;=100,3,0)</f>
        <v>0</v>
      </c>
    </row>
    <row r="83" spans="1:64" x14ac:dyDescent="0.3">
      <c r="A83" s="37">
        <f>HBstats1!AL88</f>
        <v>0.2</v>
      </c>
      <c r="B83" s="153" t="str">
        <f>HBstats1!D88</f>
        <v>Jonathan Williams</v>
      </c>
      <c r="C83" s="154">
        <f>IFERROR(INDEX(Salaries[DraftKings (Price)],MATCH(RBmatchups[[#This Row],[Name]],Salaries[Player],0)),"")</f>
        <v>3000</v>
      </c>
      <c r="D83" s="154">
        <f>IFERROR(INDEX(DK_Salary_Changes[WeekChange],MATCH(RBmatchups[[#This Row],[Name]],DK_Salary_Changes[Player],0)),"")</f>
        <v>0</v>
      </c>
      <c r="E83" s="154" t="str">
        <f>IFERROR(INDEX(Salaries[Team],MATCH(RBmatchups[[#This Row],[Name]],Salaries[Player],0)),"")</f>
        <v>BUF</v>
      </c>
      <c r="F83" s="189" t="str">
        <f>IFERROR(INDEX(Salaries[Opp],MATCH(RBmatchups[[#This Row],[Team]],Salaries[Team],0)),"")</f>
        <v>@NE</v>
      </c>
      <c r="G83" s="410" t="str">
        <f>IFERROR(INDEX(RBYTD[Rush ATT],MATCH(RBmatchups[Name],RBYTD[Player],0)),"0")</f>
        <v>0</v>
      </c>
      <c r="H83" s="191" t="str">
        <f>IFERROR(INDEX(RBYTD[Rush Yds],MATCH(RBmatchups[Name],RBYTD[Player],0)),"0")</f>
        <v>0</v>
      </c>
      <c r="I83" s="191" t="str">
        <f>IFERROR(INDEX(RBYTD[Rush TD],MATCH(RBmatchups[Name],RBYTD[Player],0)),"0")</f>
        <v>0</v>
      </c>
      <c r="J83" s="191" t="str">
        <f>IFERROR(INDEX(RBYTD[Rec],MATCH(RBmatchups[Name],RBYTD[Player],0)),"0")</f>
        <v>0</v>
      </c>
      <c r="K83" s="191">
        <f>IFERROR(INDEX(targettracker54[TTL],MATCH(RBmatchups[Name],targettracker54[Name],0)),"0")</f>
        <v>0</v>
      </c>
      <c r="L83" s="191" t="str">
        <f>IFERROR(INDEX(RBYTD[Rec Yds],MATCH(RBmatchups[Name],RBYTD[Player],0)),"0")</f>
        <v>0</v>
      </c>
      <c r="M83" s="411" t="str">
        <f>IFERROR(INDEX(RBYTD[Rec TD],MATCH(RBmatchups[Name],RBYTD[Player],0)),"0")</f>
        <v>0</v>
      </c>
      <c r="N83" s="441">
        <f>IFERROR(INDEX(Salaries[O/U],MATCH(RBmatchups[[#This Row],[Team]],Salaries[Team],0)),"")</f>
        <v>44</v>
      </c>
      <c r="O83" s="189">
        <f>IFERROR(INDEX(Salaries[Team O/U],MATCH(RBmatchups[[#This Row],[Team]],Salaries[Team],0)),"")</f>
        <v>19.75</v>
      </c>
      <c r="P83" s="442">
        <f>IFERROR(INDEX(Salaries[Spread],MATCH(RBmatchups[[#This Row],[Team]],Salaries[Team],0)),"")</f>
        <v>4.5</v>
      </c>
      <c r="Q83" s="424">
        <f>IFERROR(INDEX(HBallowed[DVP],MATCH(RBmatchups[[#This Row],[Opp]],HBallowed[Team],0)),IFERROR(INDEX(HBallowed[DVP],MATCH(RBmatchups[[#This Row],[Opp]],HBallowed[Opp],0)),""))</f>
        <v>6</v>
      </c>
      <c r="R83" s="441">
        <f>AVERAGE(RBmatchups[[#This Row],[Car1]:[Car3]])</f>
        <v>1.2490000000000001</v>
      </c>
      <c r="S83" s="190">
        <f>AVERAGE(RBmatchups[[#This Row],[Yards1]:[Yards3]])</f>
        <v>4.8140000000000001</v>
      </c>
      <c r="T83" s="189">
        <f>SUM(RBmatchups[[#This Row],[Yards]]/RBmatchups[[#This Row],[Carries2]])</f>
        <v>3.854283426741393</v>
      </c>
      <c r="U83" s="189">
        <f>AVERAGE(RBmatchups[[#This Row],[TD1]:[TD3]])</f>
        <v>0.05</v>
      </c>
      <c r="V83" s="189">
        <f>AVERAGE(RBmatchups[[#This Row],[Tar1]:[Tar3]])</f>
        <v>0.6</v>
      </c>
      <c r="W83" s="189">
        <f>AVERAGE(RBmatchups[[#This Row],[Rec1]:[Rec3]])</f>
        <v>0.2</v>
      </c>
      <c r="X83" s="189">
        <f>AVERAGE(RBmatchups[[#This Row],[RecYards1]:[RecYards3]])</f>
        <v>1.45</v>
      </c>
      <c r="Y83" s="189">
        <f>AVERAGE(RBmatchups[[#This Row],[RecTD1]:[RecTd3]])</f>
        <v>0</v>
      </c>
      <c r="Z83" s="190">
        <f>SUM(RBmatchups[[#This Row],[Carries2]]+RBmatchups[[#This Row],[Rec4]])</f>
        <v>1.4490000000000001</v>
      </c>
      <c r="AA83" s="189">
        <f>SUM(RBmatchups[[#This Row],[Yards]]+RBmatchups[[#This Row],[RecYards]])</f>
        <v>6.2640000000000002</v>
      </c>
      <c r="AB83" s="189">
        <f>SUM(RBmatchups[[#This Row],[TD]]+RBmatchups[[#This Row],[RecTD5]])</f>
        <v>0.05</v>
      </c>
      <c r="AC83" s="191">
        <f>_xlfn.RANK.EQ(RBmatchups[Projection],RBmatchups[Projection],0)</f>
        <v>73</v>
      </c>
      <c r="AD83" s="189">
        <f>SUM(RBmatchups[[#This Row],[Total Yards]]*0.1)+(RBmatchups[[#This Row],[Rec4]]*1)+(RBmatchups[[#This Row],[Total TD]]*6)+(RBmatchups[[#This Row],[100+]])</f>
        <v>1.1264000000000001</v>
      </c>
      <c r="AE83" s="191" t="e">
        <f>_xlfn.RANK.EQ(RBmatchups[[#This Row],[$/FP]],RBmatchups[$/FP],1)</f>
        <v>#VALUE!</v>
      </c>
      <c r="AF83" s="453">
        <f>SUM(RBmatchups[[#This Row],[Salary]]/RBmatchups[[#This Row],[Projection]])</f>
        <v>2663.3522727272725</v>
      </c>
      <c r="AG83" s="448" t="e">
        <f>_xlfn.RANK.EQ(RBmatchups[[#This Row],[Average]],RBmatchups[Average],1)</f>
        <v>#VALUE!</v>
      </c>
      <c r="AH83" s="190" t="e">
        <f>AVERAGE(RBmatchups[[#This Row],[Proj Rank]],RBmatchups[[#This Row],[Value Rank]])</f>
        <v>#VALUE!</v>
      </c>
      <c r="AI83" s="214">
        <f>RBmatchups[[#This Row],[Salary]]/50000</f>
        <v>0.06</v>
      </c>
      <c r="AJ83" s="214"/>
      <c r="AK83" s="14">
        <f>IFERROR(INDEX(HBstats1[Rush Att],MATCH(RBmatchups[[#This Row],[Name]],HBstats1[Player],0)),"0")</f>
        <v>0.498</v>
      </c>
      <c r="AL83" s="14" t="str">
        <f>IFERROR(INDEX(HBstats2[Carries],MATCH(RBmatchups[[#This Row],[Name]],HBstats2[Player],0)),"0")</f>
        <v>0</v>
      </c>
      <c r="AM83" s="14">
        <f>IFERROR(INDEX(HBstats3[Carries],MATCH(RBmatchups[[#This Row],[Name]],HBstats3[Player],0)),"0")</f>
        <v>2</v>
      </c>
      <c r="AN83" s="14" t="str">
        <f>IFERROR(INDEX(HBallowed[Carries],MATCH(RBmatchups[[#This Row],[Opp]],HBallowed[Team],0)),"0")</f>
        <v>0</v>
      </c>
      <c r="AO83" s="14">
        <f>IFERROR(INDEX(HBstats1[Rush Yds],MATCH(RBmatchups[[#This Row],[Name]],HBstats1[Player],0)),"0")</f>
        <v>1.6279999999999999</v>
      </c>
      <c r="AP83" s="14" t="str">
        <f>IFERROR(INDEX(HBstats2[RushYards],MATCH(RBmatchups[[#This Row],[Name]],HBstats2[Player],0)),"0")</f>
        <v>0</v>
      </c>
      <c r="AQ83" s="14">
        <f>IFERROR(INDEX(HBstats3[RushYards],MATCH(RBmatchups[[#This Row],[Name]],HBstats3[Player],0)),"0")</f>
        <v>8</v>
      </c>
      <c r="AR83" s="32" t="str">
        <f>IFERROR(INDEX(HBallowed[Yards],MATCH(RBmatchups[[#This Row],[Opp]],HBallowed[Team],0)),"0")</f>
        <v>0</v>
      </c>
      <c r="AS83" s="14">
        <f>IFERROR(INDEX(HBstats1[Rush TD],MATCH(RBmatchups[[#This Row],[Name]],HBstats1[Player],0)),"0")</f>
        <v>0</v>
      </c>
      <c r="AT83" s="14" t="str">
        <f>IFERROR(INDEX(HBstats2[RushTD],MATCH(RBmatchups[[#This Row],[Name]],HBstats2[Player],0)),"0")</f>
        <v>0</v>
      </c>
      <c r="AU83" s="14">
        <f>IFERROR(INDEX(HBstats3[RushTD],MATCH(RBmatchups[[#This Row],[Name]],HBstats3[Player],0)),"0")</f>
        <v>0.1</v>
      </c>
      <c r="AV83" s="32" t="str">
        <f>IFERROR(INDEX(HBallowed[TD],MATCH(RBmatchups[[#This Row],[Opp]],HBallowed[Team],0)),"0")</f>
        <v>0</v>
      </c>
      <c r="AW83" s="32">
        <f>IFERROR(INDEX(HBstats3[Targets],MATCH(RBmatchups[[#This Row],[Name]],HBstats3[Player],0)),"0")</f>
        <v>0.6</v>
      </c>
      <c r="AX83" s="32" t="str">
        <f>IFERROR(INDEX(HBstats2[Targets],MATCH(RBmatchups[[#This Row],[Name]],HBstats2[Player],0)),"0")</f>
        <v>0</v>
      </c>
      <c r="AY83" s="32">
        <f>IFERROR(INDEX(HBstats3[Targets],MATCH(RBmatchups[[#This Row],[Name]],HBstats3[Player],0)),"0")</f>
        <v>0.6</v>
      </c>
      <c r="AZ83" s="14">
        <f>IFERROR(INDEX(HBstats1[Rec],MATCH(RBmatchups[[#This Row],[Name]],HBstats1[Player],0)),"0")</f>
        <v>0</v>
      </c>
      <c r="BA83" s="14" t="str">
        <f>IFERROR(INDEX(HBstats2[Rec],MATCH(RBmatchups[[#This Row],[Name]],HBstats2[Player],0)),"0")</f>
        <v>0</v>
      </c>
      <c r="BB83" s="14">
        <f>IFERROR(INDEX(HBstats3[Rec],MATCH(RBmatchups[[#This Row],[Name]],HBstats3[Player],0)),"0")</f>
        <v>0.4</v>
      </c>
      <c r="BC83" s="32" t="str">
        <f>IFERROR(INDEX(HBallowed[Rec],MATCH(RBmatchups[[#This Row],[Opp]],HBallowed[Team],0)),"0")</f>
        <v>0</v>
      </c>
      <c r="BD83" s="14">
        <f>IFERROR(INDEX(HBstats1[Rec Yds],MATCH(RBmatchups[[#This Row],[Name]],HBstats1[Player],0)),"0")</f>
        <v>0</v>
      </c>
      <c r="BE83" s="14" t="str">
        <f>IFERROR(INDEX(HBstats2[RecYards],MATCH(RBmatchups[[#This Row],[Name]],HBstats2[Player],0)),"0")</f>
        <v>0</v>
      </c>
      <c r="BF83" s="14">
        <f>IFERROR(INDEX(HBstats3[RecYards],MATCH(RBmatchups[[#This Row],[Name]],HBstats3[Player],0)),"0")</f>
        <v>2.9</v>
      </c>
      <c r="BG83" s="32" t="str">
        <f>IFERROR(INDEX(HBallowed[RecYards],MATCH(RBmatchups[[#This Row],[Opp]],HBallowed[Team],0)),"0")</f>
        <v>0</v>
      </c>
      <c r="BH83" s="14">
        <f>IFERROR(INDEX(HBstats1[Rec TD],MATCH(RBmatchups[[#This Row],[Name]],HBstats1[Player],0)),"0")</f>
        <v>0</v>
      </c>
      <c r="BI83" s="14" t="str">
        <f>IFERROR(INDEX(HBstats2[RecTD],MATCH(RBmatchups[[#This Row],[Name]],HBstats2[Player],0)),"0")</f>
        <v>0</v>
      </c>
      <c r="BJ83" s="14">
        <f>IFERROR(INDEX(HBstats3[RecTD],MATCH(RBmatchups[[#This Row],[Name]],HBstats3[Player],0)),"0")</f>
        <v>0</v>
      </c>
      <c r="BK83" s="32" t="str">
        <f>IFERROR(INDEX(HBallowed[RecTD],MATCH(RBmatchups[[#This Row],[Opp]],HBallowed[Team],0)),"0")</f>
        <v>0</v>
      </c>
      <c r="BL83" s="268">
        <f>IF(RBmatchups[[#This Row],[Yards]]&gt;=100,3,0)</f>
        <v>0</v>
      </c>
    </row>
    <row r="84" spans="1:64" x14ac:dyDescent="0.3">
      <c r="A84" s="37">
        <f>HBstats1!AL81</f>
        <v>0.5</v>
      </c>
      <c r="B84" s="153" t="str">
        <f>HBstats1!D81</f>
        <v>Isaiah Pead</v>
      </c>
      <c r="C84" s="154">
        <f>IFERROR(INDEX(Salaries[DraftKings (Price)],MATCH(RBmatchups[[#This Row],[Name]],Salaries[Player],0)),"")</f>
        <v>3000</v>
      </c>
      <c r="D84" s="154">
        <f>IFERROR(INDEX(DK_Salary_Changes[WeekChange],MATCH(RBmatchups[[#This Row],[Name]],DK_Salary_Changes[Player],0)),"")</f>
        <v>0</v>
      </c>
      <c r="E84" s="154" t="str">
        <f>IFERROR(INDEX(Salaries[Team],MATCH(RBmatchups[[#This Row],[Name]],Salaries[Player],0)),"")</f>
        <v>MIA</v>
      </c>
      <c r="F84" s="189" t="str">
        <f>IFERROR(INDEX(Salaries[Opp],MATCH(RBmatchups[[#This Row],[Team]],Salaries[Team],0)),"")</f>
        <v>@CIN</v>
      </c>
      <c r="G84" s="410" t="str">
        <f>IFERROR(INDEX(RBYTD[Rush ATT],MATCH(RBmatchups[Name],RBYTD[Player],0)),"0")</f>
        <v>0</v>
      </c>
      <c r="H84" s="191" t="str">
        <f>IFERROR(INDEX(RBYTD[Rush Yds],MATCH(RBmatchups[Name],RBYTD[Player],0)),"0")</f>
        <v>0</v>
      </c>
      <c r="I84" s="191" t="str">
        <f>IFERROR(INDEX(RBYTD[Rush TD],MATCH(RBmatchups[Name],RBYTD[Player],0)),"0")</f>
        <v>0</v>
      </c>
      <c r="J84" s="191" t="str">
        <f>IFERROR(INDEX(RBYTD[Rec],MATCH(RBmatchups[Name],RBYTD[Player],0)),"0")</f>
        <v>0</v>
      </c>
      <c r="K84" s="191">
        <f>IFERROR(INDEX(targettracker54[TTL],MATCH(RBmatchups[Name],targettracker54[Name],0)),"0")</f>
        <v>0</v>
      </c>
      <c r="L84" s="191" t="str">
        <f>IFERROR(INDEX(RBYTD[Rec Yds],MATCH(RBmatchups[Name],RBYTD[Player],0)),"0")</f>
        <v>0</v>
      </c>
      <c r="M84" s="411" t="str">
        <f>IFERROR(INDEX(RBYTD[Rec TD],MATCH(RBmatchups[Name],RBYTD[Player],0)),"0")</f>
        <v>0</v>
      </c>
      <c r="N84" s="441">
        <f>IFERROR(INDEX(Salaries[O/U],MATCH(RBmatchups[[#This Row],[Team]],Salaries[Team],0)),"")</f>
        <v>44.5</v>
      </c>
      <c r="O84" s="189">
        <f>IFERROR(INDEX(Salaries[Team O/U],MATCH(RBmatchups[[#This Row],[Team]],Salaries[Team],0)),"")</f>
        <v>18.75</v>
      </c>
      <c r="P84" s="442">
        <f>IFERROR(INDEX(Salaries[Spread],MATCH(RBmatchups[[#This Row],[Team]],Salaries[Team],0)),"")</f>
        <v>7</v>
      </c>
      <c r="Q84" s="424">
        <f>IFERROR(INDEX(HBallowed[DVP],MATCH(RBmatchups[[#This Row],[Opp]],HBallowed[Team],0)),IFERROR(INDEX(HBallowed[DVP],MATCH(RBmatchups[[#This Row],[Opp]],HBallowed[Opp],0)),""))</f>
        <v>12</v>
      </c>
      <c r="R84" s="441">
        <f>AVERAGE(RBmatchups[[#This Row],[Car1]:[Car3]])</f>
        <v>1.9830000000000001</v>
      </c>
      <c r="S84" s="190">
        <f>AVERAGE(RBmatchups[[#This Row],[Yards1]:[Yards3]])</f>
        <v>6.8864999999999998</v>
      </c>
      <c r="T84" s="189">
        <f>SUM(RBmatchups[[#This Row],[Yards]]/RBmatchups[[#This Row],[Carries2]])</f>
        <v>3.4727685325264748</v>
      </c>
      <c r="U84" s="189">
        <f>AVERAGE(RBmatchups[[#This Row],[TD1]:[TD3]])</f>
        <v>6.3E-2</v>
      </c>
      <c r="V84" s="189">
        <f>AVERAGE(RBmatchups[[#This Row],[Tar1]:[Tar3]])</f>
        <v>0</v>
      </c>
      <c r="W84" s="189">
        <f>AVERAGE(RBmatchups[[#This Row],[Rec1]:[Rec3]])</f>
        <v>0</v>
      </c>
      <c r="X84" s="189">
        <f>AVERAGE(RBmatchups[[#This Row],[RecYards1]:[RecYards3]])</f>
        <v>0</v>
      </c>
      <c r="Y84" s="189">
        <f>AVERAGE(RBmatchups[[#This Row],[RecTD1]:[RecTd3]])</f>
        <v>0</v>
      </c>
      <c r="Z84" s="190">
        <f>SUM(RBmatchups[[#This Row],[Carries2]]+RBmatchups[[#This Row],[Rec4]])</f>
        <v>1.9830000000000001</v>
      </c>
      <c r="AA84" s="189">
        <f>SUM(RBmatchups[[#This Row],[Yards]]+RBmatchups[[#This Row],[RecYards]])</f>
        <v>6.8864999999999998</v>
      </c>
      <c r="AB84" s="189">
        <f>SUM(RBmatchups[[#This Row],[TD]]+RBmatchups[[#This Row],[RecTD5]])</f>
        <v>6.3E-2</v>
      </c>
      <c r="AC84" s="191">
        <f>_xlfn.RANK.EQ(RBmatchups[Projection],RBmatchups[Projection],0)</f>
        <v>74</v>
      </c>
      <c r="AD84" s="189">
        <f>SUM(RBmatchups[[#This Row],[Total Yards]]*0.1)+(RBmatchups[[#This Row],[Rec4]]*1)+(RBmatchups[[#This Row],[Total TD]]*6)+(RBmatchups[[#This Row],[100+]])</f>
        <v>1.0666500000000001</v>
      </c>
      <c r="AE84" s="191" t="e">
        <f>_xlfn.RANK.EQ(RBmatchups[[#This Row],[$/FP]],RBmatchups[$/FP],1)</f>
        <v>#VALUE!</v>
      </c>
      <c r="AF84" s="453">
        <f>SUM(RBmatchups[[#This Row],[Salary]]/RBmatchups[[#This Row],[Projection]])</f>
        <v>2812.5439459991558</v>
      </c>
      <c r="AG84" s="448" t="e">
        <f>_xlfn.RANK.EQ(RBmatchups[[#This Row],[Average]],RBmatchups[Average],1)</f>
        <v>#VALUE!</v>
      </c>
      <c r="AH84" s="190" t="e">
        <f>AVERAGE(RBmatchups[[#This Row],[Proj Rank]],RBmatchups[[#This Row],[Value Rank]])</f>
        <v>#VALUE!</v>
      </c>
      <c r="AI84" s="214">
        <f>RBmatchups[[#This Row],[Salary]]/50000</f>
        <v>0.06</v>
      </c>
      <c r="AJ84" s="214"/>
      <c r="AK84" s="14">
        <f>IFERROR(INDEX(HBstats1[Rush Att],MATCH(RBmatchups[[#This Row],[Name]],HBstats1[Player],0)),"0")</f>
        <v>1.266</v>
      </c>
      <c r="AL84" s="14" t="str">
        <f>IFERROR(INDEX(HBstats2[Carries],MATCH(RBmatchups[[#This Row],[Name]],HBstats2[Player],0)),"0")</f>
        <v>0</v>
      </c>
      <c r="AM84" s="14">
        <f>IFERROR(INDEX(HBstats3[Carries],MATCH(RBmatchups[[#This Row],[Name]],HBstats3[Player],0)),"0")</f>
        <v>2.7</v>
      </c>
      <c r="AN84" s="14" t="str">
        <f>IFERROR(INDEX(HBallowed[Carries],MATCH(RBmatchups[[#This Row],[Opp]],HBallowed[Team],0)),"0")</f>
        <v>0</v>
      </c>
      <c r="AO84" s="14">
        <f>IFERROR(INDEX(HBstats1[Rush Yds],MATCH(RBmatchups[[#This Row],[Name]],HBstats1[Player],0)),"0")</f>
        <v>3.7730000000000001</v>
      </c>
      <c r="AP84" s="14" t="str">
        <f>IFERROR(INDEX(HBstats2[RushYards],MATCH(RBmatchups[[#This Row],[Name]],HBstats2[Player],0)),"0")</f>
        <v>0</v>
      </c>
      <c r="AQ84" s="14">
        <f>IFERROR(INDEX(HBstats3[RushYards],MATCH(RBmatchups[[#This Row],[Name]],HBstats3[Player],0)),"0")</f>
        <v>10</v>
      </c>
      <c r="AR84" s="32" t="str">
        <f>IFERROR(INDEX(HBallowed[Yards],MATCH(RBmatchups[[#This Row],[Opp]],HBallowed[Team],0)),"0")</f>
        <v>0</v>
      </c>
      <c r="AS84" s="14">
        <f>IFERROR(INDEX(HBstats1[Rush TD],MATCH(RBmatchups[[#This Row],[Name]],HBstats1[Player],0)),"0")</f>
        <v>2.5999999999999999E-2</v>
      </c>
      <c r="AT84" s="14" t="str">
        <f>IFERROR(INDEX(HBstats2[RushTD],MATCH(RBmatchups[[#This Row],[Name]],HBstats2[Player],0)),"0")</f>
        <v>0</v>
      </c>
      <c r="AU84" s="14">
        <f>IFERROR(INDEX(HBstats3[RushTD],MATCH(RBmatchups[[#This Row],[Name]],HBstats3[Player],0)),"0")</f>
        <v>0.1</v>
      </c>
      <c r="AV84" s="32" t="str">
        <f>IFERROR(INDEX(HBallowed[TD],MATCH(RBmatchups[[#This Row],[Opp]],HBallowed[Team],0)),"0")</f>
        <v>0</v>
      </c>
      <c r="AW84" s="32">
        <f>IFERROR(INDEX(HBstats3[Targets],MATCH(RBmatchups[[#This Row],[Name]],HBstats3[Player],0)),"0")</f>
        <v>0</v>
      </c>
      <c r="AX84" s="32" t="str">
        <f>IFERROR(INDEX(HBstats2[Targets],MATCH(RBmatchups[[#This Row],[Name]],HBstats2[Player],0)),"0")</f>
        <v>0</v>
      </c>
      <c r="AY84" s="32">
        <f>IFERROR(INDEX(HBstats3[Targets],MATCH(RBmatchups[[#This Row],[Name]],HBstats3[Player],0)),"0")</f>
        <v>0</v>
      </c>
      <c r="AZ84" s="14">
        <f>IFERROR(INDEX(HBstats1[Rec],MATCH(RBmatchups[[#This Row],[Name]],HBstats1[Player],0)),"0")</f>
        <v>0</v>
      </c>
      <c r="BA84" s="14" t="str">
        <f>IFERROR(INDEX(HBstats2[Rec],MATCH(RBmatchups[[#This Row],[Name]],HBstats2[Player],0)),"0")</f>
        <v>0</v>
      </c>
      <c r="BB84" s="14">
        <f>IFERROR(INDEX(HBstats3[Rec],MATCH(RBmatchups[[#This Row],[Name]],HBstats3[Player],0)),"0")</f>
        <v>0</v>
      </c>
      <c r="BC84" s="32" t="str">
        <f>IFERROR(INDEX(HBallowed[Rec],MATCH(RBmatchups[[#This Row],[Opp]],HBallowed[Team],0)),"0")</f>
        <v>0</v>
      </c>
      <c r="BD84" s="14">
        <f>IFERROR(INDEX(HBstats1[Rec Yds],MATCH(RBmatchups[[#This Row],[Name]],HBstats1[Player],0)),"0")</f>
        <v>0</v>
      </c>
      <c r="BE84" s="14" t="str">
        <f>IFERROR(INDEX(HBstats2[RecYards],MATCH(RBmatchups[[#This Row],[Name]],HBstats2[Player],0)),"0")</f>
        <v>0</v>
      </c>
      <c r="BF84" s="14">
        <f>IFERROR(INDEX(HBstats3[RecYards],MATCH(RBmatchups[[#This Row],[Name]],HBstats3[Player],0)),"0")</f>
        <v>0</v>
      </c>
      <c r="BG84" s="32" t="str">
        <f>IFERROR(INDEX(HBallowed[RecYards],MATCH(RBmatchups[[#This Row],[Opp]],HBallowed[Team],0)),"0")</f>
        <v>0</v>
      </c>
      <c r="BH84" s="14">
        <f>IFERROR(INDEX(HBstats1[Rec TD],MATCH(RBmatchups[[#This Row],[Name]],HBstats1[Player],0)),"0")</f>
        <v>0</v>
      </c>
      <c r="BI84" s="14" t="str">
        <f>IFERROR(INDEX(HBstats2[RecTD],MATCH(RBmatchups[[#This Row],[Name]],HBstats2[Player],0)),"0")</f>
        <v>0</v>
      </c>
      <c r="BJ84" s="14">
        <f>IFERROR(INDEX(HBstats3[RecTD],MATCH(RBmatchups[[#This Row],[Name]],HBstats3[Player],0)),"0")</f>
        <v>0</v>
      </c>
      <c r="BK84" s="32" t="str">
        <f>IFERROR(INDEX(HBallowed[RecTD],MATCH(RBmatchups[[#This Row],[Opp]],HBallowed[Team],0)),"0")</f>
        <v>0</v>
      </c>
      <c r="BL84" s="268">
        <f>IF(RBmatchups[[#This Row],[Yards]]&gt;=100,3,0)</f>
        <v>0</v>
      </c>
    </row>
    <row r="85" spans="1:64" x14ac:dyDescent="0.3">
      <c r="A85" s="37">
        <f>HBstats1!AL93</f>
        <v>0.3</v>
      </c>
      <c r="B85" s="153" t="str">
        <f>HBstats1!D93</f>
        <v>D.J. Foster</v>
      </c>
      <c r="C85" s="154" t="str">
        <f>IFERROR(INDEX(Salaries[DraftKings (Price)],MATCH(RBmatchups[[#This Row],[Name]],Salaries[Player],0)),"")</f>
        <v/>
      </c>
      <c r="D85" s="154">
        <f>IFERROR(INDEX(DK_Salary_Changes[WeekChange],MATCH(RBmatchups[[#This Row],[Name]],DK_Salary_Changes[Player],0)),"")</f>
        <v>0</v>
      </c>
      <c r="E85" s="154" t="str">
        <f>IFERROR(INDEX(Salaries[Team],MATCH(RBmatchups[[#This Row],[Name]],Salaries[Player],0)),"")</f>
        <v/>
      </c>
      <c r="F85" s="189" t="str">
        <f>IFERROR(INDEX(Salaries[Opp],MATCH(RBmatchups[[#This Row],[Team]],Salaries[Team],0)),"")</f>
        <v/>
      </c>
      <c r="G85" s="410" t="str">
        <f>IFERROR(INDEX(RBYTD[Rush ATT],MATCH(RBmatchups[Name],RBYTD[Player],0)),"0")</f>
        <v>0</v>
      </c>
      <c r="H85" s="191" t="str">
        <f>IFERROR(INDEX(RBYTD[Rush Yds],MATCH(RBmatchups[Name],RBYTD[Player],0)),"0")</f>
        <v>0</v>
      </c>
      <c r="I85" s="191" t="str">
        <f>IFERROR(INDEX(RBYTD[Rush TD],MATCH(RBmatchups[Name],RBYTD[Player],0)),"0")</f>
        <v>0</v>
      </c>
      <c r="J85" s="191" t="str">
        <f>IFERROR(INDEX(RBYTD[Rec],MATCH(RBmatchups[Name],RBYTD[Player],0)),"0")</f>
        <v>0</v>
      </c>
      <c r="K85" s="191">
        <f>IFERROR(INDEX(targettracker54[TTL],MATCH(RBmatchups[Name],targettracker54[Name],0)),"0")</f>
        <v>2</v>
      </c>
      <c r="L85" s="191" t="str">
        <f>IFERROR(INDEX(RBYTD[Rec Yds],MATCH(RBmatchups[Name],RBYTD[Player],0)),"0")</f>
        <v>0</v>
      </c>
      <c r="M85" s="411" t="str">
        <f>IFERROR(INDEX(RBYTD[Rec TD],MATCH(RBmatchups[Name],RBYTD[Player],0)),"0")</f>
        <v>0</v>
      </c>
      <c r="N85" s="441" t="str">
        <f>IFERROR(INDEX(Salaries[O/U],MATCH(RBmatchups[[#This Row],[Team]],Salaries[Team],0)),"")</f>
        <v/>
      </c>
      <c r="O85" s="189" t="str">
        <f>IFERROR(INDEX(Salaries[Team O/U],MATCH(RBmatchups[[#This Row],[Team]],Salaries[Team],0)),"")</f>
        <v/>
      </c>
      <c r="P85" s="442" t="str">
        <f>IFERROR(INDEX(Salaries[Spread],MATCH(RBmatchups[[#This Row],[Team]],Salaries[Team],0)),"")</f>
        <v/>
      </c>
      <c r="Q85" s="424" t="str">
        <f>IFERROR(INDEX(HBallowed[DVP],MATCH(RBmatchups[[#This Row],[Opp]],HBallowed[Team],0)),IFERROR(INDEX(HBallowed[DVP],MATCH(RBmatchups[[#This Row],[Opp]],HBallowed[Opp],0)),""))</f>
        <v/>
      </c>
      <c r="R85" s="441">
        <f>AVERAGE(RBmatchups[[#This Row],[Car1]:[Car3]])</f>
        <v>0.746</v>
      </c>
      <c r="S85" s="190">
        <f>AVERAGE(RBmatchups[[#This Row],[Yards1]:[Yards3]])</f>
        <v>3.0685000000000002</v>
      </c>
      <c r="T85" s="189">
        <f>SUM(RBmatchups[[#This Row],[Yards]]/RBmatchups[[#This Row],[Carries2]])</f>
        <v>4.1132707774798929</v>
      </c>
      <c r="U85" s="189">
        <f>AVERAGE(RBmatchups[[#This Row],[TD1]:[TD3]])</f>
        <v>0</v>
      </c>
      <c r="V85" s="189">
        <f>AVERAGE(RBmatchups[[#This Row],[Tar1]:[Tar3]])</f>
        <v>1.1000000000000001</v>
      </c>
      <c r="W85" s="189">
        <f>AVERAGE(RBmatchups[[#This Row],[Rec1]:[Rec3]])</f>
        <v>0.45</v>
      </c>
      <c r="X85" s="189">
        <f>AVERAGE(RBmatchups[[#This Row],[RecYards1]:[RecYards3]])</f>
        <v>2.65</v>
      </c>
      <c r="Y85" s="189">
        <f>AVERAGE(RBmatchups[[#This Row],[RecTD1]:[RecTd3]])</f>
        <v>0</v>
      </c>
      <c r="Z85" s="190">
        <f>SUM(RBmatchups[[#This Row],[Carries2]]+RBmatchups[[#This Row],[Rec4]])</f>
        <v>1.196</v>
      </c>
      <c r="AA85" s="189">
        <f>SUM(RBmatchups[[#This Row],[Yards]]+RBmatchups[[#This Row],[RecYards]])</f>
        <v>5.7185000000000006</v>
      </c>
      <c r="AB85" s="189">
        <f>SUM(RBmatchups[[#This Row],[TD]]+RBmatchups[[#This Row],[RecTD5]])</f>
        <v>0</v>
      </c>
      <c r="AC85" s="191">
        <f>_xlfn.RANK.EQ(RBmatchups[Projection],RBmatchups[Projection],0)</f>
        <v>75</v>
      </c>
      <c r="AD85" s="189">
        <f>SUM(RBmatchups[[#This Row],[Total Yards]]*0.1)+(RBmatchups[[#This Row],[Rec4]]*1)+(RBmatchups[[#This Row],[Total TD]]*6)+(RBmatchups[[#This Row],[100+]])</f>
        <v>1.0218500000000001</v>
      </c>
      <c r="AE85" s="191" t="e">
        <f>_xlfn.RANK.EQ(RBmatchups[[#This Row],[$/FP]],RBmatchups[$/FP],1)</f>
        <v>#VALUE!</v>
      </c>
      <c r="AF85" s="453" t="e">
        <f>SUM(RBmatchups[[#This Row],[Salary]]/RBmatchups[[#This Row],[Projection]])</f>
        <v>#VALUE!</v>
      </c>
      <c r="AG85" s="448" t="e">
        <f>_xlfn.RANK.EQ(RBmatchups[[#This Row],[Average]],RBmatchups[Average],1)</f>
        <v>#VALUE!</v>
      </c>
      <c r="AH85" s="190" t="e">
        <f>AVERAGE(RBmatchups[[#This Row],[Proj Rank]],RBmatchups[[#This Row],[Value Rank]])</f>
        <v>#VALUE!</v>
      </c>
      <c r="AI85" s="214" t="e">
        <f>RBmatchups[[#This Row],[Salary]]/50000</f>
        <v>#VALUE!</v>
      </c>
      <c r="AJ85" s="214"/>
      <c r="AK85" s="14">
        <f>IFERROR(INDEX(HBstats1[Rush Att],MATCH(RBmatchups[[#This Row],[Name]],HBstats1[Player],0)),"0")</f>
        <v>0.79200000000000004</v>
      </c>
      <c r="AL85" s="14" t="str">
        <f>IFERROR(INDEX(HBstats2[Carries],MATCH(RBmatchups[[#This Row],[Name]],HBstats2[Player],0)),"0")</f>
        <v>0</v>
      </c>
      <c r="AM85" s="14">
        <f>IFERROR(INDEX(HBstats3[Carries],MATCH(RBmatchups[[#This Row],[Name]],HBstats3[Player],0)),"0")</f>
        <v>0.7</v>
      </c>
      <c r="AN85" s="14" t="str">
        <f>IFERROR(INDEX(HBallowed[Carries],MATCH(RBmatchups[[#This Row],[Opp]],HBallowed[Team],0)),"0")</f>
        <v>0</v>
      </c>
      <c r="AO85" s="14">
        <f>IFERROR(INDEX(HBstats1[Rush Yds],MATCH(RBmatchups[[#This Row],[Name]],HBstats1[Player],0)),"0")</f>
        <v>2.9369999999999998</v>
      </c>
      <c r="AP85" s="14" t="str">
        <f>IFERROR(INDEX(HBstats2[RushYards],MATCH(RBmatchups[[#This Row],[Name]],HBstats2[Player],0)),"0")</f>
        <v>0</v>
      </c>
      <c r="AQ85" s="14">
        <f>IFERROR(INDEX(HBstats3[RushYards],MATCH(RBmatchups[[#This Row],[Name]],HBstats3[Player],0)),"0")</f>
        <v>3.2</v>
      </c>
      <c r="AR85" s="32" t="str">
        <f>IFERROR(INDEX(HBallowed[Yards],MATCH(RBmatchups[[#This Row],[Opp]],HBallowed[Team],0)),"0")</f>
        <v>0</v>
      </c>
      <c r="AS85" s="14">
        <f>IFERROR(INDEX(HBstats1[Rush TD],MATCH(RBmatchups[[#This Row],[Name]],HBstats1[Player],0)),"0")</f>
        <v>0</v>
      </c>
      <c r="AT85" s="14" t="str">
        <f>IFERROR(INDEX(HBstats2[RushTD],MATCH(RBmatchups[[#This Row],[Name]],HBstats2[Player],0)),"0")</f>
        <v>0</v>
      </c>
      <c r="AU85" s="14">
        <f>IFERROR(INDEX(HBstats3[RushTD],MATCH(RBmatchups[[#This Row],[Name]],HBstats3[Player],0)),"0")</f>
        <v>0</v>
      </c>
      <c r="AV85" s="32" t="str">
        <f>IFERROR(INDEX(HBallowed[TD],MATCH(RBmatchups[[#This Row],[Opp]],HBallowed[Team],0)),"0")</f>
        <v>0</v>
      </c>
      <c r="AW85" s="32">
        <f>IFERROR(INDEX(HBstats3[Targets],MATCH(RBmatchups[[#This Row],[Name]],HBstats3[Player],0)),"0")</f>
        <v>1.1000000000000001</v>
      </c>
      <c r="AX85" s="32" t="str">
        <f>IFERROR(INDEX(HBstats2[Targets],MATCH(RBmatchups[[#This Row],[Name]],HBstats2[Player],0)),"0")</f>
        <v>0</v>
      </c>
      <c r="AY85" s="32">
        <f>IFERROR(INDEX(HBstats3[Targets],MATCH(RBmatchups[[#This Row],[Name]],HBstats3[Player],0)),"0")</f>
        <v>1.1000000000000001</v>
      </c>
      <c r="AZ85" s="14">
        <f>IFERROR(INDEX(HBstats1[Rec],MATCH(RBmatchups[[#This Row],[Name]],HBstats1[Player],0)),"0")</f>
        <v>0</v>
      </c>
      <c r="BA85" s="14" t="str">
        <f>IFERROR(INDEX(HBstats2[Rec],MATCH(RBmatchups[[#This Row],[Name]],HBstats2[Player],0)),"0")</f>
        <v>0</v>
      </c>
      <c r="BB85" s="14">
        <f>IFERROR(INDEX(HBstats3[Rec],MATCH(RBmatchups[[#This Row],[Name]],HBstats3[Player],0)),"0")</f>
        <v>0.9</v>
      </c>
      <c r="BC85" s="32" t="str">
        <f>IFERROR(INDEX(HBallowed[Rec],MATCH(RBmatchups[[#This Row],[Opp]],HBallowed[Team],0)),"0")</f>
        <v>0</v>
      </c>
      <c r="BD85" s="14">
        <f>IFERROR(INDEX(HBstats1[Rec Yds],MATCH(RBmatchups[[#This Row],[Name]],HBstats1[Player],0)),"0")</f>
        <v>0</v>
      </c>
      <c r="BE85" s="14" t="str">
        <f>IFERROR(INDEX(HBstats2[RecYards],MATCH(RBmatchups[[#This Row],[Name]],HBstats2[Player],0)),"0")</f>
        <v>0</v>
      </c>
      <c r="BF85" s="14">
        <f>IFERROR(INDEX(HBstats3[RecYards],MATCH(RBmatchups[[#This Row],[Name]],HBstats3[Player],0)),"0")</f>
        <v>5.3</v>
      </c>
      <c r="BG85" s="32" t="str">
        <f>IFERROR(INDEX(HBallowed[RecYards],MATCH(RBmatchups[[#This Row],[Opp]],HBallowed[Team],0)),"0")</f>
        <v>0</v>
      </c>
      <c r="BH85" s="14">
        <f>IFERROR(INDEX(HBstats1[Rec TD],MATCH(RBmatchups[[#This Row],[Name]],HBstats1[Player],0)),"0")</f>
        <v>0</v>
      </c>
      <c r="BI85" s="14" t="str">
        <f>IFERROR(INDEX(HBstats2[RecTD],MATCH(RBmatchups[[#This Row],[Name]],HBstats2[Player],0)),"0")</f>
        <v>0</v>
      </c>
      <c r="BJ85" s="14">
        <f>IFERROR(INDEX(HBstats3[RecTD],MATCH(RBmatchups[[#This Row],[Name]],HBstats3[Player],0)),"0")</f>
        <v>0</v>
      </c>
      <c r="BK85" s="32" t="str">
        <f>IFERROR(INDEX(HBallowed[RecTD],MATCH(RBmatchups[[#This Row],[Opp]],HBallowed[Team],0)),"0")</f>
        <v>0</v>
      </c>
      <c r="BL85" s="268">
        <f>IF(RBmatchups[[#This Row],[Yards]]&gt;=100,3,0)</f>
        <v>0</v>
      </c>
    </row>
    <row r="86" spans="1:64" x14ac:dyDescent="0.3">
      <c r="A86" s="37">
        <f>HBstats1!AL73</f>
        <v>1.3</v>
      </c>
      <c r="B86" s="153" t="str">
        <f>HBstats1!D73</f>
        <v>Andy Janovich</v>
      </c>
      <c r="C86" s="154">
        <f>IFERROR(INDEX(Salaries[DraftKings (Price)],MATCH(RBmatchups[[#This Row],[Name]],Salaries[Player],0)),"")</f>
        <v>3000</v>
      </c>
      <c r="D86" s="154">
        <f>IFERROR(INDEX(DK_Salary_Changes[WeekChange],MATCH(RBmatchups[[#This Row],[Name]],DK_Salary_Changes[Player],0)),"")</f>
        <v>0</v>
      </c>
      <c r="E86" s="154" t="str">
        <f>IFERROR(INDEX(Salaries[Team],MATCH(RBmatchups[[#This Row],[Name]],Salaries[Player],0)),"")</f>
        <v>DEN</v>
      </c>
      <c r="F86" s="189" t="str">
        <f>IFERROR(INDEX(Salaries[Opp],MATCH(RBmatchups[[#This Row],[Team]],Salaries[Team],0)),"")</f>
        <v>@TB</v>
      </c>
      <c r="G86" s="410">
        <f>IFERROR(INDEX(RBYTD[Rush ATT],MATCH(RBmatchups[Name],RBYTD[Player],0)),"0")</f>
        <v>2</v>
      </c>
      <c r="H86" s="191">
        <f>IFERROR(INDEX(RBYTD[Rush Yds],MATCH(RBmatchups[Name],RBYTD[Player],0)),"0")</f>
        <v>30</v>
      </c>
      <c r="I86" s="191">
        <f>IFERROR(INDEX(RBYTD[Rush TD],MATCH(RBmatchups[Name],RBYTD[Player],0)),"0")</f>
        <v>1</v>
      </c>
      <c r="J86" s="191">
        <f>IFERROR(INDEX(RBYTD[Rec],MATCH(RBmatchups[Name],RBYTD[Player],0)),"0")</f>
        <v>2</v>
      </c>
      <c r="K86" s="191">
        <f>IFERROR(INDEX(targettracker54[TTL],MATCH(RBmatchups[Name],targettracker54[Name],0)),"0")</f>
        <v>2</v>
      </c>
      <c r="L86" s="191">
        <f>IFERROR(INDEX(RBYTD[Rec Yds],MATCH(RBmatchups[Name],RBYTD[Player],0)),"0")</f>
        <v>24</v>
      </c>
      <c r="M86" s="411">
        <f>IFERROR(INDEX(RBYTD[Rec TD],MATCH(RBmatchups[Name],RBYTD[Player],0)),"0")</f>
        <v>0</v>
      </c>
      <c r="N86" s="441">
        <f>IFERROR(INDEX(Salaries[O/U],MATCH(RBmatchups[[#This Row],[Team]],Salaries[Team],0)),"")</f>
        <v>44</v>
      </c>
      <c r="O86" s="189">
        <f>IFERROR(INDEX(Salaries[Team O/U],MATCH(RBmatchups[[#This Row],[Team]],Salaries[Team],0)),"")</f>
        <v>23.5</v>
      </c>
      <c r="P86" s="442">
        <f>IFERROR(INDEX(Salaries[Spread],MATCH(RBmatchups[[#This Row],[Team]],Salaries[Team],0)),"")</f>
        <v>-3</v>
      </c>
      <c r="Q86" s="424">
        <f>IFERROR(INDEX(HBallowed[DVP],MATCH(RBmatchups[[#This Row],[Opp]],HBallowed[Team],0)),IFERROR(INDEX(HBallowed[DVP],MATCH(RBmatchups[[#This Row],[Opp]],HBallowed[Opp],0)),""))</f>
        <v>14</v>
      </c>
      <c r="R86" s="441">
        <f>AVERAGE(RBmatchups[[#This Row],[Car1]:[Car3]])</f>
        <v>0.60250000000000004</v>
      </c>
      <c r="S86" s="190">
        <f>AVERAGE(RBmatchups[[#This Row],[Yards1]:[Yards3]])</f>
        <v>2.2120000000000002</v>
      </c>
      <c r="T86" s="189">
        <f>SUM(RBmatchups[[#This Row],[Yards]]/RBmatchups[[#This Row],[Carries2]])</f>
        <v>3.6713692946058094</v>
      </c>
      <c r="U86" s="189">
        <f>AVERAGE(RBmatchups[[#This Row],[TD1]:[TD3]])</f>
        <v>8.5000000000000006E-3</v>
      </c>
      <c r="V86" s="189">
        <f>AVERAGE(RBmatchups[[#This Row],[Tar1]:[Tar3]])</f>
        <v>0</v>
      </c>
      <c r="W86" s="189">
        <f>AVERAGE(RBmatchups[[#This Row],[Rec1]:[Rec3]])</f>
        <v>0.3715</v>
      </c>
      <c r="X86" s="189">
        <f>AVERAGE(RBmatchups[[#This Row],[RecYards1]:[RecYards3]])</f>
        <v>2.5409999999999999</v>
      </c>
      <c r="Y86" s="189">
        <f>AVERAGE(RBmatchups[[#This Row],[RecTD1]:[RecTd3]])</f>
        <v>8.0000000000000002E-3</v>
      </c>
      <c r="Z86" s="190">
        <f>SUM(RBmatchups[[#This Row],[Carries2]]+RBmatchups[[#This Row],[Rec4]])</f>
        <v>0.97399999999999998</v>
      </c>
      <c r="AA86" s="189">
        <f>SUM(RBmatchups[[#This Row],[Yards]]+RBmatchups[[#This Row],[RecYards]])</f>
        <v>4.7530000000000001</v>
      </c>
      <c r="AB86" s="189">
        <f>SUM(RBmatchups[[#This Row],[TD]]+RBmatchups[[#This Row],[RecTD5]])</f>
        <v>1.6500000000000001E-2</v>
      </c>
      <c r="AC86" s="191">
        <f>_xlfn.RANK.EQ(RBmatchups[Projection],RBmatchups[Projection],0)</f>
        <v>76</v>
      </c>
      <c r="AD86" s="189">
        <f>SUM(RBmatchups[[#This Row],[Total Yards]]*0.1)+(RBmatchups[[#This Row],[Rec4]]*1)+(RBmatchups[[#This Row],[Total TD]]*6)+(RBmatchups[[#This Row],[100+]])</f>
        <v>0.94579999999999997</v>
      </c>
      <c r="AE86" s="191" t="e">
        <f>_xlfn.RANK.EQ(RBmatchups[[#This Row],[$/FP]],RBmatchups[$/FP],1)</f>
        <v>#VALUE!</v>
      </c>
      <c r="AF86" s="453">
        <f>SUM(RBmatchups[[#This Row],[Salary]]/RBmatchups[[#This Row],[Projection]])</f>
        <v>3171.9179530556144</v>
      </c>
      <c r="AG86" s="448" t="e">
        <f>_xlfn.RANK.EQ(RBmatchups[[#This Row],[Average]],RBmatchups[Average],1)</f>
        <v>#VALUE!</v>
      </c>
      <c r="AH86" s="190" t="e">
        <f>AVERAGE(RBmatchups[[#This Row],[Proj Rank]],RBmatchups[[#This Row],[Value Rank]])</f>
        <v>#VALUE!</v>
      </c>
      <c r="AI86" s="214">
        <f>RBmatchups[[#This Row],[Salary]]/50000</f>
        <v>0.06</v>
      </c>
      <c r="AJ86" s="214"/>
      <c r="AK86" s="14">
        <f>IFERROR(INDEX(HBstats1[Rush Att],MATCH(RBmatchups[[#This Row],[Name]],HBstats1[Player],0)),"0")</f>
        <v>0.60499999999999998</v>
      </c>
      <c r="AL86" s="14" t="str">
        <f>IFERROR(INDEX(HBstats2[Carries],MATCH(RBmatchups[[#This Row],[Name]],HBstats2[Player],0)),"0")</f>
        <v>0</v>
      </c>
      <c r="AM86" s="14">
        <f>IFERROR(INDEX(HBstats3[Carries],MATCH(RBmatchups[[#This Row],[Name]],HBstats3[Player],0)),"0")</f>
        <v>0.6</v>
      </c>
      <c r="AN86" s="14" t="str">
        <f>IFERROR(INDEX(HBallowed[Carries],MATCH(RBmatchups[[#This Row],[Opp]],HBallowed[Team],0)),"0")</f>
        <v>0</v>
      </c>
      <c r="AO86" s="14">
        <f>IFERROR(INDEX(HBstats1[Rush Yds],MATCH(RBmatchups[[#This Row],[Name]],HBstats1[Player],0)),"0")</f>
        <v>2.2240000000000002</v>
      </c>
      <c r="AP86" s="14" t="str">
        <f>IFERROR(INDEX(HBstats2[RushYards],MATCH(RBmatchups[[#This Row],[Name]],HBstats2[Player],0)),"0")</f>
        <v>0</v>
      </c>
      <c r="AQ86" s="14">
        <f>IFERROR(INDEX(HBstats3[RushYards],MATCH(RBmatchups[[#This Row],[Name]],HBstats3[Player],0)),"0")</f>
        <v>2.2000000000000002</v>
      </c>
      <c r="AR86" s="32" t="str">
        <f>IFERROR(INDEX(HBallowed[Yards],MATCH(RBmatchups[[#This Row],[Opp]],HBallowed[Team],0)),"0")</f>
        <v>0</v>
      </c>
      <c r="AS86" s="14">
        <f>IFERROR(INDEX(HBstats1[Rush TD],MATCH(RBmatchups[[#This Row],[Name]],HBstats1[Player],0)),"0")</f>
        <v>1.7000000000000001E-2</v>
      </c>
      <c r="AT86" s="14" t="str">
        <f>IFERROR(INDEX(HBstats2[RushTD],MATCH(RBmatchups[[#This Row],[Name]],HBstats2[Player],0)),"0")</f>
        <v>0</v>
      </c>
      <c r="AU86" s="14">
        <f>IFERROR(INDEX(HBstats3[RushTD],MATCH(RBmatchups[[#This Row],[Name]],HBstats3[Player],0)),"0")</f>
        <v>0</v>
      </c>
      <c r="AV86" s="32" t="str">
        <f>IFERROR(INDEX(HBallowed[TD],MATCH(RBmatchups[[#This Row],[Opp]],HBallowed[Team],0)),"0")</f>
        <v>0</v>
      </c>
      <c r="AW86" s="32">
        <f>IFERROR(INDEX(HBstats3[Targets],MATCH(RBmatchups[[#This Row],[Name]],HBstats3[Player],0)),"0")</f>
        <v>0</v>
      </c>
      <c r="AX86" s="32" t="str">
        <f>IFERROR(INDEX(HBstats2[Targets],MATCH(RBmatchups[[#This Row],[Name]],HBstats2[Player],0)),"0")</f>
        <v>0</v>
      </c>
      <c r="AY86" s="32">
        <f>IFERROR(INDEX(HBstats3[Targets],MATCH(RBmatchups[[#This Row],[Name]],HBstats3[Player],0)),"0")</f>
        <v>0</v>
      </c>
      <c r="AZ86" s="14">
        <f>IFERROR(INDEX(HBstats1[Rec],MATCH(RBmatchups[[#This Row],[Name]],HBstats1[Player],0)),"0")</f>
        <v>0.74299999999999999</v>
      </c>
      <c r="BA86" s="14" t="str">
        <f>IFERROR(INDEX(HBstats2[Rec],MATCH(RBmatchups[[#This Row],[Name]],HBstats2[Player],0)),"0")</f>
        <v>0</v>
      </c>
      <c r="BB86" s="14">
        <f>IFERROR(INDEX(HBstats3[Rec],MATCH(RBmatchups[[#This Row],[Name]],HBstats3[Player],0)),"0")</f>
        <v>0</v>
      </c>
      <c r="BC86" s="32" t="str">
        <f>IFERROR(INDEX(HBallowed[Rec],MATCH(RBmatchups[[#This Row],[Opp]],HBallowed[Team],0)),"0")</f>
        <v>0</v>
      </c>
      <c r="BD86" s="14">
        <f>IFERROR(INDEX(HBstats1[Rec Yds],MATCH(RBmatchups[[#This Row],[Name]],HBstats1[Player],0)),"0")</f>
        <v>5.0819999999999999</v>
      </c>
      <c r="BE86" s="14" t="str">
        <f>IFERROR(INDEX(HBstats2[RecYards],MATCH(RBmatchups[[#This Row],[Name]],HBstats2[Player],0)),"0")</f>
        <v>0</v>
      </c>
      <c r="BF86" s="14">
        <f>IFERROR(INDEX(HBstats3[RecYards],MATCH(RBmatchups[[#This Row],[Name]],HBstats3[Player],0)),"0")</f>
        <v>0</v>
      </c>
      <c r="BG86" s="32" t="str">
        <f>IFERROR(INDEX(HBallowed[RecYards],MATCH(RBmatchups[[#This Row],[Opp]],HBallowed[Team],0)),"0")</f>
        <v>0</v>
      </c>
      <c r="BH86" s="14">
        <f>IFERROR(INDEX(HBstats1[Rec TD],MATCH(RBmatchups[[#This Row],[Name]],HBstats1[Player],0)),"0")</f>
        <v>1.6E-2</v>
      </c>
      <c r="BI86" s="14" t="str">
        <f>IFERROR(INDEX(HBstats2[RecTD],MATCH(RBmatchups[[#This Row],[Name]],HBstats2[Player],0)),"0")</f>
        <v>0</v>
      </c>
      <c r="BJ86" s="14">
        <f>IFERROR(INDEX(HBstats3[RecTD],MATCH(RBmatchups[[#This Row],[Name]],HBstats3[Player],0)),"0")</f>
        <v>0</v>
      </c>
      <c r="BK86" s="32" t="str">
        <f>IFERROR(INDEX(HBallowed[RecTD],MATCH(RBmatchups[[#This Row],[Opp]],HBallowed[Team],0)),"0")</f>
        <v>0</v>
      </c>
      <c r="BL86" s="268">
        <f>IF(RBmatchups[[#This Row],[Yards]]&gt;=100,3,0)</f>
        <v>0</v>
      </c>
    </row>
    <row r="87" spans="1:64" x14ac:dyDescent="0.3">
      <c r="A87" s="37">
        <f>HBstats1!AL75</f>
        <v>1</v>
      </c>
      <c r="B87" s="153" t="str">
        <f>HBstats1!D75</f>
        <v>Kapri Bibbs</v>
      </c>
      <c r="C87" s="154">
        <f>IFERROR(INDEX(Salaries[DraftKings (Price)],MATCH(RBmatchups[[#This Row],[Name]],Salaries[Player],0)),"")</f>
        <v>3000</v>
      </c>
      <c r="D87" s="154">
        <f>IFERROR(INDEX(DK_Salary_Changes[WeekChange],MATCH(RBmatchups[[#This Row],[Name]],DK_Salary_Changes[Player],0)),"")</f>
        <v>0</v>
      </c>
      <c r="E87" s="154" t="str">
        <f>IFERROR(INDEX(Salaries[Team],MATCH(RBmatchups[[#This Row],[Name]],Salaries[Player],0)),"")</f>
        <v>DEN</v>
      </c>
      <c r="F87" s="189" t="str">
        <f>IFERROR(INDEX(Salaries[Opp],MATCH(RBmatchups[[#This Row],[Team]],Salaries[Team],0)),"")</f>
        <v>@TB</v>
      </c>
      <c r="G87" s="410" t="str">
        <f>IFERROR(INDEX(RBYTD[Rush ATT],MATCH(RBmatchups[Name],RBYTD[Player],0)),"0")</f>
        <v>0</v>
      </c>
      <c r="H87" s="191" t="str">
        <f>IFERROR(INDEX(RBYTD[Rush Yds],MATCH(RBmatchups[Name],RBYTD[Player],0)),"0")</f>
        <v>0</v>
      </c>
      <c r="I87" s="191" t="str">
        <f>IFERROR(INDEX(RBYTD[Rush TD],MATCH(RBmatchups[Name],RBYTD[Player],0)),"0")</f>
        <v>0</v>
      </c>
      <c r="J87" s="191" t="str">
        <f>IFERROR(INDEX(RBYTD[Rec],MATCH(RBmatchups[Name],RBYTD[Player],0)),"0")</f>
        <v>0</v>
      </c>
      <c r="K87" s="191">
        <f>IFERROR(INDEX(targettracker54[TTL],MATCH(RBmatchups[Name],targettracker54[Name],0)),"0")</f>
        <v>2</v>
      </c>
      <c r="L87" s="191" t="str">
        <f>IFERROR(INDEX(RBYTD[Rec Yds],MATCH(RBmatchups[Name],RBYTD[Player],0)),"0")</f>
        <v>0</v>
      </c>
      <c r="M87" s="411" t="str">
        <f>IFERROR(INDEX(RBYTD[Rec TD],MATCH(RBmatchups[Name],RBYTD[Player],0)),"0")</f>
        <v>0</v>
      </c>
      <c r="N87" s="441">
        <f>IFERROR(INDEX(Salaries[O/U],MATCH(RBmatchups[[#This Row],[Team]],Salaries[Team],0)),"")</f>
        <v>44</v>
      </c>
      <c r="O87" s="189">
        <f>IFERROR(INDEX(Salaries[Team O/U],MATCH(RBmatchups[[#This Row],[Team]],Salaries[Team],0)),"")</f>
        <v>23.5</v>
      </c>
      <c r="P87" s="442">
        <f>IFERROR(INDEX(Salaries[Spread],MATCH(RBmatchups[[#This Row],[Team]],Salaries[Team],0)),"")</f>
        <v>-3</v>
      </c>
      <c r="Q87" s="424">
        <f>IFERROR(INDEX(HBallowed[DVP],MATCH(RBmatchups[[#This Row],[Opp]],HBallowed[Team],0)),IFERROR(INDEX(HBallowed[DVP],MATCH(RBmatchups[[#This Row],[Opp]],HBallowed[Opp],0)),""))</f>
        <v>14</v>
      </c>
      <c r="R87" s="441">
        <f>AVERAGE(RBmatchups[[#This Row],[Car1]:[Car3]])</f>
        <v>0.54299999999999993</v>
      </c>
      <c r="S87" s="190">
        <f>AVERAGE(RBmatchups[[#This Row],[Yards1]:[Yards3]])</f>
        <v>2.7679999999999998</v>
      </c>
      <c r="T87" s="189">
        <f>SUM(RBmatchups[[#This Row],[Yards]]/RBmatchups[[#This Row],[Carries2]])</f>
        <v>5.097605893186004</v>
      </c>
      <c r="U87" s="189">
        <f>AVERAGE(RBmatchups[[#This Row],[TD1]:[TD3]])</f>
        <v>1.2999999999999999E-2</v>
      </c>
      <c r="V87" s="189">
        <f>AVERAGE(RBmatchups[[#This Row],[Tar1]:[Tar3]])</f>
        <v>0.3</v>
      </c>
      <c r="W87" s="189">
        <f>AVERAGE(RBmatchups[[#This Row],[Rec1]:[Rec3]])</f>
        <v>0.312</v>
      </c>
      <c r="X87" s="189">
        <f>AVERAGE(RBmatchups[[#This Row],[RecYards1]:[RecYards3]])</f>
        <v>2.1204999999999998</v>
      </c>
      <c r="Y87" s="189">
        <f>AVERAGE(RBmatchups[[#This Row],[RecTD1]:[RecTd3]])</f>
        <v>4.0000000000000001E-3</v>
      </c>
      <c r="Z87" s="190">
        <f>SUM(RBmatchups[[#This Row],[Carries2]]+RBmatchups[[#This Row],[Rec4]])</f>
        <v>0.85499999999999998</v>
      </c>
      <c r="AA87" s="189">
        <f>SUM(RBmatchups[[#This Row],[Yards]]+RBmatchups[[#This Row],[RecYards]])</f>
        <v>4.8884999999999996</v>
      </c>
      <c r="AB87" s="189">
        <f>SUM(RBmatchups[[#This Row],[TD]]+RBmatchups[[#This Row],[RecTD5]])</f>
        <v>1.7000000000000001E-2</v>
      </c>
      <c r="AC87" s="191">
        <f>_xlfn.RANK.EQ(RBmatchups[Projection],RBmatchups[Projection],0)</f>
        <v>77</v>
      </c>
      <c r="AD87" s="189">
        <f>SUM(RBmatchups[[#This Row],[Total Yards]]*0.1)+(RBmatchups[[#This Row],[Rec4]]*1)+(RBmatchups[[#This Row],[Total TD]]*6)+(RBmatchups[[#This Row],[100+]])</f>
        <v>0.90285000000000004</v>
      </c>
      <c r="AE87" s="191" t="e">
        <f>_xlfn.RANK.EQ(RBmatchups[[#This Row],[$/FP]],RBmatchups[$/FP],1)</f>
        <v>#VALUE!</v>
      </c>
      <c r="AF87" s="453">
        <f>SUM(RBmatchups[[#This Row],[Salary]]/RBmatchups[[#This Row],[Projection]])</f>
        <v>3322.8110981890677</v>
      </c>
      <c r="AG87" s="448" t="e">
        <f>_xlfn.RANK.EQ(RBmatchups[[#This Row],[Average]],RBmatchups[Average],1)</f>
        <v>#VALUE!</v>
      </c>
      <c r="AH87" s="190" t="e">
        <f>AVERAGE(RBmatchups[[#This Row],[Proj Rank]],RBmatchups[[#This Row],[Value Rank]])</f>
        <v>#VALUE!</v>
      </c>
      <c r="AI87" s="214">
        <f>RBmatchups[[#This Row],[Salary]]/50000</f>
        <v>0.06</v>
      </c>
      <c r="AJ87" s="214"/>
      <c r="AK87" s="14">
        <f>IFERROR(INDEX(HBstats1[Rush Att],MATCH(RBmatchups[[#This Row],[Name]],HBstats1[Player],0)),"0")</f>
        <v>0.48599999999999999</v>
      </c>
      <c r="AL87" s="14" t="str">
        <f>IFERROR(INDEX(HBstats2[Carries],MATCH(RBmatchups[[#This Row],[Name]],HBstats2[Player],0)),"0")</f>
        <v>0</v>
      </c>
      <c r="AM87" s="14">
        <f>IFERROR(INDEX(HBstats3[Carries],MATCH(RBmatchups[[#This Row],[Name]],HBstats3[Player],0)),"0")</f>
        <v>0.6</v>
      </c>
      <c r="AN87" s="14" t="str">
        <f>IFERROR(INDEX(HBallowed[Carries],MATCH(RBmatchups[[#This Row],[Opp]],HBallowed[Team],0)),"0")</f>
        <v>0</v>
      </c>
      <c r="AO87" s="14">
        <f>IFERROR(INDEX(HBstats1[Rush Yds],MATCH(RBmatchups[[#This Row],[Name]],HBstats1[Player],0)),"0")</f>
        <v>3.3359999999999999</v>
      </c>
      <c r="AP87" s="14" t="str">
        <f>IFERROR(INDEX(HBstats2[RushYards],MATCH(RBmatchups[[#This Row],[Name]],HBstats2[Player],0)),"0")</f>
        <v>0</v>
      </c>
      <c r="AQ87" s="14">
        <f>IFERROR(INDEX(HBstats3[RushYards],MATCH(RBmatchups[[#This Row],[Name]],HBstats3[Player],0)),"0")</f>
        <v>2.2000000000000002</v>
      </c>
      <c r="AR87" s="32" t="str">
        <f>IFERROR(INDEX(HBallowed[Yards],MATCH(RBmatchups[[#This Row],[Opp]],HBallowed[Team],0)),"0")</f>
        <v>0</v>
      </c>
      <c r="AS87" s="14">
        <f>IFERROR(INDEX(HBstats1[Rush TD],MATCH(RBmatchups[[#This Row],[Name]],HBstats1[Player],0)),"0")</f>
        <v>2.5999999999999999E-2</v>
      </c>
      <c r="AT87" s="14" t="str">
        <f>IFERROR(INDEX(HBstats2[RushTD],MATCH(RBmatchups[[#This Row],[Name]],HBstats2[Player],0)),"0")</f>
        <v>0</v>
      </c>
      <c r="AU87" s="14">
        <f>IFERROR(INDEX(HBstats3[RushTD],MATCH(RBmatchups[[#This Row],[Name]],HBstats3[Player],0)),"0")</f>
        <v>0</v>
      </c>
      <c r="AV87" s="32" t="str">
        <f>IFERROR(INDEX(HBallowed[TD],MATCH(RBmatchups[[#This Row],[Opp]],HBallowed[Team],0)),"0")</f>
        <v>0</v>
      </c>
      <c r="AW87" s="32">
        <f>IFERROR(INDEX(HBstats3[Targets],MATCH(RBmatchups[[#This Row],[Name]],HBstats3[Player],0)),"0")</f>
        <v>0.3</v>
      </c>
      <c r="AX87" s="32" t="str">
        <f>IFERROR(INDEX(HBstats2[Targets],MATCH(RBmatchups[[#This Row],[Name]],HBstats2[Player],0)),"0")</f>
        <v>0</v>
      </c>
      <c r="AY87" s="32">
        <f>IFERROR(INDEX(HBstats3[Targets],MATCH(RBmatchups[[#This Row],[Name]],HBstats3[Player],0)),"0")</f>
        <v>0.3</v>
      </c>
      <c r="AZ87" s="14">
        <f>IFERROR(INDEX(HBstats1[Rec],MATCH(RBmatchups[[#This Row],[Name]],HBstats1[Player],0)),"0")</f>
        <v>0.42399999999999999</v>
      </c>
      <c r="BA87" s="14" t="str">
        <f>IFERROR(INDEX(HBstats2[Rec],MATCH(RBmatchups[[#This Row],[Name]],HBstats2[Player],0)),"0")</f>
        <v>0</v>
      </c>
      <c r="BB87" s="14">
        <f>IFERROR(INDEX(HBstats3[Rec],MATCH(RBmatchups[[#This Row],[Name]],HBstats3[Player],0)),"0")</f>
        <v>0.2</v>
      </c>
      <c r="BC87" s="32" t="str">
        <f>IFERROR(INDEX(HBallowed[Rec],MATCH(RBmatchups[[#This Row],[Opp]],HBallowed[Team],0)),"0")</f>
        <v>0</v>
      </c>
      <c r="BD87" s="14">
        <f>IFERROR(INDEX(HBstats1[Rec Yds],MATCH(RBmatchups[[#This Row],[Name]],HBstats1[Player],0)),"0")</f>
        <v>2.5409999999999999</v>
      </c>
      <c r="BE87" s="14" t="str">
        <f>IFERROR(INDEX(HBstats2[RecYards],MATCH(RBmatchups[[#This Row],[Name]],HBstats2[Player],0)),"0")</f>
        <v>0</v>
      </c>
      <c r="BF87" s="14">
        <f>IFERROR(INDEX(HBstats3[RecYards],MATCH(RBmatchups[[#This Row],[Name]],HBstats3[Player],0)),"0")</f>
        <v>1.7</v>
      </c>
      <c r="BG87" s="32" t="str">
        <f>IFERROR(INDEX(HBallowed[RecYards],MATCH(RBmatchups[[#This Row],[Opp]],HBallowed[Team],0)),"0")</f>
        <v>0</v>
      </c>
      <c r="BH87" s="14">
        <f>IFERROR(INDEX(HBstats1[Rec TD],MATCH(RBmatchups[[#This Row],[Name]],HBstats1[Player],0)),"0")</f>
        <v>8.0000000000000002E-3</v>
      </c>
      <c r="BI87" s="14" t="str">
        <f>IFERROR(INDEX(HBstats2[RecTD],MATCH(RBmatchups[[#This Row],[Name]],HBstats2[Player],0)),"0")</f>
        <v>0</v>
      </c>
      <c r="BJ87" s="14">
        <f>IFERROR(INDEX(HBstats3[RecTD],MATCH(RBmatchups[[#This Row],[Name]],HBstats3[Player],0)),"0")</f>
        <v>0</v>
      </c>
      <c r="BK87" s="32" t="str">
        <f>IFERROR(INDEX(HBallowed[RecTD],MATCH(RBmatchups[[#This Row],[Opp]],HBallowed[Team],0)),"0")</f>
        <v>0</v>
      </c>
      <c r="BL87" s="268">
        <f>IF(RBmatchups[[#This Row],[Yards]]&gt;=100,3,0)</f>
        <v>0</v>
      </c>
    </row>
    <row r="88" spans="1:64" x14ac:dyDescent="0.3">
      <c r="A88" s="37">
        <f>HBstats1!AL78</f>
        <v>0.9</v>
      </c>
      <c r="B88" s="153" t="str">
        <f>HBstats1!D78</f>
        <v>Zach Line</v>
      </c>
      <c r="C88" s="154">
        <f>IFERROR(INDEX(Salaries[DraftKings (Price)],MATCH(RBmatchups[[#This Row],[Name]],Salaries[Player],0)),"")</f>
        <v>3000</v>
      </c>
      <c r="D88" s="154">
        <f>IFERROR(INDEX(DK_Salary_Changes[WeekChange],MATCH(RBmatchups[[#This Row],[Name]],DK_Salary_Changes[Player],0)),"")</f>
        <v>0</v>
      </c>
      <c r="E88" s="154" t="str">
        <f>IFERROR(INDEX(Salaries[Team],MATCH(RBmatchups[[#This Row],[Name]],Salaries[Player],0)),"")</f>
        <v>MIN</v>
      </c>
      <c r="F88" s="189" t="str">
        <f>IFERROR(INDEX(Salaries[Opp],MATCH(RBmatchups[[#This Row],[Team]],Salaries[Team],0)),"")</f>
        <v>NYG</v>
      </c>
      <c r="G88" s="410" t="str">
        <f>IFERROR(INDEX(RBYTD[Rush ATT],MATCH(RBmatchups[Name],RBYTD[Player],0)),"0")</f>
        <v>0</v>
      </c>
      <c r="H88" s="191" t="str">
        <f>IFERROR(INDEX(RBYTD[Rush Yds],MATCH(RBmatchups[Name],RBYTD[Player],0)),"0")</f>
        <v>0</v>
      </c>
      <c r="I88" s="191" t="str">
        <f>IFERROR(INDEX(RBYTD[Rush TD],MATCH(RBmatchups[Name],RBYTD[Player],0)),"0")</f>
        <v>0</v>
      </c>
      <c r="J88" s="191" t="str">
        <f>IFERROR(INDEX(RBYTD[Rec],MATCH(RBmatchups[Name],RBYTD[Player],0)),"0")</f>
        <v>0</v>
      </c>
      <c r="K88" s="191">
        <f>IFERROR(INDEX(targettracker54[TTL],MATCH(RBmatchups[Name],targettracker54[Name],0)),"0")</f>
        <v>0</v>
      </c>
      <c r="L88" s="191" t="str">
        <f>IFERROR(INDEX(RBYTD[Rec Yds],MATCH(RBmatchups[Name],RBYTD[Player],0)),"0")</f>
        <v>0</v>
      </c>
      <c r="M88" s="411" t="str">
        <f>IFERROR(INDEX(RBYTD[Rec TD],MATCH(RBmatchups[Name],RBYTD[Player],0)),"0")</f>
        <v>0</v>
      </c>
      <c r="N88" s="441">
        <f>IFERROR(INDEX(Salaries[O/U],MATCH(RBmatchups[[#This Row],[Team]],Salaries[Team],0)),"")</f>
        <v>43.5</v>
      </c>
      <c r="O88" s="189">
        <f>IFERROR(INDEX(Salaries[Team O/U],MATCH(RBmatchups[[#This Row],[Team]],Salaries[Team],0)),"")</f>
        <v>23.75</v>
      </c>
      <c r="P88" s="442">
        <f>IFERROR(INDEX(Salaries[Spread],MATCH(RBmatchups[[#This Row],[Team]],Salaries[Team],0)),"")</f>
        <v>-4</v>
      </c>
      <c r="Q88" s="424">
        <f>IFERROR(INDEX(HBallowed[DVP],MATCH(RBmatchups[[#This Row],[Opp]],HBallowed[Team],0)),IFERROR(INDEX(HBallowed[DVP],MATCH(RBmatchups[[#This Row],[Opp]],HBallowed[Opp],0)),""))</f>
        <v>26</v>
      </c>
      <c r="R88" s="441">
        <f>AVERAGE(RBmatchups[[#This Row],[Car1]:[Car3]])</f>
        <v>0.33</v>
      </c>
      <c r="S88" s="190">
        <f>AVERAGE(RBmatchups[[#This Row],[Yards1]:[Yards3]])</f>
        <v>1.212</v>
      </c>
      <c r="T88" s="189">
        <f>SUM(RBmatchups[[#This Row],[Yards]]/RBmatchups[[#This Row],[Carries2]])</f>
        <v>3.6727272727272724</v>
      </c>
      <c r="U88" s="189">
        <f>AVERAGE(RBmatchups[[#This Row],[TD1]:[TD3]])</f>
        <v>2.5000000000000001E-3</v>
      </c>
      <c r="V88" s="189">
        <f>AVERAGE(RBmatchups[[#This Row],[Tar1]:[Tar3]])</f>
        <v>0.3</v>
      </c>
      <c r="W88" s="189">
        <f>AVERAGE(RBmatchups[[#This Row],[Rec1]:[Rec3]])</f>
        <v>0.32500000000000001</v>
      </c>
      <c r="X88" s="189">
        <f>AVERAGE(RBmatchups[[#This Row],[RecYards1]:[RecYards3]])</f>
        <v>3.2205000000000004</v>
      </c>
      <c r="Y88" s="189">
        <f>AVERAGE(RBmatchups[[#This Row],[RecTD1]:[RecTd3]])</f>
        <v>1.7000000000000001E-2</v>
      </c>
      <c r="Z88" s="190">
        <f>SUM(RBmatchups[[#This Row],[Carries2]]+RBmatchups[[#This Row],[Rec4]])</f>
        <v>0.65500000000000003</v>
      </c>
      <c r="AA88" s="189">
        <f>SUM(RBmatchups[[#This Row],[Yards]]+RBmatchups[[#This Row],[RecYards]])</f>
        <v>4.4325000000000001</v>
      </c>
      <c r="AB88" s="189">
        <f>SUM(RBmatchups[[#This Row],[TD]]+RBmatchups[[#This Row],[RecTD5]])</f>
        <v>1.95E-2</v>
      </c>
      <c r="AC88" s="191">
        <f>_xlfn.RANK.EQ(RBmatchups[Projection],RBmatchups[Projection],0)</f>
        <v>78</v>
      </c>
      <c r="AD88" s="189">
        <f>SUM(RBmatchups[[#This Row],[Total Yards]]*0.1)+(RBmatchups[[#This Row],[Rec4]]*1)+(RBmatchups[[#This Row],[Total TD]]*6)+(RBmatchups[[#This Row],[100+]])</f>
        <v>0.88525000000000009</v>
      </c>
      <c r="AE88" s="191" t="e">
        <f>_xlfn.RANK.EQ(RBmatchups[[#This Row],[$/FP]],RBmatchups[$/FP],1)</f>
        <v>#VALUE!</v>
      </c>
      <c r="AF88" s="453">
        <f>SUM(RBmatchups[[#This Row],[Salary]]/RBmatchups[[#This Row],[Projection]])</f>
        <v>3388.8731996611123</v>
      </c>
      <c r="AG88" s="448" t="e">
        <f>_xlfn.RANK.EQ(RBmatchups[[#This Row],[Average]],RBmatchups[Average],1)</f>
        <v>#VALUE!</v>
      </c>
      <c r="AH88" s="190" t="e">
        <f>AVERAGE(RBmatchups[[#This Row],[Proj Rank]],RBmatchups[[#This Row],[Value Rank]])</f>
        <v>#VALUE!</v>
      </c>
      <c r="AI88" s="214">
        <f>RBmatchups[[#This Row],[Salary]]/50000</f>
        <v>0.06</v>
      </c>
      <c r="AJ88" s="214"/>
      <c r="AK88" s="14">
        <f>IFERROR(INDEX(HBstats1[Rush Att],MATCH(RBmatchups[[#This Row],[Name]],HBstats1[Player],0)),"0")</f>
        <v>0.16</v>
      </c>
      <c r="AL88" s="14" t="str">
        <f>IFERROR(INDEX(HBstats2[Carries],MATCH(RBmatchups[[#This Row],[Name]],HBstats2[Player],0)),"0")</f>
        <v>0</v>
      </c>
      <c r="AM88" s="14">
        <f>IFERROR(INDEX(HBstats3[Carries],MATCH(RBmatchups[[#This Row],[Name]],HBstats3[Player],0)),"0")</f>
        <v>0.5</v>
      </c>
      <c r="AN88" s="14">
        <f>IFERROR(INDEX(HBallowed[Carries],MATCH(RBmatchups[[#This Row],[Opp]],HBallowed[Team],0)),"0")</f>
        <v>22.5</v>
      </c>
      <c r="AO88" s="14">
        <f>IFERROR(INDEX(HBstats1[Rush Yds],MATCH(RBmatchups[[#This Row],[Name]],HBstats1[Player],0)),"0")</f>
        <v>0.42399999999999999</v>
      </c>
      <c r="AP88" s="14" t="str">
        <f>IFERROR(INDEX(HBstats2[RushYards],MATCH(RBmatchups[[#This Row],[Name]],HBstats2[Player],0)),"0")</f>
        <v>0</v>
      </c>
      <c r="AQ88" s="14">
        <f>IFERROR(INDEX(HBstats3[RushYards],MATCH(RBmatchups[[#This Row],[Name]],HBstats3[Player],0)),"0")</f>
        <v>2</v>
      </c>
      <c r="AR88" s="32">
        <f>IFERROR(INDEX(HBallowed[Yards],MATCH(RBmatchups[[#This Row],[Opp]],HBallowed[Team],0)),"0")</f>
        <v>69.25</v>
      </c>
      <c r="AS88" s="14">
        <f>IFERROR(INDEX(HBstats1[Rush TD],MATCH(RBmatchups[[#This Row],[Name]],HBstats1[Player],0)),"0")</f>
        <v>5.0000000000000001E-3</v>
      </c>
      <c r="AT88" s="14" t="str">
        <f>IFERROR(INDEX(HBstats2[RushTD],MATCH(RBmatchups[[#This Row],[Name]],HBstats2[Player],0)),"0")</f>
        <v>0</v>
      </c>
      <c r="AU88" s="14">
        <f>IFERROR(INDEX(HBstats3[RushTD],MATCH(RBmatchups[[#This Row],[Name]],HBstats3[Player],0)),"0")</f>
        <v>0</v>
      </c>
      <c r="AV88" s="32">
        <f>IFERROR(INDEX(HBallowed[TD],MATCH(RBmatchups[[#This Row],[Opp]],HBallowed[Team],0)),"0")</f>
        <v>0.5625</v>
      </c>
      <c r="AW88" s="32">
        <f>IFERROR(INDEX(HBstats3[Targets],MATCH(RBmatchups[[#This Row],[Name]],HBstats3[Player],0)),"0")</f>
        <v>0.3</v>
      </c>
      <c r="AX88" s="32" t="str">
        <f>IFERROR(INDEX(HBstats2[Targets],MATCH(RBmatchups[[#This Row],[Name]],HBstats2[Player],0)),"0")</f>
        <v>0</v>
      </c>
      <c r="AY88" s="32">
        <f>IFERROR(INDEX(HBstats3[Targets],MATCH(RBmatchups[[#This Row],[Name]],HBstats3[Player],0)),"0")</f>
        <v>0.3</v>
      </c>
      <c r="AZ88" s="14">
        <f>IFERROR(INDEX(HBstats1[Rec],MATCH(RBmatchups[[#This Row],[Name]],HBstats1[Player],0)),"0")</f>
        <v>0.45</v>
      </c>
      <c r="BA88" s="14" t="str">
        <f>IFERROR(INDEX(HBstats2[Rec],MATCH(RBmatchups[[#This Row],[Name]],HBstats2[Player],0)),"0")</f>
        <v>0</v>
      </c>
      <c r="BB88" s="14">
        <f>IFERROR(INDEX(HBstats3[Rec],MATCH(RBmatchups[[#This Row],[Name]],HBstats3[Player],0)),"0")</f>
        <v>0.2</v>
      </c>
      <c r="BC88" s="32">
        <f>IFERROR(INDEX(HBallowed[Rec],MATCH(RBmatchups[[#This Row],[Opp]],HBallowed[Team],0)),"0")</f>
        <v>6</v>
      </c>
      <c r="BD88" s="14">
        <f>IFERROR(INDEX(HBstats1[Rec Yds],MATCH(RBmatchups[[#This Row],[Name]],HBstats1[Player],0)),"0")</f>
        <v>3.8410000000000002</v>
      </c>
      <c r="BE88" s="14" t="str">
        <f>IFERROR(INDEX(HBstats2[RecYards],MATCH(RBmatchups[[#This Row],[Name]],HBstats2[Player],0)),"0")</f>
        <v>0</v>
      </c>
      <c r="BF88" s="14">
        <f>IFERROR(INDEX(HBstats3[RecYards],MATCH(RBmatchups[[#This Row],[Name]],HBstats3[Player],0)),"0")</f>
        <v>2.6</v>
      </c>
      <c r="BG88" s="32">
        <f>IFERROR(INDEX(HBallowed[RecYards],MATCH(RBmatchups[[#This Row],[Opp]],HBallowed[Team],0)),"0")</f>
        <v>45.4375</v>
      </c>
      <c r="BH88" s="14">
        <f>IFERROR(INDEX(HBstats1[Rec TD],MATCH(RBmatchups[[#This Row],[Name]],HBstats1[Player],0)),"0")</f>
        <v>3.4000000000000002E-2</v>
      </c>
      <c r="BI88" s="14" t="str">
        <f>IFERROR(INDEX(HBstats2[RecTD],MATCH(RBmatchups[[#This Row],[Name]],HBstats2[Player],0)),"0")</f>
        <v>0</v>
      </c>
      <c r="BJ88" s="14">
        <f>IFERROR(INDEX(HBstats3[RecTD],MATCH(RBmatchups[[#This Row],[Name]],HBstats3[Player],0)),"0")</f>
        <v>0</v>
      </c>
      <c r="BK88" s="32">
        <f>IFERROR(INDEX(HBallowed[RecTD],MATCH(RBmatchups[[#This Row],[Opp]],HBallowed[Team],0)),"0")</f>
        <v>0.3125</v>
      </c>
      <c r="BL88" s="268">
        <f>IF(RBmatchups[[#This Row],[Yards]]&gt;=100,3,0)</f>
        <v>0</v>
      </c>
    </row>
    <row r="89" spans="1:64" x14ac:dyDescent="0.3">
      <c r="A89" s="37">
        <f>HBstats1!AL77</f>
        <v>0.7</v>
      </c>
      <c r="B89" s="153" t="str">
        <f>HBstats1!D77</f>
        <v>Jamize Olawale</v>
      </c>
      <c r="C89" s="154">
        <f>IFERROR(INDEX(Salaries[DraftKings (Price)],MATCH(RBmatchups[[#This Row],[Name]],Salaries[Player],0)),"")</f>
        <v>3000</v>
      </c>
      <c r="D89" s="154">
        <f>IFERROR(INDEX(DK_Salary_Changes[WeekChange],MATCH(RBmatchups[[#This Row],[Name]],DK_Salary_Changes[Player],0)),"")</f>
        <v>0</v>
      </c>
      <c r="E89" s="154" t="str">
        <f>IFERROR(INDEX(Salaries[Team],MATCH(RBmatchups[[#This Row],[Name]],Salaries[Player],0)),"")</f>
        <v>OAK</v>
      </c>
      <c r="F89" s="189" t="str">
        <f>IFERROR(INDEX(Salaries[Opp],MATCH(RBmatchups[[#This Row],[Team]],Salaries[Team],0)),"")</f>
        <v>@BAL</v>
      </c>
      <c r="G89" s="410">
        <f>IFERROR(INDEX(RBYTD[Rush ATT],MATCH(RBmatchups[Name],RBYTD[Player],0)),"0")</f>
        <v>3</v>
      </c>
      <c r="H89" s="191">
        <f>IFERROR(INDEX(RBYTD[Rush Yds],MATCH(RBmatchups[Name],RBYTD[Player],0)),"0")</f>
        <v>13</v>
      </c>
      <c r="I89" s="191">
        <f>IFERROR(INDEX(RBYTD[Rush TD],MATCH(RBmatchups[Name],RBYTD[Player],0)),"0")</f>
        <v>1</v>
      </c>
      <c r="J89" s="191">
        <f>IFERROR(INDEX(RBYTD[Rec],MATCH(RBmatchups[Name],RBYTD[Player],0)),"0")</f>
        <v>2</v>
      </c>
      <c r="K89" s="191">
        <f>IFERROR(INDEX(targettracker54[TTL],MATCH(RBmatchups[Name],targettracker54[Name],0)),"0")</f>
        <v>3</v>
      </c>
      <c r="L89" s="191">
        <f>IFERROR(INDEX(RBYTD[Rec Yds],MATCH(RBmatchups[Name],RBYTD[Player],0)),"0")</f>
        <v>28</v>
      </c>
      <c r="M89" s="411">
        <f>IFERROR(INDEX(RBYTD[Rec TD],MATCH(RBmatchups[Name],RBYTD[Player],0)),"0")</f>
        <v>0</v>
      </c>
      <c r="N89" s="441">
        <f>IFERROR(INDEX(Salaries[O/U],MATCH(RBmatchups[[#This Row],[Team]],Salaries[Team],0)),"")</f>
        <v>46.5</v>
      </c>
      <c r="O89" s="189">
        <f>IFERROR(INDEX(Salaries[Team O/U],MATCH(RBmatchups[[#This Row],[Team]],Salaries[Team],0)),"")</f>
        <v>21.5</v>
      </c>
      <c r="P89" s="442">
        <f>IFERROR(INDEX(Salaries[Spread],MATCH(RBmatchups[[#This Row],[Team]],Salaries[Team],0)),"")</f>
        <v>3.5</v>
      </c>
      <c r="Q89" s="424">
        <f>IFERROR(INDEX(HBallowed[DVP],MATCH(RBmatchups[[#This Row],[Opp]],HBallowed[Team],0)),IFERROR(INDEX(HBallowed[DVP],MATCH(RBmatchups[[#This Row],[Opp]],HBallowed[Opp],0)),""))</f>
        <v>7</v>
      </c>
      <c r="R89" s="441">
        <f>AVERAGE(RBmatchups[[#This Row],[Car1]:[Car3]])</f>
        <v>0.57000000000000006</v>
      </c>
      <c r="S89" s="190">
        <f>AVERAGE(RBmatchups[[#This Row],[Yards1]:[Yards3]])</f>
        <v>2.7210000000000001</v>
      </c>
      <c r="T89" s="189">
        <f>SUM(RBmatchups[[#This Row],[Yards]]/RBmatchups[[#This Row],[Carries2]])</f>
        <v>4.7736842105263158</v>
      </c>
      <c r="U89" s="189">
        <f>AVERAGE(RBmatchups[[#This Row],[TD1]:[TD3]])</f>
        <v>4.3999999999999997E-2</v>
      </c>
      <c r="V89" s="189">
        <f>AVERAGE(RBmatchups[[#This Row],[Tar1]:[Tar3]])</f>
        <v>0.3</v>
      </c>
      <c r="W89" s="189">
        <f>AVERAGE(RBmatchups[[#This Row],[Rec1]:[Rec3]])</f>
        <v>0.15</v>
      </c>
      <c r="X89" s="189">
        <f>AVERAGE(RBmatchups[[#This Row],[RecYards1]:[RecYards3]])</f>
        <v>1.5</v>
      </c>
      <c r="Y89" s="189">
        <f>AVERAGE(RBmatchups[[#This Row],[RecTD1]:[RecTd3]])</f>
        <v>0</v>
      </c>
      <c r="Z89" s="190">
        <f>SUM(RBmatchups[[#This Row],[Carries2]]+RBmatchups[[#This Row],[Rec4]])</f>
        <v>0.72000000000000008</v>
      </c>
      <c r="AA89" s="189">
        <f>SUM(RBmatchups[[#This Row],[Yards]]+RBmatchups[[#This Row],[RecYards]])</f>
        <v>4.2210000000000001</v>
      </c>
      <c r="AB89" s="189">
        <f>SUM(RBmatchups[[#This Row],[TD]]+RBmatchups[[#This Row],[RecTD5]])</f>
        <v>4.3999999999999997E-2</v>
      </c>
      <c r="AC89" s="191">
        <f>_xlfn.RANK.EQ(RBmatchups[Projection],RBmatchups[Projection],0)</f>
        <v>79</v>
      </c>
      <c r="AD89" s="189">
        <f>SUM(RBmatchups[[#This Row],[Total Yards]]*0.1)+(RBmatchups[[#This Row],[Rec4]]*1)+(RBmatchups[[#This Row],[Total TD]]*6)+(RBmatchups[[#This Row],[100+]])</f>
        <v>0.83610000000000007</v>
      </c>
      <c r="AE89" s="191" t="e">
        <f>_xlfn.RANK.EQ(RBmatchups[[#This Row],[$/FP]],RBmatchups[$/FP],1)</f>
        <v>#VALUE!</v>
      </c>
      <c r="AF89" s="453">
        <f>SUM(RBmatchups[[#This Row],[Salary]]/RBmatchups[[#This Row],[Projection]])</f>
        <v>3588.0875493362037</v>
      </c>
      <c r="AG89" s="448" t="e">
        <f>_xlfn.RANK.EQ(RBmatchups[[#This Row],[Average]],RBmatchups[Average],1)</f>
        <v>#VALUE!</v>
      </c>
      <c r="AH89" s="190" t="e">
        <f>AVERAGE(RBmatchups[[#This Row],[Proj Rank]],RBmatchups[[#This Row],[Value Rank]])</f>
        <v>#VALUE!</v>
      </c>
      <c r="AI89" s="214">
        <f>RBmatchups[[#This Row],[Salary]]/50000</f>
        <v>0.06</v>
      </c>
      <c r="AJ89" s="214"/>
      <c r="AK89" s="14">
        <f>IFERROR(INDEX(HBstats1[Rush Att],MATCH(RBmatchups[[#This Row],[Name]],HBstats1[Player],0)),"0")</f>
        <v>0.34</v>
      </c>
      <c r="AL89" s="14" t="str">
        <f>IFERROR(INDEX(HBstats2[Carries],MATCH(RBmatchups[[#This Row],[Name]],HBstats2[Player],0)),"0")</f>
        <v>0</v>
      </c>
      <c r="AM89" s="14">
        <f>IFERROR(INDEX(HBstats3[Carries],MATCH(RBmatchups[[#This Row],[Name]],HBstats3[Player],0)),"0")</f>
        <v>0.8</v>
      </c>
      <c r="AN89" s="14" t="str">
        <f>IFERROR(INDEX(HBallowed[Carries],MATCH(RBmatchups[[#This Row],[Opp]],HBallowed[Team],0)),"0")</f>
        <v>0</v>
      </c>
      <c r="AO89" s="14">
        <f>IFERROR(INDEX(HBstats1[Rush Yds],MATCH(RBmatchups[[#This Row],[Name]],HBstats1[Player],0)),"0")</f>
        <v>1.742</v>
      </c>
      <c r="AP89" s="14" t="str">
        <f>IFERROR(INDEX(HBstats2[RushYards],MATCH(RBmatchups[[#This Row],[Name]],HBstats2[Player],0)),"0")</f>
        <v>0</v>
      </c>
      <c r="AQ89" s="14">
        <f>IFERROR(INDEX(HBstats3[RushYards],MATCH(RBmatchups[[#This Row],[Name]],HBstats3[Player],0)),"0")</f>
        <v>3.7</v>
      </c>
      <c r="AR89" s="32" t="str">
        <f>IFERROR(INDEX(HBallowed[Yards],MATCH(RBmatchups[[#This Row],[Opp]],HBallowed[Team],0)),"0")</f>
        <v>0</v>
      </c>
      <c r="AS89" s="14">
        <f>IFERROR(INDEX(HBstats1[Rush TD],MATCH(RBmatchups[[#This Row],[Name]],HBstats1[Player],0)),"0")</f>
        <v>8.7999999999999995E-2</v>
      </c>
      <c r="AT89" s="14" t="str">
        <f>IFERROR(INDEX(HBstats2[RushTD],MATCH(RBmatchups[[#This Row],[Name]],HBstats2[Player],0)),"0")</f>
        <v>0</v>
      </c>
      <c r="AU89" s="14">
        <f>IFERROR(INDEX(HBstats3[RushTD],MATCH(RBmatchups[[#This Row],[Name]],HBstats3[Player],0)),"0")</f>
        <v>0</v>
      </c>
      <c r="AV89" s="32" t="str">
        <f>IFERROR(INDEX(HBallowed[TD],MATCH(RBmatchups[[#This Row],[Opp]],HBallowed[Team],0)),"0")</f>
        <v>0</v>
      </c>
      <c r="AW89" s="32">
        <f>IFERROR(INDEX(HBstats3[Targets],MATCH(RBmatchups[[#This Row],[Name]],HBstats3[Player],0)),"0")</f>
        <v>0.3</v>
      </c>
      <c r="AX89" s="32" t="str">
        <f>IFERROR(INDEX(HBstats2[Targets],MATCH(RBmatchups[[#This Row],[Name]],HBstats2[Player],0)),"0")</f>
        <v>0</v>
      </c>
      <c r="AY89" s="32">
        <f>IFERROR(INDEX(HBstats3[Targets],MATCH(RBmatchups[[#This Row],[Name]],HBstats3[Player],0)),"0")</f>
        <v>0.3</v>
      </c>
      <c r="AZ89" s="14">
        <f>IFERROR(INDEX(HBstats1[Rec],MATCH(RBmatchups[[#This Row],[Name]],HBstats1[Player],0)),"0")</f>
        <v>0</v>
      </c>
      <c r="BA89" s="14" t="str">
        <f>IFERROR(INDEX(HBstats2[Rec],MATCH(RBmatchups[[#This Row],[Name]],HBstats2[Player],0)),"0")</f>
        <v>0</v>
      </c>
      <c r="BB89" s="14">
        <f>IFERROR(INDEX(HBstats3[Rec],MATCH(RBmatchups[[#This Row],[Name]],HBstats3[Player],0)),"0")</f>
        <v>0.3</v>
      </c>
      <c r="BC89" s="32" t="str">
        <f>IFERROR(INDEX(HBallowed[Rec],MATCH(RBmatchups[[#This Row],[Opp]],HBallowed[Team],0)),"0")</f>
        <v>0</v>
      </c>
      <c r="BD89" s="14">
        <f>IFERROR(INDEX(HBstats1[Rec Yds],MATCH(RBmatchups[[#This Row],[Name]],HBstats1[Player],0)),"0")</f>
        <v>0</v>
      </c>
      <c r="BE89" s="14" t="str">
        <f>IFERROR(INDEX(HBstats2[RecYards],MATCH(RBmatchups[[#This Row],[Name]],HBstats2[Player],0)),"0")</f>
        <v>0</v>
      </c>
      <c r="BF89" s="14">
        <f>IFERROR(INDEX(HBstats3[RecYards],MATCH(RBmatchups[[#This Row],[Name]],HBstats3[Player],0)),"0")</f>
        <v>3</v>
      </c>
      <c r="BG89" s="32" t="str">
        <f>IFERROR(INDEX(HBallowed[RecYards],MATCH(RBmatchups[[#This Row],[Opp]],HBallowed[Team],0)),"0")</f>
        <v>0</v>
      </c>
      <c r="BH89" s="14">
        <f>IFERROR(INDEX(HBstats1[Rec TD],MATCH(RBmatchups[[#This Row],[Name]],HBstats1[Player],0)),"0")</f>
        <v>0</v>
      </c>
      <c r="BI89" s="14" t="str">
        <f>IFERROR(INDEX(HBstats2[RecTD],MATCH(RBmatchups[[#This Row],[Name]],HBstats2[Player],0)),"0")</f>
        <v>0</v>
      </c>
      <c r="BJ89" s="14">
        <f>IFERROR(INDEX(HBstats3[RecTD],MATCH(RBmatchups[[#This Row],[Name]],HBstats3[Player],0)),"0")</f>
        <v>0</v>
      </c>
      <c r="BK89" s="32" t="str">
        <f>IFERROR(INDEX(HBallowed[RecTD],MATCH(RBmatchups[[#This Row],[Opp]],HBallowed[Team],0)),"0")</f>
        <v>0</v>
      </c>
      <c r="BL89" s="268">
        <f>IF(RBmatchups[[#This Row],[Yards]]&gt;=100,3,0)</f>
        <v>0</v>
      </c>
    </row>
    <row r="90" spans="1:64" x14ac:dyDescent="0.3">
      <c r="A90" s="37">
        <f>HBstats1!AL82</f>
        <v>0.7</v>
      </c>
      <c r="B90" s="153" t="str">
        <f>HBstats1!D82</f>
        <v>Tyler Ervin</v>
      </c>
      <c r="C90" s="154">
        <f>IFERROR(INDEX(Salaries[DraftKings (Price)],MATCH(RBmatchups[[#This Row],[Name]],Salaries[Player],0)),"")</f>
        <v>3000</v>
      </c>
      <c r="D90" s="154">
        <f>IFERROR(INDEX(DK_Salary_Changes[WeekChange],MATCH(RBmatchups[[#This Row],[Name]],DK_Salary_Changes[Player],0)),"")</f>
        <v>0</v>
      </c>
      <c r="E90" s="154" t="str">
        <f>IFERROR(INDEX(Salaries[Team],MATCH(RBmatchups[[#This Row],[Name]],Salaries[Player],0)),"")</f>
        <v>HOU</v>
      </c>
      <c r="F90" s="189" t="str">
        <f>IFERROR(INDEX(Salaries[Opp],MATCH(RBmatchups[[#This Row],[Team]],Salaries[Team],0)),"")</f>
        <v>TEN</v>
      </c>
      <c r="G90" s="410" t="str">
        <f>IFERROR(INDEX(RBYTD[Rush ATT],MATCH(RBmatchups[Name],RBYTD[Player],0)),"0")</f>
        <v>0</v>
      </c>
      <c r="H90" s="191" t="str">
        <f>IFERROR(INDEX(RBYTD[Rush Yds],MATCH(RBmatchups[Name],RBYTD[Player],0)),"0")</f>
        <v>0</v>
      </c>
      <c r="I90" s="191" t="str">
        <f>IFERROR(INDEX(RBYTD[Rush TD],MATCH(RBmatchups[Name],RBYTD[Player],0)),"0")</f>
        <v>0</v>
      </c>
      <c r="J90" s="191" t="str">
        <f>IFERROR(INDEX(RBYTD[Rec],MATCH(RBmatchups[Name],RBYTD[Player],0)),"0")</f>
        <v>0</v>
      </c>
      <c r="K90" s="191">
        <f>IFERROR(INDEX(targettracker54[TTL],MATCH(RBmatchups[Name],targettracker54[Name],0)),"0")</f>
        <v>2</v>
      </c>
      <c r="L90" s="191" t="str">
        <f>IFERROR(INDEX(RBYTD[Rec Yds],MATCH(RBmatchups[Name],RBYTD[Player],0)),"0")</f>
        <v>0</v>
      </c>
      <c r="M90" s="411" t="str">
        <f>IFERROR(INDEX(RBYTD[Rec TD],MATCH(RBmatchups[Name],RBYTD[Player],0)),"0")</f>
        <v>0</v>
      </c>
      <c r="N90" s="441">
        <f>IFERROR(INDEX(Salaries[O/U],MATCH(RBmatchups[[#This Row],[Team]],Salaries[Team],0)),"")</f>
        <v>40.5</v>
      </c>
      <c r="O90" s="189">
        <f>IFERROR(INDEX(Salaries[Team O/U],MATCH(RBmatchups[[#This Row],[Team]],Salaries[Team],0)),"")</f>
        <v>23.5</v>
      </c>
      <c r="P90" s="442">
        <f>IFERROR(INDEX(Salaries[Spread],MATCH(RBmatchups[[#This Row],[Team]],Salaries[Team],0)),"")</f>
        <v>-6.5</v>
      </c>
      <c r="Q90" s="424">
        <f>IFERROR(INDEX(HBallowed[DVP],MATCH(RBmatchups[[#This Row],[Opp]],HBallowed[Team],0)),IFERROR(INDEX(HBallowed[DVP],MATCH(RBmatchups[[#This Row],[Opp]],HBallowed[Opp],0)),""))</f>
        <v>5</v>
      </c>
      <c r="R90" s="441">
        <f>AVERAGE(RBmatchups[[#This Row],[Car1]:[Car3]])</f>
        <v>0.54</v>
      </c>
      <c r="S90" s="190">
        <f>AVERAGE(RBmatchups[[#This Row],[Yards1]:[Yards3]])</f>
        <v>2.0865</v>
      </c>
      <c r="T90" s="189">
        <f>SUM(RBmatchups[[#This Row],[Yards]]/RBmatchups[[#This Row],[Carries2]])</f>
        <v>3.8638888888888885</v>
      </c>
      <c r="U90" s="189">
        <f>AVERAGE(RBmatchups[[#This Row],[TD1]:[TD3]])</f>
        <v>0</v>
      </c>
      <c r="V90" s="189">
        <f>AVERAGE(RBmatchups[[#This Row],[Tar1]:[Tar3]])</f>
        <v>0.3</v>
      </c>
      <c r="W90" s="189">
        <f>AVERAGE(RBmatchups[[#This Row],[Rec1]:[Rec3]])</f>
        <v>0.29200000000000004</v>
      </c>
      <c r="X90" s="189">
        <f>AVERAGE(RBmatchups[[#This Row],[RecYards1]:[RecYards3]])</f>
        <v>2.0855000000000001</v>
      </c>
      <c r="Y90" s="189">
        <f>AVERAGE(RBmatchups[[#This Row],[RecTD1]:[RecTd3]])</f>
        <v>7.4999999999999997E-3</v>
      </c>
      <c r="Z90" s="190">
        <f>SUM(RBmatchups[[#This Row],[Carries2]]+RBmatchups[[#This Row],[Rec4]])</f>
        <v>0.83200000000000007</v>
      </c>
      <c r="AA90" s="189">
        <f>SUM(RBmatchups[[#This Row],[Yards]]+RBmatchups[[#This Row],[RecYards]])</f>
        <v>4.1720000000000006</v>
      </c>
      <c r="AB90" s="189">
        <f>SUM(RBmatchups[[#This Row],[TD]]+RBmatchups[[#This Row],[RecTD5]])</f>
        <v>7.4999999999999997E-3</v>
      </c>
      <c r="AC90" s="191">
        <f>_xlfn.RANK.EQ(RBmatchups[Projection],RBmatchups[Projection],0)</f>
        <v>80</v>
      </c>
      <c r="AD90" s="189">
        <f>SUM(RBmatchups[[#This Row],[Total Yards]]*0.1)+(RBmatchups[[#This Row],[Rec4]]*1)+(RBmatchups[[#This Row],[Total TD]]*6)+(RBmatchups[[#This Row],[100+]])</f>
        <v>0.75420000000000009</v>
      </c>
      <c r="AE90" s="191" t="e">
        <f>_xlfn.RANK.EQ(RBmatchups[[#This Row],[$/FP]],RBmatchups[$/FP],1)</f>
        <v>#VALUE!</v>
      </c>
      <c r="AF90" s="453">
        <f>SUM(RBmatchups[[#This Row],[Salary]]/RBmatchups[[#This Row],[Projection]])</f>
        <v>3977.7247414478911</v>
      </c>
      <c r="AG90" s="448" t="e">
        <f>_xlfn.RANK.EQ(RBmatchups[[#This Row],[Average]],RBmatchups[Average],1)</f>
        <v>#VALUE!</v>
      </c>
      <c r="AH90" s="190" t="e">
        <f>AVERAGE(RBmatchups[[#This Row],[Proj Rank]],RBmatchups[[#This Row],[Value Rank]])</f>
        <v>#VALUE!</v>
      </c>
      <c r="AI90" s="214">
        <f>RBmatchups[[#This Row],[Salary]]/50000</f>
        <v>0.06</v>
      </c>
      <c r="AJ90" s="214"/>
      <c r="AK90" s="14">
        <f>IFERROR(INDEX(HBstats1[Rush Att],MATCH(RBmatchups[[#This Row],[Name]],HBstats1[Player],0)),"0")</f>
        <v>0.48</v>
      </c>
      <c r="AL90" s="14" t="str">
        <f>IFERROR(INDEX(HBstats2[Carries],MATCH(RBmatchups[[#This Row],[Name]],HBstats2[Player],0)),"0")</f>
        <v>0</v>
      </c>
      <c r="AM90" s="14">
        <f>IFERROR(INDEX(HBstats3[Carries],MATCH(RBmatchups[[#This Row],[Name]],HBstats3[Player],0)),"0")</f>
        <v>0.6</v>
      </c>
      <c r="AN90" s="14">
        <f>IFERROR(INDEX(HBallowed[Carries],MATCH(RBmatchups[[#This Row],[Opp]],HBallowed[Team],0)),"0")</f>
        <v>19.3125</v>
      </c>
      <c r="AO90" s="14">
        <f>IFERROR(INDEX(HBstats1[Rush Yds],MATCH(RBmatchups[[#This Row],[Name]],HBstats1[Player],0)),"0")</f>
        <v>1.7729999999999999</v>
      </c>
      <c r="AP90" s="14" t="str">
        <f>IFERROR(INDEX(HBstats2[RushYards],MATCH(RBmatchups[[#This Row],[Name]],HBstats2[Player],0)),"0")</f>
        <v>0</v>
      </c>
      <c r="AQ90" s="14">
        <f>IFERROR(INDEX(HBstats3[RushYards],MATCH(RBmatchups[[#This Row],[Name]],HBstats3[Player],0)),"0")</f>
        <v>2.4</v>
      </c>
      <c r="AR90" s="32">
        <f>IFERROR(INDEX(HBallowed[Yards],MATCH(RBmatchups[[#This Row],[Opp]],HBallowed[Team],0)),"0")</f>
        <v>64.4375</v>
      </c>
      <c r="AS90" s="14">
        <f>IFERROR(INDEX(HBstats1[Rush TD],MATCH(RBmatchups[[#This Row],[Name]],HBstats1[Player],0)),"0")</f>
        <v>0</v>
      </c>
      <c r="AT90" s="14" t="str">
        <f>IFERROR(INDEX(HBstats2[RushTD],MATCH(RBmatchups[[#This Row],[Name]],HBstats2[Player],0)),"0")</f>
        <v>0</v>
      </c>
      <c r="AU90" s="14">
        <f>IFERROR(INDEX(HBstats3[RushTD],MATCH(RBmatchups[[#This Row],[Name]],HBstats3[Player],0)),"0")</f>
        <v>0</v>
      </c>
      <c r="AV90" s="32">
        <f>IFERROR(INDEX(HBallowed[TD],MATCH(RBmatchups[[#This Row],[Opp]],HBallowed[Team],0)),"0")</f>
        <v>0.125</v>
      </c>
      <c r="AW90" s="32">
        <f>IFERROR(INDEX(HBstats3[Targets],MATCH(RBmatchups[[#This Row],[Name]],HBstats3[Player],0)),"0")</f>
        <v>0.3</v>
      </c>
      <c r="AX90" s="32" t="str">
        <f>IFERROR(INDEX(HBstats2[Targets],MATCH(RBmatchups[[#This Row],[Name]],HBstats2[Player],0)),"0")</f>
        <v>0</v>
      </c>
      <c r="AY90" s="32">
        <f>IFERROR(INDEX(HBstats3[Targets],MATCH(RBmatchups[[#This Row],[Name]],HBstats3[Player],0)),"0")</f>
        <v>0.3</v>
      </c>
      <c r="AZ90" s="14">
        <f>IFERROR(INDEX(HBstats1[Rec],MATCH(RBmatchups[[#This Row],[Name]],HBstats1[Player],0)),"0")</f>
        <v>0.38400000000000001</v>
      </c>
      <c r="BA90" s="14" t="str">
        <f>IFERROR(INDEX(HBstats2[Rec],MATCH(RBmatchups[[#This Row],[Name]],HBstats2[Player],0)),"0")</f>
        <v>0</v>
      </c>
      <c r="BB90" s="14">
        <f>IFERROR(INDEX(HBstats3[Rec],MATCH(RBmatchups[[#This Row],[Name]],HBstats3[Player],0)),"0")</f>
        <v>0.2</v>
      </c>
      <c r="BC90" s="32">
        <f>IFERROR(INDEX(HBallowed[Rec],MATCH(RBmatchups[[#This Row],[Opp]],HBallowed[Team],0)),"0")</f>
        <v>5</v>
      </c>
      <c r="BD90" s="14">
        <f>IFERROR(INDEX(HBstats1[Rec Yds],MATCH(RBmatchups[[#This Row],[Name]],HBstats1[Player],0)),"0")</f>
        <v>2.4710000000000001</v>
      </c>
      <c r="BE90" s="14" t="str">
        <f>IFERROR(INDEX(HBstats2[RecYards],MATCH(RBmatchups[[#This Row],[Name]],HBstats2[Player],0)),"0")</f>
        <v>0</v>
      </c>
      <c r="BF90" s="14">
        <f>IFERROR(INDEX(HBstats3[RecYards],MATCH(RBmatchups[[#This Row],[Name]],HBstats3[Player],0)),"0")</f>
        <v>1.7</v>
      </c>
      <c r="BG90" s="32">
        <f>IFERROR(INDEX(HBallowed[RecYards],MATCH(RBmatchups[[#This Row],[Opp]],HBallowed[Team],0)),"0")</f>
        <v>40.9375</v>
      </c>
      <c r="BH90" s="14">
        <f>IFERROR(INDEX(HBstats1[Rec TD],MATCH(RBmatchups[[#This Row],[Name]],HBstats1[Player],0)),"0")</f>
        <v>1.4999999999999999E-2</v>
      </c>
      <c r="BI90" s="14" t="str">
        <f>IFERROR(INDEX(HBstats2[RecTD],MATCH(RBmatchups[[#This Row],[Name]],HBstats2[Player],0)),"0")</f>
        <v>0</v>
      </c>
      <c r="BJ90" s="14">
        <f>IFERROR(INDEX(HBstats3[RecTD],MATCH(RBmatchups[[#This Row],[Name]],HBstats3[Player],0)),"0")</f>
        <v>0</v>
      </c>
      <c r="BK90" s="32">
        <f>IFERROR(INDEX(HBallowed[RecTD],MATCH(RBmatchups[[#This Row],[Opp]],HBallowed[Team],0)),"0")</f>
        <v>0.3125</v>
      </c>
      <c r="BL90" s="268">
        <f>IF(RBmatchups[[#This Row],[Yards]]&gt;=100,3,0)</f>
        <v>0</v>
      </c>
    </row>
    <row r="91" spans="1:64" x14ac:dyDescent="0.3">
      <c r="A91" s="37">
        <f>HBstats1!AL83</f>
        <v>0.5</v>
      </c>
      <c r="B91" s="153" t="str">
        <f>HBstats1!D83</f>
        <v>Patrick DiMarco</v>
      </c>
      <c r="C91" s="154">
        <f>IFERROR(INDEX(Salaries[DraftKings (Price)],MATCH(RBmatchups[[#This Row],[Name]],Salaries[Player],0)),"")</f>
        <v>3000</v>
      </c>
      <c r="D91" s="154">
        <f>IFERROR(INDEX(DK_Salary_Changes[WeekChange],MATCH(RBmatchups[[#This Row],[Name]],DK_Salary_Changes[Player],0)),"")</f>
        <v>0</v>
      </c>
      <c r="E91" s="154" t="str">
        <f>IFERROR(INDEX(Salaries[Team],MATCH(RBmatchups[[#This Row],[Name]],Salaries[Player],0)),"")</f>
        <v>ATL</v>
      </c>
      <c r="F91" s="189" t="str">
        <f>IFERROR(INDEX(Salaries[Opp],MATCH(RBmatchups[[#This Row],[Team]],Salaries[Team],0)),"")</f>
        <v>CAR</v>
      </c>
      <c r="G91" s="410" t="str">
        <f>IFERROR(INDEX(RBYTD[Rush ATT],MATCH(RBmatchups[Name],RBYTD[Player],0)),"0")</f>
        <v>0</v>
      </c>
      <c r="H91" s="191" t="str">
        <f>IFERROR(INDEX(RBYTD[Rush Yds],MATCH(RBmatchups[Name],RBYTD[Player],0)),"0")</f>
        <v>0</v>
      </c>
      <c r="I91" s="191" t="str">
        <f>IFERROR(INDEX(RBYTD[Rush TD],MATCH(RBmatchups[Name],RBYTD[Player],0)),"0")</f>
        <v>0</v>
      </c>
      <c r="J91" s="191" t="str">
        <f>IFERROR(INDEX(RBYTD[Rec],MATCH(RBmatchups[Name],RBYTD[Player],0)),"0")</f>
        <v>0</v>
      </c>
      <c r="K91" s="191">
        <f>IFERROR(INDEX(targettracker54[TTL],MATCH(RBmatchups[Name],targettracker54[Name],0)),"0")</f>
        <v>1</v>
      </c>
      <c r="L91" s="191" t="str">
        <f>IFERROR(INDEX(RBYTD[Rec Yds],MATCH(RBmatchups[Name],RBYTD[Player],0)),"0")</f>
        <v>0</v>
      </c>
      <c r="M91" s="411" t="str">
        <f>IFERROR(INDEX(RBYTD[Rec TD],MATCH(RBmatchups[Name],RBYTD[Player],0)),"0")</f>
        <v>0</v>
      </c>
      <c r="N91" s="441">
        <f>IFERROR(INDEX(Salaries[O/U],MATCH(RBmatchups[[#This Row],[Team]],Salaries[Team],0)),"")</f>
        <v>50</v>
      </c>
      <c r="O91" s="190">
        <f>IFERROR(INDEX(Salaries[Team O/U],MATCH(RBmatchups[[#This Row],[Team]],Salaries[Team],0)),"")</f>
        <v>23.5</v>
      </c>
      <c r="P91" s="443">
        <f>IFERROR(INDEX(Salaries[Spread],MATCH(RBmatchups[[#This Row],[Team]],Salaries[Team],0)),"")</f>
        <v>3</v>
      </c>
      <c r="Q91" s="424">
        <f>IFERROR(INDEX(HBallowed[DVP],MATCH(RBmatchups[[#This Row],[Opp]],HBallowed[Team],0)),IFERROR(INDEX(HBallowed[DVP],MATCH(RBmatchups[[#This Row],[Opp]],HBallowed[Opp],0)),""))</f>
        <v>13</v>
      </c>
      <c r="R91" s="441">
        <f>AVERAGE(RBmatchups[[#This Row],[Car1]:[Car3]])</f>
        <v>0.1</v>
      </c>
      <c r="S91" s="190">
        <f>AVERAGE(RBmatchups[[#This Row],[Yards1]:[Yards3]])</f>
        <v>0.4</v>
      </c>
      <c r="T91" s="189">
        <f>SUM(RBmatchups[[#This Row],[Yards]]/RBmatchups[[#This Row],[Carries2]])</f>
        <v>4</v>
      </c>
      <c r="U91" s="189">
        <f>AVERAGE(RBmatchups[[#This Row],[TD1]:[TD3]])</f>
        <v>0</v>
      </c>
      <c r="V91" s="189">
        <f>AVERAGE(RBmatchups[[#This Row],[Tar1]:[Tar3]])</f>
        <v>0.4</v>
      </c>
      <c r="W91" s="189">
        <f>AVERAGE(RBmatchups[[#This Row],[Rec1]:[Rec3]])</f>
        <v>0.32299999999999995</v>
      </c>
      <c r="X91" s="189">
        <f>AVERAGE(RBmatchups[[#This Row],[RecYards1]:[RecYards3]])</f>
        <v>2.4615</v>
      </c>
      <c r="Y91" s="189">
        <f>AVERAGE(RBmatchups[[#This Row],[RecTD1]:[RecTd3]])</f>
        <v>8.9999999999999993E-3</v>
      </c>
      <c r="Z91" s="190">
        <f>SUM(RBmatchups[[#This Row],[Carries2]]+RBmatchups[[#This Row],[Rec4]])</f>
        <v>0.42299999999999993</v>
      </c>
      <c r="AA91" s="189">
        <f>SUM(RBmatchups[[#This Row],[Yards]]+RBmatchups[[#This Row],[RecYards]])</f>
        <v>2.8614999999999999</v>
      </c>
      <c r="AB91" s="189">
        <f>SUM(RBmatchups[[#This Row],[TD]]+RBmatchups[[#This Row],[RecTD5]])</f>
        <v>8.9999999999999993E-3</v>
      </c>
      <c r="AC91" s="191">
        <f>_xlfn.RANK.EQ(RBmatchups[Projection],RBmatchups[Projection],0)</f>
        <v>81</v>
      </c>
      <c r="AD91" s="189">
        <f>SUM(RBmatchups[[#This Row],[Total Yards]]*0.1)+(RBmatchups[[#This Row],[Rec4]]*1)+(RBmatchups[[#This Row],[Total TD]]*6)+(RBmatchups[[#This Row],[100+]])</f>
        <v>0.66314999999999991</v>
      </c>
      <c r="AE91" s="191" t="e">
        <f>_xlfn.RANK.EQ(RBmatchups[[#This Row],[$/FP]],RBmatchups[$/FP],1)</f>
        <v>#VALUE!</v>
      </c>
      <c r="AF91" s="453">
        <f>SUM(RBmatchups[[#This Row],[Salary]]/RBmatchups[[#This Row],[Projection]])</f>
        <v>4523.8633793259451</v>
      </c>
      <c r="AG91" s="448" t="e">
        <f>_xlfn.RANK.EQ(RBmatchups[[#This Row],[Average]],RBmatchups[Average],1)</f>
        <v>#VALUE!</v>
      </c>
      <c r="AH91" s="190" t="e">
        <f>AVERAGE(RBmatchups[[#This Row],[Proj Rank]],RBmatchups[[#This Row],[Value Rank]])</f>
        <v>#VALUE!</v>
      </c>
      <c r="AI91" s="214">
        <f>RBmatchups[[#This Row],[Salary]]/50000</f>
        <v>0.06</v>
      </c>
      <c r="AJ91" s="214"/>
      <c r="AK91" s="14">
        <f>IFERROR(INDEX(HBstats1[Rush Att],MATCH(RBmatchups[[#This Row],[Name]],HBstats1[Player],0)),"0")</f>
        <v>0</v>
      </c>
      <c r="AL91" s="14" t="str">
        <f>IFERROR(INDEX(HBstats2[Carries],MATCH(RBmatchups[[#This Row],[Name]],HBstats2[Player],0)),"0")</f>
        <v>0</v>
      </c>
      <c r="AM91" s="14">
        <f>IFERROR(INDEX(HBstats3[Carries],MATCH(RBmatchups[[#This Row],[Name]],HBstats3[Player],0)),"0")</f>
        <v>0.2</v>
      </c>
      <c r="AN91" s="14">
        <f>IFERROR(INDEX(HBallowed[Carries],MATCH(RBmatchups[[#This Row],[Opp]],HBallowed[Team],0)),"0")</f>
        <v>22.4375</v>
      </c>
      <c r="AO91" s="14">
        <f>IFERROR(INDEX(HBstats1[Rush Yds],MATCH(RBmatchups[[#This Row],[Name]],HBstats1[Player],0)),"0")</f>
        <v>0</v>
      </c>
      <c r="AP91" s="14" t="str">
        <f>IFERROR(INDEX(HBstats2[RushYards],MATCH(RBmatchups[[#This Row],[Name]],HBstats2[Player],0)),"0")</f>
        <v>0</v>
      </c>
      <c r="AQ91" s="14">
        <f>IFERROR(INDEX(HBstats3[RushYards],MATCH(RBmatchups[[#This Row],[Name]],HBstats3[Player],0)),"0")</f>
        <v>0.8</v>
      </c>
      <c r="AR91" s="32">
        <f>IFERROR(INDEX(HBallowed[Yards],MATCH(RBmatchups[[#This Row],[Opp]],HBallowed[Team],0)),"0")</f>
        <v>90.0625</v>
      </c>
      <c r="AS91" s="14">
        <f>IFERROR(INDEX(HBstats1[Rush TD],MATCH(RBmatchups[[#This Row],[Name]],HBstats1[Player],0)),"0")</f>
        <v>0</v>
      </c>
      <c r="AT91" s="14" t="str">
        <f>IFERROR(INDEX(HBstats2[RushTD],MATCH(RBmatchups[[#This Row],[Name]],HBstats2[Player],0)),"0")</f>
        <v>0</v>
      </c>
      <c r="AU91" s="14">
        <f>IFERROR(INDEX(HBstats3[RushTD],MATCH(RBmatchups[[#This Row],[Name]],HBstats3[Player],0)),"0")</f>
        <v>0</v>
      </c>
      <c r="AV91" s="32">
        <f>IFERROR(INDEX(HBallowed[TD],MATCH(RBmatchups[[#This Row],[Opp]],HBallowed[Team],0)),"0")</f>
        <v>1</v>
      </c>
      <c r="AW91" s="32">
        <f>IFERROR(INDEX(HBstats3[Targets],MATCH(RBmatchups[[#This Row],[Name]],HBstats3[Player],0)),"0")</f>
        <v>0.4</v>
      </c>
      <c r="AX91" s="32" t="str">
        <f>IFERROR(INDEX(HBstats2[Targets],MATCH(RBmatchups[[#This Row],[Name]],HBstats2[Player],0)),"0")</f>
        <v>0</v>
      </c>
      <c r="AY91" s="32">
        <f>IFERROR(INDEX(HBstats3[Targets],MATCH(RBmatchups[[#This Row],[Name]],HBstats3[Player],0)),"0")</f>
        <v>0.4</v>
      </c>
      <c r="AZ91" s="14">
        <f>IFERROR(INDEX(HBstats1[Rec],MATCH(RBmatchups[[#This Row],[Name]],HBstats1[Player],0)),"0")</f>
        <v>0.34599999999999997</v>
      </c>
      <c r="BA91" s="14" t="str">
        <f>IFERROR(INDEX(HBstats2[Rec],MATCH(RBmatchups[[#This Row],[Name]],HBstats2[Player],0)),"0")</f>
        <v>0</v>
      </c>
      <c r="BB91" s="14">
        <f>IFERROR(INDEX(HBstats3[Rec],MATCH(RBmatchups[[#This Row],[Name]],HBstats3[Player],0)),"0")</f>
        <v>0.3</v>
      </c>
      <c r="BC91" s="32">
        <f>IFERROR(INDEX(HBallowed[Rec],MATCH(RBmatchups[[#This Row],[Opp]],HBallowed[Team],0)),"0")</f>
        <v>7.375</v>
      </c>
      <c r="BD91" s="14">
        <f>IFERROR(INDEX(HBstats1[Rec Yds],MATCH(RBmatchups[[#This Row],[Name]],HBstats1[Player],0)),"0")</f>
        <v>2.7229999999999999</v>
      </c>
      <c r="BE91" s="14" t="str">
        <f>IFERROR(INDEX(HBstats2[RecYards],MATCH(RBmatchups[[#This Row],[Name]],HBstats2[Player],0)),"0")</f>
        <v>0</v>
      </c>
      <c r="BF91" s="14">
        <f>IFERROR(INDEX(HBstats3[RecYards],MATCH(RBmatchups[[#This Row],[Name]],HBstats3[Player],0)),"0")</f>
        <v>2.2000000000000002</v>
      </c>
      <c r="BG91" s="32">
        <f>IFERROR(INDEX(HBallowed[RecYards],MATCH(RBmatchups[[#This Row],[Opp]],HBallowed[Team],0)),"0")</f>
        <v>59</v>
      </c>
      <c r="BH91" s="14">
        <f>IFERROR(INDEX(HBstats1[Rec TD],MATCH(RBmatchups[[#This Row],[Name]],HBstats1[Player],0)),"0")</f>
        <v>1.7999999999999999E-2</v>
      </c>
      <c r="BI91" s="14" t="str">
        <f>IFERROR(INDEX(HBstats2[RecTD],MATCH(RBmatchups[[#This Row],[Name]],HBstats2[Player],0)),"0")</f>
        <v>0</v>
      </c>
      <c r="BJ91" s="14">
        <f>IFERROR(INDEX(HBstats3[RecTD],MATCH(RBmatchups[[#This Row],[Name]],HBstats3[Player],0)),"0")</f>
        <v>0</v>
      </c>
      <c r="BK91" s="32">
        <f>IFERROR(INDEX(HBallowed[RecTD],MATCH(RBmatchups[[#This Row],[Opp]],HBallowed[Team],0)),"0")</f>
        <v>0.1875</v>
      </c>
      <c r="BL91" s="268">
        <f>IF(RBmatchups[[#This Row],[Yards]]&gt;=100,3,0)</f>
        <v>0</v>
      </c>
    </row>
    <row r="92" spans="1:64" x14ac:dyDescent="0.3">
      <c r="A92" s="37">
        <f>HBstats1!AL85</f>
        <v>0.4</v>
      </c>
      <c r="B92" s="153" t="str">
        <f>HBstats1!D85</f>
        <v>Anthony Sherman</v>
      </c>
      <c r="C92" s="154">
        <f>IFERROR(INDEX(Salaries[DraftKings (Price)],MATCH(RBmatchups[[#This Row],[Name]],Salaries[Player],0)),"")</f>
        <v>3000</v>
      </c>
      <c r="D92" s="154">
        <f>IFERROR(INDEX(DK_Salary_Changes[WeekChange],MATCH(RBmatchups[[#This Row],[Name]],DK_Salary_Changes[Player],0)),"")</f>
        <v>0</v>
      </c>
      <c r="E92" s="154" t="str">
        <f>IFERROR(INDEX(Salaries[Team],MATCH(RBmatchups[[#This Row],[Name]],Salaries[Player],0)),"")</f>
        <v>KC</v>
      </c>
      <c r="F92" s="189" t="str">
        <f>IFERROR(INDEX(Salaries[Opp],MATCH(RBmatchups[[#This Row],[Team]],Salaries[Team],0)),"")</f>
        <v>@PIT</v>
      </c>
      <c r="G92" s="410" t="str">
        <f>IFERROR(INDEX(RBYTD[Rush ATT],MATCH(RBmatchups[Name],RBYTD[Player],0)),"0")</f>
        <v>0</v>
      </c>
      <c r="H92" s="191" t="str">
        <f>IFERROR(INDEX(RBYTD[Rush Yds],MATCH(RBmatchups[Name],RBYTD[Player],0)),"0")</f>
        <v>0</v>
      </c>
      <c r="I92" s="191" t="str">
        <f>IFERROR(INDEX(RBYTD[Rush TD],MATCH(RBmatchups[Name],RBYTD[Player],0)),"0")</f>
        <v>0</v>
      </c>
      <c r="J92" s="191" t="str">
        <f>IFERROR(INDEX(RBYTD[Rec],MATCH(RBmatchups[Name],RBYTD[Player],0)),"0")</f>
        <v>0</v>
      </c>
      <c r="K92" s="191">
        <f>IFERROR(INDEX(targettracker54[TTL],MATCH(RBmatchups[Name],targettracker54[Name],0)),"0")</f>
        <v>1</v>
      </c>
      <c r="L92" s="191" t="str">
        <f>IFERROR(INDEX(RBYTD[Rec Yds],MATCH(RBmatchups[Name],RBYTD[Player],0)),"0")</f>
        <v>0</v>
      </c>
      <c r="M92" s="411" t="str">
        <f>IFERROR(INDEX(RBYTD[Rec TD],MATCH(RBmatchups[Name],RBYTD[Player],0)),"0")</f>
        <v>0</v>
      </c>
      <c r="N92" s="441">
        <f>IFERROR(INDEX(Salaries[O/U],MATCH(RBmatchups[[#This Row],[Team]],Salaries[Team],0)),"")</f>
        <v>47.5</v>
      </c>
      <c r="O92" s="189">
        <f>IFERROR(INDEX(Salaries[Team O/U],MATCH(RBmatchups[[#This Row],[Team]],Salaries[Team],0)),"")</f>
        <v>21</v>
      </c>
      <c r="P92" s="442">
        <f>IFERROR(INDEX(Salaries[Spread],MATCH(RBmatchups[[#This Row],[Team]],Salaries[Team],0)),"")</f>
        <v>5.5</v>
      </c>
      <c r="Q92" s="424">
        <f>IFERROR(INDEX(HBallowed[DVP],MATCH(RBmatchups[[#This Row],[Opp]],HBallowed[Team],0)),IFERROR(INDEX(HBallowed[DVP],MATCH(RBmatchups[[#This Row],[Opp]],HBallowed[Opp],0)),""))</f>
        <v>3</v>
      </c>
      <c r="R92" s="441">
        <f>AVERAGE(RBmatchups[[#This Row],[Car1]:[Car3]])</f>
        <v>0</v>
      </c>
      <c r="S92" s="190">
        <f>AVERAGE(RBmatchups[[#This Row],[Yards1]:[Yards3]])</f>
        <v>0</v>
      </c>
      <c r="T92" s="189" t="e">
        <f>SUM(RBmatchups[[#This Row],[Yards]]/RBmatchups[[#This Row],[Carries2]])</f>
        <v>#DIV/0!</v>
      </c>
      <c r="U92" s="189">
        <f>AVERAGE(RBmatchups[[#This Row],[TD1]:[TD3]])</f>
        <v>0</v>
      </c>
      <c r="V92" s="189" t="e">
        <f>AVERAGE(RBmatchups[[#This Row],[Tar1]:[Tar3]])</f>
        <v>#DIV/0!</v>
      </c>
      <c r="W92" s="189">
        <f>AVERAGE(RBmatchups[[#This Row],[Rec1]:[Rec3]])</f>
        <v>0.38100000000000001</v>
      </c>
      <c r="X92" s="189">
        <f>AVERAGE(RBmatchups[[#This Row],[RecYards1]:[RecYards3]])</f>
        <v>2.645</v>
      </c>
      <c r="Y92" s="189">
        <f>AVERAGE(RBmatchups[[#This Row],[RecTD1]:[RecTd3]])</f>
        <v>0</v>
      </c>
      <c r="Z92" s="190">
        <f>SUM(RBmatchups[[#This Row],[Carries2]]+RBmatchups[[#This Row],[Rec4]])</f>
        <v>0.38100000000000001</v>
      </c>
      <c r="AA92" s="189">
        <f>SUM(RBmatchups[[#This Row],[Yards]]+RBmatchups[[#This Row],[RecYards]])</f>
        <v>2.645</v>
      </c>
      <c r="AB92" s="189">
        <f>SUM(RBmatchups[[#This Row],[TD]]+RBmatchups[[#This Row],[RecTD5]])</f>
        <v>0</v>
      </c>
      <c r="AC92" s="191">
        <f>_xlfn.RANK.EQ(RBmatchups[Projection],RBmatchups[Projection],0)</f>
        <v>82</v>
      </c>
      <c r="AD92" s="189">
        <f>SUM(RBmatchups[[#This Row],[Total Yards]]*0.1)+(RBmatchups[[#This Row],[Rec4]]*1)+(RBmatchups[[#This Row],[Total TD]]*6)+(RBmatchups[[#This Row],[100+]])</f>
        <v>0.64549999999999996</v>
      </c>
      <c r="AE92" s="191" t="e">
        <f>_xlfn.RANK.EQ(RBmatchups[[#This Row],[$/FP]],RBmatchups[$/FP],1)</f>
        <v>#VALUE!</v>
      </c>
      <c r="AF92" s="453">
        <f>SUM(RBmatchups[[#This Row],[Salary]]/RBmatchups[[#This Row],[Projection]])</f>
        <v>4647.5600309837337</v>
      </c>
      <c r="AG92" s="448" t="e">
        <f>_xlfn.RANK.EQ(RBmatchups[[#This Row],[Average]],RBmatchups[Average],1)</f>
        <v>#VALUE!</v>
      </c>
      <c r="AH92" s="190" t="e">
        <f>AVERAGE(RBmatchups[[#This Row],[Proj Rank]],RBmatchups[[#This Row],[Value Rank]])</f>
        <v>#VALUE!</v>
      </c>
      <c r="AI92" s="214">
        <f>RBmatchups[[#This Row],[Salary]]/50000</f>
        <v>0.06</v>
      </c>
      <c r="AJ92" s="214"/>
      <c r="AK92" s="14">
        <f>IFERROR(INDEX(HBstats1[Rush Att],MATCH(RBmatchups[[#This Row],[Name]],HBstats1[Player],0)),"0")</f>
        <v>0</v>
      </c>
      <c r="AL92" s="14" t="str">
        <f>IFERROR(INDEX(HBstats2[Carries],MATCH(RBmatchups[[#This Row],[Name]],HBstats2[Player],0)),"0")</f>
        <v>0</v>
      </c>
      <c r="AM92" s="14" t="str">
        <f>IFERROR(INDEX(HBstats3[Carries],MATCH(RBmatchups[[#This Row],[Name]],HBstats3[Player],0)),"0")</f>
        <v>0</v>
      </c>
      <c r="AN92" s="14" t="str">
        <f>IFERROR(INDEX(HBallowed[Carries],MATCH(RBmatchups[[#This Row],[Opp]],HBallowed[Team],0)),"0")</f>
        <v>0</v>
      </c>
      <c r="AO92" s="14">
        <f>IFERROR(INDEX(HBstats1[Rush Yds],MATCH(RBmatchups[[#This Row],[Name]],HBstats1[Player],0)),"0")</f>
        <v>0</v>
      </c>
      <c r="AP92" s="14" t="str">
        <f>IFERROR(INDEX(HBstats2[RushYards],MATCH(RBmatchups[[#This Row],[Name]],HBstats2[Player],0)),"0")</f>
        <v>0</v>
      </c>
      <c r="AQ92" s="14" t="str">
        <f>IFERROR(INDEX(HBstats3[RushYards],MATCH(RBmatchups[[#This Row],[Name]],HBstats3[Player],0)),"0")</f>
        <v>0</v>
      </c>
      <c r="AR92" s="32" t="str">
        <f>IFERROR(INDEX(HBallowed[Yards],MATCH(RBmatchups[[#This Row],[Opp]],HBallowed[Team],0)),"0")</f>
        <v>0</v>
      </c>
      <c r="AS92" s="14">
        <f>IFERROR(INDEX(HBstats1[Rush TD],MATCH(RBmatchups[[#This Row],[Name]],HBstats1[Player],0)),"0")</f>
        <v>0</v>
      </c>
      <c r="AT92" s="14" t="str">
        <f>IFERROR(INDEX(HBstats2[RushTD],MATCH(RBmatchups[[#This Row],[Name]],HBstats2[Player],0)),"0")</f>
        <v>0</v>
      </c>
      <c r="AU92" s="14" t="str">
        <f>IFERROR(INDEX(HBstats3[RushTD],MATCH(RBmatchups[[#This Row],[Name]],HBstats3[Player],0)),"0")</f>
        <v>0</v>
      </c>
      <c r="AV92" s="32" t="str">
        <f>IFERROR(INDEX(HBallowed[TD],MATCH(RBmatchups[[#This Row],[Opp]],HBallowed[Team],0)),"0")</f>
        <v>0</v>
      </c>
      <c r="AW92" s="32" t="str">
        <f>IFERROR(INDEX(HBstats3[Targets],MATCH(RBmatchups[[#This Row],[Name]],HBstats3[Player],0)),"0")</f>
        <v>0</v>
      </c>
      <c r="AX92" s="32" t="str">
        <f>IFERROR(INDEX(HBstats2[Targets],MATCH(RBmatchups[[#This Row],[Name]],HBstats2[Player],0)),"0")</f>
        <v>0</v>
      </c>
      <c r="AY92" s="32" t="str">
        <f>IFERROR(INDEX(HBstats3[Targets],MATCH(RBmatchups[[#This Row],[Name]],HBstats3[Player],0)),"0")</f>
        <v>0</v>
      </c>
      <c r="AZ92" s="14">
        <f>IFERROR(INDEX(HBstats1[Rec],MATCH(RBmatchups[[#This Row],[Name]],HBstats1[Player],0)),"0")</f>
        <v>0.38100000000000001</v>
      </c>
      <c r="BA92" s="14" t="str">
        <f>IFERROR(INDEX(HBstats2[Rec],MATCH(RBmatchups[[#This Row],[Name]],HBstats2[Player],0)),"0")</f>
        <v>0</v>
      </c>
      <c r="BB92" s="14" t="str">
        <f>IFERROR(INDEX(HBstats3[Rec],MATCH(RBmatchups[[#This Row],[Name]],HBstats3[Player],0)),"0")</f>
        <v>0</v>
      </c>
      <c r="BC92" s="32" t="str">
        <f>IFERROR(INDEX(HBallowed[Rec],MATCH(RBmatchups[[#This Row],[Opp]],HBallowed[Team],0)),"0")</f>
        <v>0</v>
      </c>
      <c r="BD92" s="14">
        <f>IFERROR(INDEX(HBstats1[Rec Yds],MATCH(RBmatchups[[#This Row],[Name]],HBstats1[Player],0)),"0")</f>
        <v>2.645</v>
      </c>
      <c r="BE92" s="14" t="str">
        <f>IFERROR(INDEX(HBstats2[RecYards],MATCH(RBmatchups[[#This Row],[Name]],HBstats2[Player],0)),"0")</f>
        <v>0</v>
      </c>
      <c r="BF92" s="14" t="str">
        <f>IFERROR(INDEX(HBstats3[RecYards],MATCH(RBmatchups[[#This Row],[Name]],HBstats3[Player],0)),"0")</f>
        <v>0</v>
      </c>
      <c r="BG92" s="32" t="str">
        <f>IFERROR(INDEX(HBallowed[RecYards],MATCH(RBmatchups[[#This Row],[Opp]],HBallowed[Team],0)),"0")</f>
        <v>0</v>
      </c>
      <c r="BH92" s="14">
        <f>IFERROR(INDEX(HBstats1[Rec TD],MATCH(RBmatchups[[#This Row],[Name]],HBstats1[Player],0)),"0")</f>
        <v>0</v>
      </c>
      <c r="BI92" s="14" t="str">
        <f>IFERROR(INDEX(HBstats2[RecTD],MATCH(RBmatchups[[#This Row],[Name]],HBstats2[Player],0)),"0")</f>
        <v>0</v>
      </c>
      <c r="BJ92" s="14" t="str">
        <f>IFERROR(INDEX(HBstats3[RecTD],MATCH(RBmatchups[[#This Row],[Name]],HBstats3[Player],0)),"0")</f>
        <v>0</v>
      </c>
      <c r="BK92" s="32" t="str">
        <f>IFERROR(INDEX(HBallowed[RecTD],MATCH(RBmatchups[[#This Row],[Opp]],HBallowed[Team],0)),"0")</f>
        <v>0</v>
      </c>
      <c r="BL92" s="268">
        <f>IF(RBmatchups[[#This Row],[Yards]]&gt;=100,3,0)</f>
        <v>0</v>
      </c>
    </row>
    <row r="93" spans="1:64" x14ac:dyDescent="0.3">
      <c r="A93" s="37">
        <f>HBstats1!AL94</f>
        <v>0.2</v>
      </c>
      <c r="B93" s="153" t="str">
        <f>HBstats1!D94</f>
        <v>Daryl Richardson</v>
      </c>
      <c r="C93" s="154" t="str">
        <f>IFERROR(INDEX(Salaries[DraftKings (Price)],MATCH(RBmatchups[[#This Row],[Name]],Salaries[Player],0)),"")</f>
        <v/>
      </c>
      <c r="D93" s="154">
        <f>IFERROR(INDEX(DK_Salary_Changes[WeekChange],MATCH(RBmatchups[[#This Row],[Name]],DK_Salary_Changes[Player],0)),"")</f>
        <v>0</v>
      </c>
      <c r="E93" s="154" t="str">
        <f>IFERROR(INDEX(Salaries[Team],MATCH(RBmatchups[[#This Row],[Name]],Salaries[Player],0)),"")</f>
        <v/>
      </c>
      <c r="F93" s="189" t="str">
        <f>IFERROR(INDEX(Salaries[Opp],MATCH(RBmatchups[[#This Row],[Team]],Salaries[Team],0)),"")</f>
        <v/>
      </c>
      <c r="G93" s="410" t="str">
        <f>IFERROR(INDEX(RBYTD[Rush ATT],MATCH(RBmatchups[Name],RBYTD[Player],0)),"0")</f>
        <v>0</v>
      </c>
      <c r="H93" s="191" t="str">
        <f>IFERROR(INDEX(RBYTD[Rush Yds],MATCH(RBmatchups[Name],RBYTD[Player],0)),"0")</f>
        <v>0</v>
      </c>
      <c r="I93" s="191" t="str">
        <f>IFERROR(INDEX(RBYTD[Rush TD],MATCH(RBmatchups[Name],RBYTD[Player],0)),"0")</f>
        <v>0</v>
      </c>
      <c r="J93" s="191" t="str">
        <f>IFERROR(INDEX(RBYTD[Rec],MATCH(RBmatchups[Name],RBYTD[Player],0)),"0")</f>
        <v>0</v>
      </c>
      <c r="K93" s="191">
        <f>IFERROR(INDEX(targettracker54[TTL],MATCH(RBmatchups[Name],targettracker54[Name],0)),"0")</f>
        <v>0</v>
      </c>
      <c r="L93" s="191" t="str">
        <f>IFERROR(INDEX(RBYTD[Rec Yds],MATCH(RBmatchups[Name],RBYTD[Player],0)),"0")</f>
        <v>0</v>
      </c>
      <c r="M93" s="411" t="str">
        <f>IFERROR(INDEX(RBYTD[Rec TD],MATCH(RBmatchups[Name],RBYTD[Player],0)),"0")</f>
        <v>0</v>
      </c>
      <c r="N93" s="441" t="str">
        <f>IFERROR(INDEX(Salaries[O/U],MATCH(RBmatchups[[#This Row],[Team]],Salaries[Team],0)),"")</f>
        <v/>
      </c>
      <c r="O93" s="189" t="str">
        <f>IFERROR(INDEX(Salaries[Team O/U],MATCH(RBmatchups[[#This Row],[Team]],Salaries[Team],0)),"")</f>
        <v/>
      </c>
      <c r="P93" s="442" t="str">
        <f>IFERROR(INDEX(Salaries[Spread],MATCH(RBmatchups[[#This Row],[Team]],Salaries[Team],0)),"")</f>
        <v/>
      </c>
      <c r="Q93" s="424" t="str">
        <f>IFERROR(INDEX(HBallowed[DVP],MATCH(RBmatchups[[#This Row],[Opp]],HBallowed[Team],0)),IFERROR(INDEX(HBallowed[DVP],MATCH(RBmatchups[[#This Row],[Opp]],HBallowed[Opp],0)),""))</f>
        <v/>
      </c>
      <c r="R93" s="441">
        <f>AVERAGE(RBmatchups[[#This Row],[Car1]:[Car3]])</f>
        <v>0.39750000000000002</v>
      </c>
      <c r="S93" s="190">
        <f>AVERAGE(RBmatchups[[#This Row],[Yards1]:[Yards3]])</f>
        <v>2.1034999999999999</v>
      </c>
      <c r="T93" s="189">
        <f>SUM(RBmatchups[[#This Row],[Yards]]/RBmatchups[[#This Row],[Carries2]])</f>
        <v>5.2918238993710691</v>
      </c>
      <c r="U93" s="189">
        <f>AVERAGE(RBmatchups[[#This Row],[TD1]:[TD3]])</f>
        <v>0</v>
      </c>
      <c r="V93" s="189">
        <f>AVERAGE(RBmatchups[[#This Row],[Tar1]:[Tar3]])</f>
        <v>0.5</v>
      </c>
      <c r="W93" s="189">
        <f>AVERAGE(RBmatchups[[#This Row],[Rec1]:[Rec3]])</f>
        <v>0.2</v>
      </c>
      <c r="X93" s="189">
        <f>AVERAGE(RBmatchups[[#This Row],[RecYards1]:[RecYards3]])</f>
        <v>1.3</v>
      </c>
      <c r="Y93" s="189">
        <f>AVERAGE(RBmatchups[[#This Row],[RecTD1]:[RecTd3]])</f>
        <v>0</v>
      </c>
      <c r="Z93" s="190">
        <f>SUM(RBmatchups[[#This Row],[Carries2]]+RBmatchups[[#This Row],[Rec4]])</f>
        <v>0.59750000000000003</v>
      </c>
      <c r="AA93" s="189">
        <f>SUM(RBmatchups[[#This Row],[Yards]]+RBmatchups[[#This Row],[RecYards]])</f>
        <v>3.4035000000000002</v>
      </c>
      <c r="AB93" s="189">
        <f>SUM(RBmatchups[[#This Row],[TD]]+RBmatchups[[#This Row],[RecTD5]])</f>
        <v>0</v>
      </c>
      <c r="AC93" s="191">
        <f>_xlfn.RANK.EQ(RBmatchups[Projection],RBmatchups[Projection],0)</f>
        <v>83</v>
      </c>
      <c r="AD93" s="189">
        <f>SUM(RBmatchups[[#This Row],[Total Yards]]*0.1)+(RBmatchups[[#This Row],[Rec4]]*1)+(RBmatchups[[#This Row],[Total TD]]*6)+(RBmatchups[[#This Row],[100+]])</f>
        <v>0.54035000000000011</v>
      </c>
      <c r="AE93" s="191" t="e">
        <f>_xlfn.RANK.EQ(RBmatchups[[#This Row],[$/FP]],RBmatchups[$/FP],1)</f>
        <v>#VALUE!</v>
      </c>
      <c r="AF93" s="453" t="e">
        <f>SUM(RBmatchups[[#This Row],[Salary]]/RBmatchups[[#This Row],[Projection]])</f>
        <v>#VALUE!</v>
      </c>
      <c r="AG93" s="448" t="e">
        <f>_xlfn.RANK.EQ(RBmatchups[[#This Row],[Average]],RBmatchups[Average],1)</f>
        <v>#VALUE!</v>
      </c>
      <c r="AH93" s="190" t="e">
        <f>AVERAGE(RBmatchups[[#This Row],[Proj Rank]],RBmatchups[[#This Row],[Value Rank]])</f>
        <v>#VALUE!</v>
      </c>
      <c r="AI93" s="214" t="e">
        <f>RBmatchups[[#This Row],[Salary]]/50000</f>
        <v>#VALUE!</v>
      </c>
      <c r="AJ93" s="214"/>
      <c r="AK93" s="14">
        <f>IFERROR(INDEX(HBstats1[Rush Att],MATCH(RBmatchups[[#This Row],[Name]],HBstats1[Player],0)),"0")</f>
        <v>0.39500000000000002</v>
      </c>
      <c r="AL93" s="14" t="str">
        <f>IFERROR(INDEX(HBstats2[Carries],MATCH(RBmatchups[[#This Row],[Name]],HBstats2[Player],0)),"0")</f>
        <v>0</v>
      </c>
      <c r="AM93" s="14">
        <f>IFERROR(INDEX(HBstats3[Carries],MATCH(RBmatchups[[#This Row],[Name]],HBstats3[Player],0)),"0")</f>
        <v>0.4</v>
      </c>
      <c r="AN93" s="14" t="str">
        <f>IFERROR(INDEX(HBallowed[Carries],MATCH(RBmatchups[[#This Row],[Opp]],HBallowed[Team],0)),"0")</f>
        <v>0</v>
      </c>
      <c r="AO93" s="14">
        <f>IFERROR(INDEX(HBstats1[Rush Yds],MATCH(RBmatchups[[#This Row],[Name]],HBstats1[Player],0)),"0")</f>
        <v>2.407</v>
      </c>
      <c r="AP93" s="14" t="str">
        <f>IFERROR(INDEX(HBstats2[RushYards],MATCH(RBmatchups[[#This Row],[Name]],HBstats2[Player],0)),"0")</f>
        <v>0</v>
      </c>
      <c r="AQ93" s="14">
        <f>IFERROR(INDEX(HBstats3[RushYards],MATCH(RBmatchups[[#This Row],[Name]],HBstats3[Player],0)),"0")</f>
        <v>1.8</v>
      </c>
      <c r="AR93" s="32" t="str">
        <f>IFERROR(INDEX(HBallowed[Yards],MATCH(RBmatchups[[#This Row],[Opp]],HBallowed[Team],0)),"0")</f>
        <v>0</v>
      </c>
      <c r="AS93" s="14">
        <f>IFERROR(INDEX(HBstats1[Rush TD],MATCH(RBmatchups[[#This Row],[Name]],HBstats1[Player],0)),"0")</f>
        <v>0</v>
      </c>
      <c r="AT93" s="14" t="str">
        <f>IFERROR(INDEX(HBstats2[RushTD],MATCH(RBmatchups[[#This Row],[Name]],HBstats2[Player],0)),"0")</f>
        <v>0</v>
      </c>
      <c r="AU93" s="14">
        <f>IFERROR(INDEX(HBstats3[RushTD],MATCH(RBmatchups[[#This Row],[Name]],HBstats3[Player],0)),"0")</f>
        <v>0</v>
      </c>
      <c r="AV93" s="32" t="str">
        <f>IFERROR(INDEX(HBallowed[TD],MATCH(RBmatchups[[#This Row],[Opp]],HBallowed[Team],0)),"0")</f>
        <v>0</v>
      </c>
      <c r="AW93" s="32">
        <f>IFERROR(INDEX(HBstats3[Targets],MATCH(RBmatchups[[#This Row],[Name]],HBstats3[Player],0)),"0")</f>
        <v>0.5</v>
      </c>
      <c r="AX93" s="32" t="str">
        <f>IFERROR(INDEX(HBstats2[Targets],MATCH(RBmatchups[[#This Row],[Name]],HBstats2[Player],0)),"0")</f>
        <v>0</v>
      </c>
      <c r="AY93" s="32">
        <f>IFERROR(INDEX(HBstats3[Targets],MATCH(RBmatchups[[#This Row],[Name]],HBstats3[Player],0)),"0")</f>
        <v>0.5</v>
      </c>
      <c r="AZ93" s="14">
        <f>IFERROR(INDEX(HBstats1[Rec],MATCH(RBmatchups[[#This Row],[Name]],HBstats1[Player],0)),"0")</f>
        <v>0</v>
      </c>
      <c r="BA93" s="14" t="str">
        <f>IFERROR(INDEX(HBstats2[Rec],MATCH(RBmatchups[[#This Row],[Name]],HBstats2[Player],0)),"0")</f>
        <v>0</v>
      </c>
      <c r="BB93" s="14">
        <f>IFERROR(INDEX(HBstats3[Rec],MATCH(RBmatchups[[#This Row],[Name]],HBstats3[Player],0)),"0")</f>
        <v>0.4</v>
      </c>
      <c r="BC93" s="32" t="str">
        <f>IFERROR(INDEX(HBallowed[Rec],MATCH(RBmatchups[[#This Row],[Opp]],HBallowed[Team],0)),"0")</f>
        <v>0</v>
      </c>
      <c r="BD93" s="14">
        <f>IFERROR(INDEX(HBstats1[Rec Yds],MATCH(RBmatchups[[#This Row],[Name]],HBstats1[Player],0)),"0")</f>
        <v>0</v>
      </c>
      <c r="BE93" s="14" t="str">
        <f>IFERROR(INDEX(HBstats2[RecYards],MATCH(RBmatchups[[#This Row],[Name]],HBstats2[Player],0)),"0")</f>
        <v>0</v>
      </c>
      <c r="BF93" s="14">
        <f>IFERROR(INDEX(HBstats3[RecYards],MATCH(RBmatchups[[#This Row],[Name]],HBstats3[Player],0)),"0")</f>
        <v>2.6</v>
      </c>
      <c r="BG93" s="32" t="str">
        <f>IFERROR(INDEX(HBallowed[RecYards],MATCH(RBmatchups[[#This Row],[Opp]],HBallowed[Team],0)),"0")</f>
        <v>0</v>
      </c>
      <c r="BH93" s="14">
        <f>IFERROR(INDEX(HBstats1[Rec TD],MATCH(RBmatchups[[#This Row],[Name]],HBstats1[Player],0)),"0")</f>
        <v>0</v>
      </c>
      <c r="BI93" s="14" t="str">
        <f>IFERROR(INDEX(HBstats2[RecTD],MATCH(RBmatchups[[#This Row],[Name]],HBstats2[Player],0)),"0")</f>
        <v>0</v>
      </c>
      <c r="BJ93" s="14">
        <f>IFERROR(INDEX(HBstats3[RecTD],MATCH(RBmatchups[[#This Row],[Name]],HBstats3[Player],0)),"0")</f>
        <v>0</v>
      </c>
      <c r="BK93" s="32" t="str">
        <f>IFERROR(INDEX(HBallowed[RecTD],MATCH(RBmatchups[[#This Row],[Opp]],HBallowed[Team],0)),"0")</f>
        <v>0</v>
      </c>
      <c r="BL93" s="268">
        <f>IF(RBmatchups[[#This Row],[Yards]]&gt;=100,3,0)</f>
        <v>0</v>
      </c>
    </row>
    <row r="94" spans="1:64" x14ac:dyDescent="0.3">
      <c r="A94" s="37">
        <f>HBstats1!AL90</f>
        <v>0.4</v>
      </c>
      <c r="B94" s="153" t="str">
        <f>HBstats1!D90</f>
        <v>Aaron Ripkowski</v>
      </c>
      <c r="C94" s="154" t="str">
        <f>IFERROR(INDEX(Salaries[DraftKings (Price)],MATCH(RBmatchups[[#This Row],[Name]],Salaries[Player],0)),"")</f>
        <v/>
      </c>
      <c r="D94" s="154" t="str">
        <f>IFERROR(INDEX(DK_Salary_Changes[WeekChange],MATCH(RBmatchups[[#This Row],[Name]],DK_Salary_Changes[Player],0)),"")</f>
        <v/>
      </c>
      <c r="E94" s="154" t="str">
        <f>IFERROR(INDEX(Salaries[Team],MATCH(RBmatchups[[#This Row],[Name]],Salaries[Player],0)),"")</f>
        <v/>
      </c>
      <c r="F94" s="189" t="str">
        <f>IFERROR(INDEX(Salaries[Opp],MATCH(RBmatchups[[#This Row],[Team]],Salaries[Team],0)),"")</f>
        <v/>
      </c>
      <c r="G94" s="410" t="str">
        <f>IFERROR(INDEX(RBYTD[Rush ATT],MATCH(RBmatchups[Name],RBYTD[Player],0)),"0")</f>
        <v>0</v>
      </c>
      <c r="H94" s="191" t="str">
        <f>IFERROR(INDEX(RBYTD[Rush Yds],MATCH(RBmatchups[Name],RBYTD[Player],0)),"0")</f>
        <v>0</v>
      </c>
      <c r="I94" s="191" t="str">
        <f>IFERROR(INDEX(RBYTD[Rush TD],MATCH(RBmatchups[Name],RBYTD[Player],0)),"0")</f>
        <v>0</v>
      </c>
      <c r="J94" s="191" t="str">
        <f>IFERROR(INDEX(RBYTD[Rec],MATCH(RBmatchups[Name],RBYTD[Player],0)),"0")</f>
        <v>0</v>
      </c>
      <c r="K94" s="191" t="str">
        <f>IFERROR(INDEX(targettracker54[TTL],MATCH(RBmatchups[Name],targettracker54[Name],0)),"0")</f>
        <v>0</v>
      </c>
      <c r="L94" s="191" t="str">
        <f>IFERROR(INDEX(RBYTD[Rec Yds],MATCH(RBmatchups[Name],RBYTD[Player],0)),"0")</f>
        <v>0</v>
      </c>
      <c r="M94" s="411" t="str">
        <f>IFERROR(INDEX(RBYTD[Rec TD],MATCH(RBmatchups[Name],RBYTD[Player],0)),"0")</f>
        <v>0</v>
      </c>
      <c r="N94" s="441" t="str">
        <f>IFERROR(INDEX(Salaries[O/U],MATCH(RBmatchups[[#This Row],[Team]],Salaries[Team],0)),"")</f>
        <v/>
      </c>
      <c r="O94" s="189" t="str">
        <f>IFERROR(INDEX(Salaries[Team O/U],MATCH(RBmatchups[[#This Row],[Team]],Salaries[Team],0)),"")</f>
        <v/>
      </c>
      <c r="P94" s="442" t="str">
        <f>IFERROR(INDEX(Salaries[Spread],MATCH(RBmatchups[[#This Row],[Team]],Salaries[Team],0)),"")</f>
        <v/>
      </c>
      <c r="Q94" s="424" t="str">
        <f>IFERROR(INDEX(HBallowed[DVP],MATCH(RBmatchups[[#This Row],[Opp]],HBallowed[Team],0)),IFERROR(INDEX(HBallowed[DVP],MATCH(RBmatchups[[#This Row],[Opp]],HBallowed[Opp],0)),""))</f>
        <v/>
      </c>
      <c r="R94" s="441">
        <f>AVERAGE(RBmatchups[[#This Row],[Car1]:[Car3]])</f>
        <v>0.314</v>
      </c>
      <c r="S94" s="190">
        <f>AVERAGE(RBmatchups[[#This Row],[Yards1]:[Yards3]])</f>
        <v>1.2270000000000001</v>
      </c>
      <c r="T94" s="189">
        <f>SUM(RBmatchups[[#This Row],[Yards]]/RBmatchups[[#This Row],[Carries2]])</f>
        <v>3.9076433121019112</v>
      </c>
      <c r="U94" s="189">
        <f>AVERAGE(RBmatchups[[#This Row],[TD1]:[TD3]])</f>
        <v>5.1999999999999998E-2</v>
      </c>
      <c r="V94" s="189" t="e">
        <f>AVERAGE(RBmatchups[[#This Row],[Tar1]:[Tar3]])</f>
        <v>#DIV/0!</v>
      </c>
      <c r="W94" s="189">
        <f>AVERAGE(RBmatchups[[#This Row],[Rec1]:[Rec3]])</f>
        <v>0</v>
      </c>
      <c r="X94" s="189">
        <f>AVERAGE(RBmatchups[[#This Row],[RecYards1]:[RecYards3]])</f>
        <v>0</v>
      </c>
      <c r="Y94" s="189">
        <f>AVERAGE(RBmatchups[[#This Row],[RecTD1]:[RecTd3]])</f>
        <v>0</v>
      </c>
      <c r="Z94" s="190">
        <f>SUM(RBmatchups[[#This Row],[Carries2]]+RBmatchups[[#This Row],[Rec4]])</f>
        <v>0.314</v>
      </c>
      <c r="AA94" s="189">
        <f>SUM(RBmatchups[[#This Row],[Yards]]+RBmatchups[[#This Row],[RecYards]])</f>
        <v>1.2270000000000001</v>
      </c>
      <c r="AB94" s="189">
        <f>SUM(RBmatchups[[#This Row],[TD]]+RBmatchups[[#This Row],[RecTD5]])</f>
        <v>5.1999999999999998E-2</v>
      </c>
      <c r="AC94" s="191">
        <f>_xlfn.RANK.EQ(RBmatchups[Projection],RBmatchups[Projection],0)</f>
        <v>84</v>
      </c>
      <c r="AD94" s="189">
        <f>SUM(RBmatchups[[#This Row],[Total Yards]]*0.1)+(RBmatchups[[#This Row],[Rec4]]*1)+(RBmatchups[[#This Row],[Total TD]]*6)+(RBmatchups[[#This Row],[100+]])</f>
        <v>0.43470000000000003</v>
      </c>
      <c r="AE94" s="191" t="e">
        <f>_xlfn.RANK.EQ(RBmatchups[[#This Row],[$/FP]],RBmatchups[$/FP],1)</f>
        <v>#VALUE!</v>
      </c>
      <c r="AF94" s="453" t="e">
        <f>SUM(RBmatchups[[#This Row],[Salary]]/RBmatchups[[#This Row],[Projection]])</f>
        <v>#VALUE!</v>
      </c>
      <c r="AG94" s="448" t="e">
        <f>_xlfn.RANK.EQ(RBmatchups[[#This Row],[Average]],RBmatchups[Average],1)</f>
        <v>#VALUE!</v>
      </c>
      <c r="AH94" s="190" t="e">
        <f>AVERAGE(RBmatchups[[#This Row],[Proj Rank]],RBmatchups[[#This Row],[Value Rank]])</f>
        <v>#VALUE!</v>
      </c>
      <c r="AI94" s="214" t="e">
        <f>RBmatchups[[#This Row],[Salary]]/50000</f>
        <v>#VALUE!</v>
      </c>
      <c r="AJ94" s="214"/>
      <c r="AK94" s="14">
        <f>IFERROR(INDEX(HBstats1[Rush Att],MATCH(RBmatchups[[#This Row],[Name]],HBstats1[Player],0)),"0")</f>
        <v>0.314</v>
      </c>
      <c r="AL94" s="14" t="str">
        <f>IFERROR(INDEX(HBstats2[Carries],MATCH(RBmatchups[[#This Row],[Name]],HBstats2[Player],0)),"0")</f>
        <v>0</v>
      </c>
      <c r="AM94" s="14" t="str">
        <f>IFERROR(INDEX(HBstats3[Carries],MATCH(RBmatchups[[#This Row],[Name]],HBstats3[Player],0)),"0")</f>
        <v>0</v>
      </c>
      <c r="AN94" s="14" t="str">
        <f>IFERROR(INDEX(HBallowed[Carries],MATCH(RBmatchups[[#This Row],[Opp]],HBallowed[Team],0)),"0")</f>
        <v>0</v>
      </c>
      <c r="AO94" s="14">
        <f>IFERROR(INDEX(HBstats1[Rush Yds],MATCH(RBmatchups[[#This Row],[Name]],HBstats1[Player],0)),"0")</f>
        <v>1.2270000000000001</v>
      </c>
      <c r="AP94" s="14" t="str">
        <f>IFERROR(INDEX(HBstats2[RushYards],MATCH(RBmatchups[[#This Row],[Name]],HBstats2[Player],0)),"0")</f>
        <v>0</v>
      </c>
      <c r="AQ94" s="14" t="str">
        <f>IFERROR(INDEX(HBstats3[RushYards],MATCH(RBmatchups[[#This Row],[Name]],HBstats3[Player],0)),"0")</f>
        <v>0</v>
      </c>
      <c r="AR94" s="32" t="str">
        <f>IFERROR(INDEX(HBallowed[Yards],MATCH(RBmatchups[[#This Row],[Opp]],HBallowed[Team],0)),"0")</f>
        <v>0</v>
      </c>
      <c r="AS94" s="14">
        <f>IFERROR(INDEX(HBstats1[Rush TD],MATCH(RBmatchups[[#This Row],[Name]],HBstats1[Player],0)),"0")</f>
        <v>5.1999999999999998E-2</v>
      </c>
      <c r="AT94" s="14" t="str">
        <f>IFERROR(INDEX(HBstats2[RushTD],MATCH(RBmatchups[[#This Row],[Name]],HBstats2[Player],0)),"0")</f>
        <v>0</v>
      </c>
      <c r="AU94" s="14" t="str">
        <f>IFERROR(INDEX(HBstats3[RushTD],MATCH(RBmatchups[[#This Row],[Name]],HBstats3[Player],0)),"0")</f>
        <v>0</v>
      </c>
      <c r="AV94" s="32" t="str">
        <f>IFERROR(INDEX(HBallowed[TD],MATCH(RBmatchups[[#This Row],[Opp]],HBallowed[Team],0)),"0")</f>
        <v>0</v>
      </c>
      <c r="AW94" s="32" t="str">
        <f>IFERROR(INDEX(HBstats3[Targets],MATCH(RBmatchups[[#This Row],[Name]],HBstats3[Player],0)),"0")</f>
        <v>0</v>
      </c>
      <c r="AX94" s="32" t="str">
        <f>IFERROR(INDEX(HBstats2[Targets],MATCH(RBmatchups[[#This Row],[Name]],HBstats2[Player],0)),"0")</f>
        <v>0</v>
      </c>
      <c r="AY94" s="32" t="str">
        <f>IFERROR(INDEX(HBstats3[Targets],MATCH(RBmatchups[[#This Row],[Name]],HBstats3[Player],0)),"0")</f>
        <v>0</v>
      </c>
      <c r="AZ94" s="14">
        <f>IFERROR(INDEX(HBstats1[Rec],MATCH(RBmatchups[[#This Row],[Name]],HBstats1[Player],0)),"0")</f>
        <v>0</v>
      </c>
      <c r="BA94" s="14" t="str">
        <f>IFERROR(INDEX(HBstats2[Rec],MATCH(RBmatchups[[#This Row],[Name]],HBstats2[Player],0)),"0")</f>
        <v>0</v>
      </c>
      <c r="BB94" s="14" t="str">
        <f>IFERROR(INDEX(HBstats3[Rec],MATCH(RBmatchups[[#This Row],[Name]],HBstats3[Player],0)),"0")</f>
        <v>0</v>
      </c>
      <c r="BC94" s="32" t="str">
        <f>IFERROR(INDEX(HBallowed[Rec],MATCH(RBmatchups[[#This Row],[Opp]],HBallowed[Team],0)),"0")</f>
        <v>0</v>
      </c>
      <c r="BD94" s="14">
        <f>IFERROR(INDEX(HBstats1[Rec Yds],MATCH(RBmatchups[[#This Row],[Name]],HBstats1[Player],0)),"0")</f>
        <v>0</v>
      </c>
      <c r="BE94" s="14" t="str">
        <f>IFERROR(INDEX(HBstats2[RecYards],MATCH(RBmatchups[[#This Row],[Name]],HBstats2[Player],0)),"0")</f>
        <v>0</v>
      </c>
      <c r="BF94" s="14" t="str">
        <f>IFERROR(INDEX(HBstats3[RecYards],MATCH(RBmatchups[[#This Row],[Name]],HBstats3[Player],0)),"0")</f>
        <v>0</v>
      </c>
      <c r="BG94" s="32" t="str">
        <f>IFERROR(INDEX(HBallowed[RecYards],MATCH(RBmatchups[[#This Row],[Opp]],HBallowed[Team],0)),"0")</f>
        <v>0</v>
      </c>
      <c r="BH94" s="14">
        <f>IFERROR(INDEX(HBstats1[Rec TD],MATCH(RBmatchups[[#This Row],[Name]],HBstats1[Player],0)),"0")</f>
        <v>0</v>
      </c>
      <c r="BI94" s="14" t="str">
        <f>IFERROR(INDEX(HBstats2[RecTD],MATCH(RBmatchups[[#This Row],[Name]],HBstats2[Player],0)),"0")</f>
        <v>0</v>
      </c>
      <c r="BJ94" s="14" t="str">
        <f>IFERROR(INDEX(HBstats3[RecTD],MATCH(RBmatchups[[#This Row],[Name]],HBstats3[Player],0)),"0")</f>
        <v>0</v>
      </c>
      <c r="BK94" s="32" t="str">
        <f>IFERROR(INDEX(HBallowed[RecTD],MATCH(RBmatchups[[#This Row],[Opp]],HBallowed[Team],0)),"0")</f>
        <v>0</v>
      </c>
      <c r="BL94" s="268">
        <f>IF(RBmatchups[[#This Row],[Yards]]&gt;=100,3,0)</f>
        <v>0</v>
      </c>
    </row>
    <row r="95" spans="1:64" x14ac:dyDescent="0.3">
      <c r="A95" s="37">
        <f>HBstats1!AL84</f>
        <v>0.3</v>
      </c>
      <c r="B95" s="153" t="str">
        <f>HBstats1!D84</f>
        <v>Knile Davis</v>
      </c>
      <c r="C95" s="154">
        <f>IFERROR(INDEX(Salaries[DraftKings (Price)],MATCH(RBmatchups[[#This Row],[Name]],Salaries[Player],0)),"")</f>
        <v>3000</v>
      </c>
      <c r="D95" s="154">
        <f>IFERROR(INDEX(DK_Salary_Changes[WeekChange],MATCH(RBmatchups[[#This Row],[Name]],DK_Salary_Changes[Player],0)),"")</f>
        <v>0</v>
      </c>
      <c r="E95" s="154" t="str">
        <f>IFERROR(INDEX(Salaries[Team],MATCH(RBmatchups[[#This Row],[Name]],Salaries[Player],0)),"")</f>
        <v>KC</v>
      </c>
      <c r="F95" s="189" t="str">
        <f>IFERROR(INDEX(Salaries[Opp],MATCH(RBmatchups[[#This Row],[Team]],Salaries[Team],0)),"")</f>
        <v>@PIT</v>
      </c>
      <c r="G95" s="410" t="str">
        <f>IFERROR(INDEX(RBYTD[Rush ATT],MATCH(RBmatchups[Name],RBYTD[Player],0)),"0")</f>
        <v>0</v>
      </c>
      <c r="H95" s="191" t="str">
        <f>IFERROR(INDEX(RBYTD[Rush Yds],MATCH(RBmatchups[Name],RBYTD[Player],0)),"0")</f>
        <v>0</v>
      </c>
      <c r="I95" s="191" t="str">
        <f>IFERROR(INDEX(RBYTD[Rush TD],MATCH(RBmatchups[Name],RBYTD[Player],0)),"0")</f>
        <v>0</v>
      </c>
      <c r="J95" s="191" t="str">
        <f>IFERROR(INDEX(RBYTD[Rec],MATCH(RBmatchups[Name],RBYTD[Player],0)),"0")</f>
        <v>0</v>
      </c>
      <c r="K95" s="191">
        <f>IFERROR(INDEX(targettracker54[TTL],MATCH(RBmatchups[Name],targettracker54[Name],0)),"0")</f>
        <v>0</v>
      </c>
      <c r="L95" s="191" t="str">
        <f>IFERROR(INDEX(RBYTD[Rec Yds],MATCH(RBmatchups[Name],RBYTD[Player],0)),"0")</f>
        <v>0</v>
      </c>
      <c r="M95" s="411" t="str">
        <f>IFERROR(INDEX(RBYTD[Rec TD],MATCH(RBmatchups[Name],RBYTD[Player],0)),"0")</f>
        <v>0</v>
      </c>
      <c r="N95" s="441">
        <f>IFERROR(INDEX(Salaries[O/U],MATCH(RBmatchups[[#This Row],[Team]],Salaries[Team],0)),"")</f>
        <v>47.5</v>
      </c>
      <c r="O95" s="189">
        <f>IFERROR(INDEX(Salaries[Team O/U],MATCH(RBmatchups[[#This Row],[Team]],Salaries[Team],0)),"")</f>
        <v>21</v>
      </c>
      <c r="P95" s="442">
        <f>IFERROR(INDEX(Salaries[Spread],MATCH(RBmatchups[[#This Row],[Team]],Salaries[Team],0)),"")</f>
        <v>5.5</v>
      </c>
      <c r="Q95" s="424">
        <f>IFERROR(INDEX(HBallowed[DVP],MATCH(RBmatchups[[#This Row],[Opp]],HBallowed[Team],0)),IFERROR(INDEX(HBallowed[DVP],MATCH(RBmatchups[[#This Row],[Opp]],HBallowed[Opp],0)),""))</f>
        <v>3</v>
      </c>
      <c r="R95" s="441">
        <f>AVERAGE(RBmatchups[[#This Row],[Car1]:[Car3]])</f>
        <v>0.45899999999999996</v>
      </c>
      <c r="S95" s="190">
        <f>AVERAGE(RBmatchups[[#This Row],[Yards1]:[Yards3]])</f>
        <v>1.2735000000000001</v>
      </c>
      <c r="T95" s="189">
        <f>SUM(RBmatchups[[#This Row],[Yards]]/RBmatchups[[#This Row],[Carries2]])</f>
        <v>2.774509803921569</v>
      </c>
      <c r="U95" s="189">
        <f>AVERAGE(RBmatchups[[#This Row],[TD1]:[TD3]])</f>
        <v>8.0000000000000002E-3</v>
      </c>
      <c r="V95" s="189">
        <f>AVERAGE(RBmatchups[[#This Row],[Tar1]:[Tar3]])</f>
        <v>0.3</v>
      </c>
      <c r="W95" s="189">
        <f>AVERAGE(RBmatchups[[#This Row],[Rec1]:[Rec3]])</f>
        <v>0.1</v>
      </c>
      <c r="X95" s="189">
        <f>AVERAGE(RBmatchups[[#This Row],[RecYards1]:[RecYards3]])</f>
        <v>0.75</v>
      </c>
      <c r="Y95" s="189">
        <f>AVERAGE(RBmatchups[[#This Row],[RecTD1]:[RecTd3]])</f>
        <v>0</v>
      </c>
      <c r="Z95" s="190">
        <f>SUM(RBmatchups[[#This Row],[Carries2]]+RBmatchups[[#This Row],[Rec4]])</f>
        <v>0.55899999999999994</v>
      </c>
      <c r="AA95" s="189">
        <f>SUM(RBmatchups[[#This Row],[Yards]]+RBmatchups[[#This Row],[RecYards]])</f>
        <v>2.0235000000000003</v>
      </c>
      <c r="AB95" s="189">
        <f>SUM(RBmatchups[[#This Row],[TD]]+RBmatchups[[#This Row],[RecTD5]])</f>
        <v>8.0000000000000002E-3</v>
      </c>
      <c r="AC95" s="191">
        <f>_xlfn.RANK.EQ(RBmatchups[Projection],RBmatchups[Projection],0)</f>
        <v>85</v>
      </c>
      <c r="AD95" s="189">
        <f>SUM(RBmatchups[[#This Row],[Total Yards]]*0.1)+(RBmatchups[[#This Row],[Rec4]]*1)+(RBmatchups[[#This Row],[Total TD]]*6)+(RBmatchups[[#This Row],[100+]])</f>
        <v>0.35034999999999999</v>
      </c>
      <c r="AE95" s="191" t="e">
        <f>_xlfn.RANK.EQ(RBmatchups[[#This Row],[$/FP]],RBmatchups[$/FP],1)</f>
        <v>#VALUE!</v>
      </c>
      <c r="AF95" s="453">
        <f>SUM(RBmatchups[[#This Row],[Salary]]/RBmatchups[[#This Row],[Projection]])</f>
        <v>8562.8657057228484</v>
      </c>
      <c r="AG95" s="448" t="e">
        <f>_xlfn.RANK.EQ(RBmatchups[[#This Row],[Average]],RBmatchups[Average],1)</f>
        <v>#VALUE!</v>
      </c>
      <c r="AH95" s="190" t="e">
        <f>AVERAGE(RBmatchups[[#This Row],[Proj Rank]],RBmatchups[[#This Row],[Value Rank]])</f>
        <v>#VALUE!</v>
      </c>
      <c r="AI95" s="214">
        <f>RBmatchups[[#This Row],[Salary]]/50000</f>
        <v>0.06</v>
      </c>
      <c r="AJ95" s="214"/>
      <c r="AK95" s="14">
        <f>IFERROR(INDEX(HBstats1[Rush Att],MATCH(RBmatchups[[#This Row],[Name]],HBstats1[Player],0)),"0")</f>
        <v>0.71799999999999997</v>
      </c>
      <c r="AL95" s="14" t="str">
        <f>IFERROR(INDEX(HBstats2[Carries],MATCH(RBmatchups[[#This Row],[Name]],HBstats2[Player],0)),"0")</f>
        <v>0</v>
      </c>
      <c r="AM95" s="14">
        <f>IFERROR(INDEX(HBstats3[Carries],MATCH(RBmatchups[[#This Row],[Name]],HBstats3[Player],0)),"0")</f>
        <v>0.2</v>
      </c>
      <c r="AN95" s="14" t="str">
        <f>IFERROR(INDEX(HBallowed[Carries],MATCH(RBmatchups[[#This Row],[Opp]],HBallowed[Team],0)),"0")</f>
        <v>0</v>
      </c>
      <c r="AO95" s="14">
        <f>IFERROR(INDEX(HBstats1[Rush Yds],MATCH(RBmatchups[[#This Row],[Name]],HBstats1[Player],0)),"0")</f>
        <v>1.7470000000000001</v>
      </c>
      <c r="AP95" s="14" t="str">
        <f>IFERROR(INDEX(HBstats2[RushYards],MATCH(RBmatchups[[#This Row],[Name]],HBstats2[Player],0)),"0")</f>
        <v>0</v>
      </c>
      <c r="AQ95" s="14">
        <f>IFERROR(INDEX(HBstats3[RushYards],MATCH(RBmatchups[[#This Row],[Name]],HBstats3[Player],0)),"0")</f>
        <v>0.8</v>
      </c>
      <c r="AR95" s="32" t="str">
        <f>IFERROR(INDEX(HBallowed[Yards],MATCH(RBmatchups[[#This Row],[Opp]],HBallowed[Team],0)),"0")</f>
        <v>0</v>
      </c>
      <c r="AS95" s="14">
        <f>IFERROR(INDEX(HBstats1[Rush TD],MATCH(RBmatchups[[#This Row],[Name]],HBstats1[Player],0)),"0")</f>
        <v>1.6E-2</v>
      </c>
      <c r="AT95" s="14" t="str">
        <f>IFERROR(INDEX(HBstats2[RushTD],MATCH(RBmatchups[[#This Row],[Name]],HBstats2[Player],0)),"0")</f>
        <v>0</v>
      </c>
      <c r="AU95" s="14">
        <f>IFERROR(INDEX(HBstats3[RushTD],MATCH(RBmatchups[[#This Row],[Name]],HBstats3[Player],0)),"0")</f>
        <v>0</v>
      </c>
      <c r="AV95" s="32" t="str">
        <f>IFERROR(INDEX(HBallowed[TD],MATCH(RBmatchups[[#This Row],[Opp]],HBallowed[Team],0)),"0")</f>
        <v>0</v>
      </c>
      <c r="AW95" s="32">
        <f>IFERROR(INDEX(HBstats3[Targets],MATCH(RBmatchups[[#This Row],[Name]],HBstats3[Player],0)),"0")</f>
        <v>0.3</v>
      </c>
      <c r="AX95" s="32" t="str">
        <f>IFERROR(INDEX(HBstats2[Targets],MATCH(RBmatchups[[#This Row],[Name]],HBstats2[Player],0)),"0")</f>
        <v>0</v>
      </c>
      <c r="AY95" s="32">
        <f>IFERROR(INDEX(HBstats3[Targets],MATCH(RBmatchups[[#This Row],[Name]],HBstats3[Player],0)),"0")</f>
        <v>0.3</v>
      </c>
      <c r="AZ95" s="14">
        <f>IFERROR(INDEX(HBstats1[Rec],MATCH(RBmatchups[[#This Row],[Name]],HBstats1[Player],0)),"0")</f>
        <v>0</v>
      </c>
      <c r="BA95" s="14" t="str">
        <f>IFERROR(INDEX(HBstats2[Rec],MATCH(RBmatchups[[#This Row],[Name]],HBstats2[Player],0)),"0")</f>
        <v>0</v>
      </c>
      <c r="BB95" s="14">
        <f>IFERROR(INDEX(HBstats3[Rec],MATCH(RBmatchups[[#This Row],[Name]],HBstats3[Player],0)),"0")</f>
        <v>0.2</v>
      </c>
      <c r="BC95" s="32" t="str">
        <f>IFERROR(INDEX(HBallowed[Rec],MATCH(RBmatchups[[#This Row],[Opp]],HBallowed[Team],0)),"0")</f>
        <v>0</v>
      </c>
      <c r="BD95" s="14">
        <f>IFERROR(INDEX(HBstats1[Rec Yds],MATCH(RBmatchups[[#This Row],[Name]],HBstats1[Player],0)),"0")</f>
        <v>0</v>
      </c>
      <c r="BE95" s="14" t="str">
        <f>IFERROR(INDEX(HBstats2[RecYards],MATCH(RBmatchups[[#This Row],[Name]],HBstats2[Player],0)),"0")</f>
        <v>0</v>
      </c>
      <c r="BF95" s="14">
        <f>IFERROR(INDEX(HBstats3[RecYards],MATCH(RBmatchups[[#This Row],[Name]],HBstats3[Player],0)),"0")</f>
        <v>1.5</v>
      </c>
      <c r="BG95" s="32" t="str">
        <f>IFERROR(INDEX(HBallowed[RecYards],MATCH(RBmatchups[[#This Row],[Opp]],HBallowed[Team],0)),"0")</f>
        <v>0</v>
      </c>
      <c r="BH95" s="14">
        <f>IFERROR(INDEX(HBstats1[Rec TD],MATCH(RBmatchups[[#This Row],[Name]],HBstats1[Player],0)),"0")</f>
        <v>0</v>
      </c>
      <c r="BI95" s="14" t="str">
        <f>IFERROR(INDEX(HBstats2[RecTD],MATCH(RBmatchups[[#This Row],[Name]],HBstats2[Player],0)),"0")</f>
        <v>0</v>
      </c>
      <c r="BJ95" s="14">
        <f>IFERROR(INDEX(HBstats3[RecTD],MATCH(RBmatchups[[#This Row],[Name]],HBstats3[Player],0)),"0")</f>
        <v>0</v>
      </c>
      <c r="BK95" s="32" t="str">
        <f>IFERROR(INDEX(HBallowed[RecTD],MATCH(RBmatchups[[#This Row],[Opp]],HBallowed[Team],0)),"0")</f>
        <v>0</v>
      </c>
      <c r="BL95" s="268">
        <f>IF(RBmatchups[[#This Row],[Yards]]&gt;=100,3,0)</f>
        <v>0</v>
      </c>
    </row>
    <row r="96" spans="1:64" x14ac:dyDescent="0.3">
      <c r="A96" s="37">
        <f>HBstats1!AL91</f>
        <v>0.3</v>
      </c>
      <c r="B96" s="153" t="str">
        <f>HBstats1!D91</f>
        <v>Knile Davis</v>
      </c>
      <c r="C96" s="154">
        <f>IFERROR(INDEX(Salaries[DraftKings (Price)],MATCH(RBmatchups[[#This Row],[Name]],Salaries[Player],0)),"")</f>
        <v>3000</v>
      </c>
      <c r="D96" s="154">
        <f>IFERROR(INDEX(DK_Salary_Changes[WeekChange],MATCH(RBmatchups[[#This Row],[Name]],DK_Salary_Changes[Player],0)),"")</f>
        <v>0</v>
      </c>
      <c r="E96" s="154" t="str">
        <f>IFERROR(INDEX(Salaries[Team],MATCH(RBmatchups[[#This Row],[Name]],Salaries[Player],0)),"")</f>
        <v>KC</v>
      </c>
      <c r="F96" s="189" t="str">
        <f>IFERROR(INDEX(Salaries[Opp],MATCH(RBmatchups[[#This Row],[Team]],Salaries[Team],0)),"")</f>
        <v>@PIT</v>
      </c>
      <c r="G96" s="410" t="str">
        <f>IFERROR(INDEX(RBYTD[Rush ATT],MATCH(RBmatchups[Name],RBYTD[Player],0)),"0")</f>
        <v>0</v>
      </c>
      <c r="H96" s="191" t="str">
        <f>IFERROR(INDEX(RBYTD[Rush Yds],MATCH(RBmatchups[Name],RBYTD[Player],0)),"0")</f>
        <v>0</v>
      </c>
      <c r="I96" s="191" t="str">
        <f>IFERROR(INDEX(RBYTD[Rush TD],MATCH(RBmatchups[Name],RBYTD[Player],0)),"0")</f>
        <v>0</v>
      </c>
      <c r="J96" s="191" t="str">
        <f>IFERROR(INDEX(RBYTD[Rec],MATCH(RBmatchups[Name],RBYTD[Player],0)),"0")</f>
        <v>0</v>
      </c>
      <c r="K96" s="191">
        <f>IFERROR(INDEX(targettracker54[TTL],MATCH(RBmatchups[Name],targettracker54[Name],0)),"0")</f>
        <v>0</v>
      </c>
      <c r="L96" s="191" t="str">
        <f>IFERROR(INDEX(RBYTD[Rec Yds],MATCH(RBmatchups[Name],RBYTD[Player],0)),"0")</f>
        <v>0</v>
      </c>
      <c r="M96" s="411" t="str">
        <f>IFERROR(INDEX(RBYTD[Rec TD],MATCH(RBmatchups[Name],RBYTD[Player],0)),"0")</f>
        <v>0</v>
      </c>
      <c r="N96" s="441">
        <f>IFERROR(INDEX(Salaries[O/U],MATCH(RBmatchups[[#This Row],[Team]],Salaries[Team],0)),"")</f>
        <v>47.5</v>
      </c>
      <c r="O96" s="189">
        <f>IFERROR(INDEX(Salaries[Team O/U],MATCH(RBmatchups[[#This Row],[Team]],Salaries[Team],0)),"")</f>
        <v>21</v>
      </c>
      <c r="P96" s="442">
        <f>IFERROR(INDEX(Salaries[Spread],MATCH(RBmatchups[[#This Row],[Team]],Salaries[Team],0)),"")</f>
        <v>5.5</v>
      </c>
      <c r="Q96" s="424">
        <f>IFERROR(INDEX(HBallowed[DVP],MATCH(RBmatchups[[#This Row],[Opp]],HBallowed[Team],0)),IFERROR(INDEX(HBallowed[DVP],MATCH(RBmatchups[[#This Row],[Opp]],HBallowed[Opp],0)),""))</f>
        <v>3</v>
      </c>
      <c r="R96" s="441">
        <f>AVERAGE(RBmatchups[[#This Row],[Car1]:[Car3]])</f>
        <v>0.45899999999999996</v>
      </c>
      <c r="S96" s="190">
        <f>AVERAGE(RBmatchups[[#This Row],[Yards1]:[Yards3]])</f>
        <v>1.2735000000000001</v>
      </c>
      <c r="T96" s="189">
        <f>SUM(RBmatchups[[#This Row],[Yards]]/RBmatchups[[#This Row],[Carries2]])</f>
        <v>2.774509803921569</v>
      </c>
      <c r="U96" s="189">
        <f>AVERAGE(RBmatchups[[#This Row],[TD1]:[TD3]])</f>
        <v>8.0000000000000002E-3</v>
      </c>
      <c r="V96" s="189">
        <f>AVERAGE(RBmatchups[[#This Row],[Tar1]:[Tar3]])</f>
        <v>0.3</v>
      </c>
      <c r="W96" s="189">
        <f>AVERAGE(RBmatchups[[#This Row],[Rec1]:[Rec3]])</f>
        <v>0.1</v>
      </c>
      <c r="X96" s="189">
        <f>AVERAGE(RBmatchups[[#This Row],[RecYards1]:[RecYards3]])</f>
        <v>0.75</v>
      </c>
      <c r="Y96" s="189">
        <f>AVERAGE(RBmatchups[[#This Row],[RecTD1]:[RecTd3]])</f>
        <v>0</v>
      </c>
      <c r="Z96" s="190">
        <f>SUM(RBmatchups[[#This Row],[Carries2]]+RBmatchups[[#This Row],[Rec4]])</f>
        <v>0.55899999999999994</v>
      </c>
      <c r="AA96" s="189">
        <f>SUM(RBmatchups[[#This Row],[Yards]]+RBmatchups[[#This Row],[RecYards]])</f>
        <v>2.0235000000000003</v>
      </c>
      <c r="AB96" s="189">
        <f>SUM(RBmatchups[[#This Row],[TD]]+RBmatchups[[#This Row],[RecTD5]])</f>
        <v>8.0000000000000002E-3</v>
      </c>
      <c r="AC96" s="191">
        <f>_xlfn.RANK.EQ(RBmatchups[Projection],RBmatchups[Projection],0)</f>
        <v>85</v>
      </c>
      <c r="AD96" s="189">
        <f>SUM(RBmatchups[[#This Row],[Total Yards]]*0.1)+(RBmatchups[[#This Row],[Rec4]]*1)+(RBmatchups[[#This Row],[Total TD]]*6)+(RBmatchups[[#This Row],[100+]])</f>
        <v>0.35034999999999999</v>
      </c>
      <c r="AE96" s="191" t="e">
        <f>_xlfn.RANK.EQ(RBmatchups[[#This Row],[$/FP]],RBmatchups[$/FP],1)</f>
        <v>#VALUE!</v>
      </c>
      <c r="AF96" s="453">
        <f>SUM(RBmatchups[[#This Row],[Salary]]/RBmatchups[[#This Row],[Projection]])</f>
        <v>8562.8657057228484</v>
      </c>
      <c r="AG96" s="448" t="e">
        <f>_xlfn.RANK.EQ(RBmatchups[[#This Row],[Average]],RBmatchups[Average],1)</f>
        <v>#VALUE!</v>
      </c>
      <c r="AH96" s="190" t="e">
        <f>AVERAGE(RBmatchups[[#This Row],[Proj Rank]],RBmatchups[[#This Row],[Value Rank]])</f>
        <v>#VALUE!</v>
      </c>
      <c r="AI96" s="214">
        <f>RBmatchups[[#This Row],[Salary]]/50000</f>
        <v>0.06</v>
      </c>
      <c r="AJ96" s="214"/>
      <c r="AK96" s="14">
        <f>IFERROR(INDEX(HBstats1[Rush Att],MATCH(RBmatchups[[#This Row],[Name]],HBstats1[Player],0)),"0")</f>
        <v>0.71799999999999997</v>
      </c>
      <c r="AL96" s="14" t="str">
        <f>IFERROR(INDEX(HBstats2[Carries],MATCH(RBmatchups[[#This Row],[Name]],HBstats2[Player],0)),"0")</f>
        <v>0</v>
      </c>
      <c r="AM96" s="14">
        <f>IFERROR(INDEX(HBstats3[Carries],MATCH(RBmatchups[[#This Row],[Name]],HBstats3[Player],0)),"0")</f>
        <v>0.2</v>
      </c>
      <c r="AN96" s="14" t="str">
        <f>IFERROR(INDEX(HBallowed[Carries],MATCH(RBmatchups[[#This Row],[Opp]],HBallowed[Team],0)),"0")</f>
        <v>0</v>
      </c>
      <c r="AO96" s="14">
        <f>IFERROR(INDEX(HBstats1[Rush Yds],MATCH(RBmatchups[[#This Row],[Name]],HBstats1[Player],0)),"0")</f>
        <v>1.7470000000000001</v>
      </c>
      <c r="AP96" s="14" t="str">
        <f>IFERROR(INDEX(HBstats2[RushYards],MATCH(RBmatchups[[#This Row],[Name]],HBstats2[Player],0)),"0")</f>
        <v>0</v>
      </c>
      <c r="AQ96" s="14">
        <f>IFERROR(INDEX(HBstats3[RushYards],MATCH(RBmatchups[[#This Row],[Name]],HBstats3[Player],0)),"0")</f>
        <v>0.8</v>
      </c>
      <c r="AR96" s="32" t="str">
        <f>IFERROR(INDEX(HBallowed[Yards],MATCH(RBmatchups[[#This Row],[Opp]],HBallowed[Team],0)),"0")</f>
        <v>0</v>
      </c>
      <c r="AS96" s="14">
        <f>IFERROR(INDEX(HBstats1[Rush TD],MATCH(RBmatchups[[#This Row],[Name]],HBstats1[Player],0)),"0")</f>
        <v>1.6E-2</v>
      </c>
      <c r="AT96" s="14" t="str">
        <f>IFERROR(INDEX(HBstats2[RushTD],MATCH(RBmatchups[[#This Row],[Name]],HBstats2[Player],0)),"0")</f>
        <v>0</v>
      </c>
      <c r="AU96" s="14">
        <f>IFERROR(INDEX(HBstats3[RushTD],MATCH(RBmatchups[[#This Row],[Name]],HBstats3[Player],0)),"0")</f>
        <v>0</v>
      </c>
      <c r="AV96" s="32" t="str">
        <f>IFERROR(INDEX(HBallowed[TD],MATCH(RBmatchups[[#This Row],[Opp]],HBallowed[Team],0)),"0")</f>
        <v>0</v>
      </c>
      <c r="AW96" s="32">
        <f>IFERROR(INDEX(HBstats3[Targets],MATCH(RBmatchups[[#This Row],[Name]],HBstats3[Player],0)),"0")</f>
        <v>0.3</v>
      </c>
      <c r="AX96" s="32" t="str">
        <f>IFERROR(INDEX(HBstats2[Targets],MATCH(RBmatchups[[#This Row],[Name]],HBstats2[Player],0)),"0")</f>
        <v>0</v>
      </c>
      <c r="AY96" s="32">
        <f>IFERROR(INDEX(HBstats3[Targets],MATCH(RBmatchups[[#This Row],[Name]],HBstats3[Player],0)),"0")</f>
        <v>0.3</v>
      </c>
      <c r="AZ96" s="14">
        <f>IFERROR(INDEX(HBstats1[Rec],MATCH(RBmatchups[[#This Row],[Name]],HBstats1[Player],0)),"0")</f>
        <v>0</v>
      </c>
      <c r="BA96" s="14" t="str">
        <f>IFERROR(INDEX(HBstats2[Rec],MATCH(RBmatchups[[#This Row],[Name]],HBstats2[Player],0)),"0")</f>
        <v>0</v>
      </c>
      <c r="BB96" s="14">
        <f>IFERROR(INDEX(HBstats3[Rec],MATCH(RBmatchups[[#This Row],[Name]],HBstats3[Player],0)),"0")</f>
        <v>0.2</v>
      </c>
      <c r="BC96" s="32" t="str">
        <f>IFERROR(INDEX(HBallowed[Rec],MATCH(RBmatchups[[#This Row],[Opp]],HBallowed[Team],0)),"0")</f>
        <v>0</v>
      </c>
      <c r="BD96" s="14">
        <f>IFERROR(INDEX(HBstats1[Rec Yds],MATCH(RBmatchups[[#This Row],[Name]],HBstats1[Player],0)),"0")</f>
        <v>0</v>
      </c>
      <c r="BE96" s="14" t="str">
        <f>IFERROR(INDEX(HBstats2[RecYards],MATCH(RBmatchups[[#This Row],[Name]],HBstats2[Player],0)),"0")</f>
        <v>0</v>
      </c>
      <c r="BF96" s="14">
        <f>IFERROR(INDEX(HBstats3[RecYards],MATCH(RBmatchups[[#This Row],[Name]],HBstats3[Player],0)),"0")</f>
        <v>1.5</v>
      </c>
      <c r="BG96" s="32" t="str">
        <f>IFERROR(INDEX(HBallowed[RecYards],MATCH(RBmatchups[[#This Row],[Opp]],HBallowed[Team],0)),"0")</f>
        <v>0</v>
      </c>
      <c r="BH96" s="14">
        <f>IFERROR(INDEX(HBstats1[Rec TD],MATCH(RBmatchups[[#This Row],[Name]],HBstats1[Player],0)),"0")</f>
        <v>0</v>
      </c>
      <c r="BI96" s="14" t="str">
        <f>IFERROR(INDEX(HBstats2[RecTD],MATCH(RBmatchups[[#This Row],[Name]],HBstats2[Player],0)),"0")</f>
        <v>0</v>
      </c>
      <c r="BJ96" s="14">
        <f>IFERROR(INDEX(HBstats3[RecTD],MATCH(RBmatchups[[#This Row],[Name]],HBstats3[Player],0)),"0")</f>
        <v>0</v>
      </c>
      <c r="BK96" s="32" t="str">
        <f>IFERROR(INDEX(HBallowed[RecTD],MATCH(RBmatchups[[#This Row],[Opp]],HBallowed[Team],0)),"0")</f>
        <v>0</v>
      </c>
      <c r="BL96" s="268">
        <f>IF(RBmatchups[[#This Row],[Yards]]&gt;=100,3,0)</f>
        <v>0</v>
      </c>
    </row>
    <row r="97" spans="1:64" ht="15" thickBot="1" x14ac:dyDescent="0.35">
      <c r="A97" s="37">
        <f>HBstats1!AL87</f>
        <v>0.2</v>
      </c>
      <c r="B97" s="153" t="str">
        <f>HBstats1!D87</f>
        <v>Mike Davis</v>
      </c>
      <c r="C97" s="154">
        <f>IFERROR(INDEX(Salaries[DraftKings (Price)],MATCH(RBmatchups[[#This Row],[Name]],Salaries[Player],0)),"")</f>
        <v>3000</v>
      </c>
      <c r="D97" s="154">
        <f>IFERROR(INDEX(DK_Salary_Changes[WeekChange],MATCH(RBmatchups[[#This Row],[Name]],DK_Salary_Changes[Player],0)),"")</f>
        <v>0</v>
      </c>
      <c r="E97" s="154" t="str">
        <f>IFERROR(INDEX(Salaries[Team],MATCH(RBmatchups[[#This Row],[Name]],Salaries[Player],0)),"")</f>
        <v>SF</v>
      </c>
      <c r="F97" s="189" t="str">
        <f>IFERROR(INDEX(Salaries[Opp],MATCH(RBmatchups[[#This Row],[Team]],Salaries[Team],0)),"")</f>
        <v>DAL</v>
      </c>
      <c r="G97" s="410" t="str">
        <f>IFERROR(INDEX(RBYTD[Rush ATT],MATCH(RBmatchups[Name],RBYTD[Player],0)),"0")</f>
        <v>0</v>
      </c>
      <c r="H97" s="191" t="str">
        <f>IFERROR(INDEX(RBYTD[Rush Yds],MATCH(RBmatchups[Name],RBYTD[Player],0)),"0")</f>
        <v>0</v>
      </c>
      <c r="I97" s="191" t="str">
        <f>IFERROR(INDEX(RBYTD[Rush TD],MATCH(RBmatchups[Name],RBYTD[Player],0)),"0")</f>
        <v>0</v>
      </c>
      <c r="J97" s="191" t="str">
        <f>IFERROR(INDEX(RBYTD[Rec],MATCH(RBmatchups[Name],RBYTD[Player],0)),"0")</f>
        <v>0</v>
      </c>
      <c r="K97" s="191">
        <f>IFERROR(INDEX(targettracker54[TTL],MATCH(RBmatchups[Name],targettracker54[Name],0)),"0")</f>
        <v>1</v>
      </c>
      <c r="L97" s="191" t="str">
        <f>IFERROR(INDEX(RBYTD[Rec Yds],MATCH(RBmatchups[Name],RBYTD[Player],0)),"0")</f>
        <v>0</v>
      </c>
      <c r="M97" s="411" t="str">
        <f>IFERROR(INDEX(RBYTD[Rec TD],MATCH(RBmatchups[Name],RBYTD[Player],0)),"0")</f>
        <v>0</v>
      </c>
      <c r="N97" s="444">
        <f>IFERROR(INDEX(Salaries[O/U],MATCH(RBmatchups[[#This Row],[Team]],Salaries[Team],0)),"")</f>
        <v>46</v>
      </c>
      <c r="O97" s="445">
        <f>IFERROR(INDEX(Salaries[Team O/U],MATCH(RBmatchups[[#This Row],[Team]],Salaries[Team],0)),"")</f>
        <v>21.5</v>
      </c>
      <c r="P97" s="446">
        <f>IFERROR(INDEX(Salaries[Spread],MATCH(RBmatchups[[#This Row],[Team]],Salaries[Team],0)),"")</f>
        <v>3</v>
      </c>
      <c r="Q97" s="424">
        <f>IFERROR(INDEX(HBallowed[DVP],MATCH(RBmatchups[[#This Row],[Opp]],HBallowed[Team],0)),IFERROR(INDEX(HBallowed[DVP],MATCH(RBmatchups[[#This Row],[Opp]],HBallowed[Opp],0)),""))</f>
        <v>25</v>
      </c>
      <c r="R97" s="444">
        <f>AVERAGE(RBmatchups[[#This Row],[Car1]:[Car3]])</f>
        <v>0.36099999999999999</v>
      </c>
      <c r="S97" s="454">
        <f>AVERAGE(RBmatchups[[#This Row],[Yards1]:[Yards3]])</f>
        <v>1.1279999999999999</v>
      </c>
      <c r="T97" s="445">
        <f>SUM(RBmatchups[[#This Row],[Yards]]/RBmatchups[[#This Row],[Carries2]])</f>
        <v>3.1246537396121883</v>
      </c>
      <c r="U97" s="445">
        <f>AVERAGE(RBmatchups[[#This Row],[TD1]:[TD3]])</f>
        <v>8.9999999999999993E-3</v>
      </c>
      <c r="V97" s="445" t="e">
        <f>AVERAGE(RBmatchups[[#This Row],[Tar1]:[Tar3]])</f>
        <v>#DIV/0!</v>
      </c>
      <c r="W97" s="445">
        <f>AVERAGE(RBmatchups[[#This Row],[Rec1]:[Rec3]])</f>
        <v>0</v>
      </c>
      <c r="X97" s="445">
        <f>AVERAGE(RBmatchups[[#This Row],[RecYards1]:[RecYards3]])</f>
        <v>0</v>
      </c>
      <c r="Y97" s="445">
        <f>AVERAGE(RBmatchups[[#This Row],[RecTD1]:[RecTd3]])</f>
        <v>0</v>
      </c>
      <c r="Z97" s="454">
        <f>SUM(RBmatchups[[#This Row],[Carries2]]+RBmatchups[[#This Row],[Rec4]])</f>
        <v>0.36099999999999999</v>
      </c>
      <c r="AA97" s="445">
        <f>SUM(RBmatchups[[#This Row],[Yards]]+RBmatchups[[#This Row],[RecYards]])</f>
        <v>1.1279999999999999</v>
      </c>
      <c r="AB97" s="445">
        <f>SUM(RBmatchups[[#This Row],[TD]]+RBmatchups[[#This Row],[RecTD5]])</f>
        <v>8.9999999999999993E-3</v>
      </c>
      <c r="AC97" s="455">
        <f>_xlfn.RANK.EQ(RBmatchups[Projection],RBmatchups[Projection],0)</f>
        <v>87</v>
      </c>
      <c r="AD97" s="445">
        <f>SUM(RBmatchups[[#This Row],[Total Yards]]*0.1)+(RBmatchups[[#This Row],[Rec4]]*1)+(RBmatchups[[#This Row],[Total TD]]*6)+(RBmatchups[[#This Row],[100+]])</f>
        <v>0.1668</v>
      </c>
      <c r="AE97" s="455" t="e">
        <f>_xlfn.RANK.EQ(RBmatchups[[#This Row],[$/FP]],RBmatchups[$/FP],1)</f>
        <v>#VALUE!</v>
      </c>
      <c r="AF97" s="456">
        <f>SUM(RBmatchups[[#This Row],[Salary]]/RBmatchups[[#This Row],[Projection]])</f>
        <v>17985.611510791365</v>
      </c>
      <c r="AG97" s="448" t="e">
        <f>_xlfn.RANK.EQ(RBmatchups[[#This Row],[Average]],RBmatchups[Average],1)</f>
        <v>#VALUE!</v>
      </c>
      <c r="AH97" s="190" t="e">
        <f>AVERAGE(RBmatchups[[#This Row],[Proj Rank]],RBmatchups[[#This Row],[Value Rank]])</f>
        <v>#VALUE!</v>
      </c>
      <c r="AI97" s="214">
        <f>RBmatchups[[#This Row],[Salary]]/50000</f>
        <v>0.06</v>
      </c>
      <c r="AJ97" s="214"/>
      <c r="AK97" s="14">
        <f>IFERROR(INDEX(HBstats1[Rush Att],MATCH(RBmatchups[[#This Row],[Name]],HBstats1[Player],0)),"0")</f>
        <v>0.36099999999999999</v>
      </c>
      <c r="AL97" s="14" t="str">
        <f>IFERROR(INDEX(HBstats2[Carries],MATCH(RBmatchups[[#This Row],[Name]],HBstats2[Player],0)),"0")</f>
        <v>0</v>
      </c>
      <c r="AM97" s="14" t="str">
        <f>IFERROR(INDEX(HBstats3[Carries],MATCH(RBmatchups[[#This Row],[Name]],HBstats3[Player],0)),"0")</f>
        <v>0</v>
      </c>
      <c r="AN97" s="14">
        <f>IFERROR(INDEX(HBallowed[Carries],MATCH(RBmatchups[[#This Row],[Opp]],HBallowed[Team],0)),"0")</f>
        <v>23.9375</v>
      </c>
      <c r="AO97" s="14">
        <f>IFERROR(INDEX(HBstats1[Rush Yds],MATCH(RBmatchups[[#This Row],[Name]],HBstats1[Player],0)),"0")</f>
        <v>1.1279999999999999</v>
      </c>
      <c r="AP97" s="14" t="str">
        <f>IFERROR(INDEX(HBstats2[RushYards],MATCH(RBmatchups[[#This Row],[Name]],HBstats2[Player],0)),"0")</f>
        <v>0</v>
      </c>
      <c r="AQ97" s="14" t="str">
        <f>IFERROR(INDEX(HBstats3[RushYards],MATCH(RBmatchups[[#This Row],[Name]],HBstats3[Player],0)),"0")</f>
        <v>0</v>
      </c>
      <c r="AR97" s="32">
        <f>IFERROR(INDEX(HBallowed[Yards],MATCH(RBmatchups[[#This Row],[Opp]],HBallowed[Team],0)),"0")</f>
        <v>87.625</v>
      </c>
      <c r="AS97" s="14">
        <f>IFERROR(INDEX(HBstats1[Rush TD],MATCH(RBmatchups[[#This Row],[Name]],HBstats1[Player],0)),"0")</f>
        <v>8.9999999999999993E-3</v>
      </c>
      <c r="AT97" s="14" t="str">
        <f>IFERROR(INDEX(HBstats2[RushTD],MATCH(RBmatchups[[#This Row],[Name]],HBstats2[Player],0)),"0")</f>
        <v>0</v>
      </c>
      <c r="AU97" s="14" t="str">
        <f>IFERROR(INDEX(HBstats3[RushTD],MATCH(RBmatchups[[#This Row],[Name]],HBstats3[Player],0)),"0")</f>
        <v>0</v>
      </c>
      <c r="AV97" s="32">
        <f>IFERROR(INDEX(HBallowed[TD],MATCH(RBmatchups[[#This Row],[Opp]],HBallowed[Team],0)),"0")</f>
        <v>0.8125</v>
      </c>
      <c r="AW97" s="32" t="str">
        <f>IFERROR(INDEX(HBstats3[Targets],MATCH(RBmatchups[[#This Row],[Name]],HBstats3[Player],0)),"0")</f>
        <v>0</v>
      </c>
      <c r="AX97" s="32" t="str">
        <f>IFERROR(INDEX(HBstats2[Targets],MATCH(RBmatchups[[#This Row],[Name]],HBstats2[Player],0)),"0")</f>
        <v>0</v>
      </c>
      <c r="AY97" s="32" t="str">
        <f>IFERROR(INDEX(HBstats3[Targets],MATCH(RBmatchups[[#This Row],[Name]],HBstats3[Player],0)),"0")</f>
        <v>0</v>
      </c>
      <c r="AZ97" s="14">
        <f>IFERROR(INDEX(HBstats1[Rec],MATCH(RBmatchups[[#This Row],[Name]],HBstats1[Player],0)),"0")</f>
        <v>0</v>
      </c>
      <c r="BA97" s="14" t="str">
        <f>IFERROR(INDEX(HBstats2[Rec],MATCH(RBmatchups[[#This Row],[Name]],HBstats2[Player],0)),"0")</f>
        <v>0</v>
      </c>
      <c r="BB97" s="14" t="str">
        <f>IFERROR(INDEX(HBstats3[Rec],MATCH(RBmatchups[[#This Row],[Name]],HBstats3[Player],0)),"0")</f>
        <v>0</v>
      </c>
      <c r="BC97" s="32">
        <f>IFERROR(INDEX(HBallowed[Rec],MATCH(RBmatchups[[#This Row],[Opp]],HBallowed[Team],0)),"0")</f>
        <v>6.5625</v>
      </c>
      <c r="BD97" s="14">
        <f>IFERROR(INDEX(HBstats1[Rec Yds],MATCH(RBmatchups[[#This Row],[Name]],HBstats1[Player],0)),"0")</f>
        <v>0</v>
      </c>
      <c r="BE97" s="14" t="str">
        <f>IFERROR(INDEX(HBstats2[RecYards],MATCH(RBmatchups[[#This Row],[Name]],HBstats2[Player],0)),"0")</f>
        <v>0</v>
      </c>
      <c r="BF97" s="14" t="str">
        <f>IFERROR(INDEX(HBstats3[RecYards],MATCH(RBmatchups[[#This Row],[Name]],HBstats3[Player],0)),"0")</f>
        <v>0</v>
      </c>
      <c r="BG97" s="32">
        <f>IFERROR(INDEX(HBallowed[RecYards],MATCH(RBmatchups[[#This Row],[Opp]],HBallowed[Team],0)),"0")</f>
        <v>56.0625</v>
      </c>
      <c r="BH97" s="14">
        <f>IFERROR(INDEX(HBstats1[Rec TD],MATCH(RBmatchups[[#This Row],[Name]],HBstats1[Player],0)),"0")</f>
        <v>0</v>
      </c>
      <c r="BI97" s="14" t="str">
        <f>IFERROR(INDEX(HBstats2[RecTD],MATCH(RBmatchups[[#This Row],[Name]],HBstats2[Player],0)),"0")</f>
        <v>0</v>
      </c>
      <c r="BJ97" s="14" t="str">
        <f>IFERROR(INDEX(HBstats3[RecTD],MATCH(RBmatchups[[#This Row],[Name]],HBstats3[Player],0)),"0")</f>
        <v>0</v>
      </c>
      <c r="BK97" s="32">
        <f>IFERROR(INDEX(HBallowed[RecTD],MATCH(RBmatchups[[#This Row],[Opp]],HBallowed[Team],0)),"0")</f>
        <v>0.3125</v>
      </c>
      <c r="BL97" s="268">
        <f>IF(RBmatchups[[#This Row],[Yards]]&gt;=100,3,0)</f>
        <v>0</v>
      </c>
    </row>
    <row r="98" spans="1:64" x14ac:dyDescent="0.3">
      <c r="I98" s="9"/>
      <c r="AC98" s="9"/>
      <c r="AD98" s="9"/>
      <c r="AE98" s="9"/>
      <c r="AF98" s="9"/>
      <c r="AG98" s="9"/>
      <c r="AH98" s="9"/>
      <c r="AW98" s="9"/>
    </row>
    <row r="99" spans="1:64" x14ac:dyDescent="0.3">
      <c r="I99" s="9"/>
      <c r="AC99" s="9"/>
      <c r="AD99" s="9"/>
      <c r="AE99" s="9"/>
      <c r="AF99" s="9"/>
      <c r="AG99" s="9"/>
      <c r="AH99" s="9"/>
      <c r="AW99" s="9"/>
    </row>
    <row r="100" spans="1:64" x14ac:dyDescent="0.3">
      <c r="I100" s="9"/>
      <c r="AC100" s="9"/>
      <c r="AD100" s="9"/>
      <c r="AE100" s="9"/>
      <c r="AF100" s="9"/>
      <c r="AG100" s="9"/>
      <c r="AH100" s="9"/>
      <c r="AW100" s="9"/>
    </row>
    <row r="101" spans="1:64" x14ac:dyDescent="0.3">
      <c r="I101" s="9"/>
      <c r="AC101" s="9"/>
      <c r="AD101" s="9"/>
      <c r="AE101" s="9"/>
      <c r="AF101" s="9"/>
      <c r="AG101" s="9"/>
      <c r="AH101" s="9"/>
      <c r="AW101" s="9"/>
    </row>
    <row r="102" spans="1:64" x14ac:dyDescent="0.3">
      <c r="I102" s="9"/>
      <c r="AC102" s="9"/>
      <c r="AD102" s="9"/>
      <c r="AE102" s="9"/>
      <c r="AF102" s="9"/>
      <c r="AG102" s="9"/>
      <c r="AH102" s="9"/>
      <c r="AW102" s="9"/>
    </row>
    <row r="103" spans="1:64" x14ac:dyDescent="0.3">
      <c r="I103" s="9"/>
      <c r="AC103" s="9"/>
      <c r="AD103" s="9"/>
      <c r="AE103" s="9"/>
      <c r="AF103" s="9"/>
      <c r="AG103" s="9"/>
      <c r="AH103" s="9"/>
      <c r="AW103" s="9"/>
    </row>
    <row r="104" spans="1:64" x14ac:dyDescent="0.3">
      <c r="I104" s="9"/>
      <c r="AC104" s="9"/>
      <c r="AD104" s="9"/>
      <c r="AE104" s="9"/>
      <c r="AF104" s="9"/>
      <c r="AG104" s="9"/>
      <c r="AH104" s="9"/>
      <c r="AW104" s="9"/>
    </row>
    <row r="105" spans="1:64" x14ac:dyDescent="0.3">
      <c r="I105" s="9"/>
      <c r="AC105" s="9"/>
      <c r="AD105" s="9"/>
      <c r="AE105" s="9"/>
      <c r="AF105" s="9"/>
      <c r="AG105" s="9"/>
      <c r="AH105" s="9"/>
      <c r="AW105" s="9"/>
    </row>
    <row r="106" spans="1:64" x14ac:dyDescent="0.3">
      <c r="I106" s="9"/>
      <c r="AC106" s="9"/>
      <c r="AD106" s="9"/>
      <c r="AE106" s="9"/>
      <c r="AF106" s="9"/>
      <c r="AG106" s="9"/>
      <c r="AH106" s="9"/>
      <c r="AW106" s="9"/>
    </row>
    <row r="107" spans="1:64" x14ac:dyDescent="0.3">
      <c r="I107" s="9"/>
      <c r="AC107" s="9"/>
      <c r="AD107" s="9"/>
      <c r="AE107" s="9"/>
      <c r="AF107" s="9"/>
      <c r="AG107" s="9"/>
      <c r="AH107" s="9"/>
      <c r="AW107" s="9"/>
    </row>
    <row r="108" spans="1:64" x14ac:dyDescent="0.3">
      <c r="I108" s="9"/>
      <c r="AC108" s="9"/>
      <c r="AD108" s="9"/>
      <c r="AE108" s="9"/>
      <c r="AF108" s="9"/>
      <c r="AG108" s="9"/>
      <c r="AH108" s="9"/>
      <c r="AW108" s="9"/>
    </row>
    <row r="109" spans="1:64" x14ac:dyDescent="0.3">
      <c r="I109" s="9"/>
      <c r="AC109" s="9"/>
      <c r="AD109" s="9"/>
      <c r="AE109" s="9"/>
      <c r="AF109" s="9"/>
      <c r="AG109" s="9"/>
      <c r="AH109" s="9"/>
      <c r="AW109" s="9"/>
    </row>
    <row r="110" spans="1:64" x14ac:dyDescent="0.3">
      <c r="I110" s="9"/>
      <c r="AC110" s="9"/>
      <c r="AD110" s="9"/>
      <c r="AE110" s="9"/>
      <c r="AF110" s="9"/>
      <c r="AG110" s="9"/>
      <c r="AH110" s="9"/>
      <c r="AW110" s="9"/>
    </row>
    <row r="111" spans="1:64" x14ac:dyDescent="0.3">
      <c r="I111" s="9"/>
      <c r="AC111" s="9"/>
      <c r="AD111" s="9"/>
      <c r="AE111" s="9"/>
      <c r="AF111" s="9"/>
      <c r="AG111" s="9"/>
      <c r="AH111" s="9"/>
      <c r="AW111" s="9"/>
    </row>
    <row r="112" spans="1:64" x14ac:dyDescent="0.3">
      <c r="I112" s="9"/>
      <c r="AC112" s="9"/>
      <c r="AD112" s="9"/>
      <c r="AE112" s="9"/>
      <c r="AF112" s="9"/>
      <c r="AG112" s="9"/>
      <c r="AH112" s="9"/>
      <c r="AW112" s="9"/>
    </row>
    <row r="113" spans="9:49" x14ac:dyDescent="0.3">
      <c r="I113" s="9"/>
      <c r="AC113" s="9"/>
      <c r="AD113" s="9"/>
      <c r="AE113" s="9"/>
      <c r="AF113" s="9"/>
      <c r="AG113" s="9"/>
      <c r="AH113" s="9"/>
      <c r="AW113" s="9"/>
    </row>
    <row r="114" spans="9:49" x14ac:dyDescent="0.3">
      <c r="I114" s="9"/>
      <c r="AC114" s="9"/>
      <c r="AD114" s="9"/>
      <c r="AE114" s="9"/>
      <c r="AF114" s="9"/>
      <c r="AG114" s="9"/>
      <c r="AH114" s="9"/>
      <c r="AW114" s="9"/>
    </row>
    <row r="115" spans="9:49" x14ac:dyDescent="0.3">
      <c r="I115" s="9"/>
      <c r="AC115" s="9"/>
      <c r="AD115" s="9"/>
      <c r="AE115" s="9"/>
      <c r="AF115" s="9"/>
      <c r="AG115" s="9"/>
      <c r="AH115" s="9"/>
      <c r="AW115" s="9"/>
    </row>
    <row r="116" spans="9:49" x14ac:dyDescent="0.3">
      <c r="I116" s="9"/>
      <c r="AC116" s="9"/>
      <c r="AD116" s="9"/>
      <c r="AE116" s="9"/>
      <c r="AF116" s="9"/>
      <c r="AG116" s="9"/>
      <c r="AH116" s="9"/>
      <c r="AW116" s="9"/>
    </row>
    <row r="117" spans="9:49" x14ac:dyDescent="0.3">
      <c r="I117" s="9"/>
      <c r="AC117" s="9"/>
      <c r="AD117" s="9"/>
      <c r="AE117" s="9"/>
      <c r="AF117" s="9"/>
      <c r="AG117" s="9"/>
      <c r="AH117" s="9"/>
      <c r="AW117" s="9"/>
    </row>
    <row r="118" spans="9:49" x14ac:dyDescent="0.3">
      <c r="I118" s="9"/>
      <c r="AC118" s="9"/>
      <c r="AD118" s="9"/>
      <c r="AE118" s="9"/>
      <c r="AF118" s="9"/>
      <c r="AG118" s="9"/>
      <c r="AH118" s="9"/>
      <c r="AW118" s="9"/>
    </row>
    <row r="119" spans="9:49" x14ac:dyDescent="0.3">
      <c r="I119" s="9"/>
      <c r="AC119" s="9"/>
      <c r="AD119" s="9"/>
      <c r="AE119" s="9"/>
      <c r="AF119" s="9"/>
      <c r="AG119" s="9"/>
      <c r="AH119" s="9"/>
      <c r="AW119" s="9"/>
    </row>
    <row r="120" spans="9:49" x14ac:dyDescent="0.3">
      <c r="I120" s="9"/>
      <c r="AC120" s="9"/>
      <c r="AD120" s="9"/>
      <c r="AE120" s="9"/>
      <c r="AF120" s="9"/>
      <c r="AG120" s="9"/>
      <c r="AH120" s="9"/>
      <c r="AW120" s="9"/>
    </row>
    <row r="121" spans="9:49" x14ac:dyDescent="0.3">
      <c r="I121" s="9"/>
      <c r="AC121" s="9"/>
      <c r="AD121" s="9"/>
      <c r="AE121" s="9"/>
      <c r="AF121" s="9"/>
      <c r="AG121" s="9"/>
      <c r="AH121" s="9"/>
      <c r="AW121" s="9"/>
    </row>
    <row r="122" spans="9:49" x14ac:dyDescent="0.3">
      <c r="I122" s="9"/>
      <c r="AC122" s="9"/>
      <c r="AD122" s="9"/>
      <c r="AE122" s="9"/>
      <c r="AF122" s="9"/>
      <c r="AG122" s="9"/>
      <c r="AH122" s="9"/>
      <c r="AW122" s="9"/>
    </row>
    <row r="123" spans="9:49" x14ac:dyDescent="0.3">
      <c r="I123" s="9"/>
      <c r="AC123" s="9"/>
      <c r="AD123" s="9"/>
      <c r="AE123" s="9"/>
      <c r="AF123" s="9"/>
      <c r="AG123" s="9"/>
      <c r="AH123" s="9"/>
      <c r="AW123" s="9"/>
    </row>
    <row r="124" spans="9:49" x14ac:dyDescent="0.3">
      <c r="I124" s="9"/>
      <c r="AC124" s="9"/>
      <c r="AD124" s="9"/>
      <c r="AE124" s="9"/>
      <c r="AF124" s="9"/>
      <c r="AG124" s="9"/>
      <c r="AH124" s="9"/>
      <c r="AW124" s="9"/>
    </row>
    <row r="125" spans="9:49" x14ac:dyDescent="0.3">
      <c r="I125" s="9"/>
      <c r="AC125" s="9"/>
      <c r="AD125" s="9"/>
      <c r="AE125" s="9"/>
      <c r="AF125" s="9"/>
      <c r="AG125" s="9"/>
      <c r="AH125" s="9"/>
      <c r="AW125" s="9"/>
    </row>
    <row r="126" spans="9:49" x14ac:dyDescent="0.3">
      <c r="I126" s="9"/>
      <c r="AC126" s="9"/>
      <c r="AD126" s="9"/>
      <c r="AE126" s="9"/>
      <c r="AF126" s="9"/>
      <c r="AG126" s="9"/>
      <c r="AH126" s="9"/>
      <c r="AW126" s="9"/>
    </row>
    <row r="127" spans="9:49" x14ac:dyDescent="0.3">
      <c r="I127" s="9"/>
      <c r="AC127" s="9"/>
      <c r="AD127" s="9"/>
      <c r="AE127" s="9"/>
      <c r="AF127" s="9"/>
      <c r="AG127" s="9"/>
      <c r="AH127" s="9"/>
      <c r="AW127" s="9"/>
    </row>
    <row r="128" spans="9:49" x14ac:dyDescent="0.3">
      <c r="I128" s="9"/>
      <c r="AC128" s="9"/>
      <c r="AD128" s="9"/>
      <c r="AE128" s="9"/>
      <c r="AF128" s="9"/>
      <c r="AG128" s="9"/>
      <c r="AH128" s="9"/>
      <c r="AW128" s="9"/>
    </row>
    <row r="129" spans="9:49" x14ac:dyDescent="0.3">
      <c r="I129" s="9"/>
      <c r="AC129" s="9"/>
      <c r="AD129" s="9"/>
      <c r="AE129" s="9"/>
      <c r="AF129" s="9"/>
      <c r="AG129" s="9"/>
      <c r="AH129" s="9"/>
      <c r="AW129" s="9"/>
    </row>
    <row r="130" spans="9:49" x14ac:dyDescent="0.3">
      <c r="I130" s="9"/>
      <c r="AC130" s="9"/>
      <c r="AD130" s="9"/>
      <c r="AE130" s="9"/>
      <c r="AF130" s="9"/>
      <c r="AG130" s="9"/>
      <c r="AH130" s="9"/>
      <c r="AW130" s="9"/>
    </row>
    <row r="131" spans="9:49" x14ac:dyDescent="0.3">
      <c r="I131" s="9"/>
      <c r="AC131" s="9"/>
      <c r="AD131" s="9"/>
      <c r="AE131" s="9"/>
      <c r="AF131" s="9"/>
      <c r="AG131" s="9"/>
      <c r="AH131" s="9"/>
      <c r="AW131" s="9"/>
    </row>
    <row r="132" spans="9:49" x14ac:dyDescent="0.3">
      <c r="I132" s="9"/>
      <c r="AC132" s="9"/>
      <c r="AD132" s="9"/>
      <c r="AE132" s="9"/>
      <c r="AF132" s="9"/>
      <c r="AG132" s="9"/>
      <c r="AH132" s="9"/>
      <c r="AW132" s="9"/>
    </row>
    <row r="133" spans="9:49" x14ac:dyDescent="0.3">
      <c r="I133" s="9"/>
      <c r="AC133" s="9"/>
      <c r="AD133" s="9"/>
      <c r="AE133" s="9"/>
      <c r="AF133" s="9"/>
      <c r="AG133" s="9"/>
      <c r="AH133" s="9"/>
      <c r="AW133" s="9"/>
    </row>
    <row r="134" spans="9:49" x14ac:dyDescent="0.3">
      <c r="I134" s="9"/>
      <c r="AC134" s="9"/>
      <c r="AD134" s="9"/>
      <c r="AE134" s="9"/>
      <c r="AF134" s="9"/>
      <c r="AG134" s="9"/>
      <c r="AH134" s="9"/>
      <c r="AW134" s="9"/>
    </row>
    <row r="135" spans="9:49" x14ac:dyDescent="0.3">
      <c r="I135" s="9"/>
      <c r="AC135" s="9"/>
      <c r="AD135" s="9"/>
      <c r="AE135" s="9"/>
      <c r="AF135" s="9"/>
      <c r="AG135" s="9"/>
      <c r="AH135" s="9"/>
      <c r="AW135" s="9"/>
    </row>
    <row r="136" spans="9:49" x14ac:dyDescent="0.3">
      <c r="AC136" s="9"/>
      <c r="AD136" s="9"/>
      <c r="AE136" s="9"/>
      <c r="AF136" s="9"/>
      <c r="AG136" s="9"/>
      <c r="AH136" s="9"/>
      <c r="AW136" s="9"/>
    </row>
    <row r="137" spans="9:49" x14ac:dyDescent="0.3">
      <c r="AC137" s="9"/>
      <c r="AD137" s="9"/>
      <c r="AE137" s="9"/>
      <c r="AF137" s="9"/>
      <c r="AG137" s="9"/>
      <c r="AH137" s="9"/>
      <c r="AW137" s="9"/>
    </row>
    <row r="138" spans="9:49" x14ac:dyDescent="0.3">
      <c r="AC138" s="9"/>
      <c r="AD138" s="9"/>
      <c r="AE138" s="9"/>
      <c r="AF138" s="9"/>
      <c r="AG138" s="9"/>
      <c r="AH138" s="9"/>
      <c r="AW138" s="9"/>
    </row>
    <row r="139" spans="9:49" x14ac:dyDescent="0.3">
      <c r="AC139" s="9"/>
      <c r="AD139" s="9"/>
      <c r="AE139" s="9"/>
      <c r="AF139" s="9"/>
      <c r="AG139" s="9"/>
      <c r="AH139" s="9"/>
      <c r="AW139" s="9"/>
    </row>
    <row r="140" spans="9:49" x14ac:dyDescent="0.3">
      <c r="AC140" s="9"/>
      <c r="AD140" s="9"/>
      <c r="AE140" s="9"/>
      <c r="AF140" s="9"/>
      <c r="AG140" s="9"/>
      <c r="AH140" s="9"/>
      <c r="AW140" s="9"/>
    </row>
  </sheetData>
  <mergeCells count="6">
    <mergeCell ref="R9:AF9"/>
    <mergeCell ref="B5:D5"/>
    <mergeCell ref="A8:D8"/>
    <mergeCell ref="A9:D9"/>
    <mergeCell ref="G9:M9"/>
    <mergeCell ref="N9:P9"/>
  </mergeCells>
  <conditionalFormatting sqref="C10">
    <cfRule type="colorScale" priority="97">
      <colorScale>
        <cfvo type="min"/>
        <cfvo type="percentile" val="50"/>
        <cfvo type="max"/>
        <color rgb="FF63BE7B"/>
        <color rgb="FFFFEB84"/>
        <color rgb="FFF8696B"/>
      </colorScale>
    </cfRule>
  </conditionalFormatting>
  <conditionalFormatting sqref="AE10">
    <cfRule type="colorScale" priority="96">
      <colorScale>
        <cfvo type="min"/>
        <cfvo type="percentile" val="50"/>
        <cfvo type="max"/>
        <color rgb="FFF8696B"/>
        <color rgb="FFFFEB84"/>
        <color rgb="FF63BE7B"/>
      </colorScale>
    </cfRule>
  </conditionalFormatting>
  <conditionalFormatting sqref="X10">
    <cfRule type="colorScale" priority="94">
      <colorScale>
        <cfvo type="min"/>
        <cfvo type="percentile" val="50"/>
        <cfvo type="max"/>
        <color rgb="FFF8696B"/>
        <color rgb="FFFFEB84"/>
        <color rgb="FF63BE7B"/>
      </colorScale>
    </cfRule>
  </conditionalFormatting>
  <conditionalFormatting sqref="W10">
    <cfRule type="colorScale" priority="93">
      <colorScale>
        <cfvo type="min"/>
        <cfvo type="percentile" val="50"/>
        <cfvo type="max"/>
        <color rgb="FFF8696B"/>
        <color rgb="FFFFEB84"/>
        <color rgb="FF63BE7B"/>
      </colorScale>
    </cfRule>
  </conditionalFormatting>
  <conditionalFormatting sqref="Y10">
    <cfRule type="colorScale" priority="91">
      <colorScale>
        <cfvo type="min"/>
        <cfvo type="percentile" val="50"/>
        <cfvo type="max"/>
        <color rgb="FFF8696B"/>
        <color rgb="FFFFEB84"/>
        <color rgb="FF63BE7B"/>
      </colorScale>
    </cfRule>
  </conditionalFormatting>
  <conditionalFormatting sqref="Z10">
    <cfRule type="colorScale" priority="90">
      <colorScale>
        <cfvo type="min"/>
        <cfvo type="percentile" val="50"/>
        <cfvo type="max"/>
        <color rgb="FFF8696B"/>
        <color rgb="FFFFEB84"/>
        <color rgb="FF63BE7B"/>
      </colorScale>
    </cfRule>
  </conditionalFormatting>
  <conditionalFormatting sqref="AA10">
    <cfRule type="colorScale" priority="89">
      <colorScale>
        <cfvo type="min"/>
        <cfvo type="percentile" val="50"/>
        <cfvo type="max"/>
        <color rgb="FFF8696B"/>
        <color rgb="FFFFEB84"/>
        <color rgb="FF63BE7B"/>
      </colorScale>
    </cfRule>
  </conditionalFormatting>
  <conditionalFormatting sqref="AB10">
    <cfRule type="colorScale" priority="88">
      <colorScale>
        <cfvo type="min"/>
        <cfvo type="percentile" val="50"/>
        <cfvo type="max"/>
        <color rgb="FFF8696B"/>
        <color rgb="FFFFEB84"/>
        <color rgb="FF63BE7B"/>
      </colorScale>
    </cfRule>
  </conditionalFormatting>
  <conditionalFormatting sqref="AC10">
    <cfRule type="colorScale" priority="87">
      <colorScale>
        <cfvo type="min"/>
        <cfvo type="percentile" val="50"/>
        <cfvo type="max"/>
        <color rgb="FF63BE7B"/>
        <color rgb="FFFFEB84"/>
        <color rgb="FFF8696B"/>
      </colorScale>
    </cfRule>
  </conditionalFormatting>
  <conditionalFormatting sqref="T10">
    <cfRule type="colorScale" priority="86">
      <colorScale>
        <cfvo type="min"/>
        <cfvo type="percentile" val="50"/>
        <cfvo type="max"/>
        <color rgb="FFF8696B"/>
        <color rgb="FFFFEB84"/>
        <color rgb="FF63BE7B"/>
      </colorScale>
    </cfRule>
  </conditionalFormatting>
  <conditionalFormatting sqref="AF10:AG10">
    <cfRule type="colorScale" priority="85">
      <colorScale>
        <cfvo type="min"/>
        <cfvo type="percentile" val="50"/>
        <cfvo type="max"/>
        <color rgb="FF63BE7B"/>
        <color rgb="FFFFEB84"/>
        <color rgb="FFF8696B"/>
      </colorScale>
    </cfRule>
  </conditionalFormatting>
  <conditionalFormatting sqref="V10">
    <cfRule type="colorScale" priority="98">
      <colorScale>
        <cfvo type="min"/>
        <cfvo type="percentile" val="50"/>
        <cfvo type="max"/>
        <color rgb="FFF8696B"/>
        <color rgb="FFFFEB84"/>
        <color rgb="FF63BE7B"/>
      </colorScale>
    </cfRule>
  </conditionalFormatting>
  <conditionalFormatting sqref="U10">
    <cfRule type="colorScale" priority="99">
      <colorScale>
        <cfvo type="min"/>
        <cfvo type="percentile" val="50"/>
        <cfvo type="max"/>
        <color rgb="FFF8696B"/>
        <color rgb="FFFFEB84"/>
        <color rgb="FF63BE7B"/>
      </colorScale>
    </cfRule>
  </conditionalFormatting>
  <conditionalFormatting sqref="S10:T10">
    <cfRule type="colorScale" priority="100">
      <colorScale>
        <cfvo type="min"/>
        <cfvo type="percentile" val="50"/>
        <cfvo type="max"/>
        <color rgb="FFF8696B"/>
        <color rgb="FFFFEB84"/>
        <color rgb="FF63BE7B"/>
      </colorScale>
    </cfRule>
  </conditionalFormatting>
  <conditionalFormatting sqref="C10">
    <cfRule type="colorScale" priority="84">
      <colorScale>
        <cfvo type="min"/>
        <cfvo type="percentile" val="50"/>
        <cfvo type="max"/>
        <color rgb="FF63BE7B"/>
        <color rgb="FFFFEB84"/>
        <color rgb="FFF8696B"/>
      </colorScale>
    </cfRule>
  </conditionalFormatting>
  <conditionalFormatting sqref="F136:F1048576 Q10 F1:F9">
    <cfRule type="colorScale" priority="67">
      <colorScale>
        <cfvo type="min"/>
        <cfvo type="percentile" val="50"/>
        <cfvo type="max"/>
        <color rgb="FFF8696B"/>
        <color rgb="FFFFEB84"/>
        <color rgb="FF63BE7B"/>
      </colorScale>
    </cfRule>
  </conditionalFormatting>
  <conditionalFormatting sqref="G136:G1048576 R10 G1:G8">
    <cfRule type="dataBar" priority="65">
      <dataBar>
        <cfvo type="min"/>
        <cfvo type="max"/>
        <color rgb="FF63C384"/>
      </dataBar>
      <extLst>
        <ext xmlns:x14="http://schemas.microsoft.com/office/spreadsheetml/2009/9/main" uri="{B025F937-C7B1-47D3-B67F-A62EFF666E3E}">
          <x14:id>{8F26912F-1F4D-4446-9E42-1B8EAC9307C0}</x14:id>
        </ext>
      </extLst>
    </cfRule>
  </conditionalFormatting>
  <conditionalFormatting sqref="AF10:AH10">
    <cfRule type="colorScale" priority="1074">
      <colorScale>
        <cfvo type="min"/>
        <cfvo type="percentile" val="50"/>
        <cfvo type="max"/>
        <color rgb="FF63BE7B"/>
        <color rgb="FFFFEB84"/>
        <color rgb="FFF8696B"/>
      </colorScale>
    </cfRule>
  </conditionalFormatting>
  <conditionalFormatting sqref="AI10">
    <cfRule type="dataBar" priority="1452">
      <dataBar>
        <cfvo type="min"/>
        <cfvo type="max"/>
        <color rgb="FFFF555A"/>
      </dataBar>
      <extLst>
        <ext xmlns:x14="http://schemas.microsoft.com/office/spreadsheetml/2009/9/main" uri="{B025F937-C7B1-47D3-B67F-A62EFF666E3E}">
          <x14:id>{D93DBF4C-C6AE-4DE4-9FC8-E1A415510390}</x14:id>
        </ext>
      </extLst>
    </cfRule>
  </conditionalFormatting>
  <conditionalFormatting sqref="D10">
    <cfRule type="colorScale" priority="20">
      <colorScale>
        <cfvo type="min"/>
        <cfvo type="percentile" val="50"/>
        <cfvo type="max"/>
        <color rgb="FF63BE7B"/>
        <color rgb="FFFFEB84"/>
        <color rgb="FFF8696B"/>
      </colorScale>
    </cfRule>
  </conditionalFormatting>
  <conditionalFormatting sqref="F11 F12:M97">
    <cfRule type="containsText" dxfId="904" priority="13" operator="containsText" text="@">
      <formula>NOT(ISERROR(SEARCH("@",F11)))</formula>
    </cfRule>
  </conditionalFormatting>
  <conditionalFormatting sqref="AE11:AE97">
    <cfRule type="colorScale" priority="2472">
      <colorScale>
        <cfvo type="min"/>
        <cfvo type="percentile" val="50"/>
        <cfvo type="max"/>
        <color rgb="FF63BE7B"/>
        <color rgb="FFFFEB84"/>
        <color rgb="FFF8696B"/>
      </colorScale>
    </cfRule>
  </conditionalFormatting>
  <conditionalFormatting sqref="Q11:Q97">
    <cfRule type="colorScale" priority="2473">
      <colorScale>
        <cfvo type="min"/>
        <cfvo type="percentile" val="50"/>
        <cfvo type="max"/>
        <color rgb="FFF8696B"/>
        <color rgb="FFFFEB84"/>
        <color rgb="FF63BE7B"/>
      </colorScale>
    </cfRule>
  </conditionalFormatting>
  <conditionalFormatting sqref="R11:R97">
    <cfRule type="dataBar" priority="2474">
      <dataBar>
        <cfvo type="min"/>
        <cfvo type="max"/>
        <color rgb="FF63C384"/>
      </dataBar>
      <extLst>
        <ext xmlns:x14="http://schemas.microsoft.com/office/spreadsheetml/2009/9/main" uri="{B025F937-C7B1-47D3-B67F-A62EFF666E3E}">
          <x14:id>{6892C664-451C-4116-B553-3439843AFD1C}</x14:id>
        </ext>
      </extLst>
    </cfRule>
  </conditionalFormatting>
  <conditionalFormatting sqref="AF11:AF97">
    <cfRule type="colorScale" priority="2475">
      <colorScale>
        <cfvo type="min"/>
        <cfvo type="percentile" val="50"/>
        <cfvo type="max"/>
        <color rgb="FF63BE7B"/>
        <color rgb="FFFFEB84"/>
        <color rgb="FFF8696B"/>
      </colorScale>
    </cfRule>
  </conditionalFormatting>
  <conditionalFormatting sqref="AI11:AI97">
    <cfRule type="dataBar" priority="2476">
      <dataBar>
        <cfvo type="min"/>
        <cfvo type="max"/>
        <color rgb="FFFF555A"/>
      </dataBar>
      <extLst>
        <ext xmlns:x14="http://schemas.microsoft.com/office/spreadsheetml/2009/9/main" uri="{B025F937-C7B1-47D3-B67F-A62EFF666E3E}">
          <x14:id>{22879D02-3919-4B91-82BF-4AF56DB92B4B}</x14:id>
        </ext>
      </extLst>
    </cfRule>
  </conditionalFormatting>
  <conditionalFormatting sqref="S11:S97">
    <cfRule type="colorScale" priority="2477">
      <colorScale>
        <cfvo type="min"/>
        <cfvo type="percentile" val="50"/>
        <cfvo type="max"/>
        <color rgb="FFF8696B"/>
        <color rgb="FFFFEB84"/>
        <color rgb="FF63BE7B"/>
      </colorScale>
    </cfRule>
  </conditionalFormatting>
  <conditionalFormatting sqref="T11:T97">
    <cfRule type="colorScale" priority="2478">
      <colorScale>
        <cfvo type="min"/>
        <cfvo type="percentile" val="50"/>
        <cfvo type="max"/>
        <color rgb="FFF8696B"/>
        <color rgb="FFFFEB84"/>
        <color rgb="FF63BE7B"/>
      </colorScale>
    </cfRule>
  </conditionalFormatting>
  <conditionalFormatting sqref="U11:U97">
    <cfRule type="dataBar" priority="2479">
      <dataBar>
        <cfvo type="min"/>
        <cfvo type="max"/>
        <color rgb="FF638EC6"/>
      </dataBar>
      <extLst>
        <ext xmlns:x14="http://schemas.microsoft.com/office/spreadsheetml/2009/9/main" uri="{B025F937-C7B1-47D3-B67F-A62EFF666E3E}">
          <x14:id>{79F33D5C-546A-475D-B34B-79347A531035}</x14:id>
        </ext>
      </extLst>
    </cfRule>
  </conditionalFormatting>
  <conditionalFormatting sqref="V11:V97">
    <cfRule type="dataBar" priority="2480">
      <dataBar>
        <cfvo type="min"/>
        <cfvo type="max"/>
        <color rgb="FF63C384"/>
      </dataBar>
      <extLst>
        <ext xmlns:x14="http://schemas.microsoft.com/office/spreadsheetml/2009/9/main" uri="{B025F937-C7B1-47D3-B67F-A62EFF666E3E}">
          <x14:id>{4B4E1EDF-D4E3-4784-91BB-4B8FE0F6F8D3}</x14:id>
        </ext>
      </extLst>
    </cfRule>
  </conditionalFormatting>
  <conditionalFormatting sqref="W11:W97">
    <cfRule type="colorScale" priority="2481">
      <colorScale>
        <cfvo type="min"/>
        <cfvo type="percentile" val="50"/>
        <cfvo type="max"/>
        <color rgb="FFF8696B"/>
        <color rgb="FFFFEB84"/>
        <color rgb="FF63BE7B"/>
      </colorScale>
    </cfRule>
  </conditionalFormatting>
  <conditionalFormatting sqref="X11:X97">
    <cfRule type="colorScale" priority="2482">
      <colorScale>
        <cfvo type="min"/>
        <cfvo type="percentile" val="50"/>
        <cfvo type="max"/>
        <color rgb="FFF8696B"/>
        <color rgb="FFFFEB84"/>
        <color rgb="FF63BE7B"/>
      </colorScale>
    </cfRule>
  </conditionalFormatting>
  <conditionalFormatting sqref="Y11:Y97">
    <cfRule type="dataBar" priority="2483">
      <dataBar>
        <cfvo type="min"/>
        <cfvo type="max"/>
        <color rgb="FF638EC6"/>
      </dataBar>
      <extLst>
        <ext xmlns:x14="http://schemas.microsoft.com/office/spreadsheetml/2009/9/main" uri="{B025F937-C7B1-47D3-B67F-A62EFF666E3E}">
          <x14:id>{B0AC93E1-629F-483C-B094-A75F27F9D411}</x14:id>
        </ext>
      </extLst>
    </cfRule>
  </conditionalFormatting>
  <conditionalFormatting sqref="AA11:AA97">
    <cfRule type="colorScale" priority="2484">
      <colorScale>
        <cfvo type="min"/>
        <cfvo type="percentile" val="50"/>
        <cfvo type="max"/>
        <color rgb="FFF8696B"/>
        <color rgb="FFFFEB84"/>
        <color rgb="FF63BE7B"/>
      </colorScale>
    </cfRule>
  </conditionalFormatting>
  <conditionalFormatting sqref="AB11:AB97">
    <cfRule type="dataBar" priority="2485">
      <dataBar>
        <cfvo type="min"/>
        <cfvo type="max"/>
        <color rgb="FF638EC6"/>
      </dataBar>
      <extLst>
        <ext xmlns:x14="http://schemas.microsoft.com/office/spreadsheetml/2009/9/main" uri="{B025F937-C7B1-47D3-B67F-A62EFF666E3E}">
          <x14:id>{759385B6-B3A7-4409-8B6F-3F80CACFF8B4}</x14:id>
        </ext>
      </extLst>
    </cfRule>
  </conditionalFormatting>
  <conditionalFormatting sqref="AC11:AC97">
    <cfRule type="colorScale" priority="2486">
      <colorScale>
        <cfvo type="min"/>
        <cfvo type="percentile" val="50"/>
        <cfvo type="max"/>
        <color rgb="FF63BE7B"/>
        <color rgb="FFFFEB84"/>
        <color rgb="FFF8696B"/>
      </colorScale>
    </cfRule>
  </conditionalFormatting>
  <conditionalFormatting sqref="Z11:Z97">
    <cfRule type="dataBar" priority="2487">
      <dataBar>
        <cfvo type="min"/>
        <cfvo type="max"/>
        <color rgb="FF63C384"/>
      </dataBar>
      <extLst>
        <ext xmlns:x14="http://schemas.microsoft.com/office/spreadsheetml/2009/9/main" uri="{B025F937-C7B1-47D3-B67F-A62EFF666E3E}">
          <x14:id>{21449044-DB3E-450B-BBA3-04F2471818D1}</x14:id>
        </ext>
      </extLst>
    </cfRule>
  </conditionalFormatting>
  <conditionalFormatting sqref="C11:D97">
    <cfRule type="colorScale" priority="2488">
      <colorScale>
        <cfvo type="min"/>
        <cfvo type="percentile" val="50"/>
        <cfvo type="max"/>
        <color rgb="FF63BE7B"/>
        <color rgb="FFFFEB84"/>
        <color rgb="FFF8696B"/>
      </colorScale>
    </cfRule>
  </conditionalFormatting>
  <conditionalFormatting sqref="Q11:Q97">
    <cfRule type="iconSet" priority="2489">
      <iconSet iconSet="3Flags">
        <cfvo type="percent" val="0"/>
        <cfvo type="percent" val="33"/>
        <cfvo type="percent" val="67"/>
      </iconSet>
    </cfRule>
  </conditionalFormatting>
  <conditionalFormatting sqref="AF11:AH97">
    <cfRule type="colorScale" priority="2490">
      <colorScale>
        <cfvo type="min"/>
        <cfvo type="percentile" val="50"/>
        <cfvo type="max"/>
        <color rgb="FF63BE7B"/>
        <color rgb="FFFFEB84"/>
        <color rgb="FFF8696B"/>
      </colorScale>
    </cfRule>
  </conditionalFormatting>
  <conditionalFormatting sqref="AD11:AD97">
    <cfRule type="dataBar" priority="2491">
      <dataBar>
        <cfvo type="min"/>
        <cfvo type="max"/>
        <color rgb="FF63C384"/>
      </dataBar>
      <extLst>
        <ext xmlns:x14="http://schemas.microsoft.com/office/spreadsheetml/2009/9/main" uri="{B025F937-C7B1-47D3-B67F-A62EFF666E3E}">
          <x14:id>{5088EDA0-2328-47E7-A6CF-7A8789B795C5}</x14:id>
        </ext>
      </extLst>
    </cfRule>
  </conditionalFormatting>
  <conditionalFormatting sqref="C11:C97">
    <cfRule type="colorScale" priority="10">
      <colorScale>
        <cfvo type="min"/>
        <cfvo type="percentile" val="50"/>
        <cfvo type="max"/>
        <color rgb="FF63BE7B"/>
        <color rgb="FFFFEB84"/>
        <color rgb="FFF8696B"/>
      </colorScale>
    </cfRule>
  </conditionalFormatting>
  <conditionalFormatting sqref="N11:N97">
    <cfRule type="iconSet" priority="2493">
      <iconSet iconSet="3Symbols">
        <cfvo type="percent" val="0"/>
        <cfvo type="percent" val="33"/>
        <cfvo type="percent" val="67"/>
      </iconSet>
    </cfRule>
    <cfRule type="colorScale" priority="2494">
      <colorScale>
        <cfvo type="min"/>
        <cfvo type="percentile" val="50"/>
        <cfvo type="max"/>
        <color rgb="FFF8696B"/>
        <color rgb="FFFFEB84"/>
        <color rgb="FF63BE7B"/>
      </colorScale>
    </cfRule>
  </conditionalFormatting>
  <conditionalFormatting sqref="O11:O97">
    <cfRule type="iconSet" priority="2495">
      <iconSet iconSet="3Symbols">
        <cfvo type="percent" val="0"/>
        <cfvo type="percent" val="33"/>
        <cfvo type="percent" val="67"/>
      </iconSet>
    </cfRule>
    <cfRule type="colorScale" priority="2496">
      <colorScale>
        <cfvo type="min"/>
        <cfvo type="percentile" val="50"/>
        <cfvo type="max"/>
        <color rgb="FFF8696B"/>
        <color rgb="FFFFEB84"/>
        <color rgb="FF63BE7B"/>
      </colorScale>
    </cfRule>
  </conditionalFormatting>
  <conditionalFormatting sqref="P11:P97">
    <cfRule type="colorScale" priority="2497">
      <colorScale>
        <cfvo type="min"/>
        <cfvo type="percentile" val="50"/>
        <cfvo type="max"/>
        <color rgb="FF63BE7B"/>
        <color rgb="FFFFEB84"/>
        <color rgb="FFF8696B"/>
      </colorScale>
    </cfRule>
  </conditionalFormatting>
  <conditionalFormatting sqref="D11:D97">
    <cfRule type="colorScale" priority="9">
      <colorScale>
        <cfvo type="min"/>
        <cfvo type="percentile" val="50"/>
        <cfvo type="max"/>
        <color rgb="FF63BE7B"/>
        <color rgb="FFFCFCFF"/>
        <color rgb="FFF8696B"/>
      </colorScale>
    </cfRule>
  </conditionalFormatting>
  <conditionalFormatting sqref="I11:M97">
    <cfRule type="containsText" dxfId="903" priority="8" operator="containsText" text="@">
      <formula>NOT(ISERROR(SEARCH("@",I11)))</formula>
    </cfRule>
  </conditionalFormatting>
  <conditionalFormatting sqref="G11:G97">
    <cfRule type="dataBar" priority="7">
      <dataBar>
        <cfvo type="min"/>
        <cfvo type="max"/>
        <color rgb="FF63C384"/>
      </dataBar>
      <extLst>
        <ext xmlns:x14="http://schemas.microsoft.com/office/spreadsheetml/2009/9/main" uri="{B025F937-C7B1-47D3-B67F-A62EFF666E3E}">
          <x14:id>{831648BD-0EA6-4FE7-BFE3-9EBE983E25BA}</x14:id>
        </ext>
      </extLst>
    </cfRule>
  </conditionalFormatting>
  <conditionalFormatting sqref="H11:H97">
    <cfRule type="colorScale" priority="6">
      <colorScale>
        <cfvo type="min"/>
        <cfvo type="percentile" val="50"/>
        <cfvo type="max"/>
        <color rgb="FFF8696B"/>
        <color rgb="FFFFEB84"/>
        <color rgb="FF63BE7B"/>
      </colorScale>
    </cfRule>
  </conditionalFormatting>
  <conditionalFormatting sqref="I11:I97">
    <cfRule type="dataBar" priority="5">
      <dataBar>
        <cfvo type="min"/>
        <cfvo type="max"/>
        <color rgb="FF638EC6"/>
      </dataBar>
      <extLst>
        <ext xmlns:x14="http://schemas.microsoft.com/office/spreadsheetml/2009/9/main" uri="{B025F937-C7B1-47D3-B67F-A62EFF666E3E}">
          <x14:id>{E9D4C5E8-7715-4799-BD7E-C31BCBD47BED}</x14:id>
        </ext>
      </extLst>
    </cfRule>
  </conditionalFormatting>
  <conditionalFormatting sqref="K11:K97">
    <cfRule type="dataBar" priority="4">
      <dataBar>
        <cfvo type="min"/>
        <cfvo type="max"/>
        <color rgb="FF63C384"/>
      </dataBar>
      <extLst>
        <ext xmlns:x14="http://schemas.microsoft.com/office/spreadsheetml/2009/9/main" uri="{B025F937-C7B1-47D3-B67F-A62EFF666E3E}">
          <x14:id>{93324AD1-EA23-4FE7-9A26-86714A220663}</x14:id>
        </ext>
      </extLst>
    </cfRule>
  </conditionalFormatting>
  <conditionalFormatting sqref="J11:J97">
    <cfRule type="colorScale" priority="3">
      <colorScale>
        <cfvo type="min"/>
        <cfvo type="percentile" val="50"/>
        <cfvo type="max"/>
        <color rgb="FFF8696B"/>
        <color rgb="FFFFEB84"/>
        <color rgb="FF63BE7B"/>
      </colorScale>
    </cfRule>
  </conditionalFormatting>
  <conditionalFormatting sqref="M11:M97">
    <cfRule type="dataBar" priority="2">
      <dataBar>
        <cfvo type="min"/>
        <cfvo type="max"/>
        <color rgb="FF638EC6"/>
      </dataBar>
      <extLst>
        <ext xmlns:x14="http://schemas.microsoft.com/office/spreadsheetml/2009/9/main" uri="{B025F937-C7B1-47D3-B67F-A62EFF666E3E}">
          <x14:id>{672325D1-4340-4F5B-ADF6-4BDD6077E1BD}</x14:id>
        </ext>
      </extLst>
    </cfRule>
  </conditionalFormatting>
  <conditionalFormatting sqref="L11:L97">
    <cfRule type="colorScale" priority="1">
      <colorScale>
        <cfvo type="min"/>
        <cfvo type="percentile" val="50"/>
        <cfvo type="max"/>
        <color rgb="FFF8696B"/>
        <color rgb="FFFFEB84"/>
        <color rgb="FF63BE7B"/>
      </colorScale>
    </cfRule>
  </conditionalFormatting>
  <hyperlinks>
    <hyperlink ref="B5" r:id="rId1"/>
  </hyperlinks>
  <pageMargins left="0.7" right="0.7" top="0.75" bottom="0.75" header="0.3" footer="0.3"/>
  <pageSetup orientation="portrait"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8F26912F-1F4D-4446-9E42-1B8EAC9307C0}">
            <x14:dataBar minLength="0" maxLength="100" border="1" negativeBarBorderColorSameAsPositive="0">
              <x14:cfvo type="autoMin"/>
              <x14:cfvo type="autoMax"/>
              <x14:borderColor rgb="FF63C384"/>
              <x14:negativeFillColor rgb="FFFF0000"/>
              <x14:negativeBorderColor rgb="FFFF0000"/>
              <x14:axisColor rgb="FF000000"/>
            </x14:dataBar>
          </x14:cfRule>
          <xm:sqref>G136:G1048576 R10 G1:G8</xm:sqref>
        </x14:conditionalFormatting>
        <x14:conditionalFormatting xmlns:xm="http://schemas.microsoft.com/office/excel/2006/main">
          <x14:cfRule type="dataBar" id="{D93DBF4C-C6AE-4DE4-9FC8-E1A415510390}">
            <x14:dataBar minLength="0" maxLength="100" border="1" negativeBarBorderColorSameAsPositive="0">
              <x14:cfvo type="autoMin"/>
              <x14:cfvo type="autoMax"/>
              <x14:borderColor rgb="FFFF555A"/>
              <x14:negativeFillColor rgb="FFFF0000"/>
              <x14:negativeBorderColor rgb="FFFF0000"/>
              <x14:axisColor rgb="FF000000"/>
            </x14:dataBar>
          </x14:cfRule>
          <xm:sqref>AI10</xm:sqref>
        </x14:conditionalFormatting>
        <x14:conditionalFormatting xmlns:xm="http://schemas.microsoft.com/office/excel/2006/main">
          <x14:cfRule type="dataBar" id="{6892C664-451C-4116-B553-3439843AFD1C}">
            <x14:dataBar minLength="0" maxLength="100" border="1" negativeBarBorderColorSameAsPositive="0">
              <x14:cfvo type="autoMin"/>
              <x14:cfvo type="autoMax"/>
              <x14:borderColor rgb="FF63C384"/>
              <x14:negativeFillColor rgb="FFFF0000"/>
              <x14:negativeBorderColor rgb="FFFF0000"/>
              <x14:axisColor rgb="FF000000"/>
            </x14:dataBar>
          </x14:cfRule>
          <xm:sqref>R11:R97</xm:sqref>
        </x14:conditionalFormatting>
        <x14:conditionalFormatting xmlns:xm="http://schemas.microsoft.com/office/excel/2006/main">
          <x14:cfRule type="dataBar" id="{22879D02-3919-4B91-82BF-4AF56DB92B4B}">
            <x14:dataBar minLength="0" maxLength="100" border="1" negativeBarBorderColorSameAsPositive="0">
              <x14:cfvo type="autoMin"/>
              <x14:cfvo type="autoMax"/>
              <x14:borderColor rgb="FFFF555A"/>
              <x14:negativeFillColor rgb="FFFF0000"/>
              <x14:negativeBorderColor rgb="FFFF0000"/>
              <x14:axisColor rgb="FF000000"/>
            </x14:dataBar>
          </x14:cfRule>
          <xm:sqref>AI11:AI97</xm:sqref>
        </x14:conditionalFormatting>
        <x14:conditionalFormatting xmlns:xm="http://schemas.microsoft.com/office/excel/2006/main">
          <x14:cfRule type="dataBar" id="{79F33D5C-546A-475D-B34B-79347A531035}">
            <x14:dataBar minLength="0" maxLength="100" border="1" negativeBarBorderColorSameAsPositive="0">
              <x14:cfvo type="autoMin"/>
              <x14:cfvo type="autoMax"/>
              <x14:borderColor rgb="FF638EC6"/>
              <x14:negativeFillColor rgb="FFFF0000"/>
              <x14:negativeBorderColor rgb="FFFF0000"/>
              <x14:axisColor rgb="FF000000"/>
            </x14:dataBar>
          </x14:cfRule>
          <xm:sqref>U11:U97</xm:sqref>
        </x14:conditionalFormatting>
        <x14:conditionalFormatting xmlns:xm="http://schemas.microsoft.com/office/excel/2006/main">
          <x14:cfRule type="dataBar" id="{4B4E1EDF-D4E3-4784-91BB-4B8FE0F6F8D3}">
            <x14:dataBar minLength="0" maxLength="100" border="1" negativeBarBorderColorSameAsPositive="0">
              <x14:cfvo type="autoMin"/>
              <x14:cfvo type="autoMax"/>
              <x14:borderColor rgb="FF63C384"/>
              <x14:negativeFillColor rgb="FFFF0000"/>
              <x14:negativeBorderColor rgb="FFFF0000"/>
              <x14:axisColor rgb="FF000000"/>
            </x14:dataBar>
          </x14:cfRule>
          <xm:sqref>V11:V97</xm:sqref>
        </x14:conditionalFormatting>
        <x14:conditionalFormatting xmlns:xm="http://schemas.microsoft.com/office/excel/2006/main">
          <x14:cfRule type="dataBar" id="{B0AC93E1-629F-483C-B094-A75F27F9D411}">
            <x14:dataBar minLength="0" maxLength="100" border="1" negativeBarBorderColorSameAsPositive="0">
              <x14:cfvo type="autoMin"/>
              <x14:cfvo type="autoMax"/>
              <x14:borderColor rgb="FF638EC6"/>
              <x14:negativeFillColor rgb="FFFF0000"/>
              <x14:negativeBorderColor rgb="FFFF0000"/>
              <x14:axisColor rgb="FF000000"/>
            </x14:dataBar>
          </x14:cfRule>
          <xm:sqref>Y11:Y97</xm:sqref>
        </x14:conditionalFormatting>
        <x14:conditionalFormatting xmlns:xm="http://schemas.microsoft.com/office/excel/2006/main">
          <x14:cfRule type="dataBar" id="{759385B6-B3A7-4409-8B6F-3F80CACFF8B4}">
            <x14:dataBar minLength="0" maxLength="100" border="1" negativeBarBorderColorSameAsPositive="0">
              <x14:cfvo type="autoMin"/>
              <x14:cfvo type="autoMax"/>
              <x14:borderColor rgb="FF638EC6"/>
              <x14:negativeFillColor rgb="FFFF0000"/>
              <x14:negativeBorderColor rgb="FFFF0000"/>
              <x14:axisColor rgb="FF000000"/>
            </x14:dataBar>
          </x14:cfRule>
          <xm:sqref>AB11:AB97</xm:sqref>
        </x14:conditionalFormatting>
        <x14:conditionalFormatting xmlns:xm="http://schemas.microsoft.com/office/excel/2006/main">
          <x14:cfRule type="dataBar" id="{21449044-DB3E-450B-BBA3-04F2471818D1}">
            <x14:dataBar minLength="0" maxLength="100" border="1" negativeBarBorderColorSameAsPositive="0">
              <x14:cfvo type="autoMin"/>
              <x14:cfvo type="autoMax"/>
              <x14:borderColor rgb="FF63C384"/>
              <x14:negativeFillColor rgb="FFFF0000"/>
              <x14:negativeBorderColor rgb="FFFF0000"/>
              <x14:axisColor rgb="FF000000"/>
            </x14:dataBar>
          </x14:cfRule>
          <xm:sqref>Z11:Z97</xm:sqref>
        </x14:conditionalFormatting>
        <x14:conditionalFormatting xmlns:xm="http://schemas.microsoft.com/office/excel/2006/main">
          <x14:cfRule type="dataBar" id="{5088EDA0-2328-47E7-A6CF-7A8789B795C5}">
            <x14:dataBar minLength="0" maxLength="100" border="1" negativeBarBorderColorSameAsPositive="0">
              <x14:cfvo type="autoMin"/>
              <x14:cfvo type="autoMax"/>
              <x14:borderColor rgb="FF63C384"/>
              <x14:negativeFillColor rgb="FFFF0000"/>
              <x14:negativeBorderColor rgb="FFFF0000"/>
              <x14:axisColor rgb="FF000000"/>
            </x14:dataBar>
          </x14:cfRule>
          <xm:sqref>AD11:AD97</xm:sqref>
        </x14:conditionalFormatting>
        <x14:conditionalFormatting xmlns:xm="http://schemas.microsoft.com/office/excel/2006/main">
          <x14:cfRule type="dataBar" id="{831648BD-0EA6-4FE7-BFE3-9EBE983E25BA}">
            <x14:dataBar minLength="0" maxLength="100" border="1" negativeBarBorderColorSameAsPositive="0">
              <x14:cfvo type="autoMin"/>
              <x14:cfvo type="autoMax"/>
              <x14:borderColor rgb="FF63C384"/>
              <x14:negativeFillColor rgb="FFFF0000"/>
              <x14:negativeBorderColor rgb="FFFF0000"/>
              <x14:axisColor rgb="FF000000"/>
            </x14:dataBar>
          </x14:cfRule>
          <xm:sqref>G11:G97</xm:sqref>
        </x14:conditionalFormatting>
        <x14:conditionalFormatting xmlns:xm="http://schemas.microsoft.com/office/excel/2006/main">
          <x14:cfRule type="dataBar" id="{E9D4C5E8-7715-4799-BD7E-C31BCBD47BED}">
            <x14:dataBar minLength="0" maxLength="100" border="1" negativeBarBorderColorSameAsPositive="0">
              <x14:cfvo type="autoMin"/>
              <x14:cfvo type="autoMax"/>
              <x14:borderColor rgb="FF638EC6"/>
              <x14:negativeFillColor rgb="FFFF0000"/>
              <x14:negativeBorderColor rgb="FFFF0000"/>
              <x14:axisColor rgb="FF000000"/>
            </x14:dataBar>
          </x14:cfRule>
          <xm:sqref>I11:I97</xm:sqref>
        </x14:conditionalFormatting>
        <x14:conditionalFormatting xmlns:xm="http://schemas.microsoft.com/office/excel/2006/main">
          <x14:cfRule type="dataBar" id="{93324AD1-EA23-4FE7-9A26-86714A220663}">
            <x14:dataBar minLength="0" maxLength="100" border="1" negativeBarBorderColorSameAsPositive="0">
              <x14:cfvo type="autoMin"/>
              <x14:cfvo type="autoMax"/>
              <x14:borderColor rgb="FF63C384"/>
              <x14:negativeFillColor rgb="FFFF0000"/>
              <x14:negativeBorderColor rgb="FFFF0000"/>
              <x14:axisColor rgb="FF000000"/>
            </x14:dataBar>
          </x14:cfRule>
          <xm:sqref>K11:K97</xm:sqref>
        </x14:conditionalFormatting>
        <x14:conditionalFormatting xmlns:xm="http://schemas.microsoft.com/office/excel/2006/main">
          <x14:cfRule type="dataBar" id="{672325D1-4340-4F5B-ADF6-4BDD6077E1BD}">
            <x14:dataBar minLength="0" maxLength="100" border="1" negativeBarBorderColorSameAsPositive="0">
              <x14:cfvo type="autoMin"/>
              <x14:cfvo type="autoMax"/>
              <x14:borderColor rgb="FF638EC6"/>
              <x14:negativeFillColor rgb="FFFF0000"/>
              <x14:negativeBorderColor rgb="FFFF0000"/>
              <x14:axisColor rgb="FF000000"/>
            </x14:dataBar>
          </x14:cfRule>
          <xm:sqref>M11:M97</xm:sqref>
        </x14:conditionalFormatting>
      </x14:conditionalFormattings>
    </ext>
    <ext xmlns:x15="http://schemas.microsoft.com/office/spreadsheetml/2010/11/main" uri="{3A4CF648-6AED-40f4-86FF-DC5316D8AED3}">
      <x14:slicerList xmlns:x14="http://schemas.microsoft.com/office/spreadsheetml/2009/9/main">
        <x14:slicer r:id="rId5"/>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L100"/>
  <sheetViews>
    <sheetView workbookViewId="0">
      <selection activeCell="A2" sqref="A2:BL89"/>
    </sheetView>
  </sheetViews>
  <sheetFormatPr defaultRowHeight="14.4" x14ac:dyDescent="0.3"/>
  <cols>
    <col min="1" max="1" width="9.5546875" bestFit="1" customWidth="1"/>
    <col min="2" max="2" width="8.5546875" bestFit="1" customWidth="1"/>
    <col min="3" max="3" width="9.44140625" bestFit="1" customWidth="1"/>
    <col min="4" max="4" width="20.109375" bestFit="1" customWidth="1"/>
    <col min="5" max="5" width="6.44140625" bestFit="1" customWidth="1"/>
    <col min="6" max="6" width="8.109375" bestFit="1" customWidth="1"/>
    <col min="7" max="7" width="7" bestFit="1" customWidth="1"/>
    <col min="8" max="8" width="7.77734375" bestFit="1" customWidth="1"/>
    <col min="9" max="9" width="8" bestFit="1" customWidth="1"/>
    <col min="10" max="10" width="11.44140625" bestFit="1" customWidth="1"/>
    <col min="11" max="11" width="12.77734375" bestFit="1" customWidth="1"/>
    <col min="12" max="12" width="10.21875" bestFit="1" customWidth="1"/>
    <col min="13" max="13" width="10.77734375" bestFit="1" customWidth="1"/>
    <col min="14" max="14" width="9.88671875" bestFit="1" customWidth="1"/>
    <col min="15" max="15" width="6.21875" bestFit="1" customWidth="1"/>
    <col min="16" max="16" width="10.77734375" bestFit="1" customWidth="1"/>
    <col min="17" max="17" width="11.109375" bestFit="1" customWidth="1"/>
    <col min="18" max="18" width="10.21875" bestFit="1" customWidth="1"/>
    <col min="19" max="19" width="6.44140625" bestFit="1" customWidth="1"/>
    <col min="20" max="20" width="10" bestFit="1" customWidth="1"/>
    <col min="21" max="21" width="9.109375" bestFit="1" customWidth="1"/>
    <col min="22" max="22" width="7.109375" bestFit="1" customWidth="1"/>
    <col min="23" max="23" width="5.5546875" bestFit="1" customWidth="1"/>
    <col min="24" max="24" width="5.77734375" bestFit="1" customWidth="1"/>
    <col min="25" max="25" width="8.77734375" bestFit="1" customWidth="1"/>
    <col min="26" max="26" width="31.109375" bestFit="1" customWidth="1"/>
    <col min="27" max="27" width="20.77734375" bestFit="1" customWidth="1"/>
    <col min="28" max="28" width="22.88671875" bestFit="1" customWidth="1"/>
    <col min="29" max="29" width="21.44140625" bestFit="1" customWidth="1"/>
    <col min="30" max="30" width="28" bestFit="1" customWidth="1"/>
    <col min="31" max="31" width="17.44140625" bestFit="1" customWidth="1"/>
    <col min="32" max="32" width="19.77734375" bestFit="1" customWidth="1"/>
    <col min="33" max="33" width="18.109375" bestFit="1" customWidth="1"/>
    <col min="34" max="34" width="29.44140625" bestFit="1" customWidth="1"/>
    <col min="35" max="35" width="18.88671875" bestFit="1" customWidth="1"/>
    <col min="36" max="36" width="21.109375" bestFit="1" customWidth="1"/>
    <col min="37" max="37" width="19.77734375" bestFit="1" customWidth="1"/>
    <col min="38" max="38" width="27.44140625" bestFit="1" customWidth="1"/>
    <col min="39" max="39" width="17" bestFit="1" customWidth="1"/>
    <col min="40" max="40" width="19.109375" bestFit="1" customWidth="1"/>
    <col min="41" max="41" width="17.77734375" bestFit="1" customWidth="1"/>
    <col min="42" max="42" width="31.44140625" bestFit="1" customWidth="1"/>
    <col min="43" max="43" width="21" bestFit="1" customWidth="1"/>
    <col min="44" max="44" width="23.109375" bestFit="1" customWidth="1"/>
    <col min="45" max="45" width="21.77734375" bestFit="1" customWidth="1"/>
    <col min="46" max="46" width="29" bestFit="1" customWidth="1"/>
    <col min="47" max="47" width="18.44140625" bestFit="1" customWidth="1"/>
    <col min="48" max="48" width="20.77734375" bestFit="1" customWidth="1"/>
    <col min="49" max="49" width="19.109375" bestFit="1" customWidth="1"/>
    <col min="50" max="50" width="26.44140625" bestFit="1" customWidth="1"/>
    <col min="51" max="51" width="16" bestFit="1" customWidth="1"/>
    <col min="52" max="52" width="18.109375" bestFit="1" customWidth="1"/>
    <col min="53" max="53" width="16.77734375" bestFit="1" customWidth="1"/>
    <col min="54" max="54" width="31.44140625" bestFit="1" customWidth="1"/>
    <col min="55" max="55" width="21" bestFit="1" customWidth="1"/>
    <col min="56" max="56" width="23.109375" bestFit="1" customWidth="1"/>
    <col min="57" max="57" width="21.77734375" bestFit="1" customWidth="1"/>
    <col min="58" max="58" width="31.44140625" bestFit="1" customWidth="1"/>
    <col min="59" max="59" width="21" bestFit="1" customWidth="1"/>
    <col min="60" max="60" width="23.109375" bestFit="1" customWidth="1"/>
    <col min="61" max="61" width="21.77734375" bestFit="1" customWidth="1"/>
    <col min="62" max="62" width="7" bestFit="1" customWidth="1"/>
    <col min="63" max="63" width="9.44140625" bestFit="1" customWidth="1"/>
    <col min="64" max="64" width="12.21875" bestFit="1" customWidth="1"/>
    <col min="65" max="65" width="12.77734375" bestFit="1" customWidth="1"/>
    <col min="66" max="66" width="11.21875" bestFit="1" customWidth="1"/>
    <col min="67" max="67" width="12.21875" bestFit="1" customWidth="1"/>
    <col min="68" max="68" width="12" bestFit="1" customWidth="1"/>
    <col min="69" max="69" width="13.44140625" bestFit="1" customWidth="1"/>
    <col min="70" max="70" width="13.88671875" bestFit="1" customWidth="1"/>
    <col min="71" max="71" width="13" bestFit="1" customWidth="1"/>
    <col min="72" max="72" width="15" bestFit="1" customWidth="1"/>
    <col min="73" max="74" width="15.5546875" bestFit="1" customWidth="1"/>
    <col min="75" max="75" width="14.5546875" bestFit="1" customWidth="1"/>
    <col min="76" max="76" width="25.77734375" bestFit="1" customWidth="1"/>
    <col min="77" max="77" width="24.21875" bestFit="1" customWidth="1"/>
    <col min="78" max="78" width="24.109375" bestFit="1" customWidth="1"/>
    <col min="79" max="79" width="11.109375" bestFit="1" customWidth="1"/>
    <col min="80" max="80" width="7" bestFit="1" customWidth="1"/>
    <col min="81" max="81" width="5.44140625" bestFit="1" customWidth="1"/>
    <col min="82" max="82" width="33.88671875" bestFit="1" customWidth="1"/>
    <col min="83" max="83" width="32.44140625" bestFit="1" customWidth="1"/>
    <col min="84" max="84" width="32.21875" bestFit="1" customWidth="1"/>
    <col min="85" max="85" width="22.44140625" bestFit="1" customWidth="1"/>
    <col min="86" max="86" width="22.77734375" bestFit="1" customWidth="1"/>
    <col min="87" max="87" width="22.5546875" bestFit="1" customWidth="1"/>
  </cols>
  <sheetData>
    <row r="1" spans="1:64" x14ac:dyDescent="0.3">
      <c r="A1" s="135" t="s">
        <v>1913</v>
      </c>
      <c r="B1" s="135" t="s">
        <v>1914</v>
      </c>
      <c r="C1" s="135" t="s">
        <v>1915</v>
      </c>
      <c r="D1" s="135" t="s">
        <v>1</v>
      </c>
      <c r="E1" s="135" t="s">
        <v>413</v>
      </c>
      <c r="F1" s="135" t="s">
        <v>387</v>
      </c>
      <c r="G1" s="135" t="s">
        <v>81</v>
      </c>
      <c r="H1" s="135" t="s">
        <v>1916</v>
      </c>
      <c r="I1" s="135" t="s">
        <v>1917</v>
      </c>
      <c r="J1" s="135" t="s">
        <v>1918</v>
      </c>
      <c r="K1" s="135" t="s">
        <v>797</v>
      </c>
      <c r="L1" s="135" t="s">
        <v>798</v>
      </c>
      <c r="M1" s="135" t="s">
        <v>1919</v>
      </c>
      <c r="N1" s="135" t="s">
        <v>799</v>
      </c>
      <c r="O1" s="3" t="s">
        <v>605</v>
      </c>
      <c r="P1" s="3" t="s">
        <v>800</v>
      </c>
      <c r="Q1" s="3" t="s">
        <v>801</v>
      </c>
      <c r="R1" s="3" t="s">
        <v>392</v>
      </c>
      <c r="S1" s="3" t="s">
        <v>389</v>
      </c>
      <c r="T1" s="3" t="s">
        <v>826</v>
      </c>
      <c r="U1" s="3" t="s">
        <v>393</v>
      </c>
      <c r="V1" s="3" t="s">
        <v>1230</v>
      </c>
      <c r="W1" s="3" t="s">
        <v>1257</v>
      </c>
      <c r="X1" s="3" t="s">
        <v>1920</v>
      </c>
      <c r="Y1" s="3" t="s">
        <v>1427</v>
      </c>
      <c r="Z1" s="3" t="s">
        <v>1921</v>
      </c>
      <c r="AA1" s="3" t="s">
        <v>1922</v>
      </c>
      <c r="AB1" s="3" t="s">
        <v>1923</v>
      </c>
      <c r="AC1" s="3" t="s">
        <v>1924</v>
      </c>
      <c r="AD1" s="3" t="s">
        <v>1925</v>
      </c>
      <c r="AE1" s="3" t="s">
        <v>1926</v>
      </c>
      <c r="AF1" s="3" t="s">
        <v>1927</v>
      </c>
      <c r="AG1" s="3" t="s">
        <v>1928</v>
      </c>
      <c r="AH1" s="3" t="s">
        <v>1929</v>
      </c>
      <c r="AI1" s="3" t="s">
        <v>1930</v>
      </c>
      <c r="AJ1" s="3" t="s">
        <v>1931</v>
      </c>
      <c r="AK1" s="3" t="s">
        <v>1932</v>
      </c>
      <c r="AL1" s="3" t="s">
        <v>1933</v>
      </c>
      <c r="AM1" s="3" t="s">
        <v>1934</v>
      </c>
      <c r="AN1" s="3" t="s">
        <v>1935</v>
      </c>
      <c r="AO1" s="3" t="s">
        <v>1936</v>
      </c>
      <c r="AP1" s="3" t="s">
        <v>1937</v>
      </c>
      <c r="AQ1" s="3" t="s">
        <v>1938</v>
      </c>
      <c r="AR1" s="3" t="s">
        <v>1939</v>
      </c>
      <c r="AS1" s="3" t="s">
        <v>1940</v>
      </c>
      <c r="AT1" s="3" t="s">
        <v>1941</v>
      </c>
      <c r="AU1" s="3" t="s">
        <v>1942</v>
      </c>
      <c r="AV1" s="3" t="s">
        <v>1943</v>
      </c>
      <c r="AW1" s="3" t="s">
        <v>1944</v>
      </c>
      <c r="AX1" s="3" t="s">
        <v>1945</v>
      </c>
      <c r="AY1" s="3" t="s">
        <v>1946</v>
      </c>
      <c r="AZ1" s="3" t="s">
        <v>1947</v>
      </c>
      <c r="BA1" s="3" t="s">
        <v>1948</v>
      </c>
      <c r="BB1" s="3" t="s">
        <v>1949</v>
      </c>
      <c r="BC1" s="3" t="s">
        <v>1950</v>
      </c>
      <c r="BD1" s="3" t="s">
        <v>1951</v>
      </c>
      <c r="BE1" s="3" t="s">
        <v>1952</v>
      </c>
      <c r="BF1" s="3" t="s">
        <v>1953</v>
      </c>
      <c r="BG1" s="3" t="s">
        <v>1954</v>
      </c>
      <c r="BH1" s="3" t="s">
        <v>1955</v>
      </c>
      <c r="BI1" s="3" t="s">
        <v>1956</v>
      </c>
      <c r="BJ1" s="3" t="s">
        <v>1606</v>
      </c>
      <c r="BK1" s="3" t="s">
        <v>2294</v>
      </c>
      <c r="BL1" s="3" t="s">
        <v>1957</v>
      </c>
    </row>
    <row r="2" spans="1:64" x14ac:dyDescent="0.3">
      <c r="A2" s="135">
        <v>2016</v>
      </c>
      <c r="B2" s="135">
        <v>4</v>
      </c>
      <c r="C2" s="135" t="s">
        <v>2007</v>
      </c>
      <c r="D2" s="135" t="s">
        <v>98</v>
      </c>
      <c r="E2" s="135" t="s">
        <v>394</v>
      </c>
      <c r="F2" s="135" t="s">
        <v>24</v>
      </c>
      <c r="G2" s="135" t="s">
        <v>409</v>
      </c>
      <c r="H2" s="135">
        <v>20.8</v>
      </c>
      <c r="I2" s="135">
        <v>17.632000000000001</v>
      </c>
      <c r="J2" s="135">
        <v>21.056000000000001</v>
      </c>
      <c r="K2" s="135">
        <v>0</v>
      </c>
      <c r="L2" s="135">
        <v>0</v>
      </c>
      <c r="M2" s="135">
        <v>0</v>
      </c>
      <c r="N2" s="135">
        <v>0</v>
      </c>
      <c r="O2" s="135">
        <v>0</v>
      </c>
      <c r="P2" s="135">
        <v>20.015999999999998</v>
      </c>
      <c r="Q2" s="135">
        <v>86.771000000000001</v>
      </c>
      <c r="R2" s="135">
        <v>0.75800000000000001</v>
      </c>
      <c r="S2" s="135">
        <v>3.4239999999999999</v>
      </c>
      <c r="T2" s="135">
        <v>37.651000000000003</v>
      </c>
      <c r="U2" s="135">
        <v>0.17399999999999999</v>
      </c>
      <c r="V2" s="135">
        <v>0.20100000000000001</v>
      </c>
      <c r="W2" s="135">
        <v>0</v>
      </c>
      <c r="X2" s="135">
        <v>0</v>
      </c>
      <c r="Y2" s="135" t="s">
        <v>1959</v>
      </c>
      <c r="Z2" s="135">
        <v>19.100000000000001</v>
      </c>
      <c r="AA2" s="135">
        <v>6100</v>
      </c>
      <c r="AB2" s="135">
        <v>318.7</v>
      </c>
      <c r="AC2" s="135">
        <v>3.14</v>
      </c>
      <c r="AD2" s="135">
        <v>21.1</v>
      </c>
      <c r="AE2" s="135">
        <v>16650</v>
      </c>
      <c r="AF2" s="135">
        <v>790.7</v>
      </c>
      <c r="AG2" s="135">
        <v>1.26</v>
      </c>
      <c r="AH2" s="135">
        <v>22</v>
      </c>
      <c r="AI2" s="135">
        <v>7800</v>
      </c>
      <c r="AJ2" s="135">
        <v>354.5</v>
      </c>
      <c r="AK2" s="135">
        <v>2.82</v>
      </c>
      <c r="AL2" s="135">
        <v>19.3</v>
      </c>
      <c r="AM2" s="135">
        <v>8700</v>
      </c>
      <c r="AN2" s="135">
        <v>449.7</v>
      </c>
      <c r="AO2" s="135">
        <v>2.2200000000000002</v>
      </c>
      <c r="AP2" s="135"/>
      <c r="AQ2" s="135"/>
      <c r="AR2" s="135"/>
      <c r="AS2" s="135"/>
      <c r="AT2" s="135"/>
      <c r="AU2" s="135"/>
      <c r="AV2" s="135"/>
      <c r="AW2" s="135"/>
      <c r="AX2" s="135">
        <v>19.3</v>
      </c>
      <c r="AY2" s="135">
        <v>37</v>
      </c>
      <c r="AZ2" s="135">
        <v>1.9</v>
      </c>
      <c r="BA2" s="135">
        <v>0.52</v>
      </c>
      <c r="BB2" s="135"/>
      <c r="BC2" s="135"/>
      <c r="BD2" s="135"/>
      <c r="BE2" s="135"/>
      <c r="BF2" s="135">
        <v>22</v>
      </c>
      <c r="BG2" s="135">
        <v>14700</v>
      </c>
      <c r="BH2" s="135">
        <v>668.1</v>
      </c>
      <c r="BI2" s="135">
        <v>1.5</v>
      </c>
      <c r="BJ2" s="135">
        <v>43</v>
      </c>
      <c r="BK2" s="135">
        <v>-8</v>
      </c>
      <c r="BL2" s="135">
        <v>25.5</v>
      </c>
    </row>
    <row r="3" spans="1:64" x14ac:dyDescent="0.3">
      <c r="A3" s="135">
        <v>2016</v>
      </c>
      <c r="B3" s="135">
        <v>4</v>
      </c>
      <c r="C3" s="135" t="s">
        <v>2009</v>
      </c>
      <c r="D3" s="135" t="s">
        <v>119</v>
      </c>
      <c r="E3" s="135" t="s">
        <v>394</v>
      </c>
      <c r="F3" s="135" t="s">
        <v>407</v>
      </c>
      <c r="G3" s="135" t="s">
        <v>404</v>
      </c>
      <c r="H3" s="135">
        <v>30.34</v>
      </c>
      <c r="I3" s="135">
        <v>17.286999999999999</v>
      </c>
      <c r="J3" s="135">
        <v>20.963999999999999</v>
      </c>
      <c r="K3" s="135">
        <v>0</v>
      </c>
      <c r="L3" s="135">
        <v>0</v>
      </c>
      <c r="M3" s="135">
        <v>0</v>
      </c>
      <c r="N3" s="135">
        <v>0</v>
      </c>
      <c r="O3" s="135">
        <v>0</v>
      </c>
      <c r="P3" s="135">
        <v>21.725999999999999</v>
      </c>
      <c r="Q3" s="135">
        <v>84.864000000000004</v>
      </c>
      <c r="R3" s="135">
        <v>0.95599999999999996</v>
      </c>
      <c r="S3" s="135">
        <v>3.677</v>
      </c>
      <c r="T3" s="135">
        <v>24.248999999999999</v>
      </c>
      <c r="U3" s="135">
        <v>0.17</v>
      </c>
      <c r="V3" s="135">
        <v>0.19</v>
      </c>
      <c r="W3" s="135">
        <v>0</v>
      </c>
      <c r="X3" s="135">
        <v>0</v>
      </c>
      <c r="Y3" s="135" t="s">
        <v>1959</v>
      </c>
      <c r="Z3" s="135">
        <v>18.899999999999999</v>
      </c>
      <c r="AA3" s="135">
        <v>5100</v>
      </c>
      <c r="AB3" s="135">
        <v>269.3</v>
      </c>
      <c r="AC3" s="135">
        <v>3.71</v>
      </c>
      <c r="AD3" s="135">
        <v>21</v>
      </c>
      <c r="AE3" s="135">
        <v>14550</v>
      </c>
      <c r="AF3" s="135">
        <v>694</v>
      </c>
      <c r="AG3" s="135">
        <v>1.44</v>
      </c>
      <c r="AH3" s="135">
        <v>21.8</v>
      </c>
      <c r="AI3" s="135">
        <v>6300</v>
      </c>
      <c r="AJ3" s="135">
        <v>288.89999999999998</v>
      </c>
      <c r="AK3" s="135">
        <v>3.46</v>
      </c>
      <c r="AL3" s="135">
        <v>19.100000000000001</v>
      </c>
      <c r="AM3" s="135">
        <v>7600</v>
      </c>
      <c r="AN3" s="135">
        <v>397.4</v>
      </c>
      <c r="AO3" s="135">
        <v>2.52</v>
      </c>
      <c r="AP3" s="135"/>
      <c r="AQ3" s="135"/>
      <c r="AR3" s="135"/>
      <c r="AS3" s="135"/>
      <c r="AT3" s="135"/>
      <c r="AU3" s="135"/>
      <c r="AV3" s="135"/>
      <c r="AW3" s="135"/>
      <c r="AX3" s="135">
        <v>19.100000000000001</v>
      </c>
      <c r="AY3" s="135">
        <v>30</v>
      </c>
      <c r="AZ3" s="135">
        <v>1.6</v>
      </c>
      <c r="BA3" s="135">
        <v>0.64</v>
      </c>
      <c r="BB3" s="135"/>
      <c r="BC3" s="135"/>
      <c r="BD3" s="135"/>
      <c r="BE3" s="135"/>
      <c r="BF3" s="135">
        <v>21.8</v>
      </c>
      <c r="BG3" s="135">
        <v>12000</v>
      </c>
      <c r="BH3" s="135">
        <v>550.20000000000005</v>
      </c>
      <c r="BI3" s="135">
        <v>1.82</v>
      </c>
      <c r="BJ3" s="135">
        <v>53.5</v>
      </c>
      <c r="BK3" s="135">
        <v>-4</v>
      </c>
      <c r="BL3" s="135">
        <v>28.75</v>
      </c>
    </row>
    <row r="4" spans="1:64" x14ac:dyDescent="0.3">
      <c r="A4" s="135">
        <v>2016</v>
      </c>
      <c r="B4" s="135">
        <v>4</v>
      </c>
      <c r="C4" s="135" t="s">
        <v>2552</v>
      </c>
      <c r="D4" s="135" t="s">
        <v>2553</v>
      </c>
      <c r="E4" s="135" t="s">
        <v>394</v>
      </c>
      <c r="F4" s="135" t="s">
        <v>20</v>
      </c>
      <c r="G4" s="135" t="s">
        <v>397</v>
      </c>
      <c r="H4" s="135">
        <v>19.64</v>
      </c>
      <c r="I4" s="135">
        <v>16.175000000000001</v>
      </c>
      <c r="J4" s="135">
        <v>19.867999999999999</v>
      </c>
      <c r="K4" s="135">
        <v>0</v>
      </c>
      <c r="L4" s="135">
        <v>0</v>
      </c>
      <c r="M4" s="135">
        <v>0</v>
      </c>
      <c r="N4" s="135">
        <v>0</v>
      </c>
      <c r="O4" s="135">
        <v>0</v>
      </c>
      <c r="P4" s="135">
        <v>17.518000000000001</v>
      </c>
      <c r="Q4" s="135">
        <v>80.09</v>
      </c>
      <c r="R4" s="135">
        <v>0.66900000000000004</v>
      </c>
      <c r="S4" s="135">
        <v>3.6930000000000001</v>
      </c>
      <c r="T4" s="135">
        <v>39.418999999999997</v>
      </c>
      <c r="U4" s="135">
        <v>9.2999999999999999E-2</v>
      </c>
      <c r="V4" s="135">
        <v>0.17399999999999999</v>
      </c>
      <c r="W4" s="135">
        <v>0</v>
      </c>
      <c r="X4" s="135">
        <v>0</v>
      </c>
      <c r="Y4" s="135" t="s">
        <v>1959</v>
      </c>
      <c r="Z4" s="135">
        <v>17.8</v>
      </c>
      <c r="AA4" s="135">
        <v>6250</v>
      </c>
      <c r="AB4" s="135">
        <v>350.2</v>
      </c>
      <c r="AC4" s="135">
        <v>2.86</v>
      </c>
      <c r="AD4" s="135">
        <v>19.899999999999999</v>
      </c>
      <c r="AE4" s="135">
        <v>13000</v>
      </c>
      <c r="AF4" s="135">
        <v>654.29999999999995</v>
      </c>
      <c r="AG4" s="135">
        <v>1.53</v>
      </c>
      <c r="AH4" s="135">
        <v>20.8</v>
      </c>
      <c r="AI4" s="135">
        <v>7500</v>
      </c>
      <c r="AJ4" s="135">
        <v>361.3</v>
      </c>
      <c r="AK4" s="135">
        <v>2.77</v>
      </c>
      <c r="AL4" s="135">
        <v>18</v>
      </c>
      <c r="AM4" s="135">
        <v>8300</v>
      </c>
      <c r="AN4" s="135">
        <v>460.6</v>
      </c>
      <c r="AO4" s="135">
        <v>2.17</v>
      </c>
      <c r="AP4" s="135"/>
      <c r="AQ4" s="135"/>
      <c r="AR4" s="135"/>
      <c r="AS4" s="135"/>
      <c r="AT4" s="135"/>
      <c r="AU4" s="135"/>
      <c r="AV4" s="135"/>
      <c r="AW4" s="135"/>
      <c r="AX4" s="135">
        <v>18</v>
      </c>
      <c r="AY4" s="135">
        <v>31</v>
      </c>
      <c r="AZ4" s="135">
        <v>1.7</v>
      </c>
      <c r="BA4" s="135">
        <v>0.57999999999999996</v>
      </c>
      <c r="BB4" s="135"/>
      <c r="BC4" s="135"/>
      <c r="BD4" s="135"/>
      <c r="BE4" s="135"/>
      <c r="BF4" s="135">
        <v>20.8</v>
      </c>
      <c r="BG4" s="135">
        <v>14100</v>
      </c>
      <c r="BH4" s="135">
        <v>679.2</v>
      </c>
      <c r="BI4" s="135">
        <v>1.47</v>
      </c>
      <c r="BJ4" s="135">
        <v>47.5</v>
      </c>
      <c r="BK4" s="135">
        <v>-5.5</v>
      </c>
      <c r="BL4" s="135">
        <v>26.5</v>
      </c>
    </row>
    <row r="5" spans="1:64" x14ac:dyDescent="0.3">
      <c r="A5" s="135">
        <v>2016</v>
      </c>
      <c r="B5" s="135">
        <v>4</v>
      </c>
      <c r="C5" s="135" t="s">
        <v>2008</v>
      </c>
      <c r="D5" s="135" t="s">
        <v>122</v>
      </c>
      <c r="E5" s="135" t="s">
        <v>394</v>
      </c>
      <c r="F5" s="135" t="s">
        <v>43</v>
      </c>
      <c r="G5" s="135" t="s">
        <v>30</v>
      </c>
      <c r="H5" s="135">
        <v>9.0399999999999991</v>
      </c>
      <c r="I5" s="135">
        <v>15.818</v>
      </c>
      <c r="J5" s="135">
        <v>18.795999999999999</v>
      </c>
      <c r="K5" s="135">
        <v>0</v>
      </c>
      <c r="L5" s="135">
        <v>0</v>
      </c>
      <c r="M5" s="135">
        <v>0</v>
      </c>
      <c r="N5" s="135">
        <v>0</v>
      </c>
      <c r="O5" s="135">
        <v>0</v>
      </c>
      <c r="P5" s="135">
        <v>22.547000000000001</v>
      </c>
      <c r="Q5" s="135">
        <v>94.564999999999998</v>
      </c>
      <c r="R5" s="135">
        <v>0.63100000000000001</v>
      </c>
      <c r="S5" s="135">
        <v>2.9780000000000002</v>
      </c>
      <c r="T5" s="135">
        <v>22.239000000000001</v>
      </c>
      <c r="U5" s="135">
        <v>0.13100000000000001</v>
      </c>
      <c r="V5" s="135">
        <v>0.217</v>
      </c>
      <c r="W5" s="135">
        <v>0</v>
      </c>
      <c r="X5" s="135">
        <v>0</v>
      </c>
      <c r="Y5" s="135" t="s">
        <v>1959</v>
      </c>
      <c r="Z5" s="135">
        <v>17.100000000000001</v>
      </c>
      <c r="AA5" s="135">
        <v>5150</v>
      </c>
      <c r="AB5" s="135">
        <v>301.3</v>
      </c>
      <c r="AC5" s="135">
        <v>3.32</v>
      </c>
      <c r="AD5" s="135">
        <v>18.8</v>
      </c>
      <c r="AE5" s="135">
        <v>14050</v>
      </c>
      <c r="AF5" s="135">
        <v>747.5</v>
      </c>
      <c r="AG5" s="135">
        <v>1.34</v>
      </c>
      <c r="AH5" s="135">
        <v>19.7</v>
      </c>
      <c r="AI5" s="135">
        <v>7000</v>
      </c>
      <c r="AJ5" s="135">
        <v>355.1</v>
      </c>
      <c r="AK5" s="135">
        <v>2.82</v>
      </c>
      <c r="AL5" s="135">
        <v>17.3</v>
      </c>
      <c r="AM5" s="135">
        <v>8200</v>
      </c>
      <c r="AN5" s="135">
        <v>473.8</v>
      </c>
      <c r="AO5" s="135">
        <v>2.11</v>
      </c>
      <c r="AP5" s="135"/>
      <c r="AQ5" s="135"/>
      <c r="AR5" s="135"/>
      <c r="AS5" s="135"/>
      <c r="AT5" s="135"/>
      <c r="AU5" s="135"/>
      <c r="AV5" s="135"/>
      <c r="AW5" s="135"/>
      <c r="AX5" s="135">
        <v>17.3</v>
      </c>
      <c r="AY5" s="135">
        <v>33</v>
      </c>
      <c r="AZ5" s="135">
        <v>1.9</v>
      </c>
      <c r="BA5" s="135">
        <v>0.52</v>
      </c>
      <c r="BB5" s="135"/>
      <c r="BC5" s="135"/>
      <c r="BD5" s="135"/>
      <c r="BE5" s="135"/>
      <c r="BF5" s="135">
        <v>19.7</v>
      </c>
      <c r="BG5" s="135">
        <v>13300</v>
      </c>
      <c r="BH5" s="135">
        <v>674.6</v>
      </c>
      <c r="BI5" s="135">
        <v>1.48</v>
      </c>
      <c r="BJ5" s="135">
        <v>40.5</v>
      </c>
      <c r="BK5" s="135">
        <v>-6.5</v>
      </c>
      <c r="BL5" s="135">
        <v>23.5</v>
      </c>
    </row>
    <row r="6" spans="1:64" x14ac:dyDescent="0.3">
      <c r="A6" s="135">
        <v>2016</v>
      </c>
      <c r="B6" s="135">
        <v>4</v>
      </c>
      <c r="C6" s="135" t="s">
        <v>2011</v>
      </c>
      <c r="D6" s="135" t="s">
        <v>428</v>
      </c>
      <c r="E6" s="135" t="s">
        <v>394</v>
      </c>
      <c r="F6" s="135" t="s">
        <v>52</v>
      </c>
      <c r="G6" s="135" t="s">
        <v>2309</v>
      </c>
      <c r="H6" s="135">
        <v>22.04</v>
      </c>
      <c r="I6" s="135">
        <v>14.481999999999999</v>
      </c>
      <c r="J6" s="135">
        <v>16.59</v>
      </c>
      <c r="K6" s="135">
        <v>0</v>
      </c>
      <c r="L6" s="135">
        <v>0</v>
      </c>
      <c r="M6" s="135">
        <v>0</v>
      </c>
      <c r="N6" s="135">
        <v>0</v>
      </c>
      <c r="O6" s="135">
        <v>0</v>
      </c>
      <c r="P6" s="135">
        <v>21.689</v>
      </c>
      <c r="Q6" s="135">
        <v>92.096000000000004</v>
      </c>
      <c r="R6" s="135">
        <v>0.64100000000000001</v>
      </c>
      <c r="S6" s="135">
        <v>2.1080000000000001</v>
      </c>
      <c r="T6" s="135">
        <v>14.584</v>
      </c>
      <c r="U6" s="135">
        <v>6.0999999999999999E-2</v>
      </c>
      <c r="V6" s="135">
        <v>0.19900000000000001</v>
      </c>
      <c r="W6" s="135">
        <v>0</v>
      </c>
      <c r="X6" s="135">
        <v>0</v>
      </c>
      <c r="Y6" s="135" t="s">
        <v>1959</v>
      </c>
      <c r="Z6" s="135">
        <v>15.3</v>
      </c>
      <c r="AA6" s="135">
        <v>5500</v>
      </c>
      <c r="AB6" s="135">
        <v>358.6</v>
      </c>
      <c r="AC6" s="135">
        <v>2.79</v>
      </c>
      <c r="AD6" s="135">
        <v>16.600000000000001</v>
      </c>
      <c r="AE6" s="135">
        <v>12450</v>
      </c>
      <c r="AF6" s="135">
        <v>750.5</v>
      </c>
      <c r="AG6" s="135">
        <v>1.33</v>
      </c>
      <c r="AH6" s="135">
        <v>17.399999999999999</v>
      </c>
      <c r="AI6" s="135">
        <v>6900</v>
      </c>
      <c r="AJ6" s="135">
        <v>395.9</v>
      </c>
      <c r="AK6" s="135">
        <v>2.5299999999999998</v>
      </c>
      <c r="AL6" s="135">
        <v>15.5</v>
      </c>
      <c r="AM6" s="135">
        <v>8100</v>
      </c>
      <c r="AN6" s="135">
        <v>521.4</v>
      </c>
      <c r="AO6" s="135">
        <v>1.92</v>
      </c>
      <c r="AP6" s="135"/>
      <c r="AQ6" s="135"/>
      <c r="AR6" s="135"/>
      <c r="AS6" s="135"/>
      <c r="AT6" s="135"/>
      <c r="AU6" s="135"/>
      <c r="AV6" s="135"/>
      <c r="AW6" s="135"/>
      <c r="AX6" s="135">
        <v>15.5</v>
      </c>
      <c r="AY6" s="135">
        <v>29</v>
      </c>
      <c r="AZ6" s="135">
        <v>1.9</v>
      </c>
      <c r="BA6" s="135">
        <v>0.54</v>
      </c>
      <c r="BB6" s="135"/>
      <c r="BC6" s="135"/>
      <c r="BD6" s="135"/>
      <c r="BE6" s="135"/>
      <c r="BF6" s="135">
        <v>17.399999999999999</v>
      </c>
      <c r="BG6" s="135">
        <v>13000</v>
      </c>
      <c r="BH6" s="135">
        <v>745.9</v>
      </c>
      <c r="BI6" s="135">
        <v>1.34</v>
      </c>
      <c r="BJ6" s="135">
        <v>46</v>
      </c>
      <c r="BK6" s="135">
        <v>-3</v>
      </c>
      <c r="BL6" s="135">
        <v>24.5</v>
      </c>
    </row>
    <row r="7" spans="1:64" x14ac:dyDescent="0.3">
      <c r="A7" s="135">
        <v>2016</v>
      </c>
      <c r="B7" s="135">
        <v>4</v>
      </c>
      <c r="C7" s="135" t="s">
        <v>2012</v>
      </c>
      <c r="D7" s="135" t="s">
        <v>106</v>
      </c>
      <c r="E7" s="135" t="s">
        <v>394</v>
      </c>
      <c r="F7" s="135" t="s">
        <v>70</v>
      </c>
      <c r="G7" s="135" t="s">
        <v>2005</v>
      </c>
      <c r="H7" s="135">
        <v>18.350000000000001</v>
      </c>
      <c r="I7" s="135">
        <v>14.378</v>
      </c>
      <c r="J7" s="135">
        <v>17.242000000000001</v>
      </c>
      <c r="K7" s="135">
        <v>0</v>
      </c>
      <c r="L7" s="135">
        <v>0</v>
      </c>
      <c r="M7" s="135">
        <v>0</v>
      </c>
      <c r="N7" s="135">
        <v>0</v>
      </c>
      <c r="O7" s="135">
        <v>0</v>
      </c>
      <c r="P7" s="135">
        <v>16.959</v>
      </c>
      <c r="Q7" s="135">
        <v>74.497</v>
      </c>
      <c r="R7" s="135">
        <v>0.66400000000000003</v>
      </c>
      <c r="S7" s="135">
        <v>2.8639999999999999</v>
      </c>
      <c r="T7" s="135">
        <v>24.138999999999999</v>
      </c>
      <c r="U7" s="135">
        <v>0.14799999999999999</v>
      </c>
      <c r="V7" s="135">
        <v>0.17899999999999999</v>
      </c>
      <c r="W7" s="135">
        <v>0</v>
      </c>
      <c r="X7" s="135">
        <v>0</v>
      </c>
      <c r="Y7" s="135" t="s">
        <v>1959</v>
      </c>
      <c r="Z7" s="135">
        <v>15.6</v>
      </c>
      <c r="AA7" s="135">
        <v>5700</v>
      </c>
      <c r="AB7" s="135">
        <v>364.7</v>
      </c>
      <c r="AC7" s="135">
        <v>2.74</v>
      </c>
      <c r="AD7" s="135">
        <v>17.2</v>
      </c>
      <c r="AE7" s="135">
        <v>12350</v>
      </c>
      <c r="AF7" s="135">
        <v>716.3</v>
      </c>
      <c r="AG7" s="135">
        <v>1.4</v>
      </c>
      <c r="AH7" s="135">
        <v>18</v>
      </c>
      <c r="AI7" s="135">
        <v>6500</v>
      </c>
      <c r="AJ7" s="135">
        <v>360.9</v>
      </c>
      <c r="AK7" s="135">
        <v>2.77</v>
      </c>
      <c r="AL7" s="135">
        <v>15.8</v>
      </c>
      <c r="AM7" s="135">
        <v>7900</v>
      </c>
      <c r="AN7" s="135">
        <v>499.7</v>
      </c>
      <c r="AO7" s="135">
        <v>2</v>
      </c>
      <c r="AP7" s="135"/>
      <c r="AQ7" s="135"/>
      <c r="AR7" s="135"/>
      <c r="AS7" s="135"/>
      <c r="AT7" s="135"/>
      <c r="AU7" s="135"/>
      <c r="AV7" s="135"/>
      <c r="AW7" s="135"/>
      <c r="AX7" s="135">
        <v>15.8</v>
      </c>
      <c r="AY7" s="135">
        <v>33</v>
      </c>
      <c r="AZ7" s="135">
        <v>2.1</v>
      </c>
      <c r="BA7" s="135">
        <v>0.48</v>
      </c>
      <c r="BB7" s="135"/>
      <c r="BC7" s="135"/>
      <c r="BD7" s="135"/>
      <c r="BE7" s="135"/>
      <c r="BF7" s="135">
        <v>18</v>
      </c>
      <c r="BG7" s="135">
        <v>12400</v>
      </c>
      <c r="BH7" s="135">
        <v>688.4</v>
      </c>
      <c r="BI7" s="135">
        <v>1.45</v>
      </c>
      <c r="BJ7" s="135">
        <v>44</v>
      </c>
      <c r="BK7" s="135">
        <v>-3</v>
      </c>
      <c r="BL7" s="135">
        <v>23.5</v>
      </c>
    </row>
    <row r="8" spans="1:64" x14ac:dyDescent="0.3">
      <c r="A8" s="135">
        <v>2016</v>
      </c>
      <c r="B8" s="135">
        <v>4</v>
      </c>
      <c r="C8" s="135" t="s">
        <v>2021</v>
      </c>
      <c r="D8" s="135" t="s">
        <v>101</v>
      </c>
      <c r="E8" s="135" t="s">
        <v>394</v>
      </c>
      <c r="F8" s="135" t="s">
        <v>402</v>
      </c>
      <c r="G8" s="135" t="s">
        <v>10</v>
      </c>
      <c r="H8" s="135">
        <v>23.35</v>
      </c>
      <c r="I8" s="135">
        <v>14.151</v>
      </c>
      <c r="J8" s="135">
        <v>14.56</v>
      </c>
      <c r="K8" s="135">
        <v>0</v>
      </c>
      <c r="L8" s="135">
        <v>0</v>
      </c>
      <c r="M8" s="135">
        <v>0</v>
      </c>
      <c r="N8" s="135">
        <v>0</v>
      </c>
      <c r="O8" s="135">
        <v>0</v>
      </c>
      <c r="P8" s="135">
        <v>22.524000000000001</v>
      </c>
      <c r="Q8" s="135">
        <v>86.602000000000004</v>
      </c>
      <c r="R8" s="135">
        <v>0.91900000000000004</v>
      </c>
      <c r="S8" s="135">
        <v>0.40899999999999997</v>
      </c>
      <c r="T8" s="135">
        <v>3.7090000000000001</v>
      </c>
      <c r="U8" s="135">
        <v>0</v>
      </c>
      <c r="V8" s="135">
        <v>0.19700000000000001</v>
      </c>
      <c r="W8" s="135">
        <v>0</v>
      </c>
      <c r="X8" s="135">
        <v>0</v>
      </c>
      <c r="Y8" s="135" t="s">
        <v>1959</v>
      </c>
      <c r="Z8" s="135">
        <v>14.2</v>
      </c>
      <c r="AA8" s="135">
        <v>4900</v>
      </c>
      <c r="AB8" s="135">
        <v>346.1</v>
      </c>
      <c r="AC8" s="135">
        <v>2.89</v>
      </c>
      <c r="AD8" s="135">
        <v>14.6</v>
      </c>
      <c r="AE8" s="135">
        <v>11000</v>
      </c>
      <c r="AF8" s="135">
        <v>755.5</v>
      </c>
      <c r="AG8" s="135">
        <v>1.32</v>
      </c>
      <c r="AH8" s="135">
        <v>15.3</v>
      </c>
      <c r="AI8" s="135">
        <v>5000</v>
      </c>
      <c r="AJ8" s="135">
        <v>326.8</v>
      </c>
      <c r="AK8" s="135">
        <v>3.06</v>
      </c>
      <c r="AL8" s="135">
        <v>14.4</v>
      </c>
      <c r="AM8" s="135">
        <v>7500</v>
      </c>
      <c r="AN8" s="135">
        <v>522.4</v>
      </c>
      <c r="AO8" s="135">
        <v>1.91</v>
      </c>
      <c r="AP8" s="135"/>
      <c r="AQ8" s="135"/>
      <c r="AR8" s="135"/>
      <c r="AS8" s="135"/>
      <c r="AT8" s="135"/>
      <c r="AU8" s="135"/>
      <c r="AV8" s="135"/>
      <c r="AW8" s="135"/>
      <c r="AX8" s="135">
        <v>14.4</v>
      </c>
      <c r="AY8" s="135">
        <v>33</v>
      </c>
      <c r="AZ8" s="135">
        <v>2.2999999999999998</v>
      </c>
      <c r="BA8" s="135">
        <v>0.44</v>
      </c>
      <c r="BB8" s="135"/>
      <c r="BC8" s="135"/>
      <c r="BD8" s="135"/>
      <c r="BE8" s="135"/>
      <c r="BF8" s="135">
        <v>15.3</v>
      </c>
      <c r="BG8" s="135">
        <v>9900</v>
      </c>
      <c r="BH8" s="135">
        <v>647.1</v>
      </c>
      <c r="BI8" s="135">
        <v>1.55</v>
      </c>
      <c r="BJ8" s="135">
        <v>44</v>
      </c>
      <c r="BK8" s="135">
        <v>-4.5</v>
      </c>
      <c r="BL8" s="135">
        <v>24.25</v>
      </c>
    </row>
    <row r="9" spans="1:64" x14ac:dyDescent="0.3">
      <c r="A9" s="135">
        <v>2016</v>
      </c>
      <c r="B9" s="135">
        <v>4</v>
      </c>
      <c r="C9" s="135" t="s">
        <v>2010</v>
      </c>
      <c r="D9" s="135" t="s">
        <v>128</v>
      </c>
      <c r="E9" s="135" t="s">
        <v>394</v>
      </c>
      <c r="F9" s="135" t="s">
        <v>30</v>
      </c>
      <c r="G9" s="135" t="s">
        <v>2302</v>
      </c>
      <c r="H9" s="135">
        <v>18.940000000000001</v>
      </c>
      <c r="I9" s="135">
        <v>13.298</v>
      </c>
      <c r="J9" s="135">
        <v>16.582000000000001</v>
      </c>
      <c r="K9" s="135">
        <v>0</v>
      </c>
      <c r="L9" s="135">
        <v>0</v>
      </c>
      <c r="M9" s="135">
        <v>0</v>
      </c>
      <c r="N9" s="135">
        <v>0</v>
      </c>
      <c r="O9" s="135">
        <v>0</v>
      </c>
      <c r="P9" s="135">
        <v>18.091000000000001</v>
      </c>
      <c r="Q9" s="135">
        <v>73.468000000000004</v>
      </c>
      <c r="R9" s="135">
        <v>0.41</v>
      </c>
      <c r="S9" s="135">
        <v>3.2839999999999998</v>
      </c>
      <c r="T9" s="135">
        <v>32.155000000000001</v>
      </c>
      <c r="U9" s="135">
        <v>0.11799999999999999</v>
      </c>
      <c r="V9" s="135">
        <v>0.216</v>
      </c>
      <c r="W9" s="135">
        <v>0</v>
      </c>
      <c r="X9" s="135">
        <v>0</v>
      </c>
      <c r="Y9" s="135" t="s">
        <v>1983</v>
      </c>
      <c r="Z9" s="135">
        <v>14.7</v>
      </c>
      <c r="AA9" s="135">
        <v>5350</v>
      </c>
      <c r="AB9" s="135">
        <v>363.3</v>
      </c>
      <c r="AC9" s="135">
        <v>2.75</v>
      </c>
      <c r="AD9" s="135">
        <v>16.600000000000001</v>
      </c>
      <c r="AE9" s="135">
        <v>12800</v>
      </c>
      <c r="AF9" s="135">
        <v>771.9</v>
      </c>
      <c r="AG9" s="135">
        <v>1.3</v>
      </c>
      <c r="AH9" s="135">
        <v>17.399999999999999</v>
      </c>
      <c r="AI9" s="135">
        <v>6800</v>
      </c>
      <c r="AJ9" s="135">
        <v>390.1</v>
      </c>
      <c r="AK9" s="135">
        <v>2.56</v>
      </c>
      <c r="AL9" s="135">
        <v>14.9</v>
      </c>
      <c r="AM9" s="135">
        <v>7300</v>
      </c>
      <c r="AN9" s="135">
        <v>488.6</v>
      </c>
      <c r="AO9" s="135">
        <v>2.0499999999999998</v>
      </c>
      <c r="AP9" s="135"/>
      <c r="AQ9" s="135"/>
      <c r="AR9" s="135"/>
      <c r="AS9" s="135"/>
      <c r="AT9" s="135"/>
      <c r="AU9" s="135"/>
      <c r="AV9" s="135"/>
      <c r="AW9" s="135"/>
      <c r="AX9" s="135">
        <v>14.9</v>
      </c>
      <c r="AY9" s="135">
        <v>30</v>
      </c>
      <c r="AZ9" s="135">
        <v>2</v>
      </c>
      <c r="BA9" s="135">
        <v>0.5</v>
      </c>
      <c r="BB9" s="135"/>
      <c r="BC9" s="135"/>
      <c r="BD9" s="135"/>
      <c r="BE9" s="135"/>
      <c r="BF9" s="135">
        <v>17.399999999999999</v>
      </c>
      <c r="BG9" s="135">
        <v>12700</v>
      </c>
      <c r="BH9" s="135">
        <v>728.5</v>
      </c>
      <c r="BI9" s="135">
        <v>1.37</v>
      </c>
      <c r="BJ9" s="135">
        <v>40.5</v>
      </c>
      <c r="BK9" s="135">
        <v>6.5</v>
      </c>
      <c r="BL9" s="135">
        <v>17</v>
      </c>
    </row>
    <row r="10" spans="1:64" x14ac:dyDescent="0.3">
      <c r="A10" s="135">
        <v>2016</v>
      </c>
      <c r="B10" s="135">
        <v>4</v>
      </c>
      <c r="C10" s="135" t="s">
        <v>2016</v>
      </c>
      <c r="D10" s="135" t="s">
        <v>93</v>
      </c>
      <c r="E10" s="135" t="s">
        <v>394</v>
      </c>
      <c r="F10" s="135" t="s">
        <v>10</v>
      </c>
      <c r="G10" s="135" t="s">
        <v>1992</v>
      </c>
      <c r="H10" s="135">
        <v>13.69</v>
      </c>
      <c r="I10" s="135">
        <v>13.022</v>
      </c>
      <c r="J10" s="135">
        <v>17.216999999999999</v>
      </c>
      <c r="K10" s="135">
        <v>0</v>
      </c>
      <c r="L10" s="135">
        <v>0</v>
      </c>
      <c r="M10" s="135">
        <v>0</v>
      </c>
      <c r="N10" s="135">
        <v>0</v>
      </c>
      <c r="O10" s="135">
        <v>0</v>
      </c>
      <c r="P10" s="135">
        <v>17.553999999999998</v>
      </c>
      <c r="Q10" s="135">
        <v>68.373999999999995</v>
      </c>
      <c r="R10" s="135">
        <v>0.57699999999999996</v>
      </c>
      <c r="S10" s="135">
        <v>4.1950000000000003</v>
      </c>
      <c r="T10" s="135">
        <v>25.524999999999999</v>
      </c>
      <c r="U10" s="135">
        <v>0.105</v>
      </c>
      <c r="V10" s="135">
        <v>0.23</v>
      </c>
      <c r="W10" s="135">
        <v>0</v>
      </c>
      <c r="X10" s="135">
        <v>0</v>
      </c>
      <c r="Y10" s="135" t="s">
        <v>1983</v>
      </c>
      <c r="Z10" s="135">
        <v>14.9</v>
      </c>
      <c r="AA10" s="135">
        <v>5000</v>
      </c>
      <c r="AB10" s="135">
        <v>335.8</v>
      </c>
      <c r="AC10" s="135">
        <v>2.98</v>
      </c>
      <c r="AD10" s="135">
        <v>17.2</v>
      </c>
      <c r="AE10" s="135">
        <v>11350</v>
      </c>
      <c r="AF10" s="135">
        <v>659.2</v>
      </c>
      <c r="AG10" s="135">
        <v>1.52</v>
      </c>
      <c r="AH10" s="135">
        <v>18</v>
      </c>
      <c r="AI10" s="135">
        <v>6700</v>
      </c>
      <c r="AJ10" s="135">
        <v>372</v>
      </c>
      <c r="AK10" s="135">
        <v>2.69</v>
      </c>
      <c r="AL10" s="135">
        <v>15.1</v>
      </c>
      <c r="AM10" s="135">
        <v>7600</v>
      </c>
      <c r="AN10" s="135">
        <v>502.7</v>
      </c>
      <c r="AO10" s="135">
        <v>1.99</v>
      </c>
      <c r="AP10" s="135"/>
      <c r="AQ10" s="135"/>
      <c r="AR10" s="135"/>
      <c r="AS10" s="135"/>
      <c r="AT10" s="135"/>
      <c r="AU10" s="135"/>
      <c r="AV10" s="135"/>
      <c r="AW10" s="135"/>
      <c r="AX10" s="135">
        <v>15.1</v>
      </c>
      <c r="AY10" s="135">
        <v>27</v>
      </c>
      <c r="AZ10" s="135">
        <v>1.8</v>
      </c>
      <c r="BA10" s="135">
        <v>0.56000000000000005</v>
      </c>
      <c r="BB10" s="135"/>
      <c r="BC10" s="135"/>
      <c r="BD10" s="135"/>
      <c r="BE10" s="135"/>
      <c r="BF10" s="135">
        <v>18</v>
      </c>
      <c r="BG10" s="135">
        <v>12600</v>
      </c>
      <c r="BH10" s="135">
        <v>699.6</v>
      </c>
      <c r="BI10" s="135">
        <v>1.43</v>
      </c>
      <c r="BJ10" s="135">
        <v>44</v>
      </c>
      <c r="BK10" s="135">
        <v>4.5</v>
      </c>
      <c r="BL10" s="135">
        <v>19.75</v>
      </c>
    </row>
    <row r="11" spans="1:64" x14ac:dyDescent="0.3">
      <c r="A11" s="135">
        <v>2016</v>
      </c>
      <c r="B11" s="135">
        <v>4</v>
      </c>
      <c r="C11" s="135" t="s">
        <v>2014</v>
      </c>
      <c r="D11" s="135" t="s">
        <v>83</v>
      </c>
      <c r="E11" s="135" t="s">
        <v>394</v>
      </c>
      <c r="F11" s="135" t="s">
        <v>409</v>
      </c>
      <c r="G11" s="135" t="s">
        <v>2295</v>
      </c>
      <c r="H11" s="135">
        <v>15.59</v>
      </c>
      <c r="I11" s="135">
        <v>12.923</v>
      </c>
      <c r="J11" s="135">
        <v>14.82</v>
      </c>
      <c r="K11" s="135">
        <v>0</v>
      </c>
      <c r="L11" s="135">
        <v>0</v>
      </c>
      <c r="M11" s="135">
        <v>0</v>
      </c>
      <c r="N11" s="135">
        <v>0</v>
      </c>
      <c r="O11" s="135">
        <v>0</v>
      </c>
      <c r="P11" s="135">
        <v>19.172999999999998</v>
      </c>
      <c r="Q11" s="135">
        <v>85.328000000000003</v>
      </c>
      <c r="R11" s="135">
        <v>0.51</v>
      </c>
      <c r="S11" s="135">
        <v>1.897</v>
      </c>
      <c r="T11" s="135">
        <v>14.72</v>
      </c>
      <c r="U11" s="135">
        <v>5.0999999999999997E-2</v>
      </c>
      <c r="V11" s="135">
        <v>0.224</v>
      </c>
      <c r="W11" s="135">
        <v>0</v>
      </c>
      <c r="X11" s="135">
        <v>0</v>
      </c>
      <c r="Y11" s="135" t="s">
        <v>1983</v>
      </c>
      <c r="Z11" s="135">
        <v>13.6</v>
      </c>
      <c r="AA11" s="135">
        <v>5850</v>
      </c>
      <c r="AB11" s="135">
        <v>428.7</v>
      </c>
      <c r="AC11" s="135">
        <v>2.33</v>
      </c>
      <c r="AD11" s="135">
        <v>14.8</v>
      </c>
      <c r="AE11" s="135">
        <v>10400</v>
      </c>
      <c r="AF11" s="135">
        <v>701.8</v>
      </c>
      <c r="AG11" s="135">
        <v>1.42</v>
      </c>
      <c r="AH11" s="135">
        <v>15.6</v>
      </c>
      <c r="AI11" s="135">
        <v>6700</v>
      </c>
      <c r="AJ11" s="135">
        <v>428.3</v>
      </c>
      <c r="AK11" s="135">
        <v>2.33</v>
      </c>
      <c r="AL11" s="135">
        <v>13.9</v>
      </c>
      <c r="AM11" s="135">
        <v>7700</v>
      </c>
      <c r="AN11" s="135">
        <v>555.1</v>
      </c>
      <c r="AO11" s="135">
        <v>1.8</v>
      </c>
      <c r="AP11" s="135"/>
      <c r="AQ11" s="135"/>
      <c r="AR11" s="135"/>
      <c r="AS11" s="135"/>
      <c r="AT11" s="135"/>
      <c r="AU11" s="135"/>
      <c r="AV11" s="135"/>
      <c r="AW11" s="135"/>
      <c r="AX11" s="135">
        <v>13.9</v>
      </c>
      <c r="AY11" s="135">
        <v>30</v>
      </c>
      <c r="AZ11" s="135">
        <v>2.2000000000000002</v>
      </c>
      <c r="BA11" s="135">
        <v>0.46</v>
      </c>
      <c r="BB11" s="135"/>
      <c r="BC11" s="135"/>
      <c r="BD11" s="135"/>
      <c r="BE11" s="135"/>
      <c r="BF11" s="135">
        <v>15.6</v>
      </c>
      <c r="BG11" s="135">
        <v>12600</v>
      </c>
      <c r="BH11" s="135">
        <v>805.4</v>
      </c>
      <c r="BI11" s="135">
        <v>1.24</v>
      </c>
      <c r="BJ11" s="135">
        <v>43</v>
      </c>
      <c r="BK11" s="135">
        <v>8</v>
      </c>
      <c r="BL11" s="135">
        <v>17.5</v>
      </c>
    </row>
    <row r="12" spans="1:64" x14ac:dyDescent="0.3">
      <c r="A12" s="135">
        <v>2016</v>
      </c>
      <c r="B12" s="135">
        <v>4</v>
      </c>
      <c r="C12" s="135" t="s">
        <v>2015</v>
      </c>
      <c r="D12" s="135" t="s">
        <v>89</v>
      </c>
      <c r="E12" s="135" t="s">
        <v>394</v>
      </c>
      <c r="F12" s="135" t="s">
        <v>404</v>
      </c>
      <c r="G12" s="135" t="s">
        <v>2308</v>
      </c>
      <c r="H12" s="135">
        <v>27.32</v>
      </c>
      <c r="I12" s="135">
        <v>12.919</v>
      </c>
      <c r="J12" s="135">
        <v>15.817</v>
      </c>
      <c r="K12" s="135">
        <v>0</v>
      </c>
      <c r="L12" s="135">
        <v>0</v>
      </c>
      <c r="M12" s="135">
        <v>0</v>
      </c>
      <c r="N12" s="135">
        <v>0</v>
      </c>
      <c r="O12" s="135">
        <v>0</v>
      </c>
      <c r="P12" s="135">
        <v>14.023999999999999</v>
      </c>
      <c r="Q12" s="135">
        <v>67.186999999999998</v>
      </c>
      <c r="R12" s="135">
        <v>0.53</v>
      </c>
      <c r="S12" s="135">
        <v>2.8980000000000001</v>
      </c>
      <c r="T12" s="135">
        <v>24.219000000000001</v>
      </c>
      <c r="U12" s="135">
        <v>0.14199999999999999</v>
      </c>
      <c r="V12" s="135">
        <v>0.127</v>
      </c>
      <c r="W12" s="135">
        <v>0</v>
      </c>
      <c r="X12" s="135">
        <v>0</v>
      </c>
      <c r="Y12" s="135" t="s">
        <v>1983</v>
      </c>
      <c r="Z12" s="135">
        <v>14.2</v>
      </c>
      <c r="AA12" s="135">
        <v>5000</v>
      </c>
      <c r="AB12" s="135">
        <v>351.1</v>
      </c>
      <c r="AC12" s="135">
        <v>2.85</v>
      </c>
      <c r="AD12" s="135">
        <v>15.8</v>
      </c>
      <c r="AE12" s="135">
        <v>12600</v>
      </c>
      <c r="AF12" s="135">
        <v>796.6</v>
      </c>
      <c r="AG12" s="135">
        <v>1.26</v>
      </c>
      <c r="AH12" s="135">
        <v>16.5</v>
      </c>
      <c r="AI12" s="135">
        <v>5900</v>
      </c>
      <c r="AJ12" s="135">
        <v>357.7</v>
      </c>
      <c r="AK12" s="135">
        <v>2.8</v>
      </c>
      <c r="AL12" s="135">
        <v>14.4</v>
      </c>
      <c r="AM12" s="135">
        <v>6800</v>
      </c>
      <c r="AN12" s="135">
        <v>473.3</v>
      </c>
      <c r="AO12" s="135">
        <v>2.11</v>
      </c>
      <c r="AP12" s="135"/>
      <c r="AQ12" s="135"/>
      <c r="AR12" s="135"/>
      <c r="AS12" s="135"/>
      <c r="AT12" s="135"/>
      <c r="AU12" s="135"/>
      <c r="AV12" s="135"/>
      <c r="AW12" s="135"/>
      <c r="AX12" s="135">
        <v>14.4</v>
      </c>
      <c r="AY12" s="135">
        <v>30</v>
      </c>
      <c r="AZ12" s="135">
        <v>2.1</v>
      </c>
      <c r="BA12" s="135">
        <v>0.48</v>
      </c>
      <c r="BB12" s="135"/>
      <c r="BC12" s="135"/>
      <c r="BD12" s="135"/>
      <c r="BE12" s="135"/>
      <c r="BF12" s="135">
        <v>16.5</v>
      </c>
      <c r="BG12" s="135">
        <v>11000</v>
      </c>
      <c r="BH12" s="135">
        <v>667</v>
      </c>
      <c r="BI12" s="135">
        <v>1.5</v>
      </c>
      <c r="BJ12" s="135">
        <v>53.5</v>
      </c>
      <c r="BK12" s="135">
        <v>4</v>
      </c>
      <c r="BL12" s="135">
        <v>24.75</v>
      </c>
    </row>
    <row r="13" spans="1:64" x14ac:dyDescent="0.3">
      <c r="A13" s="135">
        <v>2016</v>
      </c>
      <c r="B13" s="135">
        <v>4</v>
      </c>
      <c r="C13" s="135" t="s">
        <v>2013</v>
      </c>
      <c r="D13" s="135" t="s">
        <v>115</v>
      </c>
      <c r="E13" s="135" t="s">
        <v>394</v>
      </c>
      <c r="F13" s="135" t="s">
        <v>34</v>
      </c>
      <c r="G13" s="135" t="s">
        <v>7</v>
      </c>
      <c r="H13" s="135">
        <v>16.670000000000002</v>
      </c>
      <c r="I13" s="135">
        <v>12.359</v>
      </c>
      <c r="J13" s="135">
        <v>15.45</v>
      </c>
      <c r="K13" s="135">
        <v>0</v>
      </c>
      <c r="L13" s="135">
        <v>0</v>
      </c>
      <c r="M13" s="135">
        <v>0</v>
      </c>
      <c r="N13" s="135">
        <v>0</v>
      </c>
      <c r="O13" s="135">
        <v>0</v>
      </c>
      <c r="P13" s="135">
        <v>19.018999999999998</v>
      </c>
      <c r="Q13" s="135">
        <v>72.173000000000002</v>
      </c>
      <c r="R13" s="135">
        <v>0.36</v>
      </c>
      <c r="S13" s="135">
        <v>3.0910000000000002</v>
      </c>
      <c r="T13" s="135">
        <v>25.433</v>
      </c>
      <c r="U13" s="135">
        <v>0.155</v>
      </c>
      <c r="V13" s="135">
        <v>0.246</v>
      </c>
      <c r="W13" s="135">
        <v>0</v>
      </c>
      <c r="X13" s="135">
        <v>0</v>
      </c>
      <c r="Y13" s="135" t="s">
        <v>1983</v>
      </c>
      <c r="Z13" s="135">
        <v>13.7</v>
      </c>
      <c r="AA13" s="135">
        <v>5450</v>
      </c>
      <c r="AB13" s="135">
        <v>399</v>
      </c>
      <c r="AC13" s="135">
        <v>2.5099999999999998</v>
      </c>
      <c r="AD13" s="135">
        <v>15.4</v>
      </c>
      <c r="AE13" s="135">
        <v>9500</v>
      </c>
      <c r="AF13" s="135">
        <v>614.9</v>
      </c>
      <c r="AG13" s="135">
        <v>1.63</v>
      </c>
      <c r="AH13" s="135">
        <v>16.3</v>
      </c>
      <c r="AI13" s="135">
        <v>6600</v>
      </c>
      <c r="AJ13" s="135">
        <v>405.4</v>
      </c>
      <c r="AK13" s="135">
        <v>2.4700000000000002</v>
      </c>
      <c r="AL13" s="135">
        <v>13.9</v>
      </c>
      <c r="AM13" s="135">
        <v>6900</v>
      </c>
      <c r="AN13" s="135">
        <v>496.3</v>
      </c>
      <c r="AO13" s="135">
        <v>2.02</v>
      </c>
      <c r="AP13" s="135"/>
      <c r="AQ13" s="135"/>
      <c r="AR13" s="135"/>
      <c r="AS13" s="135"/>
      <c r="AT13" s="135"/>
      <c r="AU13" s="135"/>
      <c r="AV13" s="135"/>
      <c r="AW13" s="135"/>
      <c r="AX13" s="135">
        <v>13.9</v>
      </c>
      <c r="AY13" s="135">
        <v>31</v>
      </c>
      <c r="AZ13" s="135">
        <v>2.2000000000000002</v>
      </c>
      <c r="BA13" s="135">
        <v>0.45</v>
      </c>
      <c r="BB13" s="135"/>
      <c r="BC13" s="135"/>
      <c r="BD13" s="135"/>
      <c r="BE13" s="135"/>
      <c r="BF13" s="135">
        <v>16.3</v>
      </c>
      <c r="BG13" s="135">
        <v>12300</v>
      </c>
      <c r="BH13" s="135">
        <v>755.5</v>
      </c>
      <c r="BI13" s="135">
        <v>1.32</v>
      </c>
      <c r="BJ13" s="135">
        <v>40.5</v>
      </c>
      <c r="BK13" s="135">
        <v>1.5</v>
      </c>
      <c r="BL13" s="135">
        <v>19.5</v>
      </c>
    </row>
    <row r="14" spans="1:64" x14ac:dyDescent="0.3">
      <c r="A14" s="135">
        <v>2016</v>
      </c>
      <c r="B14" s="135">
        <v>4</v>
      </c>
      <c r="C14" s="135" t="s">
        <v>2031</v>
      </c>
      <c r="D14" s="135" t="s">
        <v>104</v>
      </c>
      <c r="E14" s="135" t="s">
        <v>394</v>
      </c>
      <c r="F14" s="135" t="s">
        <v>398</v>
      </c>
      <c r="G14" s="135" t="s">
        <v>52</v>
      </c>
      <c r="H14" s="135">
        <v>19.57</v>
      </c>
      <c r="I14" s="135">
        <v>12.32</v>
      </c>
      <c r="J14" s="135">
        <v>14.795999999999999</v>
      </c>
      <c r="K14" s="135">
        <v>0</v>
      </c>
      <c r="L14" s="135">
        <v>0</v>
      </c>
      <c r="M14" s="135">
        <v>0</v>
      </c>
      <c r="N14" s="135">
        <v>0</v>
      </c>
      <c r="O14" s="135">
        <v>0</v>
      </c>
      <c r="P14" s="135">
        <v>17.402000000000001</v>
      </c>
      <c r="Q14" s="135">
        <v>72.778000000000006</v>
      </c>
      <c r="R14" s="135">
        <v>0.58199999999999996</v>
      </c>
      <c r="S14" s="135">
        <v>2.476</v>
      </c>
      <c r="T14" s="135">
        <v>15.458</v>
      </c>
      <c r="U14" s="135">
        <v>6.8000000000000005E-2</v>
      </c>
      <c r="V14" s="135">
        <v>0.20200000000000001</v>
      </c>
      <c r="W14" s="135">
        <v>0</v>
      </c>
      <c r="X14" s="135">
        <v>0</v>
      </c>
      <c r="Y14" s="135" t="s">
        <v>1983</v>
      </c>
      <c r="Z14" s="135">
        <v>13.4</v>
      </c>
      <c r="AA14" s="135">
        <v>4850</v>
      </c>
      <c r="AB14" s="135">
        <v>363.1</v>
      </c>
      <c r="AC14" s="135">
        <v>2.75</v>
      </c>
      <c r="AD14" s="135">
        <v>14.8</v>
      </c>
      <c r="AE14" s="135">
        <v>12000</v>
      </c>
      <c r="AF14" s="135">
        <v>811.1</v>
      </c>
      <c r="AG14" s="135">
        <v>1.23</v>
      </c>
      <c r="AH14" s="135">
        <v>15.5</v>
      </c>
      <c r="AI14" s="135">
        <v>4200</v>
      </c>
      <c r="AJ14" s="135">
        <v>270.5</v>
      </c>
      <c r="AK14" s="135">
        <v>3.7</v>
      </c>
      <c r="AL14" s="135">
        <v>13.6</v>
      </c>
      <c r="AM14" s="135">
        <v>6800</v>
      </c>
      <c r="AN14" s="135">
        <v>501.6</v>
      </c>
      <c r="AO14" s="135">
        <v>1.99</v>
      </c>
      <c r="AP14" s="135"/>
      <c r="AQ14" s="135"/>
      <c r="AR14" s="135"/>
      <c r="AS14" s="135"/>
      <c r="AT14" s="135"/>
      <c r="AU14" s="135"/>
      <c r="AV14" s="135"/>
      <c r="AW14" s="135"/>
      <c r="AX14" s="135">
        <v>13.6</v>
      </c>
      <c r="AY14" s="135">
        <v>25</v>
      </c>
      <c r="AZ14" s="135">
        <v>1.8</v>
      </c>
      <c r="BA14" s="135">
        <v>0.54</v>
      </c>
      <c r="BB14" s="135"/>
      <c r="BC14" s="135"/>
      <c r="BD14" s="135"/>
      <c r="BE14" s="135"/>
      <c r="BF14" s="135">
        <v>15.5</v>
      </c>
      <c r="BG14" s="135">
        <v>8400</v>
      </c>
      <c r="BH14" s="135">
        <v>541</v>
      </c>
      <c r="BI14" s="135">
        <v>1.85</v>
      </c>
      <c r="BJ14" s="135">
        <v>46</v>
      </c>
      <c r="BK14" s="135">
        <v>3</v>
      </c>
      <c r="BL14" s="135">
        <v>21.5</v>
      </c>
    </row>
    <row r="15" spans="1:64" x14ac:dyDescent="0.3">
      <c r="A15" s="135">
        <v>2016</v>
      </c>
      <c r="B15" s="135">
        <v>4</v>
      </c>
      <c r="C15" s="135" t="s">
        <v>2017</v>
      </c>
      <c r="D15" s="135" t="s">
        <v>114</v>
      </c>
      <c r="E15" s="135" t="s">
        <v>394</v>
      </c>
      <c r="F15" s="135" t="s">
        <v>401</v>
      </c>
      <c r="G15" s="135" t="s">
        <v>70</v>
      </c>
      <c r="H15" s="135">
        <v>21.12</v>
      </c>
      <c r="I15" s="135">
        <v>11.996</v>
      </c>
      <c r="J15" s="135">
        <v>15.446999999999999</v>
      </c>
      <c r="K15" s="135">
        <v>0</v>
      </c>
      <c r="L15" s="135">
        <v>0</v>
      </c>
      <c r="M15" s="135">
        <v>0</v>
      </c>
      <c r="N15" s="135">
        <v>0</v>
      </c>
      <c r="O15" s="135">
        <v>0</v>
      </c>
      <c r="P15" s="135">
        <v>16.202000000000002</v>
      </c>
      <c r="Q15" s="135">
        <v>65.498999999999995</v>
      </c>
      <c r="R15" s="135">
        <v>0.34699999999999998</v>
      </c>
      <c r="S15" s="135">
        <v>3.4510000000000001</v>
      </c>
      <c r="T15" s="135">
        <v>27.962</v>
      </c>
      <c r="U15" s="135">
        <v>0.156</v>
      </c>
      <c r="V15" s="135">
        <v>0.184</v>
      </c>
      <c r="W15" s="135">
        <v>0</v>
      </c>
      <c r="X15" s="135">
        <v>0</v>
      </c>
      <c r="Y15" s="135" t="s">
        <v>1983</v>
      </c>
      <c r="Z15" s="135">
        <v>13.5</v>
      </c>
      <c r="AA15" s="135">
        <v>4700</v>
      </c>
      <c r="AB15" s="135">
        <v>347.2</v>
      </c>
      <c r="AC15" s="135">
        <v>2.88</v>
      </c>
      <c r="AD15" s="135">
        <v>15.4</v>
      </c>
      <c r="AE15" s="135">
        <v>10650</v>
      </c>
      <c r="AF15" s="135">
        <v>689.4</v>
      </c>
      <c r="AG15" s="135">
        <v>1.45</v>
      </c>
      <c r="AH15" s="135">
        <v>16.2</v>
      </c>
      <c r="AI15" s="135">
        <v>5600</v>
      </c>
      <c r="AJ15" s="135">
        <v>345.9</v>
      </c>
      <c r="AK15" s="135">
        <v>2.89</v>
      </c>
      <c r="AL15" s="135">
        <v>13.7</v>
      </c>
      <c r="AM15" s="135">
        <v>6500</v>
      </c>
      <c r="AN15" s="135">
        <v>473.7</v>
      </c>
      <c r="AO15" s="135">
        <v>2.11</v>
      </c>
      <c r="AP15" s="135"/>
      <c r="AQ15" s="135"/>
      <c r="AR15" s="135"/>
      <c r="AS15" s="135"/>
      <c r="AT15" s="135"/>
      <c r="AU15" s="135"/>
      <c r="AV15" s="135"/>
      <c r="AW15" s="135"/>
      <c r="AX15" s="135">
        <v>13.7</v>
      </c>
      <c r="AY15" s="135">
        <v>23</v>
      </c>
      <c r="AZ15" s="135">
        <v>1.7</v>
      </c>
      <c r="BA15" s="135">
        <v>0.6</v>
      </c>
      <c r="BB15" s="135"/>
      <c r="BC15" s="135"/>
      <c r="BD15" s="135"/>
      <c r="BE15" s="135"/>
      <c r="BF15" s="135">
        <v>16.2</v>
      </c>
      <c r="BG15" s="135">
        <v>10500</v>
      </c>
      <c r="BH15" s="135">
        <v>648.5</v>
      </c>
      <c r="BI15" s="135">
        <v>1.54</v>
      </c>
      <c r="BJ15" s="135">
        <v>44</v>
      </c>
      <c r="BK15" s="135">
        <v>3</v>
      </c>
      <c r="BL15" s="135">
        <v>20.5</v>
      </c>
    </row>
    <row r="16" spans="1:64" x14ac:dyDescent="0.3">
      <c r="A16" s="135">
        <v>2016</v>
      </c>
      <c r="B16" s="135">
        <v>4</v>
      </c>
      <c r="C16" s="135" t="s">
        <v>2020</v>
      </c>
      <c r="D16" s="135" t="s">
        <v>87</v>
      </c>
      <c r="E16" s="135" t="s">
        <v>394</v>
      </c>
      <c r="F16" s="135" t="s">
        <v>16</v>
      </c>
      <c r="G16" s="135" t="s">
        <v>1980</v>
      </c>
      <c r="H16" s="135">
        <v>16.350000000000001</v>
      </c>
      <c r="I16" s="135">
        <v>11.743</v>
      </c>
      <c r="J16" s="135">
        <v>14.371</v>
      </c>
      <c r="K16" s="135">
        <v>0</v>
      </c>
      <c r="L16" s="135">
        <v>0</v>
      </c>
      <c r="M16" s="135">
        <v>0</v>
      </c>
      <c r="N16" s="135">
        <v>0</v>
      </c>
      <c r="O16" s="135">
        <v>0</v>
      </c>
      <c r="P16" s="135">
        <v>18.632000000000001</v>
      </c>
      <c r="Q16" s="135">
        <v>71.902000000000001</v>
      </c>
      <c r="R16" s="135">
        <v>0.42099999999999999</v>
      </c>
      <c r="S16" s="135">
        <v>2.6280000000000001</v>
      </c>
      <c r="T16" s="135">
        <v>19.931999999999999</v>
      </c>
      <c r="U16" s="135">
        <v>5.8999999999999997E-2</v>
      </c>
      <c r="V16" s="135">
        <v>0.16</v>
      </c>
      <c r="W16" s="135">
        <v>0</v>
      </c>
      <c r="X16" s="135">
        <v>0</v>
      </c>
      <c r="Y16" s="135" t="s">
        <v>1983</v>
      </c>
      <c r="Z16" s="135">
        <v>12.9</v>
      </c>
      <c r="AA16" s="135">
        <v>4600</v>
      </c>
      <c r="AB16" s="135">
        <v>356.7</v>
      </c>
      <c r="AC16" s="135">
        <v>2.8</v>
      </c>
      <c r="AD16" s="135">
        <v>14.4</v>
      </c>
      <c r="AE16" s="135">
        <v>10250</v>
      </c>
      <c r="AF16" s="135">
        <v>713.2</v>
      </c>
      <c r="AG16" s="135">
        <v>1.4</v>
      </c>
      <c r="AH16" s="135">
        <v>15.1</v>
      </c>
      <c r="AI16" s="135">
        <v>5200</v>
      </c>
      <c r="AJ16" s="135">
        <v>344.8</v>
      </c>
      <c r="AK16" s="135">
        <v>2.9</v>
      </c>
      <c r="AL16" s="135">
        <v>13.1</v>
      </c>
      <c r="AM16" s="135">
        <v>6100</v>
      </c>
      <c r="AN16" s="135">
        <v>467.2</v>
      </c>
      <c r="AO16" s="135">
        <v>2.14</v>
      </c>
      <c r="AP16" s="135"/>
      <c r="AQ16" s="135"/>
      <c r="AR16" s="135"/>
      <c r="AS16" s="135"/>
      <c r="AT16" s="135"/>
      <c r="AU16" s="135"/>
      <c r="AV16" s="135"/>
      <c r="AW16" s="135"/>
      <c r="AX16" s="135">
        <v>13.1</v>
      </c>
      <c r="AY16" s="135">
        <v>23</v>
      </c>
      <c r="AZ16" s="135">
        <v>1.8</v>
      </c>
      <c r="BA16" s="135">
        <v>0.56999999999999995</v>
      </c>
      <c r="BB16" s="135"/>
      <c r="BC16" s="135"/>
      <c r="BD16" s="135"/>
      <c r="BE16" s="135"/>
      <c r="BF16" s="135">
        <v>15.1</v>
      </c>
      <c r="BG16" s="135">
        <v>10200</v>
      </c>
      <c r="BH16" s="135">
        <v>676.3</v>
      </c>
      <c r="BI16" s="135">
        <v>1.48</v>
      </c>
      <c r="BJ16" s="135">
        <v>49.5</v>
      </c>
      <c r="BK16" s="135">
        <v>-2.5</v>
      </c>
      <c r="BL16" s="135">
        <v>26</v>
      </c>
    </row>
    <row r="17" spans="1:64" x14ac:dyDescent="0.3">
      <c r="A17" s="135">
        <v>2016</v>
      </c>
      <c r="B17" s="135">
        <v>4</v>
      </c>
      <c r="C17" s="135" t="s">
        <v>2023</v>
      </c>
      <c r="D17" s="135" t="s">
        <v>145</v>
      </c>
      <c r="E17" s="135" t="s">
        <v>394</v>
      </c>
      <c r="F17" s="135" t="s">
        <v>7</v>
      </c>
      <c r="G17" s="135" t="s">
        <v>2305</v>
      </c>
      <c r="H17" s="135">
        <v>9.0399999999999991</v>
      </c>
      <c r="I17" s="135">
        <v>11.724</v>
      </c>
      <c r="J17" s="135">
        <v>14.196</v>
      </c>
      <c r="K17" s="135">
        <v>0</v>
      </c>
      <c r="L17" s="135">
        <v>0</v>
      </c>
      <c r="M17" s="135">
        <v>0</v>
      </c>
      <c r="N17" s="135">
        <v>0</v>
      </c>
      <c r="O17" s="135">
        <v>0</v>
      </c>
      <c r="P17" s="135">
        <v>19.934000000000001</v>
      </c>
      <c r="Q17" s="135">
        <v>76.391000000000005</v>
      </c>
      <c r="R17" s="135">
        <v>0.48499999999999999</v>
      </c>
      <c r="S17" s="135">
        <v>2.472</v>
      </c>
      <c r="T17" s="135">
        <v>12.731999999999999</v>
      </c>
      <c r="U17" s="135">
        <v>0.05</v>
      </c>
      <c r="V17" s="135">
        <v>0.19900000000000001</v>
      </c>
      <c r="W17" s="135">
        <v>0</v>
      </c>
      <c r="X17" s="135">
        <v>0</v>
      </c>
      <c r="Y17" s="135" t="s">
        <v>1983</v>
      </c>
      <c r="Z17" s="135">
        <v>12.8</v>
      </c>
      <c r="AA17" s="135">
        <v>4800</v>
      </c>
      <c r="AB17" s="135">
        <v>376.1</v>
      </c>
      <c r="AC17" s="135">
        <v>2.66</v>
      </c>
      <c r="AD17" s="135">
        <v>14.2</v>
      </c>
      <c r="AE17" s="135">
        <v>10950</v>
      </c>
      <c r="AF17" s="135">
        <v>771.3</v>
      </c>
      <c r="AG17" s="135">
        <v>1.3</v>
      </c>
      <c r="AH17" s="135">
        <v>14.9</v>
      </c>
      <c r="AI17" s="135">
        <v>6000</v>
      </c>
      <c r="AJ17" s="135">
        <v>401.9</v>
      </c>
      <c r="AK17" s="135">
        <v>2.4900000000000002</v>
      </c>
      <c r="AL17" s="135">
        <v>13</v>
      </c>
      <c r="AM17" s="135">
        <v>7500</v>
      </c>
      <c r="AN17" s="135">
        <v>578.70000000000005</v>
      </c>
      <c r="AO17" s="135">
        <v>1.73</v>
      </c>
      <c r="AP17" s="135"/>
      <c r="AQ17" s="135"/>
      <c r="AR17" s="135"/>
      <c r="AS17" s="135"/>
      <c r="AT17" s="135"/>
      <c r="AU17" s="135"/>
      <c r="AV17" s="135"/>
      <c r="AW17" s="135"/>
      <c r="AX17" s="135">
        <v>13</v>
      </c>
      <c r="AY17" s="135">
        <v>21</v>
      </c>
      <c r="AZ17" s="135">
        <v>1.6</v>
      </c>
      <c r="BA17" s="135">
        <v>0.62</v>
      </c>
      <c r="BB17" s="135"/>
      <c r="BC17" s="135"/>
      <c r="BD17" s="135"/>
      <c r="BE17" s="135"/>
      <c r="BF17" s="135">
        <v>14.9</v>
      </c>
      <c r="BG17" s="135">
        <v>11300</v>
      </c>
      <c r="BH17" s="135">
        <v>756.9</v>
      </c>
      <c r="BI17" s="135">
        <v>1.32</v>
      </c>
      <c r="BJ17" s="135">
        <v>40.5</v>
      </c>
      <c r="BK17" s="135">
        <v>-1.5</v>
      </c>
      <c r="BL17" s="135">
        <v>21</v>
      </c>
    </row>
    <row r="18" spans="1:64" x14ac:dyDescent="0.3">
      <c r="A18" s="135">
        <v>2016</v>
      </c>
      <c r="B18" s="135">
        <v>4</v>
      </c>
      <c r="C18" s="135" t="s">
        <v>2030</v>
      </c>
      <c r="D18" s="135" t="s">
        <v>102</v>
      </c>
      <c r="E18" s="135" t="s">
        <v>394</v>
      </c>
      <c r="F18" s="135" t="s">
        <v>28</v>
      </c>
      <c r="G18" s="135" t="s">
        <v>57</v>
      </c>
      <c r="H18" s="135">
        <v>15.65</v>
      </c>
      <c r="I18" s="135">
        <v>11.701000000000001</v>
      </c>
      <c r="J18" s="135">
        <v>12.663</v>
      </c>
      <c r="K18" s="135">
        <v>0</v>
      </c>
      <c r="L18" s="135">
        <v>0</v>
      </c>
      <c r="M18" s="135">
        <v>0</v>
      </c>
      <c r="N18" s="135">
        <v>0</v>
      </c>
      <c r="O18" s="135">
        <v>0</v>
      </c>
      <c r="P18" s="135">
        <v>17.62</v>
      </c>
      <c r="Q18" s="135">
        <v>73.212999999999994</v>
      </c>
      <c r="R18" s="135">
        <v>0.60599999999999998</v>
      </c>
      <c r="S18" s="135">
        <v>0.96199999999999997</v>
      </c>
      <c r="T18" s="135">
        <v>8.3740000000000006</v>
      </c>
      <c r="U18" s="135">
        <v>3.5999999999999997E-2</v>
      </c>
      <c r="V18" s="135">
        <v>0.155</v>
      </c>
      <c r="W18" s="135">
        <v>0</v>
      </c>
      <c r="X18" s="135">
        <v>0</v>
      </c>
      <c r="Y18" s="135" t="s">
        <v>1983</v>
      </c>
      <c r="Z18" s="135">
        <v>12</v>
      </c>
      <c r="AA18" s="135">
        <v>5000</v>
      </c>
      <c r="AB18" s="135">
        <v>415.7</v>
      </c>
      <c r="AC18" s="135">
        <v>2.41</v>
      </c>
      <c r="AD18" s="135">
        <v>12.7</v>
      </c>
      <c r="AE18" s="135">
        <v>9150</v>
      </c>
      <c r="AF18" s="135">
        <v>722.6</v>
      </c>
      <c r="AG18" s="135">
        <v>1.38</v>
      </c>
      <c r="AH18" s="135">
        <v>13.3</v>
      </c>
      <c r="AI18" s="135">
        <v>4100</v>
      </c>
      <c r="AJ18" s="135">
        <v>308.10000000000002</v>
      </c>
      <c r="AK18" s="135">
        <v>3.25</v>
      </c>
      <c r="AL18" s="135">
        <v>12.2</v>
      </c>
      <c r="AM18" s="135">
        <v>7000</v>
      </c>
      <c r="AN18" s="135">
        <v>574.6</v>
      </c>
      <c r="AO18" s="135">
        <v>1.74</v>
      </c>
      <c r="AP18" s="135"/>
      <c r="AQ18" s="135"/>
      <c r="AR18" s="135"/>
      <c r="AS18" s="135"/>
      <c r="AT18" s="135"/>
      <c r="AU18" s="135"/>
      <c r="AV18" s="135"/>
      <c r="AW18" s="135"/>
      <c r="AX18" s="135">
        <v>12.2</v>
      </c>
      <c r="AY18" s="135">
        <v>26</v>
      </c>
      <c r="AZ18" s="135">
        <v>2.1</v>
      </c>
      <c r="BA18" s="135">
        <v>0.47</v>
      </c>
      <c r="BB18" s="135"/>
      <c r="BC18" s="135"/>
      <c r="BD18" s="135"/>
      <c r="BE18" s="135"/>
      <c r="BF18" s="135">
        <v>13.3</v>
      </c>
      <c r="BG18" s="135">
        <v>8100</v>
      </c>
      <c r="BH18" s="135">
        <v>608.70000000000005</v>
      </c>
      <c r="BI18" s="135">
        <v>1.64</v>
      </c>
      <c r="BJ18" s="135">
        <v>44.5</v>
      </c>
      <c r="BK18" s="135">
        <v>-7</v>
      </c>
      <c r="BL18" s="135">
        <v>25.75</v>
      </c>
    </row>
    <row r="19" spans="1:64" x14ac:dyDescent="0.3">
      <c r="A19" s="135">
        <v>2016</v>
      </c>
      <c r="B19" s="135">
        <v>4</v>
      </c>
      <c r="C19" s="135" t="s">
        <v>2022</v>
      </c>
      <c r="D19" s="135" t="s">
        <v>95</v>
      </c>
      <c r="E19" s="135" t="s">
        <v>394</v>
      </c>
      <c r="F19" s="135" t="s">
        <v>14</v>
      </c>
      <c r="G19" s="135" t="s">
        <v>2310</v>
      </c>
      <c r="H19" s="135">
        <v>29.4</v>
      </c>
      <c r="I19" s="135">
        <v>11.680999999999999</v>
      </c>
      <c r="J19" s="135">
        <v>12.833</v>
      </c>
      <c r="K19" s="135">
        <v>0</v>
      </c>
      <c r="L19" s="135">
        <v>0</v>
      </c>
      <c r="M19" s="135">
        <v>0</v>
      </c>
      <c r="N19" s="135">
        <v>0</v>
      </c>
      <c r="O19" s="135">
        <v>0</v>
      </c>
      <c r="P19" s="135">
        <v>16.128</v>
      </c>
      <c r="Q19" s="135">
        <v>76.748000000000005</v>
      </c>
      <c r="R19" s="135">
        <v>0.53100000000000003</v>
      </c>
      <c r="S19" s="135">
        <v>1.1519999999999999</v>
      </c>
      <c r="T19" s="135">
        <v>9.9849999999999994</v>
      </c>
      <c r="U19" s="135">
        <v>2.3E-2</v>
      </c>
      <c r="V19" s="135">
        <v>0.158</v>
      </c>
      <c r="W19" s="135">
        <v>0</v>
      </c>
      <c r="X19" s="135">
        <v>0</v>
      </c>
      <c r="Y19" s="135" t="s">
        <v>1983</v>
      </c>
      <c r="Z19" s="135">
        <v>12.1</v>
      </c>
      <c r="AA19" s="135">
        <v>4800</v>
      </c>
      <c r="AB19" s="135">
        <v>396.7</v>
      </c>
      <c r="AC19" s="135">
        <v>2.52</v>
      </c>
      <c r="AD19" s="135">
        <v>12.8</v>
      </c>
      <c r="AE19" s="135">
        <v>8200</v>
      </c>
      <c r="AF19" s="135">
        <v>639</v>
      </c>
      <c r="AG19" s="135">
        <v>1.57</v>
      </c>
      <c r="AH19" s="135">
        <v>13.5</v>
      </c>
      <c r="AI19" s="135">
        <v>4400</v>
      </c>
      <c r="AJ19" s="135">
        <v>325.60000000000002</v>
      </c>
      <c r="AK19" s="135">
        <v>3.07</v>
      </c>
      <c r="AL19" s="135">
        <v>12.3</v>
      </c>
      <c r="AM19" s="135">
        <v>6600</v>
      </c>
      <c r="AN19" s="135">
        <v>538.5</v>
      </c>
      <c r="AO19" s="135">
        <v>1.86</v>
      </c>
      <c r="AP19" s="135"/>
      <c r="AQ19" s="135"/>
      <c r="AR19" s="135"/>
      <c r="AS19" s="135"/>
      <c r="AT19" s="135"/>
      <c r="AU19" s="135"/>
      <c r="AV19" s="135"/>
      <c r="AW19" s="135"/>
      <c r="AX19" s="135">
        <v>12.3</v>
      </c>
      <c r="AY19" s="135">
        <v>28</v>
      </c>
      <c r="AZ19" s="135">
        <v>2.2999999999999998</v>
      </c>
      <c r="BA19" s="135">
        <v>0.44</v>
      </c>
      <c r="BB19" s="135"/>
      <c r="BC19" s="135"/>
      <c r="BD19" s="135"/>
      <c r="BE19" s="135"/>
      <c r="BF19" s="135">
        <v>13.5</v>
      </c>
      <c r="BG19" s="135">
        <v>8700</v>
      </c>
      <c r="BH19" s="135">
        <v>643.9</v>
      </c>
      <c r="BI19" s="135">
        <v>1.55</v>
      </c>
      <c r="BJ19" s="135">
        <v>45.5</v>
      </c>
      <c r="BK19" s="135">
        <v>8</v>
      </c>
      <c r="BL19" s="135">
        <v>18.75</v>
      </c>
    </row>
    <row r="20" spans="1:64" x14ac:dyDescent="0.3">
      <c r="A20" s="135">
        <v>2016</v>
      </c>
      <c r="B20" s="135">
        <v>4</v>
      </c>
      <c r="C20" s="135" t="s">
        <v>2019</v>
      </c>
      <c r="D20" s="135" t="s">
        <v>84</v>
      </c>
      <c r="E20" s="135" t="s">
        <v>394</v>
      </c>
      <c r="F20" s="135" t="s">
        <v>50</v>
      </c>
      <c r="G20" s="135" t="s">
        <v>22</v>
      </c>
      <c r="H20" s="135">
        <v>18.37</v>
      </c>
      <c r="I20" s="135">
        <v>11.493</v>
      </c>
      <c r="J20" s="135">
        <v>14.374000000000001</v>
      </c>
      <c r="K20" s="135">
        <v>0</v>
      </c>
      <c r="L20" s="135">
        <v>0</v>
      </c>
      <c r="M20" s="135">
        <v>0</v>
      </c>
      <c r="N20" s="135">
        <v>0</v>
      </c>
      <c r="O20" s="135">
        <v>0</v>
      </c>
      <c r="P20" s="135">
        <v>13.477</v>
      </c>
      <c r="Q20" s="135">
        <v>61.927999999999997</v>
      </c>
      <c r="R20" s="135">
        <v>0.41199999999999998</v>
      </c>
      <c r="S20" s="135">
        <v>2.8809999999999998</v>
      </c>
      <c r="T20" s="135">
        <v>21.783999999999999</v>
      </c>
      <c r="U20" s="135">
        <v>0.161</v>
      </c>
      <c r="V20" s="135">
        <v>0.158</v>
      </c>
      <c r="W20" s="135">
        <v>0</v>
      </c>
      <c r="X20" s="135">
        <v>0</v>
      </c>
      <c r="Y20" s="135" t="s">
        <v>1983</v>
      </c>
      <c r="Z20" s="135">
        <v>12.8</v>
      </c>
      <c r="AA20" s="135">
        <v>4900</v>
      </c>
      <c r="AB20" s="135">
        <v>383.5</v>
      </c>
      <c r="AC20" s="135">
        <v>2.61</v>
      </c>
      <c r="AD20" s="135">
        <v>14.4</v>
      </c>
      <c r="AE20" s="135">
        <v>10050</v>
      </c>
      <c r="AF20" s="135">
        <v>699.2</v>
      </c>
      <c r="AG20" s="135">
        <v>1.43</v>
      </c>
      <c r="AH20" s="135">
        <v>15</v>
      </c>
      <c r="AI20" s="135">
        <v>5500</v>
      </c>
      <c r="AJ20" s="135">
        <v>365.8</v>
      </c>
      <c r="AK20" s="135">
        <v>2.73</v>
      </c>
      <c r="AL20" s="135">
        <v>12.9</v>
      </c>
      <c r="AM20" s="135">
        <v>7200</v>
      </c>
      <c r="AN20" s="135">
        <v>556.70000000000005</v>
      </c>
      <c r="AO20" s="135">
        <v>1.8</v>
      </c>
      <c r="AP20" s="135"/>
      <c r="AQ20" s="135"/>
      <c r="AR20" s="135"/>
      <c r="AS20" s="135"/>
      <c r="AT20" s="135"/>
      <c r="AU20" s="135"/>
      <c r="AV20" s="135"/>
      <c r="AW20" s="135"/>
      <c r="AX20" s="135">
        <v>12.9</v>
      </c>
      <c r="AY20" s="135">
        <v>26</v>
      </c>
      <c r="AZ20" s="135">
        <v>2</v>
      </c>
      <c r="BA20" s="135">
        <v>0.5</v>
      </c>
      <c r="BB20" s="135"/>
      <c r="BC20" s="135"/>
      <c r="BD20" s="135"/>
      <c r="BE20" s="135"/>
      <c r="BF20" s="135">
        <v>15</v>
      </c>
      <c r="BG20" s="135">
        <v>10400</v>
      </c>
      <c r="BH20" s="135">
        <v>691.7</v>
      </c>
      <c r="BI20" s="135">
        <v>1.45</v>
      </c>
      <c r="BJ20" s="135">
        <v>50</v>
      </c>
      <c r="BK20" s="135">
        <v>3</v>
      </c>
      <c r="BL20" s="135">
        <v>23.5</v>
      </c>
    </row>
    <row r="21" spans="1:64" x14ac:dyDescent="0.3">
      <c r="A21" s="135">
        <v>2016</v>
      </c>
      <c r="B21" s="135">
        <v>4</v>
      </c>
      <c r="C21" s="135" t="s">
        <v>2062</v>
      </c>
      <c r="D21" s="135" t="s">
        <v>464</v>
      </c>
      <c r="E21" s="135" t="s">
        <v>394</v>
      </c>
      <c r="F21" s="135" t="s">
        <v>46</v>
      </c>
      <c r="G21" s="135" t="s">
        <v>26</v>
      </c>
      <c r="H21" s="135">
        <v>13.77</v>
      </c>
      <c r="I21" s="135">
        <v>11.397</v>
      </c>
      <c r="J21" s="135">
        <v>14.504</v>
      </c>
      <c r="K21" s="135">
        <v>0</v>
      </c>
      <c r="L21" s="135">
        <v>0</v>
      </c>
      <c r="M21" s="135">
        <v>0</v>
      </c>
      <c r="N21" s="135">
        <v>0</v>
      </c>
      <c r="O21" s="135">
        <v>0</v>
      </c>
      <c r="P21" s="135">
        <v>15.544</v>
      </c>
      <c r="Q21" s="135">
        <v>67.912999999999997</v>
      </c>
      <c r="R21" s="135">
        <v>0.42799999999999999</v>
      </c>
      <c r="S21" s="135">
        <v>3.1070000000000002</v>
      </c>
      <c r="T21" s="135">
        <v>20.591999999999999</v>
      </c>
      <c r="U21" s="135">
        <v>6.4000000000000001E-2</v>
      </c>
      <c r="V21" s="135">
        <v>0.20300000000000001</v>
      </c>
      <c r="W21" s="135">
        <v>0</v>
      </c>
      <c r="X21" s="135">
        <v>0</v>
      </c>
      <c r="Y21" s="135" t="s">
        <v>1983</v>
      </c>
      <c r="Z21" s="135">
        <v>12.7</v>
      </c>
      <c r="AA21" s="135">
        <v>4300</v>
      </c>
      <c r="AB21" s="135">
        <v>337.3</v>
      </c>
      <c r="AC21" s="135">
        <v>2.96</v>
      </c>
      <c r="AD21" s="135">
        <v>14.5</v>
      </c>
      <c r="AE21" s="135">
        <v>7450</v>
      </c>
      <c r="AF21" s="135">
        <v>513.70000000000005</v>
      </c>
      <c r="AG21" s="135">
        <v>1.95</v>
      </c>
      <c r="AH21" s="135">
        <v>15.2</v>
      </c>
      <c r="AI21" s="135">
        <v>3700</v>
      </c>
      <c r="AJ21" s="135">
        <v>242.8</v>
      </c>
      <c r="AK21" s="135">
        <v>4.12</v>
      </c>
      <c r="AL21" s="135">
        <v>13</v>
      </c>
      <c r="AM21" s="135">
        <v>5600</v>
      </c>
      <c r="AN21" s="135">
        <v>432.4</v>
      </c>
      <c r="AO21" s="135">
        <v>2.31</v>
      </c>
      <c r="AP21" s="135"/>
      <c r="AQ21" s="135"/>
      <c r="AR21" s="135"/>
      <c r="AS21" s="135"/>
      <c r="AT21" s="135"/>
      <c r="AU21" s="135"/>
      <c r="AV21" s="135"/>
      <c r="AW21" s="135"/>
      <c r="AX21" s="135">
        <v>13</v>
      </c>
      <c r="AY21" s="135">
        <v>14</v>
      </c>
      <c r="AZ21" s="135">
        <v>1.1000000000000001</v>
      </c>
      <c r="BA21" s="135">
        <v>0.93</v>
      </c>
      <c r="BB21" s="135"/>
      <c r="BC21" s="135"/>
      <c r="BD21" s="135"/>
      <c r="BE21" s="135"/>
      <c r="BF21" s="135">
        <v>15.2</v>
      </c>
      <c r="BG21" s="135">
        <v>7300</v>
      </c>
      <c r="BH21" s="135">
        <v>479.1</v>
      </c>
      <c r="BI21" s="135">
        <v>2.09</v>
      </c>
      <c r="BJ21" s="135">
        <v>46.5</v>
      </c>
      <c r="BK21" s="135">
        <v>3</v>
      </c>
      <c r="BL21" s="135">
        <v>21.75</v>
      </c>
    </row>
    <row r="22" spans="1:64" x14ac:dyDescent="0.3">
      <c r="A22" s="135">
        <v>2016</v>
      </c>
      <c r="B22" s="135">
        <v>4</v>
      </c>
      <c r="C22" s="135" t="s">
        <v>2028</v>
      </c>
      <c r="D22" s="135" t="s">
        <v>129</v>
      </c>
      <c r="E22" s="135" t="s">
        <v>394</v>
      </c>
      <c r="F22" s="135" t="s">
        <v>26</v>
      </c>
      <c r="G22" s="135" t="s">
        <v>2298</v>
      </c>
      <c r="H22" s="135">
        <v>18.7</v>
      </c>
      <c r="I22" s="135">
        <v>11.201000000000001</v>
      </c>
      <c r="J22" s="135">
        <v>16.457999999999998</v>
      </c>
      <c r="K22" s="135">
        <v>0</v>
      </c>
      <c r="L22" s="135">
        <v>0</v>
      </c>
      <c r="M22" s="135">
        <v>0</v>
      </c>
      <c r="N22" s="135">
        <v>0</v>
      </c>
      <c r="O22" s="135">
        <v>0</v>
      </c>
      <c r="P22" s="135">
        <v>11.407999999999999</v>
      </c>
      <c r="Q22" s="135">
        <v>42.988999999999997</v>
      </c>
      <c r="R22" s="135">
        <v>0.184</v>
      </c>
      <c r="S22" s="135">
        <v>5.2569999999999997</v>
      </c>
      <c r="T22" s="135">
        <v>46.325000000000003</v>
      </c>
      <c r="U22" s="135">
        <v>0.23300000000000001</v>
      </c>
      <c r="V22" s="135">
        <v>0.11600000000000001</v>
      </c>
      <c r="W22" s="135">
        <v>0</v>
      </c>
      <c r="X22" s="135">
        <v>0</v>
      </c>
      <c r="Y22" s="135" t="s">
        <v>1983</v>
      </c>
      <c r="Z22" s="135">
        <v>13.7</v>
      </c>
      <c r="AA22" s="135">
        <v>4500</v>
      </c>
      <c r="AB22" s="135">
        <v>328.1</v>
      </c>
      <c r="AC22" s="135">
        <v>3.05</v>
      </c>
      <c r="AD22" s="135">
        <v>16.5</v>
      </c>
      <c r="AE22" s="135">
        <v>11900</v>
      </c>
      <c r="AF22" s="135">
        <v>723</v>
      </c>
      <c r="AG22" s="135">
        <v>1.38</v>
      </c>
      <c r="AH22" s="135">
        <v>17.100000000000001</v>
      </c>
      <c r="AI22" s="135">
        <v>5200</v>
      </c>
      <c r="AJ22" s="135">
        <v>303.89999999999998</v>
      </c>
      <c r="AK22" s="135">
        <v>3.29</v>
      </c>
      <c r="AL22" s="135">
        <v>13.8</v>
      </c>
      <c r="AM22" s="135">
        <v>6600</v>
      </c>
      <c r="AN22" s="135">
        <v>477.2</v>
      </c>
      <c r="AO22" s="135">
        <v>2.1</v>
      </c>
      <c r="AP22" s="135"/>
      <c r="AQ22" s="135"/>
      <c r="AR22" s="135"/>
      <c r="AS22" s="135"/>
      <c r="AT22" s="135"/>
      <c r="AU22" s="135"/>
      <c r="AV22" s="135"/>
      <c r="AW22" s="135"/>
      <c r="AX22" s="135">
        <v>13.8</v>
      </c>
      <c r="AY22" s="135">
        <v>21</v>
      </c>
      <c r="AZ22" s="135">
        <v>1.5</v>
      </c>
      <c r="BA22" s="135">
        <v>0.66</v>
      </c>
      <c r="BB22" s="135"/>
      <c r="BC22" s="135"/>
      <c r="BD22" s="135"/>
      <c r="BE22" s="135"/>
      <c r="BF22" s="135">
        <v>17.100000000000001</v>
      </c>
      <c r="BG22" s="135">
        <v>10200</v>
      </c>
      <c r="BH22" s="135">
        <v>596.1</v>
      </c>
      <c r="BI22" s="135">
        <v>1.68</v>
      </c>
      <c r="BJ22" s="135">
        <v>46.5</v>
      </c>
      <c r="BK22" s="135">
        <v>-3</v>
      </c>
      <c r="BL22" s="135">
        <v>24.75</v>
      </c>
    </row>
    <row r="23" spans="1:64" x14ac:dyDescent="0.3">
      <c r="A23" s="135">
        <v>2016</v>
      </c>
      <c r="B23" s="135">
        <v>4</v>
      </c>
      <c r="C23" s="135" t="s">
        <v>2018</v>
      </c>
      <c r="D23" s="135" t="s">
        <v>125</v>
      </c>
      <c r="E23" s="135" t="s">
        <v>394</v>
      </c>
      <c r="F23" s="135" t="s">
        <v>397</v>
      </c>
      <c r="G23" s="135" t="s">
        <v>2307</v>
      </c>
      <c r="H23" s="135">
        <v>25.59</v>
      </c>
      <c r="I23" s="135">
        <v>10.815</v>
      </c>
      <c r="J23" s="135">
        <v>14.121</v>
      </c>
      <c r="K23" s="135">
        <v>0</v>
      </c>
      <c r="L23" s="135">
        <v>0</v>
      </c>
      <c r="M23" s="135">
        <v>0</v>
      </c>
      <c r="N23" s="135">
        <v>0</v>
      </c>
      <c r="O23" s="135">
        <v>0</v>
      </c>
      <c r="P23" s="135">
        <v>11.667999999999999</v>
      </c>
      <c r="Q23" s="135">
        <v>50.652999999999999</v>
      </c>
      <c r="R23" s="135">
        <v>0.36199999999999999</v>
      </c>
      <c r="S23" s="135">
        <v>3.306</v>
      </c>
      <c r="T23" s="135">
        <v>33.061</v>
      </c>
      <c r="U23" s="135">
        <v>8.5000000000000006E-2</v>
      </c>
      <c r="V23" s="135">
        <v>0.11899999999999999</v>
      </c>
      <c r="W23" s="135">
        <v>0</v>
      </c>
      <c r="X23" s="135">
        <v>0</v>
      </c>
      <c r="Y23" s="135" t="s">
        <v>1983</v>
      </c>
      <c r="Z23" s="135">
        <v>12.3</v>
      </c>
      <c r="AA23" s="135">
        <v>4900</v>
      </c>
      <c r="AB23" s="135">
        <v>396.8</v>
      </c>
      <c r="AC23" s="135">
        <v>2.52</v>
      </c>
      <c r="AD23" s="135">
        <v>14.1</v>
      </c>
      <c r="AE23" s="135">
        <v>11050</v>
      </c>
      <c r="AF23" s="135">
        <v>782.5</v>
      </c>
      <c r="AG23" s="135">
        <v>1.28</v>
      </c>
      <c r="AH23" s="135">
        <v>14.7</v>
      </c>
      <c r="AI23" s="135">
        <v>5700</v>
      </c>
      <c r="AJ23" s="135">
        <v>386.6</v>
      </c>
      <c r="AK23" s="135">
        <v>2.59</v>
      </c>
      <c r="AL23" s="135">
        <v>12.5</v>
      </c>
      <c r="AM23" s="135">
        <v>6200</v>
      </c>
      <c r="AN23" s="135">
        <v>497.3</v>
      </c>
      <c r="AO23" s="135">
        <v>2.0099999999999998</v>
      </c>
      <c r="AP23" s="135"/>
      <c r="AQ23" s="135"/>
      <c r="AR23" s="135"/>
      <c r="AS23" s="135"/>
      <c r="AT23" s="135"/>
      <c r="AU23" s="135"/>
      <c r="AV23" s="135"/>
      <c r="AW23" s="135"/>
      <c r="AX23" s="135">
        <v>12.5</v>
      </c>
      <c r="AY23" s="135">
        <v>23</v>
      </c>
      <c r="AZ23" s="135">
        <v>1.8</v>
      </c>
      <c r="BA23" s="135">
        <v>0.54</v>
      </c>
      <c r="BB23" s="135"/>
      <c r="BC23" s="135"/>
      <c r="BD23" s="135"/>
      <c r="BE23" s="135"/>
      <c r="BF23" s="135">
        <v>14.7</v>
      </c>
      <c r="BG23" s="135">
        <v>10600</v>
      </c>
      <c r="BH23" s="135">
        <v>719</v>
      </c>
      <c r="BI23" s="135">
        <v>1.39</v>
      </c>
      <c r="BJ23" s="135">
        <v>47.5</v>
      </c>
      <c r="BK23" s="135">
        <v>5.5</v>
      </c>
      <c r="BL23" s="135">
        <v>21</v>
      </c>
    </row>
    <row r="24" spans="1:64" x14ac:dyDescent="0.3">
      <c r="A24" s="135">
        <v>2016</v>
      </c>
      <c r="B24" s="135">
        <v>4</v>
      </c>
      <c r="C24" s="135" t="s">
        <v>2032</v>
      </c>
      <c r="D24" s="135" t="s">
        <v>135</v>
      </c>
      <c r="E24" s="135" t="s">
        <v>394</v>
      </c>
      <c r="F24" s="135" t="s">
        <v>50</v>
      </c>
      <c r="G24" s="135" t="s">
        <v>22</v>
      </c>
      <c r="H24" s="135">
        <v>18.37</v>
      </c>
      <c r="I24" s="135">
        <v>10.775</v>
      </c>
      <c r="J24" s="135">
        <v>13.885999999999999</v>
      </c>
      <c r="K24" s="135">
        <v>0</v>
      </c>
      <c r="L24" s="135">
        <v>0</v>
      </c>
      <c r="M24" s="135">
        <v>0</v>
      </c>
      <c r="N24" s="135">
        <v>0</v>
      </c>
      <c r="O24" s="135">
        <v>0</v>
      </c>
      <c r="P24" s="135">
        <v>10.287000000000001</v>
      </c>
      <c r="Q24" s="135">
        <v>46.02</v>
      </c>
      <c r="R24" s="135">
        <v>0.43</v>
      </c>
      <c r="S24" s="135">
        <v>3.1110000000000002</v>
      </c>
      <c r="T24" s="135">
        <v>29.952999999999999</v>
      </c>
      <c r="U24" s="135">
        <v>0.14299999999999999</v>
      </c>
      <c r="V24" s="135">
        <v>0.13</v>
      </c>
      <c r="W24" s="135">
        <v>0</v>
      </c>
      <c r="X24" s="135">
        <v>0</v>
      </c>
      <c r="Y24" s="135" t="s">
        <v>1983</v>
      </c>
      <c r="Z24" s="135">
        <v>12.2</v>
      </c>
      <c r="AA24" s="135">
        <v>4550</v>
      </c>
      <c r="AB24" s="135">
        <v>372.9</v>
      </c>
      <c r="AC24" s="135">
        <v>2.68</v>
      </c>
      <c r="AD24" s="135">
        <v>13.9</v>
      </c>
      <c r="AE24" s="135">
        <v>7250</v>
      </c>
      <c r="AF24" s="135">
        <v>522.1</v>
      </c>
      <c r="AG24" s="135">
        <v>1.92</v>
      </c>
      <c r="AH24" s="135">
        <v>14.5</v>
      </c>
      <c r="AI24" s="135">
        <v>4500</v>
      </c>
      <c r="AJ24" s="135">
        <v>310.89999999999998</v>
      </c>
      <c r="AK24" s="135">
        <v>3.22</v>
      </c>
      <c r="AL24" s="135">
        <v>12.3</v>
      </c>
      <c r="AM24" s="135">
        <v>6100</v>
      </c>
      <c r="AN24" s="135">
        <v>494.7</v>
      </c>
      <c r="AO24" s="135">
        <v>2.02</v>
      </c>
      <c r="AP24" s="135"/>
      <c r="AQ24" s="135"/>
      <c r="AR24" s="135"/>
      <c r="AS24" s="135"/>
      <c r="AT24" s="135"/>
      <c r="AU24" s="135"/>
      <c r="AV24" s="135"/>
      <c r="AW24" s="135"/>
      <c r="AX24" s="135">
        <v>12.3</v>
      </c>
      <c r="AY24" s="135">
        <v>19</v>
      </c>
      <c r="AZ24" s="135">
        <v>1.5</v>
      </c>
      <c r="BA24" s="135">
        <v>0.65</v>
      </c>
      <c r="BB24" s="135"/>
      <c r="BC24" s="135"/>
      <c r="BD24" s="135"/>
      <c r="BE24" s="135"/>
      <c r="BF24" s="135">
        <v>14.5</v>
      </c>
      <c r="BG24" s="135">
        <v>8800</v>
      </c>
      <c r="BH24" s="135">
        <v>608.1</v>
      </c>
      <c r="BI24" s="135">
        <v>1.64</v>
      </c>
      <c r="BJ24" s="135">
        <v>50</v>
      </c>
      <c r="BK24" s="135">
        <v>3</v>
      </c>
      <c r="BL24" s="135">
        <v>23.5</v>
      </c>
    </row>
    <row r="25" spans="1:64" x14ac:dyDescent="0.3">
      <c r="A25" s="135">
        <v>2016</v>
      </c>
      <c r="B25" s="135">
        <v>4</v>
      </c>
      <c r="C25" s="135" t="s">
        <v>2024</v>
      </c>
      <c r="D25" s="135" t="s">
        <v>82</v>
      </c>
      <c r="E25" s="135" t="s">
        <v>394</v>
      </c>
      <c r="F25" s="135" t="s">
        <v>4</v>
      </c>
      <c r="G25" s="135" t="s">
        <v>2297</v>
      </c>
      <c r="H25" s="135">
        <v>15.37</v>
      </c>
      <c r="I25" s="135">
        <v>10.363</v>
      </c>
      <c r="J25" s="135">
        <v>12.865</v>
      </c>
      <c r="K25" s="135">
        <v>0</v>
      </c>
      <c r="L25" s="135">
        <v>0</v>
      </c>
      <c r="M25" s="135">
        <v>0</v>
      </c>
      <c r="N25" s="135">
        <v>0</v>
      </c>
      <c r="O25" s="135">
        <v>0</v>
      </c>
      <c r="P25" s="135">
        <v>11.51</v>
      </c>
      <c r="Q25" s="135">
        <v>52.835999999999999</v>
      </c>
      <c r="R25" s="135">
        <v>0.52700000000000002</v>
      </c>
      <c r="S25" s="135">
        <v>2.5019999999999998</v>
      </c>
      <c r="T25" s="135">
        <v>18.436</v>
      </c>
      <c r="U25" s="135">
        <v>5.8999999999999997E-2</v>
      </c>
      <c r="V25" s="135">
        <v>0.14000000000000001</v>
      </c>
      <c r="W25" s="135">
        <v>0</v>
      </c>
      <c r="X25" s="135">
        <v>0</v>
      </c>
      <c r="Y25" s="135" t="s">
        <v>1995</v>
      </c>
      <c r="Z25" s="135">
        <v>11.5</v>
      </c>
      <c r="AA25" s="135">
        <v>4700</v>
      </c>
      <c r="AB25" s="135">
        <v>409.6</v>
      </c>
      <c r="AC25" s="135">
        <v>2.44</v>
      </c>
      <c r="AD25" s="135">
        <v>12.9</v>
      </c>
      <c r="AE25" s="135">
        <v>9650</v>
      </c>
      <c r="AF25" s="135">
        <v>750.1</v>
      </c>
      <c r="AG25" s="135">
        <v>1.33</v>
      </c>
      <c r="AH25" s="135">
        <v>13.4</v>
      </c>
      <c r="AI25" s="135">
        <v>4900</v>
      </c>
      <c r="AJ25" s="135">
        <v>364.8</v>
      </c>
      <c r="AK25" s="135">
        <v>2.74</v>
      </c>
      <c r="AL25" s="135">
        <v>11.6</v>
      </c>
      <c r="AM25" s="135">
        <v>7100</v>
      </c>
      <c r="AN25" s="135">
        <v>611.29999999999995</v>
      </c>
      <c r="AO25" s="135">
        <v>1.64</v>
      </c>
      <c r="AP25" s="135"/>
      <c r="AQ25" s="135"/>
      <c r="AR25" s="135"/>
      <c r="AS25" s="135"/>
      <c r="AT25" s="135"/>
      <c r="AU25" s="135"/>
      <c r="AV25" s="135"/>
      <c r="AW25" s="135"/>
      <c r="AX25" s="135">
        <v>11.6</v>
      </c>
      <c r="AY25" s="135">
        <v>24</v>
      </c>
      <c r="AZ25" s="135">
        <v>2.1</v>
      </c>
      <c r="BA25" s="135">
        <v>0.48</v>
      </c>
      <c r="BB25" s="135"/>
      <c r="BC25" s="135"/>
      <c r="BD25" s="135"/>
      <c r="BE25" s="135"/>
      <c r="BF25" s="135">
        <v>13.4</v>
      </c>
      <c r="BG25" s="135">
        <v>9700</v>
      </c>
      <c r="BH25" s="135">
        <v>722.1</v>
      </c>
      <c r="BI25" s="135">
        <v>1.38</v>
      </c>
      <c r="BJ25" s="135">
        <v>46.5</v>
      </c>
      <c r="BK25" s="135">
        <v>3.5</v>
      </c>
      <c r="BL25" s="135">
        <v>21.5</v>
      </c>
    </row>
    <row r="26" spans="1:64" x14ac:dyDescent="0.3">
      <c r="A26" s="135">
        <v>2016</v>
      </c>
      <c r="B26" s="135">
        <v>4</v>
      </c>
      <c r="C26" s="135" t="s">
        <v>2034</v>
      </c>
      <c r="D26" s="135" t="s">
        <v>121</v>
      </c>
      <c r="E26" s="135" t="s">
        <v>394</v>
      </c>
      <c r="F26" s="135" t="s">
        <v>18</v>
      </c>
      <c r="G26" s="135" t="s">
        <v>14</v>
      </c>
      <c r="H26" s="135">
        <v>18.82</v>
      </c>
      <c r="I26" s="135">
        <v>10.045999999999999</v>
      </c>
      <c r="J26" s="135">
        <v>11.260999999999999</v>
      </c>
      <c r="K26" s="135">
        <v>0</v>
      </c>
      <c r="L26" s="135">
        <v>0</v>
      </c>
      <c r="M26" s="135">
        <v>0</v>
      </c>
      <c r="N26" s="135">
        <v>0</v>
      </c>
      <c r="O26" s="135">
        <v>0</v>
      </c>
      <c r="P26" s="135">
        <v>16.744</v>
      </c>
      <c r="Q26" s="135">
        <v>63.427999999999997</v>
      </c>
      <c r="R26" s="135">
        <v>0.501</v>
      </c>
      <c r="S26" s="135">
        <v>1.2150000000000001</v>
      </c>
      <c r="T26" s="135">
        <v>8.6739999999999995</v>
      </c>
      <c r="U26" s="135">
        <v>1.9E-2</v>
      </c>
      <c r="V26" s="135">
        <v>0.14199999999999999</v>
      </c>
      <c r="W26" s="135">
        <v>0</v>
      </c>
      <c r="X26" s="135">
        <v>0</v>
      </c>
      <c r="Y26" s="135" t="s">
        <v>1995</v>
      </c>
      <c r="Z26" s="135">
        <v>10.5</v>
      </c>
      <c r="AA26" s="135">
        <v>4450</v>
      </c>
      <c r="AB26" s="135">
        <v>423.3</v>
      </c>
      <c r="AC26" s="135">
        <v>2.36</v>
      </c>
      <c r="AD26" s="135">
        <v>11.3</v>
      </c>
      <c r="AE26" s="135">
        <v>9100</v>
      </c>
      <c r="AF26" s="135">
        <v>808.1</v>
      </c>
      <c r="AG26" s="135">
        <v>1.24</v>
      </c>
      <c r="AH26" s="135">
        <v>11.8</v>
      </c>
      <c r="AI26" s="135">
        <v>4300</v>
      </c>
      <c r="AJ26" s="135">
        <v>363.3</v>
      </c>
      <c r="AK26" s="135">
        <v>2.75</v>
      </c>
      <c r="AL26" s="135">
        <v>10.7</v>
      </c>
      <c r="AM26" s="135">
        <v>6600</v>
      </c>
      <c r="AN26" s="135">
        <v>619.5</v>
      </c>
      <c r="AO26" s="135">
        <v>1.61</v>
      </c>
      <c r="AP26" s="135"/>
      <c r="AQ26" s="135"/>
      <c r="AR26" s="135"/>
      <c r="AS26" s="135"/>
      <c r="AT26" s="135"/>
      <c r="AU26" s="135"/>
      <c r="AV26" s="135"/>
      <c r="AW26" s="135"/>
      <c r="AX26" s="135">
        <v>10.7</v>
      </c>
      <c r="AY26" s="135">
        <v>19</v>
      </c>
      <c r="AZ26" s="135">
        <v>1.8</v>
      </c>
      <c r="BA26" s="135">
        <v>0.56000000000000005</v>
      </c>
      <c r="BB26" s="135"/>
      <c r="BC26" s="135"/>
      <c r="BD26" s="135"/>
      <c r="BE26" s="135"/>
      <c r="BF26" s="135">
        <v>11.8</v>
      </c>
      <c r="BG26" s="135">
        <v>8400</v>
      </c>
      <c r="BH26" s="135">
        <v>709.7</v>
      </c>
      <c r="BI26" s="135">
        <v>1.41</v>
      </c>
      <c r="BJ26" s="135">
        <v>45.5</v>
      </c>
      <c r="BK26" s="135">
        <v>-8</v>
      </c>
      <c r="BL26" s="135">
        <v>26.75</v>
      </c>
    </row>
    <row r="27" spans="1:64" x14ac:dyDescent="0.3">
      <c r="A27" s="135">
        <v>2016</v>
      </c>
      <c r="B27" s="135">
        <v>4</v>
      </c>
      <c r="C27" s="135" t="s">
        <v>2039</v>
      </c>
      <c r="D27" s="135" t="s">
        <v>520</v>
      </c>
      <c r="E27" s="135" t="s">
        <v>394</v>
      </c>
      <c r="F27" s="135" t="s">
        <v>26</v>
      </c>
      <c r="G27" s="135" t="s">
        <v>2298</v>
      </c>
      <c r="H27" s="135">
        <v>18.7</v>
      </c>
      <c r="I27" s="135">
        <v>9.9700000000000006</v>
      </c>
      <c r="J27" s="135">
        <v>11.682</v>
      </c>
      <c r="K27" s="135">
        <v>0</v>
      </c>
      <c r="L27" s="135">
        <v>0</v>
      </c>
      <c r="M27" s="135">
        <v>0</v>
      </c>
      <c r="N27" s="135">
        <v>0</v>
      </c>
      <c r="O27" s="135">
        <v>0</v>
      </c>
      <c r="P27" s="135">
        <v>12.191000000000001</v>
      </c>
      <c r="Q27" s="135">
        <v>54.607999999999997</v>
      </c>
      <c r="R27" s="135">
        <v>0.50900000000000001</v>
      </c>
      <c r="S27" s="135">
        <v>1.712</v>
      </c>
      <c r="T27" s="135">
        <v>12.634</v>
      </c>
      <c r="U27" s="135">
        <v>6.5000000000000002E-2</v>
      </c>
      <c r="V27" s="135">
        <v>9.9000000000000005E-2</v>
      </c>
      <c r="W27" s="135">
        <v>0</v>
      </c>
      <c r="X27" s="135">
        <v>0</v>
      </c>
      <c r="Y27" s="135" t="s">
        <v>1995</v>
      </c>
      <c r="Z27" s="135">
        <v>10.7</v>
      </c>
      <c r="AA27" s="135">
        <v>3700</v>
      </c>
      <c r="AB27" s="135">
        <v>344.9</v>
      </c>
      <c r="AC27" s="135">
        <v>2.9</v>
      </c>
      <c r="AD27" s="135">
        <v>11.7</v>
      </c>
      <c r="AE27" s="135">
        <v>7100</v>
      </c>
      <c r="AF27" s="135">
        <v>607.79999999999995</v>
      </c>
      <c r="AG27" s="135">
        <v>1.65</v>
      </c>
      <c r="AH27" s="135">
        <v>12.2</v>
      </c>
      <c r="AI27" s="135">
        <v>3800</v>
      </c>
      <c r="AJ27" s="135">
        <v>311.89999999999998</v>
      </c>
      <c r="AK27" s="135">
        <v>3.21</v>
      </c>
      <c r="AL27" s="135">
        <v>10.8</v>
      </c>
      <c r="AM27" s="135">
        <v>4500</v>
      </c>
      <c r="AN27" s="135">
        <v>415.7</v>
      </c>
      <c r="AO27" s="135">
        <v>2.41</v>
      </c>
      <c r="AP27" s="135"/>
      <c r="AQ27" s="135"/>
      <c r="AR27" s="135"/>
      <c r="AS27" s="135"/>
      <c r="AT27" s="135"/>
      <c r="AU27" s="135"/>
      <c r="AV27" s="135"/>
      <c r="AW27" s="135"/>
      <c r="AX27" s="135">
        <v>10.8</v>
      </c>
      <c r="AY27" s="135">
        <v>10</v>
      </c>
      <c r="AZ27" s="135">
        <v>0.9</v>
      </c>
      <c r="BA27" s="135">
        <v>1.08</v>
      </c>
      <c r="BB27" s="135"/>
      <c r="BC27" s="135"/>
      <c r="BD27" s="135"/>
      <c r="BE27" s="135"/>
      <c r="BF27" s="135">
        <v>12.2</v>
      </c>
      <c r="BG27" s="135">
        <v>7400</v>
      </c>
      <c r="BH27" s="135">
        <v>607.29999999999995</v>
      </c>
      <c r="BI27" s="135">
        <v>1.65</v>
      </c>
      <c r="BJ27" s="135">
        <v>46.5</v>
      </c>
      <c r="BK27" s="135">
        <v>-3</v>
      </c>
      <c r="BL27" s="135">
        <v>24.75</v>
      </c>
    </row>
    <row r="28" spans="1:64" x14ac:dyDescent="0.3">
      <c r="A28" s="135">
        <v>2016</v>
      </c>
      <c r="B28" s="135">
        <v>4</v>
      </c>
      <c r="C28" s="135" t="s">
        <v>2033</v>
      </c>
      <c r="D28" s="135" t="s">
        <v>143</v>
      </c>
      <c r="E28" s="135" t="s">
        <v>394</v>
      </c>
      <c r="F28" s="135" t="s">
        <v>41</v>
      </c>
      <c r="G28" s="135" t="s">
        <v>37</v>
      </c>
      <c r="H28" s="135">
        <v>8.24</v>
      </c>
      <c r="I28" s="135">
        <v>9.0739999999999998</v>
      </c>
      <c r="J28" s="135">
        <v>12.111000000000001</v>
      </c>
      <c r="K28" s="135">
        <v>0</v>
      </c>
      <c r="L28" s="135">
        <v>0</v>
      </c>
      <c r="M28" s="135">
        <v>0</v>
      </c>
      <c r="N28" s="135">
        <v>0</v>
      </c>
      <c r="O28" s="135">
        <v>0</v>
      </c>
      <c r="P28" s="135">
        <v>14.535</v>
      </c>
      <c r="Q28" s="135">
        <v>58.511000000000003</v>
      </c>
      <c r="R28" s="135">
        <v>0.13700000000000001</v>
      </c>
      <c r="S28" s="135">
        <v>3.0369999999999999</v>
      </c>
      <c r="T28" s="135">
        <v>23.045999999999999</v>
      </c>
      <c r="U28" s="135">
        <v>6.7000000000000004E-2</v>
      </c>
      <c r="V28" s="135">
        <v>0.153</v>
      </c>
      <c r="W28" s="135">
        <v>0</v>
      </c>
      <c r="X28" s="135">
        <v>0</v>
      </c>
      <c r="Y28" s="135" t="s">
        <v>1995</v>
      </c>
      <c r="Z28" s="135">
        <v>10.4</v>
      </c>
      <c r="AA28" s="135">
        <v>4400</v>
      </c>
      <c r="AB28" s="135">
        <v>421.5</v>
      </c>
      <c r="AC28" s="135">
        <v>2.37</v>
      </c>
      <c r="AD28" s="135">
        <v>12.1</v>
      </c>
      <c r="AE28" s="135">
        <v>7800</v>
      </c>
      <c r="AF28" s="135">
        <v>644.1</v>
      </c>
      <c r="AG28" s="135">
        <v>1.55</v>
      </c>
      <c r="AH28" s="135">
        <v>12.8</v>
      </c>
      <c r="AI28" s="135">
        <v>3900</v>
      </c>
      <c r="AJ28" s="135">
        <v>305.8</v>
      </c>
      <c r="AK28" s="135">
        <v>3.27</v>
      </c>
      <c r="AL28" s="135">
        <v>10.6</v>
      </c>
      <c r="AM28" s="135">
        <v>5800</v>
      </c>
      <c r="AN28" s="135">
        <v>547.6</v>
      </c>
      <c r="AO28" s="135">
        <v>1.83</v>
      </c>
      <c r="AP28" s="135"/>
      <c r="AQ28" s="135"/>
      <c r="AR28" s="135"/>
      <c r="AS28" s="135"/>
      <c r="AT28" s="135"/>
      <c r="AU28" s="135"/>
      <c r="AV28" s="135"/>
      <c r="AW28" s="135"/>
      <c r="AX28" s="135">
        <v>10.6</v>
      </c>
      <c r="AY28" s="135">
        <v>19</v>
      </c>
      <c r="AZ28" s="135">
        <v>1.8</v>
      </c>
      <c r="BA28" s="135">
        <v>0.56000000000000005</v>
      </c>
      <c r="BB28" s="135"/>
      <c r="BC28" s="135"/>
      <c r="BD28" s="135"/>
      <c r="BE28" s="135"/>
      <c r="BF28" s="135">
        <v>12.8</v>
      </c>
      <c r="BG28" s="135">
        <v>7700</v>
      </c>
      <c r="BH28" s="135">
        <v>603.79999999999995</v>
      </c>
      <c r="BI28" s="135">
        <v>1.66</v>
      </c>
      <c r="BJ28" s="135">
        <v>43.5</v>
      </c>
      <c r="BK28" s="135">
        <v>-4</v>
      </c>
      <c r="BL28" s="135">
        <v>23.75</v>
      </c>
    </row>
    <row r="29" spans="1:64" x14ac:dyDescent="0.3">
      <c r="A29" s="135">
        <v>2016</v>
      </c>
      <c r="B29" s="135">
        <v>4</v>
      </c>
      <c r="C29" s="135" t="s">
        <v>2027</v>
      </c>
      <c r="D29" s="135" t="s">
        <v>113</v>
      </c>
      <c r="E29" s="135" t="s">
        <v>394</v>
      </c>
      <c r="F29" s="135" t="s">
        <v>28</v>
      </c>
      <c r="G29" s="135" t="s">
        <v>57</v>
      </c>
      <c r="H29" s="135">
        <v>15.65</v>
      </c>
      <c r="I29" s="135">
        <v>8.8149999999999995</v>
      </c>
      <c r="J29" s="135">
        <v>13.867000000000001</v>
      </c>
      <c r="K29" s="135">
        <v>0</v>
      </c>
      <c r="L29" s="135">
        <v>0</v>
      </c>
      <c r="M29" s="135">
        <v>0</v>
      </c>
      <c r="N29" s="135">
        <v>0</v>
      </c>
      <c r="O29" s="135">
        <v>0</v>
      </c>
      <c r="P29" s="135">
        <v>6.21</v>
      </c>
      <c r="Q29" s="135">
        <v>32.798999999999999</v>
      </c>
      <c r="R29" s="135">
        <v>0.129</v>
      </c>
      <c r="S29" s="135">
        <v>5.0519999999999996</v>
      </c>
      <c r="T29" s="135">
        <v>41.87</v>
      </c>
      <c r="U29" s="135">
        <v>0.126</v>
      </c>
      <c r="V29" s="135">
        <v>9.0999999999999998E-2</v>
      </c>
      <c r="W29" s="135">
        <v>0</v>
      </c>
      <c r="X29" s="135">
        <v>0</v>
      </c>
      <c r="Y29" s="135" t="s">
        <v>1995</v>
      </c>
      <c r="Z29" s="135">
        <v>11.2</v>
      </c>
      <c r="AA29" s="135">
        <v>4500</v>
      </c>
      <c r="AB29" s="135">
        <v>400</v>
      </c>
      <c r="AC29" s="135">
        <v>2.5</v>
      </c>
      <c r="AD29" s="135">
        <v>13.9</v>
      </c>
      <c r="AE29" s="135">
        <v>10300</v>
      </c>
      <c r="AF29" s="135">
        <v>742.8</v>
      </c>
      <c r="AG29" s="135">
        <v>1.35</v>
      </c>
      <c r="AH29" s="135">
        <v>14.4</v>
      </c>
      <c r="AI29" s="135">
        <v>4700</v>
      </c>
      <c r="AJ29" s="135">
        <v>326.3</v>
      </c>
      <c r="AK29" s="135">
        <v>3.07</v>
      </c>
      <c r="AL29" s="135">
        <v>11.3</v>
      </c>
      <c r="AM29" s="135">
        <v>5500</v>
      </c>
      <c r="AN29" s="135">
        <v>485</v>
      </c>
      <c r="AO29" s="135">
        <v>2.06</v>
      </c>
      <c r="AP29" s="135"/>
      <c r="AQ29" s="135"/>
      <c r="AR29" s="135"/>
      <c r="AS29" s="135"/>
      <c r="AT29" s="135"/>
      <c r="AU29" s="135"/>
      <c r="AV29" s="135"/>
      <c r="AW29" s="135"/>
      <c r="AX29" s="135">
        <v>11.3</v>
      </c>
      <c r="AY29" s="135">
        <v>19</v>
      </c>
      <c r="AZ29" s="135">
        <v>1.7</v>
      </c>
      <c r="BA29" s="135">
        <v>0.6</v>
      </c>
      <c r="BB29" s="135"/>
      <c r="BC29" s="135"/>
      <c r="BD29" s="135"/>
      <c r="BE29" s="135"/>
      <c r="BF29" s="135">
        <v>14.4</v>
      </c>
      <c r="BG29" s="135">
        <v>9200</v>
      </c>
      <c r="BH29" s="135">
        <v>638.6</v>
      </c>
      <c r="BI29" s="135">
        <v>1.57</v>
      </c>
      <c r="BJ29" s="135">
        <v>44.5</v>
      </c>
      <c r="BK29" s="135">
        <v>-7</v>
      </c>
      <c r="BL29" s="135">
        <v>25.75</v>
      </c>
    </row>
    <row r="30" spans="1:64" x14ac:dyDescent="0.3">
      <c r="A30" s="135">
        <v>2016</v>
      </c>
      <c r="B30" s="135">
        <v>4</v>
      </c>
      <c r="C30" s="135" t="s">
        <v>2036</v>
      </c>
      <c r="D30" s="135" t="s">
        <v>150</v>
      </c>
      <c r="E30" s="135" t="s">
        <v>394</v>
      </c>
      <c r="F30" s="135" t="s">
        <v>22</v>
      </c>
      <c r="G30" s="135" t="s">
        <v>2296</v>
      </c>
      <c r="H30" s="135">
        <v>24.7</v>
      </c>
      <c r="I30" s="135">
        <v>8.702</v>
      </c>
      <c r="J30" s="135">
        <v>10.382</v>
      </c>
      <c r="K30" s="135">
        <v>0</v>
      </c>
      <c r="L30" s="135">
        <v>0</v>
      </c>
      <c r="M30" s="135">
        <v>0</v>
      </c>
      <c r="N30" s="135">
        <v>0</v>
      </c>
      <c r="O30" s="135">
        <v>0</v>
      </c>
      <c r="P30" s="135">
        <v>13.487</v>
      </c>
      <c r="Q30" s="135">
        <v>56.174999999999997</v>
      </c>
      <c r="R30" s="135">
        <v>0.35099999999999998</v>
      </c>
      <c r="S30" s="135">
        <v>1.68</v>
      </c>
      <c r="T30" s="135">
        <v>11.065</v>
      </c>
      <c r="U30" s="135">
        <v>1.9E-2</v>
      </c>
      <c r="V30" s="135">
        <v>0.121</v>
      </c>
      <c r="W30" s="135">
        <v>0</v>
      </c>
      <c r="X30" s="135">
        <v>0</v>
      </c>
      <c r="Y30" s="135" t="s">
        <v>1995</v>
      </c>
      <c r="Z30" s="135">
        <v>9.4</v>
      </c>
      <c r="AA30" s="135">
        <v>4250</v>
      </c>
      <c r="AB30" s="135">
        <v>451.1</v>
      </c>
      <c r="AC30" s="135">
        <v>2.2200000000000002</v>
      </c>
      <c r="AD30" s="135">
        <v>10.4</v>
      </c>
      <c r="AE30" s="135">
        <v>6000</v>
      </c>
      <c r="AF30" s="135">
        <v>577.9</v>
      </c>
      <c r="AG30" s="135">
        <v>1.73</v>
      </c>
      <c r="AH30" s="135">
        <v>10.9</v>
      </c>
      <c r="AI30" s="135">
        <v>3400</v>
      </c>
      <c r="AJ30" s="135">
        <v>311.7</v>
      </c>
      <c r="AK30" s="135">
        <v>3.21</v>
      </c>
      <c r="AL30" s="135">
        <v>9.5</v>
      </c>
      <c r="AM30" s="135">
        <v>5700</v>
      </c>
      <c r="AN30" s="135">
        <v>597.4</v>
      </c>
      <c r="AO30" s="135">
        <v>1.67</v>
      </c>
      <c r="AP30" s="135"/>
      <c r="AQ30" s="135"/>
      <c r="AR30" s="135"/>
      <c r="AS30" s="135"/>
      <c r="AT30" s="135"/>
      <c r="AU30" s="135"/>
      <c r="AV30" s="135"/>
      <c r="AW30" s="135"/>
      <c r="AX30" s="135">
        <v>9.5</v>
      </c>
      <c r="AY30" s="135">
        <v>20</v>
      </c>
      <c r="AZ30" s="135">
        <v>2.1</v>
      </c>
      <c r="BA30" s="135">
        <v>0.48</v>
      </c>
      <c r="BB30" s="135"/>
      <c r="BC30" s="135"/>
      <c r="BD30" s="135"/>
      <c r="BE30" s="135"/>
      <c r="BF30" s="135">
        <v>10.9</v>
      </c>
      <c r="BG30" s="135">
        <v>6600</v>
      </c>
      <c r="BH30" s="135">
        <v>605.1</v>
      </c>
      <c r="BI30" s="135">
        <v>1.65</v>
      </c>
      <c r="BJ30" s="135">
        <v>50</v>
      </c>
      <c r="BK30" s="135">
        <v>-3</v>
      </c>
      <c r="BL30" s="135">
        <v>26.5</v>
      </c>
    </row>
    <row r="31" spans="1:64" x14ac:dyDescent="0.3">
      <c r="A31" s="135">
        <v>2016</v>
      </c>
      <c r="B31" s="135">
        <v>4</v>
      </c>
      <c r="C31" s="135" t="s">
        <v>2038</v>
      </c>
      <c r="D31" s="135" t="s">
        <v>149</v>
      </c>
      <c r="E31" s="135" t="s">
        <v>394</v>
      </c>
      <c r="F31" s="135" t="s">
        <v>32</v>
      </c>
      <c r="G31" s="135" t="s">
        <v>4</v>
      </c>
      <c r="H31" s="135">
        <v>16.09</v>
      </c>
      <c r="I31" s="135">
        <v>8.3859999999999992</v>
      </c>
      <c r="J31" s="135">
        <v>9.7560000000000002</v>
      </c>
      <c r="K31" s="135">
        <v>0</v>
      </c>
      <c r="L31" s="135">
        <v>0</v>
      </c>
      <c r="M31" s="135">
        <v>0</v>
      </c>
      <c r="N31" s="135">
        <v>0</v>
      </c>
      <c r="O31" s="135">
        <v>0</v>
      </c>
      <c r="P31" s="135">
        <v>13.404999999999999</v>
      </c>
      <c r="Q31" s="135">
        <v>45.085000000000001</v>
      </c>
      <c r="R31" s="135">
        <v>0.435</v>
      </c>
      <c r="S31" s="135">
        <v>1.37</v>
      </c>
      <c r="T31" s="135">
        <v>11.297000000000001</v>
      </c>
      <c r="U31" s="135">
        <v>5.5E-2</v>
      </c>
      <c r="V31" s="135">
        <v>9.6000000000000002E-2</v>
      </c>
      <c r="W31" s="135">
        <v>0</v>
      </c>
      <c r="X31" s="135">
        <v>0</v>
      </c>
      <c r="Y31" s="135" t="s">
        <v>1995</v>
      </c>
      <c r="Z31" s="135">
        <v>9</v>
      </c>
      <c r="AA31" s="135">
        <v>4200</v>
      </c>
      <c r="AB31" s="135">
        <v>468</v>
      </c>
      <c r="AC31" s="135">
        <v>2.14</v>
      </c>
      <c r="AD31" s="135">
        <v>9.8000000000000007</v>
      </c>
      <c r="AE31" s="135">
        <v>6000</v>
      </c>
      <c r="AF31" s="135">
        <v>615</v>
      </c>
      <c r="AG31" s="135">
        <v>1.63</v>
      </c>
      <c r="AH31" s="135">
        <v>10.199999999999999</v>
      </c>
      <c r="AI31" s="135">
        <v>3400</v>
      </c>
      <c r="AJ31" s="135">
        <v>333.6</v>
      </c>
      <c r="AK31" s="135">
        <v>3</v>
      </c>
      <c r="AL31" s="135">
        <v>9.1</v>
      </c>
      <c r="AM31" s="135">
        <v>4900</v>
      </c>
      <c r="AN31" s="135">
        <v>540.20000000000005</v>
      </c>
      <c r="AO31" s="135">
        <v>1.85</v>
      </c>
      <c r="AP31" s="135"/>
      <c r="AQ31" s="135"/>
      <c r="AR31" s="135"/>
      <c r="AS31" s="135"/>
      <c r="AT31" s="135"/>
      <c r="AU31" s="135"/>
      <c r="AV31" s="135"/>
      <c r="AW31" s="135"/>
      <c r="AX31" s="135">
        <v>9.1</v>
      </c>
      <c r="AY31" s="135">
        <v>14</v>
      </c>
      <c r="AZ31" s="135">
        <v>1.5</v>
      </c>
      <c r="BA31" s="135">
        <v>0.65</v>
      </c>
      <c r="BB31" s="135"/>
      <c r="BC31" s="135"/>
      <c r="BD31" s="135"/>
      <c r="BE31" s="135"/>
      <c r="BF31" s="135">
        <v>10.199999999999999</v>
      </c>
      <c r="BG31" s="135">
        <v>6700</v>
      </c>
      <c r="BH31" s="135">
        <v>657.5</v>
      </c>
      <c r="BI31" s="135">
        <v>1.52</v>
      </c>
      <c r="BJ31" s="135">
        <v>46.5</v>
      </c>
      <c r="BK31" s="135">
        <v>-3.5</v>
      </c>
      <c r="BL31" s="135">
        <v>25</v>
      </c>
    </row>
    <row r="32" spans="1:64" x14ac:dyDescent="0.3">
      <c r="A32" s="135">
        <v>2016</v>
      </c>
      <c r="B32" s="135">
        <v>4</v>
      </c>
      <c r="C32" s="135" t="s">
        <v>2040</v>
      </c>
      <c r="D32" s="135" t="s">
        <v>120</v>
      </c>
      <c r="E32" s="135" t="s">
        <v>394</v>
      </c>
      <c r="F32" s="135" t="s">
        <v>14</v>
      </c>
      <c r="G32" s="135" t="s">
        <v>2310</v>
      </c>
      <c r="H32" s="135">
        <v>29.4</v>
      </c>
      <c r="I32" s="135">
        <v>8</v>
      </c>
      <c r="J32" s="135">
        <v>12.398</v>
      </c>
      <c r="K32" s="135">
        <v>0</v>
      </c>
      <c r="L32" s="135">
        <v>0</v>
      </c>
      <c r="M32" s="135">
        <v>0</v>
      </c>
      <c r="N32" s="135">
        <v>0</v>
      </c>
      <c r="O32" s="135">
        <v>0</v>
      </c>
      <c r="P32" s="135">
        <v>8.5540000000000003</v>
      </c>
      <c r="Q32" s="135">
        <v>38.374000000000002</v>
      </c>
      <c r="R32" s="135">
        <v>0.17199999999999999</v>
      </c>
      <c r="S32" s="135">
        <v>4.3979999999999997</v>
      </c>
      <c r="T32" s="135">
        <v>26.626999999999999</v>
      </c>
      <c r="U32" s="135">
        <v>0.11700000000000001</v>
      </c>
      <c r="V32" s="135">
        <v>0.11700000000000001</v>
      </c>
      <c r="W32" s="135">
        <v>0</v>
      </c>
      <c r="X32" s="135">
        <v>0</v>
      </c>
      <c r="Y32" s="135" t="s">
        <v>1995</v>
      </c>
      <c r="Z32" s="135">
        <v>10.1</v>
      </c>
      <c r="AA32" s="135">
        <v>4400</v>
      </c>
      <c r="AB32" s="135">
        <v>436.4</v>
      </c>
      <c r="AC32" s="135">
        <v>2.29</v>
      </c>
      <c r="AD32" s="135">
        <v>12.4</v>
      </c>
      <c r="AE32" s="135">
        <v>8050</v>
      </c>
      <c r="AF32" s="135">
        <v>649.29999999999995</v>
      </c>
      <c r="AG32" s="135">
        <v>1.54</v>
      </c>
      <c r="AH32" s="135">
        <v>12.9</v>
      </c>
      <c r="AI32" s="135">
        <v>4000</v>
      </c>
      <c r="AJ32" s="135">
        <v>310</v>
      </c>
      <c r="AK32" s="135">
        <v>3.23</v>
      </c>
      <c r="AL32" s="135">
        <v>10.199999999999999</v>
      </c>
      <c r="AM32" s="135">
        <v>5400</v>
      </c>
      <c r="AN32" s="135">
        <v>529.5</v>
      </c>
      <c r="AO32" s="135">
        <v>1.89</v>
      </c>
      <c r="AP32" s="135"/>
      <c r="AQ32" s="135"/>
      <c r="AR32" s="135"/>
      <c r="AS32" s="135"/>
      <c r="AT32" s="135"/>
      <c r="AU32" s="135"/>
      <c r="AV32" s="135"/>
      <c r="AW32" s="135"/>
      <c r="AX32" s="135">
        <v>10.199999999999999</v>
      </c>
      <c r="AY32" s="135">
        <v>15</v>
      </c>
      <c r="AZ32" s="135">
        <v>1.5</v>
      </c>
      <c r="BA32" s="135">
        <v>0.68</v>
      </c>
      <c r="BB32" s="135"/>
      <c r="BC32" s="135"/>
      <c r="BD32" s="135"/>
      <c r="BE32" s="135"/>
      <c r="BF32" s="135">
        <v>12.9</v>
      </c>
      <c r="BG32" s="135">
        <v>7800</v>
      </c>
      <c r="BH32" s="135">
        <v>604.4</v>
      </c>
      <c r="BI32" s="135">
        <v>1.65</v>
      </c>
      <c r="BJ32" s="135">
        <v>45.5</v>
      </c>
      <c r="BK32" s="135">
        <v>8</v>
      </c>
      <c r="BL32" s="135">
        <v>18.75</v>
      </c>
    </row>
    <row r="33" spans="1:64" x14ac:dyDescent="0.3">
      <c r="A33" s="135">
        <v>2016</v>
      </c>
      <c r="B33" s="135">
        <v>4</v>
      </c>
      <c r="C33" s="135" t="s">
        <v>2035</v>
      </c>
      <c r="D33" s="135" t="s">
        <v>99</v>
      </c>
      <c r="E33" s="135" t="s">
        <v>394</v>
      </c>
      <c r="F33" s="135" t="s">
        <v>32</v>
      </c>
      <c r="G33" s="135" t="s">
        <v>4</v>
      </c>
      <c r="H33" s="135">
        <v>16.09</v>
      </c>
      <c r="I33" s="135">
        <v>7.3250000000000002</v>
      </c>
      <c r="J33" s="135">
        <v>11.186</v>
      </c>
      <c r="K33" s="135">
        <v>0</v>
      </c>
      <c r="L33" s="135">
        <v>0</v>
      </c>
      <c r="M33" s="135">
        <v>0</v>
      </c>
      <c r="N33" s="135">
        <v>0</v>
      </c>
      <c r="O33" s="135">
        <v>0</v>
      </c>
      <c r="P33" s="135">
        <v>10.266999999999999</v>
      </c>
      <c r="Q33" s="135">
        <v>37.871000000000002</v>
      </c>
      <c r="R33" s="135">
        <v>0.223</v>
      </c>
      <c r="S33" s="135">
        <v>3.8610000000000002</v>
      </c>
      <c r="T33" s="135">
        <v>18.356999999999999</v>
      </c>
      <c r="U33" s="135">
        <v>9.1999999999999998E-2</v>
      </c>
      <c r="V33" s="135">
        <v>9.4E-2</v>
      </c>
      <c r="W33" s="135">
        <v>0</v>
      </c>
      <c r="X33" s="135">
        <v>0</v>
      </c>
      <c r="Y33" s="135" t="s">
        <v>1995</v>
      </c>
      <c r="Z33" s="135">
        <v>9.1999999999999993</v>
      </c>
      <c r="AA33" s="135">
        <v>4300</v>
      </c>
      <c r="AB33" s="135">
        <v>469.4</v>
      </c>
      <c r="AC33" s="135">
        <v>2.13</v>
      </c>
      <c r="AD33" s="135">
        <v>11.2</v>
      </c>
      <c r="AE33" s="135">
        <v>7000</v>
      </c>
      <c r="AF33" s="135">
        <v>625.79999999999995</v>
      </c>
      <c r="AG33" s="135">
        <v>1.6</v>
      </c>
      <c r="AH33" s="135">
        <v>11.6</v>
      </c>
      <c r="AI33" s="135">
        <v>3800</v>
      </c>
      <c r="AJ33" s="135">
        <v>327.10000000000002</v>
      </c>
      <c r="AK33" s="135">
        <v>3.06</v>
      </c>
      <c r="AL33" s="135">
        <v>9.3000000000000007</v>
      </c>
      <c r="AM33" s="135">
        <v>5800</v>
      </c>
      <c r="AN33" s="135">
        <v>626.70000000000005</v>
      </c>
      <c r="AO33" s="135">
        <v>1.6</v>
      </c>
      <c r="AP33" s="135"/>
      <c r="AQ33" s="135"/>
      <c r="AR33" s="135"/>
      <c r="AS33" s="135"/>
      <c r="AT33" s="135"/>
      <c r="AU33" s="135"/>
      <c r="AV33" s="135"/>
      <c r="AW33" s="135"/>
      <c r="AX33" s="135">
        <v>9.3000000000000007</v>
      </c>
      <c r="AY33" s="135">
        <v>14</v>
      </c>
      <c r="AZ33" s="135">
        <v>1.5</v>
      </c>
      <c r="BA33" s="135">
        <v>0.66</v>
      </c>
      <c r="BB33" s="135"/>
      <c r="BC33" s="135"/>
      <c r="BD33" s="135"/>
      <c r="BE33" s="135"/>
      <c r="BF33" s="135">
        <v>11.6</v>
      </c>
      <c r="BG33" s="135">
        <v>7400</v>
      </c>
      <c r="BH33" s="135">
        <v>637</v>
      </c>
      <c r="BI33" s="135">
        <v>1.57</v>
      </c>
      <c r="BJ33" s="135">
        <v>46.5</v>
      </c>
      <c r="BK33" s="135">
        <v>-3.5</v>
      </c>
      <c r="BL33" s="135">
        <v>25</v>
      </c>
    </row>
    <row r="34" spans="1:64" x14ac:dyDescent="0.3">
      <c r="A34" s="135">
        <v>2016</v>
      </c>
      <c r="B34" s="135">
        <v>4</v>
      </c>
      <c r="C34" s="135" t="s">
        <v>2554</v>
      </c>
      <c r="D34" s="135" t="s">
        <v>123</v>
      </c>
      <c r="E34" s="135" t="s">
        <v>394</v>
      </c>
      <c r="F34" s="135" t="s">
        <v>12</v>
      </c>
      <c r="G34" s="135" t="s">
        <v>16</v>
      </c>
      <c r="H34" s="135">
        <v>26.09</v>
      </c>
      <c r="I34" s="135">
        <v>7.2359999999999998</v>
      </c>
      <c r="J34" s="135">
        <v>8.3249999999999993</v>
      </c>
      <c r="K34" s="135">
        <v>0</v>
      </c>
      <c r="L34" s="135">
        <v>0</v>
      </c>
      <c r="M34" s="135">
        <v>0</v>
      </c>
      <c r="N34" s="135">
        <v>0</v>
      </c>
      <c r="O34" s="135">
        <v>0</v>
      </c>
      <c r="P34" s="135">
        <v>11.419</v>
      </c>
      <c r="Q34" s="135">
        <v>44.064999999999998</v>
      </c>
      <c r="R34" s="135">
        <v>0.36299999999999999</v>
      </c>
      <c r="S34" s="135">
        <v>1.089</v>
      </c>
      <c r="T34" s="135">
        <v>7.2720000000000002</v>
      </c>
      <c r="U34" s="135">
        <v>1.9E-2</v>
      </c>
      <c r="V34" s="135">
        <v>9.5000000000000001E-2</v>
      </c>
      <c r="W34" s="135">
        <v>0</v>
      </c>
      <c r="X34" s="135">
        <v>0</v>
      </c>
      <c r="Y34" s="135" t="s">
        <v>1995</v>
      </c>
      <c r="Z34" s="135">
        <v>7.7</v>
      </c>
      <c r="AA34" s="135">
        <v>4600</v>
      </c>
      <c r="AB34" s="135">
        <v>598.6</v>
      </c>
      <c r="AC34" s="135">
        <v>1.67</v>
      </c>
      <c r="AD34" s="135">
        <v>8.3000000000000007</v>
      </c>
      <c r="AE34" s="135">
        <v>6000</v>
      </c>
      <c r="AF34" s="135">
        <v>720.7</v>
      </c>
      <c r="AG34" s="135">
        <v>1.39</v>
      </c>
      <c r="AH34" s="135">
        <v>8.6999999999999993</v>
      </c>
      <c r="AI34" s="135">
        <v>3700</v>
      </c>
      <c r="AJ34" s="135">
        <v>423.9</v>
      </c>
      <c r="AK34" s="135">
        <v>2.36</v>
      </c>
      <c r="AL34" s="135">
        <v>7.8</v>
      </c>
      <c r="AM34" s="135">
        <v>5700</v>
      </c>
      <c r="AN34" s="135">
        <v>732.6</v>
      </c>
      <c r="AO34" s="135">
        <v>1.36</v>
      </c>
      <c r="AP34" s="135"/>
      <c r="AQ34" s="135"/>
      <c r="AR34" s="135"/>
      <c r="AS34" s="135"/>
      <c r="AT34" s="135"/>
      <c r="AU34" s="135"/>
      <c r="AV34" s="135"/>
      <c r="AW34" s="135"/>
      <c r="AX34" s="135">
        <v>7.8</v>
      </c>
      <c r="AY34" s="135">
        <v>16</v>
      </c>
      <c r="AZ34" s="135">
        <v>2.1</v>
      </c>
      <c r="BA34" s="135">
        <v>0.49</v>
      </c>
      <c r="BB34" s="135"/>
      <c r="BC34" s="135"/>
      <c r="BD34" s="135"/>
      <c r="BE34" s="135"/>
      <c r="BF34" s="135">
        <v>8.6999999999999993</v>
      </c>
      <c r="BG34" s="135">
        <v>7400</v>
      </c>
      <c r="BH34" s="135">
        <v>847.9</v>
      </c>
      <c r="BI34" s="135">
        <v>1.18</v>
      </c>
      <c r="BJ34" s="135">
        <v>49.5</v>
      </c>
      <c r="BK34" s="135">
        <v>2.5</v>
      </c>
      <c r="BL34" s="135">
        <v>23.5</v>
      </c>
    </row>
    <row r="35" spans="1:64" x14ac:dyDescent="0.3">
      <c r="A35" s="135">
        <v>2016</v>
      </c>
      <c r="B35" s="135">
        <v>4</v>
      </c>
      <c r="C35" s="135" t="s">
        <v>2037</v>
      </c>
      <c r="D35" s="135" t="s">
        <v>161</v>
      </c>
      <c r="E35" s="135" t="s">
        <v>394</v>
      </c>
      <c r="F35" s="135" t="s">
        <v>41</v>
      </c>
      <c r="G35" s="135" t="s">
        <v>37</v>
      </c>
      <c r="H35" s="135">
        <v>8.24</v>
      </c>
      <c r="I35" s="135">
        <v>7.109</v>
      </c>
      <c r="J35" s="135">
        <v>9.8079999999999998</v>
      </c>
      <c r="K35" s="135">
        <v>0</v>
      </c>
      <c r="L35" s="135">
        <v>0</v>
      </c>
      <c r="M35" s="135">
        <v>0</v>
      </c>
      <c r="N35" s="135">
        <v>0</v>
      </c>
      <c r="O35" s="135">
        <v>0</v>
      </c>
      <c r="P35" s="135">
        <v>8.0060000000000002</v>
      </c>
      <c r="Q35" s="135">
        <v>24.167000000000002</v>
      </c>
      <c r="R35" s="135">
        <v>0.40500000000000003</v>
      </c>
      <c r="S35" s="135">
        <v>2.6989999999999998</v>
      </c>
      <c r="T35" s="135">
        <v>20.486000000000001</v>
      </c>
      <c r="U35" s="135">
        <v>6.7000000000000004E-2</v>
      </c>
      <c r="V35" s="135">
        <v>9.4E-2</v>
      </c>
      <c r="W35" s="135">
        <v>0</v>
      </c>
      <c r="X35" s="135">
        <v>0</v>
      </c>
      <c r="Y35" s="135" t="s">
        <v>1995</v>
      </c>
      <c r="Z35" s="135">
        <v>8.4</v>
      </c>
      <c r="AA35" s="135">
        <v>4000</v>
      </c>
      <c r="AB35" s="135">
        <v>478.2</v>
      </c>
      <c r="AC35" s="135">
        <v>2.09</v>
      </c>
      <c r="AD35" s="135">
        <v>9.8000000000000007</v>
      </c>
      <c r="AE35" s="135">
        <v>6000</v>
      </c>
      <c r="AF35" s="135">
        <v>611.70000000000005</v>
      </c>
      <c r="AG35" s="135">
        <v>1.63</v>
      </c>
      <c r="AH35" s="135">
        <v>10.199999999999999</v>
      </c>
      <c r="AI35" s="135">
        <v>3300</v>
      </c>
      <c r="AJ35" s="135">
        <v>324.5</v>
      </c>
      <c r="AK35" s="135">
        <v>3.08</v>
      </c>
      <c r="AL35" s="135">
        <v>8.5</v>
      </c>
      <c r="AM35" s="135">
        <v>5700</v>
      </c>
      <c r="AN35" s="135">
        <v>673.9</v>
      </c>
      <c r="AO35" s="135">
        <v>1.48</v>
      </c>
      <c r="AP35" s="135"/>
      <c r="AQ35" s="135"/>
      <c r="AR35" s="135"/>
      <c r="AS35" s="135"/>
      <c r="AT35" s="135"/>
      <c r="AU35" s="135"/>
      <c r="AV35" s="135"/>
      <c r="AW35" s="135"/>
      <c r="AX35" s="135">
        <v>8.5</v>
      </c>
      <c r="AY35" s="135">
        <v>10</v>
      </c>
      <c r="AZ35" s="135">
        <v>1.2</v>
      </c>
      <c r="BA35" s="135">
        <v>0.85</v>
      </c>
      <c r="BB35" s="135"/>
      <c r="BC35" s="135"/>
      <c r="BD35" s="135"/>
      <c r="BE35" s="135"/>
      <c r="BF35" s="135">
        <v>10.199999999999999</v>
      </c>
      <c r="BG35" s="135">
        <v>6400</v>
      </c>
      <c r="BH35" s="135">
        <v>629.29999999999995</v>
      </c>
      <c r="BI35" s="135">
        <v>1.59</v>
      </c>
      <c r="BJ35" s="135">
        <v>43.5</v>
      </c>
      <c r="BK35" s="135">
        <v>-4</v>
      </c>
      <c r="BL35" s="135">
        <v>23.75</v>
      </c>
    </row>
    <row r="36" spans="1:64" x14ac:dyDescent="0.3">
      <c r="A36" s="135">
        <v>2016</v>
      </c>
      <c r="B36" s="135">
        <v>4</v>
      </c>
      <c r="C36" s="135" t="s">
        <v>2048</v>
      </c>
      <c r="D36" s="135" t="s">
        <v>162</v>
      </c>
      <c r="E36" s="135" t="s">
        <v>394</v>
      </c>
      <c r="F36" s="135" t="s">
        <v>22</v>
      </c>
      <c r="G36" s="135" t="s">
        <v>2296</v>
      </c>
      <c r="H36" s="135">
        <v>24.7</v>
      </c>
      <c r="I36" s="135">
        <v>6.1970000000000001</v>
      </c>
      <c r="J36" s="135">
        <v>9.5579999999999998</v>
      </c>
      <c r="K36" s="135">
        <v>0</v>
      </c>
      <c r="L36" s="135">
        <v>0</v>
      </c>
      <c r="M36" s="135">
        <v>0</v>
      </c>
      <c r="N36" s="135">
        <v>0</v>
      </c>
      <c r="O36" s="135">
        <v>0</v>
      </c>
      <c r="P36" s="135">
        <v>5.6150000000000002</v>
      </c>
      <c r="Q36" s="135">
        <v>28.741</v>
      </c>
      <c r="R36" s="135">
        <v>7.0000000000000007E-2</v>
      </c>
      <c r="S36" s="135">
        <v>3.3610000000000002</v>
      </c>
      <c r="T36" s="135">
        <v>23.513000000000002</v>
      </c>
      <c r="U36" s="135">
        <v>0.11600000000000001</v>
      </c>
      <c r="V36" s="135">
        <v>7.1999999999999995E-2</v>
      </c>
      <c r="W36" s="135">
        <v>0</v>
      </c>
      <c r="X36" s="135">
        <v>0</v>
      </c>
      <c r="Y36" s="135" t="s">
        <v>1995</v>
      </c>
      <c r="Z36" s="135">
        <v>7.8</v>
      </c>
      <c r="AA36" s="135">
        <v>4200</v>
      </c>
      <c r="AB36" s="135">
        <v>538.1</v>
      </c>
      <c r="AC36" s="135">
        <v>1.86</v>
      </c>
      <c r="AD36" s="135">
        <v>9.6</v>
      </c>
      <c r="AE36" s="135">
        <v>6000</v>
      </c>
      <c r="AF36" s="135">
        <v>627.70000000000005</v>
      </c>
      <c r="AG36" s="135">
        <v>1.59</v>
      </c>
      <c r="AH36" s="135">
        <v>9.9</v>
      </c>
      <c r="AI36" s="135">
        <v>3900</v>
      </c>
      <c r="AJ36" s="135">
        <v>392.2</v>
      </c>
      <c r="AK36" s="135">
        <v>2.5499999999999998</v>
      </c>
      <c r="AL36" s="135">
        <v>7.9</v>
      </c>
      <c r="AM36" s="135">
        <v>5800</v>
      </c>
      <c r="AN36" s="135">
        <v>736.2</v>
      </c>
      <c r="AO36" s="135">
        <v>1.36</v>
      </c>
      <c r="AP36" s="135"/>
      <c r="AQ36" s="135"/>
      <c r="AR36" s="135"/>
      <c r="AS36" s="135"/>
      <c r="AT36" s="135"/>
      <c r="AU36" s="135"/>
      <c r="AV36" s="135"/>
      <c r="AW36" s="135"/>
      <c r="AX36" s="135">
        <v>7.9</v>
      </c>
      <c r="AY36" s="135">
        <v>18</v>
      </c>
      <c r="AZ36" s="135">
        <v>2.2999999999999998</v>
      </c>
      <c r="BA36" s="135">
        <v>0.44</v>
      </c>
      <c r="BB36" s="135"/>
      <c r="BC36" s="135"/>
      <c r="BD36" s="135"/>
      <c r="BE36" s="135"/>
      <c r="BF36" s="135">
        <v>9.9</v>
      </c>
      <c r="BG36" s="135">
        <v>7700</v>
      </c>
      <c r="BH36" s="135">
        <v>774.3</v>
      </c>
      <c r="BI36" s="135">
        <v>1.29</v>
      </c>
      <c r="BJ36" s="135">
        <v>50</v>
      </c>
      <c r="BK36" s="135">
        <v>-3</v>
      </c>
      <c r="BL36" s="135">
        <v>26.5</v>
      </c>
    </row>
    <row r="37" spans="1:64" x14ac:dyDescent="0.3">
      <c r="A37" s="135">
        <v>2016</v>
      </c>
      <c r="B37" s="135">
        <v>4</v>
      </c>
      <c r="C37" s="135" t="s">
        <v>2026</v>
      </c>
      <c r="D37" s="135" t="s">
        <v>94</v>
      </c>
      <c r="E37" s="135" t="s">
        <v>394</v>
      </c>
      <c r="F37" s="135" t="s">
        <v>37</v>
      </c>
      <c r="G37" s="135" t="s">
        <v>2304</v>
      </c>
      <c r="H37" s="135">
        <v>17.190000000000001</v>
      </c>
      <c r="I37" s="135">
        <v>6.093</v>
      </c>
      <c r="J37" s="135">
        <v>7.1289999999999996</v>
      </c>
      <c r="K37" s="135">
        <v>0</v>
      </c>
      <c r="L37" s="135">
        <v>0</v>
      </c>
      <c r="M37" s="135">
        <v>0</v>
      </c>
      <c r="N37" s="135">
        <v>0</v>
      </c>
      <c r="O37" s="135">
        <v>0</v>
      </c>
      <c r="P37" s="135">
        <v>10.471</v>
      </c>
      <c r="Q37" s="135">
        <v>42.807000000000002</v>
      </c>
      <c r="R37" s="135">
        <v>0.18099999999999999</v>
      </c>
      <c r="S37" s="135">
        <v>1.036</v>
      </c>
      <c r="T37" s="135">
        <v>7.806</v>
      </c>
      <c r="U37" s="135">
        <v>3.3000000000000002E-2</v>
      </c>
      <c r="V37" s="135">
        <v>0.126</v>
      </c>
      <c r="W37" s="135">
        <v>0</v>
      </c>
      <c r="X37" s="135">
        <v>0</v>
      </c>
      <c r="Y37" s="135" t="s">
        <v>1995</v>
      </c>
      <c r="Z37" s="135">
        <v>6.5</v>
      </c>
      <c r="AA37" s="135">
        <v>4500</v>
      </c>
      <c r="AB37" s="135">
        <v>693.9</v>
      </c>
      <c r="AC37" s="135">
        <v>1.44</v>
      </c>
      <c r="AD37" s="135">
        <v>7.1</v>
      </c>
      <c r="AE37" s="135">
        <v>7800</v>
      </c>
      <c r="AF37" s="135">
        <v>1094.0999999999999</v>
      </c>
      <c r="AG37" s="135">
        <v>0.91</v>
      </c>
      <c r="AH37" s="135">
        <v>7.6</v>
      </c>
      <c r="AI37" s="135">
        <v>4700</v>
      </c>
      <c r="AJ37" s="135">
        <v>621.79999999999995</v>
      </c>
      <c r="AK37" s="135">
        <v>1.61</v>
      </c>
      <c r="AL37" s="135">
        <v>6.6</v>
      </c>
      <c r="AM37" s="135">
        <v>5900</v>
      </c>
      <c r="AN37" s="135">
        <v>892.4</v>
      </c>
      <c r="AO37" s="135">
        <v>1.1200000000000001</v>
      </c>
      <c r="AP37" s="135"/>
      <c r="AQ37" s="135"/>
      <c r="AR37" s="135"/>
      <c r="AS37" s="135"/>
      <c r="AT37" s="135"/>
      <c r="AU37" s="135"/>
      <c r="AV37" s="135"/>
      <c r="AW37" s="135"/>
      <c r="AX37" s="135">
        <v>6.6</v>
      </c>
      <c r="AY37" s="135">
        <v>17</v>
      </c>
      <c r="AZ37" s="135">
        <v>2.6</v>
      </c>
      <c r="BA37" s="135">
        <v>0.39</v>
      </c>
      <c r="BB37" s="135"/>
      <c r="BC37" s="135"/>
      <c r="BD37" s="135"/>
      <c r="BE37" s="135"/>
      <c r="BF37" s="135">
        <v>7.6</v>
      </c>
      <c r="BG37" s="135">
        <v>9200</v>
      </c>
      <c r="BH37" s="135">
        <v>1217.0999999999999</v>
      </c>
      <c r="BI37" s="135">
        <v>0.82</v>
      </c>
      <c r="BJ37" s="135">
        <v>43.5</v>
      </c>
      <c r="BK37" s="135">
        <v>4</v>
      </c>
      <c r="BL37" s="135">
        <v>19.75</v>
      </c>
    </row>
    <row r="38" spans="1:64" x14ac:dyDescent="0.3">
      <c r="A38" s="135">
        <v>2016</v>
      </c>
      <c r="B38" s="135">
        <v>4</v>
      </c>
      <c r="C38" s="135" t="s">
        <v>2045</v>
      </c>
      <c r="D38" s="135" t="s">
        <v>137</v>
      </c>
      <c r="E38" s="135" t="s">
        <v>394</v>
      </c>
      <c r="F38" s="135" t="s">
        <v>402</v>
      </c>
      <c r="G38" s="135" t="s">
        <v>10</v>
      </c>
      <c r="H38" s="135">
        <v>23.35</v>
      </c>
      <c r="I38" s="135">
        <v>5.548</v>
      </c>
      <c r="J38" s="135">
        <v>8.7210000000000001</v>
      </c>
      <c r="K38" s="135">
        <v>0</v>
      </c>
      <c r="L38" s="135">
        <v>0</v>
      </c>
      <c r="M38" s="135">
        <v>0</v>
      </c>
      <c r="N38" s="135">
        <v>0</v>
      </c>
      <c r="O38" s="135">
        <v>0</v>
      </c>
      <c r="P38" s="135">
        <v>4.4240000000000004</v>
      </c>
      <c r="Q38" s="135">
        <v>12.372</v>
      </c>
      <c r="R38" s="135">
        <v>0.06</v>
      </c>
      <c r="S38" s="135">
        <v>3.173</v>
      </c>
      <c r="T38" s="135">
        <v>29.667999999999999</v>
      </c>
      <c r="U38" s="135">
        <v>0.187</v>
      </c>
      <c r="V38" s="135">
        <v>6.9000000000000006E-2</v>
      </c>
      <c r="W38" s="135">
        <v>0</v>
      </c>
      <c r="X38" s="135">
        <v>0</v>
      </c>
      <c r="Y38" s="135" t="s">
        <v>1995</v>
      </c>
      <c r="Z38" s="135">
        <v>7.1</v>
      </c>
      <c r="AA38" s="135">
        <v>3900</v>
      </c>
      <c r="AB38" s="135">
        <v>552</v>
      </c>
      <c r="AC38" s="135">
        <v>1.81</v>
      </c>
      <c r="AD38" s="135">
        <v>8.6999999999999993</v>
      </c>
      <c r="AE38" s="135">
        <v>6800</v>
      </c>
      <c r="AF38" s="135">
        <v>779.7</v>
      </c>
      <c r="AG38" s="135">
        <v>1.28</v>
      </c>
      <c r="AH38" s="135">
        <v>9</v>
      </c>
      <c r="AI38" s="135">
        <v>3600</v>
      </c>
      <c r="AJ38" s="135">
        <v>398.1</v>
      </c>
      <c r="AK38" s="135">
        <v>2.5099999999999998</v>
      </c>
      <c r="AL38" s="135">
        <v>7.1</v>
      </c>
      <c r="AM38" s="135">
        <v>5300</v>
      </c>
      <c r="AN38" s="135">
        <v>742.9</v>
      </c>
      <c r="AO38" s="135">
        <v>1.35</v>
      </c>
      <c r="AP38" s="135"/>
      <c r="AQ38" s="135"/>
      <c r="AR38" s="135"/>
      <c r="AS38" s="135"/>
      <c r="AT38" s="135"/>
      <c r="AU38" s="135"/>
      <c r="AV38" s="135"/>
      <c r="AW38" s="135"/>
      <c r="AX38" s="135">
        <v>7.1</v>
      </c>
      <c r="AY38" s="135">
        <v>15</v>
      </c>
      <c r="AZ38" s="135">
        <v>2.1</v>
      </c>
      <c r="BA38" s="135">
        <v>0.48</v>
      </c>
      <c r="BB38" s="135"/>
      <c r="BC38" s="135"/>
      <c r="BD38" s="135"/>
      <c r="BE38" s="135"/>
      <c r="BF38" s="135">
        <v>9</v>
      </c>
      <c r="BG38" s="135">
        <v>7000</v>
      </c>
      <c r="BH38" s="135">
        <v>774.1</v>
      </c>
      <c r="BI38" s="135">
        <v>1.29</v>
      </c>
      <c r="BJ38" s="135">
        <v>44</v>
      </c>
      <c r="BK38" s="135">
        <v>-4.5</v>
      </c>
      <c r="BL38" s="135">
        <v>24.25</v>
      </c>
    </row>
    <row r="39" spans="1:64" x14ac:dyDescent="0.3">
      <c r="A39" s="135">
        <v>2016</v>
      </c>
      <c r="B39" s="135">
        <v>4</v>
      </c>
      <c r="C39" s="135" t="s">
        <v>2041</v>
      </c>
      <c r="D39" s="135" t="s">
        <v>516</v>
      </c>
      <c r="E39" s="135" t="s">
        <v>394</v>
      </c>
      <c r="F39" s="135" t="s">
        <v>57</v>
      </c>
      <c r="G39" s="135" t="s">
        <v>1999</v>
      </c>
      <c r="H39" s="135">
        <v>12.92</v>
      </c>
      <c r="I39" s="135">
        <v>5.4530000000000003</v>
      </c>
      <c r="J39" s="135">
        <v>7.1740000000000004</v>
      </c>
      <c r="K39" s="135">
        <v>0</v>
      </c>
      <c r="L39" s="135">
        <v>0</v>
      </c>
      <c r="M39" s="135">
        <v>0</v>
      </c>
      <c r="N39" s="135">
        <v>0</v>
      </c>
      <c r="O39" s="135">
        <v>0</v>
      </c>
      <c r="P39" s="135">
        <v>8.3580000000000005</v>
      </c>
      <c r="Q39" s="135">
        <v>31.125</v>
      </c>
      <c r="R39" s="135">
        <v>0.157</v>
      </c>
      <c r="S39" s="135">
        <v>1.7210000000000001</v>
      </c>
      <c r="T39" s="135">
        <v>13.407</v>
      </c>
      <c r="U39" s="135">
        <v>4.3999999999999997E-2</v>
      </c>
      <c r="V39" s="135">
        <v>0.10299999999999999</v>
      </c>
      <c r="W39" s="135">
        <v>0</v>
      </c>
      <c r="X39" s="135">
        <v>0</v>
      </c>
      <c r="Y39" s="135" t="s">
        <v>1995</v>
      </c>
      <c r="Z39" s="135">
        <v>6.2</v>
      </c>
      <c r="AA39" s="135">
        <v>4350</v>
      </c>
      <c r="AB39" s="135">
        <v>700.4</v>
      </c>
      <c r="AC39" s="135">
        <v>1.43</v>
      </c>
      <c r="AD39" s="135">
        <v>7.2</v>
      </c>
      <c r="AE39" s="135">
        <v>6000</v>
      </c>
      <c r="AF39" s="135">
        <v>836.3</v>
      </c>
      <c r="AG39" s="135">
        <v>1.2</v>
      </c>
      <c r="AH39" s="135">
        <v>7.5</v>
      </c>
      <c r="AI39" s="135">
        <v>3600</v>
      </c>
      <c r="AJ39" s="135">
        <v>477.2</v>
      </c>
      <c r="AK39" s="135">
        <v>2.1</v>
      </c>
      <c r="AL39" s="135">
        <v>6.3</v>
      </c>
      <c r="AM39" s="135">
        <v>5400</v>
      </c>
      <c r="AN39" s="135">
        <v>855.3</v>
      </c>
      <c r="AO39" s="135">
        <v>1.17</v>
      </c>
      <c r="AP39" s="135"/>
      <c r="AQ39" s="135"/>
      <c r="AR39" s="135"/>
      <c r="AS39" s="135"/>
      <c r="AT39" s="135"/>
      <c r="AU39" s="135"/>
      <c r="AV39" s="135"/>
      <c r="AW39" s="135"/>
      <c r="AX39" s="135">
        <v>6.3</v>
      </c>
      <c r="AY39" s="135">
        <v>12</v>
      </c>
      <c r="AZ39" s="135">
        <v>1.9</v>
      </c>
      <c r="BA39" s="135">
        <v>0.53</v>
      </c>
      <c r="BB39" s="135"/>
      <c r="BC39" s="135"/>
      <c r="BD39" s="135"/>
      <c r="BE39" s="135"/>
      <c r="BF39" s="135">
        <v>7.5</v>
      </c>
      <c r="BG39" s="135">
        <v>7100</v>
      </c>
      <c r="BH39" s="135">
        <v>941.1</v>
      </c>
      <c r="BI39" s="135">
        <v>1.06</v>
      </c>
      <c r="BJ39" s="135">
        <v>44.5</v>
      </c>
      <c r="BK39" s="135">
        <v>7</v>
      </c>
      <c r="BL39" s="135">
        <v>18.75</v>
      </c>
    </row>
    <row r="40" spans="1:64" x14ac:dyDescent="0.3">
      <c r="A40" s="135">
        <v>2016</v>
      </c>
      <c r="B40" s="135">
        <v>4</v>
      </c>
      <c r="C40" s="135" t="s">
        <v>2042</v>
      </c>
      <c r="D40" s="135" t="s">
        <v>141</v>
      </c>
      <c r="E40" s="135" t="s">
        <v>394</v>
      </c>
      <c r="F40" s="135" t="s">
        <v>18</v>
      </c>
      <c r="G40" s="135" t="s">
        <v>14</v>
      </c>
      <c r="H40" s="135">
        <v>18.82</v>
      </c>
      <c r="I40" s="135">
        <v>5.2850000000000001</v>
      </c>
      <c r="J40" s="135">
        <v>7.5940000000000003</v>
      </c>
      <c r="K40" s="135">
        <v>0</v>
      </c>
      <c r="L40" s="135">
        <v>0</v>
      </c>
      <c r="M40" s="135">
        <v>0</v>
      </c>
      <c r="N40" s="135">
        <v>0</v>
      </c>
      <c r="O40" s="135">
        <v>0</v>
      </c>
      <c r="P40" s="135">
        <v>2.976</v>
      </c>
      <c r="Q40" s="135">
        <v>17.838999999999999</v>
      </c>
      <c r="R40" s="135">
        <v>0.187</v>
      </c>
      <c r="S40" s="135">
        <v>2.3090000000000002</v>
      </c>
      <c r="T40" s="135">
        <v>18.792999999999999</v>
      </c>
      <c r="U40" s="135">
        <v>9.7000000000000003E-2</v>
      </c>
      <c r="V40" s="135">
        <v>4.1000000000000002E-2</v>
      </c>
      <c r="W40" s="135">
        <v>0</v>
      </c>
      <c r="X40" s="135">
        <v>0</v>
      </c>
      <c r="Y40" s="135" t="s">
        <v>1995</v>
      </c>
      <c r="Z40" s="135">
        <v>6.4</v>
      </c>
      <c r="AA40" s="135">
        <v>3900</v>
      </c>
      <c r="AB40" s="135">
        <v>609.5</v>
      </c>
      <c r="AC40" s="135">
        <v>1.64</v>
      </c>
      <c r="AD40" s="135">
        <v>7.6</v>
      </c>
      <c r="AE40" s="135">
        <v>6000</v>
      </c>
      <c r="AF40" s="135">
        <v>790.1</v>
      </c>
      <c r="AG40" s="135">
        <v>1.27</v>
      </c>
      <c r="AH40" s="135">
        <v>7.9</v>
      </c>
      <c r="AI40" s="135">
        <v>3400</v>
      </c>
      <c r="AJ40" s="135">
        <v>432.8</v>
      </c>
      <c r="AK40" s="135">
        <v>2.31</v>
      </c>
      <c r="AL40" s="135">
        <v>6.4</v>
      </c>
      <c r="AM40" s="135">
        <v>5200</v>
      </c>
      <c r="AN40" s="135">
        <v>807.5</v>
      </c>
      <c r="AO40" s="135">
        <v>1.24</v>
      </c>
      <c r="AP40" s="135"/>
      <c r="AQ40" s="135"/>
      <c r="AR40" s="135"/>
      <c r="AS40" s="135"/>
      <c r="AT40" s="135"/>
      <c r="AU40" s="135"/>
      <c r="AV40" s="135"/>
      <c r="AW40" s="135"/>
      <c r="AX40" s="135">
        <v>6.4</v>
      </c>
      <c r="AY40" s="135">
        <v>11</v>
      </c>
      <c r="AZ40" s="135">
        <v>1.7</v>
      </c>
      <c r="BA40" s="135">
        <v>0.59</v>
      </c>
      <c r="BB40" s="135"/>
      <c r="BC40" s="135"/>
      <c r="BD40" s="135"/>
      <c r="BE40" s="135"/>
      <c r="BF40" s="135">
        <v>7.9</v>
      </c>
      <c r="BG40" s="135">
        <v>6600</v>
      </c>
      <c r="BH40" s="135">
        <v>840.2</v>
      </c>
      <c r="BI40" s="135">
        <v>1.19</v>
      </c>
      <c r="BJ40" s="135">
        <v>45.5</v>
      </c>
      <c r="BK40" s="135">
        <v>-8</v>
      </c>
      <c r="BL40" s="135">
        <v>26.75</v>
      </c>
    </row>
    <row r="41" spans="1:64" x14ac:dyDescent="0.3">
      <c r="A41" s="135">
        <v>2016</v>
      </c>
      <c r="B41" s="135">
        <v>4</v>
      </c>
      <c r="C41" s="135" t="s">
        <v>2006</v>
      </c>
      <c r="D41" s="135" t="s">
        <v>88</v>
      </c>
      <c r="E41" s="135" t="s">
        <v>394</v>
      </c>
      <c r="F41" s="135" t="s">
        <v>20</v>
      </c>
      <c r="G41" s="135" t="s">
        <v>397</v>
      </c>
      <c r="H41" s="135">
        <v>19.64</v>
      </c>
      <c r="I41" s="135">
        <v>4.9160000000000004</v>
      </c>
      <c r="J41" s="135">
        <v>5.7850000000000001</v>
      </c>
      <c r="K41" s="135">
        <v>0</v>
      </c>
      <c r="L41" s="135">
        <v>0</v>
      </c>
      <c r="M41" s="135">
        <v>0</v>
      </c>
      <c r="N41" s="135">
        <v>0</v>
      </c>
      <c r="O41" s="135">
        <v>0</v>
      </c>
      <c r="P41" s="135">
        <v>7.2350000000000003</v>
      </c>
      <c r="Q41" s="135">
        <v>29.445</v>
      </c>
      <c r="R41" s="135">
        <v>0.16200000000000001</v>
      </c>
      <c r="S41" s="135">
        <v>0.86899999999999999</v>
      </c>
      <c r="T41" s="135">
        <v>9.0969999999999995</v>
      </c>
      <c r="U41" s="135">
        <v>3.6999999999999998E-2</v>
      </c>
      <c r="V41" s="135">
        <v>6.6000000000000003E-2</v>
      </c>
      <c r="W41" s="135">
        <v>0</v>
      </c>
      <c r="X41" s="135">
        <v>0</v>
      </c>
      <c r="Y41" s="135" t="s">
        <v>1995</v>
      </c>
      <c r="Z41" s="135">
        <v>5.3</v>
      </c>
      <c r="AA41" s="135">
        <v>4350</v>
      </c>
      <c r="AB41" s="135">
        <v>823.1</v>
      </c>
      <c r="AC41" s="135">
        <v>1.21</v>
      </c>
      <c r="AD41" s="135">
        <v>5.8</v>
      </c>
      <c r="AE41" s="135">
        <v>9400</v>
      </c>
      <c r="AF41" s="135">
        <v>1624.8</v>
      </c>
      <c r="AG41" s="135">
        <v>0.62</v>
      </c>
      <c r="AH41" s="135">
        <v>6.1</v>
      </c>
      <c r="AI41" s="135">
        <v>6200</v>
      </c>
      <c r="AJ41" s="135">
        <v>1019.3</v>
      </c>
      <c r="AK41" s="135">
        <v>0.98</v>
      </c>
      <c r="AL41" s="135">
        <v>5.4</v>
      </c>
      <c r="AM41" s="135">
        <v>5900</v>
      </c>
      <c r="AN41" s="135">
        <v>1102.7</v>
      </c>
      <c r="AO41" s="135">
        <v>0.91</v>
      </c>
      <c r="AP41" s="135"/>
      <c r="AQ41" s="135"/>
      <c r="AR41" s="135"/>
      <c r="AS41" s="135"/>
      <c r="AT41" s="135"/>
      <c r="AU41" s="135"/>
      <c r="AV41" s="135"/>
      <c r="AW41" s="135"/>
      <c r="AX41" s="135">
        <v>5.4</v>
      </c>
      <c r="AY41" s="135">
        <v>22</v>
      </c>
      <c r="AZ41" s="135">
        <v>4.0999999999999996</v>
      </c>
      <c r="BA41" s="135">
        <v>0.24</v>
      </c>
      <c r="BB41" s="135"/>
      <c r="BC41" s="135"/>
      <c r="BD41" s="135"/>
      <c r="BE41" s="135"/>
      <c r="BF41" s="135">
        <v>6.1</v>
      </c>
      <c r="BG41" s="135">
        <v>11700</v>
      </c>
      <c r="BH41" s="135">
        <v>1923.6</v>
      </c>
      <c r="BI41" s="135">
        <v>0.52</v>
      </c>
      <c r="BJ41" s="135">
        <v>47.5</v>
      </c>
      <c r="BK41" s="135">
        <v>-5.5</v>
      </c>
      <c r="BL41" s="135">
        <v>26.5</v>
      </c>
    </row>
    <row r="42" spans="1:64" x14ac:dyDescent="0.3">
      <c r="A42" s="135">
        <v>2016</v>
      </c>
      <c r="B42" s="135">
        <v>4</v>
      </c>
      <c r="C42" s="135" t="s">
        <v>2029</v>
      </c>
      <c r="D42" s="135" t="s">
        <v>139</v>
      </c>
      <c r="E42" s="135" t="s">
        <v>394</v>
      </c>
      <c r="F42" s="135" t="s">
        <v>57</v>
      </c>
      <c r="G42" s="135" t="s">
        <v>1999</v>
      </c>
      <c r="H42" s="135">
        <v>12.92</v>
      </c>
      <c r="I42" s="135">
        <v>4.7889999999999997</v>
      </c>
      <c r="J42" s="135">
        <v>6.2949999999999999</v>
      </c>
      <c r="K42" s="135">
        <v>0</v>
      </c>
      <c r="L42" s="135">
        <v>0</v>
      </c>
      <c r="M42" s="135">
        <v>0</v>
      </c>
      <c r="N42" s="135">
        <v>0</v>
      </c>
      <c r="O42" s="135">
        <v>0</v>
      </c>
      <c r="P42" s="135">
        <v>6.3250000000000002</v>
      </c>
      <c r="Q42" s="135">
        <v>23.58</v>
      </c>
      <c r="R42" s="135">
        <v>0.20899999999999999</v>
      </c>
      <c r="S42" s="135">
        <v>1.506</v>
      </c>
      <c r="T42" s="135">
        <v>10.725</v>
      </c>
      <c r="U42" s="135">
        <v>4.3999999999999997E-2</v>
      </c>
      <c r="V42" s="135">
        <v>0.08</v>
      </c>
      <c r="W42" s="135">
        <v>0</v>
      </c>
      <c r="X42" s="135">
        <v>0</v>
      </c>
      <c r="Y42" s="135" t="s">
        <v>1995</v>
      </c>
      <c r="Z42" s="135">
        <v>5.5</v>
      </c>
      <c r="AA42" s="135">
        <v>4250</v>
      </c>
      <c r="AB42" s="135">
        <v>778.2</v>
      </c>
      <c r="AC42" s="135">
        <v>1.29</v>
      </c>
      <c r="AD42" s="135">
        <v>6.3</v>
      </c>
      <c r="AE42" s="135">
        <v>6950</v>
      </c>
      <c r="AF42" s="135">
        <v>1104.0999999999999</v>
      </c>
      <c r="AG42" s="135">
        <v>0.91</v>
      </c>
      <c r="AH42" s="135">
        <v>6.6</v>
      </c>
      <c r="AI42" s="135">
        <v>4000</v>
      </c>
      <c r="AJ42" s="135">
        <v>607.9</v>
      </c>
      <c r="AK42" s="135">
        <v>1.65</v>
      </c>
      <c r="AL42" s="135">
        <v>5.5</v>
      </c>
      <c r="AM42" s="135">
        <v>5500</v>
      </c>
      <c r="AN42" s="135">
        <v>992.5</v>
      </c>
      <c r="AO42" s="135">
        <v>1.01</v>
      </c>
      <c r="AP42" s="135"/>
      <c r="AQ42" s="135"/>
      <c r="AR42" s="135"/>
      <c r="AS42" s="135"/>
      <c r="AT42" s="135"/>
      <c r="AU42" s="135"/>
      <c r="AV42" s="135"/>
      <c r="AW42" s="135"/>
      <c r="AX42" s="135">
        <v>5.5</v>
      </c>
      <c r="AY42" s="135">
        <v>14</v>
      </c>
      <c r="AZ42" s="135">
        <v>2.5</v>
      </c>
      <c r="BA42" s="135">
        <v>0.4</v>
      </c>
      <c r="BB42" s="135"/>
      <c r="BC42" s="135"/>
      <c r="BD42" s="135"/>
      <c r="BE42" s="135"/>
      <c r="BF42" s="135">
        <v>6.6</v>
      </c>
      <c r="BG42" s="135">
        <v>7800</v>
      </c>
      <c r="BH42" s="135">
        <v>1185.4000000000001</v>
      </c>
      <c r="BI42" s="135">
        <v>0.84</v>
      </c>
      <c r="BJ42" s="135">
        <v>44.5</v>
      </c>
      <c r="BK42" s="135">
        <v>7</v>
      </c>
      <c r="BL42" s="135">
        <v>18.75</v>
      </c>
    </row>
    <row r="43" spans="1:64" x14ac:dyDescent="0.3">
      <c r="A43" s="135">
        <v>2016</v>
      </c>
      <c r="B43" s="135">
        <v>4</v>
      </c>
      <c r="C43" s="135" t="s">
        <v>2071</v>
      </c>
      <c r="D43" s="135" t="s">
        <v>153</v>
      </c>
      <c r="E43" s="135" t="s">
        <v>394</v>
      </c>
      <c r="F43" s="135" t="s">
        <v>37</v>
      </c>
      <c r="G43" s="135" t="s">
        <v>2304</v>
      </c>
      <c r="H43" s="135">
        <v>17.190000000000001</v>
      </c>
      <c r="I43" s="135">
        <v>4.6159999999999997</v>
      </c>
      <c r="J43" s="135">
        <v>5.1920000000000002</v>
      </c>
      <c r="K43" s="135">
        <v>0</v>
      </c>
      <c r="L43" s="135">
        <v>0</v>
      </c>
      <c r="M43" s="135">
        <v>0</v>
      </c>
      <c r="N43" s="135">
        <v>0</v>
      </c>
      <c r="O43" s="135">
        <v>0</v>
      </c>
      <c r="P43" s="135">
        <v>8.1419999999999995</v>
      </c>
      <c r="Q43" s="135">
        <v>33.293999999999997</v>
      </c>
      <c r="R43" s="135">
        <v>0.16500000000000001</v>
      </c>
      <c r="S43" s="135">
        <v>0.57599999999999996</v>
      </c>
      <c r="T43" s="135">
        <v>3.903</v>
      </c>
      <c r="U43" s="135">
        <v>1.6E-2</v>
      </c>
      <c r="V43" s="135">
        <v>9.5000000000000001E-2</v>
      </c>
      <c r="W43" s="135">
        <v>0</v>
      </c>
      <c r="X43" s="135">
        <v>0</v>
      </c>
      <c r="Y43" s="135" t="s">
        <v>1995</v>
      </c>
      <c r="Z43" s="135">
        <v>4.8</v>
      </c>
      <c r="AA43" s="135">
        <v>3950</v>
      </c>
      <c r="AB43" s="135">
        <v>821.4</v>
      </c>
      <c r="AC43" s="135">
        <v>1.22</v>
      </c>
      <c r="AD43" s="135">
        <v>5.2</v>
      </c>
      <c r="AE43" s="135">
        <v>8150</v>
      </c>
      <c r="AF43" s="135">
        <v>1569.8</v>
      </c>
      <c r="AG43" s="135">
        <v>0.64</v>
      </c>
      <c r="AH43" s="135">
        <v>5.5</v>
      </c>
      <c r="AI43" s="135">
        <v>3000</v>
      </c>
      <c r="AJ43" s="135">
        <v>544.5</v>
      </c>
      <c r="AK43" s="135">
        <v>1.84</v>
      </c>
      <c r="AL43" s="135">
        <v>4.9000000000000004</v>
      </c>
      <c r="AM43" s="135">
        <v>4500</v>
      </c>
      <c r="AN43" s="135">
        <v>917.7</v>
      </c>
      <c r="AO43" s="135">
        <v>1.0900000000000001</v>
      </c>
      <c r="AP43" s="135"/>
      <c r="AQ43" s="135"/>
      <c r="AR43" s="135"/>
      <c r="AS43" s="135"/>
      <c r="AT43" s="135"/>
      <c r="AU43" s="135"/>
      <c r="AV43" s="135"/>
      <c r="AW43" s="135"/>
      <c r="AX43" s="135">
        <v>4.9000000000000004</v>
      </c>
      <c r="AY43" s="135">
        <v>10</v>
      </c>
      <c r="AZ43" s="135">
        <v>2</v>
      </c>
      <c r="BA43" s="135">
        <v>0.49</v>
      </c>
      <c r="BB43" s="135"/>
      <c r="BC43" s="135"/>
      <c r="BD43" s="135"/>
      <c r="BE43" s="135"/>
      <c r="BF43" s="135">
        <v>5.5</v>
      </c>
      <c r="BG43" s="135">
        <v>6000</v>
      </c>
      <c r="BH43" s="135">
        <v>1089</v>
      </c>
      <c r="BI43" s="135">
        <v>0.92</v>
      </c>
      <c r="BJ43" s="135">
        <v>43.5</v>
      </c>
      <c r="BK43" s="135">
        <v>4</v>
      </c>
      <c r="BL43" s="135">
        <v>19.75</v>
      </c>
    </row>
    <row r="44" spans="1:64" x14ac:dyDescent="0.3">
      <c r="A44" s="135">
        <v>2016</v>
      </c>
      <c r="B44" s="135">
        <v>4</v>
      </c>
      <c r="C44" s="135" t="s">
        <v>2044</v>
      </c>
      <c r="D44" s="135" t="s">
        <v>97</v>
      </c>
      <c r="E44" s="135" t="s">
        <v>394</v>
      </c>
      <c r="F44" s="135" t="s">
        <v>397</v>
      </c>
      <c r="G44" s="135" t="s">
        <v>2307</v>
      </c>
      <c r="H44" s="135">
        <v>25.59</v>
      </c>
      <c r="I44" s="135">
        <v>4.5720000000000001</v>
      </c>
      <c r="J44" s="135">
        <v>7.37</v>
      </c>
      <c r="K44" s="135">
        <v>0</v>
      </c>
      <c r="L44" s="135">
        <v>0</v>
      </c>
      <c r="M44" s="135">
        <v>0</v>
      </c>
      <c r="N44" s="135">
        <v>0</v>
      </c>
      <c r="O44" s="135">
        <v>0</v>
      </c>
      <c r="P44" s="135">
        <v>6.1130000000000004</v>
      </c>
      <c r="Q44" s="135">
        <v>20.085999999999999</v>
      </c>
      <c r="R44" s="135">
        <v>0.11</v>
      </c>
      <c r="S44" s="135">
        <v>2.798</v>
      </c>
      <c r="T44" s="135">
        <v>15.869</v>
      </c>
      <c r="U44" s="135">
        <v>7.6999999999999999E-2</v>
      </c>
      <c r="V44" s="135">
        <v>7.2999999999999995E-2</v>
      </c>
      <c r="W44" s="135">
        <v>0</v>
      </c>
      <c r="X44" s="135">
        <v>0</v>
      </c>
      <c r="Y44" s="135" t="s">
        <v>1995</v>
      </c>
      <c r="Z44" s="135">
        <v>5.9</v>
      </c>
      <c r="AA44" s="135">
        <v>3900</v>
      </c>
      <c r="AB44" s="135">
        <v>661.3</v>
      </c>
      <c r="AC44" s="135">
        <v>1.51</v>
      </c>
      <c r="AD44" s="135">
        <v>7.4</v>
      </c>
      <c r="AE44" s="135">
        <v>6000</v>
      </c>
      <c r="AF44" s="135">
        <v>814.2</v>
      </c>
      <c r="AG44" s="135">
        <v>1.23</v>
      </c>
      <c r="AH44" s="135">
        <v>7.7</v>
      </c>
      <c r="AI44" s="135">
        <v>3400</v>
      </c>
      <c r="AJ44" s="135">
        <v>444</v>
      </c>
      <c r="AK44" s="135">
        <v>2.25</v>
      </c>
      <c r="AL44" s="135">
        <v>6</v>
      </c>
      <c r="AM44" s="135">
        <v>5000</v>
      </c>
      <c r="AN44" s="135">
        <v>837.5</v>
      </c>
      <c r="AO44" s="135">
        <v>1.19</v>
      </c>
      <c r="AP44" s="135"/>
      <c r="AQ44" s="135"/>
      <c r="AR44" s="135"/>
      <c r="AS44" s="135"/>
      <c r="AT44" s="135"/>
      <c r="AU44" s="135"/>
      <c r="AV44" s="135"/>
      <c r="AW44" s="135"/>
      <c r="AX44" s="135">
        <v>6</v>
      </c>
      <c r="AY44" s="135">
        <v>12</v>
      </c>
      <c r="AZ44" s="135">
        <v>2</v>
      </c>
      <c r="BA44" s="135">
        <v>0.5</v>
      </c>
      <c r="BB44" s="135"/>
      <c r="BC44" s="135"/>
      <c r="BD44" s="135"/>
      <c r="BE44" s="135"/>
      <c r="BF44" s="135">
        <v>7.7</v>
      </c>
      <c r="BG44" s="135">
        <v>6600</v>
      </c>
      <c r="BH44" s="135">
        <v>861.8</v>
      </c>
      <c r="BI44" s="135">
        <v>1.1599999999999999</v>
      </c>
      <c r="BJ44" s="135">
        <v>47.5</v>
      </c>
      <c r="BK44" s="135">
        <v>5.5</v>
      </c>
      <c r="BL44" s="135">
        <v>21</v>
      </c>
    </row>
    <row r="45" spans="1:64" x14ac:dyDescent="0.3">
      <c r="A45" s="135">
        <v>2016</v>
      </c>
      <c r="B45" s="135">
        <v>4</v>
      </c>
      <c r="C45" s="135" t="s">
        <v>2046</v>
      </c>
      <c r="D45" s="135" t="s">
        <v>458</v>
      </c>
      <c r="E45" s="135" t="s">
        <v>394</v>
      </c>
      <c r="F45" s="135" t="s">
        <v>30</v>
      </c>
      <c r="G45" s="135" t="s">
        <v>2302</v>
      </c>
      <c r="H45" s="135">
        <v>18.940000000000001</v>
      </c>
      <c r="I45" s="135">
        <v>4.3159999999999998</v>
      </c>
      <c r="J45" s="135">
        <v>5.3810000000000002</v>
      </c>
      <c r="K45" s="135">
        <v>0</v>
      </c>
      <c r="L45" s="135">
        <v>0</v>
      </c>
      <c r="M45" s="135">
        <v>0</v>
      </c>
      <c r="N45" s="135">
        <v>0</v>
      </c>
      <c r="O45" s="135">
        <v>0</v>
      </c>
      <c r="P45" s="135">
        <v>6.1369999999999996</v>
      </c>
      <c r="Q45" s="135">
        <v>23.265000000000001</v>
      </c>
      <c r="R45" s="135">
        <v>0.13400000000000001</v>
      </c>
      <c r="S45" s="135">
        <v>1.0649999999999999</v>
      </c>
      <c r="T45" s="135">
        <v>10.372999999999999</v>
      </c>
      <c r="U45" s="135">
        <v>4.9000000000000002E-2</v>
      </c>
      <c r="V45" s="135">
        <v>7.2999999999999995E-2</v>
      </c>
      <c r="W45" s="135">
        <v>0</v>
      </c>
      <c r="X45" s="135">
        <v>0</v>
      </c>
      <c r="Y45" s="135" t="s">
        <v>1995</v>
      </c>
      <c r="Z45" s="135">
        <v>4.8</v>
      </c>
      <c r="AA45" s="135">
        <v>4000</v>
      </c>
      <c r="AB45" s="135">
        <v>837.6</v>
      </c>
      <c r="AC45" s="135">
        <v>1.19</v>
      </c>
      <c r="AD45" s="135">
        <v>5.4</v>
      </c>
      <c r="AE45" s="135">
        <v>6000</v>
      </c>
      <c r="AF45" s="135">
        <v>1115.0999999999999</v>
      </c>
      <c r="AG45" s="135">
        <v>0.9</v>
      </c>
      <c r="AH45" s="135">
        <v>5.7</v>
      </c>
      <c r="AI45" s="135">
        <v>3500</v>
      </c>
      <c r="AJ45" s="135">
        <v>618.9</v>
      </c>
      <c r="AK45" s="135">
        <v>1.62</v>
      </c>
      <c r="AL45" s="135">
        <v>4.8</v>
      </c>
      <c r="AM45" s="135">
        <v>5000</v>
      </c>
      <c r="AN45" s="135">
        <v>1031.3</v>
      </c>
      <c r="AO45" s="135">
        <v>0.97</v>
      </c>
      <c r="AP45" s="135"/>
      <c r="AQ45" s="135"/>
      <c r="AR45" s="135"/>
      <c r="AS45" s="135"/>
      <c r="AT45" s="135"/>
      <c r="AU45" s="135"/>
      <c r="AV45" s="135"/>
      <c r="AW45" s="135"/>
      <c r="AX45" s="135">
        <v>4.8</v>
      </c>
      <c r="AY45" s="135">
        <v>14</v>
      </c>
      <c r="AZ45" s="135">
        <v>2.9</v>
      </c>
      <c r="BA45" s="135">
        <v>0.35</v>
      </c>
      <c r="BB45" s="135"/>
      <c r="BC45" s="135"/>
      <c r="BD45" s="135"/>
      <c r="BE45" s="135"/>
      <c r="BF45" s="135">
        <v>5.7</v>
      </c>
      <c r="BG45" s="135">
        <v>7000</v>
      </c>
      <c r="BH45" s="135">
        <v>1237.7</v>
      </c>
      <c r="BI45" s="135">
        <v>0.81</v>
      </c>
      <c r="BJ45" s="135">
        <v>40.5</v>
      </c>
      <c r="BK45" s="135">
        <v>6.5</v>
      </c>
      <c r="BL45" s="135">
        <v>17</v>
      </c>
    </row>
    <row r="46" spans="1:64" x14ac:dyDescent="0.3">
      <c r="A46" s="135">
        <v>2016</v>
      </c>
      <c r="B46" s="135">
        <v>4</v>
      </c>
      <c r="C46" s="135" t="s">
        <v>2025</v>
      </c>
      <c r="D46" s="135" t="s">
        <v>92</v>
      </c>
      <c r="E46" s="135" t="s">
        <v>394</v>
      </c>
      <c r="F46" s="135" t="s">
        <v>12</v>
      </c>
      <c r="G46" s="135" t="s">
        <v>16</v>
      </c>
      <c r="H46" s="135">
        <v>26.09</v>
      </c>
      <c r="I46" s="135">
        <v>4.218</v>
      </c>
      <c r="J46" s="135">
        <v>7.7569999999999997</v>
      </c>
      <c r="K46" s="135">
        <v>0</v>
      </c>
      <c r="L46" s="135">
        <v>0</v>
      </c>
      <c r="M46" s="135">
        <v>0</v>
      </c>
      <c r="N46" s="135">
        <v>0</v>
      </c>
      <c r="O46" s="135">
        <v>0</v>
      </c>
      <c r="P46" s="135">
        <v>4.51</v>
      </c>
      <c r="Q46" s="135">
        <v>15.863</v>
      </c>
      <c r="R46" s="135">
        <v>9.5000000000000001E-2</v>
      </c>
      <c r="S46" s="135">
        <v>3.5390000000000001</v>
      </c>
      <c r="T46" s="135">
        <v>17.452000000000002</v>
      </c>
      <c r="U46" s="135">
        <v>7.3999999999999996E-2</v>
      </c>
      <c r="V46" s="135">
        <v>6.4000000000000001E-2</v>
      </c>
      <c r="W46" s="135">
        <v>0</v>
      </c>
      <c r="X46" s="135">
        <v>0</v>
      </c>
      <c r="Y46" s="135" t="s">
        <v>1995</v>
      </c>
      <c r="Z46" s="135">
        <v>5.9</v>
      </c>
      <c r="AA46" s="135">
        <v>4150</v>
      </c>
      <c r="AB46" s="135">
        <v>700.7</v>
      </c>
      <c r="AC46" s="135">
        <v>1.43</v>
      </c>
      <c r="AD46" s="135">
        <v>7.8</v>
      </c>
      <c r="AE46" s="135">
        <v>9200</v>
      </c>
      <c r="AF46" s="135">
        <v>1186.0999999999999</v>
      </c>
      <c r="AG46" s="135">
        <v>0.84</v>
      </c>
      <c r="AH46" s="135">
        <v>8</v>
      </c>
      <c r="AI46" s="135">
        <v>4600</v>
      </c>
      <c r="AJ46" s="135">
        <v>573.5</v>
      </c>
      <c r="AK46" s="135">
        <v>1.74</v>
      </c>
      <c r="AL46" s="135">
        <v>6</v>
      </c>
      <c r="AM46" s="135">
        <v>6700</v>
      </c>
      <c r="AN46" s="135">
        <v>1119.0999999999999</v>
      </c>
      <c r="AO46" s="135">
        <v>0.89</v>
      </c>
      <c r="AP46" s="135"/>
      <c r="AQ46" s="135"/>
      <c r="AR46" s="135"/>
      <c r="AS46" s="135"/>
      <c r="AT46" s="135"/>
      <c r="AU46" s="135"/>
      <c r="AV46" s="135"/>
      <c r="AW46" s="135"/>
      <c r="AX46" s="135">
        <v>6</v>
      </c>
      <c r="AY46" s="135">
        <v>18</v>
      </c>
      <c r="AZ46" s="135">
        <v>3</v>
      </c>
      <c r="BA46" s="135">
        <v>0.33</v>
      </c>
      <c r="BB46" s="135"/>
      <c r="BC46" s="135"/>
      <c r="BD46" s="135"/>
      <c r="BE46" s="135"/>
      <c r="BF46" s="135">
        <v>8</v>
      </c>
      <c r="BG46" s="135">
        <v>9100</v>
      </c>
      <c r="BH46" s="135">
        <v>1134.5999999999999</v>
      </c>
      <c r="BI46" s="135">
        <v>0.88</v>
      </c>
      <c r="BJ46" s="135">
        <v>49.5</v>
      </c>
      <c r="BK46" s="135">
        <v>2.5</v>
      </c>
      <c r="BL46" s="135">
        <v>23.5</v>
      </c>
    </row>
    <row r="47" spans="1:64" x14ac:dyDescent="0.3">
      <c r="A47" s="135">
        <v>2016</v>
      </c>
      <c r="B47" s="135">
        <v>4</v>
      </c>
      <c r="C47" s="135" t="s">
        <v>2043</v>
      </c>
      <c r="D47" s="135" t="s">
        <v>171</v>
      </c>
      <c r="E47" s="135" t="s">
        <v>394</v>
      </c>
      <c r="F47" s="135" t="s">
        <v>401</v>
      </c>
      <c r="G47" s="135" t="s">
        <v>70</v>
      </c>
      <c r="H47" s="135">
        <v>21.12</v>
      </c>
      <c r="I47" s="135">
        <v>4.0259999999999998</v>
      </c>
      <c r="J47" s="135">
        <v>5.9820000000000002</v>
      </c>
      <c r="K47" s="135">
        <v>0</v>
      </c>
      <c r="L47" s="135">
        <v>0</v>
      </c>
      <c r="M47" s="135">
        <v>0</v>
      </c>
      <c r="N47" s="135">
        <v>0</v>
      </c>
      <c r="O47" s="135">
        <v>0</v>
      </c>
      <c r="P47" s="135">
        <v>5.5430000000000001</v>
      </c>
      <c r="Q47" s="135">
        <v>19.552</v>
      </c>
      <c r="R47" s="135">
        <v>7.9000000000000001E-2</v>
      </c>
      <c r="S47" s="135">
        <v>1.956</v>
      </c>
      <c r="T47" s="135">
        <v>12.71</v>
      </c>
      <c r="U47" s="135">
        <v>7.8E-2</v>
      </c>
      <c r="V47" s="135">
        <v>7.0999999999999994E-2</v>
      </c>
      <c r="W47" s="135">
        <v>0</v>
      </c>
      <c r="X47" s="135">
        <v>0</v>
      </c>
      <c r="Y47" s="135" t="s">
        <v>1995</v>
      </c>
      <c r="Z47" s="135">
        <v>4.9000000000000004</v>
      </c>
      <c r="AA47" s="135">
        <v>3500</v>
      </c>
      <c r="AB47" s="135">
        <v>709.5</v>
      </c>
      <c r="AC47" s="135">
        <v>1.41</v>
      </c>
      <c r="AD47" s="135">
        <v>6</v>
      </c>
      <c r="AE47" s="135">
        <v>6000</v>
      </c>
      <c r="AF47" s="135">
        <v>1003</v>
      </c>
      <c r="AG47" s="135">
        <v>1</v>
      </c>
      <c r="AH47" s="135">
        <v>6.2</v>
      </c>
      <c r="AI47" s="135">
        <v>3000</v>
      </c>
      <c r="AJ47" s="135">
        <v>480.2</v>
      </c>
      <c r="AK47" s="135">
        <v>2.08</v>
      </c>
      <c r="AL47" s="135">
        <v>5</v>
      </c>
      <c r="AM47" s="135">
        <v>5500</v>
      </c>
      <c r="AN47" s="135">
        <v>1099.0999999999999</v>
      </c>
      <c r="AO47" s="135">
        <v>0.91</v>
      </c>
      <c r="AP47" s="135"/>
      <c r="AQ47" s="135"/>
      <c r="AR47" s="135"/>
      <c r="AS47" s="135"/>
      <c r="AT47" s="135"/>
      <c r="AU47" s="135"/>
      <c r="AV47" s="135"/>
      <c r="AW47" s="135"/>
      <c r="AX47" s="135">
        <v>5</v>
      </c>
      <c r="AY47" s="135">
        <v>10</v>
      </c>
      <c r="AZ47" s="135">
        <v>2</v>
      </c>
      <c r="BA47" s="135">
        <v>0.5</v>
      </c>
      <c r="BB47" s="135"/>
      <c r="BC47" s="135"/>
      <c r="BD47" s="135"/>
      <c r="BE47" s="135"/>
      <c r="BF47" s="135">
        <v>6.2</v>
      </c>
      <c r="BG47" s="135">
        <v>6000</v>
      </c>
      <c r="BH47" s="135">
        <v>960.5</v>
      </c>
      <c r="BI47" s="135">
        <v>1.04</v>
      </c>
      <c r="BJ47" s="135">
        <v>44</v>
      </c>
      <c r="BK47" s="135">
        <v>3</v>
      </c>
      <c r="BL47" s="135">
        <v>20.5</v>
      </c>
    </row>
    <row r="48" spans="1:64" x14ac:dyDescent="0.3">
      <c r="A48" s="135">
        <v>2016</v>
      </c>
      <c r="B48" s="135">
        <v>4</v>
      </c>
      <c r="C48" s="135" t="s">
        <v>2055</v>
      </c>
      <c r="D48" s="135" t="s">
        <v>461</v>
      </c>
      <c r="E48" s="135" t="s">
        <v>394</v>
      </c>
      <c r="F48" s="135" t="s">
        <v>4</v>
      </c>
      <c r="G48" s="135" t="s">
        <v>2297</v>
      </c>
      <c r="H48" s="135">
        <v>15.37</v>
      </c>
      <c r="I48" s="135">
        <v>3.911</v>
      </c>
      <c r="J48" s="135">
        <v>4.8209999999999997</v>
      </c>
      <c r="K48" s="135">
        <v>0</v>
      </c>
      <c r="L48" s="135">
        <v>0</v>
      </c>
      <c r="M48" s="135">
        <v>0</v>
      </c>
      <c r="N48" s="135">
        <v>0</v>
      </c>
      <c r="O48" s="135">
        <v>0</v>
      </c>
      <c r="P48" s="135">
        <v>6.4630000000000001</v>
      </c>
      <c r="Q48" s="135">
        <v>27.289000000000001</v>
      </c>
      <c r="R48" s="135">
        <v>9.7000000000000003E-2</v>
      </c>
      <c r="S48" s="135">
        <v>0.91</v>
      </c>
      <c r="T48" s="135">
        <v>6.5839999999999996</v>
      </c>
      <c r="U48" s="135">
        <v>1.4999999999999999E-2</v>
      </c>
      <c r="V48" s="135">
        <v>7.3999999999999996E-2</v>
      </c>
      <c r="W48" s="135">
        <v>0</v>
      </c>
      <c r="X48" s="135">
        <v>0</v>
      </c>
      <c r="Y48" s="135" t="s">
        <v>1995</v>
      </c>
      <c r="Z48" s="135">
        <v>4.3</v>
      </c>
      <c r="AA48" s="135">
        <v>3900</v>
      </c>
      <c r="AB48" s="135">
        <v>908.6</v>
      </c>
      <c r="AC48" s="135">
        <v>1.1000000000000001</v>
      </c>
      <c r="AD48" s="135">
        <v>4.8</v>
      </c>
      <c r="AE48" s="135">
        <v>6000</v>
      </c>
      <c r="AF48" s="135">
        <v>1244.5</v>
      </c>
      <c r="AG48" s="135">
        <v>0.8</v>
      </c>
      <c r="AH48" s="135">
        <v>5.0999999999999996</v>
      </c>
      <c r="AI48" s="135">
        <v>3300</v>
      </c>
      <c r="AJ48" s="135">
        <v>647.20000000000005</v>
      </c>
      <c r="AK48" s="135">
        <v>1.55</v>
      </c>
      <c r="AL48" s="135">
        <v>4.4000000000000004</v>
      </c>
      <c r="AM48" s="135">
        <v>4800</v>
      </c>
      <c r="AN48" s="135">
        <v>1099.3</v>
      </c>
      <c r="AO48" s="135">
        <v>0.91</v>
      </c>
      <c r="AP48" s="135"/>
      <c r="AQ48" s="135"/>
      <c r="AR48" s="135"/>
      <c r="AS48" s="135"/>
      <c r="AT48" s="135"/>
      <c r="AU48" s="135"/>
      <c r="AV48" s="135"/>
      <c r="AW48" s="135"/>
      <c r="AX48" s="135">
        <v>4.4000000000000004</v>
      </c>
      <c r="AY48" s="135">
        <v>10</v>
      </c>
      <c r="AZ48" s="135">
        <v>2.2999999999999998</v>
      </c>
      <c r="BA48" s="135">
        <v>0.44</v>
      </c>
      <c r="BB48" s="135"/>
      <c r="BC48" s="135"/>
      <c r="BD48" s="135"/>
      <c r="BE48" s="135"/>
      <c r="BF48" s="135">
        <v>5.0999999999999996</v>
      </c>
      <c r="BG48" s="135">
        <v>6400</v>
      </c>
      <c r="BH48" s="135">
        <v>1255.3</v>
      </c>
      <c r="BI48" s="135">
        <v>0.8</v>
      </c>
      <c r="BJ48" s="135">
        <v>46.5</v>
      </c>
      <c r="BK48" s="135">
        <v>3.5</v>
      </c>
      <c r="BL48" s="135">
        <v>21.5</v>
      </c>
    </row>
    <row r="49" spans="1:64" x14ac:dyDescent="0.3">
      <c r="A49" s="135">
        <v>2016</v>
      </c>
      <c r="B49" s="135">
        <v>4</v>
      </c>
      <c r="C49" s="135" t="s">
        <v>2555</v>
      </c>
      <c r="D49" s="135" t="s">
        <v>181</v>
      </c>
      <c r="E49" s="135" t="s">
        <v>394</v>
      </c>
      <c r="F49" s="135" t="s">
        <v>37</v>
      </c>
      <c r="G49" s="135" t="s">
        <v>2304</v>
      </c>
      <c r="H49" s="135">
        <v>17.190000000000001</v>
      </c>
      <c r="I49" s="135">
        <v>3.9079999999999999</v>
      </c>
      <c r="J49" s="135">
        <v>6.2110000000000003</v>
      </c>
      <c r="K49" s="135">
        <v>0</v>
      </c>
      <c r="L49" s="135">
        <v>0</v>
      </c>
      <c r="M49" s="135">
        <v>0</v>
      </c>
      <c r="N49" s="135">
        <v>0</v>
      </c>
      <c r="O49" s="135">
        <v>0</v>
      </c>
      <c r="P49" s="135">
        <v>4.83</v>
      </c>
      <c r="Q49" s="135">
        <v>16.646999999999998</v>
      </c>
      <c r="R49" s="135">
        <v>4.8000000000000001E-2</v>
      </c>
      <c r="S49" s="135">
        <v>2.3029999999999999</v>
      </c>
      <c r="T49" s="135">
        <v>18.215</v>
      </c>
      <c r="U49" s="135">
        <v>4.9000000000000002E-2</v>
      </c>
      <c r="V49" s="135">
        <v>0.08</v>
      </c>
      <c r="W49" s="135">
        <v>0</v>
      </c>
      <c r="X49" s="135">
        <v>0</v>
      </c>
      <c r="Y49" s="135" t="s">
        <v>1995</v>
      </c>
      <c r="Z49" s="135">
        <v>5</v>
      </c>
      <c r="AA49" s="135">
        <v>3000</v>
      </c>
      <c r="AB49" s="135">
        <v>602.4</v>
      </c>
      <c r="AC49" s="135">
        <v>1.66</v>
      </c>
      <c r="AD49" s="135">
        <v>6.2</v>
      </c>
      <c r="AE49" s="135">
        <v>6000</v>
      </c>
      <c r="AF49" s="135">
        <v>966</v>
      </c>
      <c r="AG49" s="135">
        <v>1.04</v>
      </c>
      <c r="AH49" s="135">
        <v>6.5</v>
      </c>
      <c r="AI49" s="135">
        <v>3000</v>
      </c>
      <c r="AJ49" s="135">
        <v>461.5</v>
      </c>
      <c r="AK49" s="135">
        <v>2.17</v>
      </c>
      <c r="AL49" s="135">
        <v>5.0999999999999996</v>
      </c>
      <c r="AM49" s="135">
        <v>4800</v>
      </c>
      <c r="AN49" s="135">
        <v>948.7</v>
      </c>
      <c r="AO49" s="135">
        <v>1.05</v>
      </c>
      <c r="AP49" s="135"/>
      <c r="AQ49" s="135"/>
      <c r="AR49" s="135"/>
      <c r="AS49" s="135"/>
      <c r="AT49" s="135"/>
      <c r="AU49" s="135"/>
      <c r="AV49" s="135"/>
      <c r="AW49" s="135"/>
      <c r="AX49" s="135">
        <v>5.0999999999999996</v>
      </c>
      <c r="AY49" s="135">
        <v>10</v>
      </c>
      <c r="AZ49" s="135">
        <v>2</v>
      </c>
      <c r="BA49" s="135">
        <v>0.51</v>
      </c>
      <c r="BB49" s="135"/>
      <c r="BC49" s="135"/>
      <c r="BD49" s="135"/>
      <c r="BE49" s="135"/>
      <c r="BF49" s="135">
        <v>6.5</v>
      </c>
      <c r="BG49" s="135">
        <v>6000</v>
      </c>
      <c r="BH49" s="135">
        <v>923</v>
      </c>
      <c r="BI49" s="135">
        <v>1.08</v>
      </c>
      <c r="BJ49" s="135">
        <v>43.5</v>
      </c>
      <c r="BK49" s="135">
        <v>4</v>
      </c>
      <c r="BL49" s="135">
        <v>19.75</v>
      </c>
    </row>
    <row r="50" spans="1:64" x14ac:dyDescent="0.3">
      <c r="A50" s="135">
        <v>2016</v>
      </c>
      <c r="B50" s="135">
        <v>4</v>
      </c>
      <c r="C50" s="135" t="s">
        <v>2061</v>
      </c>
      <c r="D50" s="135" t="s">
        <v>1519</v>
      </c>
      <c r="E50" s="135" t="s">
        <v>394</v>
      </c>
      <c r="F50" s="135" t="s">
        <v>46</v>
      </c>
      <c r="G50" s="135" t="s">
        <v>26</v>
      </c>
      <c r="H50" s="135">
        <v>13.77</v>
      </c>
      <c r="I50" s="135">
        <v>3.9009999999999998</v>
      </c>
      <c r="J50" s="135">
        <v>4.6180000000000003</v>
      </c>
      <c r="K50" s="135">
        <v>0</v>
      </c>
      <c r="L50" s="135">
        <v>0</v>
      </c>
      <c r="M50" s="135">
        <v>0</v>
      </c>
      <c r="N50" s="135">
        <v>0</v>
      </c>
      <c r="O50" s="135">
        <v>0</v>
      </c>
      <c r="P50" s="135">
        <v>6.4610000000000003</v>
      </c>
      <c r="Q50" s="135">
        <v>27.164999999999999</v>
      </c>
      <c r="R50" s="135">
        <v>0.122</v>
      </c>
      <c r="S50" s="135">
        <v>0.71699999999999997</v>
      </c>
      <c r="T50" s="135">
        <v>5.1479999999999997</v>
      </c>
      <c r="U50" s="135">
        <v>1.6E-2</v>
      </c>
      <c r="V50" s="135">
        <v>7.9000000000000001E-2</v>
      </c>
      <c r="W50" s="135">
        <v>0</v>
      </c>
      <c r="X50" s="135">
        <v>0</v>
      </c>
      <c r="Y50" s="135" t="s">
        <v>1995</v>
      </c>
      <c r="Z50" s="135">
        <v>4.2</v>
      </c>
      <c r="AA50" s="135">
        <v>3400</v>
      </c>
      <c r="AB50" s="135">
        <v>813.2</v>
      </c>
      <c r="AC50" s="135">
        <v>1.23</v>
      </c>
      <c r="AD50" s="135">
        <v>4.5999999999999996</v>
      </c>
      <c r="AE50" s="135">
        <v>6000</v>
      </c>
      <c r="AF50" s="135">
        <v>1299.2</v>
      </c>
      <c r="AG50" s="135">
        <v>0.77</v>
      </c>
      <c r="AH50" s="135">
        <v>4.9000000000000004</v>
      </c>
      <c r="AI50" s="135">
        <v>3100</v>
      </c>
      <c r="AJ50" s="135">
        <v>633.79999999999995</v>
      </c>
      <c r="AK50" s="135">
        <v>1.58</v>
      </c>
      <c r="AL50" s="135">
        <v>4.3</v>
      </c>
      <c r="AM50" s="135">
        <v>4700</v>
      </c>
      <c r="AN50" s="135">
        <v>1103.3</v>
      </c>
      <c r="AO50" s="135">
        <v>0.91</v>
      </c>
      <c r="AP50" s="135"/>
      <c r="AQ50" s="135"/>
      <c r="AR50" s="135"/>
      <c r="AS50" s="135"/>
      <c r="AT50" s="135"/>
      <c r="AU50" s="135"/>
      <c r="AV50" s="135"/>
      <c r="AW50" s="135"/>
      <c r="AX50" s="135">
        <v>4.3</v>
      </c>
      <c r="AY50" s="135">
        <v>10</v>
      </c>
      <c r="AZ50" s="135">
        <v>2.2999999999999998</v>
      </c>
      <c r="BA50" s="135">
        <v>0.43</v>
      </c>
      <c r="BB50" s="135"/>
      <c r="BC50" s="135"/>
      <c r="BD50" s="135"/>
      <c r="BE50" s="135"/>
      <c r="BF50" s="135">
        <v>4.9000000000000004</v>
      </c>
      <c r="BG50" s="135">
        <v>6000</v>
      </c>
      <c r="BH50" s="135">
        <v>1226.7</v>
      </c>
      <c r="BI50" s="135">
        <v>0.82</v>
      </c>
      <c r="BJ50" s="135">
        <v>46.5</v>
      </c>
      <c r="BK50" s="135">
        <v>3</v>
      </c>
      <c r="BL50" s="135">
        <v>21.75</v>
      </c>
    </row>
    <row r="51" spans="1:64" x14ac:dyDescent="0.3">
      <c r="A51" s="135">
        <v>2016</v>
      </c>
      <c r="B51" s="135">
        <v>4</v>
      </c>
      <c r="C51" s="135" t="s">
        <v>2054</v>
      </c>
      <c r="D51" s="135" t="s">
        <v>512</v>
      </c>
      <c r="E51" s="135" t="s">
        <v>394</v>
      </c>
      <c r="F51" s="135" t="s">
        <v>4</v>
      </c>
      <c r="G51" s="135" t="s">
        <v>2297</v>
      </c>
      <c r="H51" s="135">
        <v>15.37</v>
      </c>
      <c r="I51" s="135">
        <v>3.8079999999999998</v>
      </c>
      <c r="J51" s="135">
        <v>4.9450000000000003</v>
      </c>
      <c r="K51" s="135">
        <v>0</v>
      </c>
      <c r="L51" s="135">
        <v>0</v>
      </c>
      <c r="M51" s="135">
        <v>0</v>
      </c>
      <c r="N51" s="135">
        <v>0</v>
      </c>
      <c r="O51" s="135">
        <v>0</v>
      </c>
      <c r="P51" s="135">
        <v>5.5</v>
      </c>
      <c r="Q51" s="135">
        <v>23.225000000000001</v>
      </c>
      <c r="R51" s="135">
        <v>7.9000000000000001E-2</v>
      </c>
      <c r="S51" s="135">
        <v>1.137</v>
      </c>
      <c r="T51" s="135">
        <v>10.535</v>
      </c>
      <c r="U51" s="135">
        <v>1.4999999999999999E-2</v>
      </c>
      <c r="V51" s="135">
        <v>6.6000000000000003E-2</v>
      </c>
      <c r="W51" s="135">
        <v>0</v>
      </c>
      <c r="X51" s="135">
        <v>0</v>
      </c>
      <c r="Y51" s="135" t="s">
        <v>1995</v>
      </c>
      <c r="Z51" s="135">
        <v>4.3</v>
      </c>
      <c r="AA51" s="135">
        <v>3300</v>
      </c>
      <c r="AB51" s="135">
        <v>765.6</v>
      </c>
      <c r="AC51" s="135">
        <v>1.31</v>
      </c>
      <c r="AD51" s="135">
        <v>4.9000000000000004</v>
      </c>
      <c r="AE51" s="135">
        <v>6000</v>
      </c>
      <c r="AF51" s="135">
        <v>1213.3</v>
      </c>
      <c r="AG51" s="135">
        <v>0.82</v>
      </c>
      <c r="AH51" s="135">
        <v>5.2</v>
      </c>
      <c r="AI51" s="135">
        <v>3400</v>
      </c>
      <c r="AJ51" s="135">
        <v>652.1</v>
      </c>
      <c r="AK51" s="135">
        <v>1.53</v>
      </c>
      <c r="AL51" s="135">
        <v>4.4000000000000004</v>
      </c>
      <c r="AM51" s="135">
        <v>4900</v>
      </c>
      <c r="AN51" s="135">
        <v>1119.5999999999999</v>
      </c>
      <c r="AO51" s="135">
        <v>0.89</v>
      </c>
      <c r="AP51" s="135"/>
      <c r="AQ51" s="135"/>
      <c r="AR51" s="135"/>
      <c r="AS51" s="135"/>
      <c r="AT51" s="135"/>
      <c r="AU51" s="135"/>
      <c r="AV51" s="135"/>
      <c r="AW51" s="135"/>
      <c r="AX51" s="135">
        <v>4.4000000000000004</v>
      </c>
      <c r="AY51" s="135">
        <v>13</v>
      </c>
      <c r="AZ51" s="135">
        <v>3</v>
      </c>
      <c r="BA51" s="135">
        <v>0.34</v>
      </c>
      <c r="BB51" s="135"/>
      <c r="BC51" s="135"/>
      <c r="BD51" s="135"/>
      <c r="BE51" s="135"/>
      <c r="BF51" s="135">
        <v>5.2</v>
      </c>
      <c r="BG51" s="135">
        <v>6700</v>
      </c>
      <c r="BH51" s="135">
        <v>1285.0999999999999</v>
      </c>
      <c r="BI51" s="135">
        <v>0.78</v>
      </c>
      <c r="BJ51" s="135">
        <v>46.5</v>
      </c>
      <c r="BK51" s="135">
        <v>3.5</v>
      </c>
      <c r="BL51" s="135">
        <v>21.5</v>
      </c>
    </row>
    <row r="52" spans="1:64" x14ac:dyDescent="0.3">
      <c r="A52" s="135">
        <v>2016</v>
      </c>
      <c r="B52" s="135">
        <v>4</v>
      </c>
      <c r="C52" s="135" t="s">
        <v>2058</v>
      </c>
      <c r="D52" s="135" t="s">
        <v>103</v>
      </c>
      <c r="E52" s="135" t="s">
        <v>394</v>
      </c>
      <c r="F52" s="135" t="s">
        <v>24</v>
      </c>
      <c r="G52" s="135" t="s">
        <v>409</v>
      </c>
      <c r="H52" s="135">
        <v>20.8</v>
      </c>
      <c r="I52" s="135">
        <v>3.5950000000000002</v>
      </c>
      <c r="J52" s="135">
        <v>3.5950000000000002</v>
      </c>
      <c r="K52" s="135">
        <v>0</v>
      </c>
      <c r="L52" s="135">
        <v>0</v>
      </c>
      <c r="M52" s="135">
        <v>0</v>
      </c>
      <c r="N52" s="135">
        <v>0</v>
      </c>
      <c r="O52" s="135">
        <v>0</v>
      </c>
      <c r="P52" s="135">
        <v>6.2229999999999999</v>
      </c>
      <c r="Q52" s="135">
        <v>23.664999999999999</v>
      </c>
      <c r="R52" s="135">
        <v>0.222</v>
      </c>
      <c r="S52" s="135">
        <v>0</v>
      </c>
      <c r="T52" s="135">
        <v>0</v>
      </c>
      <c r="U52" s="135">
        <v>0</v>
      </c>
      <c r="V52" s="135">
        <v>5.1999999999999998E-2</v>
      </c>
      <c r="W52" s="135">
        <v>0</v>
      </c>
      <c r="X52" s="135">
        <v>0</v>
      </c>
      <c r="Y52" s="135" t="s">
        <v>1995</v>
      </c>
      <c r="Z52" s="135">
        <v>3.5</v>
      </c>
      <c r="AA52" s="135">
        <v>3800</v>
      </c>
      <c r="AB52" s="135">
        <v>1072.7</v>
      </c>
      <c r="AC52" s="135">
        <v>0.93</v>
      </c>
      <c r="AD52" s="135">
        <v>3.6</v>
      </c>
      <c r="AE52" s="135">
        <v>6000</v>
      </c>
      <c r="AF52" s="135">
        <v>1669.2</v>
      </c>
      <c r="AG52" s="135">
        <v>0.6</v>
      </c>
      <c r="AH52" s="135">
        <v>3.8</v>
      </c>
      <c r="AI52" s="135">
        <v>3400</v>
      </c>
      <c r="AJ52" s="135">
        <v>897.5</v>
      </c>
      <c r="AK52" s="135">
        <v>1.1100000000000001</v>
      </c>
      <c r="AL52" s="135">
        <v>3.6</v>
      </c>
      <c r="AM52" s="135">
        <v>4900</v>
      </c>
      <c r="AN52" s="135">
        <v>1363.2</v>
      </c>
      <c r="AO52" s="135">
        <v>0.73</v>
      </c>
      <c r="AP52" s="135"/>
      <c r="AQ52" s="135"/>
      <c r="AR52" s="135"/>
      <c r="AS52" s="135"/>
      <c r="AT52" s="135"/>
      <c r="AU52" s="135"/>
      <c r="AV52" s="135"/>
      <c r="AW52" s="135"/>
      <c r="AX52" s="135">
        <v>3.6</v>
      </c>
      <c r="AY52" s="135">
        <v>10</v>
      </c>
      <c r="AZ52" s="135">
        <v>2.8</v>
      </c>
      <c r="BA52" s="135">
        <v>0.36</v>
      </c>
      <c r="BB52" s="135"/>
      <c r="BC52" s="135"/>
      <c r="BD52" s="135"/>
      <c r="BE52" s="135"/>
      <c r="BF52" s="135">
        <v>3.8</v>
      </c>
      <c r="BG52" s="135">
        <v>6600</v>
      </c>
      <c r="BH52" s="135">
        <v>1742.1</v>
      </c>
      <c r="BI52" s="135">
        <v>0.56999999999999995</v>
      </c>
      <c r="BJ52" s="135">
        <v>43</v>
      </c>
      <c r="BK52" s="135">
        <v>-8</v>
      </c>
      <c r="BL52" s="135">
        <v>25.5</v>
      </c>
    </row>
    <row r="53" spans="1:64" x14ac:dyDescent="0.3">
      <c r="A53" s="135">
        <v>2016</v>
      </c>
      <c r="B53" s="135">
        <v>4</v>
      </c>
      <c r="C53" s="135" t="s">
        <v>2067</v>
      </c>
      <c r="D53" s="135" t="s">
        <v>466</v>
      </c>
      <c r="E53" s="135" t="s">
        <v>394</v>
      </c>
      <c r="F53" s="135" t="s">
        <v>16</v>
      </c>
      <c r="G53" s="135" t="s">
        <v>1980</v>
      </c>
      <c r="H53" s="135">
        <v>16.350000000000001</v>
      </c>
      <c r="I53" s="135">
        <v>3.5059999999999998</v>
      </c>
      <c r="J53" s="135">
        <v>6.7590000000000003</v>
      </c>
      <c r="K53" s="135">
        <v>0</v>
      </c>
      <c r="L53" s="135">
        <v>0</v>
      </c>
      <c r="M53" s="135">
        <v>0</v>
      </c>
      <c r="N53" s="135">
        <v>0</v>
      </c>
      <c r="O53" s="135">
        <v>0</v>
      </c>
      <c r="P53" s="135">
        <v>0.78500000000000003</v>
      </c>
      <c r="Q53" s="135">
        <v>3.0379999999999998</v>
      </c>
      <c r="R53" s="135">
        <v>0</v>
      </c>
      <c r="S53" s="135">
        <v>3.2530000000000001</v>
      </c>
      <c r="T53" s="135">
        <v>25.626000000000001</v>
      </c>
      <c r="U53" s="135">
        <v>0.11700000000000001</v>
      </c>
      <c r="V53" s="135">
        <v>3.1E-2</v>
      </c>
      <c r="W53" s="135">
        <v>0</v>
      </c>
      <c r="X53" s="135">
        <v>0</v>
      </c>
      <c r="Y53" s="135" t="s">
        <v>1995</v>
      </c>
      <c r="Z53" s="135">
        <v>5.0999999999999996</v>
      </c>
      <c r="AA53" s="135">
        <v>3000</v>
      </c>
      <c r="AB53" s="135">
        <v>588</v>
      </c>
      <c r="AC53" s="135">
        <v>1.7</v>
      </c>
      <c r="AD53" s="135">
        <v>6.8</v>
      </c>
      <c r="AE53" s="135">
        <v>6000</v>
      </c>
      <c r="AF53" s="135">
        <v>887.7</v>
      </c>
      <c r="AG53" s="135">
        <v>1.1299999999999999</v>
      </c>
      <c r="AH53" s="135">
        <v>7</v>
      </c>
      <c r="AI53" s="135">
        <v>3000</v>
      </c>
      <c r="AJ53" s="135">
        <v>430.9</v>
      </c>
      <c r="AK53" s="135">
        <v>2.3199999999999998</v>
      </c>
      <c r="AL53" s="135">
        <v>5.0999999999999996</v>
      </c>
      <c r="AM53" s="135">
        <v>4500</v>
      </c>
      <c r="AN53" s="135">
        <v>876.7</v>
      </c>
      <c r="AO53" s="135">
        <v>1.1399999999999999</v>
      </c>
      <c r="AP53" s="135"/>
      <c r="AQ53" s="135"/>
      <c r="AR53" s="135"/>
      <c r="AS53" s="135"/>
      <c r="AT53" s="135"/>
      <c r="AU53" s="135"/>
      <c r="AV53" s="135"/>
      <c r="AW53" s="135"/>
      <c r="AX53" s="135">
        <v>5.0999999999999996</v>
      </c>
      <c r="AY53" s="135">
        <v>10</v>
      </c>
      <c r="AZ53" s="135">
        <v>1.9</v>
      </c>
      <c r="BA53" s="135">
        <v>0.51</v>
      </c>
      <c r="BB53" s="135"/>
      <c r="BC53" s="135"/>
      <c r="BD53" s="135"/>
      <c r="BE53" s="135"/>
      <c r="BF53" s="135">
        <v>7</v>
      </c>
      <c r="BG53" s="135">
        <v>6000</v>
      </c>
      <c r="BH53" s="135">
        <v>861.8</v>
      </c>
      <c r="BI53" s="135">
        <v>1.1599999999999999</v>
      </c>
      <c r="BJ53" s="135">
        <v>49.5</v>
      </c>
      <c r="BK53" s="135">
        <v>-2.5</v>
      </c>
      <c r="BL53" s="135">
        <v>26</v>
      </c>
    </row>
    <row r="54" spans="1:64" x14ac:dyDescent="0.3">
      <c r="A54" s="135">
        <v>2016</v>
      </c>
      <c r="B54" s="135">
        <v>4</v>
      </c>
      <c r="C54" s="135" t="s">
        <v>2051</v>
      </c>
      <c r="D54" s="135" t="s">
        <v>132</v>
      </c>
      <c r="E54" s="135" t="s">
        <v>394</v>
      </c>
      <c r="F54" s="135" t="s">
        <v>407</v>
      </c>
      <c r="G54" s="135" t="s">
        <v>404</v>
      </c>
      <c r="H54" s="135">
        <v>30.34</v>
      </c>
      <c r="I54" s="135">
        <v>3.492</v>
      </c>
      <c r="J54" s="135">
        <v>6.25</v>
      </c>
      <c r="K54" s="135">
        <v>0</v>
      </c>
      <c r="L54" s="135">
        <v>0</v>
      </c>
      <c r="M54" s="135">
        <v>0</v>
      </c>
      <c r="N54" s="135">
        <v>0</v>
      </c>
      <c r="O54" s="135">
        <v>0</v>
      </c>
      <c r="P54" s="135">
        <v>1.958</v>
      </c>
      <c r="Q54" s="135">
        <v>9.7919999999999998</v>
      </c>
      <c r="R54" s="135">
        <v>0</v>
      </c>
      <c r="S54" s="135">
        <v>2.758</v>
      </c>
      <c r="T54" s="135">
        <v>18.187000000000001</v>
      </c>
      <c r="U54" s="135">
        <v>0.127</v>
      </c>
      <c r="V54" s="135">
        <v>3.4000000000000002E-2</v>
      </c>
      <c r="W54" s="135">
        <v>0</v>
      </c>
      <c r="X54" s="135">
        <v>0</v>
      </c>
      <c r="Y54" s="135" t="s">
        <v>1995</v>
      </c>
      <c r="Z54" s="135">
        <v>4.8</v>
      </c>
      <c r="AA54" s="135">
        <v>3500</v>
      </c>
      <c r="AB54" s="135">
        <v>723.6</v>
      </c>
      <c r="AC54" s="135">
        <v>1.38</v>
      </c>
      <c r="AD54" s="135">
        <v>6.2</v>
      </c>
      <c r="AE54" s="135">
        <v>6000</v>
      </c>
      <c r="AF54" s="135">
        <v>960</v>
      </c>
      <c r="AG54" s="135">
        <v>1.04</v>
      </c>
      <c r="AH54" s="135">
        <v>6.5</v>
      </c>
      <c r="AI54" s="135">
        <v>3500</v>
      </c>
      <c r="AJ54" s="135">
        <v>542.5</v>
      </c>
      <c r="AK54" s="135">
        <v>1.84</v>
      </c>
      <c r="AL54" s="135">
        <v>4.9000000000000004</v>
      </c>
      <c r="AM54" s="135">
        <v>4500</v>
      </c>
      <c r="AN54" s="135">
        <v>923.9</v>
      </c>
      <c r="AO54" s="135">
        <v>1.08</v>
      </c>
      <c r="AP54" s="135"/>
      <c r="AQ54" s="135"/>
      <c r="AR54" s="135"/>
      <c r="AS54" s="135"/>
      <c r="AT54" s="135"/>
      <c r="AU54" s="135"/>
      <c r="AV54" s="135"/>
      <c r="AW54" s="135"/>
      <c r="AX54" s="135"/>
      <c r="AY54" s="135"/>
      <c r="AZ54" s="135"/>
      <c r="BA54" s="135"/>
      <c r="BB54" s="135"/>
      <c r="BC54" s="135"/>
      <c r="BD54" s="135"/>
      <c r="BE54" s="135"/>
      <c r="BF54" s="135">
        <v>6.5</v>
      </c>
      <c r="BG54" s="135">
        <v>7000</v>
      </c>
      <c r="BH54" s="135">
        <v>1085</v>
      </c>
      <c r="BI54" s="135">
        <v>0.92</v>
      </c>
      <c r="BJ54" s="135">
        <v>53.5</v>
      </c>
      <c r="BK54" s="135">
        <v>-4</v>
      </c>
      <c r="BL54" s="135">
        <v>28.75</v>
      </c>
    </row>
    <row r="55" spans="1:64" x14ac:dyDescent="0.3">
      <c r="A55" s="135">
        <v>2016</v>
      </c>
      <c r="B55" s="135">
        <v>4</v>
      </c>
      <c r="C55" s="135" t="s">
        <v>2052</v>
      </c>
      <c r="D55" s="135" t="s">
        <v>764</v>
      </c>
      <c r="E55" s="135" t="s">
        <v>394</v>
      </c>
      <c r="F55" s="135" t="s">
        <v>70</v>
      </c>
      <c r="G55" s="135" t="s">
        <v>2005</v>
      </c>
      <c r="H55" s="135">
        <v>18.350000000000001</v>
      </c>
      <c r="I55" s="135">
        <v>3.448</v>
      </c>
      <c r="J55" s="135">
        <v>4.1909999999999998</v>
      </c>
      <c r="K55" s="135">
        <v>0</v>
      </c>
      <c r="L55" s="135">
        <v>0</v>
      </c>
      <c r="M55" s="135">
        <v>0</v>
      </c>
      <c r="N55" s="135">
        <v>0</v>
      </c>
      <c r="O55" s="135">
        <v>0</v>
      </c>
      <c r="P55" s="135">
        <v>5.5949999999999998</v>
      </c>
      <c r="Q55" s="135">
        <v>20.57</v>
      </c>
      <c r="R55" s="135">
        <v>0.129</v>
      </c>
      <c r="S55" s="135">
        <v>0.74299999999999999</v>
      </c>
      <c r="T55" s="135">
        <v>6.3520000000000003</v>
      </c>
      <c r="U55" s="135">
        <v>1.6E-2</v>
      </c>
      <c r="V55" s="135">
        <v>5.7000000000000002E-2</v>
      </c>
      <c r="W55" s="135">
        <v>0</v>
      </c>
      <c r="X55" s="135">
        <v>0</v>
      </c>
      <c r="Y55" s="135" t="s">
        <v>1995</v>
      </c>
      <c r="Z55" s="135">
        <v>3.8</v>
      </c>
      <c r="AA55" s="135">
        <v>4100</v>
      </c>
      <c r="AB55" s="135">
        <v>1089.5999999999999</v>
      </c>
      <c r="AC55" s="135">
        <v>0.92</v>
      </c>
      <c r="AD55" s="135">
        <v>4.2</v>
      </c>
      <c r="AE55" s="135">
        <v>6000</v>
      </c>
      <c r="AF55" s="135">
        <v>1431.6</v>
      </c>
      <c r="AG55" s="135">
        <v>0.7</v>
      </c>
      <c r="AH55" s="135">
        <v>4.4000000000000004</v>
      </c>
      <c r="AI55" s="135">
        <v>3000</v>
      </c>
      <c r="AJ55" s="135">
        <v>680.3</v>
      </c>
      <c r="AK55" s="135">
        <v>1.47</v>
      </c>
      <c r="AL55" s="135">
        <v>3.8</v>
      </c>
      <c r="AM55" s="135">
        <v>5200</v>
      </c>
      <c r="AN55" s="135">
        <v>1361.4</v>
      </c>
      <c r="AO55" s="135">
        <v>0.73</v>
      </c>
      <c r="AP55" s="135"/>
      <c r="AQ55" s="135"/>
      <c r="AR55" s="135"/>
      <c r="AS55" s="135"/>
      <c r="AT55" s="135"/>
      <c r="AU55" s="135"/>
      <c r="AV55" s="135"/>
      <c r="AW55" s="135"/>
      <c r="AX55" s="135">
        <v>3.8</v>
      </c>
      <c r="AY55" s="135">
        <v>10</v>
      </c>
      <c r="AZ55" s="135">
        <v>2.6</v>
      </c>
      <c r="BA55" s="135">
        <v>0.38</v>
      </c>
      <c r="BB55" s="135"/>
      <c r="BC55" s="135"/>
      <c r="BD55" s="135"/>
      <c r="BE55" s="135"/>
      <c r="BF55" s="135">
        <v>4.4000000000000004</v>
      </c>
      <c r="BG55" s="135">
        <v>6000</v>
      </c>
      <c r="BH55" s="135">
        <v>1360.6</v>
      </c>
      <c r="BI55" s="135">
        <v>0.73</v>
      </c>
      <c r="BJ55" s="135">
        <v>44</v>
      </c>
      <c r="BK55" s="135">
        <v>-3</v>
      </c>
      <c r="BL55" s="135">
        <v>23.5</v>
      </c>
    </row>
    <row r="56" spans="1:64" x14ac:dyDescent="0.3">
      <c r="A56" s="135">
        <v>2016</v>
      </c>
      <c r="B56" s="135">
        <v>4</v>
      </c>
      <c r="C56" s="135" t="s">
        <v>2053</v>
      </c>
      <c r="D56" s="135" t="s">
        <v>131</v>
      </c>
      <c r="E56" s="135" t="s">
        <v>394</v>
      </c>
      <c r="F56" s="135" t="s">
        <v>398</v>
      </c>
      <c r="G56" s="135" t="s">
        <v>52</v>
      </c>
      <c r="H56" s="135">
        <v>19.57</v>
      </c>
      <c r="I56" s="135">
        <v>3.3879999999999999</v>
      </c>
      <c r="J56" s="135">
        <v>4.7750000000000004</v>
      </c>
      <c r="K56" s="135">
        <v>0</v>
      </c>
      <c r="L56" s="135">
        <v>0</v>
      </c>
      <c r="M56" s="135">
        <v>0</v>
      </c>
      <c r="N56" s="135">
        <v>0</v>
      </c>
      <c r="O56" s="135">
        <v>0</v>
      </c>
      <c r="P56" s="135">
        <v>4.3319999999999999</v>
      </c>
      <c r="Q56" s="135">
        <v>14.667999999999999</v>
      </c>
      <c r="R56" s="135">
        <v>0.13</v>
      </c>
      <c r="S56" s="135">
        <v>1.387</v>
      </c>
      <c r="T56" s="135">
        <v>9.2750000000000004</v>
      </c>
      <c r="U56" s="135">
        <v>5.5E-2</v>
      </c>
      <c r="V56" s="135">
        <v>5.8000000000000003E-2</v>
      </c>
      <c r="W56" s="135">
        <v>0</v>
      </c>
      <c r="X56" s="135">
        <v>0</v>
      </c>
      <c r="Y56" s="135" t="s">
        <v>1995</v>
      </c>
      <c r="Z56" s="135">
        <v>4</v>
      </c>
      <c r="AA56" s="135">
        <v>3800</v>
      </c>
      <c r="AB56" s="135">
        <v>944.4</v>
      </c>
      <c r="AC56" s="135">
        <v>1.06</v>
      </c>
      <c r="AD56" s="135">
        <v>4.8</v>
      </c>
      <c r="AE56" s="135">
        <v>6000</v>
      </c>
      <c r="AF56" s="135">
        <v>1256.5</v>
      </c>
      <c r="AG56" s="135">
        <v>0.8</v>
      </c>
      <c r="AH56" s="135">
        <v>5</v>
      </c>
      <c r="AI56" s="135">
        <v>3300</v>
      </c>
      <c r="AJ56" s="135">
        <v>663.1</v>
      </c>
      <c r="AK56" s="135">
        <v>1.51</v>
      </c>
      <c r="AL56" s="135">
        <v>4.0999999999999996</v>
      </c>
      <c r="AM56" s="135">
        <v>4800</v>
      </c>
      <c r="AN56" s="135">
        <v>1176</v>
      </c>
      <c r="AO56" s="135">
        <v>0.85</v>
      </c>
      <c r="AP56" s="135"/>
      <c r="AQ56" s="135"/>
      <c r="AR56" s="135"/>
      <c r="AS56" s="135"/>
      <c r="AT56" s="135"/>
      <c r="AU56" s="135"/>
      <c r="AV56" s="135"/>
      <c r="AW56" s="135"/>
      <c r="AX56" s="135">
        <v>4.0999999999999996</v>
      </c>
      <c r="AY56" s="135">
        <v>11</v>
      </c>
      <c r="AZ56" s="135">
        <v>2.7</v>
      </c>
      <c r="BA56" s="135">
        <v>0.37</v>
      </c>
      <c r="BB56" s="135"/>
      <c r="BC56" s="135"/>
      <c r="BD56" s="135"/>
      <c r="BE56" s="135"/>
      <c r="BF56" s="135">
        <v>5</v>
      </c>
      <c r="BG56" s="135">
        <v>6400</v>
      </c>
      <c r="BH56" s="135">
        <v>1285.9000000000001</v>
      </c>
      <c r="BI56" s="135">
        <v>0.78</v>
      </c>
      <c r="BJ56" s="135">
        <v>46</v>
      </c>
      <c r="BK56" s="135">
        <v>3</v>
      </c>
      <c r="BL56" s="135">
        <v>21.5</v>
      </c>
    </row>
    <row r="57" spans="1:64" x14ac:dyDescent="0.3">
      <c r="A57" s="135">
        <v>2016</v>
      </c>
      <c r="B57" s="135">
        <v>4</v>
      </c>
      <c r="C57" s="135" t="s">
        <v>2049</v>
      </c>
      <c r="D57" s="135" t="s">
        <v>148</v>
      </c>
      <c r="E57" s="135" t="s">
        <v>394</v>
      </c>
      <c r="F57" s="135" t="s">
        <v>52</v>
      </c>
      <c r="G57" s="135" t="s">
        <v>2309</v>
      </c>
      <c r="H57" s="135">
        <v>22.04</v>
      </c>
      <c r="I57" s="135">
        <v>3.2719999999999998</v>
      </c>
      <c r="J57" s="135">
        <v>3.4830000000000001</v>
      </c>
      <c r="K57" s="135">
        <v>0</v>
      </c>
      <c r="L57" s="135">
        <v>0</v>
      </c>
      <c r="M57" s="135">
        <v>0</v>
      </c>
      <c r="N57" s="135">
        <v>0</v>
      </c>
      <c r="O57" s="135">
        <v>0</v>
      </c>
      <c r="P57" s="135">
        <v>4.3559999999999999</v>
      </c>
      <c r="Q57" s="135">
        <v>18.288</v>
      </c>
      <c r="R57" s="135">
        <v>0.23300000000000001</v>
      </c>
      <c r="S57" s="135">
        <v>0.21099999999999999</v>
      </c>
      <c r="T57" s="135">
        <v>1.2150000000000001</v>
      </c>
      <c r="U57" s="135">
        <v>0</v>
      </c>
      <c r="V57" s="135">
        <v>3.7999999999999999E-2</v>
      </c>
      <c r="W57" s="135">
        <v>0</v>
      </c>
      <c r="X57" s="135">
        <v>0</v>
      </c>
      <c r="Y57" s="135" t="s">
        <v>1995</v>
      </c>
      <c r="Z57" s="135">
        <v>3.3</v>
      </c>
      <c r="AA57" s="135">
        <v>3900</v>
      </c>
      <c r="AB57" s="135">
        <v>1167.7</v>
      </c>
      <c r="AC57" s="135">
        <v>0.86</v>
      </c>
      <c r="AD57" s="135">
        <v>3.5</v>
      </c>
      <c r="AE57" s="135">
        <v>6000</v>
      </c>
      <c r="AF57" s="135">
        <v>1722.5</v>
      </c>
      <c r="AG57" s="135">
        <v>0.57999999999999996</v>
      </c>
      <c r="AH57" s="135">
        <v>3.6</v>
      </c>
      <c r="AI57" s="135">
        <v>3900</v>
      </c>
      <c r="AJ57" s="135">
        <v>1071.9000000000001</v>
      </c>
      <c r="AK57" s="135">
        <v>0.93</v>
      </c>
      <c r="AL57" s="135">
        <v>3.4</v>
      </c>
      <c r="AM57" s="135">
        <v>5200</v>
      </c>
      <c r="AN57" s="135">
        <v>1539.5</v>
      </c>
      <c r="AO57" s="135">
        <v>0.65</v>
      </c>
      <c r="AP57" s="135"/>
      <c r="AQ57" s="135"/>
      <c r="AR57" s="135"/>
      <c r="AS57" s="135"/>
      <c r="AT57" s="135"/>
      <c r="AU57" s="135"/>
      <c r="AV57" s="135"/>
      <c r="AW57" s="135"/>
      <c r="AX57" s="135">
        <v>3.4</v>
      </c>
      <c r="AY57" s="135">
        <v>14</v>
      </c>
      <c r="AZ57" s="135">
        <v>4.0999999999999996</v>
      </c>
      <c r="BA57" s="135">
        <v>0.24</v>
      </c>
      <c r="BB57" s="135"/>
      <c r="BC57" s="135"/>
      <c r="BD57" s="135"/>
      <c r="BE57" s="135"/>
      <c r="BF57" s="135">
        <v>3.6</v>
      </c>
      <c r="BG57" s="135">
        <v>7700</v>
      </c>
      <c r="BH57" s="135">
        <v>2116.4</v>
      </c>
      <c r="BI57" s="135">
        <v>0.47</v>
      </c>
      <c r="BJ57" s="135">
        <v>46</v>
      </c>
      <c r="BK57" s="135">
        <v>-3</v>
      </c>
      <c r="BL57" s="135">
        <v>24.5</v>
      </c>
    </row>
    <row r="58" spans="1:64" x14ac:dyDescent="0.3">
      <c r="A58" s="135">
        <v>2016</v>
      </c>
      <c r="B58" s="135">
        <v>4</v>
      </c>
      <c r="C58" s="135" t="s">
        <v>2050</v>
      </c>
      <c r="D58" s="135" t="s">
        <v>152</v>
      </c>
      <c r="E58" s="135" t="s">
        <v>394</v>
      </c>
      <c r="F58" s="135" t="s">
        <v>404</v>
      </c>
      <c r="G58" s="135" t="s">
        <v>2308</v>
      </c>
      <c r="H58" s="135">
        <v>27.32</v>
      </c>
      <c r="I58" s="135">
        <v>3.125</v>
      </c>
      <c r="J58" s="135">
        <v>6.3120000000000003</v>
      </c>
      <c r="K58" s="135">
        <v>0</v>
      </c>
      <c r="L58" s="135">
        <v>0</v>
      </c>
      <c r="M58" s="135">
        <v>0</v>
      </c>
      <c r="N58" s="135">
        <v>0</v>
      </c>
      <c r="O58" s="135">
        <v>0</v>
      </c>
      <c r="P58" s="135">
        <v>0.61299999999999999</v>
      </c>
      <c r="Q58" s="135">
        <v>1.9059999999999999</v>
      </c>
      <c r="R58" s="135">
        <v>0</v>
      </c>
      <c r="S58" s="135">
        <v>3.1869999999999998</v>
      </c>
      <c r="T58" s="135">
        <v>22.603999999999999</v>
      </c>
      <c r="U58" s="135">
        <v>0.122</v>
      </c>
      <c r="V58" s="135">
        <v>2.9000000000000001E-2</v>
      </c>
      <c r="W58" s="135">
        <v>0</v>
      </c>
      <c r="X58" s="135">
        <v>0</v>
      </c>
      <c r="Y58" s="135" t="s">
        <v>1995</v>
      </c>
      <c r="Z58" s="135">
        <v>4.7</v>
      </c>
      <c r="AA58" s="135">
        <v>3500</v>
      </c>
      <c r="AB58" s="135">
        <v>746.3</v>
      </c>
      <c r="AC58" s="135">
        <v>1.34</v>
      </c>
      <c r="AD58" s="135">
        <v>6.3</v>
      </c>
      <c r="AE58" s="135">
        <v>6000</v>
      </c>
      <c r="AF58" s="135">
        <v>950.6</v>
      </c>
      <c r="AG58" s="135">
        <v>1.05</v>
      </c>
      <c r="AH58" s="135">
        <v>6.5</v>
      </c>
      <c r="AI58" s="135">
        <v>3100</v>
      </c>
      <c r="AJ58" s="135">
        <v>477.8</v>
      </c>
      <c r="AK58" s="135">
        <v>2.09</v>
      </c>
      <c r="AL58" s="135">
        <v>4.7</v>
      </c>
      <c r="AM58" s="135">
        <v>5000</v>
      </c>
      <c r="AN58" s="135">
        <v>1059.7</v>
      </c>
      <c r="AO58" s="135">
        <v>0.94</v>
      </c>
      <c r="AP58" s="135"/>
      <c r="AQ58" s="135"/>
      <c r="AR58" s="135"/>
      <c r="AS58" s="135"/>
      <c r="AT58" s="135"/>
      <c r="AU58" s="135"/>
      <c r="AV58" s="135"/>
      <c r="AW58" s="135"/>
      <c r="AX58" s="135">
        <v>4.7</v>
      </c>
      <c r="AY58" s="135">
        <v>10</v>
      </c>
      <c r="AZ58" s="135">
        <v>2.1</v>
      </c>
      <c r="BA58" s="135">
        <v>0.47</v>
      </c>
      <c r="BB58" s="135"/>
      <c r="BC58" s="135"/>
      <c r="BD58" s="135"/>
      <c r="BE58" s="135"/>
      <c r="BF58" s="135">
        <v>6.5</v>
      </c>
      <c r="BG58" s="135">
        <v>6000</v>
      </c>
      <c r="BH58" s="135">
        <v>924.8</v>
      </c>
      <c r="BI58" s="135">
        <v>1.08</v>
      </c>
      <c r="BJ58" s="135">
        <v>53.5</v>
      </c>
      <c r="BK58" s="135">
        <v>4</v>
      </c>
      <c r="BL58" s="135">
        <v>24.75</v>
      </c>
    </row>
    <row r="59" spans="1:64" x14ac:dyDescent="0.3">
      <c r="A59" s="135">
        <v>2016</v>
      </c>
      <c r="B59" s="135">
        <v>4</v>
      </c>
      <c r="C59" s="135" t="s">
        <v>2059</v>
      </c>
      <c r="D59" s="135" t="s">
        <v>124</v>
      </c>
      <c r="E59" s="135" t="s">
        <v>394</v>
      </c>
      <c r="F59" s="135" t="s">
        <v>34</v>
      </c>
      <c r="G59" s="135" t="s">
        <v>7</v>
      </c>
      <c r="H59" s="135">
        <v>16.670000000000002</v>
      </c>
      <c r="I59" s="135">
        <v>3.0259999999999998</v>
      </c>
      <c r="J59" s="135">
        <v>4.2990000000000004</v>
      </c>
      <c r="K59" s="135">
        <v>0</v>
      </c>
      <c r="L59" s="135">
        <v>0</v>
      </c>
      <c r="M59" s="135">
        <v>0</v>
      </c>
      <c r="N59" s="135">
        <v>0</v>
      </c>
      <c r="O59" s="135">
        <v>0</v>
      </c>
      <c r="P59" s="135">
        <v>5.194</v>
      </c>
      <c r="Q59" s="135">
        <v>23.681999999999999</v>
      </c>
      <c r="R59" s="135">
        <v>2.8000000000000001E-2</v>
      </c>
      <c r="S59" s="135">
        <v>1.2729999999999999</v>
      </c>
      <c r="T59" s="135">
        <v>6.3579999999999997</v>
      </c>
      <c r="U59" s="135">
        <v>0</v>
      </c>
      <c r="V59" s="135">
        <v>7.2999999999999995E-2</v>
      </c>
      <c r="W59" s="135">
        <v>0</v>
      </c>
      <c r="X59" s="135">
        <v>0</v>
      </c>
      <c r="Y59" s="135" t="s">
        <v>1995</v>
      </c>
      <c r="Z59" s="135">
        <v>3.6</v>
      </c>
      <c r="AA59" s="135">
        <v>4000</v>
      </c>
      <c r="AB59" s="135">
        <v>1114.4000000000001</v>
      </c>
      <c r="AC59" s="135">
        <v>0.9</v>
      </c>
      <c r="AD59" s="135">
        <v>4.3</v>
      </c>
      <c r="AE59" s="135">
        <v>6000</v>
      </c>
      <c r="AF59" s="135">
        <v>1395.7</v>
      </c>
      <c r="AG59" s="135">
        <v>0.72</v>
      </c>
      <c r="AH59" s="135">
        <v>4.5999999999999996</v>
      </c>
      <c r="AI59" s="135">
        <v>3300</v>
      </c>
      <c r="AJ59" s="135">
        <v>724.9</v>
      </c>
      <c r="AK59" s="135">
        <v>1.38</v>
      </c>
      <c r="AL59" s="135">
        <v>3.7</v>
      </c>
      <c r="AM59" s="135">
        <v>5000</v>
      </c>
      <c r="AN59" s="135">
        <v>1365.2</v>
      </c>
      <c r="AO59" s="135">
        <v>0.73</v>
      </c>
      <c r="AP59" s="135"/>
      <c r="AQ59" s="135"/>
      <c r="AR59" s="135"/>
      <c r="AS59" s="135"/>
      <c r="AT59" s="135"/>
      <c r="AU59" s="135"/>
      <c r="AV59" s="135"/>
      <c r="AW59" s="135"/>
      <c r="AX59" s="135">
        <v>3.7</v>
      </c>
      <c r="AY59" s="135">
        <v>11</v>
      </c>
      <c r="AZ59" s="135">
        <v>3</v>
      </c>
      <c r="BA59" s="135">
        <v>0.33</v>
      </c>
      <c r="BB59" s="135"/>
      <c r="BC59" s="135"/>
      <c r="BD59" s="135"/>
      <c r="BE59" s="135"/>
      <c r="BF59" s="135">
        <v>4.5999999999999996</v>
      </c>
      <c r="BG59" s="135">
        <v>6400</v>
      </c>
      <c r="BH59" s="135">
        <v>1405.9</v>
      </c>
      <c r="BI59" s="135">
        <v>0.71</v>
      </c>
      <c r="BJ59" s="135">
        <v>40.5</v>
      </c>
      <c r="BK59" s="135">
        <v>1.5</v>
      </c>
      <c r="BL59" s="135">
        <v>19.5</v>
      </c>
    </row>
    <row r="60" spans="1:64" x14ac:dyDescent="0.3">
      <c r="A60" s="135">
        <v>2016</v>
      </c>
      <c r="B60" s="135">
        <v>4</v>
      </c>
      <c r="C60" s="135" t="s">
        <v>2078</v>
      </c>
      <c r="D60" s="135" t="s">
        <v>167</v>
      </c>
      <c r="E60" s="135" t="s">
        <v>394</v>
      </c>
      <c r="F60" s="135" t="s">
        <v>57</v>
      </c>
      <c r="G60" s="135" t="s">
        <v>1999</v>
      </c>
      <c r="H60" s="135">
        <v>12.92</v>
      </c>
      <c r="I60" s="135">
        <v>2.9980000000000002</v>
      </c>
      <c r="J60" s="135">
        <v>4.2889999999999997</v>
      </c>
      <c r="K60" s="135">
        <v>0</v>
      </c>
      <c r="L60" s="135">
        <v>0</v>
      </c>
      <c r="M60" s="135">
        <v>0</v>
      </c>
      <c r="N60" s="135">
        <v>0</v>
      </c>
      <c r="O60" s="135">
        <v>0</v>
      </c>
      <c r="P60" s="135">
        <v>3.9140000000000001</v>
      </c>
      <c r="Q60" s="135">
        <v>16.977</v>
      </c>
      <c r="R60" s="135">
        <v>4.2000000000000003E-2</v>
      </c>
      <c r="S60" s="135">
        <v>1.2909999999999999</v>
      </c>
      <c r="T60" s="135">
        <v>9.3849999999999998</v>
      </c>
      <c r="U60" s="135">
        <v>3.5999999999999997E-2</v>
      </c>
      <c r="V60" s="135">
        <v>5.2999999999999999E-2</v>
      </c>
      <c r="W60" s="135">
        <v>0</v>
      </c>
      <c r="X60" s="135">
        <v>0</v>
      </c>
      <c r="Y60" s="135" t="s">
        <v>1995</v>
      </c>
      <c r="Z60" s="135">
        <v>3.6</v>
      </c>
      <c r="AA60" s="135">
        <v>3500</v>
      </c>
      <c r="AB60" s="135">
        <v>974.7</v>
      </c>
      <c r="AC60" s="135">
        <v>1.03</v>
      </c>
      <c r="AD60" s="135">
        <v>4.3</v>
      </c>
      <c r="AE60" s="135">
        <v>6000</v>
      </c>
      <c r="AF60" s="135">
        <v>1398.9</v>
      </c>
      <c r="AG60" s="135">
        <v>0.71</v>
      </c>
      <c r="AH60" s="135">
        <v>4.5</v>
      </c>
      <c r="AI60" s="135">
        <v>3000</v>
      </c>
      <c r="AJ60" s="135">
        <v>666.6</v>
      </c>
      <c r="AK60" s="135">
        <v>1.5</v>
      </c>
      <c r="AL60" s="135">
        <v>3.6</v>
      </c>
      <c r="AM60" s="135">
        <v>4900</v>
      </c>
      <c r="AN60" s="135">
        <v>1344.8</v>
      </c>
      <c r="AO60" s="135">
        <v>0.74</v>
      </c>
      <c r="AP60" s="135"/>
      <c r="AQ60" s="135"/>
      <c r="AR60" s="135"/>
      <c r="AS60" s="135"/>
      <c r="AT60" s="135"/>
      <c r="AU60" s="135"/>
      <c r="AV60" s="135"/>
      <c r="AW60" s="135"/>
      <c r="AX60" s="135">
        <v>3.6</v>
      </c>
      <c r="AY60" s="135">
        <v>10</v>
      </c>
      <c r="AZ60" s="135">
        <v>2.7</v>
      </c>
      <c r="BA60" s="135">
        <v>0.36</v>
      </c>
      <c r="BB60" s="135"/>
      <c r="BC60" s="135"/>
      <c r="BD60" s="135"/>
      <c r="BE60" s="135"/>
      <c r="BF60" s="135">
        <v>4.5</v>
      </c>
      <c r="BG60" s="135">
        <v>6000</v>
      </c>
      <c r="BH60" s="135">
        <v>1333.2</v>
      </c>
      <c r="BI60" s="135">
        <v>0.75</v>
      </c>
      <c r="BJ60" s="135">
        <v>44.5</v>
      </c>
      <c r="BK60" s="135">
        <v>7</v>
      </c>
      <c r="BL60" s="135">
        <v>18.75</v>
      </c>
    </row>
    <row r="61" spans="1:64" x14ac:dyDescent="0.3">
      <c r="A61" s="135">
        <v>2016</v>
      </c>
      <c r="B61" s="135">
        <v>4</v>
      </c>
      <c r="C61" s="135" t="s">
        <v>2047</v>
      </c>
      <c r="D61" s="135" t="s">
        <v>117</v>
      </c>
      <c r="E61" s="135" t="s">
        <v>394</v>
      </c>
      <c r="F61" s="135" t="s">
        <v>404</v>
      </c>
      <c r="G61" s="135" t="s">
        <v>2308</v>
      </c>
      <c r="H61" s="135">
        <v>27.32</v>
      </c>
      <c r="I61" s="135">
        <v>2.4249999999999998</v>
      </c>
      <c r="J61" s="135">
        <v>2.7149999999999999</v>
      </c>
      <c r="K61" s="135">
        <v>0</v>
      </c>
      <c r="L61" s="135">
        <v>0</v>
      </c>
      <c r="M61" s="135">
        <v>0</v>
      </c>
      <c r="N61" s="135">
        <v>0</v>
      </c>
      <c r="O61" s="135">
        <v>0</v>
      </c>
      <c r="P61" s="135">
        <v>4.3780000000000001</v>
      </c>
      <c r="Q61" s="135">
        <v>17.631</v>
      </c>
      <c r="R61" s="135">
        <v>8.5000000000000006E-2</v>
      </c>
      <c r="S61" s="135">
        <v>0.28999999999999998</v>
      </c>
      <c r="T61" s="135">
        <v>1.615</v>
      </c>
      <c r="U61" s="135">
        <v>0.01</v>
      </c>
      <c r="V61" s="135">
        <v>3.5000000000000003E-2</v>
      </c>
      <c r="W61" s="135">
        <v>0</v>
      </c>
      <c r="X61" s="135">
        <v>0</v>
      </c>
      <c r="Y61" s="135" t="s">
        <v>1995</v>
      </c>
      <c r="Z61" s="135">
        <v>2.5</v>
      </c>
      <c r="AA61" s="135">
        <v>3900</v>
      </c>
      <c r="AB61" s="135">
        <v>1538.7</v>
      </c>
      <c r="AC61" s="135">
        <v>0.65</v>
      </c>
      <c r="AD61" s="135">
        <v>2.7</v>
      </c>
      <c r="AE61" s="135">
        <v>6000</v>
      </c>
      <c r="AF61" s="135">
        <v>2210.3000000000002</v>
      </c>
      <c r="AG61" s="135">
        <v>0.45</v>
      </c>
      <c r="AH61" s="135">
        <v>2.9</v>
      </c>
      <c r="AI61" s="135">
        <v>3300</v>
      </c>
      <c r="AJ61" s="135">
        <v>1151.8</v>
      </c>
      <c r="AK61" s="135">
        <v>0.87</v>
      </c>
      <c r="AL61" s="135">
        <v>2.6</v>
      </c>
      <c r="AM61" s="135">
        <v>4700</v>
      </c>
      <c r="AN61" s="135">
        <v>1829.1</v>
      </c>
      <c r="AO61" s="135">
        <v>0.55000000000000004</v>
      </c>
      <c r="AP61" s="135"/>
      <c r="AQ61" s="135"/>
      <c r="AR61" s="135"/>
      <c r="AS61" s="135"/>
      <c r="AT61" s="135"/>
      <c r="AU61" s="135"/>
      <c r="AV61" s="135"/>
      <c r="AW61" s="135"/>
      <c r="AX61" s="135">
        <v>2.6</v>
      </c>
      <c r="AY61" s="135">
        <v>10</v>
      </c>
      <c r="AZ61" s="135">
        <v>3.9</v>
      </c>
      <c r="BA61" s="135">
        <v>0.26</v>
      </c>
      <c r="BB61" s="135"/>
      <c r="BC61" s="135"/>
      <c r="BD61" s="135"/>
      <c r="BE61" s="135"/>
      <c r="BF61" s="135">
        <v>2.9</v>
      </c>
      <c r="BG61" s="135">
        <v>6400</v>
      </c>
      <c r="BH61" s="135">
        <v>2233.8000000000002</v>
      </c>
      <c r="BI61" s="135">
        <v>0.45</v>
      </c>
      <c r="BJ61" s="135">
        <v>53.5</v>
      </c>
      <c r="BK61" s="135">
        <v>4</v>
      </c>
      <c r="BL61" s="135">
        <v>24.75</v>
      </c>
    </row>
    <row r="62" spans="1:64" x14ac:dyDescent="0.3">
      <c r="A62" s="135">
        <v>2016</v>
      </c>
      <c r="B62" s="135">
        <v>4</v>
      </c>
      <c r="C62" s="135" t="s">
        <v>2064</v>
      </c>
      <c r="D62" s="135" t="s">
        <v>156</v>
      </c>
      <c r="E62" s="135" t="s">
        <v>394</v>
      </c>
      <c r="F62" s="135" t="s">
        <v>16</v>
      </c>
      <c r="G62" s="135" t="s">
        <v>1980</v>
      </c>
      <c r="H62" s="135">
        <v>16.350000000000001</v>
      </c>
      <c r="I62" s="135">
        <v>2.327</v>
      </c>
      <c r="J62" s="135">
        <v>2.9529999999999998</v>
      </c>
      <c r="K62" s="135">
        <v>0</v>
      </c>
      <c r="L62" s="135">
        <v>0</v>
      </c>
      <c r="M62" s="135">
        <v>0</v>
      </c>
      <c r="N62" s="135">
        <v>0</v>
      </c>
      <c r="O62" s="135">
        <v>0</v>
      </c>
      <c r="P62" s="135">
        <v>2.3079999999999998</v>
      </c>
      <c r="Q62" s="135">
        <v>9.1140000000000008</v>
      </c>
      <c r="R62" s="135">
        <v>0.152</v>
      </c>
      <c r="S62" s="135">
        <v>0.626</v>
      </c>
      <c r="T62" s="135">
        <v>4.2709999999999999</v>
      </c>
      <c r="U62" s="135">
        <v>0.02</v>
      </c>
      <c r="V62" s="135">
        <v>2.1999999999999999E-2</v>
      </c>
      <c r="W62" s="135">
        <v>0</v>
      </c>
      <c r="X62" s="135">
        <v>0</v>
      </c>
      <c r="Y62" s="135" t="s">
        <v>1995</v>
      </c>
      <c r="Z62" s="135">
        <v>2.6</v>
      </c>
      <c r="AA62" s="135">
        <v>3900</v>
      </c>
      <c r="AB62" s="135">
        <v>1490</v>
      </c>
      <c r="AC62" s="135">
        <v>0.67</v>
      </c>
      <c r="AD62" s="135">
        <v>3</v>
      </c>
      <c r="AE62" s="135">
        <v>6000</v>
      </c>
      <c r="AF62" s="135">
        <v>2032.2</v>
      </c>
      <c r="AG62" s="135">
        <v>0.49</v>
      </c>
      <c r="AH62" s="135">
        <v>3.1</v>
      </c>
      <c r="AI62" s="135">
        <v>3000</v>
      </c>
      <c r="AJ62" s="135">
        <v>982.1</v>
      </c>
      <c r="AK62" s="135">
        <v>1.02</v>
      </c>
      <c r="AL62" s="135">
        <v>2.6</v>
      </c>
      <c r="AM62" s="135">
        <v>5000</v>
      </c>
      <c r="AN62" s="135">
        <v>1894.3</v>
      </c>
      <c r="AO62" s="135">
        <v>0.53</v>
      </c>
      <c r="AP62" s="135"/>
      <c r="AQ62" s="135"/>
      <c r="AR62" s="135"/>
      <c r="AS62" s="135"/>
      <c r="AT62" s="135"/>
      <c r="AU62" s="135"/>
      <c r="AV62" s="135"/>
      <c r="AW62" s="135"/>
      <c r="AX62" s="135">
        <v>2.6</v>
      </c>
      <c r="AY62" s="135">
        <v>10</v>
      </c>
      <c r="AZ62" s="135">
        <v>3.8</v>
      </c>
      <c r="BA62" s="135">
        <v>0.26</v>
      </c>
      <c r="BB62" s="135"/>
      <c r="BC62" s="135"/>
      <c r="BD62" s="135"/>
      <c r="BE62" s="135"/>
      <c r="BF62" s="135">
        <v>3.1</v>
      </c>
      <c r="BG62" s="135">
        <v>6000</v>
      </c>
      <c r="BH62" s="135">
        <v>1964.1</v>
      </c>
      <c r="BI62" s="135">
        <v>0.51</v>
      </c>
      <c r="BJ62" s="135">
        <v>49.5</v>
      </c>
      <c r="BK62" s="135">
        <v>-2.5</v>
      </c>
      <c r="BL62" s="135">
        <v>26</v>
      </c>
    </row>
    <row r="63" spans="1:64" x14ac:dyDescent="0.3">
      <c r="A63" s="135">
        <v>2016</v>
      </c>
      <c r="B63" s="135">
        <v>4</v>
      </c>
      <c r="C63" s="135" t="s">
        <v>2056</v>
      </c>
      <c r="D63" s="135" t="s">
        <v>138</v>
      </c>
      <c r="E63" s="135" t="s">
        <v>394</v>
      </c>
      <c r="F63" s="135" t="s">
        <v>22</v>
      </c>
      <c r="G63" s="135" t="s">
        <v>2296</v>
      </c>
      <c r="H63" s="135">
        <v>24.7</v>
      </c>
      <c r="I63" s="135">
        <v>2.1850000000000001</v>
      </c>
      <c r="J63" s="135">
        <v>3.2650000000000001</v>
      </c>
      <c r="K63" s="135">
        <v>0</v>
      </c>
      <c r="L63" s="135">
        <v>0</v>
      </c>
      <c r="M63" s="135">
        <v>0</v>
      </c>
      <c r="N63" s="135">
        <v>0</v>
      </c>
      <c r="O63" s="135">
        <v>0</v>
      </c>
      <c r="P63" s="135">
        <v>2.113</v>
      </c>
      <c r="Q63" s="135">
        <v>8.4920000000000009</v>
      </c>
      <c r="R63" s="135">
        <v>0.12</v>
      </c>
      <c r="S63" s="135">
        <v>1.08</v>
      </c>
      <c r="T63" s="135">
        <v>5.5330000000000004</v>
      </c>
      <c r="U63" s="135">
        <v>1.9E-2</v>
      </c>
      <c r="V63" s="135">
        <v>2.5999999999999999E-2</v>
      </c>
      <c r="W63" s="135">
        <v>0</v>
      </c>
      <c r="X63" s="135">
        <v>0</v>
      </c>
      <c r="Y63" s="135" t="s">
        <v>1995</v>
      </c>
      <c r="Z63" s="135"/>
      <c r="AA63" s="135"/>
      <c r="AB63" s="135"/>
      <c r="AC63" s="135"/>
      <c r="AD63" s="135">
        <v>3.3</v>
      </c>
      <c r="AE63" s="135">
        <v>6000</v>
      </c>
      <c r="AF63" s="135">
        <v>1838</v>
      </c>
      <c r="AG63" s="135">
        <v>0.54</v>
      </c>
      <c r="AH63" s="135">
        <v>3.4</v>
      </c>
      <c r="AI63" s="135">
        <v>3000</v>
      </c>
      <c r="AJ63" s="135">
        <v>889</v>
      </c>
      <c r="AK63" s="135">
        <v>1.1200000000000001</v>
      </c>
      <c r="AL63" s="135">
        <v>2.7</v>
      </c>
      <c r="AM63" s="135">
        <v>4900</v>
      </c>
      <c r="AN63" s="135">
        <v>1798.5</v>
      </c>
      <c r="AO63" s="135">
        <v>0.56000000000000005</v>
      </c>
      <c r="AP63" s="135"/>
      <c r="AQ63" s="135"/>
      <c r="AR63" s="135"/>
      <c r="AS63" s="135"/>
      <c r="AT63" s="135"/>
      <c r="AU63" s="135"/>
      <c r="AV63" s="135"/>
      <c r="AW63" s="135"/>
      <c r="AX63" s="135">
        <v>2.7</v>
      </c>
      <c r="AY63" s="135">
        <v>10</v>
      </c>
      <c r="AZ63" s="135">
        <v>3.7</v>
      </c>
      <c r="BA63" s="135">
        <v>0.27</v>
      </c>
      <c r="BB63" s="135"/>
      <c r="BC63" s="135"/>
      <c r="BD63" s="135"/>
      <c r="BE63" s="135"/>
      <c r="BF63" s="135">
        <v>3.4</v>
      </c>
      <c r="BG63" s="135">
        <v>6000</v>
      </c>
      <c r="BH63" s="135">
        <v>1778</v>
      </c>
      <c r="BI63" s="135">
        <v>0.56000000000000005</v>
      </c>
      <c r="BJ63" s="135">
        <v>50</v>
      </c>
      <c r="BK63" s="135">
        <v>-3</v>
      </c>
      <c r="BL63" s="135">
        <v>26.5</v>
      </c>
    </row>
    <row r="64" spans="1:64" x14ac:dyDescent="0.3">
      <c r="A64" s="135">
        <v>2016</v>
      </c>
      <c r="B64" s="135">
        <v>4</v>
      </c>
      <c r="C64" s="135" t="s">
        <v>2065</v>
      </c>
      <c r="D64" s="135" t="s">
        <v>155</v>
      </c>
      <c r="E64" s="135" t="s">
        <v>394</v>
      </c>
      <c r="F64" s="135" t="s">
        <v>32</v>
      </c>
      <c r="G64" s="135" t="s">
        <v>4</v>
      </c>
      <c r="H64" s="135">
        <v>16.09</v>
      </c>
      <c r="I64" s="135">
        <v>1.9770000000000001</v>
      </c>
      <c r="J64" s="135">
        <v>3.5960000000000001</v>
      </c>
      <c r="K64" s="135">
        <v>0</v>
      </c>
      <c r="L64" s="135">
        <v>0</v>
      </c>
      <c r="M64" s="135">
        <v>0</v>
      </c>
      <c r="N64" s="135">
        <v>0</v>
      </c>
      <c r="O64" s="135">
        <v>0</v>
      </c>
      <c r="P64" s="135">
        <v>0.99299999999999999</v>
      </c>
      <c r="Q64" s="135">
        <v>2.7050000000000001</v>
      </c>
      <c r="R64" s="135">
        <v>0</v>
      </c>
      <c r="S64" s="135">
        <v>1.619</v>
      </c>
      <c r="T64" s="135">
        <v>14.121</v>
      </c>
      <c r="U64" s="135">
        <v>5.5E-2</v>
      </c>
      <c r="V64" s="135">
        <v>1.7999999999999999E-2</v>
      </c>
      <c r="W64" s="135">
        <v>0</v>
      </c>
      <c r="X64" s="135">
        <v>0</v>
      </c>
      <c r="Y64" s="135" t="s">
        <v>1995</v>
      </c>
      <c r="Z64" s="135"/>
      <c r="AA64" s="135"/>
      <c r="AB64" s="135"/>
      <c r="AC64" s="135"/>
      <c r="AD64" s="135">
        <v>3.6</v>
      </c>
      <c r="AE64" s="135">
        <v>6000</v>
      </c>
      <c r="AF64" s="135">
        <v>1668.7</v>
      </c>
      <c r="AG64" s="135">
        <v>0.6</v>
      </c>
      <c r="AH64" s="135">
        <v>3.7</v>
      </c>
      <c r="AI64" s="135">
        <v>3000</v>
      </c>
      <c r="AJ64" s="135">
        <v>807.6</v>
      </c>
      <c r="AK64" s="135">
        <v>1.24</v>
      </c>
      <c r="AL64" s="135">
        <v>2.8</v>
      </c>
      <c r="AM64" s="135">
        <v>4500</v>
      </c>
      <c r="AN64" s="135">
        <v>1615.2</v>
      </c>
      <c r="AO64" s="135">
        <v>0.62</v>
      </c>
      <c r="AP64" s="135"/>
      <c r="AQ64" s="135"/>
      <c r="AR64" s="135"/>
      <c r="AS64" s="135"/>
      <c r="AT64" s="135"/>
      <c r="AU64" s="135"/>
      <c r="AV64" s="135"/>
      <c r="AW64" s="135"/>
      <c r="AX64" s="135">
        <v>2.8</v>
      </c>
      <c r="AY64" s="135">
        <v>10</v>
      </c>
      <c r="AZ64" s="135">
        <v>3.6</v>
      </c>
      <c r="BA64" s="135">
        <v>0.28000000000000003</v>
      </c>
      <c r="BB64" s="135"/>
      <c r="BC64" s="135"/>
      <c r="BD64" s="135"/>
      <c r="BE64" s="135"/>
      <c r="BF64" s="135">
        <v>3.7</v>
      </c>
      <c r="BG64" s="135">
        <v>6000</v>
      </c>
      <c r="BH64" s="135">
        <v>1615.3</v>
      </c>
      <c r="BI64" s="135">
        <v>0.62</v>
      </c>
      <c r="BJ64" s="135">
        <v>46.5</v>
      </c>
      <c r="BK64" s="135">
        <v>-3.5</v>
      </c>
      <c r="BL64" s="135">
        <v>25</v>
      </c>
    </row>
    <row r="65" spans="1:64" x14ac:dyDescent="0.3">
      <c r="A65" s="135">
        <v>2016</v>
      </c>
      <c r="B65" s="135">
        <v>4</v>
      </c>
      <c r="C65" s="135" t="s">
        <v>2057</v>
      </c>
      <c r="D65" s="135" t="s">
        <v>151</v>
      </c>
      <c r="E65" s="135" t="s">
        <v>394</v>
      </c>
      <c r="F65" s="135" t="s">
        <v>409</v>
      </c>
      <c r="G65" s="135" t="s">
        <v>2295</v>
      </c>
      <c r="H65" s="135">
        <v>15.59</v>
      </c>
      <c r="I65" s="135">
        <v>1.8759999999999999</v>
      </c>
      <c r="J65" s="135">
        <v>3.0139999999999998</v>
      </c>
      <c r="K65" s="135">
        <v>0</v>
      </c>
      <c r="L65" s="135">
        <v>0</v>
      </c>
      <c r="M65" s="135">
        <v>0</v>
      </c>
      <c r="N65" s="135">
        <v>0</v>
      </c>
      <c r="O65" s="135">
        <v>0</v>
      </c>
      <c r="P65" s="135">
        <v>1.85</v>
      </c>
      <c r="Q65" s="135">
        <v>7.8120000000000003</v>
      </c>
      <c r="R65" s="135">
        <v>2.1999999999999999E-2</v>
      </c>
      <c r="S65" s="135">
        <v>1.1379999999999999</v>
      </c>
      <c r="T65" s="135">
        <v>8.4120000000000008</v>
      </c>
      <c r="U65" s="135">
        <v>3.1E-2</v>
      </c>
      <c r="V65" s="135">
        <v>3.2000000000000001E-2</v>
      </c>
      <c r="W65" s="135">
        <v>0</v>
      </c>
      <c r="X65" s="135">
        <v>0</v>
      </c>
      <c r="Y65" s="135" t="s">
        <v>1995</v>
      </c>
      <c r="Z65" s="135">
        <v>2.4</v>
      </c>
      <c r="AA65" s="135">
        <v>3900</v>
      </c>
      <c r="AB65" s="135">
        <v>1616</v>
      </c>
      <c r="AC65" s="135">
        <v>0.62</v>
      </c>
      <c r="AD65" s="135">
        <v>3</v>
      </c>
      <c r="AE65" s="135">
        <v>6000</v>
      </c>
      <c r="AF65" s="135">
        <v>1990.4</v>
      </c>
      <c r="AG65" s="135">
        <v>0.5</v>
      </c>
      <c r="AH65" s="135">
        <v>3.1</v>
      </c>
      <c r="AI65" s="135">
        <v>3200</v>
      </c>
      <c r="AJ65" s="135">
        <v>1017.9</v>
      </c>
      <c r="AK65" s="135">
        <v>0.98</v>
      </c>
      <c r="AL65" s="135">
        <v>2.4</v>
      </c>
      <c r="AM65" s="135">
        <v>4700</v>
      </c>
      <c r="AN65" s="135">
        <v>1922</v>
      </c>
      <c r="AO65" s="135">
        <v>0.52</v>
      </c>
      <c r="AP65" s="135"/>
      <c r="AQ65" s="135"/>
      <c r="AR65" s="135"/>
      <c r="AS65" s="135"/>
      <c r="AT65" s="135"/>
      <c r="AU65" s="135"/>
      <c r="AV65" s="135"/>
      <c r="AW65" s="135"/>
      <c r="AX65" s="135">
        <v>2.4</v>
      </c>
      <c r="AY65" s="135">
        <v>10</v>
      </c>
      <c r="AZ65" s="135">
        <v>4.0999999999999996</v>
      </c>
      <c r="BA65" s="135">
        <v>0.24</v>
      </c>
      <c r="BB65" s="135"/>
      <c r="BC65" s="135"/>
      <c r="BD65" s="135"/>
      <c r="BE65" s="135"/>
      <c r="BF65" s="135">
        <v>3.1</v>
      </c>
      <c r="BG65" s="135">
        <v>6300</v>
      </c>
      <c r="BH65" s="135">
        <v>2004</v>
      </c>
      <c r="BI65" s="135">
        <v>0.5</v>
      </c>
      <c r="BJ65" s="135">
        <v>43</v>
      </c>
      <c r="BK65" s="135">
        <v>8</v>
      </c>
      <c r="BL65" s="135">
        <v>17.5</v>
      </c>
    </row>
    <row r="66" spans="1:64" x14ac:dyDescent="0.3">
      <c r="A66" s="135">
        <v>2016</v>
      </c>
      <c r="B66" s="135">
        <v>4</v>
      </c>
      <c r="C66" s="135" t="s">
        <v>2066</v>
      </c>
      <c r="D66" s="135" t="s">
        <v>502</v>
      </c>
      <c r="E66" s="135" t="s">
        <v>394</v>
      </c>
      <c r="F66" s="135" t="s">
        <v>407</v>
      </c>
      <c r="G66" s="135" t="s">
        <v>404</v>
      </c>
      <c r="H66" s="135">
        <v>30.34</v>
      </c>
      <c r="I66" s="135">
        <v>1.837</v>
      </c>
      <c r="J66" s="135">
        <v>1.837</v>
      </c>
      <c r="K66" s="135">
        <v>0</v>
      </c>
      <c r="L66" s="135">
        <v>0</v>
      </c>
      <c r="M66" s="135">
        <v>0</v>
      </c>
      <c r="N66" s="135">
        <v>0</v>
      </c>
      <c r="O66" s="135">
        <v>0</v>
      </c>
      <c r="P66" s="135">
        <v>2.8660000000000001</v>
      </c>
      <c r="Q66" s="135">
        <v>11.968</v>
      </c>
      <c r="R66" s="135">
        <v>0.114</v>
      </c>
      <c r="S66" s="135">
        <v>0</v>
      </c>
      <c r="T66" s="135">
        <v>0</v>
      </c>
      <c r="U66" s="135">
        <v>0</v>
      </c>
      <c r="V66" s="135">
        <v>2.1999999999999999E-2</v>
      </c>
      <c r="W66" s="135">
        <v>0</v>
      </c>
      <c r="X66" s="135">
        <v>0</v>
      </c>
      <c r="Y66" s="135" t="s">
        <v>1995</v>
      </c>
      <c r="Z66" s="135">
        <v>1.8</v>
      </c>
      <c r="AA66" s="135">
        <v>3000</v>
      </c>
      <c r="AB66" s="135">
        <v>1653.1</v>
      </c>
      <c r="AC66" s="135">
        <v>0.6</v>
      </c>
      <c r="AD66" s="135">
        <v>1.8</v>
      </c>
      <c r="AE66" s="135">
        <v>6000</v>
      </c>
      <c r="AF66" s="135">
        <v>3266.6</v>
      </c>
      <c r="AG66" s="135">
        <v>0.31</v>
      </c>
      <c r="AH66" s="135">
        <v>1.9</v>
      </c>
      <c r="AI66" s="135">
        <v>3000</v>
      </c>
      <c r="AJ66" s="135">
        <v>1553.9</v>
      </c>
      <c r="AK66" s="135">
        <v>0.64</v>
      </c>
      <c r="AL66" s="135">
        <v>1.8</v>
      </c>
      <c r="AM66" s="135">
        <v>4500</v>
      </c>
      <c r="AN66" s="135">
        <v>2449.9</v>
      </c>
      <c r="AO66" s="135">
        <v>0.41</v>
      </c>
      <c r="AP66" s="135"/>
      <c r="AQ66" s="135"/>
      <c r="AR66" s="135"/>
      <c r="AS66" s="135"/>
      <c r="AT66" s="135"/>
      <c r="AU66" s="135"/>
      <c r="AV66" s="135"/>
      <c r="AW66" s="135"/>
      <c r="AX66" s="135">
        <v>1.8</v>
      </c>
      <c r="AY66" s="135">
        <v>10</v>
      </c>
      <c r="AZ66" s="135">
        <v>5.4</v>
      </c>
      <c r="BA66" s="135">
        <v>0.18</v>
      </c>
      <c r="BB66" s="135"/>
      <c r="BC66" s="135"/>
      <c r="BD66" s="135"/>
      <c r="BE66" s="135"/>
      <c r="BF66" s="135">
        <v>1.9</v>
      </c>
      <c r="BG66" s="135">
        <v>6000</v>
      </c>
      <c r="BH66" s="135">
        <v>3107.8</v>
      </c>
      <c r="BI66" s="135">
        <v>0.32</v>
      </c>
      <c r="BJ66" s="135">
        <v>53.5</v>
      </c>
      <c r="BK66" s="135">
        <v>-4</v>
      </c>
      <c r="BL66" s="135">
        <v>28.75</v>
      </c>
    </row>
    <row r="67" spans="1:64" x14ac:dyDescent="0.3">
      <c r="A67" s="135">
        <v>2016</v>
      </c>
      <c r="B67" s="135">
        <v>4</v>
      </c>
      <c r="C67" s="135" t="s">
        <v>2063</v>
      </c>
      <c r="D67" s="135" t="s">
        <v>118</v>
      </c>
      <c r="E67" s="135" t="s">
        <v>394</v>
      </c>
      <c r="F67" s="135" t="s">
        <v>10</v>
      </c>
      <c r="G67" s="135" t="s">
        <v>1992</v>
      </c>
      <c r="H67" s="135">
        <v>13.69</v>
      </c>
      <c r="I67" s="135">
        <v>1.4690000000000001</v>
      </c>
      <c r="J67" s="135">
        <v>2.2679999999999998</v>
      </c>
      <c r="K67" s="135">
        <v>0</v>
      </c>
      <c r="L67" s="135">
        <v>0</v>
      </c>
      <c r="M67" s="135">
        <v>0</v>
      </c>
      <c r="N67" s="135">
        <v>0</v>
      </c>
      <c r="O67" s="135">
        <v>0</v>
      </c>
      <c r="P67" s="135">
        <v>1.1930000000000001</v>
      </c>
      <c r="Q67" s="135">
        <v>5.9690000000000003</v>
      </c>
      <c r="R67" s="135">
        <v>4.1000000000000002E-2</v>
      </c>
      <c r="S67" s="135">
        <v>0.79900000000000004</v>
      </c>
      <c r="T67" s="135">
        <v>5.3179999999999996</v>
      </c>
      <c r="U67" s="135">
        <v>2.3E-2</v>
      </c>
      <c r="V67" s="135">
        <v>2.1999999999999999E-2</v>
      </c>
      <c r="W67" s="135">
        <v>0</v>
      </c>
      <c r="X67" s="135">
        <v>0</v>
      </c>
      <c r="Y67" s="135" t="s">
        <v>1995</v>
      </c>
      <c r="Z67" s="135">
        <v>1.8</v>
      </c>
      <c r="AA67" s="135">
        <v>3500</v>
      </c>
      <c r="AB67" s="135">
        <v>1895.8</v>
      </c>
      <c r="AC67" s="135">
        <v>0.53</v>
      </c>
      <c r="AD67" s="135">
        <v>2.2999999999999998</v>
      </c>
      <c r="AE67" s="135">
        <v>6000</v>
      </c>
      <c r="AF67" s="135">
        <v>2645.9</v>
      </c>
      <c r="AG67" s="135">
        <v>0.38</v>
      </c>
      <c r="AH67" s="135">
        <v>2.4</v>
      </c>
      <c r="AI67" s="135">
        <v>3000</v>
      </c>
      <c r="AJ67" s="135">
        <v>1272.5999999999999</v>
      </c>
      <c r="AK67" s="135">
        <v>0.79</v>
      </c>
      <c r="AL67" s="135">
        <v>1.9</v>
      </c>
      <c r="AM67" s="135">
        <v>4900</v>
      </c>
      <c r="AN67" s="135">
        <v>2622.8</v>
      </c>
      <c r="AO67" s="135">
        <v>0.38</v>
      </c>
      <c r="AP67" s="135"/>
      <c r="AQ67" s="135"/>
      <c r="AR67" s="135"/>
      <c r="AS67" s="135"/>
      <c r="AT67" s="135"/>
      <c r="AU67" s="135"/>
      <c r="AV67" s="135"/>
      <c r="AW67" s="135"/>
      <c r="AX67" s="135">
        <v>1.9</v>
      </c>
      <c r="AY67" s="135">
        <v>11</v>
      </c>
      <c r="AZ67" s="135">
        <v>5.9</v>
      </c>
      <c r="BA67" s="135">
        <v>0.17</v>
      </c>
      <c r="BB67" s="135"/>
      <c r="BC67" s="135"/>
      <c r="BD67" s="135"/>
      <c r="BE67" s="135"/>
      <c r="BF67" s="135">
        <v>2.4</v>
      </c>
      <c r="BG67" s="135">
        <v>6000</v>
      </c>
      <c r="BH67" s="135">
        <v>2545.1999999999998</v>
      </c>
      <c r="BI67" s="135">
        <v>0.39</v>
      </c>
      <c r="BJ67" s="135">
        <v>44</v>
      </c>
      <c r="BK67" s="135">
        <v>4.5</v>
      </c>
      <c r="BL67" s="135">
        <v>19.75</v>
      </c>
    </row>
    <row r="68" spans="1:64" x14ac:dyDescent="0.3">
      <c r="A68" s="135">
        <v>2016</v>
      </c>
      <c r="B68" s="135">
        <v>4</v>
      </c>
      <c r="C68" s="135" t="s">
        <v>2079</v>
      </c>
      <c r="D68" s="135" t="s">
        <v>142</v>
      </c>
      <c r="E68" s="135" t="s">
        <v>394</v>
      </c>
      <c r="F68" s="135" t="s">
        <v>43</v>
      </c>
      <c r="G68" s="135" t="s">
        <v>30</v>
      </c>
      <c r="H68" s="135">
        <v>9.0399999999999991</v>
      </c>
      <c r="I68" s="135">
        <v>1.3049999999999999</v>
      </c>
      <c r="J68" s="135">
        <v>2.746</v>
      </c>
      <c r="K68" s="135">
        <v>0</v>
      </c>
      <c r="L68" s="135">
        <v>0</v>
      </c>
      <c r="M68" s="135">
        <v>0</v>
      </c>
      <c r="N68" s="135">
        <v>0</v>
      </c>
      <c r="O68" s="135">
        <v>0</v>
      </c>
      <c r="P68" s="135">
        <v>0.73499999999999999</v>
      </c>
      <c r="Q68" s="135">
        <v>3.5459999999999998</v>
      </c>
      <c r="R68" s="135">
        <v>0</v>
      </c>
      <c r="S68" s="135">
        <v>1.4410000000000001</v>
      </c>
      <c r="T68" s="135">
        <v>9.8840000000000003</v>
      </c>
      <c r="U68" s="135">
        <v>0</v>
      </c>
      <c r="V68" s="135">
        <v>1.9E-2</v>
      </c>
      <c r="W68" s="135">
        <v>0</v>
      </c>
      <c r="X68" s="135">
        <v>0</v>
      </c>
      <c r="Y68" s="135" t="s">
        <v>1995</v>
      </c>
      <c r="Z68" s="135">
        <v>2</v>
      </c>
      <c r="AA68" s="135">
        <v>3000</v>
      </c>
      <c r="AB68" s="135">
        <v>1495.1</v>
      </c>
      <c r="AC68" s="135">
        <v>0.67</v>
      </c>
      <c r="AD68" s="135">
        <v>2.7</v>
      </c>
      <c r="AE68" s="135">
        <v>6000</v>
      </c>
      <c r="AF68" s="135">
        <v>2185</v>
      </c>
      <c r="AG68" s="135">
        <v>0.46</v>
      </c>
      <c r="AH68" s="135">
        <v>2.8</v>
      </c>
      <c r="AI68" s="135">
        <v>3000</v>
      </c>
      <c r="AJ68" s="135">
        <v>1054.3</v>
      </c>
      <c r="AK68" s="135">
        <v>0.95</v>
      </c>
      <c r="AL68" s="135">
        <v>2</v>
      </c>
      <c r="AM68" s="135">
        <v>4500</v>
      </c>
      <c r="AN68" s="135">
        <v>2221.6999999999998</v>
      </c>
      <c r="AO68" s="135">
        <v>0.45</v>
      </c>
      <c r="AP68" s="135"/>
      <c r="AQ68" s="135"/>
      <c r="AR68" s="135"/>
      <c r="AS68" s="135"/>
      <c r="AT68" s="135"/>
      <c r="AU68" s="135"/>
      <c r="AV68" s="135"/>
      <c r="AW68" s="135"/>
      <c r="AX68" s="135">
        <v>2</v>
      </c>
      <c r="AY68" s="135">
        <v>10</v>
      </c>
      <c r="AZ68" s="135">
        <v>4.9000000000000004</v>
      </c>
      <c r="BA68" s="135">
        <v>0.2</v>
      </c>
      <c r="BB68" s="135"/>
      <c r="BC68" s="135"/>
      <c r="BD68" s="135"/>
      <c r="BE68" s="135"/>
      <c r="BF68" s="135">
        <v>2.8</v>
      </c>
      <c r="BG68" s="135">
        <v>6000</v>
      </c>
      <c r="BH68" s="135">
        <v>2108.5</v>
      </c>
      <c r="BI68" s="135">
        <v>0.47</v>
      </c>
      <c r="BJ68" s="135">
        <v>40.5</v>
      </c>
      <c r="BK68" s="135">
        <v>-6.5</v>
      </c>
      <c r="BL68" s="135">
        <v>23.5</v>
      </c>
    </row>
    <row r="69" spans="1:64" x14ac:dyDescent="0.3">
      <c r="A69" s="135">
        <v>2016</v>
      </c>
      <c r="B69" s="135">
        <v>4</v>
      </c>
      <c r="C69" s="135" t="s">
        <v>2556</v>
      </c>
      <c r="D69" s="135" t="s">
        <v>472</v>
      </c>
      <c r="E69" s="135" t="s">
        <v>394</v>
      </c>
      <c r="F69" s="135" t="s">
        <v>7</v>
      </c>
      <c r="G69" s="135" t="s">
        <v>2305</v>
      </c>
      <c r="H69" s="135">
        <v>9.0399999999999991</v>
      </c>
      <c r="I69" s="135">
        <v>1.21</v>
      </c>
      <c r="J69" s="135">
        <v>1.21</v>
      </c>
      <c r="K69" s="135">
        <v>0</v>
      </c>
      <c r="L69" s="135">
        <v>0</v>
      </c>
      <c r="M69" s="135">
        <v>0</v>
      </c>
      <c r="N69" s="135">
        <v>0</v>
      </c>
      <c r="O69" s="135">
        <v>0</v>
      </c>
      <c r="P69" s="135">
        <v>2.9060000000000001</v>
      </c>
      <c r="Q69" s="135">
        <v>8.7029999999999994</v>
      </c>
      <c r="R69" s="135">
        <v>6.5000000000000002E-2</v>
      </c>
      <c r="S69" s="135">
        <v>0</v>
      </c>
      <c r="T69" s="135">
        <v>0</v>
      </c>
      <c r="U69" s="135">
        <v>0</v>
      </c>
      <c r="V69" s="135">
        <v>2.5000000000000001E-2</v>
      </c>
      <c r="W69" s="135">
        <v>0</v>
      </c>
      <c r="X69" s="135">
        <v>0</v>
      </c>
      <c r="Y69" s="135" t="s">
        <v>1995</v>
      </c>
      <c r="Z69" s="135">
        <v>1.2</v>
      </c>
      <c r="AA69" s="135">
        <v>3800</v>
      </c>
      <c r="AB69" s="135">
        <v>3205.9</v>
      </c>
      <c r="AC69" s="135">
        <v>0.31</v>
      </c>
      <c r="AD69" s="135">
        <v>1.2</v>
      </c>
      <c r="AE69" s="135">
        <v>6000</v>
      </c>
      <c r="AF69" s="135">
        <v>4957.3999999999996</v>
      </c>
      <c r="AG69" s="135">
        <v>0.2</v>
      </c>
      <c r="AH69" s="135">
        <v>1.3</v>
      </c>
      <c r="AI69" s="135">
        <v>3000</v>
      </c>
      <c r="AJ69" s="135">
        <v>2330.1</v>
      </c>
      <c r="AK69" s="135">
        <v>0.43</v>
      </c>
      <c r="AL69" s="135">
        <v>1.2</v>
      </c>
      <c r="AM69" s="135">
        <v>4500</v>
      </c>
      <c r="AN69" s="135">
        <v>3718.1</v>
      </c>
      <c r="AO69" s="135">
        <v>0.27</v>
      </c>
      <c r="AP69" s="135"/>
      <c r="AQ69" s="135"/>
      <c r="AR69" s="135"/>
      <c r="AS69" s="135"/>
      <c r="AT69" s="135"/>
      <c r="AU69" s="135"/>
      <c r="AV69" s="135"/>
      <c r="AW69" s="135"/>
      <c r="AX69" s="135">
        <v>1.2</v>
      </c>
      <c r="AY69" s="135">
        <v>10</v>
      </c>
      <c r="AZ69" s="135">
        <v>8.3000000000000007</v>
      </c>
      <c r="BA69" s="135">
        <v>0.12</v>
      </c>
      <c r="BB69" s="135"/>
      <c r="BC69" s="135"/>
      <c r="BD69" s="135"/>
      <c r="BE69" s="135"/>
      <c r="BF69" s="135">
        <v>1.3</v>
      </c>
      <c r="BG69" s="135">
        <v>6000</v>
      </c>
      <c r="BH69" s="135">
        <v>4660.1000000000004</v>
      </c>
      <c r="BI69" s="135">
        <v>0.21</v>
      </c>
      <c r="BJ69" s="135">
        <v>40.5</v>
      </c>
      <c r="BK69" s="135">
        <v>-1.5</v>
      </c>
      <c r="BL69" s="135">
        <v>21</v>
      </c>
    </row>
    <row r="70" spans="1:64" x14ac:dyDescent="0.3">
      <c r="A70" s="135">
        <v>2016</v>
      </c>
      <c r="B70" s="135">
        <v>4</v>
      </c>
      <c r="C70" s="135" t="s">
        <v>2068</v>
      </c>
      <c r="D70" s="135" t="s">
        <v>134</v>
      </c>
      <c r="E70" s="135" t="s">
        <v>394</v>
      </c>
      <c r="F70" s="135" t="s">
        <v>52</v>
      </c>
      <c r="G70" s="135" t="s">
        <v>2309</v>
      </c>
      <c r="H70" s="135">
        <v>22.04</v>
      </c>
      <c r="I70" s="135">
        <v>1.159</v>
      </c>
      <c r="J70" s="135">
        <v>2.0019999999999998</v>
      </c>
      <c r="K70" s="135">
        <v>0</v>
      </c>
      <c r="L70" s="135">
        <v>0</v>
      </c>
      <c r="M70" s="135">
        <v>0</v>
      </c>
      <c r="N70" s="135">
        <v>0</v>
      </c>
      <c r="O70" s="135">
        <v>0</v>
      </c>
      <c r="P70" s="135">
        <v>0.28799999999999998</v>
      </c>
      <c r="Q70" s="135">
        <v>2.613</v>
      </c>
      <c r="R70" s="135">
        <v>0</v>
      </c>
      <c r="S70" s="135">
        <v>0.84299999999999997</v>
      </c>
      <c r="T70" s="135">
        <v>7.2919999999999998</v>
      </c>
      <c r="U70" s="135">
        <v>3.1E-2</v>
      </c>
      <c r="V70" s="135">
        <v>8.9999999999999993E-3</v>
      </c>
      <c r="W70" s="135">
        <v>0</v>
      </c>
      <c r="X70" s="135">
        <v>0</v>
      </c>
      <c r="Y70" s="135" t="s">
        <v>1995</v>
      </c>
      <c r="Z70" s="135">
        <v>1.6</v>
      </c>
      <c r="AA70" s="135">
        <v>3400</v>
      </c>
      <c r="AB70" s="135">
        <v>2164.1999999999998</v>
      </c>
      <c r="AC70" s="135">
        <v>0.46</v>
      </c>
      <c r="AD70" s="135">
        <v>2</v>
      </c>
      <c r="AE70" s="135">
        <v>6000</v>
      </c>
      <c r="AF70" s="135">
        <v>2997.8</v>
      </c>
      <c r="AG70" s="135">
        <v>0.33</v>
      </c>
      <c r="AH70" s="135">
        <v>2.1</v>
      </c>
      <c r="AI70" s="135">
        <v>3000</v>
      </c>
      <c r="AJ70" s="135">
        <v>1449.3</v>
      </c>
      <c r="AK70" s="135">
        <v>0.69</v>
      </c>
      <c r="AL70" s="135">
        <v>1.6</v>
      </c>
      <c r="AM70" s="135">
        <v>4900</v>
      </c>
      <c r="AN70" s="135">
        <v>3101.3</v>
      </c>
      <c r="AO70" s="135">
        <v>0.32</v>
      </c>
      <c r="AP70" s="135"/>
      <c r="AQ70" s="135"/>
      <c r="AR70" s="135"/>
      <c r="AS70" s="135"/>
      <c r="AT70" s="135"/>
      <c r="AU70" s="135"/>
      <c r="AV70" s="135"/>
      <c r="AW70" s="135"/>
      <c r="AX70" s="135">
        <v>1.6</v>
      </c>
      <c r="AY70" s="135">
        <v>10</v>
      </c>
      <c r="AZ70" s="135">
        <v>6.3</v>
      </c>
      <c r="BA70" s="135">
        <v>0.16</v>
      </c>
      <c r="BB70" s="135"/>
      <c r="BC70" s="135"/>
      <c r="BD70" s="135"/>
      <c r="BE70" s="135"/>
      <c r="BF70" s="135">
        <v>2.1</v>
      </c>
      <c r="BG70" s="135">
        <v>6000</v>
      </c>
      <c r="BH70" s="135">
        <v>2898.6</v>
      </c>
      <c r="BI70" s="135">
        <v>0.34</v>
      </c>
      <c r="BJ70" s="135">
        <v>46</v>
      </c>
      <c r="BK70" s="135">
        <v>-3</v>
      </c>
      <c r="BL70" s="135">
        <v>24.5</v>
      </c>
    </row>
    <row r="71" spans="1:64" x14ac:dyDescent="0.3">
      <c r="A71" s="135">
        <v>2016</v>
      </c>
      <c r="B71" s="135">
        <v>4</v>
      </c>
      <c r="C71" s="135" t="s">
        <v>2073</v>
      </c>
      <c r="D71" s="135" t="s">
        <v>108</v>
      </c>
      <c r="E71" s="135" t="s">
        <v>394</v>
      </c>
      <c r="F71" s="135" t="s">
        <v>43</v>
      </c>
      <c r="G71" s="135" t="s">
        <v>30</v>
      </c>
      <c r="H71" s="135">
        <v>9.0399999999999991</v>
      </c>
      <c r="I71" s="135">
        <v>1.042</v>
      </c>
      <c r="J71" s="135">
        <v>1.042</v>
      </c>
      <c r="K71" s="135">
        <v>0</v>
      </c>
      <c r="L71" s="135">
        <v>0</v>
      </c>
      <c r="M71" s="135">
        <v>0</v>
      </c>
      <c r="N71" s="135">
        <v>0</v>
      </c>
      <c r="O71" s="135">
        <v>0</v>
      </c>
      <c r="P71" s="135">
        <v>2.5289999999999999</v>
      </c>
      <c r="Q71" s="135">
        <v>9.4559999999999995</v>
      </c>
      <c r="R71" s="135">
        <v>2.3E-2</v>
      </c>
      <c r="S71" s="135">
        <v>0</v>
      </c>
      <c r="T71" s="135">
        <v>0</v>
      </c>
      <c r="U71" s="135">
        <v>0</v>
      </c>
      <c r="V71" s="135">
        <v>2.1000000000000001E-2</v>
      </c>
      <c r="W71" s="135">
        <v>0</v>
      </c>
      <c r="X71" s="135">
        <v>0</v>
      </c>
      <c r="Y71" s="135" t="s">
        <v>1995</v>
      </c>
      <c r="Z71" s="135">
        <v>1</v>
      </c>
      <c r="AA71" s="135">
        <v>3300</v>
      </c>
      <c r="AB71" s="135">
        <v>3233.4</v>
      </c>
      <c r="AC71" s="135">
        <v>0.31</v>
      </c>
      <c r="AD71" s="135">
        <v>1</v>
      </c>
      <c r="AE71" s="135">
        <v>6000</v>
      </c>
      <c r="AF71" s="135">
        <v>5760.4</v>
      </c>
      <c r="AG71" s="135">
        <v>0.17</v>
      </c>
      <c r="AH71" s="135">
        <v>1.1000000000000001</v>
      </c>
      <c r="AI71" s="135">
        <v>3100</v>
      </c>
      <c r="AJ71" s="135">
        <v>2769.5</v>
      </c>
      <c r="AK71" s="135">
        <v>0.36</v>
      </c>
      <c r="AL71" s="135">
        <v>1</v>
      </c>
      <c r="AM71" s="135">
        <v>4700</v>
      </c>
      <c r="AN71" s="135">
        <v>4512.3</v>
      </c>
      <c r="AO71" s="135">
        <v>0.22</v>
      </c>
      <c r="AP71" s="135"/>
      <c r="AQ71" s="135"/>
      <c r="AR71" s="135"/>
      <c r="AS71" s="135"/>
      <c r="AT71" s="135"/>
      <c r="AU71" s="135"/>
      <c r="AV71" s="135"/>
      <c r="AW71" s="135"/>
      <c r="AX71" s="135">
        <v>1</v>
      </c>
      <c r="AY71" s="135">
        <v>10</v>
      </c>
      <c r="AZ71" s="135">
        <v>9.6</v>
      </c>
      <c r="BA71" s="135">
        <v>0.1</v>
      </c>
      <c r="BB71" s="135"/>
      <c r="BC71" s="135"/>
      <c r="BD71" s="135"/>
      <c r="BE71" s="135"/>
      <c r="BF71" s="135">
        <v>1.1000000000000001</v>
      </c>
      <c r="BG71" s="135">
        <v>6000</v>
      </c>
      <c r="BH71" s="135">
        <v>5360.3</v>
      </c>
      <c r="BI71" s="135">
        <v>0.19</v>
      </c>
      <c r="BJ71" s="135">
        <v>40.5</v>
      </c>
      <c r="BK71" s="135">
        <v>-6.5</v>
      </c>
      <c r="BL71" s="135">
        <v>23.5</v>
      </c>
    </row>
    <row r="72" spans="1:64" x14ac:dyDescent="0.3">
      <c r="A72" s="135">
        <v>2016</v>
      </c>
      <c r="B72" s="135">
        <v>4</v>
      </c>
      <c r="C72" s="135" t="s">
        <v>2072</v>
      </c>
      <c r="D72" s="135" t="s">
        <v>1246</v>
      </c>
      <c r="E72" s="135" t="s">
        <v>394</v>
      </c>
      <c r="F72" s="135" t="s">
        <v>409</v>
      </c>
      <c r="G72" s="135" t="s">
        <v>2295</v>
      </c>
      <c r="H72" s="135">
        <v>15.59</v>
      </c>
      <c r="I72" s="135">
        <v>0.96799999999999997</v>
      </c>
      <c r="J72" s="135">
        <v>1.347</v>
      </c>
      <c r="K72" s="135">
        <v>0</v>
      </c>
      <c r="L72" s="135">
        <v>0</v>
      </c>
      <c r="M72" s="135">
        <v>0</v>
      </c>
      <c r="N72" s="135">
        <v>0</v>
      </c>
      <c r="O72" s="135">
        <v>0</v>
      </c>
      <c r="P72" s="135">
        <v>1.085</v>
      </c>
      <c r="Q72" s="135">
        <v>4.8070000000000004</v>
      </c>
      <c r="R72" s="135">
        <v>2.9000000000000001E-2</v>
      </c>
      <c r="S72" s="135">
        <v>0.379</v>
      </c>
      <c r="T72" s="135">
        <v>3.1539999999999999</v>
      </c>
      <c r="U72" s="135">
        <v>5.0000000000000001E-3</v>
      </c>
      <c r="V72" s="135">
        <v>1.6E-2</v>
      </c>
      <c r="W72" s="135">
        <v>0</v>
      </c>
      <c r="X72" s="135">
        <v>0</v>
      </c>
      <c r="Y72" s="135" t="s">
        <v>1995</v>
      </c>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v>43</v>
      </c>
      <c r="BK72" s="135">
        <v>8</v>
      </c>
      <c r="BL72" s="135">
        <v>17.5</v>
      </c>
    </row>
    <row r="73" spans="1:64" x14ac:dyDescent="0.3">
      <c r="A73" s="135">
        <v>2016</v>
      </c>
      <c r="B73" s="135">
        <v>4</v>
      </c>
      <c r="C73" s="135" t="s">
        <v>2084</v>
      </c>
      <c r="D73" s="135" t="s">
        <v>1556</v>
      </c>
      <c r="E73" s="135" t="s">
        <v>394</v>
      </c>
      <c r="F73" s="135" t="s">
        <v>70</v>
      </c>
      <c r="G73" s="135" t="s">
        <v>2005</v>
      </c>
      <c r="H73" s="135">
        <v>18.350000000000001</v>
      </c>
      <c r="I73" s="135">
        <v>0.90300000000000002</v>
      </c>
      <c r="J73" s="135">
        <v>1.6459999999999999</v>
      </c>
      <c r="K73" s="135">
        <v>0</v>
      </c>
      <c r="L73" s="135">
        <v>0</v>
      </c>
      <c r="M73" s="135">
        <v>0</v>
      </c>
      <c r="N73" s="135">
        <v>0</v>
      </c>
      <c r="O73" s="135">
        <v>0</v>
      </c>
      <c r="P73" s="135">
        <v>0.60499999999999998</v>
      </c>
      <c r="Q73" s="135">
        <v>2.2240000000000002</v>
      </c>
      <c r="R73" s="135">
        <v>1.7000000000000001E-2</v>
      </c>
      <c r="S73" s="135">
        <v>0.74299999999999999</v>
      </c>
      <c r="T73" s="135">
        <v>5.0819999999999999</v>
      </c>
      <c r="U73" s="135">
        <v>1.6E-2</v>
      </c>
      <c r="V73" s="135">
        <v>1.2999999999999999E-2</v>
      </c>
      <c r="W73" s="135">
        <v>0</v>
      </c>
      <c r="X73" s="135">
        <v>0</v>
      </c>
      <c r="Y73" s="135" t="s">
        <v>1995</v>
      </c>
      <c r="Z73" s="135"/>
      <c r="AA73" s="135"/>
      <c r="AB73" s="135"/>
      <c r="AC73" s="135"/>
      <c r="AD73" s="135">
        <v>1.6</v>
      </c>
      <c r="AE73" s="135">
        <v>6000</v>
      </c>
      <c r="AF73" s="135">
        <v>3646.1</v>
      </c>
      <c r="AG73" s="135">
        <v>0.27</v>
      </c>
      <c r="AH73" s="135">
        <v>1.7</v>
      </c>
      <c r="AI73" s="135">
        <v>3000</v>
      </c>
      <c r="AJ73" s="135">
        <v>1762.2</v>
      </c>
      <c r="AK73" s="135">
        <v>0.56999999999999995</v>
      </c>
      <c r="AL73" s="135">
        <v>1.3</v>
      </c>
      <c r="AM73" s="135">
        <v>4500</v>
      </c>
      <c r="AN73" s="135">
        <v>3531.9</v>
      </c>
      <c r="AO73" s="135">
        <v>0.28000000000000003</v>
      </c>
      <c r="AP73" s="135"/>
      <c r="AQ73" s="135"/>
      <c r="AR73" s="135"/>
      <c r="AS73" s="135"/>
      <c r="AT73" s="135"/>
      <c r="AU73" s="135"/>
      <c r="AV73" s="135"/>
      <c r="AW73" s="135"/>
      <c r="AX73" s="135">
        <v>1.3</v>
      </c>
      <c r="AY73" s="135">
        <v>10</v>
      </c>
      <c r="AZ73" s="135">
        <v>7.8</v>
      </c>
      <c r="BA73" s="135">
        <v>0.13</v>
      </c>
      <c r="BB73" s="135"/>
      <c r="BC73" s="135"/>
      <c r="BD73" s="135"/>
      <c r="BE73" s="135"/>
      <c r="BF73" s="135">
        <v>1.7</v>
      </c>
      <c r="BG73" s="135">
        <v>6000</v>
      </c>
      <c r="BH73" s="135">
        <v>3524.4</v>
      </c>
      <c r="BI73" s="135">
        <v>0.28000000000000003</v>
      </c>
      <c r="BJ73" s="135">
        <v>44</v>
      </c>
      <c r="BK73" s="135">
        <v>-3</v>
      </c>
      <c r="BL73" s="135">
        <v>23.5</v>
      </c>
    </row>
    <row r="74" spans="1:64" x14ac:dyDescent="0.3">
      <c r="A74" s="135">
        <v>2016</v>
      </c>
      <c r="B74" s="135">
        <v>4</v>
      </c>
      <c r="C74" s="135" t="s">
        <v>2080</v>
      </c>
      <c r="D74" s="135" t="s">
        <v>1245</v>
      </c>
      <c r="E74" s="135" t="s">
        <v>394</v>
      </c>
      <c r="F74" s="135" t="s">
        <v>18</v>
      </c>
      <c r="G74" s="135" t="s">
        <v>14</v>
      </c>
      <c r="H74" s="135">
        <v>18.82</v>
      </c>
      <c r="I74" s="135">
        <v>0.86299999999999999</v>
      </c>
      <c r="J74" s="135">
        <v>0.86299999999999999</v>
      </c>
      <c r="K74" s="135">
        <v>0</v>
      </c>
      <c r="L74" s="135">
        <v>0</v>
      </c>
      <c r="M74" s="135">
        <v>0</v>
      </c>
      <c r="N74" s="135">
        <v>0</v>
      </c>
      <c r="O74" s="135">
        <v>0</v>
      </c>
      <c r="P74" s="135">
        <v>1.974</v>
      </c>
      <c r="Q74" s="135">
        <v>7.9290000000000003</v>
      </c>
      <c r="R74" s="135">
        <v>1.7000000000000001E-2</v>
      </c>
      <c r="S74" s="135">
        <v>0</v>
      </c>
      <c r="T74" s="135">
        <v>0</v>
      </c>
      <c r="U74" s="135">
        <v>0</v>
      </c>
      <c r="V74" s="135">
        <v>1.6E-2</v>
      </c>
      <c r="W74" s="135">
        <v>0</v>
      </c>
      <c r="X74" s="135">
        <v>0</v>
      </c>
      <c r="Y74" s="135" t="s">
        <v>1995</v>
      </c>
      <c r="Z74" s="135"/>
      <c r="AA74" s="135"/>
      <c r="AB74" s="135"/>
      <c r="AC74" s="135"/>
      <c r="AD74" s="135">
        <v>0.9</v>
      </c>
      <c r="AE74" s="135">
        <v>6000</v>
      </c>
      <c r="AF74" s="135">
        <v>6953.3</v>
      </c>
      <c r="AG74" s="135">
        <v>0.14000000000000001</v>
      </c>
      <c r="AH74" s="135">
        <v>0.9</v>
      </c>
      <c r="AI74" s="135">
        <v>3400</v>
      </c>
      <c r="AJ74" s="135">
        <v>3669.8</v>
      </c>
      <c r="AK74" s="135">
        <v>0.27</v>
      </c>
      <c r="AL74" s="135">
        <v>0.9</v>
      </c>
      <c r="AM74" s="135">
        <v>4800</v>
      </c>
      <c r="AN74" s="135">
        <v>5562.6</v>
      </c>
      <c r="AO74" s="135">
        <v>0.18</v>
      </c>
      <c r="AP74" s="135"/>
      <c r="AQ74" s="135"/>
      <c r="AR74" s="135"/>
      <c r="AS74" s="135"/>
      <c r="AT74" s="135"/>
      <c r="AU74" s="135"/>
      <c r="AV74" s="135"/>
      <c r="AW74" s="135"/>
      <c r="AX74" s="135">
        <v>0.9</v>
      </c>
      <c r="AY74" s="135">
        <v>10</v>
      </c>
      <c r="AZ74" s="135">
        <v>11.6</v>
      </c>
      <c r="BA74" s="135">
        <v>0.09</v>
      </c>
      <c r="BB74" s="135"/>
      <c r="BC74" s="135"/>
      <c r="BD74" s="135"/>
      <c r="BE74" s="135"/>
      <c r="BF74" s="135">
        <v>0.9</v>
      </c>
      <c r="BG74" s="135">
        <v>6700</v>
      </c>
      <c r="BH74" s="135">
        <v>7231.7</v>
      </c>
      <c r="BI74" s="135">
        <v>0.14000000000000001</v>
      </c>
      <c r="BJ74" s="135">
        <v>45.5</v>
      </c>
      <c r="BK74" s="135">
        <v>-8</v>
      </c>
      <c r="BL74" s="135">
        <v>26.75</v>
      </c>
    </row>
    <row r="75" spans="1:64" x14ac:dyDescent="0.3">
      <c r="A75" s="135">
        <v>2016</v>
      </c>
      <c r="B75" s="135">
        <v>4</v>
      </c>
      <c r="C75" s="135" t="s">
        <v>2074</v>
      </c>
      <c r="D75" s="135" t="s">
        <v>1523</v>
      </c>
      <c r="E75" s="135" t="s">
        <v>394</v>
      </c>
      <c r="F75" s="135" t="s">
        <v>70</v>
      </c>
      <c r="G75" s="135" t="s">
        <v>2005</v>
      </c>
      <c r="H75" s="135">
        <v>18.350000000000001</v>
      </c>
      <c r="I75" s="135">
        <v>0.77600000000000002</v>
      </c>
      <c r="J75" s="135">
        <v>1.2</v>
      </c>
      <c r="K75" s="135">
        <v>0</v>
      </c>
      <c r="L75" s="135">
        <v>0</v>
      </c>
      <c r="M75" s="135">
        <v>0</v>
      </c>
      <c r="N75" s="135">
        <v>0</v>
      </c>
      <c r="O75" s="135">
        <v>0</v>
      </c>
      <c r="P75" s="135">
        <v>0.48599999999999999</v>
      </c>
      <c r="Q75" s="135">
        <v>3.3359999999999999</v>
      </c>
      <c r="R75" s="135">
        <v>2.5999999999999999E-2</v>
      </c>
      <c r="S75" s="135">
        <v>0.42399999999999999</v>
      </c>
      <c r="T75" s="135">
        <v>2.5409999999999999</v>
      </c>
      <c r="U75" s="135">
        <v>8.0000000000000002E-3</v>
      </c>
      <c r="V75" s="135">
        <v>8.0000000000000002E-3</v>
      </c>
      <c r="W75" s="135">
        <v>0</v>
      </c>
      <c r="X75" s="135">
        <v>0</v>
      </c>
      <c r="Y75" s="135" t="s">
        <v>1995</v>
      </c>
      <c r="Z75" s="135">
        <v>1</v>
      </c>
      <c r="AA75" s="135">
        <v>3000</v>
      </c>
      <c r="AB75" s="135">
        <v>3062.2</v>
      </c>
      <c r="AC75" s="135">
        <v>0.33</v>
      </c>
      <c r="AD75" s="135">
        <v>1.2</v>
      </c>
      <c r="AE75" s="135">
        <v>6000</v>
      </c>
      <c r="AF75" s="135">
        <v>5001.3</v>
      </c>
      <c r="AG75" s="135">
        <v>0.2</v>
      </c>
      <c r="AH75" s="135">
        <v>1.2</v>
      </c>
      <c r="AI75" s="135">
        <v>3000</v>
      </c>
      <c r="AJ75" s="135">
        <v>2413.6</v>
      </c>
      <c r="AK75" s="135">
        <v>0.41</v>
      </c>
      <c r="AL75" s="135">
        <v>1</v>
      </c>
      <c r="AM75" s="135">
        <v>4500</v>
      </c>
      <c r="AN75" s="135">
        <v>4556</v>
      </c>
      <c r="AO75" s="135">
        <v>0.22</v>
      </c>
      <c r="AP75" s="135"/>
      <c r="AQ75" s="135"/>
      <c r="AR75" s="135"/>
      <c r="AS75" s="135"/>
      <c r="AT75" s="135"/>
      <c r="AU75" s="135"/>
      <c r="AV75" s="135"/>
      <c r="AW75" s="135"/>
      <c r="AX75" s="135">
        <v>1</v>
      </c>
      <c r="AY75" s="135">
        <v>10</v>
      </c>
      <c r="AZ75" s="135">
        <v>10.1</v>
      </c>
      <c r="BA75" s="135">
        <v>0.1</v>
      </c>
      <c r="BB75" s="135"/>
      <c r="BC75" s="135"/>
      <c r="BD75" s="135"/>
      <c r="BE75" s="135"/>
      <c r="BF75" s="135">
        <v>1.2</v>
      </c>
      <c r="BG75" s="135">
        <v>6000</v>
      </c>
      <c r="BH75" s="135">
        <v>4827.2</v>
      </c>
      <c r="BI75" s="135">
        <v>0.21</v>
      </c>
      <c r="BJ75" s="135">
        <v>44</v>
      </c>
      <c r="BK75" s="135">
        <v>-3</v>
      </c>
      <c r="BL75" s="135">
        <v>23.5</v>
      </c>
    </row>
    <row r="76" spans="1:64" x14ac:dyDescent="0.3">
      <c r="A76" s="135">
        <v>2016</v>
      </c>
      <c r="B76" s="135">
        <v>4</v>
      </c>
      <c r="C76" s="135" t="s">
        <v>2060</v>
      </c>
      <c r="D76" s="135" t="s">
        <v>130</v>
      </c>
      <c r="E76" s="135" t="s">
        <v>394</v>
      </c>
      <c r="F76" s="135" t="s">
        <v>24</v>
      </c>
      <c r="G76" s="135" t="s">
        <v>409</v>
      </c>
      <c r="H76" s="135">
        <v>20.8</v>
      </c>
      <c r="I76" s="135">
        <v>0.73199999999999998</v>
      </c>
      <c r="J76" s="135">
        <v>1.6160000000000001</v>
      </c>
      <c r="K76" s="135">
        <v>0</v>
      </c>
      <c r="L76" s="135">
        <v>0</v>
      </c>
      <c r="M76" s="135">
        <v>0</v>
      </c>
      <c r="N76" s="135">
        <v>0</v>
      </c>
      <c r="O76" s="135">
        <v>0</v>
      </c>
      <c r="P76" s="135">
        <v>0.191</v>
      </c>
      <c r="Q76" s="135">
        <v>1.127</v>
      </c>
      <c r="R76" s="135">
        <v>0.01</v>
      </c>
      <c r="S76" s="135">
        <v>0.88400000000000001</v>
      </c>
      <c r="T76" s="135">
        <v>5.7919999999999998</v>
      </c>
      <c r="U76" s="135">
        <v>0</v>
      </c>
      <c r="V76" s="135">
        <v>0.01</v>
      </c>
      <c r="W76" s="135">
        <v>0</v>
      </c>
      <c r="X76" s="135">
        <v>0</v>
      </c>
      <c r="Y76" s="135" t="s">
        <v>1995</v>
      </c>
      <c r="Z76" s="135">
        <v>1.2</v>
      </c>
      <c r="AA76" s="135">
        <v>3500</v>
      </c>
      <c r="AB76" s="135">
        <v>3007.1</v>
      </c>
      <c r="AC76" s="135">
        <v>0.33</v>
      </c>
      <c r="AD76" s="135">
        <v>1.6</v>
      </c>
      <c r="AE76" s="135">
        <v>6000</v>
      </c>
      <c r="AF76" s="135">
        <v>3713.1</v>
      </c>
      <c r="AG76" s="135">
        <v>0.27</v>
      </c>
      <c r="AH76" s="135">
        <v>1.7</v>
      </c>
      <c r="AI76" s="135">
        <v>3200</v>
      </c>
      <c r="AJ76" s="135">
        <v>1919.1</v>
      </c>
      <c r="AK76" s="135">
        <v>0.52</v>
      </c>
      <c r="AL76" s="135">
        <v>1.2</v>
      </c>
      <c r="AM76" s="135">
        <v>4600</v>
      </c>
      <c r="AN76" s="135">
        <v>3918.6</v>
      </c>
      <c r="AO76" s="135">
        <v>0.26</v>
      </c>
      <c r="AP76" s="135"/>
      <c r="AQ76" s="135"/>
      <c r="AR76" s="135"/>
      <c r="AS76" s="135"/>
      <c r="AT76" s="135"/>
      <c r="AU76" s="135"/>
      <c r="AV76" s="135"/>
      <c r="AW76" s="135"/>
      <c r="AX76" s="135">
        <v>1.2</v>
      </c>
      <c r="AY76" s="135">
        <v>10</v>
      </c>
      <c r="AZ76" s="135">
        <v>8.5</v>
      </c>
      <c r="BA76" s="135">
        <v>0.12</v>
      </c>
      <c r="BB76" s="135"/>
      <c r="BC76" s="135"/>
      <c r="BD76" s="135"/>
      <c r="BE76" s="135"/>
      <c r="BF76" s="135">
        <v>1.7</v>
      </c>
      <c r="BG76" s="135">
        <v>6300</v>
      </c>
      <c r="BH76" s="135">
        <v>3778.3</v>
      </c>
      <c r="BI76" s="135">
        <v>0.26</v>
      </c>
      <c r="BJ76" s="135">
        <v>43</v>
      </c>
      <c r="BK76" s="135">
        <v>-8</v>
      </c>
      <c r="BL76" s="135">
        <v>25.5</v>
      </c>
    </row>
    <row r="77" spans="1:64" x14ac:dyDescent="0.3">
      <c r="A77" s="135">
        <v>2016</v>
      </c>
      <c r="B77" s="135">
        <v>4</v>
      </c>
      <c r="C77" s="135" t="s">
        <v>2075</v>
      </c>
      <c r="D77" s="135" t="s">
        <v>154</v>
      </c>
      <c r="E77" s="135" t="s">
        <v>394</v>
      </c>
      <c r="F77" s="135" t="s">
        <v>4</v>
      </c>
      <c r="G77" s="135" t="s">
        <v>2297</v>
      </c>
      <c r="H77" s="135">
        <v>15.37</v>
      </c>
      <c r="I77" s="135">
        <v>0.69599999999999995</v>
      </c>
      <c r="J77" s="135">
        <v>0.69599999999999995</v>
      </c>
      <c r="K77" s="135">
        <v>0</v>
      </c>
      <c r="L77" s="135">
        <v>0</v>
      </c>
      <c r="M77" s="135">
        <v>0</v>
      </c>
      <c r="N77" s="135">
        <v>0</v>
      </c>
      <c r="O77" s="135">
        <v>0</v>
      </c>
      <c r="P77" s="135">
        <v>0.34</v>
      </c>
      <c r="Q77" s="135">
        <v>1.742</v>
      </c>
      <c r="R77" s="135">
        <v>8.7999999999999995E-2</v>
      </c>
      <c r="S77" s="135">
        <v>0</v>
      </c>
      <c r="T77" s="135">
        <v>0</v>
      </c>
      <c r="U77" s="135">
        <v>0</v>
      </c>
      <c r="V77" s="135">
        <v>3.0000000000000001E-3</v>
      </c>
      <c r="W77" s="135">
        <v>0</v>
      </c>
      <c r="X77" s="135">
        <v>0</v>
      </c>
      <c r="Y77" s="135" t="s">
        <v>1995</v>
      </c>
      <c r="Z77" s="135"/>
      <c r="AA77" s="135"/>
      <c r="AB77" s="135"/>
      <c r="AC77" s="135"/>
      <c r="AD77" s="135">
        <v>0.7</v>
      </c>
      <c r="AE77" s="135">
        <v>6000</v>
      </c>
      <c r="AF77" s="135">
        <v>8618.2000000000007</v>
      </c>
      <c r="AG77" s="135">
        <v>0.12</v>
      </c>
      <c r="AH77" s="135">
        <v>0.7</v>
      </c>
      <c r="AI77" s="135">
        <v>3000</v>
      </c>
      <c r="AJ77" s="135">
        <v>4227.3999999999996</v>
      </c>
      <c r="AK77" s="135">
        <v>0.24</v>
      </c>
      <c r="AL77" s="135">
        <v>0.7</v>
      </c>
      <c r="AM77" s="135">
        <v>4500</v>
      </c>
      <c r="AN77" s="135">
        <v>6463.7</v>
      </c>
      <c r="AO77" s="135">
        <v>0.15</v>
      </c>
      <c r="AP77" s="135"/>
      <c r="AQ77" s="135"/>
      <c r="AR77" s="135"/>
      <c r="AS77" s="135"/>
      <c r="AT77" s="135"/>
      <c r="AU77" s="135"/>
      <c r="AV77" s="135"/>
      <c r="AW77" s="135"/>
      <c r="AX77" s="135">
        <v>0.7</v>
      </c>
      <c r="AY77" s="135">
        <v>10</v>
      </c>
      <c r="AZ77" s="135">
        <v>14.4</v>
      </c>
      <c r="BA77" s="135">
        <v>7.0000000000000007E-2</v>
      </c>
      <c r="BB77" s="135"/>
      <c r="BC77" s="135"/>
      <c r="BD77" s="135"/>
      <c r="BE77" s="135"/>
      <c r="BF77" s="135">
        <v>0.7</v>
      </c>
      <c r="BG77" s="135">
        <v>6000</v>
      </c>
      <c r="BH77" s="135">
        <v>8454.7999999999993</v>
      </c>
      <c r="BI77" s="135">
        <v>0.12</v>
      </c>
      <c r="BJ77" s="135">
        <v>46.5</v>
      </c>
      <c r="BK77" s="135">
        <v>3.5</v>
      </c>
      <c r="BL77" s="135">
        <v>21.5</v>
      </c>
    </row>
    <row r="78" spans="1:64" x14ac:dyDescent="0.3">
      <c r="A78" s="135">
        <v>2016</v>
      </c>
      <c r="B78" s="135">
        <v>4</v>
      </c>
      <c r="C78" s="135" t="s">
        <v>2077</v>
      </c>
      <c r="D78" s="135" t="s">
        <v>163</v>
      </c>
      <c r="E78" s="135" t="s">
        <v>394</v>
      </c>
      <c r="F78" s="135" t="s">
        <v>41</v>
      </c>
      <c r="G78" s="135" t="s">
        <v>37</v>
      </c>
      <c r="H78" s="135">
        <v>8.24</v>
      </c>
      <c r="I78" s="135">
        <v>0.64900000000000002</v>
      </c>
      <c r="J78" s="135">
        <v>1.099</v>
      </c>
      <c r="K78" s="135">
        <v>0</v>
      </c>
      <c r="L78" s="135">
        <v>0</v>
      </c>
      <c r="M78" s="135">
        <v>0</v>
      </c>
      <c r="N78" s="135">
        <v>0</v>
      </c>
      <c r="O78" s="135">
        <v>0</v>
      </c>
      <c r="P78" s="135">
        <v>0.16</v>
      </c>
      <c r="Q78" s="135">
        <v>0.42399999999999999</v>
      </c>
      <c r="R78" s="135">
        <v>5.0000000000000001E-3</v>
      </c>
      <c r="S78" s="135">
        <v>0.45</v>
      </c>
      <c r="T78" s="135">
        <v>3.8410000000000002</v>
      </c>
      <c r="U78" s="135">
        <v>3.4000000000000002E-2</v>
      </c>
      <c r="V78" s="135">
        <v>6.0000000000000001E-3</v>
      </c>
      <c r="W78" s="135">
        <v>0</v>
      </c>
      <c r="X78" s="135">
        <v>0</v>
      </c>
      <c r="Y78" s="135" t="s">
        <v>1995</v>
      </c>
      <c r="Z78" s="135"/>
      <c r="AA78" s="135"/>
      <c r="AB78" s="135"/>
      <c r="AC78" s="135"/>
      <c r="AD78" s="135">
        <v>1.1000000000000001</v>
      </c>
      <c r="AE78" s="135">
        <v>6000</v>
      </c>
      <c r="AF78" s="135">
        <v>5462</v>
      </c>
      <c r="AG78" s="135">
        <v>0.18</v>
      </c>
      <c r="AH78" s="135">
        <v>1.1000000000000001</v>
      </c>
      <c r="AI78" s="135">
        <v>3000</v>
      </c>
      <c r="AJ78" s="135">
        <v>2654.7</v>
      </c>
      <c r="AK78" s="135">
        <v>0.38</v>
      </c>
      <c r="AL78" s="135">
        <v>0.9</v>
      </c>
      <c r="AM78" s="135">
        <v>4500</v>
      </c>
      <c r="AN78" s="135">
        <v>5151.7</v>
      </c>
      <c r="AO78" s="135">
        <v>0.19</v>
      </c>
      <c r="AP78" s="135"/>
      <c r="AQ78" s="135"/>
      <c r="AR78" s="135"/>
      <c r="AS78" s="135"/>
      <c r="AT78" s="135"/>
      <c r="AU78" s="135"/>
      <c r="AV78" s="135"/>
      <c r="AW78" s="135"/>
      <c r="AX78" s="135">
        <v>0.9</v>
      </c>
      <c r="AY78" s="135">
        <v>10</v>
      </c>
      <c r="AZ78" s="135">
        <v>11.4</v>
      </c>
      <c r="BA78" s="135">
        <v>0.09</v>
      </c>
      <c r="BB78" s="135"/>
      <c r="BC78" s="135"/>
      <c r="BD78" s="135"/>
      <c r="BE78" s="135"/>
      <c r="BF78" s="135">
        <v>1.1000000000000001</v>
      </c>
      <c r="BG78" s="135">
        <v>6000</v>
      </c>
      <c r="BH78" s="135">
        <v>5309.3</v>
      </c>
      <c r="BI78" s="135">
        <v>0.19</v>
      </c>
      <c r="BJ78" s="135">
        <v>43.5</v>
      </c>
      <c r="BK78" s="135">
        <v>-4</v>
      </c>
      <c r="BL78" s="135">
        <v>23.75</v>
      </c>
    </row>
    <row r="79" spans="1:64" x14ac:dyDescent="0.3">
      <c r="A79" s="135">
        <v>2016</v>
      </c>
      <c r="B79" s="135">
        <v>4</v>
      </c>
      <c r="C79" s="135" t="s">
        <v>2081</v>
      </c>
      <c r="D79" s="135" t="s">
        <v>168</v>
      </c>
      <c r="E79" s="135" t="s">
        <v>394</v>
      </c>
      <c r="F79" s="135" t="s">
        <v>404</v>
      </c>
      <c r="G79" s="135" t="s">
        <v>2308</v>
      </c>
      <c r="H79" s="135">
        <v>27.32</v>
      </c>
      <c r="I79" s="135">
        <v>0.61199999999999999</v>
      </c>
      <c r="J79" s="135">
        <v>0.61199999999999999</v>
      </c>
      <c r="K79" s="135">
        <v>0</v>
      </c>
      <c r="L79" s="135">
        <v>0</v>
      </c>
      <c r="M79" s="135">
        <v>0</v>
      </c>
      <c r="N79" s="135">
        <v>0</v>
      </c>
      <c r="O79" s="135">
        <v>0</v>
      </c>
      <c r="P79" s="135">
        <v>1.073</v>
      </c>
      <c r="Q79" s="135">
        <v>3.3359999999999999</v>
      </c>
      <c r="R79" s="135">
        <v>4.9000000000000002E-2</v>
      </c>
      <c r="S79" s="135">
        <v>0</v>
      </c>
      <c r="T79" s="135">
        <v>0</v>
      </c>
      <c r="U79" s="135">
        <v>0</v>
      </c>
      <c r="V79" s="135">
        <v>8.0000000000000002E-3</v>
      </c>
      <c r="W79" s="135">
        <v>0</v>
      </c>
      <c r="X79" s="135">
        <v>0</v>
      </c>
      <c r="Y79" s="135" t="s">
        <v>1995</v>
      </c>
      <c r="Z79" s="135"/>
      <c r="AA79" s="135"/>
      <c r="AB79" s="135"/>
      <c r="AC79" s="135"/>
      <c r="AD79" s="135">
        <v>0.6</v>
      </c>
      <c r="AE79" s="135">
        <v>6000</v>
      </c>
      <c r="AF79" s="135">
        <v>9810.2999999999993</v>
      </c>
      <c r="AG79" s="135">
        <v>0.1</v>
      </c>
      <c r="AH79" s="135">
        <v>0.6</v>
      </c>
      <c r="AI79" s="135">
        <v>3000</v>
      </c>
      <c r="AJ79" s="135">
        <v>4690.3</v>
      </c>
      <c r="AK79" s="135">
        <v>0.21</v>
      </c>
      <c r="AL79" s="135">
        <v>0.6</v>
      </c>
      <c r="AM79" s="135">
        <v>4500</v>
      </c>
      <c r="AN79" s="135">
        <v>7357.8</v>
      </c>
      <c r="AO79" s="135">
        <v>0.14000000000000001</v>
      </c>
      <c r="AP79" s="135"/>
      <c r="AQ79" s="135"/>
      <c r="AR79" s="135"/>
      <c r="AS79" s="135"/>
      <c r="AT79" s="135"/>
      <c r="AU79" s="135"/>
      <c r="AV79" s="135"/>
      <c r="AW79" s="135"/>
      <c r="AX79" s="135">
        <v>0.6</v>
      </c>
      <c r="AY79" s="135">
        <v>10</v>
      </c>
      <c r="AZ79" s="135">
        <v>16.399999999999999</v>
      </c>
      <c r="BA79" s="135">
        <v>0.06</v>
      </c>
      <c r="BB79" s="135"/>
      <c r="BC79" s="135"/>
      <c r="BD79" s="135"/>
      <c r="BE79" s="135"/>
      <c r="BF79" s="135">
        <v>0.6</v>
      </c>
      <c r="BG79" s="135">
        <v>6000</v>
      </c>
      <c r="BH79" s="135">
        <v>9380.6</v>
      </c>
      <c r="BI79" s="135">
        <v>0.11</v>
      </c>
      <c r="BJ79" s="135">
        <v>53.5</v>
      </c>
      <c r="BK79" s="135">
        <v>4</v>
      </c>
      <c r="BL79" s="135">
        <v>24.75</v>
      </c>
    </row>
    <row r="80" spans="1:64" x14ac:dyDescent="0.3">
      <c r="A80" s="135">
        <v>2016</v>
      </c>
      <c r="B80" s="135">
        <v>4</v>
      </c>
      <c r="C80" s="135" t="s">
        <v>2076</v>
      </c>
      <c r="D80" s="135" t="s">
        <v>165</v>
      </c>
      <c r="E80" s="135" t="s">
        <v>394</v>
      </c>
      <c r="F80" s="135" t="s">
        <v>26</v>
      </c>
      <c r="G80" s="135" t="s">
        <v>2298</v>
      </c>
      <c r="H80" s="135">
        <v>18.7</v>
      </c>
      <c r="I80" s="135">
        <v>0.54700000000000004</v>
      </c>
      <c r="J80" s="135">
        <v>0.54700000000000004</v>
      </c>
      <c r="K80" s="135">
        <v>0</v>
      </c>
      <c r="L80" s="135">
        <v>0</v>
      </c>
      <c r="M80" s="135">
        <v>0</v>
      </c>
      <c r="N80" s="135">
        <v>0</v>
      </c>
      <c r="O80" s="135">
        <v>0</v>
      </c>
      <c r="P80" s="135">
        <v>0.82699999999999996</v>
      </c>
      <c r="Q80" s="135">
        <v>3.4860000000000002</v>
      </c>
      <c r="R80" s="135">
        <v>2.5999999999999999E-2</v>
      </c>
      <c r="S80" s="135">
        <v>0</v>
      </c>
      <c r="T80" s="135">
        <v>0</v>
      </c>
      <c r="U80" s="135">
        <v>8.9999999999999993E-3</v>
      </c>
      <c r="V80" s="135">
        <v>6.0000000000000001E-3</v>
      </c>
      <c r="W80" s="135">
        <v>0</v>
      </c>
      <c r="X80" s="135">
        <v>0</v>
      </c>
      <c r="Y80" s="135" t="s">
        <v>1995</v>
      </c>
      <c r="Z80" s="135">
        <v>0.5</v>
      </c>
      <c r="AA80" s="135">
        <v>3000</v>
      </c>
      <c r="AB80" s="135">
        <v>5549.4</v>
      </c>
      <c r="AC80" s="135">
        <v>0.18</v>
      </c>
      <c r="AD80" s="135">
        <v>0.5</v>
      </c>
      <c r="AE80" s="135">
        <v>6000</v>
      </c>
      <c r="AF80" s="135">
        <v>10976.9</v>
      </c>
      <c r="AG80" s="135">
        <v>0.09</v>
      </c>
      <c r="AH80" s="135">
        <v>0.6</v>
      </c>
      <c r="AI80" s="135">
        <v>3000</v>
      </c>
      <c r="AJ80" s="135">
        <v>5230.8999999999996</v>
      </c>
      <c r="AK80" s="135">
        <v>0.19</v>
      </c>
      <c r="AL80" s="135">
        <v>0.5</v>
      </c>
      <c r="AM80" s="135">
        <v>5000</v>
      </c>
      <c r="AN80" s="135">
        <v>9147.5</v>
      </c>
      <c r="AO80" s="135">
        <v>0.11</v>
      </c>
      <c r="AP80" s="135"/>
      <c r="AQ80" s="135"/>
      <c r="AR80" s="135"/>
      <c r="AS80" s="135"/>
      <c r="AT80" s="135"/>
      <c r="AU80" s="135"/>
      <c r="AV80" s="135"/>
      <c r="AW80" s="135"/>
      <c r="AX80" s="135">
        <v>0.5</v>
      </c>
      <c r="AY80" s="135">
        <v>10</v>
      </c>
      <c r="AZ80" s="135">
        <v>18.3</v>
      </c>
      <c r="BA80" s="135">
        <v>0.05</v>
      </c>
      <c r="BB80" s="135"/>
      <c r="BC80" s="135"/>
      <c r="BD80" s="135"/>
      <c r="BE80" s="135"/>
      <c r="BF80" s="135">
        <v>0.6</v>
      </c>
      <c r="BG80" s="135">
        <v>6000</v>
      </c>
      <c r="BH80" s="135">
        <v>10461.799999999999</v>
      </c>
      <c r="BI80" s="135">
        <v>0.1</v>
      </c>
      <c r="BJ80" s="135">
        <v>46.5</v>
      </c>
      <c r="BK80" s="135">
        <v>-3</v>
      </c>
      <c r="BL80" s="135">
        <v>24.75</v>
      </c>
    </row>
    <row r="81" spans="1:64" x14ac:dyDescent="0.3">
      <c r="A81" s="135">
        <v>2016</v>
      </c>
      <c r="B81" s="135">
        <v>4</v>
      </c>
      <c r="C81" s="135" t="s">
        <v>2557</v>
      </c>
      <c r="D81" s="135" t="s">
        <v>186</v>
      </c>
      <c r="E81" s="135" t="s">
        <v>394</v>
      </c>
      <c r="F81" s="135" t="s">
        <v>57</v>
      </c>
      <c r="G81" s="135" t="s">
        <v>1999</v>
      </c>
      <c r="H81" s="135">
        <v>12.92</v>
      </c>
      <c r="I81" s="135">
        <v>0.50700000000000001</v>
      </c>
      <c r="J81" s="135">
        <v>0.50700000000000001</v>
      </c>
      <c r="K81" s="135">
        <v>0</v>
      </c>
      <c r="L81" s="135">
        <v>0</v>
      </c>
      <c r="M81" s="135">
        <v>0</v>
      </c>
      <c r="N81" s="135">
        <v>0</v>
      </c>
      <c r="O81" s="135">
        <v>0</v>
      </c>
      <c r="P81" s="135">
        <v>1.266</v>
      </c>
      <c r="Q81" s="135">
        <v>3.7730000000000001</v>
      </c>
      <c r="R81" s="135">
        <v>2.5999999999999999E-2</v>
      </c>
      <c r="S81" s="135">
        <v>0</v>
      </c>
      <c r="T81" s="135">
        <v>0</v>
      </c>
      <c r="U81" s="135">
        <v>0</v>
      </c>
      <c r="V81" s="135">
        <v>1.2999999999999999E-2</v>
      </c>
      <c r="W81" s="135">
        <v>0</v>
      </c>
      <c r="X81" s="135">
        <v>0</v>
      </c>
      <c r="Y81" s="135" t="s">
        <v>1995</v>
      </c>
      <c r="Z81" s="135">
        <v>0.5</v>
      </c>
      <c r="AA81" s="135">
        <v>3000</v>
      </c>
      <c r="AB81" s="135">
        <v>6069.2</v>
      </c>
      <c r="AC81" s="135">
        <v>0.16</v>
      </c>
      <c r="AD81" s="135">
        <v>0.5</v>
      </c>
      <c r="AE81" s="135">
        <v>6000</v>
      </c>
      <c r="AF81" s="135">
        <v>11827.3</v>
      </c>
      <c r="AG81" s="135">
        <v>0.08</v>
      </c>
      <c r="AH81" s="135">
        <v>0.5</v>
      </c>
      <c r="AI81" s="135">
        <v>3000</v>
      </c>
      <c r="AJ81" s="135">
        <v>5525.5</v>
      </c>
      <c r="AK81" s="135">
        <v>0.18</v>
      </c>
      <c r="AL81" s="135">
        <v>0.5</v>
      </c>
      <c r="AM81" s="135">
        <v>4500</v>
      </c>
      <c r="AN81" s="135">
        <v>8870.5</v>
      </c>
      <c r="AO81" s="135">
        <v>0.11</v>
      </c>
      <c r="AP81" s="135"/>
      <c r="AQ81" s="135"/>
      <c r="AR81" s="135"/>
      <c r="AS81" s="135"/>
      <c r="AT81" s="135"/>
      <c r="AU81" s="135"/>
      <c r="AV81" s="135"/>
      <c r="AW81" s="135"/>
      <c r="AX81" s="135">
        <v>0.5</v>
      </c>
      <c r="AY81" s="135">
        <v>10</v>
      </c>
      <c r="AZ81" s="135">
        <v>19.7</v>
      </c>
      <c r="BA81" s="135">
        <v>0.05</v>
      </c>
      <c r="BB81" s="135"/>
      <c r="BC81" s="135"/>
      <c r="BD81" s="135"/>
      <c r="BE81" s="135"/>
      <c r="BF81" s="135">
        <v>0.5</v>
      </c>
      <c r="BG81" s="135">
        <v>6000</v>
      </c>
      <c r="BH81" s="135">
        <v>11051</v>
      </c>
      <c r="BI81" s="135">
        <v>0.09</v>
      </c>
      <c r="BJ81" s="135">
        <v>44.5</v>
      </c>
      <c r="BK81" s="135">
        <v>7</v>
      </c>
      <c r="BL81" s="135">
        <v>18.75</v>
      </c>
    </row>
    <row r="82" spans="1:64" x14ac:dyDescent="0.3">
      <c r="A82" s="135">
        <v>2016</v>
      </c>
      <c r="B82" s="135">
        <v>4</v>
      </c>
      <c r="C82" s="135" t="s">
        <v>2070</v>
      </c>
      <c r="D82" s="135" t="s">
        <v>492</v>
      </c>
      <c r="E82" s="135" t="s">
        <v>394</v>
      </c>
      <c r="F82" s="135" t="s">
        <v>43</v>
      </c>
      <c r="G82" s="135" t="s">
        <v>30</v>
      </c>
      <c r="H82" s="135">
        <v>9.0399999999999991</v>
      </c>
      <c r="I82" s="135">
        <v>0.498</v>
      </c>
      <c r="J82" s="135">
        <v>0.88200000000000001</v>
      </c>
      <c r="K82" s="135">
        <v>0</v>
      </c>
      <c r="L82" s="135">
        <v>0</v>
      </c>
      <c r="M82" s="135">
        <v>0</v>
      </c>
      <c r="N82" s="135">
        <v>0</v>
      </c>
      <c r="O82" s="135">
        <v>0</v>
      </c>
      <c r="P82" s="135">
        <v>0.48</v>
      </c>
      <c r="Q82" s="135">
        <v>1.7729999999999999</v>
      </c>
      <c r="R82" s="135">
        <v>0</v>
      </c>
      <c r="S82" s="135">
        <v>0.38400000000000001</v>
      </c>
      <c r="T82" s="135">
        <v>2.4710000000000001</v>
      </c>
      <c r="U82" s="135">
        <v>1.4999999999999999E-2</v>
      </c>
      <c r="V82" s="135">
        <v>8.0000000000000002E-3</v>
      </c>
      <c r="W82" s="135">
        <v>0</v>
      </c>
      <c r="X82" s="135">
        <v>0</v>
      </c>
      <c r="Y82" s="135" t="s">
        <v>1995</v>
      </c>
      <c r="Z82" s="135">
        <v>0.7</v>
      </c>
      <c r="AA82" s="135">
        <v>3000</v>
      </c>
      <c r="AB82" s="135">
        <v>4396.2</v>
      </c>
      <c r="AC82" s="135">
        <v>0.23</v>
      </c>
      <c r="AD82" s="135">
        <v>0.9</v>
      </c>
      <c r="AE82" s="135">
        <v>6000</v>
      </c>
      <c r="AF82" s="135">
        <v>6799.6</v>
      </c>
      <c r="AG82" s="135">
        <v>0.15</v>
      </c>
      <c r="AH82" s="135">
        <v>0.9</v>
      </c>
      <c r="AI82" s="135">
        <v>3000</v>
      </c>
      <c r="AJ82" s="135">
        <v>3275.6</v>
      </c>
      <c r="AK82" s="135">
        <v>0.31</v>
      </c>
      <c r="AL82" s="135">
        <v>0.7</v>
      </c>
      <c r="AM82" s="135">
        <v>4500</v>
      </c>
      <c r="AN82" s="135">
        <v>6518</v>
      </c>
      <c r="AO82" s="135">
        <v>0.15</v>
      </c>
      <c r="AP82" s="135"/>
      <c r="AQ82" s="135"/>
      <c r="AR82" s="135"/>
      <c r="AS82" s="135"/>
      <c r="AT82" s="135"/>
      <c r="AU82" s="135"/>
      <c r="AV82" s="135"/>
      <c r="AW82" s="135"/>
      <c r="AX82" s="135">
        <v>0.7</v>
      </c>
      <c r="AY82" s="135">
        <v>10</v>
      </c>
      <c r="AZ82" s="135">
        <v>14.5</v>
      </c>
      <c r="BA82" s="135">
        <v>7.0000000000000007E-2</v>
      </c>
      <c r="BB82" s="135"/>
      <c r="BC82" s="135"/>
      <c r="BD82" s="135"/>
      <c r="BE82" s="135"/>
      <c r="BF82" s="135">
        <v>0.9</v>
      </c>
      <c r="BG82" s="135">
        <v>6000</v>
      </c>
      <c r="BH82" s="135">
        <v>6551.2</v>
      </c>
      <c r="BI82" s="135">
        <v>0.15</v>
      </c>
      <c r="BJ82" s="135">
        <v>40.5</v>
      </c>
      <c r="BK82" s="135">
        <v>-6.5</v>
      </c>
      <c r="BL82" s="135">
        <v>23.5</v>
      </c>
    </row>
    <row r="83" spans="1:64" x14ac:dyDescent="0.3">
      <c r="A83" s="135">
        <v>2016</v>
      </c>
      <c r="B83" s="135">
        <v>4</v>
      </c>
      <c r="C83" s="135" t="s">
        <v>2069</v>
      </c>
      <c r="D83" s="135" t="s">
        <v>169</v>
      </c>
      <c r="E83" s="135" t="s">
        <v>394</v>
      </c>
      <c r="F83" s="135" t="s">
        <v>50</v>
      </c>
      <c r="G83" s="135" t="s">
        <v>22</v>
      </c>
      <c r="H83" s="135">
        <v>18.37</v>
      </c>
      <c r="I83" s="135">
        <v>0.374</v>
      </c>
      <c r="J83" s="135">
        <v>0.72</v>
      </c>
      <c r="K83" s="135">
        <v>0</v>
      </c>
      <c r="L83" s="135">
        <v>0</v>
      </c>
      <c r="M83" s="135">
        <v>0</v>
      </c>
      <c r="N83" s="135">
        <v>0</v>
      </c>
      <c r="O83" s="135">
        <v>0</v>
      </c>
      <c r="P83" s="135">
        <v>0</v>
      </c>
      <c r="Q83" s="135">
        <v>0</v>
      </c>
      <c r="R83" s="135">
        <v>0</v>
      </c>
      <c r="S83" s="135">
        <v>0.34599999999999997</v>
      </c>
      <c r="T83" s="135">
        <v>2.7229999999999999</v>
      </c>
      <c r="U83" s="135">
        <v>1.7999999999999999E-2</v>
      </c>
      <c r="V83" s="135">
        <v>3.0000000000000001E-3</v>
      </c>
      <c r="W83" s="135">
        <v>0</v>
      </c>
      <c r="X83" s="135">
        <v>0</v>
      </c>
      <c r="Y83" s="135" t="s">
        <v>1995</v>
      </c>
      <c r="Z83" s="135"/>
      <c r="AA83" s="135"/>
      <c r="AB83" s="135"/>
      <c r="AC83" s="135"/>
      <c r="AD83" s="135">
        <v>0.7</v>
      </c>
      <c r="AE83" s="135">
        <v>6000</v>
      </c>
      <c r="AF83" s="135">
        <v>8329.9</v>
      </c>
      <c r="AG83" s="135">
        <v>0.12</v>
      </c>
      <c r="AH83" s="135">
        <v>0.7</v>
      </c>
      <c r="AI83" s="135">
        <v>3000</v>
      </c>
      <c r="AJ83" s="135">
        <v>4056</v>
      </c>
      <c r="AK83" s="135">
        <v>0.25</v>
      </c>
      <c r="AL83" s="135">
        <v>0.5</v>
      </c>
      <c r="AM83" s="135">
        <v>4500</v>
      </c>
      <c r="AN83" s="135">
        <v>8222.2000000000007</v>
      </c>
      <c r="AO83" s="135">
        <v>0.12</v>
      </c>
      <c r="AP83" s="135"/>
      <c r="AQ83" s="135"/>
      <c r="AR83" s="135"/>
      <c r="AS83" s="135"/>
      <c r="AT83" s="135"/>
      <c r="AU83" s="135"/>
      <c r="AV83" s="135"/>
      <c r="AW83" s="135"/>
      <c r="AX83" s="135">
        <v>0.5</v>
      </c>
      <c r="AY83" s="135">
        <v>10</v>
      </c>
      <c r="AZ83" s="135">
        <v>18.3</v>
      </c>
      <c r="BA83" s="135">
        <v>0.05</v>
      </c>
      <c r="BB83" s="135"/>
      <c r="BC83" s="135"/>
      <c r="BD83" s="135"/>
      <c r="BE83" s="135"/>
      <c r="BF83" s="135">
        <v>0.7</v>
      </c>
      <c r="BG83" s="135">
        <v>6000</v>
      </c>
      <c r="BH83" s="135">
        <v>8112.1</v>
      </c>
      <c r="BI83" s="135">
        <v>0.12</v>
      </c>
      <c r="BJ83" s="135">
        <v>50</v>
      </c>
      <c r="BK83" s="135">
        <v>3</v>
      </c>
      <c r="BL83" s="135">
        <v>23.5</v>
      </c>
    </row>
    <row r="84" spans="1:64" x14ac:dyDescent="0.3">
      <c r="A84" s="135">
        <v>2016</v>
      </c>
      <c r="B84" s="135">
        <v>4</v>
      </c>
      <c r="C84" s="135" t="s">
        <v>2083</v>
      </c>
      <c r="D84" s="135" t="s">
        <v>157</v>
      </c>
      <c r="E84" s="135" t="s">
        <v>394</v>
      </c>
      <c r="F84" s="135" t="s">
        <v>397</v>
      </c>
      <c r="G84" s="135" t="s">
        <v>2307</v>
      </c>
      <c r="H84" s="135">
        <v>25.59</v>
      </c>
      <c r="I84" s="135">
        <v>0.26100000000000001</v>
      </c>
      <c r="J84" s="135">
        <v>0.26100000000000001</v>
      </c>
      <c r="K84" s="135">
        <v>0</v>
      </c>
      <c r="L84" s="135">
        <v>0</v>
      </c>
      <c r="M84" s="135">
        <v>0</v>
      </c>
      <c r="N84" s="135">
        <v>0</v>
      </c>
      <c r="O84" s="135">
        <v>0</v>
      </c>
      <c r="P84" s="135">
        <v>0.71799999999999997</v>
      </c>
      <c r="Q84" s="135">
        <v>1.7470000000000001</v>
      </c>
      <c r="R84" s="135">
        <v>1.6E-2</v>
      </c>
      <c r="S84" s="135">
        <v>0</v>
      </c>
      <c r="T84" s="135">
        <v>0</v>
      </c>
      <c r="U84" s="135">
        <v>0</v>
      </c>
      <c r="V84" s="135">
        <v>5.0000000000000001E-3</v>
      </c>
      <c r="W84" s="135">
        <v>0</v>
      </c>
      <c r="X84" s="135">
        <v>0</v>
      </c>
      <c r="Y84" s="135" t="s">
        <v>1995</v>
      </c>
      <c r="Z84" s="135">
        <v>0.3</v>
      </c>
      <c r="AA84" s="135">
        <v>3500</v>
      </c>
      <c r="AB84" s="135">
        <v>13687.9</v>
      </c>
      <c r="AC84" s="135">
        <v>7.0000000000000007E-2</v>
      </c>
      <c r="AD84" s="135">
        <v>0.3</v>
      </c>
      <c r="AE84" s="135">
        <v>6000</v>
      </c>
      <c r="AF84" s="135">
        <v>23015</v>
      </c>
      <c r="AG84" s="135">
        <v>0.04</v>
      </c>
      <c r="AH84" s="135">
        <v>0.3</v>
      </c>
      <c r="AI84" s="135">
        <v>3000</v>
      </c>
      <c r="AJ84" s="135">
        <v>10862.4</v>
      </c>
      <c r="AK84" s="135">
        <v>0.09</v>
      </c>
      <c r="AL84" s="135">
        <v>0.3</v>
      </c>
      <c r="AM84" s="135">
        <v>4500</v>
      </c>
      <c r="AN84" s="135">
        <v>17261.2</v>
      </c>
      <c r="AO84" s="135">
        <v>0.06</v>
      </c>
      <c r="AP84" s="135"/>
      <c r="AQ84" s="135"/>
      <c r="AR84" s="135"/>
      <c r="AS84" s="135"/>
      <c r="AT84" s="135"/>
      <c r="AU84" s="135"/>
      <c r="AV84" s="135"/>
      <c r="AW84" s="135"/>
      <c r="AX84" s="135">
        <v>0.3</v>
      </c>
      <c r="AY84" s="135">
        <v>10</v>
      </c>
      <c r="AZ84" s="135">
        <v>38.4</v>
      </c>
      <c r="BA84" s="135">
        <v>0.03</v>
      </c>
      <c r="BB84" s="135"/>
      <c r="BC84" s="135"/>
      <c r="BD84" s="135"/>
      <c r="BE84" s="135"/>
      <c r="BF84" s="135">
        <v>0.3</v>
      </c>
      <c r="BG84" s="135">
        <v>6000</v>
      </c>
      <c r="BH84" s="135">
        <v>21724.799999999999</v>
      </c>
      <c r="BI84" s="135">
        <v>0.05</v>
      </c>
      <c r="BJ84" s="135">
        <v>47.5</v>
      </c>
      <c r="BK84" s="135">
        <v>5.5</v>
      </c>
      <c r="BL84" s="135">
        <v>21</v>
      </c>
    </row>
    <row r="85" spans="1:64" x14ac:dyDescent="0.3">
      <c r="A85" s="135">
        <v>2016</v>
      </c>
      <c r="B85" s="135">
        <v>4</v>
      </c>
      <c r="C85" s="135" t="s">
        <v>2087</v>
      </c>
      <c r="D85" s="135" t="s">
        <v>182</v>
      </c>
      <c r="E85" s="135" t="s">
        <v>394</v>
      </c>
      <c r="F85" s="135" t="s">
        <v>397</v>
      </c>
      <c r="G85" s="135" t="s">
        <v>2307</v>
      </c>
      <c r="H85" s="135">
        <v>25.59</v>
      </c>
      <c r="I85" s="135">
        <v>0.25700000000000001</v>
      </c>
      <c r="J85" s="135">
        <v>0.63800000000000001</v>
      </c>
      <c r="K85" s="135">
        <v>0</v>
      </c>
      <c r="L85" s="135">
        <v>0</v>
      </c>
      <c r="M85" s="135">
        <v>0</v>
      </c>
      <c r="N85" s="135">
        <v>0</v>
      </c>
      <c r="O85" s="135">
        <v>0</v>
      </c>
      <c r="P85" s="135">
        <v>0</v>
      </c>
      <c r="Q85" s="135">
        <v>0</v>
      </c>
      <c r="R85" s="135">
        <v>0</v>
      </c>
      <c r="S85" s="135">
        <v>0.38100000000000001</v>
      </c>
      <c r="T85" s="135">
        <v>2.645</v>
      </c>
      <c r="U85" s="135">
        <v>0</v>
      </c>
      <c r="V85" s="135">
        <v>4.0000000000000001E-3</v>
      </c>
      <c r="W85" s="135">
        <v>0</v>
      </c>
      <c r="X85" s="135">
        <v>0</v>
      </c>
      <c r="Y85" s="135" t="s">
        <v>1995</v>
      </c>
      <c r="Z85" s="135">
        <v>0.4</v>
      </c>
      <c r="AA85" s="135">
        <v>3000</v>
      </c>
      <c r="AB85" s="135">
        <v>6772</v>
      </c>
      <c r="AC85" s="135">
        <v>0.15</v>
      </c>
      <c r="AD85" s="135">
        <v>0.6</v>
      </c>
      <c r="AE85" s="135">
        <v>6000</v>
      </c>
      <c r="AF85" s="135">
        <v>9411.7999999999993</v>
      </c>
      <c r="AG85" s="135">
        <v>0.11</v>
      </c>
      <c r="AH85" s="135">
        <v>0.7</v>
      </c>
      <c r="AI85" s="135">
        <v>3000</v>
      </c>
      <c r="AJ85" s="135">
        <v>4563.6000000000004</v>
      </c>
      <c r="AK85" s="135">
        <v>0.22</v>
      </c>
      <c r="AL85" s="135">
        <v>0.4</v>
      </c>
      <c r="AM85" s="135">
        <v>4500</v>
      </c>
      <c r="AN85" s="135">
        <v>10067.1</v>
      </c>
      <c r="AO85" s="135">
        <v>0.1</v>
      </c>
      <c r="AP85" s="135"/>
      <c r="AQ85" s="135"/>
      <c r="AR85" s="135"/>
      <c r="AS85" s="135"/>
      <c r="AT85" s="135"/>
      <c r="AU85" s="135"/>
      <c r="AV85" s="135"/>
      <c r="AW85" s="135"/>
      <c r="AX85" s="135">
        <v>0.4</v>
      </c>
      <c r="AY85" s="135">
        <v>10</v>
      </c>
      <c r="AZ85" s="135">
        <v>22.4</v>
      </c>
      <c r="BA85" s="135">
        <v>0.04</v>
      </c>
      <c r="BB85" s="135"/>
      <c r="BC85" s="135"/>
      <c r="BD85" s="135"/>
      <c r="BE85" s="135"/>
      <c r="BF85" s="135">
        <v>0.7</v>
      </c>
      <c r="BG85" s="135">
        <v>6000</v>
      </c>
      <c r="BH85" s="135">
        <v>9127.2999999999993</v>
      </c>
      <c r="BI85" s="135">
        <v>0.11</v>
      </c>
      <c r="BJ85" s="135">
        <v>47.5</v>
      </c>
      <c r="BK85" s="135">
        <v>5.5</v>
      </c>
      <c r="BL85" s="135">
        <v>21</v>
      </c>
    </row>
    <row r="86" spans="1:64" x14ac:dyDescent="0.3">
      <c r="A86" s="135">
        <v>2016</v>
      </c>
      <c r="B86" s="135">
        <v>4</v>
      </c>
      <c r="C86" s="135" t="s">
        <v>2089</v>
      </c>
      <c r="D86" s="135" t="s">
        <v>140</v>
      </c>
      <c r="E86" s="135" t="s">
        <v>394</v>
      </c>
      <c r="F86" s="135" t="s">
        <v>402</v>
      </c>
      <c r="G86" s="135" t="s">
        <v>10</v>
      </c>
      <c r="H86" s="135">
        <v>23.35</v>
      </c>
      <c r="I86" s="135">
        <v>0.22600000000000001</v>
      </c>
      <c r="J86" s="135">
        <v>0.43099999999999999</v>
      </c>
      <c r="K86" s="135">
        <v>0</v>
      </c>
      <c r="L86" s="135">
        <v>0</v>
      </c>
      <c r="M86" s="135">
        <v>0</v>
      </c>
      <c r="N86" s="135">
        <v>0</v>
      </c>
      <c r="O86" s="135">
        <v>0</v>
      </c>
      <c r="P86" s="135">
        <v>0.37</v>
      </c>
      <c r="Q86" s="135">
        <v>1.125</v>
      </c>
      <c r="R86" s="135">
        <v>0</v>
      </c>
      <c r="S86" s="135">
        <v>0.20499999999999999</v>
      </c>
      <c r="T86" s="135">
        <v>1.236</v>
      </c>
      <c r="U86" s="135">
        <v>0</v>
      </c>
      <c r="V86" s="135">
        <v>5.0000000000000001E-3</v>
      </c>
      <c r="W86" s="135">
        <v>0</v>
      </c>
      <c r="X86" s="135">
        <v>0</v>
      </c>
      <c r="Y86" s="135" t="s">
        <v>1995</v>
      </c>
      <c r="Z86" s="135">
        <v>0.3</v>
      </c>
      <c r="AA86" s="135">
        <v>3500</v>
      </c>
      <c r="AB86" s="135">
        <v>10815.8</v>
      </c>
      <c r="AC86" s="135">
        <v>0.09</v>
      </c>
      <c r="AD86" s="135">
        <v>0.4</v>
      </c>
      <c r="AE86" s="135">
        <v>6000</v>
      </c>
      <c r="AF86" s="135">
        <v>13917.9</v>
      </c>
      <c r="AG86" s="135">
        <v>7.0000000000000007E-2</v>
      </c>
      <c r="AH86" s="135">
        <v>0.5</v>
      </c>
      <c r="AI86" s="135">
        <v>3000</v>
      </c>
      <c r="AJ86" s="135">
        <v>6662.7</v>
      </c>
      <c r="AK86" s="135">
        <v>0.15</v>
      </c>
      <c r="AL86" s="135">
        <v>0.3</v>
      </c>
      <c r="AM86" s="135">
        <v>4700</v>
      </c>
      <c r="AN86" s="135">
        <v>14303.1</v>
      </c>
      <c r="AO86" s="135">
        <v>7.0000000000000007E-2</v>
      </c>
      <c r="AP86" s="135"/>
      <c r="AQ86" s="135"/>
      <c r="AR86" s="135"/>
      <c r="AS86" s="135"/>
      <c r="AT86" s="135"/>
      <c r="AU86" s="135"/>
      <c r="AV86" s="135"/>
      <c r="AW86" s="135"/>
      <c r="AX86" s="135">
        <v>0.3</v>
      </c>
      <c r="AY86" s="135">
        <v>10</v>
      </c>
      <c r="AZ86" s="135">
        <v>30.4</v>
      </c>
      <c r="BA86" s="135">
        <v>0.03</v>
      </c>
      <c r="BB86" s="135"/>
      <c r="BC86" s="135"/>
      <c r="BD86" s="135"/>
      <c r="BE86" s="135"/>
      <c r="BF86" s="135">
        <v>0.5</v>
      </c>
      <c r="BG86" s="135">
        <v>6000</v>
      </c>
      <c r="BH86" s="135">
        <v>13325.5</v>
      </c>
      <c r="BI86" s="135">
        <v>0.08</v>
      </c>
      <c r="BJ86" s="135">
        <v>44</v>
      </c>
      <c r="BK86" s="135">
        <v>-4.5</v>
      </c>
      <c r="BL86" s="135">
        <v>24.25</v>
      </c>
    </row>
    <row r="87" spans="1:64" x14ac:dyDescent="0.3">
      <c r="A87" s="135">
        <v>2016</v>
      </c>
      <c r="B87" s="135">
        <v>4</v>
      </c>
      <c r="C87" s="135" t="s">
        <v>2091</v>
      </c>
      <c r="D87" s="135" t="s">
        <v>160</v>
      </c>
      <c r="E87" s="135" t="s">
        <v>394</v>
      </c>
      <c r="F87" s="135" t="s">
        <v>398</v>
      </c>
      <c r="G87" s="135" t="s">
        <v>52</v>
      </c>
      <c r="H87" s="135">
        <v>19.57</v>
      </c>
      <c r="I87" s="135">
        <v>0.159</v>
      </c>
      <c r="J87" s="135">
        <v>0.159</v>
      </c>
      <c r="K87" s="135">
        <v>0</v>
      </c>
      <c r="L87" s="135">
        <v>0</v>
      </c>
      <c r="M87" s="135">
        <v>0</v>
      </c>
      <c r="N87" s="135">
        <v>0</v>
      </c>
      <c r="O87" s="135">
        <v>0</v>
      </c>
      <c r="P87" s="135">
        <v>0.36099999999999999</v>
      </c>
      <c r="Q87" s="135">
        <v>1.1279999999999999</v>
      </c>
      <c r="R87" s="135">
        <v>8.9999999999999993E-3</v>
      </c>
      <c r="S87" s="135">
        <v>0</v>
      </c>
      <c r="T87" s="135">
        <v>0</v>
      </c>
      <c r="U87" s="135">
        <v>0</v>
      </c>
      <c r="V87" s="135">
        <v>4.0000000000000001E-3</v>
      </c>
      <c r="W87" s="135">
        <v>0</v>
      </c>
      <c r="X87" s="135">
        <v>0</v>
      </c>
      <c r="Y87" s="135" t="s">
        <v>1995</v>
      </c>
      <c r="Z87" s="135">
        <v>0.2</v>
      </c>
      <c r="AA87" s="135">
        <v>3000</v>
      </c>
      <c r="AB87" s="135">
        <v>19379.8</v>
      </c>
      <c r="AC87" s="135">
        <v>0.05</v>
      </c>
      <c r="AD87" s="135">
        <v>0.2</v>
      </c>
      <c r="AE87" s="135">
        <v>6000</v>
      </c>
      <c r="AF87" s="135">
        <v>37783.4</v>
      </c>
      <c r="AG87" s="135">
        <v>0.03</v>
      </c>
      <c r="AH87" s="135">
        <v>0.2</v>
      </c>
      <c r="AI87" s="135">
        <v>3000</v>
      </c>
      <c r="AJ87" s="135">
        <v>17692</v>
      </c>
      <c r="AK87" s="135">
        <v>0.06</v>
      </c>
      <c r="AL87" s="135">
        <v>0.2</v>
      </c>
      <c r="AM87" s="135">
        <v>4500</v>
      </c>
      <c r="AN87" s="135">
        <v>28337.5</v>
      </c>
      <c r="AO87" s="135">
        <v>0.04</v>
      </c>
      <c r="AP87" s="135"/>
      <c r="AQ87" s="135"/>
      <c r="AR87" s="135"/>
      <c r="AS87" s="135"/>
      <c r="AT87" s="135"/>
      <c r="AU87" s="135"/>
      <c r="AV87" s="135"/>
      <c r="AW87" s="135"/>
      <c r="AX87" s="135">
        <v>0.2</v>
      </c>
      <c r="AY87" s="135">
        <v>10</v>
      </c>
      <c r="AZ87" s="135">
        <v>63</v>
      </c>
      <c r="BA87" s="135">
        <v>0.02</v>
      </c>
      <c r="BB87" s="135"/>
      <c r="BC87" s="135"/>
      <c r="BD87" s="135"/>
      <c r="BE87" s="135"/>
      <c r="BF87" s="135">
        <v>0.2</v>
      </c>
      <c r="BG87" s="135">
        <v>6000</v>
      </c>
      <c r="BH87" s="135">
        <v>35384</v>
      </c>
      <c r="BI87" s="135">
        <v>0.03</v>
      </c>
      <c r="BJ87" s="135">
        <v>46</v>
      </c>
      <c r="BK87" s="135">
        <v>3</v>
      </c>
      <c r="BL87" s="135">
        <v>21.5</v>
      </c>
    </row>
    <row r="88" spans="1:64" x14ac:dyDescent="0.3">
      <c r="A88" s="135">
        <v>2016</v>
      </c>
      <c r="B88" s="135">
        <v>4</v>
      </c>
      <c r="C88" s="135" t="s">
        <v>2558</v>
      </c>
      <c r="D88" s="135" t="s">
        <v>513</v>
      </c>
      <c r="E88" s="135" t="s">
        <v>394</v>
      </c>
      <c r="F88" s="135" t="s">
        <v>10</v>
      </c>
      <c r="G88" s="135" t="s">
        <v>1992</v>
      </c>
      <c r="H88" s="135">
        <v>13.69</v>
      </c>
      <c r="I88" s="135">
        <v>0.153</v>
      </c>
      <c r="J88" s="135">
        <v>0.153</v>
      </c>
      <c r="K88" s="135">
        <v>0</v>
      </c>
      <c r="L88" s="135">
        <v>0</v>
      </c>
      <c r="M88" s="135">
        <v>0</v>
      </c>
      <c r="N88" s="135">
        <v>0</v>
      </c>
      <c r="O88" s="135">
        <v>0</v>
      </c>
      <c r="P88" s="135">
        <v>0.498</v>
      </c>
      <c r="Q88" s="135">
        <v>1.6279999999999999</v>
      </c>
      <c r="R88" s="135">
        <v>0</v>
      </c>
      <c r="S88" s="135">
        <v>0</v>
      </c>
      <c r="T88" s="135">
        <v>0</v>
      </c>
      <c r="U88" s="135">
        <v>0</v>
      </c>
      <c r="V88" s="135">
        <v>5.0000000000000001E-3</v>
      </c>
      <c r="W88" s="135">
        <v>0</v>
      </c>
      <c r="X88" s="135">
        <v>0</v>
      </c>
      <c r="Y88" s="135" t="s">
        <v>1995</v>
      </c>
      <c r="Z88" s="135">
        <v>0.1</v>
      </c>
      <c r="AA88" s="135">
        <v>3000</v>
      </c>
      <c r="AB88" s="135">
        <v>20297.7</v>
      </c>
      <c r="AC88" s="135">
        <v>0.05</v>
      </c>
      <c r="AD88" s="135">
        <v>0.2</v>
      </c>
      <c r="AE88" s="135">
        <v>6000</v>
      </c>
      <c r="AF88" s="135">
        <v>39267</v>
      </c>
      <c r="AG88" s="135">
        <v>0.03</v>
      </c>
      <c r="AH88" s="135">
        <v>0.2</v>
      </c>
      <c r="AI88" s="135">
        <v>3000</v>
      </c>
      <c r="AJ88" s="135">
        <v>17903.2</v>
      </c>
      <c r="AK88" s="135">
        <v>0.06</v>
      </c>
      <c r="AL88" s="135">
        <v>0.2</v>
      </c>
      <c r="AM88" s="135">
        <v>4500</v>
      </c>
      <c r="AN88" s="135">
        <v>29450.3</v>
      </c>
      <c r="AO88" s="135">
        <v>0.03</v>
      </c>
      <c r="AP88" s="135"/>
      <c r="AQ88" s="135"/>
      <c r="AR88" s="135"/>
      <c r="AS88" s="135"/>
      <c r="AT88" s="135"/>
      <c r="AU88" s="135"/>
      <c r="AV88" s="135"/>
      <c r="AW88" s="135"/>
      <c r="AX88" s="135">
        <v>0.2</v>
      </c>
      <c r="AY88" s="135">
        <v>10</v>
      </c>
      <c r="AZ88" s="135">
        <v>65.400000000000006</v>
      </c>
      <c r="BA88" s="135">
        <v>0.02</v>
      </c>
      <c r="BB88" s="135"/>
      <c r="BC88" s="135"/>
      <c r="BD88" s="135"/>
      <c r="BE88" s="135"/>
      <c r="BF88" s="135">
        <v>0.2</v>
      </c>
      <c r="BG88" s="135">
        <v>6000</v>
      </c>
      <c r="BH88" s="135">
        <v>35806.400000000001</v>
      </c>
      <c r="BI88" s="135">
        <v>0.03</v>
      </c>
      <c r="BJ88" s="135">
        <v>44</v>
      </c>
      <c r="BK88" s="135">
        <v>4.5</v>
      </c>
      <c r="BL88" s="135">
        <v>19.75</v>
      </c>
    </row>
    <row r="89" spans="1:64" x14ac:dyDescent="0.3">
      <c r="A89" s="135">
        <v>2016</v>
      </c>
      <c r="B89" s="135">
        <v>4</v>
      </c>
      <c r="C89" s="135" t="s">
        <v>2092</v>
      </c>
      <c r="D89" s="135" t="s">
        <v>178</v>
      </c>
      <c r="E89" s="135" t="s">
        <v>394</v>
      </c>
      <c r="F89" s="135" t="s">
        <v>43</v>
      </c>
      <c r="G89" s="135" t="s">
        <v>30</v>
      </c>
      <c r="H89" s="135">
        <v>9.0399999999999991</v>
      </c>
      <c r="I89" s="135">
        <v>5.7000000000000002E-2</v>
      </c>
      <c r="J89" s="135">
        <v>5.7000000000000002E-2</v>
      </c>
      <c r="K89" s="135">
        <v>0</v>
      </c>
      <c r="L89" s="135">
        <v>0</v>
      </c>
      <c r="M89" s="135">
        <v>0</v>
      </c>
      <c r="N89" s="135">
        <v>0</v>
      </c>
      <c r="O89" s="135">
        <v>0</v>
      </c>
      <c r="P89" s="135">
        <v>0.12</v>
      </c>
      <c r="Q89" s="135">
        <v>0.59099999999999997</v>
      </c>
      <c r="R89" s="135">
        <v>0</v>
      </c>
      <c r="S89" s="135">
        <v>0</v>
      </c>
      <c r="T89" s="135">
        <v>0</v>
      </c>
      <c r="U89" s="135">
        <v>0</v>
      </c>
      <c r="V89" s="135">
        <v>1E-3</v>
      </c>
      <c r="W89" s="135">
        <v>0</v>
      </c>
      <c r="X89" s="135">
        <v>0</v>
      </c>
      <c r="Y89" s="135" t="s">
        <v>1995</v>
      </c>
      <c r="Z89" s="135"/>
      <c r="AA89" s="135"/>
      <c r="AB89" s="135"/>
      <c r="AC89" s="135"/>
      <c r="AD89" s="135">
        <v>0.1</v>
      </c>
      <c r="AE89" s="135">
        <v>6000</v>
      </c>
      <c r="AF89" s="135">
        <v>105078.8</v>
      </c>
      <c r="AG89" s="135">
        <v>0.01</v>
      </c>
      <c r="AH89" s="135">
        <v>0.1</v>
      </c>
      <c r="AI89" s="135">
        <v>3000</v>
      </c>
      <c r="AJ89" s="135">
        <v>48665</v>
      </c>
      <c r="AK89" s="135">
        <v>0.02</v>
      </c>
      <c r="AL89" s="135">
        <v>0.1</v>
      </c>
      <c r="AM89" s="135">
        <v>4500</v>
      </c>
      <c r="AN89" s="135">
        <v>78809.100000000006</v>
      </c>
      <c r="AO89" s="135">
        <v>0.01</v>
      </c>
      <c r="AP89" s="135"/>
      <c r="AQ89" s="135"/>
      <c r="AR89" s="135"/>
      <c r="AS89" s="135"/>
      <c r="AT89" s="135"/>
      <c r="AU89" s="135"/>
      <c r="AV89" s="135"/>
      <c r="AW89" s="135"/>
      <c r="AX89" s="135">
        <v>0.1</v>
      </c>
      <c r="AY89" s="135">
        <v>10</v>
      </c>
      <c r="AZ89" s="135">
        <v>175.1</v>
      </c>
      <c r="BA89" s="135">
        <v>0.01</v>
      </c>
      <c r="BB89" s="135"/>
      <c r="BC89" s="135"/>
      <c r="BD89" s="135"/>
      <c r="BE89" s="135"/>
      <c r="BF89" s="135">
        <v>0.1</v>
      </c>
      <c r="BG89" s="135">
        <v>6000</v>
      </c>
      <c r="BH89" s="135">
        <v>97329.9</v>
      </c>
      <c r="BI89" s="135">
        <v>0.01</v>
      </c>
      <c r="BJ89" s="135">
        <v>40.5</v>
      </c>
      <c r="BK89" s="135">
        <v>-6.5</v>
      </c>
      <c r="BL89" s="135">
        <v>23.5</v>
      </c>
    </row>
    <row r="90" spans="1:64" x14ac:dyDescent="0.3">
      <c r="A90" s="135">
        <v>2016</v>
      </c>
      <c r="B90" s="135">
        <v>3</v>
      </c>
      <c r="C90" s="135" t="s">
        <v>2082</v>
      </c>
      <c r="D90" s="135" t="s">
        <v>494</v>
      </c>
      <c r="E90" s="135" t="s">
        <v>394</v>
      </c>
      <c r="F90" s="135" t="s">
        <v>395</v>
      </c>
      <c r="G90" s="135" t="s">
        <v>26</v>
      </c>
      <c r="H90" s="135">
        <v>17.170000000000002</v>
      </c>
      <c r="I90" s="135">
        <v>0.43099999999999999</v>
      </c>
      <c r="J90" s="135">
        <v>0.43099999999999999</v>
      </c>
      <c r="K90" s="135">
        <v>0</v>
      </c>
      <c r="L90" s="135">
        <v>0</v>
      </c>
      <c r="M90" s="135">
        <v>0</v>
      </c>
      <c r="N90" s="135">
        <v>0</v>
      </c>
      <c r="O90" s="3">
        <v>0</v>
      </c>
      <c r="P90" s="3">
        <v>0.314</v>
      </c>
      <c r="Q90" s="3">
        <v>1.2270000000000001</v>
      </c>
      <c r="R90" s="3">
        <v>5.1999999999999998E-2</v>
      </c>
      <c r="S90" s="3">
        <v>0</v>
      </c>
      <c r="T90" s="3">
        <v>0</v>
      </c>
      <c r="U90" s="3">
        <v>0</v>
      </c>
      <c r="V90" s="3">
        <v>2E-3</v>
      </c>
      <c r="W90" s="3">
        <v>0</v>
      </c>
      <c r="X90" s="3">
        <v>0</v>
      </c>
      <c r="Y90" s="3" t="s">
        <v>1995</v>
      </c>
      <c r="Z90" s="3"/>
      <c r="AA90" s="3"/>
      <c r="AB90" s="3"/>
      <c r="AC90" s="3"/>
      <c r="AD90" s="3">
        <v>0.4</v>
      </c>
      <c r="AE90" s="3">
        <v>6000</v>
      </c>
      <c r="AF90" s="3">
        <v>13930.8</v>
      </c>
      <c r="AG90" s="3">
        <v>7.0000000000000007E-2</v>
      </c>
      <c r="AH90" s="3">
        <v>0.4</v>
      </c>
      <c r="AI90" s="3">
        <v>3000</v>
      </c>
      <c r="AJ90" s="3">
        <v>6817.2</v>
      </c>
      <c r="AK90" s="3">
        <v>0.15</v>
      </c>
      <c r="AL90" s="3">
        <v>0.4</v>
      </c>
      <c r="AM90" s="3">
        <v>4500</v>
      </c>
      <c r="AN90" s="3">
        <v>10448.1</v>
      </c>
      <c r="AO90" s="3">
        <v>0.1</v>
      </c>
      <c r="AP90" s="3"/>
      <c r="AQ90" s="3"/>
      <c r="AR90" s="3"/>
      <c r="AS90" s="3"/>
      <c r="AT90" s="3"/>
      <c r="AU90" s="3"/>
      <c r="AV90" s="3"/>
      <c r="AW90" s="3"/>
      <c r="AX90" s="3">
        <v>0.4</v>
      </c>
      <c r="AY90" s="3">
        <v>10</v>
      </c>
      <c r="AZ90" s="3">
        <v>23.2</v>
      </c>
      <c r="BA90" s="3">
        <v>0.04</v>
      </c>
      <c r="BB90" s="3"/>
      <c r="BC90" s="3"/>
      <c r="BD90" s="3"/>
      <c r="BE90" s="3"/>
      <c r="BF90" s="3">
        <v>0.4</v>
      </c>
      <c r="BG90" s="3">
        <v>6000</v>
      </c>
      <c r="BH90" s="3">
        <v>13634.4</v>
      </c>
      <c r="BI90" s="3">
        <v>7.0000000000000007E-2</v>
      </c>
      <c r="BJ90" s="3">
        <v>48</v>
      </c>
      <c r="BK90" s="3">
        <v>-7.5</v>
      </c>
      <c r="BL90" s="3">
        <v>27.75</v>
      </c>
    </row>
    <row r="91" spans="1:64" x14ac:dyDescent="0.3">
      <c r="A91" s="135">
        <v>2016</v>
      </c>
      <c r="B91" s="135">
        <v>3</v>
      </c>
      <c r="C91" s="135" t="s">
        <v>2083</v>
      </c>
      <c r="D91" s="135" t="s">
        <v>157</v>
      </c>
      <c r="E91" s="135" t="s">
        <v>394</v>
      </c>
      <c r="F91" s="135" t="s">
        <v>397</v>
      </c>
      <c r="G91" s="135" t="s">
        <v>34</v>
      </c>
      <c r="H91" s="135">
        <v>13.16</v>
      </c>
      <c r="I91" s="135">
        <v>0.34599999999999997</v>
      </c>
      <c r="J91" s="135">
        <v>0.34599999999999997</v>
      </c>
      <c r="K91" s="135">
        <v>0</v>
      </c>
      <c r="L91" s="135">
        <v>0</v>
      </c>
      <c r="M91" s="135">
        <v>0</v>
      </c>
      <c r="N91" s="135">
        <v>0</v>
      </c>
      <c r="O91" s="3">
        <v>0</v>
      </c>
      <c r="P91" s="3">
        <v>0.91600000000000004</v>
      </c>
      <c r="Q91" s="3">
        <v>2.0419999999999998</v>
      </c>
      <c r="R91" s="3">
        <v>2.5999999999999999E-2</v>
      </c>
      <c r="S91" s="3">
        <v>0</v>
      </c>
      <c r="T91" s="3">
        <v>0</v>
      </c>
      <c r="U91" s="3">
        <v>0</v>
      </c>
      <c r="V91" s="3">
        <v>7.0000000000000001E-3</v>
      </c>
      <c r="W91" s="3">
        <v>0</v>
      </c>
      <c r="X91" s="3">
        <v>0</v>
      </c>
      <c r="Y91" s="3" t="s">
        <v>1995</v>
      </c>
      <c r="Z91" s="3">
        <v>0.3</v>
      </c>
      <c r="AA91" s="3">
        <v>3500</v>
      </c>
      <c r="AB91" s="3">
        <v>10318.4</v>
      </c>
      <c r="AC91" s="3">
        <v>0.1</v>
      </c>
      <c r="AD91" s="3">
        <v>0.3</v>
      </c>
      <c r="AE91" s="3">
        <v>6000</v>
      </c>
      <c r="AF91" s="3">
        <v>17331</v>
      </c>
      <c r="AG91" s="3">
        <v>0.06</v>
      </c>
      <c r="AH91" s="3">
        <v>0.4</v>
      </c>
      <c r="AI91" s="3">
        <v>3000</v>
      </c>
      <c r="AJ91" s="3">
        <v>8209</v>
      </c>
      <c r="AK91" s="3">
        <v>0.12</v>
      </c>
      <c r="AL91" s="3">
        <v>0.3</v>
      </c>
      <c r="AM91" s="3">
        <v>4500</v>
      </c>
      <c r="AN91" s="3">
        <v>12998.3</v>
      </c>
      <c r="AO91" s="3">
        <v>0.08</v>
      </c>
      <c r="AP91" s="3"/>
      <c r="AQ91" s="3"/>
      <c r="AR91" s="3"/>
      <c r="AS91" s="3"/>
      <c r="AT91" s="3"/>
      <c r="AU91" s="3"/>
      <c r="AV91" s="3"/>
      <c r="AW91" s="3"/>
      <c r="AX91" s="3">
        <v>0.3</v>
      </c>
      <c r="AY91" s="3">
        <v>10</v>
      </c>
      <c r="AZ91" s="3">
        <v>28.9</v>
      </c>
      <c r="BA91" s="3">
        <v>0.03</v>
      </c>
      <c r="BB91" s="3"/>
      <c r="BC91" s="3"/>
      <c r="BD91" s="3"/>
      <c r="BE91" s="3"/>
      <c r="BF91" s="3">
        <v>0.4</v>
      </c>
      <c r="BG91" s="3">
        <v>6000</v>
      </c>
      <c r="BH91" s="3">
        <v>16418</v>
      </c>
      <c r="BI91" s="3">
        <v>0.06</v>
      </c>
      <c r="BJ91" s="3">
        <v>43</v>
      </c>
      <c r="BK91" s="3">
        <v>-3</v>
      </c>
      <c r="BL91" s="3">
        <v>23</v>
      </c>
    </row>
    <row r="92" spans="1:64" x14ac:dyDescent="0.3">
      <c r="A92" s="135">
        <v>2016</v>
      </c>
      <c r="B92" s="135">
        <v>3</v>
      </c>
      <c r="C92" s="135" t="s">
        <v>2084</v>
      </c>
      <c r="D92" s="135" t="s">
        <v>1556</v>
      </c>
      <c r="E92" s="135" t="s">
        <v>394</v>
      </c>
      <c r="F92" s="135" t="s">
        <v>70</v>
      </c>
      <c r="G92" s="135" t="s">
        <v>1999</v>
      </c>
      <c r="H92" s="135">
        <v>17.170000000000002</v>
      </c>
      <c r="I92" s="135">
        <v>0.29699999999999999</v>
      </c>
      <c r="J92" s="135">
        <v>0.29699999999999999</v>
      </c>
      <c r="K92" s="135">
        <v>0</v>
      </c>
      <c r="L92" s="135">
        <v>0</v>
      </c>
      <c r="M92" s="135">
        <v>0</v>
      </c>
      <c r="N92" s="135">
        <v>0</v>
      </c>
      <c r="O92" s="3">
        <v>0</v>
      </c>
      <c r="P92" s="3">
        <v>0.60699999999999998</v>
      </c>
      <c r="Q92" s="3">
        <v>2.2469999999999999</v>
      </c>
      <c r="R92" s="3">
        <v>1.4E-2</v>
      </c>
      <c r="S92" s="3">
        <v>0</v>
      </c>
      <c r="T92" s="3">
        <v>0</v>
      </c>
      <c r="U92" s="3">
        <v>0</v>
      </c>
      <c r="V92" s="3">
        <v>6.0000000000000001E-3</v>
      </c>
      <c r="W92" s="3">
        <v>0</v>
      </c>
      <c r="X92" s="3">
        <v>0</v>
      </c>
      <c r="Y92" s="3" t="s">
        <v>1995</v>
      </c>
      <c r="Z92" s="3"/>
      <c r="AA92" s="3"/>
      <c r="AB92" s="3"/>
      <c r="AC92" s="3"/>
      <c r="AD92" s="3">
        <v>0.3</v>
      </c>
      <c r="AE92" s="3">
        <v>6000</v>
      </c>
      <c r="AF92" s="3">
        <v>20222.400000000001</v>
      </c>
      <c r="AG92" s="3">
        <v>0.05</v>
      </c>
      <c r="AH92" s="3">
        <v>0.3</v>
      </c>
      <c r="AI92" s="3">
        <v>3000</v>
      </c>
      <c r="AJ92" s="3">
        <v>9488.2000000000007</v>
      </c>
      <c r="AK92" s="3">
        <v>0.11</v>
      </c>
      <c r="AL92" s="3">
        <v>0.3</v>
      </c>
      <c r="AM92" s="3">
        <v>4500</v>
      </c>
      <c r="AN92" s="3">
        <v>15166.8</v>
      </c>
      <c r="AO92" s="3">
        <v>7.0000000000000007E-2</v>
      </c>
      <c r="AP92" s="3"/>
      <c r="AQ92" s="3"/>
      <c r="AR92" s="3"/>
      <c r="AS92" s="3"/>
      <c r="AT92" s="3"/>
      <c r="AU92" s="3"/>
      <c r="AV92" s="3"/>
      <c r="AW92" s="3"/>
      <c r="AX92" s="3">
        <v>0.3</v>
      </c>
      <c r="AY92" s="3">
        <v>10</v>
      </c>
      <c r="AZ92" s="3">
        <v>33.700000000000003</v>
      </c>
      <c r="BA92" s="3">
        <v>0.03</v>
      </c>
      <c r="BB92" s="3"/>
      <c r="BC92" s="3"/>
      <c r="BD92" s="3"/>
      <c r="BE92" s="3"/>
      <c r="BF92" s="3">
        <v>0.3</v>
      </c>
      <c r="BG92" s="3">
        <v>6000</v>
      </c>
      <c r="BH92" s="3">
        <v>18976.400000000001</v>
      </c>
      <c r="BI92" s="3">
        <v>0.05</v>
      </c>
      <c r="BJ92" s="3">
        <v>41</v>
      </c>
      <c r="BK92" s="3">
        <v>3</v>
      </c>
      <c r="BL92" s="3">
        <v>19</v>
      </c>
    </row>
    <row r="93" spans="1:64" x14ac:dyDescent="0.3">
      <c r="A93" s="135">
        <v>2016</v>
      </c>
      <c r="B93" s="135">
        <v>3</v>
      </c>
      <c r="C93" s="135" t="s">
        <v>2085</v>
      </c>
      <c r="D93" s="135" t="s">
        <v>508</v>
      </c>
      <c r="E93" s="135" t="s">
        <v>394</v>
      </c>
      <c r="F93" s="135" t="s">
        <v>402</v>
      </c>
      <c r="G93" s="135" t="s">
        <v>43</v>
      </c>
      <c r="H93" s="135">
        <v>16.68</v>
      </c>
      <c r="I93" s="135">
        <v>0.28000000000000003</v>
      </c>
      <c r="J93" s="135">
        <v>0.28000000000000003</v>
      </c>
      <c r="K93" s="135">
        <v>0</v>
      </c>
      <c r="L93" s="135">
        <v>0</v>
      </c>
      <c r="M93" s="135">
        <v>0</v>
      </c>
      <c r="N93" s="135">
        <v>0</v>
      </c>
      <c r="O93" s="3">
        <v>0</v>
      </c>
      <c r="P93" s="3">
        <v>0.79200000000000004</v>
      </c>
      <c r="Q93" s="3">
        <v>2.9369999999999998</v>
      </c>
      <c r="R93" s="3">
        <v>0</v>
      </c>
      <c r="S93" s="3">
        <v>0</v>
      </c>
      <c r="T93" s="3">
        <v>0</v>
      </c>
      <c r="U93" s="3">
        <v>0</v>
      </c>
      <c r="V93" s="3">
        <v>7.0000000000000001E-3</v>
      </c>
      <c r="W93" s="3">
        <v>0</v>
      </c>
      <c r="X93" s="3">
        <v>0</v>
      </c>
      <c r="Y93" s="3" t="s">
        <v>1995</v>
      </c>
      <c r="Z93" s="3">
        <v>0.3</v>
      </c>
      <c r="AA93" s="3">
        <v>3000</v>
      </c>
      <c r="AB93" s="3">
        <v>11001.1</v>
      </c>
      <c r="AC93" s="3">
        <v>0.09</v>
      </c>
      <c r="AD93" s="3">
        <v>0.3</v>
      </c>
      <c r="AE93" s="3">
        <v>6000</v>
      </c>
      <c r="AF93" s="3">
        <v>21451.599999999999</v>
      </c>
      <c r="AG93" s="3">
        <v>0.05</v>
      </c>
      <c r="AH93" s="3">
        <v>0.3</v>
      </c>
      <c r="AI93" s="3">
        <v>3000</v>
      </c>
      <c r="AJ93" s="3">
        <v>9858</v>
      </c>
      <c r="AK93" s="3">
        <v>0.1</v>
      </c>
      <c r="AL93" s="3">
        <v>0.3</v>
      </c>
      <c r="AM93" s="3">
        <v>4800</v>
      </c>
      <c r="AN93" s="3">
        <v>17161.2</v>
      </c>
      <c r="AO93" s="3">
        <v>0.06</v>
      </c>
      <c r="AP93" s="3"/>
      <c r="AQ93" s="3"/>
      <c r="AR93" s="3"/>
      <c r="AS93" s="3"/>
      <c r="AT93" s="3"/>
      <c r="AU93" s="3"/>
      <c r="AV93" s="3"/>
      <c r="AW93" s="3"/>
      <c r="AX93" s="3">
        <v>0.3</v>
      </c>
      <c r="AY93" s="3">
        <v>10</v>
      </c>
      <c r="AZ93" s="3">
        <v>35.799999999999997</v>
      </c>
      <c r="BA93" s="3">
        <v>0.03</v>
      </c>
      <c r="BB93" s="3"/>
      <c r="BC93" s="3"/>
      <c r="BD93" s="3"/>
      <c r="BE93" s="3"/>
      <c r="BF93" s="3">
        <v>0.3</v>
      </c>
      <c r="BG93" s="3">
        <v>6000</v>
      </c>
      <c r="BH93" s="3">
        <v>19716</v>
      </c>
      <c r="BI93" s="3">
        <v>0.05</v>
      </c>
      <c r="BJ93" s="3">
        <v>40.5</v>
      </c>
      <c r="BK93" s="3">
        <v>-0.5</v>
      </c>
      <c r="BL93" s="3">
        <v>20.5</v>
      </c>
    </row>
    <row r="94" spans="1:64" x14ac:dyDescent="0.3">
      <c r="A94" s="135">
        <v>2016</v>
      </c>
      <c r="B94" s="135">
        <v>3</v>
      </c>
      <c r="C94" s="135" t="s">
        <v>2086</v>
      </c>
      <c r="D94" s="135" t="s">
        <v>1555</v>
      </c>
      <c r="E94" s="135" t="s">
        <v>394</v>
      </c>
      <c r="F94" s="135" t="s">
        <v>20</v>
      </c>
      <c r="G94" s="135" t="s">
        <v>1965</v>
      </c>
      <c r="H94" s="135">
        <v>21.18</v>
      </c>
      <c r="I94" s="135">
        <v>0.23499999999999999</v>
      </c>
      <c r="J94" s="135">
        <v>0.23499999999999999</v>
      </c>
      <c r="K94" s="135">
        <v>0</v>
      </c>
      <c r="L94" s="135">
        <v>0</v>
      </c>
      <c r="M94" s="135">
        <v>0</v>
      </c>
      <c r="N94" s="135">
        <v>0</v>
      </c>
      <c r="O94" s="3">
        <v>0</v>
      </c>
      <c r="P94" s="3">
        <v>0.39500000000000002</v>
      </c>
      <c r="Q94" s="3">
        <v>2.407</v>
      </c>
      <c r="R94" s="3">
        <v>0</v>
      </c>
      <c r="S94" s="3">
        <v>0</v>
      </c>
      <c r="T94" s="3">
        <v>0</v>
      </c>
      <c r="U94" s="3">
        <v>0</v>
      </c>
      <c r="V94" s="3">
        <v>3.0000000000000001E-3</v>
      </c>
      <c r="W94" s="3">
        <v>0</v>
      </c>
      <c r="X94" s="3">
        <v>0</v>
      </c>
      <c r="Y94" s="3" t="s">
        <v>1995</v>
      </c>
      <c r="Z94" s="3">
        <v>0.2</v>
      </c>
      <c r="AA94" s="3">
        <v>3000</v>
      </c>
      <c r="AB94" s="3">
        <v>12947.8</v>
      </c>
      <c r="AC94" s="3">
        <v>0.08</v>
      </c>
      <c r="AD94" s="3">
        <v>0.2</v>
      </c>
      <c r="AE94" s="3">
        <v>6000</v>
      </c>
      <c r="AF94" s="3">
        <v>25564.6</v>
      </c>
      <c r="AG94" s="3">
        <v>0.04</v>
      </c>
      <c r="AH94" s="3">
        <v>0.3</v>
      </c>
      <c r="AI94" s="3">
        <v>3000</v>
      </c>
      <c r="AJ94" s="3">
        <v>11898.1</v>
      </c>
      <c r="AK94" s="3">
        <v>0.08</v>
      </c>
      <c r="AL94" s="3">
        <v>0.2</v>
      </c>
      <c r="AM94" s="3">
        <v>4500</v>
      </c>
      <c r="AN94" s="3">
        <v>19173.400000000001</v>
      </c>
      <c r="AO94" s="3">
        <v>0.05</v>
      </c>
      <c r="AP94" s="3"/>
      <c r="AQ94" s="3"/>
      <c r="AR94" s="3"/>
      <c r="AS94" s="3"/>
      <c r="AT94" s="3"/>
      <c r="AU94" s="3"/>
      <c r="AV94" s="3"/>
      <c r="AW94" s="3"/>
      <c r="AX94" s="3">
        <v>0.2</v>
      </c>
      <c r="AY94" s="3">
        <v>10</v>
      </c>
      <c r="AZ94" s="3">
        <v>42.6</v>
      </c>
      <c r="BA94" s="3">
        <v>0.02</v>
      </c>
      <c r="BB94" s="3"/>
      <c r="BC94" s="3"/>
      <c r="BD94" s="3"/>
      <c r="BE94" s="3"/>
      <c r="BF94" s="3">
        <v>0.3</v>
      </c>
      <c r="BG94" s="3">
        <v>6000</v>
      </c>
      <c r="BH94" s="3">
        <v>23796.1</v>
      </c>
      <c r="BI94" s="3">
        <v>0.04</v>
      </c>
      <c r="BJ94" s="3">
        <v>46</v>
      </c>
      <c r="BK94" s="3">
        <v>-3.5</v>
      </c>
      <c r="BL94" s="3">
        <v>24.75</v>
      </c>
    </row>
    <row r="95" spans="1:64" x14ac:dyDescent="0.3">
      <c r="A95" s="135">
        <v>2016</v>
      </c>
      <c r="B95" s="135">
        <v>3</v>
      </c>
      <c r="C95" s="135" t="s">
        <v>2087</v>
      </c>
      <c r="D95" s="135" t="s">
        <v>182</v>
      </c>
      <c r="E95" s="135" t="s">
        <v>394</v>
      </c>
      <c r="F95" s="135" t="s">
        <v>397</v>
      </c>
      <c r="G95" s="135" t="s">
        <v>34</v>
      </c>
      <c r="H95" s="135">
        <v>13.16</v>
      </c>
      <c r="I95" s="135">
        <v>0.23100000000000001</v>
      </c>
      <c r="J95" s="135">
        <v>0.53200000000000003</v>
      </c>
      <c r="K95" s="135">
        <v>0</v>
      </c>
      <c r="L95" s="135">
        <v>0</v>
      </c>
      <c r="M95" s="135">
        <v>0</v>
      </c>
      <c r="N95" s="135">
        <v>0</v>
      </c>
      <c r="O95" s="3">
        <v>0</v>
      </c>
      <c r="P95" s="3">
        <v>0</v>
      </c>
      <c r="Q95" s="3">
        <v>0</v>
      </c>
      <c r="R95" s="3">
        <v>0</v>
      </c>
      <c r="S95" s="3">
        <v>0.30099999999999999</v>
      </c>
      <c r="T95" s="3">
        <v>2.3719999999999999</v>
      </c>
      <c r="U95" s="3">
        <v>0</v>
      </c>
      <c r="V95" s="3">
        <v>3.0000000000000001E-3</v>
      </c>
      <c r="W95" s="3">
        <v>0</v>
      </c>
      <c r="X95" s="3">
        <v>0</v>
      </c>
      <c r="Y95" s="3" t="s">
        <v>1995</v>
      </c>
      <c r="Z95" s="3">
        <v>0.4</v>
      </c>
      <c r="AA95" s="3">
        <v>3000</v>
      </c>
      <c r="AB95" s="3">
        <v>7921.8</v>
      </c>
      <c r="AC95" s="3">
        <v>0.13</v>
      </c>
      <c r="AD95" s="3">
        <v>0.5</v>
      </c>
      <c r="AE95" s="3">
        <v>6000</v>
      </c>
      <c r="AF95" s="3">
        <v>11274</v>
      </c>
      <c r="AG95" s="3">
        <v>0.09</v>
      </c>
      <c r="AH95" s="3">
        <v>0.5</v>
      </c>
      <c r="AI95" s="3">
        <v>3000</v>
      </c>
      <c r="AJ95" s="3">
        <v>5460.2</v>
      </c>
      <c r="AK95" s="3">
        <v>0.18</v>
      </c>
      <c r="AL95" s="3">
        <v>0.4</v>
      </c>
      <c r="AM95" s="3">
        <v>4500</v>
      </c>
      <c r="AN95" s="3">
        <v>11789.4</v>
      </c>
      <c r="AO95" s="3">
        <v>0.08</v>
      </c>
      <c r="AP95" s="3"/>
      <c r="AQ95" s="3"/>
      <c r="AR95" s="3"/>
      <c r="AS95" s="3"/>
      <c r="AT95" s="3"/>
      <c r="AU95" s="3"/>
      <c r="AV95" s="3"/>
      <c r="AW95" s="3"/>
      <c r="AX95" s="3">
        <v>0.4</v>
      </c>
      <c r="AY95" s="3">
        <v>10</v>
      </c>
      <c r="AZ95" s="3">
        <v>26.2</v>
      </c>
      <c r="BA95" s="3">
        <v>0.04</v>
      </c>
      <c r="BB95" s="3"/>
      <c r="BC95" s="3"/>
      <c r="BD95" s="3"/>
      <c r="BE95" s="3"/>
      <c r="BF95" s="3">
        <v>0.5</v>
      </c>
      <c r="BG95" s="3">
        <v>6000</v>
      </c>
      <c r="BH95" s="3">
        <v>10920.4</v>
      </c>
      <c r="BI95" s="3">
        <v>0.09</v>
      </c>
      <c r="BJ95" s="3">
        <v>43</v>
      </c>
      <c r="BK95" s="3">
        <v>-3</v>
      </c>
      <c r="BL95" s="3">
        <v>23</v>
      </c>
    </row>
    <row r="96" spans="1:64" x14ac:dyDescent="0.3">
      <c r="A96" s="135">
        <v>2016</v>
      </c>
      <c r="B96" s="135">
        <v>3</v>
      </c>
      <c r="C96" s="135" t="s">
        <v>2088</v>
      </c>
      <c r="D96" s="135" t="s">
        <v>136</v>
      </c>
      <c r="E96" s="135" t="s">
        <v>394</v>
      </c>
      <c r="F96" s="135" t="s">
        <v>407</v>
      </c>
      <c r="G96" s="135" t="s">
        <v>1967</v>
      </c>
      <c r="H96" s="135">
        <v>19.48</v>
      </c>
      <c r="I96" s="135">
        <v>0.222</v>
      </c>
      <c r="J96" s="135">
        <v>0.222</v>
      </c>
      <c r="K96" s="135">
        <v>0</v>
      </c>
      <c r="L96" s="135">
        <v>0</v>
      </c>
      <c r="M96" s="135">
        <v>0</v>
      </c>
      <c r="N96" s="135">
        <v>0</v>
      </c>
      <c r="O96" s="3">
        <v>0</v>
      </c>
      <c r="P96" s="3">
        <v>0</v>
      </c>
      <c r="Q96" s="3">
        <v>0</v>
      </c>
      <c r="R96" s="3">
        <v>3.6999999999999998E-2</v>
      </c>
      <c r="S96" s="3">
        <v>0</v>
      </c>
      <c r="T96" s="3">
        <v>0</v>
      </c>
      <c r="U96" s="3">
        <v>0</v>
      </c>
      <c r="V96" s="3">
        <v>0</v>
      </c>
      <c r="W96" s="3">
        <v>0</v>
      </c>
      <c r="X96" s="3">
        <v>0</v>
      </c>
      <c r="Y96" s="3" t="s">
        <v>1995</v>
      </c>
      <c r="Z96" s="3">
        <v>0.2</v>
      </c>
      <c r="AA96" s="3">
        <v>3500</v>
      </c>
      <c r="AB96" s="3">
        <v>15765.8</v>
      </c>
      <c r="AC96" s="3">
        <v>0.06</v>
      </c>
      <c r="AD96" s="3">
        <v>0.2</v>
      </c>
      <c r="AE96" s="3">
        <v>6000</v>
      </c>
      <c r="AF96" s="3">
        <v>27027</v>
      </c>
      <c r="AG96" s="3">
        <v>0.04</v>
      </c>
      <c r="AH96" s="3">
        <v>0.2</v>
      </c>
      <c r="AI96" s="3">
        <v>3000</v>
      </c>
      <c r="AJ96" s="3">
        <v>13513.5</v>
      </c>
      <c r="AK96" s="3">
        <v>7.0000000000000007E-2</v>
      </c>
      <c r="AL96" s="3">
        <v>0.2</v>
      </c>
      <c r="AM96" s="3">
        <v>4500</v>
      </c>
      <c r="AN96" s="3">
        <v>20270.3</v>
      </c>
      <c r="AO96" s="3">
        <v>0.05</v>
      </c>
      <c r="AP96" s="3"/>
      <c r="AQ96" s="3"/>
      <c r="AR96" s="3"/>
      <c r="AS96" s="3"/>
      <c r="AT96" s="3"/>
      <c r="AU96" s="3"/>
      <c r="AV96" s="3"/>
      <c r="AW96" s="3"/>
      <c r="AX96" s="3">
        <v>0.2</v>
      </c>
      <c r="AY96" s="3">
        <v>10</v>
      </c>
      <c r="AZ96" s="3">
        <v>45</v>
      </c>
      <c r="BA96" s="3">
        <v>0.02</v>
      </c>
      <c r="BB96" s="3"/>
      <c r="BC96" s="3"/>
      <c r="BD96" s="3"/>
      <c r="BE96" s="3"/>
      <c r="BF96" s="3">
        <v>0.2</v>
      </c>
      <c r="BG96" s="3">
        <v>6000</v>
      </c>
      <c r="BH96" s="3">
        <v>27027</v>
      </c>
      <c r="BI96" s="3">
        <v>0.04</v>
      </c>
      <c r="BJ96" s="3">
        <v>52</v>
      </c>
      <c r="BK96" s="3">
        <v>3</v>
      </c>
      <c r="BL96" s="3">
        <v>24.5</v>
      </c>
    </row>
    <row r="97" spans="1:64" x14ac:dyDescent="0.3">
      <c r="A97" s="135">
        <v>2016</v>
      </c>
      <c r="B97" s="135">
        <v>3</v>
      </c>
      <c r="C97" s="135" t="s">
        <v>2089</v>
      </c>
      <c r="D97" s="135" t="s">
        <v>140</v>
      </c>
      <c r="E97" s="135" t="s">
        <v>394</v>
      </c>
      <c r="F97" s="135" t="s">
        <v>402</v>
      </c>
      <c r="G97" s="135" t="s">
        <v>43</v>
      </c>
      <c r="H97" s="135">
        <v>16.68</v>
      </c>
      <c r="I97" s="135">
        <v>0.21099999999999999</v>
      </c>
      <c r="J97" s="135">
        <v>0.41699999999999998</v>
      </c>
      <c r="K97" s="135">
        <v>0</v>
      </c>
      <c r="L97" s="135">
        <v>0</v>
      </c>
      <c r="M97" s="135">
        <v>0</v>
      </c>
      <c r="N97" s="135">
        <v>0</v>
      </c>
      <c r="O97" s="3">
        <v>0</v>
      </c>
      <c r="P97" s="3">
        <v>0.36</v>
      </c>
      <c r="Q97" s="3">
        <v>1.175</v>
      </c>
      <c r="R97" s="3">
        <v>0</v>
      </c>
      <c r="S97" s="3">
        <v>0.20599999999999999</v>
      </c>
      <c r="T97" s="3">
        <v>1.0389999999999999</v>
      </c>
      <c r="U97" s="3">
        <v>0</v>
      </c>
      <c r="V97" s="3">
        <v>5.0000000000000001E-3</v>
      </c>
      <c r="W97" s="3">
        <v>0</v>
      </c>
      <c r="X97" s="3">
        <v>0</v>
      </c>
      <c r="Y97" s="3" t="s">
        <v>1995</v>
      </c>
      <c r="Z97" s="3">
        <v>0.3</v>
      </c>
      <c r="AA97" s="3">
        <v>3500</v>
      </c>
      <c r="AB97" s="3">
        <v>11312.2</v>
      </c>
      <c r="AC97" s="3">
        <v>0.09</v>
      </c>
      <c r="AD97" s="3">
        <v>0.4</v>
      </c>
      <c r="AE97" s="3">
        <v>6000</v>
      </c>
      <c r="AF97" s="3">
        <v>14374.7</v>
      </c>
      <c r="AG97" s="3">
        <v>7.0000000000000007E-2</v>
      </c>
      <c r="AH97" s="3">
        <v>0.4</v>
      </c>
      <c r="AI97" s="3">
        <v>3000</v>
      </c>
      <c r="AJ97" s="3">
        <v>6885.7</v>
      </c>
      <c r="AK97" s="3">
        <v>0.15</v>
      </c>
      <c r="AL97" s="3">
        <v>0.3</v>
      </c>
      <c r="AM97" s="3">
        <v>4800</v>
      </c>
      <c r="AN97" s="3">
        <v>15267.2</v>
      </c>
      <c r="AO97" s="3">
        <v>7.0000000000000007E-2</v>
      </c>
      <c r="AP97" s="3"/>
      <c r="AQ97" s="3"/>
      <c r="AR97" s="3"/>
      <c r="AS97" s="3"/>
      <c r="AT97" s="3"/>
      <c r="AU97" s="3"/>
      <c r="AV97" s="3"/>
      <c r="AW97" s="3"/>
      <c r="AX97" s="3">
        <v>0.3</v>
      </c>
      <c r="AY97" s="3">
        <v>10</v>
      </c>
      <c r="AZ97" s="3">
        <v>31.8</v>
      </c>
      <c r="BA97" s="3">
        <v>0.03</v>
      </c>
      <c r="BB97" s="3"/>
      <c r="BC97" s="3"/>
      <c r="BD97" s="3"/>
      <c r="BE97" s="3"/>
      <c r="BF97" s="3">
        <v>0.4</v>
      </c>
      <c r="BG97" s="3">
        <v>6000</v>
      </c>
      <c r="BH97" s="3">
        <v>13771.4</v>
      </c>
      <c r="BI97" s="3">
        <v>7.0000000000000007E-2</v>
      </c>
      <c r="BJ97" s="3">
        <v>40.5</v>
      </c>
      <c r="BK97" s="3">
        <v>-0.5</v>
      </c>
      <c r="BL97" s="3">
        <v>20.5</v>
      </c>
    </row>
    <row r="98" spans="1:64" x14ac:dyDescent="0.3">
      <c r="A98" s="135">
        <v>2016</v>
      </c>
      <c r="B98" s="135">
        <v>3</v>
      </c>
      <c r="C98" s="135" t="s">
        <v>2090</v>
      </c>
      <c r="D98" s="135" t="s">
        <v>522</v>
      </c>
      <c r="E98" s="135" t="s">
        <v>394</v>
      </c>
      <c r="F98" s="135" t="s">
        <v>39</v>
      </c>
      <c r="G98" s="135" t="s">
        <v>20</v>
      </c>
      <c r="H98" s="135">
        <v>13.88</v>
      </c>
      <c r="I98" s="135">
        <v>0.20599999999999999</v>
      </c>
      <c r="J98" s="135">
        <v>0.20599999999999999</v>
      </c>
      <c r="K98" s="135">
        <v>0</v>
      </c>
      <c r="L98" s="135">
        <v>0</v>
      </c>
      <c r="M98" s="135">
        <v>0</v>
      </c>
      <c r="N98" s="135">
        <v>0</v>
      </c>
      <c r="O98" s="3">
        <v>0</v>
      </c>
      <c r="P98" s="3">
        <v>0.57999999999999996</v>
      </c>
      <c r="Q98" s="3">
        <v>2.1589999999999998</v>
      </c>
      <c r="R98" s="3">
        <v>0</v>
      </c>
      <c r="S98" s="3">
        <v>0</v>
      </c>
      <c r="T98" s="3">
        <v>0</v>
      </c>
      <c r="U98" s="3">
        <v>0</v>
      </c>
      <c r="V98" s="3">
        <v>5.0000000000000001E-3</v>
      </c>
      <c r="W98" s="3">
        <v>0</v>
      </c>
      <c r="X98" s="3">
        <v>0</v>
      </c>
      <c r="Y98" s="3" t="s">
        <v>1995</v>
      </c>
      <c r="Z98" s="3">
        <v>0.2</v>
      </c>
      <c r="AA98" s="3">
        <v>3000</v>
      </c>
      <c r="AB98" s="3">
        <v>14932.8</v>
      </c>
      <c r="AC98" s="3">
        <v>7.0000000000000007E-2</v>
      </c>
      <c r="AD98" s="3">
        <v>0.2</v>
      </c>
      <c r="AE98" s="3">
        <v>6000</v>
      </c>
      <c r="AF98" s="3">
        <v>29140.400000000001</v>
      </c>
      <c r="AG98" s="3">
        <v>0.03</v>
      </c>
      <c r="AH98" s="3">
        <v>0.2</v>
      </c>
      <c r="AI98" s="3">
        <v>3000</v>
      </c>
      <c r="AJ98" s="3">
        <v>13401.6</v>
      </c>
      <c r="AK98" s="3">
        <v>7.0000000000000007E-2</v>
      </c>
      <c r="AL98" s="3">
        <v>0.2</v>
      </c>
      <c r="AM98" s="3">
        <v>4500</v>
      </c>
      <c r="AN98" s="3">
        <v>21855.3</v>
      </c>
      <c r="AO98" s="3">
        <v>0.05</v>
      </c>
      <c r="AP98" s="3"/>
      <c r="AQ98" s="3"/>
      <c r="AR98" s="3"/>
      <c r="AS98" s="3"/>
      <c r="AT98" s="3"/>
      <c r="AU98" s="3"/>
      <c r="AV98" s="3"/>
      <c r="AW98" s="3"/>
      <c r="AX98" s="3">
        <v>0.2</v>
      </c>
      <c r="AY98" s="3">
        <v>10</v>
      </c>
      <c r="AZ98" s="3">
        <v>48.6</v>
      </c>
      <c r="BA98" s="3">
        <v>0.02</v>
      </c>
      <c r="BB98" s="3"/>
      <c r="BC98" s="3"/>
      <c r="BD98" s="3"/>
      <c r="BE98" s="3"/>
      <c r="BF98" s="3">
        <v>0.2</v>
      </c>
      <c r="BG98" s="3">
        <v>6000</v>
      </c>
      <c r="BH98" s="3">
        <v>26803.200000000001</v>
      </c>
      <c r="BI98" s="3">
        <v>0.04</v>
      </c>
      <c r="BJ98" s="3">
        <v>46</v>
      </c>
      <c r="BK98" s="3">
        <v>3.5</v>
      </c>
      <c r="BL98" s="3">
        <v>21.25</v>
      </c>
    </row>
    <row r="99" spans="1:64" x14ac:dyDescent="0.3">
      <c r="A99" s="135">
        <v>2016</v>
      </c>
      <c r="B99" s="135">
        <v>3</v>
      </c>
      <c r="C99" s="135" t="s">
        <v>2091</v>
      </c>
      <c r="D99" s="135" t="s">
        <v>160</v>
      </c>
      <c r="E99" s="135" t="s">
        <v>394</v>
      </c>
      <c r="F99" s="135" t="s">
        <v>398</v>
      </c>
      <c r="G99" s="135" t="s">
        <v>2001</v>
      </c>
      <c r="H99" s="135">
        <v>11.47</v>
      </c>
      <c r="I99" s="135">
        <v>0.11899999999999999</v>
      </c>
      <c r="J99" s="135">
        <v>0.11899999999999999</v>
      </c>
      <c r="K99" s="135">
        <v>0</v>
      </c>
      <c r="L99" s="135">
        <v>0</v>
      </c>
      <c r="M99" s="135">
        <v>0</v>
      </c>
      <c r="N99" s="135">
        <v>0</v>
      </c>
      <c r="O99" s="3">
        <v>0</v>
      </c>
      <c r="P99" s="3">
        <v>0.33500000000000002</v>
      </c>
      <c r="Q99" s="3">
        <v>0.97099999999999997</v>
      </c>
      <c r="R99" s="3">
        <v>5.0000000000000001E-3</v>
      </c>
      <c r="S99" s="3">
        <v>0</v>
      </c>
      <c r="T99" s="3">
        <v>0</v>
      </c>
      <c r="U99" s="3">
        <v>0</v>
      </c>
      <c r="V99" s="3">
        <v>4.0000000000000001E-3</v>
      </c>
      <c r="W99" s="3">
        <v>0</v>
      </c>
      <c r="X99" s="3">
        <v>0</v>
      </c>
      <c r="Y99" s="3" t="s">
        <v>1995</v>
      </c>
      <c r="Z99" s="3">
        <v>0.1</v>
      </c>
      <c r="AA99" s="3">
        <v>3000</v>
      </c>
      <c r="AB99" s="3">
        <v>26064.3</v>
      </c>
      <c r="AC99" s="3">
        <v>0.04</v>
      </c>
      <c r="AD99" s="3">
        <v>0.1</v>
      </c>
      <c r="AE99" s="3">
        <v>6000</v>
      </c>
      <c r="AF99" s="3">
        <v>50377.8</v>
      </c>
      <c r="AG99" s="3">
        <v>0.02</v>
      </c>
      <c r="AH99" s="3">
        <v>0.1</v>
      </c>
      <c r="AI99" s="3">
        <v>3000</v>
      </c>
      <c r="AJ99" s="3">
        <v>23269.200000000001</v>
      </c>
      <c r="AK99" s="3">
        <v>0.04</v>
      </c>
      <c r="AL99" s="3">
        <v>0.1</v>
      </c>
      <c r="AM99" s="3">
        <v>4500</v>
      </c>
      <c r="AN99" s="3">
        <v>37783.4</v>
      </c>
      <c r="AO99" s="3">
        <v>0.03</v>
      </c>
      <c r="AP99" s="3"/>
      <c r="AQ99" s="3"/>
      <c r="AR99" s="3"/>
      <c r="AS99" s="3"/>
      <c r="AT99" s="3"/>
      <c r="AU99" s="3"/>
      <c r="AV99" s="3"/>
      <c r="AW99" s="3"/>
      <c r="AX99" s="3">
        <v>0.1</v>
      </c>
      <c r="AY99" s="3">
        <v>10</v>
      </c>
      <c r="AZ99" s="3">
        <v>84</v>
      </c>
      <c r="BA99" s="3">
        <v>0.01</v>
      </c>
      <c r="BB99" s="3"/>
      <c r="BC99" s="3"/>
      <c r="BD99" s="3"/>
      <c r="BE99" s="3"/>
      <c r="BF99" s="3">
        <v>0.1</v>
      </c>
      <c r="BG99" s="3">
        <v>6000</v>
      </c>
      <c r="BH99" s="3">
        <v>46538.3</v>
      </c>
      <c r="BI99" s="3">
        <v>0.02</v>
      </c>
      <c r="BJ99" s="3">
        <v>40</v>
      </c>
      <c r="BK99" s="3">
        <v>10</v>
      </c>
      <c r="BL99" s="3">
        <v>15</v>
      </c>
    </row>
    <row r="100" spans="1:64" x14ac:dyDescent="0.3">
      <c r="A100" s="135">
        <v>2016</v>
      </c>
      <c r="B100" s="135">
        <v>3</v>
      </c>
      <c r="C100" s="135" t="s">
        <v>2092</v>
      </c>
      <c r="D100" s="135" t="s">
        <v>178</v>
      </c>
      <c r="E100" s="135" t="s">
        <v>394</v>
      </c>
      <c r="F100" s="135" t="s">
        <v>43</v>
      </c>
      <c r="G100" s="135" t="s">
        <v>1992</v>
      </c>
      <c r="H100" s="135">
        <v>15.98</v>
      </c>
      <c r="I100" s="135">
        <v>0.111</v>
      </c>
      <c r="J100" s="135">
        <v>0.111</v>
      </c>
      <c r="K100" s="135">
        <v>0</v>
      </c>
      <c r="L100" s="135">
        <v>0</v>
      </c>
      <c r="M100" s="135">
        <v>0</v>
      </c>
      <c r="N100" s="135">
        <v>0</v>
      </c>
      <c r="O100" s="3">
        <v>0</v>
      </c>
      <c r="P100" s="3">
        <v>0.23200000000000001</v>
      </c>
      <c r="Q100" s="3">
        <v>1.149</v>
      </c>
      <c r="R100" s="3">
        <v>0</v>
      </c>
      <c r="S100" s="3">
        <v>0</v>
      </c>
      <c r="T100" s="3">
        <v>0</v>
      </c>
      <c r="U100" s="3">
        <v>0</v>
      </c>
      <c r="V100" s="3">
        <v>2E-3</v>
      </c>
      <c r="W100" s="3">
        <v>0</v>
      </c>
      <c r="X100" s="3">
        <v>0</v>
      </c>
      <c r="Y100" s="3" t="s">
        <v>1995</v>
      </c>
      <c r="Z100" s="3"/>
      <c r="AA100" s="3"/>
      <c r="AB100" s="3"/>
      <c r="AC100" s="3"/>
      <c r="AD100" s="3">
        <v>0.1</v>
      </c>
      <c r="AE100" s="3">
        <v>6000</v>
      </c>
      <c r="AF100" s="3">
        <v>54102.8</v>
      </c>
      <c r="AG100" s="3">
        <v>0.02</v>
      </c>
      <c r="AH100" s="3">
        <v>0.1</v>
      </c>
      <c r="AI100" s="3">
        <v>3000</v>
      </c>
      <c r="AJ100" s="3">
        <v>25043</v>
      </c>
      <c r="AK100" s="3">
        <v>0.04</v>
      </c>
      <c r="AL100" s="3">
        <v>0.1</v>
      </c>
      <c r="AM100" s="3">
        <v>4500</v>
      </c>
      <c r="AN100" s="3">
        <v>40577.1</v>
      </c>
      <c r="AO100" s="3">
        <v>0.02</v>
      </c>
      <c r="AP100" s="3"/>
      <c r="AQ100" s="3"/>
      <c r="AR100" s="3"/>
      <c r="AS100" s="3"/>
      <c r="AT100" s="3"/>
      <c r="AU100" s="3"/>
      <c r="AV100" s="3"/>
      <c r="AW100" s="3"/>
      <c r="AX100" s="3">
        <v>0.1</v>
      </c>
      <c r="AY100" s="3">
        <v>10</v>
      </c>
      <c r="AZ100" s="3">
        <v>90.2</v>
      </c>
      <c r="BA100" s="3">
        <v>0.01</v>
      </c>
      <c r="BB100" s="3"/>
      <c r="BC100" s="3"/>
      <c r="BD100" s="3"/>
      <c r="BE100" s="3"/>
      <c r="BF100" s="3">
        <v>0.1</v>
      </c>
      <c r="BG100" s="3">
        <v>6000</v>
      </c>
      <c r="BH100" s="3">
        <v>50086</v>
      </c>
      <c r="BI100" s="3">
        <v>0.02</v>
      </c>
      <c r="BJ100" s="3">
        <v>40.5</v>
      </c>
      <c r="BK100" s="3">
        <v>0.5</v>
      </c>
      <c r="BL100" s="3">
        <v>20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72"/>
  <sheetViews>
    <sheetView workbookViewId="0">
      <selection activeCell="A2" sqref="A2:M70"/>
    </sheetView>
  </sheetViews>
  <sheetFormatPr defaultRowHeight="14.4" x14ac:dyDescent="0.3"/>
  <cols>
    <col min="1" max="1" width="20.109375" bestFit="1" customWidth="1"/>
    <col min="2" max="2" width="5.88671875" customWidth="1"/>
    <col min="3" max="3" width="6.21875" customWidth="1"/>
    <col min="4" max="4" width="10.109375" customWidth="1"/>
    <col min="5" max="5" width="12.21875" customWidth="1"/>
    <col min="6" max="6" width="9.77734375" customWidth="1"/>
    <col min="7" max="7" width="9.5546875" customWidth="1"/>
    <col min="8" max="8" width="6.21875" customWidth="1"/>
    <col min="9" max="9" width="11.109375" customWidth="1"/>
    <col min="10" max="10" width="8.5546875" customWidth="1"/>
  </cols>
  <sheetData>
    <row r="1" spans="1:13" x14ac:dyDescent="0.3">
      <c r="A1" t="s">
        <v>1</v>
      </c>
      <c r="B1" t="s">
        <v>757</v>
      </c>
      <c r="C1" t="s">
        <v>413</v>
      </c>
      <c r="D1" t="s">
        <v>593</v>
      </c>
      <c r="E1" t="s">
        <v>423</v>
      </c>
      <c r="F1" t="s">
        <v>424</v>
      </c>
      <c r="G1" t="s">
        <v>388</v>
      </c>
      <c r="H1" t="s">
        <v>389</v>
      </c>
      <c r="I1" t="s">
        <v>600</v>
      </c>
      <c r="J1" t="s">
        <v>601</v>
      </c>
      <c r="K1" t="s">
        <v>0</v>
      </c>
      <c r="L1" t="s">
        <v>1347</v>
      </c>
      <c r="M1" t="s">
        <v>1543</v>
      </c>
    </row>
    <row r="2" spans="1:13" x14ac:dyDescent="0.3">
      <c r="A2" s="135" t="s">
        <v>98</v>
      </c>
      <c r="B2" s="135" t="s">
        <v>24</v>
      </c>
      <c r="C2" s="135" t="s">
        <v>394</v>
      </c>
      <c r="D2" s="135">
        <v>13.3</v>
      </c>
      <c r="E2" s="135">
        <v>56.2</v>
      </c>
      <c r="F2" s="135" t="s">
        <v>752</v>
      </c>
      <c r="G2" s="135" t="s">
        <v>758</v>
      </c>
      <c r="H2" s="135">
        <v>4.5</v>
      </c>
      <c r="I2" s="135">
        <v>43.7</v>
      </c>
      <c r="J2" s="135" t="s">
        <v>761</v>
      </c>
      <c r="K2" s="135">
        <v>15.8</v>
      </c>
      <c r="L2" s="135" t="s">
        <v>1611</v>
      </c>
      <c r="M2" s="135">
        <v>1.82</v>
      </c>
    </row>
    <row r="3" spans="1:13" x14ac:dyDescent="0.3">
      <c r="A3" s="135" t="s">
        <v>119</v>
      </c>
      <c r="B3" s="135" t="s">
        <v>407</v>
      </c>
      <c r="C3" s="135" t="s">
        <v>394</v>
      </c>
      <c r="D3" s="135">
        <v>17.899999999999999</v>
      </c>
      <c r="E3" s="135">
        <v>72.099999999999994</v>
      </c>
      <c r="F3" s="135" t="s">
        <v>763</v>
      </c>
      <c r="G3" s="135" t="s">
        <v>758</v>
      </c>
      <c r="H3" s="135">
        <v>2.9</v>
      </c>
      <c r="I3" s="135">
        <v>20.7</v>
      </c>
      <c r="J3" s="135" t="s">
        <v>759</v>
      </c>
      <c r="K3" s="135">
        <v>15.5</v>
      </c>
      <c r="L3" s="135" t="s">
        <v>1613</v>
      </c>
      <c r="M3" s="135">
        <v>2.04</v>
      </c>
    </row>
    <row r="4" spans="1:13" x14ac:dyDescent="0.3">
      <c r="A4" s="135" t="s">
        <v>89</v>
      </c>
      <c r="B4" s="135" t="s">
        <v>404</v>
      </c>
      <c r="C4" s="135" t="s">
        <v>394</v>
      </c>
      <c r="D4" s="135">
        <v>14.6</v>
      </c>
      <c r="E4" s="135">
        <v>67.5</v>
      </c>
      <c r="F4" s="135" t="s">
        <v>762</v>
      </c>
      <c r="G4" s="135" t="s">
        <v>758</v>
      </c>
      <c r="H4" s="135">
        <v>4</v>
      </c>
      <c r="I4" s="135">
        <v>30.4</v>
      </c>
      <c r="J4" s="135" t="s">
        <v>759</v>
      </c>
      <c r="K4" s="135">
        <v>15.4</v>
      </c>
      <c r="L4" s="135" t="s">
        <v>1663</v>
      </c>
      <c r="M4" s="135">
        <v>2.2599999999999998</v>
      </c>
    </row>
    <row r="5" spans="1:13" x14ac:dyDescent="0.3">
      <c r="A5" s="135" t="s">
        <v>2559</v>
      </c>
      <c r="B5" s="135" t="s">
        <v>20</v>
      </c>
      <c r="C5" s="135" t="s">
        <v>394</v>
      </c>
      <c r="D5" s="135">
        <v>17</v>
      </c>
      <c r="E5" s="135">
        <v>70.8</v>
      </c>
      <c r="F5" s="135" t="s">
        <v>763</v>
      </c>
      <c r="G5" s="135" t="s">
        <v>758</v>
      </c>
      <c r="H5" s="135">
        <v>3.4</v>
      </c>
      <c r="I5" s="135">
        <v>22.3</v>
      </c>
      <c r="J5" s="135" t="s">
        <v>758</v>
      </c>
      <c r="K5" s="135">
        <v>15.2</v>
      </c>
      <c r="L5" s="135" t="s">
        <v>2550</v>
      </c>
      <c r="M5" s="135">
        <v>1.83</v>
      </c>
    </row>
    <row r="6" spans="1:13" x14ac:dyDescent="0.3">
      <c r="A6" s="135" t="s">
        <v>122</v>
      </c>
      <c r="B6" s="135" t="s">
        <v>43</v>
      </c>
      <c r="C6" s="135" t="s">
        <v>394</v>
      </c>
      <c r="D6" s="135">
        <v>18.399999999999999</v>
      </c>
      <c r="E6" s="135">
        <v>75.7</v>
      </c>
      <c r="F6" s="135" t="s">
        <v>752</v>
      </c>
      <c r="G6" s="135" t="s">
        <v>758</v>
      </c>
      <c r="H6" s="135">
        <v>3.5</v>
      </c>
      <c r="I6" s="135">
        <v>26.7</v>
      </c>
      <c r="J6" s="135" t="s">
        <v>759</v>
      </c>
      <c r="K6" s="135">
        <v>15</v>
      </c>
      <c r="L6" s="135" t="s">
        <v>1632</v>
      </c>
      <c r="M6" s="135">
        <v>1.83</v>
      </c>
    </row>
    <row r="7" spans="1:13" x14ac:dyDescent="0.3">
      <c r="A7" s="135" t="s">
        <v>428</v>
      </c>
      <c r="B7" s="135" t="s">
        <v>52</v>
      </c>
      <c r="C7" s="135" t="s">
        <v>394</v>
      </c>
      <c r="D7" s="135">
        <v>18.2</v>
      </c>
      <c r="E7" s="135">
        <v>81.5</v>
      </c>
      <c r="F7" s="135" t="s">
        <v>760</v>
      </c>
      <c r="G7" s="135" t="s">
        <v>758</v>
      </c>
      <c r="H7" s="135">
        <v>2.6</v>
      </c>
      <c r="I7" s="135">
        <v>15.8</v>
      </c>
      <c r="J7" s="135" t="s">
        <v>758</v>
      </c>
      <c r="K7" s="135">
        <v>14.6</v>
      </c>
      <c r="L7" s="135" t="s">
        <v>1634</v>
      </c>
      <c r="M7" s="135">
        <v>1.8</v>
      </c>
    </row>
    <row r="8" spans="1:13" x14ac:dyDescent="0.3">
      <c r="A8" s="135" t="s">
        <v>115</v>
      </c>
      <c r="B8" s="135" t="s">
        <v>34</v>
      </c>
      <c r="C8" s="135" t="s">
        <v>394</v>
      </c>
      <c r="D8" s="135">
        <v>18.5</v>
      </c>
      <c r="E8" s="135">
        <v>78.5</v>
      </c>
      <c r="F8" s="135" t="s">
        <v>750</v>
      </c>
      <c r="G8" s="135" t="s">
        <v>758</v>
      </c>
      <c r="H8" s="135">
        <v>3.4</v>
      </c>
      <c r="I8" s="135">
        <v>25</v>
      </c>
      <c r="J8" s="135" t="s">
        <v>759</v>
      </c>
      <c r="K8" s="135">
        <v>14.5</v>
      </c>
      <c r="L8" s="135" t="s">
        <v>1623</v>
      </c>
      <c r="M8" s="135">
        <v>2.1</v>
      </c>
    </row>
    <row r="9" spans="1:13" x14ac:dyDescent="0.3">
      <c r="A9" s="135" t="s">
        <v>83</v>
      </c>
      <c r="B9" s="135" t="s">
        <v>409</v>
      </c>
      <c r="C9" s="135" t="s">
        <v>394</v>
      </c>
      <c r="D9" s="135">
        <v>18</v>
      </c>
      <c r="E9" s="135">
        <v>69.599999999999994</v>
      </c>
      <c r="F9" s="135" t="s">
        <v>752</v>
      </c>
      <c r="G9" s="135" t="s">
        <v>758</v>
      </c>
      <c r="H9" s="135">
        <v>3</v>
      </c>
      <c r="I9" s="135">
        <v>25.3</v>
      </c>
      <c r="J9" s="135" t="s">
        <v>759</v>
      </c>
      <c r="K9" s="135">
        <v>14</v>
      </c>
      <c r="L9" s="135" t="s">
        <v>1614</v>
      </c>
      <c r="M9" s="135">
        <v>1.82</v>
      </c>
    </row>
    <row r="10" spans="1:13" x14ac:dyDescent="0.3">
      <c r="A10" s="135" t="s">
        <v>101</v>
      </c>
      <c r="B10" s="135" t="s">
        <v>402</v>
      </c>
      <c r="C10" s="135" t="s">
        <v>394</v>
      </c>
      <c r="D10" s="135">
        <v>14.9</v>
      </c>
      <c r="E10" s="135">
        <v>62.8</v>
      </c>
      <c r="F10" s="135" t="s">
        <v>760</v>
      </c>
      <c r="G10" s="135" t="s">
        <v>758</v>
      </c>
      <c r="H10" s="135">
        <v>2.7</v>
      </c>
      <c r="I10" s="135">
        <v>21.4</v>
      </c>
      <c r="J10" s="135" t="s">
        <v>759</v>
      </c>
      <c r="K10" s="135">
        <v>14</v>
      </c>
      <c r="L10" s="135" t="s">
        <v>1617</v>
      </c>
      <c r="M10" s="135">
        <v>1.87</v>
      </c>
    </row>
    <row r="11" spans="1:13" x14ac:dyDescent="0.3">
      <c r="A11" s="135" t="s">
        <v>106</v>
      </c>
      <c r="B11" s="135" t="s">
        <v>70</v>
      </c>
      <c r="C11" s="135" t="s">
        <v>394</v>
      </c>
      <c r="D11" s="135">
        <v>17.5</v>
      </c>
      <c r="E11" s="135">
        <v>73</v>
      </c>
      <c r="F11" s="135" t="s">
        <v>762</v>
      </c>
      <c r="G11" s="135" t="s">
        <v>758</v>
      </c>
      <c r="H11" s="135">
        <v>2.8</v>
      </c>
      <c r="I11" s="135">
        <v>18.8</v>
      </c>
      <c r="J11" s="135" t="s">
        <v>758</v>
      </c>
      <c r="K11" s="135">
        <v>13.6</v>
      </c>
      <c r="L11" s="135" t="s">
        <v>1619</v>
      </c>
      <c r="M11" s="135">
        <v>1.72</v>
      </c>
    </row>
    <row r="12" spans="1:13" x14ac:dyDescent="0.3">
      <c r="A12" s="135" t="s">
        <v>84</v>
      </c>
      <c r="B12" s="135" t="s">
        <v>50</v>
      </c>
      <c r="C12" s="135" t="s">
        <v>394</v>
      </c>
      <c r="D12" s="135">
        <v>13.2</v>
      </c>
      <c r="E12" s="135">
        <v>55.8</v>
      </c>
      <c r="F12" s="135" t="s">
        <v>752</v>
      </c>
      <c r="G12" s="135" t="s">
        <v>758</v>
      </c>
      <c r="H12" s="135">
        <v>3.9</v>
      </c>
      <c r="I12" s="135">
        <v>30</v>
      </c>
      <c r="J12" s="135" t="s">
        <v>759</v>
      </c>
      <c r="K12" s="135">
        <v>13.5</v>
      </c>
      <c r="L12" s="135" t="s">
        <v>1615</v>
      </c>
      <c r="M12" s="135">
        <v>1.88</v>
      </c>
    </row>
    <row r="13" spans="1:13" x14ac:dyDescent="0.3">
      <c r="A13" s="135" t="s">
        <v>129</v>
      </c>
      <c r="B13" s="135" t="s">
        <v>26</v>
      </c>
      <c r="C13" s="135" t="s">
        <v>394</v>
      </c>
      <c r="D13" s="135">
        <v>10.5</v>
      </c>
      <c r="E13" s="135">
        <v>47.1</v>
      </c>
      <c r="F13" s="135" t="s">
        <v>750</v>
      </c>
      <c r="G13" s="135" t="s">
        <v>758</v>
      </c>
      <c r="H13" s="135">
        <v>4.3</v>
      </c>
      <c r="I13" s="135">
        <v>34.299999999999997</v>
      </c>
      <c r="J13" s="135" t="s">
        <v>761</v>
      </c>
      <c r="K13" s="135">
        <v>13.3</v>
      </c>
      <c r="L13" s="135" t="s">
        <v>1635</v>
      </c>
      <c r="M13" s="135">
        <v>2.02</v>
      </c>
    </row>
    <row r="14" spans="1:13" x14ac:dyDescent="0.3">
      <c r="A14" s="135" t="s">
        <v>82</v>
      </c>
      <c r="B14" s="135" t="s">
        <v>4</v>
      </c>
      <c r="C14" s="135" t="s">
        <v>394</v>
      </c>
      <c r="D14" s="135">
        <v>16.2</v>
      </c>
      <c r="E14" s="135">
        <v>59.1</v>
      </c>
      <c r="F14" s="135" t="s">
        <v>752</v>
      </c>
      <c r="G14" s="135" t="s">
        <v>758</v>
      </c>
      <c r="H14" s="135">
        <v>4.2</v>
      </c>
      <c r="I14" s="135">
        <v>28.1</v>
      </c>
      <c r="J14" s="135" t="s">
        <v>758</v>
      </c>
      <c r="K14" s="135">
        <v>13.2</v>
      </c>
      <c r="L14" s="135" t="s">
        <v>1625</v>
      </c>
      <c r="M14" s="135">
        <v>1.86</v>
      </c>
    </row>
    <row r="15" spans="1:13" x14ac:dyDescent="0.3">
      <c r="A15" s="135" t="s">
        <v>128</v>
      </c>
      <c r="B15" s="135" t="s">
        <v>30</v>
      </c>
      <c r="C15" s="135" t="s">
        <v>394</v>
      </c>
      <c r="D15" s="135">
        <v>15.2</v>
      </c>
      <c r="E15" s="135">
        <v>58.6</v>
      </c>
      <c r="F15" s="135" t="s">
        <v>761</v>
      </c>
      <c r="G15" s="135" t="s">
        <v>758</v>
      </c>
      <c r="H15" s="135">
        <v>4.3</v>
      </c>
      <c r="I15" s="135">
        <v>32.799999999999997</v>
      </c>
      <c r="J15" s="135" t="s">
        <v>759</v>
      </c>
      <c r="K15" s="135">
        <v>13.1</v>
      </c>
      <c r="L15" s="135" t="s">
        <v>1621</v>
      </c>
      <c r="M15" s="135">
        <v>1.79</v>
      </c>
    </row>
    <row r="16" spans="1:13" x14ac:dyDescent="0.3">
      <c r="A16" s="135" t="s">
        <v>114</v>
      </c>
      <c r="B16" s="135" t="s">
        <v>401</v>
      </c>
      <c r="C16" s="135" t="s">
        <v>394</v>
      </c>
      <c r="D16" s="135">
        <v>12</v>
      </c>
      <c r="E16" s="135">
        <v>51.6</v>
      </c>
      <c r="F16" s="135" t="s">
        <v>750</v>
      </c>
      <c r="G16" s="135" t="s">
        <v>758</v>
      </c>
      <c r="H16" s="135">
        <v>4.4000000000000004</v>
      </c>
      <c r="I16" s="135">
        <v>33.200000000000003</v>
      </c>
      <c r="J16" s="135" t="s">
        <v>759</v>
      </c>
      <c r="K16" s="135">
        <v>13.1</v>
      </c>
      <c r="L16" s="135" t="s">
        <v>1638</v>
      </c>
      <c r="M16" s="135">
        <v>2.02</v>
      </c>
    </row>
    <row r="17" spans="1:13" x14ac:dyDescent="0.3">
      <c r="A17" s="135" t="s">
        <v>93</v>
      </c>
      <c r="B17" s="135" t="s">
        <v>10</v>
      </c>
      <c r="C17" s="135" t="s">
        <v>394</v>
      </c>
      <c r="D17" s="135">
        <v>16.3</v>
      </c>
      <c r="E17" s="135">
        <v>72.099999999999994</v>
      </c>
      <c r="F17" s="135" t="s">
        <v>752</v>
      </c>
      <c r="G17" s="135" t="s">
        <v>758</v>
      </c>
      <c r="H17" s="135">
        <v>2.2999999999999998</v>
      </c>
      <c r="I17" s="135">
        <v>15.9</v>
      </c>
      <c r="J17" s="135" t="s">
        <v>759</v>
      </c>
      <c r="K17" s="135">
        <v>13</v>
      </c>
      <c r="L17" s="135" t="s">
        <v>1613</v>
      </c>
      <c r="M17" s="135">
        <v>1.71</v>
      </c>
    </row>
    <row r="18" spans="1:13" x14ac:dyDescent="0.3">
      <c r="A18" s="135" t="s">
        <v>104</v>
      </c>
      <c r="B18" s="135" t="s">
        <v>398</v>
      </c>
      <c r="C18" s="135" t="s">
        <v>394</v>
      </c>
      <c r="D18" s="135">
        <v>18.2</v>
      </c>
      <c r="E18" s="135">
        <v>78.2</v>
      </c>
      <c r="F18" s="135" t="s">
        <v>762</v>
      </c>
      <c r="G18" s="135" t="s">
        <v>758</v>
      </c>
      <c r="H18" s="135">
        <v>2</v>
      </c>
      <c r="I18" s="135">
        <v>10.9</v>
      </c>
      <c r="J18" s="135" t="s">
        <v>758</v>
      </c>
      <c r="K18" s="135">
        <v>12.9</v>
      </c>
      <c r="L18" s="135" t="s">
        <v>1663</v>
      </c>
      <c r="M18" s="135">
        <v>1.9</v>
      </c>
    </row>
    <row r="19" spans="1:13" x14ac:dyDescent="0.3">
      <c r="A19" s="135" t="s">
        <v>464</v>
      </c>
      <c r="B19" s="135" t="s">
        <v>46</v>
      </c>
      <c r="C19" s="135" t="s">
        <v>394</v>
      </c>
      <c r="D19" s="135">
        <v>14.2</v>
      </c>
      <c r="E19" s="135">
        <v>60.1</v>
      </c>
      <c r="F19" s="135" t="s">
        <v>752</v>
      </c>
      <c r="G19" s="135" t="s">
        <v>758</v>
      </c>
      <c r="H19" s="135">
        <v>3</v>
      </c>
      <c r="I19" s="135">
        <v>22.5</v>
      </c>
      <c r="J19" s="135" t="s">
        <v>759</v>
      </c>
      <c r="K19" s="135">
        <v>12.8</v>
      </c>
      <c r="L19" s="135" t="s">
        <v>1640</v>
      </c>
      <c r="M19" s="135">
        <v>2.29</v>
      </c>
    </row>
    <row r="20" spans="1:13" x14ac:dyDescent="0.3">
      <c r="A20" s="135" t="s">
        <v>87</v>
      </c>
      <c r="B20" s="135" t="s">
        <v>16</v>
      </c>
      <c r="C20" s="135" t="s">
        <v>394</v>
      </c>
      <c r="D20" s="135">
        <v>15.5</v>
      </c>
      <c r="E20" s="135">
        <v>63.6</v>
      </c>
      <c r="F20" s="135" t="s">
        <v>752</v>
      </c>
      <c r="G20" s="135" t="s">
        <v>758</v>
      </c>
      <c r="H20" s="135">
        <v>3</v>
      </c>
      <c r="I20" s="135">
        <v>23.6</v>
      </c>
      <c r="J20" s="135" t="s">
        <v>758</v>
      </c>
      <c r="K20" s="135">
        <v>12.6</v>
      </c>
      <c r="L20" s="135" t="s">
        <v>1637</v>
      </c>
      <c r="M20" s="135">
        <v>2.0699999999999998</v>
      </c>
    </row>
    <row r="21" spans="1:13" x14ac:dyDescent="0.3">
      <c r="A21" s="135" t="s">
        <v>145</v>
      </c>
      <c r="B21" s="135" t="s">
        <v>7</v>
      </c>
      <c r="C21" s="135" t="s">
        <v>394</v>
      </c>
      <c r="D21" s="135">
        <v>16.600000000000001</v>
      </c>
      <c r="E21" s="135">
        <v>68.099999999999994</v>
      </c>
      <c r="F21" s="135" t="s">
        <v>750</v>
      </c>
      <c r="G21" s="135" t="s">
        <v>758</v>
      </c>
      <c r="H21" s="135">
        <v>3</v>
      </c>
      <c r="I21" s="135">
        <v>22</v>
      </c>
      <c r="J21" s="135" t="s">
        <v>758</v>
      </c>
      <c r="K21" s="135">
        <v>12.3</v>
      </c>
      <c r="L21" s="135" t="s">
        <v>1617</v>
      </c>
      <c r="M21" s="135">
        <v>1.64</v>
      </c>
    </row>
    <row r="22" spans="1:13" x14ac:dyDescent="0.3">
      <c r="A22" s="135" t="s">
        <v>102</v>
      </c>
      <c r="B22" s="135" t="s">
        <v>28</v>
      </c>
      <c r="C22" s="135" t="s">
        <v>394</v>
      </c>
      <c r="D22" s="135">
        <v>13.7</v>
      </c>
      <c r="E22" s="135">
        <v>60.4</v>
      </c>
      <c r="F22" s="135" t="s">
        <v>750</v>
      </c>
      <c r="G22" s="135" t="s">
        <v>758</v>
      </c>
      <c r="H22" s="135">
        <v>3.1</v>
      </c>
      <c r="I22" s="135">
        <v>23.3</v>
      </c>
      <c r="J22" s="135" t="s">
        <v>759</v>
      </c>
      <c r="K22" s="135">
        <v>12.3</v>
      </c>
      <c r="L22" s="135" t="s">
        <v>1624</v>
      </c>
      <c r="M22" s="135">
        <v>1.76</v>
      </c>
    </row>
    <row r="23" spans="1:13" x14ac:dyDescent="0.3">
      <c r="A23" s="135" t="s">
        <v>95</v>
      </c>
      <c r="B23" s="135" t="s">
        <v>14</v>
      </c>
      <c r="C23" s="135" t="s">
        <v>394</v>
      </c>
      <c r="D23" s="135">
        <v>12.1</v>
      </c>
      <c r="E23" s="135">
        <v>54</v>
      </c>
      <c r="F23" s="135" t="s">
        <v>750</v>
      </c>
      <c r="G23" s="135" t="s">
        <v>758</v>
      </c>
      <c r="H23" s="135">
        <v>2.4</v>
      </c>
      <c r="I23" s="135">
        <v>21.7</v>
      </c>
      <c r="J23" s="135" t="s">
        <v>759</v>
      </c>
      <c r="K23" s="135">
        <v>11.2</v>
      </c>
      <c r="L23" s="135" t="s">
        <v>1635</v>
      </c>
      <c r="M23" s="135">
        <v>1.7</v>
      </c>
    </row>
    <row r="24" spans="1:13" x14ac:dyDescent="0.3">
      <c r="A24" s="135" t="s">
        <v>135</v>
      </c>
      <c r="B24" s="135" t="s">
        <v>50</v>
      </c>
      <c r="C24" s="135" t="s">
        <v>394</v>
      </c>
      <c r="D24" s="135">
        <v>11.2</v>
      </c>
      <c r="E24" s="135">
        <v>47.7</v>
      </c>
      <c r="F24" s="135" t="s">
        <v>750</v>
      </c>
      <c r="G24" s="135" t="s">
        <v>758</v>
      </c>
      <c r="H24" s="135">
        <v>3.2</v>
      </c>
      <c r="I24" s="135">
        <v>26.9</v>
      </c>
      <c r="J24" s="135" t="s">
        <v>758</v>
      </c>
      <c r="K24" s="135">
        <v>10.9</v>
      </c>
      <c r="L24" s="135" t="s">
        <v>1637</v>
      </c>
      <c r="M24" s="135">
        <v>1.79</v>
      </c>
    </row>
    <row r="25" spans="1:13" x14ac:dyDescent="0.3">
      <c r="A25" s="135" t="s">
        <v>143</v>
      </c>
      <c r="B25" s="135" t="s">
        <v>41</v>
      </c>
      <c r="C25" s="135" t="s">
        <v>394</v>
      </c>
      <c r="D25" s="135">
        <v>12.2</v>
      </c>
      <c r="E25" s="135">
        <v>58.9</v>
      </c>
      <c r="F25" s="135" t="s">
        <v>750</v>
      </c>
      <c r="G25" s="135" t="s">
        <v>758</v>
      </c>
      <c r="H25" s="135">
        <v>1.9</v>
      </c>
      <c r="I25" s="135">
        <v>13</v>
      </c>
      <c r="J25" s="135" t="s">
        <v>758</v>
      </c>
      <c r="K25" s="135">
        <v>9.9</v>
      </c>
      <c r="L25" s="135" t="s">
        <v>1642</v>
      </c>
      <c r="M25" s="135">
        <v>1.71</v>
      </c>
    </row>
    <row r="26" spans="1:13" x14ac:dyDescent="0.3">
      <c r="A26" s="135" t="s">
        <v>150</v>
      </c>
      <c r="B26" s="135" t="s">
        <v>22</v>
      </c>
      <c r="C26" s="135" t="s">
        <v>394</v>
      </c>
      <c r="D26" s="135">
        <v>10.8</v>
      </c>
      <c r="E26" s="135">
        <v>38.700000000000003</v>
      </c>
      <c r="F26" s="135" t="s">
        <v>752</v>
      </c>
      <c r="G26" s="135" t="s">
        <v>758</v>
      </c>
      <c r="H26" s="135">
        <v>1.4</v>
      </c>
      <c r="I26" s="135">
        <v>19.3</v>
      </c>
      <c r="J26" s="135" t="s">
        <v>759</v>
      </c>
      <c r="K26" s="135">
        <v>9.5</v>
      </c>
      <c r="L26" s="135" t="s">
        <v>1644</v>
      </c>
      <c r="M26" s="135">
        <v>1.67</v>
      </c>
    </row>
    <row r="27" spans="1:13" x14ac:dyDescent="0.3">
      <c r="A27" s="135" t="s">
        <v>121</v>
      </c>
      <c r="B27" s="135" t="s">
        <v>18</v>
      </c>
      <c r="C27" s="135" t="s">
        <v>394</v>
      </c>
      <c r="D27" s="135">
        <v>12.1</v>
      </c>
      <c r="E27" s="135">
        <v>46.8</v>
      </c>
      <c r="F27" s="135" t="s">
        <v>750</v>
      </c>
      <c r="G27" s="135" t="s">
        <v>758</v>
      </c>
      <c r="H27" s="135">
        <v>2.1</v>
      </c>
      <c r="I27" s="135">
        <v>20</v>
      </c>
      <c r="J27" s="135" t="s">
        <v>758</v>
      </c>
      <c r="K27" s="135">
        <v>9.5</v>
      </c>
      <c r="L27" s="135" t="s">
        <v>1635</v>
      </c>
      <c r="M27" s="135">
        <v>1.44</v>
      </c>
    </row>
    <row r="28" spans="1:13" x14ac:dyDescent="0.3">
      <c r="A28" s="135" t="s">
        <v>125</v>
      </c>
      <c r="B28" s="135" t="s">
        <v>397</v>
      </c>
      <c r="C28" s="135" t="s">
        <v>394</v>
      </c>
      <c r="D28" s="135">
        <v>10.3</v>
      </c>
      <c r="E28" s="135">
        <v>41</v>
      </c>
      <c r="F28" s="135" t="s">
        <v>761</v>
      </c>
      <c r="G28" s="135" t="s">
        <v>758</v>
      </c>
      <c r="H28" s="135">
        <v>2.9</v>
      </c>
      <c r="I28" s="135">
        <v>21</v>
      </c>
      <c r="J28" s="135" t="s">
        <v>759</v>
      </c>
      <c r="K28" s="135">
        <v>9.5</v>
      </c>
      <c r="L28" s="135" t="s">
        <v>1630</v>
      </c>
      <c r="M28" s="135">
        <v>1.53</v>
      </c>
    </row>
    <row r="29" spans="1:13" x14ac:dyDescent="0.3">
      <c r="A29" s="135" t="s">
        <v>153</v>
      </c>
      <c r="B29" s="135" t="s">
        <v>37</v>
      </c>
      <c r="C29" s="135" t="s">
        <v>394</v>
      </c>
      <c r="D29" s="135">
        <v>8</v>
      </c>
      <c r="E29" s="135">
        <v>40.700000000000003</v>
      </c>
      <c r="F29" s="135" t="s">
        <v>759</v>
      </c>
      <c r="G29" s="135" t="s">
        <v>758</v>
      </c>
      <c r="H29" s="135">
        <v>3</v>
      </c>
      <c r="I29" s="135">
        <v>26</v>
      </c>
      <c r="J29" s="135" t="s">
        <v>759</v>
      </c>
      <c r="K29" s="135">
        <v>9.4</v>
      </c>
      <c r="L29" s="135" t="s">
        <v>1652</v>
      </c>
      <c r="M29" s="135">
        <v>2.09</v>
      </c>
    </row>
    <row r="30" spans="1:13" x14ac:dyDescent="0.3">
      <c r="A30" s="135" t="s">
        <v>113</v>
      </c>
      <c r="B30" s="135" t="s">
        <v>28</v>
      </c>
      <c r="C30" s="135" t="s">
        <v>394</v>
      </c>
      <c r="D30" s="135">
        <v>9.4</v>
      </c>
      <c r="E30" s="135">
        <v>39.299999999999997</v>
      </c>
      <c r="F30" s="135" t="s">
        <v>761</v>
      </c>
      <c r="G30" s="135" t="s">
        <v>758</v>
      </c>
      <c r="H30" s="135">
        <v>3.1</v>
      </c>
      <c r="I30" s="135">
        <v>26.2</v>
      </c>
      <c r="J30" s="135" t="s">
        <v>758</v>
      </c>
      <c r="K30" s="135">
        <v>9.3000000000000007</v>
      </c>
      <c r="L30" s="135" t="s">
        <v>1646</v>
      </c>
      <c r="M30" s="135">
        <v>1.69</v>
      </c>
    </row>
    <row r="31" spans="1:13" x14ac:dyDescent="0.3">
      <c r="A31" s="135" t="s">
        <v>458</v>
      </c>
      <c r="B31" s="135" t="s">
        <v>30</v>
      </c>
      <c r="C31" s="135" t="s">
        <v>394</v>
      </c>
      <c r="D31" s="135">
        <v>7.3</v>
      </c>
      <c r="E31" s="135">
        <v>24.8</v>
      </c>
      <c r="F31" s="135" t="s">
        <v>761</v>
      </c>
      <c r="G31" s="135" t="s">
        <v>758</v>
      </c>
      <c r="H31" s="135">
        <v>3.5</v>
      </c>
      <c r="I31" s="135">
        <v>26.3</v>
      </c>
      <c r="J31" s="135" t="s">
        <v>759</v>
      </c>
      <c r="K31" s="135">
        <v>8.6999999999999993</v>
      </c>
      <c r="L31" s="135" t="s">
        <v>1628</v>
      </c>
      <c r="M31" s="135">
        <v>1.74</v>
      </c>
    </row>
    <row r="32" spans="1:13" x14ac:dyDescent="0.3">
      <c r="A32" s="135" t="s">
        <v>92</v>
      </c>
      <c r="B32" s="135" t="s">
        <v>561</v>
      </c>
      <c r="C32" s="135" t="s">
        <v>394</v>
      </c>
      <c r="D32" s="135">
        <v>8.6999999999999993</v>
      </c>
      <c r="E32" s="135">
        <v>33.1</v>
      </c>
      <c r="F32" s="135" t="s">
        <v>761</v>
      </c>
      <c r="G32" s="135" t="s">
        <v>758</v>
      </c>
      <c r="H32" s="135">
        <v>2.7</v>
      </c>
      <c r="I32" s="135">
        <v>20.8</v>
      </c>
      <c r="J32" s="135" t="s">
        <v>759</v>
      </c>
      <c r="K32" s="135">
        <v>8.5</v>
      </c>
      <c r="L32" s="135" t="s">
        <v>1627</v>
      </c>
      <c r="M32" s="135">
        <v>1.27</v>
      </c>
    </row>
    <row r="33" spans="1:13" x14ac:dyDescent="0.3">
      <c r="A33" s="135" t="s">
        <v>162</v>
      </c>
      <c r="B33" s="135" t="s">
        <v>22</v>
      </c>
      <c r="C33" s="135" t="s">
        <v>394</v>
      </c>
      <c r="D33" s="135">
        <v>4</v>
      </c>
      <c r="E33" s="135">
        <v>20.100000000000001</v>
      </c>
      <c r="F33" s="135" t="s">
        <v>761</v>
      </c>
      <c r="G33" s="135" t="s">
        <v>758</v>
      </c>
      <c r="H33" s="135">
        <v>3.3</v>
      </c>
      <c r="I33" s="135">
        <v>21.9</v>
      </c>
      <c r="J33" s="135" t="s">
        <v>761</v>
      </c>
      <c r="K33" s="135">
        <v>8.3000000000000007</v>
      </c>
      <c r="L33" s="135" t="s">
        <v>1642</v>
      </c>
      <c r="M33" s="135">
        <v>1.43</v>
      </c>
    </row>
    <row r="34" spans="1:13" x14ac:dyDescent="0.3">
      <c r="A34" s="135" t="s">
        <v>520</v>
      </c>
      <c r="B34" s="135" t="s">
        <v>26</v>
      </c>
      <c r="C34" s="135" t="s">
        <v>394</v>
      </c>
      <c r="D34" s="135">
        <v>6.8</v>
      </c>
      <c r="E34" s="135">
        <v>27.6</v>
      </c>
      <c r="F34" s="135" t="s">
        <v>750</v>
      </c>
      <c r="G34" s="135" t="s">
        <v>758</v>
      </c>
      <c r="H34" s="135">
        <v>2.8</v>
      </c>
      <c r="I34" s="135">
        <v>20.3</v>
      </c>
      <c r="J34" s="135" t="s">
        <v>758</v>
      </c>
      <c r="K34" s="135">
        <v>8</v>
      </c>
      <c r="L34" s="135" t="s">
        <v>1652</v>
      </c>
      <c r="M34" s="135">
        <v>1.78</v>
      </c>
    </row>
    <row r="35" spans="1:13" x14ac:dyDescent="0.3">
      <c r="A35" s="135" t="s">
        <v>88</v>
      </c>
      <c r="B35" s="135" t="s">
        <v>20</v>
      </c>
      <c r="C35" s="135" t="s">
        <v>394</v>
      </c>
      <c r="D35" s="135">
        <v>6.3</v>
      </c>
      <c r="E35" s="135">
        <v>27.9</v>
      </c>
      <c r="F35" s="135" t="s">
        <v>761</v>
      </c>
      <c r="G35" s="135" t="s">
        <v>758</v>
      </c>
      <c r="H35" s="135">
        <v>2.2999999999999998</v>
      </c>
      <c r="I35" s="135">
        <v>17.2</v>
      </c>
      <c r="J35" s="135" t="s">
        <v>759</v>
      </c>
      <c r="K35" s="135">
        <v>7.5</v>
      </c>
      <c r="L35" s="135" t="s">
        <v>1664</v>
      </c>
      <c r="M35" s="135">
        <v>1.27</v>
      </c>
    </row>
    <row r="36" spans="1:13" x14ac:dyDescent="0.3">
      <c r="A36" s="135" t="s">
        <v>516</v>
      </c>
      <c r="B36" s="135" t="s">
        <v>57</v>
      </c>
      <c r="C36" s="135" t="s">
        <v>394</v>
      </c>
      <c r="D36" s="135">
        <v>5.0999999999999996</v>
      </c>
      <c r="E36" s="135">
        <v>20.8</v>
      </c>
      <c r="F36" s="135" t="s">
        <v>761</v>
      </c>
      <c r="G36" s="135" t="s">
        <v>758</v>
      </c>
      <c r="H36" s="135">
        <v>2.8</v>
      </c>
      <c r="I36" s="135">
        <v>22.5</v>
      </c>
      <c r="J36" s="135" t="s">
        <v>759</v>
      </c>
      <c r="K36" s="135">
        <v>7.5</v>
      </c>
      <c r="L36" s="135" t="s">
        <v>1636</v>
      </c>
      <c r="M36" s="135">
        <v>1.39</v>
      </c>
    </row>
    <row r="37" spans="1:13" x14ac:dyDescent="0.3">
      <c r="A37" s="135" t="s">
        <v>123</v>
      </c>
      <c r="B37" s="135" t="s">
        <v>561</v>
      </c>
      <c r="C37" s="135" t="s">
        <v>394</v>
      </c>
      <c r="D37" s="135">
        <v>8.8000000000000007</v>
      </c>
      <c r="E37" s="135">
        <v>33</v>
      </c>
      <c r="F37" s="135" t="s">
        <v>761</v>
      </c>
      <c r="G37" s="135" t="s">
        <v>758</v>
      </c>
      <c r="H37" s="135">
        <v>2.2000000000000002</v>
      </c>
      <c r="I37" s="135">
        <v>16.8</v>
      </c>
      <c r="J37" s="135" t="s">
        <v>758</v>
      </c>
      <c r="K37" s="135">
        <v>7.3</v>
      </c>
      <c r="L37" s="135" t="s">
        <v>1644</v>
      </c>
      <c r="M37" s="135">
        <v>1.28</v>
      </c>
    </row>
    <row r="38" spans="1:13" x14ac:dyDescent="0.3">
      <c r="A38" s="135" t="s">
        <v>120</v>
      </c>
      <c r="B38" s="135" t="s">
        <v>14</v>
      </c>
      <c r="C38" s="135" t="s">
        <v>394</v>
      </c>
      <c r="D38" s="135">
        <v>6.3</v>
      </c>
      <c r="E38" s="135">
        <v>26.2</v>
      </c>
      <c r="F38" s="135" t="s">
        <v>759</v>
      </c>
      <c r="G38" s="135" t="s">
        <v>758</v>
      </c>
      <c r="H38" s="135">
        <v>2.6</v>
      </c>
      <c r="I38" s="135">
        <v>19</v>
      </c>
      <c r="J38" s="135" t="s">
        <v>759</v>
      </c>
      <c r="K38" s="135">
        <v>7</v>
      </c>
      <c r="L38" s="135" t="s">
        <v>1636</v>
      </c>
      <c r="M38" s="135">
        <v>1.3</v>
      </c>
    </row>
    <row r="39" spans="1:13" x14ac:dyDescent="0.3">
      <c r="A39" s="135" t="s">
        <v>118</v>
      </c>
      <c r="B39" s="135" t="s">
        <v>10</v>
      </c>
      <c r="C39" s="135" t="s">
        <v>394</v>
      </c>
      <c r="D39" s="135">
        <v>5.9</v>
      </c>
      <c r="E39" s="135">
        <v>34.6</v>
      </c>
      <c r="F39" s="135" t="s">
        <v>750</v>
      </c>
      <c r="G39" s="135" t="s">
        <v>758</v>
      </c>
      <c r="H39" s="135">
        <v>1</v>
      </c>
      <c r="I39" s="135">
        <v>7.2</v>
      </c>
      <c r="J39" s="135" t="s">
        <v>758</v>
      </c>
      <c r="K39" s="135">
        <v>6.5</v>
      </c>
      <c r="L39" s="135" t="s">
        <v>1649</v>
      </c>
      <c r="M39" s="135">
        <v>1.33</v>
      </c>
    </row>
    <row r="40" spans="1:13" x14ac:dyDescent="0.3">
      <c r="A40" s="135" t="s">
        <v>149</v>
      </c>
      <c r="B40" s="135" t="s">
        <v>32</v>
      </c>
      <c r="C40" s="135" t="s">
        <v>394</v>
      </c>
      <c r="D40" s="135">
        <v>9.1</v>
      </c>
      <c r="E40" s="135">
        <v>35.1</v>
      </c>
      <c r="F40" s="135" t="s">
        <v>759</v>
      </c>
      <c r="G40" s="135" t="s">
        <v>758</v>
      </c>
      <c r="H40" s="135">
        <v>2</v>
      </c>
      <c r="I40" s="135">
        <v>12</v>
      </c>
      <c r="J40" s="135" t="s">
        <v>758</v>
      </c>
      <c r="K40" s="135">
        <v>6.3</v>
      </c>
      <c r="L40" s="135" t="s">
        <v>1649</v>
      </c>
      <c r="M40" s="135">
        <v>1.29</v>
      </c>
    </row>
    <row r="41" spans="1:13" x14ac:dyDescent="0.3">
      <c r="A41" s="135" t="s">
        <v>99</v>
      </c>
      <c r="B41" s="135" t="s">
        <v>32</v>
      </c>
      <c r="C41" s="135" t="s">
        <v>394</v>
      </c>
      <c r="D41" s="135">
        <v>7.5</v>
      </c>
      <c r="E41" s="135">
        <v>29.6</v>
      </c>
      <c r="F41" s="135" t="s">
        <v>761</v>
      </c>
      <c r="G41" s="135" t="s">
        <v>758</v>
      </c>
      <c r="H41" s="135">
        <v>1.9</v>
      </c>
      <c r="I41" s="135">
        <v>11.3</v>
      </c>
      <c r="J41" s="135" t="s">
        <v>758</v>
      </c>
      <c r="K41" s="135">
        <v>6.2</v>
      </c>
      <c r="L41" s="135" t="s">
        <v>1642</v>
      </c>
      <c r="M41" s="135">
        <v>1.07</v>
      </c>
    </row>
    <row r="42" spans="1:13" x14ac:dyDescent="0.3">
      <c r="A42" s="135" t="s">
        <v>156</v>
      </c>
      <c r="B42" s="135" t="s">
        <v>16</v>
      </c>
      <c r="C42" s="135" t="s">
        <v>394</v>
      </c>
      <c r="D42" s="135">
        <v>6.2</v>
      </c>
      <c r="E42" s="135">
        <v>26.5</v>
      </c>
      <c r="F42" s="135" t="s">
        <v>761</v>
      </c>
      <c r="G42" s="135" t="s">
        <v>758</v>
      </c>
      <c r="H42" s="135">
        <v>1.7</v>
      </c>
      <c r="I42" s="135">
        <v>12.7</v>
      </c>
      <c r="J42" s="135" t="s">
        <v>758</v>
      </c>
      <c r="K42" s="135">
        <v>6</v>
      </c>
      <c r="L42" s="135" t="s">
        <v>1628</v>
      </c>
      <c r="M42" s="135">
        <v>1.2</v>
      </c>
    </row>
    <row r="43" spans="1:13" x14ac:dyDescent="0.3">
      <c r="A43" s="135" t="s">
        <v>161</v>
      </c>
      <c r="B43" s="135" t="s">
        <v>41</v>
      </c>
      <c r="C43" s="135" t="s">
        <v>394</v>
      </c>
      <c r="D43" s="135">
        <v>6.2</v>
      </c>
      <c r="E43" s="135">
        <v>25.4</v>
      </c>
      <c r="F43" s="135" t="s">
        <v>759</v>
      </c>
      <c r="G43" s="135" t="s">
        <v>758</v>
      </c>
      <c r="H43" s="135">
        <v>1.9</v>
      </c>
      <c r="I43" s="135">
        <v>13.4</v>
      </c>
      <c r="J43" s="135" t="s">
        <v>759</v>
      </c>
      <c r="K43" s="135">
        <v>6</v>
      </c>
      <c r="L43" s="135" t="s">
        <v>1644</v>
      </c>
      <c r="M43" s="135">
        <v>1.05</v>
      </c>
    </row>
    <row r="44" spans="1:13" x14ac:dyDescent="0.3">
      <c r="A44" s="135" t="s">
        <v>108</v>
      </c>
      <c r="B44" s="135" t="s">
        <v>43</v>
      </c>
      <c r="C44" s="135" t="s">
        <v>394</v>
      </c>
      <c r="D44" s="135">
        <v>7.3</v>
      </c>
      <c r="E44" s="135">
        <v>25.8</v>
      </c>
      <c r="F44" s="135" t="s">
        <v>759</v>
      </c>
      <c r="G44" s="135" t="s">
        <v>758</v>
      </c>
      <c r="H44" s="135">
        <v>1.9</v>
      </c>
      <c r="I44" s="135">
        <v>15.3</v>
      </c>
      <c r="J44" s="135" t="s">
        <v>758</v>
      </c>
      <c r="K44" s="135">
        <v>5.7</v>
      </c>
      <c r="L44" s="135" t="s">
        <v>1641</v>
      </c>
      <c r="M44" s="135">
        <v>1.21</v>
      </c>
    </row>
    <row r="45" spans="1:13" x14ac:dyDescent="0.3">
      <c r="A45" s="135" t="s">
        <v>94</v>
      </c>
      <c r="B45" s="135" t="s">
        <v>37</v>
      </c>
      <c r="C45" s="135" t="s">
        <v>394</v>
      </c>
      <c r="D45" s="135">
        <v>5.9</v>
      </c>
      <c r="E45" s="135">
        <v>26.1</v>
      </c>
      <c r="F45" s="135" t="s">
        <v>761</v>
      </c>
      <c r="G45" s="135" t="s">
        <v>758</v>
      </c>
      <c r="H45" s="135">
        <v>1.4</v>
      </c>
      <c r="I45" s="135">
        <v>11.5</v>
      </c>
      <c r="J45" s="135" t="s">
        <v>758</v>
      </c>
      <c r="K45" s="135">
        <v>5.7</v>
      </c>
      <c r="L45" s="135" t="s">
        <v>1664</v>
      </c>
      <c r="M45" s="135" t="s">
        <v>2560</v>
      </c>
    </row>
    <row r="46" spans="1:13" x14ac:dyDescent="0.3">
      <c r="A46" s="135" t="s">
        <v>139</v>
      </c>
      <c r="B46" s="135" t="s">
        <v>57</v>
      </c>
      <c r="C46" s="135" t="s">
        <v>394</v>
      </c>
      <c r="D46" s="135">
        <v>5.6</v>
      </c>
      <c r="E46" s="135">
        <v>21.9</v>
      </c>
      <c r="F46" s="135" t="s">
        <v>759</v>
      </c>
      <c r="G46" s="135" t="s">
        <v>758</v>
      </c>
      <c r="H46" s="135">
        <v>1.5</v>
      </c>
      <c r="I46" s="135">
        <v>15.9</v>
      </c>
      <c r="J46" s="135" t="s">
        <v>759</v>
      </c>
      <c r="K46" s="135">
        <v>5.7</v>
      </c>
      <c r="L46" s="135" t="s">
        <v>1646</v>
      </c>
      <c r="M46" s="135">
        <v>1.04</v>
      </c>
    </row>
    <row r="47" spans="1:13" x14ac:dyDescent="0.3">
      <c r="A47" s="135" t="s">
        <v>764</v>
      </c>
      <c r="B47" s="135" t="s">
        <v>70</v>
      </c>
      <c r="C47" s="135" t="s">
        <v>394</v>
      </c>
      <c r="D47" s="135">
        <v>4.7</v>
      </c>
      <c r="E47" s="135">
        <v>18.2</v>
      </c>
      <c r="F47" s="135" t="s">
        <v>759</v>
      </c>
      <c r="G47" s="135" t="s">
        <v>758</v>
      </c>
      <c r="H47" s="135">
        <v>2</v>
      </c>
      <c r="I47" s="135">
        <v>16.3</v>
      </c>
      <c r="J47" s="135" t="s">
        <v>759</v>
      </c>
      <c r="K47" s="135">
        <v>5.7</v>
      </c>
      <c r="L47" s="135" t="s">
        <v>1648</v>
      </c>
      <c r="M47" s="135">
        <v>1.1000000000000001</v>
      </c>
    </row>
    <row r="48" spans="1:13" x14ac:dyDescent="0.3">
      <c r="A48" s="135" t="s">
        <v>141</v>
      </c>
      <c r="B48" s="135" t="s">
        <v>18</v>
      </c>
      <c r="C48" s="135" t="s">
        <v>394</v>
      </c>
      <c r="D48" s="135">
        <v>3.7</v>
      </c>
      <c r="E48" s="135">
        <v>16.2</v>
      </c>
      <c r="F48" s="135" t="s">
        <v>761</v>
      </c>
      <c r="G48" s="135" t="s">
        <v>758</v>
      </c>
      <c r="H48" s="135">
        <v>1.8</v>
      </c>
      <c r="I48" s="135">
        <v>13.7</v>
      </c>
      <c r="J48" s="135" t="s">
        <v>759</v>
      </c>
      <c r="K48" s="135">
        <v>5.7</v>
      </c>
      <c r="L48" s="135" t="s">
        <v>1648</v>
      </c>
      <c r="M48" s="135">
        <v>1.1000000000000001</v>
      </c>
    </row>
    <row r="49" spans="1:13" x14ac:dyDescent="0.3">
      <c r="A49" s="135" t="s">
        <v>148</v>
      </c>
      <c r="B49" s="135" t="s">
        <v>52</v>
      </c>
      <c r="C49" s="135" t="s">
        <v>394</v>
      </c>
      <c r="D49" s="135">
        <v>8.1999999999999993</v>
      </c>
      <c r="E49" s="135">
        <v>33.1</v>
      </c>
      <c r="F49" s="135" t="s">
        <v>761</v>
      </c>
      <c r="G49" s="135" t="s">
        <v>758</v>
      </c>
      <c r="H49" s="135" t="s">
        <v>753</v>
      </c>
      <c r="I49" s="135">
        <v>4.8</v>
      </c>
      <c r="J49" s="135" t="s">
        <v>758</v>
      </c>
      <c r="K49" s="135">
        <v>5.4</v>
      </c>
      <c r="L49" s="135" t="s">
        <v>1648</v>
      </c>
      <c r="M49" s="135">
        <v>1.04</v>
      </c>
    </row>
    <row r="50" spans="1:13" x14ac:dyDescent="0.3">
      <c r="A50" s="135" t="s">
        <v>103</v>
      </c>
      <c r="B50" s="135" t="s">
        <v>24</v>
      </c>
      <c r="C50" s="135" t="s">
        <v>394</v>
      </c>
      <c r="D50" s="135">
        <v>8.5</v>
      </c>
      <c r="E50" s="135">
        <v>33</v>
      </c>
      <c r="F50" s="135" t="s">
        <v>761</v>
      </c>
      <c r="G50" s="135" t="s">
        <v>758</v>
      </c>
      <c r="H50" s="135" t="s">
        <v>754</v>
      </c>
      <c r="I50" s="135">
        <v>4.9000000000000004</v>
      </c>
      <c r="J50" s="135" t="s">
        <v>758</v>
      </c>
      <c r="K50" s="135">
        <v>5.4</v>
      </c>
      <c r="L50" s="135" t="s">
        <v>1649</v>
      </c>
      <c r="M50" s="135">
        <v>1.1000000000000001</v>
      </c>
    </row>
    <row r="51" spans="1:13" x14ac:dyDescent="0.3">
      <c r="A51" s="135" t="s">
        <v>137</v>
      </c>
      <c r="B51" s="135" t="s">
        <v>402</v>
      </c>
      <c r="C51" s="135" t="s">
        <v>394</v>
      </c>
      <c r="D51" s="135">
        <v>3.2</v>
      </c>
      <c r="E51" s="135">
        <v>10.199999999999999</v>
      </c>
      <c r="F51" s="135" t="s">
        <v>758</v>
      </c>
      <c r="G51" s="135" t="s">
        <v>758</v>
      </c>
      <c r="H51" s="135">
        <v>2.7</v>
      </c>
      <c r="I51" s="135">
        <v>24.4</v>
      </c>
      <c r="J51" s="135" t="s">
        <v>759</v>
      </c>
      <c r="K51" s="135">
        <v>5.4</v>
      </c>
      <c r="L51" s="135" t="s">
        <v>1647</v>
      </c>
      <c r="M51" s="135">
        <v>1.02</v>
      </c>
    </row>
    <row r="52" spans="1:13" x14ac:dyDescent="0.3">
      <c r="A52" s="135" t="s">
        <v>152</v>
      </c>
      <c r="B52" s="135" t="s">
        <v>404</v>
      </c>
      <c r="C52" s="135" t="s">
        <v>394</v>
      </c>
      <c r="D52" s="135">
        <v>1.4</v>
      </c>
      <c r="E52" s="135">
        <v>5.5</v>
      </c>
      <c r="F52" s="135" t="s">
        <v>758</v>
      </c>
      <c r="G52" s="135" t="s">
        <v>758</v>
      </c>
      <c r="H52" s="135">
        <v>2.9</v>
      </c>
      <c r="I52" s="135">
        <v>27.7</v>
      </c>
      <c r="J52" s="135" t="s">
        <v>759</v>
      </c>
      <c r="K52" s="135">
        <v>5.4</v>
      </c>
      <c r="L52" s="135" t="s">
        <v>1628</v>
      </c>
      <c r="M52" s="135">
        <v>1.08</v>
      </c>
    </row>
    <row r="53" spans="1:13" x14ac:dyDescent="0.3">
      <c r="A53" s="135" t="s">
        <v>91</v>
      </c>
      <c r="B53" s="135" t="s">
        <v>397</v>
      </c>
      <c r="C53" s="135" t="s">
        <v>394</v>
      </c>
      <c r="D53" s="135">
        <v>5.9</v>
      </c>
      <c r="E53" s="135">
        <v>24.3</v>
      </c>
      <c r="F53" s="135" t="s">
        <v>759</v>
      </c>
      <c r="G53" s="135" t="s">
        <v>758</v>
      </c>
      <c r="H53" s="135">
        <v>1.2</v>
      </c>
      <c r="I53" s="135">
        <v>10</v>
      </c>
      <c r="J53" s="135" t="s">
        <v>759</v>
      </c>
      <c r="K53" s="135">
        <v>5.2</v>
      </c>
      <c r="L53" s="135" t="s">
        <v>1624</v>
      </c>
      <c r="M53" s="135" t="s">
        <v>1669</v>
      </c>
    </row>
    <row r="54" spans="1:13" x14ac:dyDescent="0.3">
      <c r="A54" s="135" t="s">
        <v>131</v>
      </c>
      <c r="B54" s="135" t="s">
        <v>398</v>
      </c>
      <c r="C54" s="135" t="s">
        <v>394</v>
      </c>
      <c r="D54" s="135">
        <v>6.8</v>
      </c>
      <c r="E54" s="135">
        <v>29</v>
      </c>
      <c r="F54" s="135" t="s">
        <v>761</v>
      </c>
      <c r="G54" s="135" t="s">
        <v>758</v>
      </c>
      <c r="H54" s="135">
        <v>1.1000000000000001</v>
      </c>
      <c r="I54" s="135">
        <v>5.0999999999999996</v>
      </c>
      <c r="J54" s="135" t="s">
        <v>758</v>
      </c>
      <c r="K54" s="135">
        <v>5.2</v>
      </c>
      <c r="L54" s="135" t="s">
        <v>1639</v>
      </c>
      <c r="M54" s="135">
        <v>1.08</v>
      </c>
    </row>
    <row r="55" spans="1:13" x14ac:dyDescent="0.3">
      <c r="A55" s="135" t="s">
        <v>512</v>
      </c>
      <c r="B55" s="135" t="s">
        <v>4</v>
      </c>
      <c r="C55" s="135" t="s">
        <v>394</v>
      </c>
      <c r="D55" s="135">
        <v>3.6</v>
      </c>
      <c r="E55" s="135">
        <v>16.2</v>
      </c>
      <c r="F55" s="135" t="s">
        <v>759</v>
      </c>
      <c r="G55" s="135" t="s">
        <v>758</v>
      </c>
      <c r="H55" s="135">
        <v>1.5</v>
      </c>
      <c r="I55" s="135">
        <v>13.5</v>
      </c>
      <c r="J55" s="135" t="s">
        <v>759</v>
      </c>
      <c r="K55" s="135">
        <v>4.9000000000000004</v>
      </c>
      <c r="L55" s="135" t="s">
        <v>1649</v>
      </c>
      <c r="M55" s="135">
        <v>1</v>
      </c>
    </row>
    <row r="56" spans="1:13" x14ac:dyDescent="0.3">
      <c r="A56" s="135" t="s">
        <v>124</v>
      </c>
      <c r="B56" s="135" t="s">
        <v>34</v>
      </c>
      <c r="C56" s="135" t="s">
        <v>394</v>
      </c>
      <c r="D56" s="135">
        <v>3.2</v>
      </c>
      <c r="E56" s="135">
        <v>12.5</v>
      </c>
      <c r="F56" s="135" t="s">
        <v>759</v>
      </c>
      <c r="G56" s="135" t="s">
        <v>758</v>
      </c>
      <c r="H56" s="135">
        <v>2.4</v>
      </c>
      <c r="I56" s="135">
        <v>15.3</v>
      </c>
      <c r="J56" s="135" t="s">
        <v>758</v>
      </c>
      <c r="K56" s="135">
        <v>4.5999999999999996</v>
      </c>
      <c r="L56" s="135" t="s">
        <v>1628</v>
      </c>
      <c r="M56" s="135" t="s">
        <v>1764</v>
      </c>
    </row>
    <row r="57" spans="1:13" x14ac:dyDescent="0.3">
      <c r="A57" s="135" t="s">
        <v>461</v>
      </c>
      <c r="B57" s="135" t="s">
        <v>4</v>
      </c>
      <c r="C57" s="135" t="s">
        <v>394</v>
      </c>
      <c r="D57" s="135">
        <v>3.8</v>
      </c>
      <c r="E57" s="135">
        <v>16.399999999999999</v>
      </c>
      <c r="F57" s="135" t="s">
        <v>759</v>
      </c>
      <c r="G57" s="135" t="s">
        <v>758</v>
      </c>
      <c r="H57" s="135">
        <v>1.7</v>
      </c>
      <c r="I57" s="135">
        <v>13.6</v>
      </c>
      <c r="J57" s="135" t="s">
        <v>758</v>
      </c>
      <c r="K57" s="135">
        <v>4.5</v>
      </c>
      <c r="L57" s="135" t="s">
        <v>1639</v>
      </c>
      <c r="M57" s="135" t="s">
        <v>1667</v>
      </c>
    </row>
    <row r="58" spans="1:13" x14ac:dyDescent="0.3">
      <c r="A58" s="135" t="s">
        <v>181</v>
      </c>
      <c r="B58" s="135" t="s">
        <v>37</v>
      </c>
      <c r="C58" s="135" t="s">
        <v>394</v>
      </c>
      <c r="D58" s="135">
        <v>2.2000000000000002</v>
      </c>
      <c r="E58" s="135">
        <v>9.5</v>
      </c>
      <c r="F58" s="135" t="s">
        <v>758</v>
      </c>
      <c r="G58" s="135" t="s">
        <v>758</v>
      </c>
      <c r="H58" s="135">
        <v>2</v>
      </c>
      <c r="I58" s="135">
        <v>15.8</v>
      </c>
      <c r="J58" s="135" t="s">
        <v>759</v>
      </c>
      <c r="K58" s="135">
        <v>4.0999999999999996</v>
      </c>
      <c r="L58" s="135" t="s">
        <v>1639</v>
      </c>
      <c r="M58" s="135" t="s">
        <v>1668</v>
      </c>
    </row>
    <row r="59" spans="1:13" x14ac:dyDescent="0.3">
      <c r="A59" s="135" t="s">
        <v>132</v>
      </c>
      <c r="B59" s="135" t="s">
        <v>407</v>
      </c>
      <c r="C59" s="135" t="s">
        <v>394</v>
      </c>
      <c r="D59" s="135">
        <v>3.7</v>
      </c>
      <c r="E59" s="135">
        <v>16.600000000000001</v>
      </c>
      <c r="F59" s="135" t="s">
        <v>759</v>
      </c>
      <c r="G59" s="135" t="s">
        <v>758</v>
      </c>
      <c r="H59" s="135">
        <v>1.4</v>
      </c>
      <c r="I59" s="135">
        <v>10.8</v>
      </c>
      <c r="J59" s="135" t="s">
        <v>758</v>
      </c>
      <c r="K59" s="135">
        <v>4</v>
      </c>
      <c r="L59" s="135" t="s">
        <v>1652</v>
      </c>
      <c r="M59" s="135" t="s">
        <v>2561</v>
      </c>
    </row>
    <row r="60" spans="1:13" x14ac:dyDescent="0.3">
      <c r="A60" s="135" t="s">
        <v>117</v>
      </c>
      <c r="B60" s="135" t="s">
        <v>404</v>
      </c>
      <c r="C60" s="135" t="s">
        <v>394</v>
      </c>
      <c r="D60" s="135">
        <v>4.0999999999999996</v>
      </c>
      <c r="E60" s="135">
        <v>18.2</v>
      </c>
      <c r="F60" s="135" t="s">
        <v>761</v>
      </c>
      <c r="G60" s="135" t="s">
        <v>758</v>
      </c>
      <c r="H60" s="135" t="s">
        <v>760</v>
      </c>
      <c r="I60" s="135">
        <v>5.8</v>
      </c>
      <c r="J60" s="135" t="s">
        <v>758</v>
      </c>
      <c r="K60" s="135">
        <v>3.9</v>
      </c>
      <c r="L60" s="135" t="s">
        <v>1641</v>
      </c>
      <c r="M60" s="135" t="s">
        <v>1758</v>
      </c>
    </row>
    <row r="61" spans="1:13" x14ac:dyDescent="0.3">
      <c r="A61" s="135" t="s">
        <v>151</v>
      </c>
      <c r="B61" s="135" t="s">
        <v>409</v>
      </c>
      <c r="C61" s="135" t="s">
        <v>394</v>
      </c>
      <c r="D61" s="135">
        <v>4.7</v>
      </c>
      <c r="E61" s="135">
        <v>17.600000000000001</v>
      </c>
      <c r="F61" s="135" t="s">
        <v>758</v>
      </c>
      <c r="G61" s="135" t="s">
        <v>758</v>
      </c>
      <c r="H61" s="135">
        <v>1.7</v>
      </c>
      <c r="I61" s="135">
        <v>12.9</v>
      </c>
      <c r="J61" s="135" t="s">
        <v>758</v>
      </c>
      <c r="K61" s="135">
        <v>3.9</v>
      </c>
      <c r="L61" s="135" t="s">
        <v>1641</v>
      </c>
      <c r="M61" s="135" t="s">
        <v>1758</v>
      </c>
    </row>
    <row r="62" spans="1:13" x14ac:dyDescent="0.3">
      <c r="A62" s="135" t="s">
        <v>138</v>
      </c>
      <c r="B62" s="135" t="s">
        <v>22</v>
      </c>
      <c r="C62" s="135" t="s">
        <v>394</v>
      </c>
      <c r="D62" s="135">
        <v>2.4</v>
      </c>
      <c r="E62" s="135">
        <v>10.1</v>
      </c>
      <c r="F62" s="135" t="s">
        <v>759</v>
      </c>
      <c r="G62" s="135" t="s">
        <v>758</v>
      </c>
      <c r="H62" s="135">
        <v>1.1000000000000001</v>
      </c>
      <c r="I62" s="135">
        <v>7.9</v>
      </c>
      <c r="J62" s="135" t="s">
        <v>759</v>
      </c>
      <c r="K62" s="135">
        <v>3.6</v>
      </c>
      <c r="L62" s="135" t="s">
        <v>1649</v>
      </c>
      <c r="M62" s="135" t="s">
        <v>1656</v>
      </c>
    </row>
    <row r="63" spans="1:13" x14ac:dyDescent="0.3">
      <c r="A63" s="135" t="s">
        <v>281</v>
      </c>
      <c r="B63" s="135" t="s">
        <v>397</v>
      </c>
      <c r="C63" s="135" t="s">
        <v>394</v>
      </c>
      <c r="D63" s="135" t="s">
        <v>758</v>
      </c>
      <c r="E63" s="135" t="s">
        <v>758</v>
      </c>
      <c r="F63" s="135" t="s">
        <v>758</v>
      </c>
      <c r="G63" s="135" t="s">
        <v>758</v>
      </c>
      <c r="H63" s="135">
        <v>1.6</v>
      </c>
      <c r="I63" s="135">
        <v>21.4</v>
      </c>
      <c r="J63" s="135" t="s">
        <v>759</v>
      </c>
      <c r="K63" s="135">
        <v>3.5</v>
      </c>
      <c r="L63" s="135" t="s">
        <v>1654</v>
      </c>
      <c r="M63" s="135" t="s">
        <v>1651</v>
      </c>
    </row>
    <row r="64" spans="1:13" x14ac:dyDescent="0.3">
      <c r="A64" s="135" t="s">
        <v>171</v>
      </c>
      <c r="B64" s="135" t="s">
        <v>401</v>
      </c>
      <c r="C64" s="135" t="s">
        <v>394</v>
      </c>
      <c r="D64" s="135">
        <v>3.7</v>
      </c>
      <c r="E64" s="135">
        <v>13.7</v>
      </c>
      <c r="F64" s="135" t="s">
        <v>759</v>
      </c>
      <c r="G64" s="135" t="s">
        <v>758</v>
      </c>
      <c r="H64" s="135" t="s">
        <v>753</v>
      </c>
      <c r="I64" s="135">
        <v>5.5</v>
      </c>
      <c r="J64" s="135" t="s">
        <v>758</v>
      </c>
      <c r="K64" s="135">
        <v>2.9</v>
      </c>
      <c r="L64" s="135" t="s">
        <v>1646</v>
      </c>
      <c r="M64" s="135" t="s">
        <v>1763</v>
      </c>
    </row>
    <row r="65" spans="1:13" x14ac:dyDescent="0.3">
      <c r="A65" s="135" t="s">
        <v>140</v>
      </c>
      <c r="B65" s="135" t="s">
        <v>402</v>
      </c>
      <c r="C65" s="135" t="s">
        <v>394</v>
      </c>
      <c r="D65" s="135">
        <v>3.1</v>
      </c>
      <c r="E65" s="135">
        <v>12.5</v>
      </c>
      <c r="F65" s="135" t="s">
        <v>759</v>
      </c>
      <c r="G65" s="135" t="s">
        <v>758</v>
      </c>
      <c r="H65" s="135" t="s">
        <v>754</v>
      </c>
      <c r="I65" s="135">
        <v>5.7</v>
      </c>
      <c r="J65" s="135" t="s">
        <v>758</v>
      </c>
      <c r="K65" s="135">
        <v>2.9</v>
      </c>
      <c r="L65" s="135" t="s">
        <v>1641</v>
      </c>
      <c r="M65" s="135" t="s">
        <v>1761</v>
      </c>
    </row>
    <row r="66" spans="1:13" x14ac:dyDescent="0.3">
      <c r="A66" s="135" t="s">
        <v>502</v>
      </c>
      <c r="B66" s="135" t="s">
        <v>407</v>
      </c>
      <c r="C66" s="135" t="s">
        <v>394</v>
      </c>
      <c r="D66" s="135">
        <v>2.2999999999999998</v>
      </c>
      <c r="E66" s="135">
        <v>10.5</v>
      </c>
      <c r="F66" s="135" t="s">
        <v>759</v>
      </c>
      <c r="G66" s="135" t="s">
        <v>758</v>
      </c>
      <c r="H66" s="135" t="s">
        <v>754</v>
      </c>
      <c r="I66" s="135">
        <v>6.1</v>
      </c>
      <c r="J66" s="135" t="s">
        <v>758</v>
      </c>
      <c r="K66" s="135">
        <v>2.7</v>
      </c>
      <c r="L66" s="135" t="s">
        <v>1652</v>
      </c>
      <c r="M66" s="135" t="s">
        <v>1762</v>
      </c>
    </row>
    <row r="67" spans="1:13" x14ac:dyDescent="0.3">
      <c r="A67" s="135" t="s">
        <v>97</v>
      </c>
      <c r="B67" s="135" t="s">
        <v>397</v>
      </c>
      <c r="C67" s="135" t="s">
        <v>394</v>
      </c>
      <c r="D67" s="135">
        <v>1.7</v>
      </c>
      <c r="E67" s="135">
        <v>6.4</v>
      </c>
      <c r="F67" s="135" t="s">
        <v>758</v>
      </c>
      <c r="G67" s="135" t="s">
        <v>758</v>
      </c>
      <c r="H67" s="135">
        <v>1.1000000000000001</v>
      </c>
      <c r="I67" s="135">
        <v>8.9</v>
      </c>
      <c r="J67" s="135" t="s">
        <v>758</v>
      </c>
      <c r="K67" s="135">
        <v>2.1</v>
      </c>
      <c r="L67" s="135" t="s">
        <v>1628</v>
      </c>
      <c r="M67" s="135" t="s">
        <v>2562</v>
      </c>
    </row>
    <row r="68" spans="1:13" x14ac:dyDescent="0.3">
      <c r="A68" s="135" t="s">
        <v>116</v>
      </c>
      <c r="B68" s="135" t="s">
        <v>32</v>
      </c>
      <c r="C68" s="135" t="s">
        <v>394</v>
      </c>
      <c r="D68" s="135">
        <v>2.2000000000000002</v>
      </c>
      <c r="E68" s="135">
        <v>8.5</v>
      </c>
      <c r="F68" s="135" t="s">
        <v>758</v>
      </c>
      <c r="G68" s="135" t="s">
        <v>758</v>
      </c>
      <c r="H68" s="135" t="s">
        <v>753</v>
      </c>
      <c r="I68" s="135">
        <v>6.9</v>
      </c>
      <c r="J68" s="135" t="s">
        <v>758</v>
      </c>
      <c r="K68" s="135">
        <v>1.9</v>
      </c>
      <c r="L68" s="135" t="s">
        <v>1654</v>
      </c>
      <c r="M68" s="135" t="s">
        <v>2563</v>
      </c>
    </row>
    <row r="69" spans="1:13" x14ac:dyDescent="0.3">
      <c r="A69" s="135" t="s">
        <v>466</v>
      </c>
      <c r="B69" s="135" t="s">
        <v>16</v>
      </c>
      <c r="C69" s="135" t="s">
        <v>394</v>
      </c>
      <c r="D69" s="135">
        <v>2.2000000000000002</v>
      </c>
      <c r="E69" s="135">
        <v>9.1999999999999993</v>
      </c>
      <c r="F69" s="135" t="s">
        <v>758</v>
      </c>
      <c r="G69" s="135" t="s">
        <v>758</v>
      </c>
      <c r="H69" s="135" t="s">
        <v>763</v>
      </c>
      <c r="I69" s="135">
        <v>5.8</v>
      </c>
      <c r="J69" s="135" t="s">
        <v>758</v>
      </c>
      <c r="K69" s="135">
        <v>1.9</v>
      </c>
      <c r="L69" s="135" t="s">
        <v>1652</v>
      </c>
      <c r="M69" s="135" t="s">
        <v>2562</v>
      </c>
    </row>
    <row r="70" spans="1:13" x14ac:dyDescent="0.3">
      <c r="A70" s="135" t="s">
        <v>146</v>
      </c>
      <c r="B70" s="135" t="s">
        <v>46</v>
      </c>
      <c r="C70" s="135" t="s">
        <v>394</v>
      </c>
      <c r="D70" s="135">
        <v>1.7</v>
      </c>
      <c r="E70" s="135">
        <v>6.6</v>
      </c>
      <c r="F70" s="135" t="s">
        <v>758</v>
      </c>
      <c r="G70" s="135" t="s">
        <v>758</v>
      </c>
      <c r="H70" s="135" t="s">
        <v>754</v>
      </c>
      <c r="I70" s="135">
        <v>7</v>
      </c>
      <c r="J70" s="135" t="s">
        <v>758</v>
      </c>
      <c r="K70" s="135">
        <v>1.8</v>
      </c>
      <c r="L70" s="135" t="s">
        <v>1641</v>
      </c>
      <c r="M70" s="135" t="s">
        <v>1754</v>
      </c>
    </row>
    <row r="71" spans="1:13" x14ac:dyDescent="0.3">
      <c r="A71" s="135" t="s">
        <v>97</v>
      </c>
      <c r="B71" s="135" t="s">
        <v>397</v>
      </c>
      <c r="C71" s="135" t="s">
        <v>394</v>
      </c>
      <c r="D71" s="135">
        <v>2.9</v>
      </c>
      <c r="E71" s="135">
        <v>10.3</v>
      </c>
      <c r="F71" s="135" t="s">
        <v>758</v>
      </c>
      <c r="G71" s="135" t="s">
        <v>758</v>
      </c>
      <c r="H71" s="135" t="s">
        <v>754</v>
      </c>
      <c r="I71" s="135">
        <v>8.8000000000000007</v>
      </c>
      <c r="J71" s="135" t="s">
        <v>758</v>
      </c>
      <c r="K71" s="135">
        <v>2.4</v>
      </c>
      <c r="L71" s="135" t="s">
        <v>1645</v>
      </c>
      <c r="M71" s="135" t="s">
        <v>1753</v>
      </c>
    </row>
    <row r="72" spans="1:13" x14ac:dyDescent="0.3">
      <c r="A72" s="135" t="s">
        <v>139</v>
      </c>
      <c r="B72" s="135" t="s">
        <v>57</v>
      </c>
      <c r="C72" s="135" t="s">
        <v>394</v>
      </c>
      <c r="D72" s="135">
        <v>3.6</v>
      </c>
      <c r="E72" s="135">
        <v>16.399999999999999</v>
      </c>
      <c r="F72" s="135" t="s">
        <v>758</v>
      </c>
      <c r="G72" s="135" t="s">
        <v>758</v>
      </c>
      <c r="H72" s="135" t="s">
        <v>762</v>
      </c>
      <c r="I72" s="135">
        <v>3.6</v>
      </c>
      <c r="J72" s="135" t="s">
        <v>758</v>
      </c>
      <c r="K72" s="135">
        <v>2.2999999999999998</v>
      </c>
      <c r="L72" s="135" t="s">
        <v>1637</v>
      </c>
      <c r="M72" s="135" t="s">
        <v>1754</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workbookViewId="0">
      <selection activeCell="A2" sqref="A2:T108"/>
    </sheetView>
  </sheetViews>
  <sheetFormatPr defaultRowHeight="14.4" x14ac:dyDescent="0.3"/>
  <cols>
    <col min="2" max="2" width="21.5546875" bestFit="1" customWidth="1"/>
    <col min="6" max="6" width="9.44140625" customWidth="1"/>
    <col min="7" max="7" width="12.5546875" customWidth="1"/>
    <col min="8" max="9" width="9.77734375" customWidth="1"/>
    <col min="11" max="11" width="11.44140625" customWidth="1"/>
    <col min="13" max="13" width="10" customWidth="1"/>
    <col min="14" max="14" width="9.88671875" customWidth="1"/>
  </cols>
  <sheetData>
    <row r="1" spans="1:20" x14ac:dyDescent="0.3">
      <c r="A1" s="100" t="s">
        <v>863</v>
      </c>
      <c r="B1" s="100" t="s">
        <v>1</v>
      </c>
      <c r="C1" s="100" t="s">
        <v>387</v>
      </c>
      <c r="D1" s="100" t="s">
        <v>81</v>
      </c>
      <c r="E1" s="100" t="s">
        <v>1228</v>
      </c>
      <c r="F1" s="100" t="s">
        <v>593</v>
      </c>
      <c r="G1" s="100" t="s">
        <v>423</v>
      </c>
      <c r="H1" s="100" t="s">
        <v>424</v>
      </c>
      <c r="I1" s="100" t="s">
        <v>388</v>
      </c>
      <c r="J1" s="100" t="s">
        <v>389</v>
      </c>
      <c r="K1" s="100" t="s">
        <v>600</v>
      </c>
      <c r="L1" s="100" t="s">
        <v>601</v>
      </c>
      <c r="M1" s="100" t="s">
        <v>1243</v>
      </c>
      <c r="N1" s="100" t="s">
        <v>1244</v>
      </c>
      <c r="O1" s="100" t="s">
        <v>1230</v>
      </c>
      <c r="P1" s="100" t="s">
        <v>1231</v>
      </c>
      <c r="Q1" s="100" t="s">
        <v>1232</v>
      </c>
      <c r="R1" s="100" t="s">
        <v>1233</v>
      </c>
      <c r="S1" s="100" t="s">
        <v>1234</v>
      </c>
      <c r="T1" s="100" t="s">
        <v>1235</v>
      </c>
    </row>
    <row r="2" spans="1:20" x14ac:dyDescent="0.3">
      <c r="A2" s="135">
        <v>1</v>
      </c>
      <c r="B2" s="135" t="s">
        <v>2559</v>
      </c>
      <c r="C2" s="135" t="s">
        <v>20</v>
      </c>
      <c r="D2" s="135" t="s">
        <v>397</v>
      </c>
      <c r="E2" s="135">
        <v>1</v>
      </c>
      <c r="F2" s="135">
        <v>13.6</v>
      </c>
      <c r="G2" s="135">
        <v>66.8</v>
      </c>
      <c r="H2" s="135">
        <v>0.4</v>
      </c>
      <c r="I2" s="135">
        <v>5.0999999999999996</v>
      </c>
      <c r="J2" s="135">
        <v>4.7</v>
      </c>
      <c r="K2" s="135">
        <v>42.9</v>
      </c>
      <c r="L2" s="135">
        <v>0.3</v>
      </c>
      <c r="M2" s="135">
        <v>0</v>
      </c>
      <c r="N2" s="135">
        <v>0</v>
      </c>
      <c r="O2" s="135">
        <v>0.1</v>
      </c>
      <c r="P2" s="135">
        <v>0.1</v>
      </c>
      <c r="Q2" s="135">
        <v>0</v>
      </c>
      <c r="R2" s="135">
        <v>19.8</v>
      </c>
      <c r="S2" s="135">
        <v>19.8</v>
      </c>
      <c r="T2" s="135">
        <v>38</v>
      </c>
    </row>
    <row r="3" spans="1:20" x14ac:dyDescent="0.3">
      <c r="A3" s="135">
        <v>2</v>
      </c>
      <c r="B3" s="135" t="s">
        <v>98</v>
      </c>
      <c r="C3" s="135" t="s">
        <v>1236</v>
      </c>
      <c r="D3" s="135" t="s">
        <v>409</v>
      </c>
      <c r="E3" s="135">
        <v>1</v>
      </c>
      <c r="F3" s="135">
        <v>17.899999999999999</v>
      </c>
      <c r="G3" s="135">
        <v>84.2</v>
      </c>
      <c r="H3" s="135">
        <v>0.6</v>
      </c>
      <c r="I3" s="135">
        <v>4.5999999999999996</v>
      </c>
      <c r="J3" s="135">
        <v>3.2</v>
      </c>
      <c r="K3" s="135">
        <v>34.4</v>
      </c>
      <c r="L3" s="135">
        <v>0.2</v>
      </c>
      <c r="M3" s="135">
        <v>0</v>
      </c>
      <c r="N3" s="135">
        <v>0</v>
      </c>
      <c r="O3" s="135">
        <v>0.3</v>
      </c>
      <c r="P3" s="135">
        <v>0.2</v>
      </c>
      <c r="Q3" s="135">
        <v>0</v>
      </c>
      <c r="R3" s="135">
        <v>19.600000000000001</v>
      </c>
      <c r="S3" s="135">
        <v>19.600000000000001</v>
      </c>
      <c r="T3" s="135">
        <v>38</v>
      </c>
    </row>
    <row r="4" spans="1:20" x14ac:dyDescent="0.3">
      <c r="A4" s="135">
        <v>3</v>
      </c>
      <c r="B4" s="135" t="s">
        <v>89</v>
      </c>
      <c r="C4" s="135" t="s">
        <v>404</v>
      </c>
      <c r="D4" s="135" t="s">
        <v>407</v>
      </c>
      <c r="E4" s="135">
        <v>1</v>
      </c>
      <c r="F4" s="135">
        <v>15.7</v>
      </c>
      <c r="G4" s="135">
        <v>85</v>
      </c>
      <c r="H4" s="135">
        <v>0.7</v>
      </c>
      <c r="I4" s="135">
        <v>3.1</v>
      </c>
      <c r="J4" s="135">
        <v>2.6</v>
      </c>
      <c r="K4" s="135">
        <v>26.4</v>
      </c>
      <c r="L4" s="135">
        <v>0.1</v>
      </c>
      <c r="M4" s="135">
        <v>0</v>
      </c>
      <c r="N4" s="135">
        <v>0</v>
      </c>
      <c r="O4" s="135">
        <v>0.1</v>
      </c>
      <c r="P4" s="135">
        <v>0.1</v>
      </c>
      <c r="Q4" s="135">
        <v>0</v>
      </c>
      <c r="R4" s="135">
        <v>18.5</v>
      </c>
      <c r="S4" s="135">
        <v>18.5</v>
      </c>
      <c r="T4" s="135">
        <v>35</v>
      </c>
    </row>
    <row r="5" spans="1:20" x14ac:dyDescent="0.3">
      <c r="A5" s="135">
        <v>4</v>
      </c>
      <c r="B5" s="135" t="s">
        <v>119</v>
      </c>
      <c r="C5" s="135" t="s">
        <v>407</v>
      </c>
      <c r="D5" s="135" t="s">
        <v>404</v>
      </c>
      <c r="E5" s="135">
        <v>1</v>
      </c>
      <c r="F5" s="135">
        <v>15.5</v>
      </c>
      <c r="G5" s="135">
        <v>84.1</v>
      </c>
      <c r="H5" s="135">
        <v>0.4</v>
      </c>
      <c r="I5" s="135">
        <v>3.4</v>
      </c>
      <c r="J5" s="135">
        <v>2.9</v>
      </c>
      <c r="K5" s="135">
        <v>27.7</v>
      </c>
      <c r="L5" s="135">
        <v>0.2</v>
      </c>
      <c r="M5" s="135">
        <v>0</v>
      </c>
      <c r="N5" s="135">
        <v>0</v>
      </c>
      <c r="O5" s="135">
        <v>0.2</v>
      </c>
      <c r="P5" s="135">
        <v>0.2</v>
      </c>
      <c r="Q5" s="135">
        <v>0</v>
      </c>
      <c r="R5" s="135">
        <v>17.7</v>
      </c>
      <c r="S5" s="135">
        <v>17.7</v>
      </c>
      <c r="T5" s="135">
        <v>32</v>
      </c>
    </row>
    <row r="6" spans="1:20" x14ac:dyDescent="0.3">
      <c r="A6" s="135">
        <v>5</v>
      </c>
      <c r="B6" s="135" t="s">
        <v>122</v>
      </c>
      <c r="C6" s="135" t="s">
        <v>1238</v>
      </c>
      <c r="D6" s="135" t="s">
        <v>30</v>
      </c>
      <c r="E6" s="135">
        <v>1</v>
      </c>
      <c r="F6" s="135">
        <v>19.3</v>
      </c>
      <c r="G6" s="135">
        <v>85</v>
      </c>
      <c r="H6" s="135">
        <v>0.5</v>
      </c>
      <c r="I6" s="135">
        <v>2.9</v>
      </c>
      <c r="J6" s="135">
        <v>2.5</v>
      </c>
      <c r="K6" s="135">
        <v>21.1</v>
      </c>
      <c r="L6" s="135">
        <v>0.1</v>
      </c>
      <c r="M6" s="135">
        <v>0</v>
      </c>
      <c r="N6" s="135">
        <v>0</v>
      </c>
      <c r="O6" s="135">
        <v>0.2</v>
      </c>
      <c r="P6" s="135">
        <v>0.1</v>
      </c>
      <c r="Q6" s="135">
        <v>0</v>
      </c>
      <c r="R6" s="135">
        <v>16.600000000000001</v>
      </c>
      <c r="S6" s="135">
        <v>16.600000000000001</v>
      </c>
      <c r="T6" s="135">
        <v>29</v>
      </c>
    </row>
    <row r="7" spans="1:20" x14ac:dyDescent="0.3">
      <c r="A7" s="135">
        <v>6</v>
      </c>
      <c r="B7" s="135" t="s">
        <v>114</v>
      </c>
      <c r="C7" s="135" t="s">
        <v>401</v>
      </c>
      <c r="D7" s="135" t="s">
        <v>70</v>
      </c>
      <c r="E7" s="135">
        <v>1</v>
      </c>
      <c r="F7" s="135">
        <v>13.2</v>
      </c>
      <c r="G7" s="135">
        <v>52.6</v>
      </c>
      <c r="H7" s="135">
        <v>0.1</v>
      </c>
      <c r="I7" s="135">
        <v>5.8</v>
      </c>
      <c r="J7" s="135">
        <v>4.5</v>
      </c>
      <c r="K7" s="135">
        <v>48.2</v>
      </c>
      <c r="L7" s="135">
        <v>0.2</v>
      </c>
      <c r="M7" s="135">
        <v>0</v>
      </c>
      <c r="N7" s="135">
        <v>0</v>
      </c>
      <c r="O7" s="135">
        <v>0.3</v>
      </c>
      <c r="P7" s="135">
        <v>0.2</v>
      </c>
      <c r="Q7" s="135">
        <v>0</v>
      </c>
      <c r="R7" s="135">
        <v>16.399999999999999</v>
      </c>
      <c r="S7" s="135">
        <v>16.399999999999999</v>
      </c>
      <c r="T7" s="135">
        <v>29</v>
      </c>
    </row>
    <row r="8" spans="1:20" x14ac:dyDescent="0.3">
      <c r="A8" s="135">
        <v>7</v>
      </c>
      <c r="B8" s="135" t="s">
        <v>106</v>
      </c>
      <c r="C8" s="135" t="s">
        <v>70</v>
      </c>
      <c r="D8" s="135" t="s">
        <v>401</v>
      </c>
      <c r="E8" s="135">
        <v>1</v>
      </c>
      <c r="F8" s="135">
        <v>18.2</v>
      </c>
      <c r="G8" s="135">
        <v>79.2</v>
      </c>
      <c r="H8" s="135">
        <v>0.4</v>
      </c>
      <c r="I8" s="135">
        <v>3.4</v>
      </c>
      <c r="J8" s="135">
        <v>2.6</v>
      </c>
      <c r="K8" s="135">
        <v>21.4</v>
      </c>
      <c r="L8" s="135">
        <v>0.1</v>
      </c>
      <c r="M8" s="135">
        <v>0</v>
      </c>
      <c r="N8" s="135">
        <v>0</v>
      </c>
      <c r="O8" s="135">
        <v>0.3</v>
      </c>
      <c r="P8" s="135">
        <v>0.2</v>
      </c>
      <c r="Q8" s="135">
        <v>0</v>
      </c>
      <c r="R8" s="135">
        <v>15.9</v>
      </c>
      <c r="S8" s="135">
        <v>15.9</v>
      </c>
      <c r="T8" s="135">
        <v>27</v>
      </c>
    </row>
    <row r="9" spans="1:20" x14ac:dyDescent="0.3">
      <c r="A9" s="135">
        <v>8</v>
      </c>
      <c r="B9" s="135" t="s">
        <v>428</v>
      </c>
      <c r="C9" s="135" t="s">
        <v>52</v>
      </c>
      <c r="D9" s="135" t="s">
        <v>398</v>
      </c>
      <c r="E9" s="135">
        <v>1</v>
      </c>
      <c r="F9" s="135">
        <v>19.5</v>
      </c>
      <c r="G9" s="135">
        <v>84.9</v>
      </c>
      <c r="H9" s="135">
        <v>0.5</v>
      </c>
      <c r="I9" s="135">
        <v>2.4</v>
      </c>
      <c r="J9" s="135">
        <v>1.9</v>
      </c>
      <c r="K9" s="135">
        <v>16</v>
      </c>
      <c r="L9" s="135">
        <v>0.1</v>
      </c>
      <c r="M9" s="135">
        <v>0</v>
      </c>
      <c r="N9" s="135">
        <v>0</v>
      </c>
      <c r="O9" s="135">
        <v>0.1</v>
      </c>
      <c r="P9" s="135">
        <v>0.1</v>
      </c>
      <c r="Q9" s="135">
        <v>0</v>
      </c>
      <c r="R9" s="135">
        <v>15.8</v>
      </c>
      <c r="S9" s="135">
        <v>15.8</v>
      </c>
      <c r="T9" s="135">
        <v>27</v>
      </c>
    </row>
    <row r="10" spans="1:20" x14ac:dyDescent="0.3">
      <c r="A10" s="135">
        <v>9</v>
      </c>
      <c r="B10" s="135" t="s">
        <v>93</v>
      </c>
      <c r="C10" s="135" t="s">
        <v>10</v>
      </c>
      <c r="D10" s="135" t="s">
        <v>402</v>
      </c>
      <c r="E10" s="135">
        <v>1</v>
      </c>
      <c r="F10" s="135">
        <v>16.100000000000001</v>
      </c>
      <c r="G10" s="135">
        <v>70.900000000000006</v>
      </c>
      <c r="H10" s="135">
        <v>0.5</v>
      </c>
      <c r="I10" s="135">
        <v>3.7</v>
      </c>
      <c r="J10" s="135">
        <v>2.6</v>
      </c>
      <c r="K10" s="135">
        <v>19.5</v>
      </c>
      <c r="L10" s="135">
        <v>0.1</v>
      </c>
      <c r="M10" s="135">
        <v>0</v>
      </c>
      <c r="N10" s="135">
        <v>0</v>
      </c>
      <c r="O10" s="135">
        <v>0.3</v>
      </c>
      <c r="P10" s="135">
        <v>0.2</v>
      </c>
      <c r="Q10" s="135">
        <v>0</v>
      </c>
      <c r="R10" s="135">
        <v>15.3</v>
      </c>
      <c r="S10" s="135">
        <v>15.3</v>
      </c>
      <c r="T10" s="135">
        <v>26</v>
      </c>
    </row>
    <row r="11" spans="1:20" x14ac:dyDescent="0.3">
      <c r="A11" s="135">
        <v>10</v>
      </c>
      <c r="B11" s="135" t="s">
        <v>91</v>
      </c>
      <c r="C11" s="135" t="s">
        <v>397</v>
      </c>
      <c r="D11" s="135" t="s">
        <v>20</v>
      </c>
      <c r="E11" s="135">
        <v>1</v>
      </c>
      <c r="F11" s="135">
        <v>12.6</v>
      </c>
      <c r="G11" s="135">
        <v>64.599999999999994</v>
      </c>
      <c r="H11" s="135">
        <v>0.4</v>
      </c>
      <c r="I11" s="135">
        <v>4</v>
      </c>
      <c r="J11" s="135">
        <v>3</v>
      </c>
      <c r="K11" s="135">
        <v>26.6</v>
      </c>
      <c r="L11" s="135">
        <v>0.2</v>
      </c>
      <c r="M11" s="135">
        <v>0</v>
      </c>
      <c r="N11" s="135">
        <v>0</v>
      </c>
      <c r="O11" s="135">
        <v>0.2</v>
      </c>
      <c r="P11" s="135">
        <v>0.1</v>
      </c>
      <c r="Q11" s="135">
        <v>0</v>
      </c>
      <c r="R11" s="135">
        <v>15.2</v>
      </c>
      <c r="S11" s="135">
        <v>15.2</v>
      </c>
      <c r="T11" s="135">
        <v>25</v>
      </c>
    </row>
    <row r="12" spans="1:20" x14ac:dyDescent="0.3">
      <c r="A12" s="135">
        <v>11</v>
      </c>
      <c r="B12" s="135" t="s">
        <v>83</v>
      </c>
      <c r="C12" s="135" t="s">
        <v>409</v>
      </c>
      <c r="D12" s="135" t="s">
        <v>1236</v>
      </c>
      <c r="E12" s="135">
        <v>1</v>
      </c>
      <c r="F12" s="135">
        <v>17.2</v>
      </c>
      <c r="G12" s="135">
        <v>81.5</v>
      </c>
      <c r="H12" s="135">
        <v>0.5</v>
      </c>
      <c r="I12" s="135">
        <v>2.6</v>
      </c>
      <c r="J12" s="135">
        <v>2.1</v>
      </c>
      <c r="K12" s="135">
        <v>16.5</v>
      </c>
      <c r="L12" s="135">
        <v>0</v>
      </c>
      <c r="M12" s="135">
        <v>0</v>
      </c>
      <c r="N12" s="135">
        <v>0</v>
      </c>
      <c r="O12" s="135">
        <v>0.3</v>
      </c>
      <c r="P12" s="135">
        <v>0.2</v>
      </c>
      <c r="Q12" s="135">
        <v>0</v>
      </c>
      <c r="R12" s="135">
        <v>14.9</v>
      </c>
      <c r="S12" s="135">
        <v>14.9</v>
      </c>
      <c r="T12" s="135">
        <v>24</v>
      </c>
    </row>
    <row r="13" spans="1:20" x14ac:dyDescent="0.3">
      <c r="A13" s="135">
        <v>12</v>
      </c>
      <c r="B13" s="135" t="s">
        <v>143</v>
      </c>
      <c r="C13" s="135" t="s">
        <v>41</v>
      </c>
      <c r="D13" s="135" t="s">
        <v>37</v>
      </c>
      <c r="E13" s="135">
        <v>1</v>
      </c>
      <c r="F13" s="135">
        <v>13.6</v>
      </c>
      <c r="G13" s="135">
        <v>72.3</v>
      </c>
      <c r="H13" s="135">
        <v>0.4</v>
      </c>
      <c r="I13" s="135">
        <v>3.1</v>
      </c>
      <c r="J13" s="135">
        <v>2.7</v>
      </c>
      <c r="K13" s="135">
        <v>21.8</v>
      </c>
      <c r="L13" s="135">
        <v>0.1</v>
      </c>
      <c r="M13" s="135">
        <v>0</v>
      </c>
      <c r="N13" s="135">
        <v>0</v>
      </c>
      <c r="O13" s="135">
        <v>0.2</v>
      </c>
      <c r="P13" s="135">
        <v>0.1</v>
      </c>
      <c r="Q13" s="135">
        <v>0</v>
      </c>
      <c r="R13" s="135">
        <v>14.9</v>
      </c>
      <c r="S13" s="135">
        <v>14.9</v>
      </c>
      <c r="T13" s="135">
        <v>24</v>
      </c>
    </row>
    <row r="14" spans="1:20" x14ac:dyDescent="0.3">
      <c r="A14" s="135">
        <v>13</v>
      </c>
      <c r="B14" s="135" t="s">
        <v>128</v>
      </c>
      <c r="C14" s="135" t="s">
        <v>30</v>
      </c>
      <c r="D14" s="135" t="s">
        <v>1238</v>
      </c>
      <c r="E14" s="135">
        <v>1</v>
      </c>
      <c r="F14" s="135">
        <v>13.8</v>
      </c>
      <c r="G14" s="135">
        <v>61.3</v>
      </c>
      <c r="H14" s="135">
        <v>0.4</v>
      </c>
      <c r="I14" s="135">
        <v>3.9</v>
      </c>
      <c r="J14" s="135">
        <v>3.2</v>
      </c>
      <c r="K14" s="135">
        <v>24.8</v>
      </c>
      <c r="L14" s="135">
        <v>0.1</v>
      </c>
      <c r="M14" s="135">
        <v>0</v>
      </c>
      <c r="N14" s="135">
        <v>0</v>
      </c>
      <c r="O14" s="135">
        <v>0.1</v>
      </c>
      <c r="P14" s="135">
        <v>0.1</v>
      </c>
      <c r="Q14" s="135">
        <v>0</v>
      </c>
      <c r="R14" s="135">
        <v>14.8</v>
      </c>
      <c r="S14" s="135">
        <v>14.8</v>
      </c>
      <c r="T14" s="135">
        <v>24</v>
      </c>
    </row>
    <row r="15" spans="1:20" x14ac:dyDescent="0.3">
      <c r="A15" s="135">
        <v>14</v>
      </c>
      <c r="B15" s="135" t="s">
        <v>464</v>
      </c>
      <c r="C15" s="135" t="s">
        <v>46</v>
      </c>
      <c r="D15" s="135" t="s">
        <v>26</v>
      </c>
      <c r="E15" s="135">
        <v>1</v>
      </c>
      <c r="F15" s="135">
        <v>14</v>
      </c>
      <c r="G15" s="135">
        <v>68.3</v>
      </c>
      <c r="H15" s="135">
        <v>0.5</v>
      </c>
      <c r="I15" s="135">
        <v>3.1</v>
      </c>
      <c r="J15" s="135">
        <v>2.4</v>
      </c>
      <c r="K15" s="135">
        <v>16.5</v>
      </c>
      <c r="L15" s="135">
        <v>0.2</v>
      </c>
      <c r="M15" s="135">
        <v>0</v>
      </c>
      <c r="N15" s="135">
        <v>0</v>
      </c>
      <c r="O15" s="135">
        <v>0.2</v>
      </c>
      <c r="P15" s="135">
        <v>0.1</v>
      </c>
      <c r="Q15" s="135">
        <v>0</v>
      </c>
      <c r="R15" s="135">
        <v>14.6</v>
      </c>
      <c r="S15" s="135">
        <v>14.6</v>
      </c>
      <c r="T15" s="135">
        <v>23</v>
      </c>
    </row>
    <row r="16" spans="1:20" x14ac:dyDescent="0.3">
      <c r="A16" s="135">
        <v>15</v>
      </c>
      <c r="B16" s="135" t="s">
        <v>104</v>
      </c>
      <c r="C16" s="135" t="s">
        <v>398</v>
      </c>
      <c r="D16" s="135" t="s">
        <v>52</v>
      </c>
      <c r="E16" s="135">
        <v>1</v>
      </c>
      <c r="F16" s="135">
        <v>17.5</v>
      </c>
      <c r="G16" s="135">
        <v>84.3</v>
      </c>
      <c r="H16" s="135">
        <v>0.5</v>
      </c>
      <c r="I16" s="135">
        <v>2</v>
      </c>
      <c r="J16" s="135">
        <v>1.5</v>
      </c>
      <c r="K16" s="135">
        <v>11.1</v>
      </c>
      <c r="L16" s="135">
        <v>0.1</v>
      </c>
      <c r="M16" s="135">
        <v>0</v>
      </c>
      <c r="N16" s="135">
        <v>0</v>
      </c>
      <c r="O16" s="135">
        <v>0.1</v>
      </c>
      <c r="P16" s="135">
        <v>0.1</v>
      </c>
      <c r="Q16" s="135">
        <v>0</v>
      </c>
      <c r="R16" s="135">
        <v>14.3</v>
      </c>
      <c r="S16" s="135">
        <v>14.3</v>
      </c>
      <c r="T16" s="135">
        <v>23</v>
      </c>
    </row>
    <row r="17" spans="1:20" x14ac:dyDescent="0.3">
      <c r="A17" s="135">
        <v>16</v>
      </c>
      <c r="B17" s="135" t="s">
        <v>113</v>
      </c>
      <c r="C17" s="135" t="s">
        <v>28</v>
      </c>
      <c r="D17" s="135" t="s">
        <v>57</v>
      </c>
      <c r="E17" s="135">
        <v>1</v>
      </c>
      <c r="F17" s="135">
        <v>7.9</v>
      </c>
      <c r="G17" s="135">
        <v>38</v>
      </c>
      <c r="H17" s="135">
        <v>0.2</v>
      </c>
      <c r="I17" s="135">
        <v>5.0999999999999996</v>
      </c>
      <c r="J17" s="135">
        <v>3.7</v>
      </c>
      <c r="K17" s="135">
        <v>35.700000000000003</v>
      </c>
      <c r="L17" s="135">
        <v>0.3</v>
      </c>
      <c r="M17" s="135">
        <v>0</v>
      </c>
      <c r="N17" s="135">
        <v>0</v>
      </c>
      <c r="O17" s="135">
        <v>0.1</v>
      </c>
      <c r="P17" s="135">
        <v>0.1</v>
      </c>
      <c r="Q17" s="135">
        <v>0</v>
      </c>
      <c r="R17" s="135">
        <v>14.1</v>
      </c>
      <c r="S17" s="135">
        <v>14.1</v>
      </c>
      <c r="T17" s="135">
        <v>22</v>
      </c>
    </row>
    <row r="18" spans="1:20" x14ac:dyDescent="0.3">
      <c r="A18" s="135">
        <v>17</v>
      </c>
      <c r="B18" s="135" t="s">
        <v>94</v>
      </c>
      <c r="C18" s="135" t="s">
        <v>37</v>
      </c>
      <c r="D18" s="135" t="s">
        <v>41</v>
      </c>
      <c r="E18" s="135">
        <v>1</v>
      </c>
      <c r="F18" s="135">
        <v>13.7</v>
      </c>
      <c r="G18" s="135">
        <v>66</v>
      </c>
      <c r="H18" s="135">
        <v>0.4</v>
      </c>
      <c r="I18" s="135">
        <v>2.8</v>
      </c>
      <c r="J18" s="135">
        <v>2.6</v>
      </c>
      <c r="K18" s="135">
        <v>20.100000000000001</v>
      </c>
      <c r="L18" s="135">
        <v>0.1</v>
      </c>
      <c r="M18" s="135">
        <v>0</v>
      </c>
      <c r="N18" s="135">
        <v>0</v>
      </c>
      <c r="O18" s="135">
        <v>0.1</v>
      </c>
      <c r="P18" s="135">
        <v>0.1</v>
      </c>
      <c r="Q18" s="135">
        <v>0</v>
      </c>
      <c r="R18" s="135">
        <v>14</v>
      </c>
      <c r="S18" s="135">
        <v>14</v>
      </c>
      <c r="T18" s="135">
        <v>22</v>
      </c>
    </row>
    <row r="19" spans="1:20" x14ac:dyDescent="0.3">
      <c r="A19" s="135">
        <v>18</v>
      </c>
      <c r="B19" s="135" t="s">
        <v>115</v>
      </c>
      <c r="C19" s="135" t="s">
        <v>34</v>
      </c>
      <c r="D19" s="135" t="s">
        <v>7</v>
      </c>
      <c r="E19" s="135">
        <v>1</v>
      </c>
      <c r="F19" s="135">
        <v>14.8</v>
      </c>
      <c r="G19" s="135">
        <v>61.4</v>
      </c>
      <c r="H19" s="135">
        <v>0.3</v>
      </c>
      <c r="I19" s="135">
        <v>3.7</v>
      </c>
      <c r="J19" s="135">
        <v>2.8</v>
      </c>
      <c r="K19" s="135">
        <v>22</v>
      </c>
      <c r="L19" s="135">
        <v>0.1</v>
      </c>
      <c r="M19" s="135">
        <v>0</v>
      </c>
      <c r="N19" s="135">
        <v>0</v>
      </c>
      <c r="O19" s="135">
        <v>0.2</v>
      </c>
      <c r="P19" s="135">
        <v>0.2</v>
      </c>
      <c r="Q19" s="135">
        <v>0</v>
      </c>
      <c r="R19" s="135">
        <v>13.6</v>
      </c>
      <c r="S19" s="135">
        <v>13.6</v>
      </c>
      <c r="T19" s="135">
        <v>21</v>
      </c>
    </row>
    <row r="20" spans="1:20" x14ac:dyDescent="0.3">
      <c r="A20" s="135">
        <v>19</v>
      </c>
      <c r="B20" s="135" t="s">
        <v>101</v>
      </c>
      <c r="C20" s="135" t="s">
        <v>402</v>
      </c>
      <c r="D20" s="135" t="s">
        <v>10</v>
      </c>
      <c r="E20" s="135">
        <v>1</v>
      </c>
      <c r="F20" s="135">
        <v>16.600000000000001</v>
      </c>
      <c r="G20" s="135">
        <v>84.7</v>
      </c>
      <c r="H20" s="135">
        <v>0.5</v>
      </c>
      <c r="I20" s="135">
        <v>1.1000000000000001</v>
      </c>
      <c r="J20" s="135">
        <v>1.1000000000000001</v>
      </c>
      <c r="K20" s="135">
        <v>6.5</v>
      </c>
      <c r="L20" s="135">
        <v>0</v>
      </c>
      <c r="M20" s="135">
        <v>0</v>
      </c>
      <c r="N20" s="135">
        <v>0</v>
      </c>
      <c r="O20" s="135">
        <v>0.1</v>
      </c>
      <c r="P20" s="135">
        <v>0.1</v>
      </c>
      <c r="Q20" s="135">
        <v>0</v>
      </c>
      <c r="R20" s="135">
        <v>13.4</v>
      </c>
      <c r="S20" s="135">
        <v>13.4</v>
      </c>
      <c r="T20" s="135">
        <v>20</v>
      </c>
    </row>
    <row r="21" spans="1:20" x14ac:dyDescent="0.3">
      <c r="A21" s="135">
        <v>20</v>
      </c>
      <c r="B21" s="135" t="s">
        <v>129</v>
      </c>
      <c r="C21" s="135" t="s">
        <v>26</v>
      </c>
      <c r="D21" s="135" t="s">
        <v>46</v>
      </c>
      <c r="E21" s="135">
        <v>1</v>
      </c>
      <c r="F21" s="135">
        <v>9.1999999999999993</v>
      </c>
      <c r="G21" s="135">
        <v>40.4</v>
      </c>
      <c r="H21" s="135">
        <v>0.2</v>
      </c>
      <c r="I21" s="135">
        <v>4.0999999999999996</v>
      </c>
      <c r="J21" s="135">
        <v>3.4</v>
      </c>
      <c r="K21" s="135">
        <v>31.9</v>
      </c>
      <c r="L21" s="135">
        <v>0.2</v>
      </c>
      <c r="M21" s="135">
        <v>0</v>
      </c>
      <c r="N21" s="135">
        <v>0</v>
      </c>
      <c r="O21" s="135">
        <v>0.1</v>
      </c>
      <c r="P21" s="135">
        <v>0</v>
      </c>
      <c r="Q21" s="135">
        <v>0</v>
      </c>
      <c r="R21" s="135">
        <v>13</v>
      </c>
      <c r="S21" s="135">
        <v>13</v>
      </c>
      <c r="T21" s="135">
        <v>19</v>
      </c>
    </row>
    <row r="22" spans="1:20" x14ac:dyDescent="0.3">
      <c r="A22" s="135">
        <v>21</v>
      </c>
      <c r="B22" s="135" t="s">
        <v>84</v>
      </c>
      <c r="C22" s="135" t="s">
        <v>50</v>
      </c>
      <c r="D22" s="135" t="s">
        <v>22</v>
      </c>
      <c r="E22" s="135">
        <v>1</v>
      </c>
      <c r="F22" s="135">
        <v>10.8</v>
      </c>
      <c r="G22" s="135">
        <v>46.8</v>
      </c>
      <c r="H22" s="135">
        <v>0.3</v>
      </c>
      <c r="I22" s="135">
        <v>4</v>
      </c>
      <c r="J22" s="135">
        <v>3.2</v>
      </c>
      <c r="K22" s="135">
        <v>24.4</v>
      </c>
      <c r="L22" s="135">
        <v>0.1</v>
      </c>
      <c r="M22" s="135">
        <v>0</v>
      </c>
      <c r="N22" s="135">
        <v>0</v>
      </c>
      <c r="O22" s="135">
        <v>0.2</v>
      </c>
      <c r="P22" s="135">
        <v>0.1</v>
      </c>
      <c r="Q22" s="135">
        <v>0</v>
      </c>
      <c r="R22" s="135">
        <v>12.5</v>
      </c>
      <c r="S22" s="135">
        <v>12.5</v>
      </c>
      <c r="T22" s="135">
        <v>17</v>
      </c>
    </row>
    <row r="23" spans="1:20" x14ac:dyDescent="0.3">
      <c r="A23" s="135">
        <v>22</v>
      </c>
      <c r="B23" s="135" t="s">
        <v>120</v>
      </c>
      <c r="C23" s="135" t="s">
        <v>1239</v>
      </c>
      <c r="D23" s="135" t="s">
        <v>18</v>
      </c>
      <c r="E23" s="135">
        <v>1</v>
      </c>
      <c r="F23" s="135">
        <v>6.5</v>
      </c>
      <c r="G23" s="135">
        <v>32.799999999999997</v>
      </c>
      <c r="H23" s="135">
        <v>0.2</v>
      </c>
      <c r="I23" s="135">
        <v>4.3</v>
      </c>
      <c r="J23" s="135">
        <v>3.7</v>
      </c>
      <c r="K23" s="135">
        <v>30.4</v>
      </c>
      <c r="L23" s="135">
        <v>0.2</v>
      </c>
      <c r="M23" s="135">
        <v>0</v>
      </c>
      <c r="N23" s="135">
        <v>0</v>
      </c>
      <c r="O23" s="135">
        <v>0.1</v>
      </c>
      <c r="P23" s="135">
        <v>0.1</v>
      </c>
      <c r="Q23" s="135">
        <v>0</v>
      </c>
      <c r="R23" s="135">
        <v>12.3</v>
      </c>
      <c r="S23" s="135">
        <v>12.3</v>
      </c>
      <c r="T23" s="135">
        <v>17</v>
      </c>
    </row>
    <row r="24" spans="1:20" x14ac:dyDescent="0.3">
      <c r="A24" s="135">
        <v>23</v>
      </c>
      <c r="B24" s="135" t="s">
        <v>102</v>
      </c>
      <c r="C24" s="135" t="s">
        <v>28</v>
      </c>
      <c r="D24" s="135" t="s">
        <v>57</v>
      </c>
      <c r="E24" s="135">
        <v>1</v>
      </c>
      <c r="F24" s="135">
        <v>16.7</v>
      </c>
      <c r="G24" s="135">
        <v>73.8</v>
      </c>
      <c r="H24" s="135">
        <v>0.4</v>
      </c>
      <c r="I24" s="135">
        <v>1.3</v>
      </c>
      <c r="J24" s="135">
        <v>1</v>
      </c>
      <c r="K24" s="135">
        <v>8.1999999999999993</v>
      </c>
      <c r="L24" s="135">
        <v>0.1</v>
      </c>
      <c r="M24" s="135">
        <v>0</v>
      </c>
      <c r="N24" s="135">
        <v>0</v>
      </c>
      <c r="O24" s="135">
        <v>0.1</v>
      </c>
      <c r="P24" s="135">
        <v>0.1</v>
      </c>
      <c r="Q24" s="135">
        <v>0</v>
      </c>
      <c r="R24" s="135">
        <v>11.9</v>
      </c>
      <c r="S24" s="135">
        <v>11.9</v>
      </c>
      <c r="T24" s="135">
        <v>16</v>
      </c>
    </row>
    <row r="25" spans="1:20" x14ac:dyDescent="0.3">
      <c r="A25" s="135">
        <v>24</v>
      </c>
      <c r="B25" s="135" t="s">
        <v>92</v>
      </c>
      <c r="C25" s="135" t="s">
        <v>12</v>
      </c>
      <c r="D25" s="135" t="s">
        <v>16</v>
      </c>
      <c r="E25" s="135">
        <v>1</v>
      </c>
      <c r="F25" s="135">
        <v>9</v>
      </c>
      <c r="G25" s="135">
        <v>44.8</v>
      </c>
      <c r="H25" s="135">
        <v>0.3</v>
      </c>
      <c r="I25" s="135">
        <v>3.2</v>
      </c>
      <c r="J25" s="135">
        <v>2.6</v>
      </c>
      <c r="K25" s="135">
        <v>21.7</v>
      </c>
      <c r="L25" s="135">
        <v>0.2</v>
      </c>
      <c r="M25" s="135">
        <v>0</v>
      </c>
      <c r="N25" s="135">
        <v>0</v>
      </c>
      <c r="O25" s="135">
        <v>0.1</v>
      </c>
      <c r="P25" s="135">
        <v>0.1</v>
      </c>
      <c r="Q25" s="135">
        <v>0</v>
      </c>
      <c r="R25" s="135">
        <v>11.8</v>
      </c>
      <c r="S25" s="135">
        <v>11.8</v>
      </c>
      <c r="T25" s="135">
        <v>15</v>
      </c>
    </row>
    <row r="26" spans="1:20" x14ac:dyDescent="0.3">
      <c r="A26" s="135">
        <v>25</v>
      </c>
      <c r="B26" s="135" t="s">
        <v>121</v>
      </c>
      <c r="C26" s="135" t="s">
        <v>18</v>
      </c>
      <c r="D26" s="135" t="s">
        <v>1239</v>
      </c>
      <c r="E26" s="135">
        <v>1</v>
      </c>
      <c r="F26" s="135">
        <v>15.8</v>
      </c>
      <c r="G26" s="135">
        <v>77.5</v>
      </c>
      <c r="H26" s="135">
        <v>0.4</v>
      </c>
      <c r="I26" s="135">
        <v>0.9</v>
      </c>
      <c r="J26" s="135">
        <v>0.8</v>
      </c>
      <c r="K26" s="135">
        <v>6.7</v>
      </c>
      <c r="L26" s="135">
        <v>0</v>
      </c>
      <c r="M26" s="135">
        <v>0</v>
      </c>
      <c r="N26" s="135">
        <v>0</v>
      </c>
      <c r="O26" s="135">
        <v>0.2</v>
      </c>
      <c r="P26" s="135">
        <v>0.1</v>
      </c>
      <c r="Q26" s="135">
        <v>0</v>
      </c>
      <c r="R26" s="135">
        <v>11.7</v>
      </c>
      <c r="S26" s="135">
        <v>11.7</v>
      </c>
      <c r="T26" s="135">
        <v>15</v>
      </c>
    </row>
    <row r="27" spans="1:20" x14ac:dyDescent="0.3">
      <c r="A27" s="135">
        <v>26</v>
      </c>
      <c r="B27" s="135" t="s">
        <v>95</v>
      </c>
      <c r="C27" s="135" t="s">
        <v>1239</v>
      </c>
      <c r="D27" s="135" t="s">
        <v>18</v>
      </c>
      <c r="E27" s="135">
        <v>1</v>
      </c>
      <c r="F27" s="135">
        <v>13.3</v>
      </c>
      <c r="G27" s="135">
        <v>70.8</v>
      </c>
      <c r="H27" s="135">
        <v>0.5</v>
      </c>
      <c r="I27" s="135">
        <v>0.9</v>
      </c>
      <c r="J27" s="135">
        <v>0.8</v>
      </c>
      <c r="K27" s="135">
        <v>6</v>
      </c>
      <c r="L27" s="135">
        <v>0</v>
      </c>
      <c r="M27" s="135">
        <v>0</v>
      </c>
      <c r="N27" s="135">
        <v>0</v>
      </c>
      <c r="O27" s="135">
        <v>0.2</v>
      </c>
      <c r="P27" s="135">
        <v>0.1</v>
      </c>
      <c r="Q27" s="135">
        <v>0</v>
      </c>
      <c r="R27" s="135">
        <v>11.3</v>
      </c>
      <c r="S27" s="135">
        <v>11.3</v>
      </c>
      <c r="T27" s="135">
        <v>14</v>
      </c>
    </row>
    <row r="28" spans="1:20" x14ac:dyDescent="0.3">
      <c r="A28" s="135">
        <v>27</v>
      </c>
      <c r="B28" s="135" t="s">
        <v>87</v>
      </c>
      <c r="C28" s="135" t="s">
        <v>16</v>
      </c>
      <c r="D28" s="135" t="s">
        <v>12</v>
      </c>
      <c r="E28" s="135">
        <v>1</v>
      </c>
      <c r="F28" s="135">
        <v>14.4</v>
      </c>
      <c r="G28" s="135">
        <v>56.3</v>
      </c>
      <c r="H28" s="135">
        <v>0.3</v>
      </c>
      <c r="I28" s="135">
        <v>2.4</v>
      </c>
      <c r="J28" s="135">
        <v>1.6</v>
      </c>
      <c r="K28" s="135">
        <v>12</v>
      </c>
      <c r="L28" s="135">
        <v>0.1</v>
      </c>
      <c r="M28" s="135">
        <v>0</v>
      </c>
      <c r="N28" s="135">
        <v>0</v>
      </c>
      <c r="O28" s="135">
        <v>0.1</v>
      </c>
      <c r="P28" s="135">
        <v>0.1</v>
      </c>
      <c r="Q28" s="135">
        <v>0</v>
      </c>
      <c r="R28" s="135">
        <v>10.9</v>
      </c>
      <c r="S28" s="135">
        <v>10.9</v>
      </c>
      <c r="T28" s="135">
        <v>13</v>
      </c>
    </row>
    <row r="29" spans="1:20" x14ac:dyDescent="0.3">
      <c r="A29" s="135">
        <v>28</v>
      </c>
      <c r="B29" s="135" t="s">
        <v>137</v>
      </c>
      <c r="C29" s="135" t="s">
        <v>402</v>
      </c>
      <c r="D29" s="135" t="s">
        <v>10</v>
      </c>
      <c r="E29" s="135">
        <v>1</v>
      </c>
      <c r="F29" s="135">
        <v>2.7</v>
      </c>
      <c r="G29" s="135">
        <v>14.3</v>
      </c>
      <c r="H29" s="135">
        <v>0.1</v>
      </c>
      <c r="I29" s="135">
        <v>4.5999999999999996</v>
      </c>
      <c r="J29" s="135">
        <v>3.8</v>
      </c>
      <c r="K29" s="135">
        <v>33.9</v>
      </c>
      <c r="L29" s="135">
        <v>0.3</v>
      </c>
      <c r="M29" s="135">
        <v>0</v>
      </c>
      <c r="N29" s="135">
        <v>0</v>
      </c>
      <c r="O29" s="135">
        <v>0</v>
      </c>
      <c r="P29" s="135">
        <v>0</v>
      </c>
      <c r="Q29" s="135">
        <v>0</v>
      </c>
      <c r="R29" s="135">
        <v>10.8</v>
      </c>
      <c r="S29" s="135">
        <v>10.8</v>
      </c>
      <c r="T29" s="135">
        <v>13</v>
      </c>
    </row>
    <row r="30" spans="1:20" x14ac:dyDescent="0.3">
      <c r="A30" s="135">
        <v>29</v>
      </c>
      <c r="B30" s="135" t="s">
        <v>135</v>
      </c>
      <c r="C30" s="135" t="s">
        <v>50</v>
      </c>
      <c r="D30" s="135" t="s">
        <v>22</v>
      </c>
      <c r="E30" s="135">
        <v>1</v>
      </c>
      <c r="F30" s="135">
        <v>7.5</v>
      </c>
      <c r="G30" s="135">
        <v>33.6</v>
      </c>
      <c r="H30" s="135">
        <v>0.2</v>
      </c>
      <c r="I30" s="135">
        <v>4</v>
      </c>
      <c r="J30" s="135">
        <v>3.2</v>
      </c>
      <c r="K30" s="135">
        <v>20.2</v>
      </c>
      <c r="L30" s="135">
        <v>0.1</v>
      </c>
      <c r="M30" s="135">
        <v>0</v>
      </c>
      <c r="N30" s="135">
        <v>0</v>
      </c>
      <c r="O30" s="135">
        <v>0.2</v>
      </c>
      <c r="P30" s="135">
        <v>0.1</v>
      </c>
      <c r="Q30" s="135">
        <v>0</v>
      </c>
      <c r="R30" s="135">
        <v>10.199999999999999</v>
      </c>
      <c r="S30" s="135">
        <v>10.199999999999999</v>
      </c>
      <c r="T30" s="135">
        <v>11</v>
      </c>
    </row>
    <row r="31" spans="1:20" x14ac:dyDescent="0.3">
      <c r="A31" s="135">
        <v>30</v>
      </c>
      <c r="B31" s="135" t="s">
        <v>146</v>
      </c>
      <c r="C31" s="135" t="s">
        <v>46</v>
      </c>
      <c r="D31" s="135" t="s">
        <v>26</v>
      </c>
      <c r="E31" s="135">
        <v>1</v>
      </c>
      <c r="F31" s="135">
        <v>8</v>
      </c>
      <c r="G31" s="135">
        <v>37.299999999999997</v>
      </c>
      <c r="H31" s="135">
        <v>0.3</v>
      </c>
      <c r="I31" s="135">
        <v>2.2999999999999998</v>
      </c>
      <c r="J31" s="135">
        <v>2.2000000000000002</v>
      </c>
      <c r="K31" s="135">
        <v>15.8</v>
      </c>
      <c r="L31" s="135">
        <v>0.1</v>
      </c>
      <c r="M31" s="135">
        <v>0</v>
      </c>
      <c r="N31" s="135">
        <v>0</v>
      </c>
      <c r="O31" s="135">
        <v>0.1</v>
      </c>
      <c r="P31" s="135">
        <v>0.1</v>
      </c>
      <c r="Q31" s="135">
        <v>0</v>
      </c>
      <c r="R31" s="135">
        <v>9.6999999999999993</v>
      </c>
      <c r="S31" s="135">
        <v>9.6999999999999993</v>
      </c>
      <c r="T31" s="135">
        <v>9</v>
      </c>
    </row>
    <row r="32" spans="1:20" x14ac:dyDescent="0.3">
      <c r="A32" s="135">
        <v>31</v>
      </c>
      <c r="B32" s="135" t="s">
        <v>82</v>
      </c>
      <c r="C32" s="135" t="s">
        <v>4</v>
      </c>
      <c r="D32" s="135" t="s">
        <v>1237</v>
      </c>
      <c r="E32" s="135">
        <v>1</v>
      </c>
      <c r="F32" s="135">
        <v>10</v>
      </c>
      <c r="G32" s="135">
        <v>42.2</v>
      </c>
      <c r="H32" s="135">
        <v>0.2</v>
      </c>
      <c r="I32" s="135">
        <v>2.4</v>
      </c>
      <c r="J32" s="135">
        <v>2</v>
      </c>
      <c r="K32" s="135">
        <v>14.7</v>
      </c>
      <c r="L32" s="135">
        <v>0.1</v>
      </c>
      <c r="M32" s="135">
        <v>0</v>
      </c>
      <c r="N32" s="135">
        <v>0</v>
      </c>
      <c r="O32" s="135">
        <v>0.1</v>
      </c>
      <c r="P32" s="135">
        <v>0.1</v>
      </c>
      <c r="Q32" s="135">
        <v>0</v>
      </c>
      <c r="R32" s="135">
        <v>9.6</v>
      </c>
      <c r="S32" s="135">
        <v>9.6</v>
      </c>
      <c r="T32" s="135">
        <v>9</v>
      </c>
    </row>
    <row r="33" spans="1:20" x14ac:dyDescent="0.3">
      <c r="A33" s="135">
        <v>32</v>
      </c>
      <c r="B33" s="135" t="s">
        <v>123</v>
      </c>
      <c r="C33" s="135" t="s">
        <v>12</v>
      </c>
      <c r="D33" s="135" t="s">
        <v>16</v>
      </c>
      <c r="E33" s="135">
        <v>1</v>
      </c>
      <c r="F33" s="135">
        <v>11.4</v>
      </c>
      <c r="G33" s="135">
        <v>58</v>
      </c>
      <c r="H33" s="135">
        <v>0.4</v>
      </c>
      <c r="I33" s="135">
        <v>1</v>
      </c>
      <c r="J33" s="135">
        <v>0.8</v>
      </c>
      <c r="K33" s="135">
        <v>6.7</v>
      </c>
      <c r="L33" s="135">
        <v>0</v>
      </c>
      <c r="M33" s="135">
        <v>0</v>
      </c>
      <c r="N33" s="135">
        <v>0</v>
      </c>
      <c r="O33" s="135">
        <v>0.1</v>
      </c>
      <c r="P33" s="135">
        <v>0.1</v>
      </c>
      <c r="Q33" s="135">
        <v>0</v>
      </c>
      <c r="R33" s="135">
        <v>9.5</v>
      </c>
      <c r="S33" s="135">
        <v>9.5</v>
      </c>
      <c r="T33" s="135">
        <v>9</v>
      </c>
    </row>
    <row r="34" spans="1:20" x14ac:dyDescent="0.3">
      <c r="A34" s="135">
        <v>33</v>
      </c>
      <c r="B34" s="135" t="s">
        <v>161</v>
      </c>
      <c r="C34" s="135" t="s">
        <v>41</v>
      </c>
      <c r="D34" s="135" t="s">
        <v>37</v>
      </c>
      <c r="E34" s="135">
        <v>1</v>
      </c>
      <c r="F34" s="135">
        <v>7.9</v>
      </c>
      <c r="G34" s="135">
        <v>38.200000000000003</v>
      </c>
      <c r="H34" s="135">
        <v>0.2</v>
      </c>
      <c r="I34" s="135">
        <v>2.5</v>
      </c>
      <c r="J34" s="135">
        <v>2.2000000000000002</v>
      </c>
      <c r="K34" s="135">
        <v>18.100000000000001</v>
      </c>
      <c r="L34" s="135">
        <v>0.1</v>
      </c>
      <c r="M34" s="135">
        <v>0</v>
      </c>
      <c r="N34" s="135">
        <v>0</v>
      </c>
      <c r="O34" s="135">
        <v>0.1</v>
      </c>
      <c r="P34" s="135">
        <v>0.1</v>
      </c>
      <c r="Q34" s="135">
        <v>0</v>
      </c>
      <c r="R34" s="135">
        <v>9.5</v>
      </c>
      <c r="S34" s="135">
        <v>9.5</v>
      </c>
      <c r="T34" s="135">
        <v>9</v>
      </c>
    </row>
    <row r="35" spans="1:20" x14ac:dyDescent="0.3">
      <c r="A35" s="135">
        <v>34</v>
      </c>
      <c r="B35" s="135" t="s">
        <v>145</v>
      </c>
      <c r="C35" s="135" t="s">
        <v>7</v>
      </c>
      <c r="D35" s="135" t="s">
        <v>34</v>
      </c>
      <c r="E35" s="135">
        <v>1</v>
      </c>
      <c r="F35" s="135">
        <v>12</v>
      </c>
      <c r="G35" s="135">
        <v>47.8</v>
      </c>
      <c r="H35" s="135">
        <v>0.2</v>
      </c>
      <c r="I35" s="135">
        <v>2.4</v>
      </c>
      <c r="J35" s="135">
        <v>1.7</v>
      </c>
      <c r="K35" s="135">
        <v>11.2</v>
      </c>
      <c r="L35" s="135">
        <v>0.1</v>
      </c>
      <c r="M35" s="135">
        <v>0</v>
      </c>
      <c r="N35" s="135">
        <v>0</v>
      </c>
      <c r="O35" s="135">
        <v>0.1</v>
      </c>
      <c r="P35" s="135">
        <v>0.1</v>
      </c>
      <c r="Q35" s="135">
        <v>0</v>
      </c>
      <c r="R35" s="135">
        <v>9.3000000000000007</v>
      </c>
      <c r="S35" s="135">
        <v>9.3000000000000007</v>
      </c>
      <c r="T35" s="135">
        <v>8</v>
      </c>
    </row>
    <row r="36" spans="1:20" x14ac:dyDescent="0.3">
      <c r="A36" s="135">
        <v>35</v>
      </c>
      <c r="B36" s="135" t="s">
        <v>516</v>
      </c>
      <c r="C36" s="135" t="s">
        <v>57</v>
      </c>
      <c r="D36" s="135" t="s">
        <v>28</v>
      </c>
      <c r="E36" s="135">
        <v>1</v>
      </c>
      <c r="F36" s="135">
        <v>7.2</v>
      </c>
      <c r="G36" s="135">
        <v>31.5</v>
      </c>
      <c r="H36" s="135">
        <v>0.3</v>
      </c>
      <c r="I36" s="135">
        <v>3</v>
      </c>
      <c r="J36" s="135">
        <v>2.2999999999999998</v>
      </c>
      <c r="K36" s="135">
        <v>16.2</v>
      </c>
      <c r="L36" s="135">
        <v>0.1</v>
      </c>
      <c r="M36" s="135">
        <v>0</v>
      </c>
      <c r="N36" s="135">
        <v>0</v>
      </c>
      <c r="O36" s="135">
        <v>0.1</v>
      </c>
      <c r="P36" s="135">
        <v>0.1</v>
      </c>
      <c r="Q36" s="135">
        <v>0</v>
      </c>
      <c r="R36" s="135">
        <v>9.1</v>
      </c>
      <c r="S36" s="135">
        <v>9.1</v>
      </c>
      <c r="T36" s="135">
        <v>8</v>
      </c>
    </row>
    <row r="37" spans="1:20" x14ac:dyDescent="0.3">
      <c r="A37" s="135">
        <v>36</v>
      </c>
      <c r="B37" s="135" t="s">
        <v>99</v>
      </c>
      <c r="C37" s="135" t="s">
        <v>1237</v>
      </c>
      <c r="D37" s="135" t="s">
        <v>4</v>
      </c>
      <c r="E37" s="135">
        <v>1</v>
      </c>
      <c r="F37" s="135">
        <v>7.2</v>
      </c>
      <c r="G37" s="135">
        <v>34.6</v>
      </c>
      <c r="H37" s="135">
        <v>0.2</v>
      </c>
      <c r="I37" s="135">
        <v>2.6</v>
      </c>
      <c r="J37" s="135">
        <v>2.2999999999999998</v>
      </c>
      <c r="K37" s="135">
        <v>15.2</v>
      </c>
      <c r="L37" s="135">
        <v>0.1</v>
      </c>
      <c r="M37" s="135">
        <v>0</v>
      </c>
      <c r="N37" s="135">
        <v>0</v>
      </c>
      <c r="O37" s="135">
        <v>0.1</v>
      </c>
      <c r="P37" s="135">
        <v>0.1</v>
      </c>
      <c r="Q37" s="135">
        <v>0</v>
      </c>
      <c r="R37" s="135">
        <v>8.9</v>
      </c>
      <c r="S37" s="135">
        <v>8.9</v>
      </c>
      <c r="T37" s="135">
        <v>7</v>
      </c>
    </row>
    <row r="38" spans="1:20" x14ac:dyDescent="0.3">
      <c r="A38" s="135">
        <v>37</v>
      </c>
      <c r="B38" s="135" t="s">
        <v>141</v>
      </c>
      <c r="C38" s="135" t="s">
        <v>18</v>
      </c>
      <c r="D38" s="135" t="s">
        <v>1239</v>
      </c>
      <c r="E38" s="135">
        <v>1</v>
      </c>
      <c r="F38" s="135">
        <v>5.2</v>
      </c>
      <c r="G38" s="135">
        <v>30.7</v>
      </c>
      <c r="H38" s="135">
        <v>0.1</v>
      </c>
      <c r="I38" s="135">
        <v>2.8</v>
      </c>
      <c r="J38" s="135">
        <v>2.2000000000000002</v>
      </c>
      <c r="K38" s="135">
        <v>19.2</v>
      </c>
      <c r="L38" s="135">
        <v>0.1</v>
      </c>
      <c r="M38" s="135">
        <v>0</v>
      </c>
      <c r="N38" s="135">
        <v>0</v>
      </c>
      <c r="O38" s="135">
        <v>0.1</v>
      </c>
      <c r="P38" s="135">
        <v>0.1</v>
      </c>
      <c r="Q38" s="135">
        <v>0</v>
      </c>
      <c r="R38" s="135">
        <v>8.6999999999999993</v>
      </c>
      <c r="S38" s="135">
        <v>8.6999999999999993</v>
      </c>
      <c r="T38" s="135">
        <v>6</v>
      </c>
    </row>
    <row r="39" spans="1:20" x14ac:dyDescent="0.3">
      <c r="A39" s="135">
        <v>38</v>
      </c>
      <c r="B39" s="135" t="s">
        <v>150</v>
      </c>
      <c r="C39" s="135" t="s">
        <v>22</v>
      </c>
      <c r="D39" s="135" t="s">
        <v>50</v>
      </c>
      <c r="E39" s="135">
        <v>1</v>
      </c>
      <c r="F39" s="135">
        <v>11.6</v>
      </c>
      <c r="G39" s="135">
        <v>52.7</v>
      </c>
      <c r="H39" s="135">
        <v>0.3</v>
      </c>
      <c r="I39" s="135">
        <v>0.5</v>
      </c>
      <c r="J39" s="135">
        <v>0.5</v>
      </c>
      <c r="K39" s="135">
        <v>4.8</v>
      </c>
      <c r="L39" s="135">
        <v>0</v>
      </c>
      <c r="M39" s="135">
        <v>0</v>
      </c>
      <c r="N39" s="135">
        <v>0</v>
      </c>
      <c r="O39" s="135">
        <v>0.1</v>
      </c>
      <c r="P39" s="135">
        <v>0.1</v>
      </c>
      <c r="Q39" s="135">
        <v>0</v>
      </c>
      <c r="R39" s="135">
        <v>8.1</v>
      </c>
      <c r="S39" s="135">
        <v>8.1</v>
      </c>
      <c r="T39" s="135">
        <v>5</v>
      </c>
    </row>
    <row r="40" spans="1:20" x14ac:dyDescent="0.3">
      <c r="A40" s="135">
        <v>39</v>
      </c>
      <c r="B40" s="135" t="s">
        <v>520</v>
      </c>
      <c r="C40" s="135" t="s">
        <v>26</v>
      </c>
      <c r="D40" s="135" t="s">
        <v>46</v>
      </c>
      <c r="E40" s="135">
        <v>1</v>
      </c>
      <c r="F40" s="135">
        <v>9.4</v>
      </c>
      <c r="G40" s="135">
        <v>42.5</v>
      </c>
      <c r="H40" s="135">
        <v>0.2</v>
      </c>
      <c r="I40" s="135">
        <v>1.5</v>
      </c>
      <c r="J40" s="135">
        <v>1.1000000000000001</v>
      </c>
      <c r="K40" s="135">
        <v>8.1999999999999993</v>
      </c>
      <c r="L40" s="135">
        <v>0</v>
      </c>
      <c r="M40" s="135">
        <v>0</v>
      </c>
      <c r="N40" s="135">
        <v>0</v>
      </c>
      <c r="O40" s="135">
        <v>0</v>
      </c>
      <c r="P40" s="135">
        <v>0</v>
      </c>
      <c r="Q40" s="135">
        <v>0</v>
      </c>
      <c r="R40" s="135">
        <v>7.9</v>
      </c>
      <c r="S40" s="135">
        <v>7.9</v>
      </c>
      <c r="T40" s="135">
        <v>4</v>
      </c>
    </row>
    <row r="41" spans="1:20" x14ac:dyDescent="0.3">
      <c r="A41" s="135">
        <v>40</v>
      </c>
      <c r="B41" s="135" t="s">
        <v>139</v>
      </c>
      <c r="C41" s="135" t="s">
        <v>57</v>
      </c>
      <c r="D41" s="135" t="s">
        <v>28</v>
      </c>
      <c r="E41" s="135">
        <v>1</v>
      </c>
      <c r="F41" s="135">
        <v>5.8</v>
      </c>
      <c r="G41" s="135">
        <v>26.4</v>
      </c>
      <c r="H41" s="135">
        <v>0.2</v>
      </c>
      <c r="I41" s="135">
        <v>3</v>
      </c>
      <c r="J41" s="135">
        <v>1.9</v>
      </c>
      <c r="K41" s="135">
        <v>15.1</v>
      </c>
      <c r="L41" s="135">
        <v>0.1</v>
      </c>
      <c r="M41" s="135">
        <v>0</v>
      </c>
      <c r="N41" s="135">
        <v>0</v>
      </c>
      <c r="O41" s="135">
        <v>0.1</v>
      </c>
      <c r="P41" s="135">
        <v>0</v>
      </c>
      <c r="Q41" s="135">
        <v>0</v>
      </c>
      <c r="R41" s="135">
        <v>7.7</v>
      </c>
      <c r="S41" s="135">
        <v>7.7</v>
      </c>
      <c r="T41" s="135">
        <v>4</v>
      </c>
    </row>
    <row r="42" spans="1:20" x14ac:dyDescent="0.3">
      <c r="A42" s="135">
        <v>41</v>
      </c>
      <c r="B42" s="135" t="s">
        <v>131</v>
      </c>
      <c r="C42" s="135" t="s">
        <v>398</v>
      </c>
      <c r="D42" s="135" t="s">
        <v>52</v>
      </c>
      <c r="E42" s="135">
        <v>1</v>
      </c>
      <c r="F42" s="135">
        <v>5.8</v>
      </c>
      <c r="G42" s="135">
        <v>26.9</v>
      </c>
      <c r="H42" s="135">
        <v>0.2</v>
      </c>
      <c r="I42" s="135">
        <v>2.2999999999999998</v>
      </c>
      <c r="J42" s="135">
        <v>1.7</v>
      </c>
      <c r="K42" s="135">
        <v>14.9</v>
      </c>
      <c r="L42" s="135">
        <v>0.1</v>
      </c>
      <c r="M42" s="135">
        <v>0</v>
      </c>
      <c r="N42" s="135">
        <v>0</v>
      </c>
      <c r="O42" s="135">
        <v>0</v>
      </c>
      <c r="P42" s="135">
        <v>0</v>
      </c>
      <c r="Q42" s="135">
        <v>0</v>
      </c>
      <c r="R42" s="135">
        <v>7.2</v>
      </c>
      <c r="S42" s="135">
        <v>7.2</v>
      </c>
      <c r="T42" s="135">
        <v>2</v>
      </c>
    </row>
    <row r="43" spans="1:20" x14ac:dyDescent="0.3">
      <c r="A43" s="135">
        <v>42</v>
      </c>
      <c r="B43" s="135" t="s">
        <v>134</v>
      </c>
      <c r="C43" s="135" t="s">
        <v>52</v>
      </c>
      <c r="D43" s="135" t="s">
        <v>398</v>
      </c>
      <c r="E43" s="135">
        <v>1</v>
      </c>
      <c r="F43" s="135">
        <v>1.7</v>
      </c>
      <c r="G43" s="135">
        <v>12.7</v>
      </c>
      <c r="H43" s="135">
        <v>0</v>
      </c>
      <c r="I43" s="135">
        <v>2.1</v>
      </c>
      <c r="J43" s="135">
        <v>1.9</v>
      </c>
      <c r="K43" s="135">
        <v>24.8</v>
      </c>
      <c r="L43" s="135">
        <v>0.1</v>
      </c>
      <c r="M43" s="135">
        <v>0</v>
      </c>
      <c r="N43" s="135">
        <v>0</v>
      </c>
      <c r="O43" s="135">
        <v>0</v>
      </c>
      <c r="P43" s="135">
        <v>0</v>
      </c>
      <c r="Q43" s="135">
        <v>0</v>
      </c>
      <c r="R43" s="135">
        <v>6.5</v>
      </c>
      <c r="S43" s="135">
        <v>6.5</v>
      </c>
      <c r="T43" s="135">
        <v>0</v>
      </c>
    </row>
    <row r="44" spans="1:20" x14ac:dyDescent="0.3">
      <c r="A44" s="135">
        <v>43</v>
      </c>
      <c r="B44" s="135" t="s">
        <v>162</v>
      </c>
      <c r="C44" s="135" t="s">
        <v>22</v>
      </c>
      <c r="D44" s="135" t="s">
        <v>50</v>
      </c>
      <c r="E44" s="135">
        <v>1</v>
      </c>
      <c r="F44" s="135">
        <v>6.7</v>
      </c>
      <c r="G44" s="135">
        <v>31.3</v>
      </c>
      <c r="H44" s="135">
        <v>0.2</v>
      </c>
      <c r="I44" s="135">
        <v>1.4</v>
      </c>
      <c r="J44" s="135">
        <v>1.2</v>
      </c>
      <c r="K44" s="135">
        <v>8.6999999999999993</v>
      </c>
      <c r="L44" s="135">
        <v>0</v>
      </c>
      <c r="M44" s="135">
        <v>0</v>
      </c>
      <c r="N44" s="135">
        <v>0</v>
      </c>
      <c r="O44" s="135">
        <v>0.1</v>
      </c>
      <c r="P44" s="135">
        <v>0.1</v>
      </c>
      <c r="Q44" s="135">
        <v>0</v>
      </c>
      <c r="R44" s="135">
        <v>6.5</v>
      </c>
      <c r="S44" s="135">
        <v>6.5</v>
      </c>
      <c r="T44" s="135">
        <v>0</v>
      </c>
    </row>
    <row r="45" spans="1:20" x14ac:dyDescent="0.3">
      <c r="A45" s="135">
        <v>44</v>
      </c>
      <c r="B45" s="135" t="s">
        <v>458</v>
      </c>
      <c r="C45" s="135" t="s">
        <v>30</v>
      </c>
      <c r="D45" s="135" t="s">
        <v>1238</v>
      </c>
      <c r="E45" s="135">
        <v>1</v>
      </c>
      <c r="F45" s="135">
        <v>8.8000000000000007</v>
      </c>
      <c r="G45" s="135">
        <v>38.4</v>
      </c>
      <c r="H45" s="135">
        <v>0.2</v>
      </c>
      <c r="I45" s="135">
        <v>0.9</v>
      </c>
      <c r="J45" s="135">
        <v>0.7</v>
      </c>
      <c r="K45" s="135">
        <v>4.5</v>
      </c>
      <c r="L45" s="135">
        <v>0</v>
      </c>
      <c r="M45" s="135">
        <v>0</v>
      </c>
      <c r="N45" s="135">
        <v>0</v>
      </c>
      <c r="O45" s="135">
        <v>0.1</v>
      </c>
      <c r="P45" s="135">
        <v>0.1</v>
      </c>
      <c r="Q45" s="135">
        <v>0</v>
      </c>
      <c r="R45" s="135">
        <v>6.5</v>
      </c>
      <c r="S45" s="135">
        <v>6.5</v>
      </c>
      <c r="T45" s="135">
        <v>0</v>
      </c>
    </row>
    <row r="46" spans="1:20" x14ac:dyDescent="0.3">
      <c r="A46" s="135">
        <v>45</v>
      </c>
      <c r="B46" s="135" t="s">
        <v>467</v>
      </c>
      <c r="C46" s="135" t="s">
        <v>1237</v>
      </c>
      <c r="D46" s="135" t="s">
        <v>4</v>
      </c>
      <c r="E46" s="135">
        <v>1</v>
      </c>
      <c r="F46" s="135">
        <v>5.9</v>
      </c>
      <c r="G46" s="135">
        <v>26.5</v>
      </c>
      <c r="H46" s="135">
        <v>0.2</v>
      </c>
      <c r="I46" s="135">
        <v>1.9</v>
      </c>
      <c r="J46" s="135">
        <v>1.5</v>
      </c>
      <c r="K46" s="135">
        <v>10.1</v>
      </c>
      <c r="L46" s="135">
        <v>0.1</v>
      </c>
      <c r="M46" s="135">
        <v>0</v>
      </c>
      <c r="N46" s="135">
        <v>0</v>
      </c>
      <c r="O46" s="135">
        <v>0.1</v>
      </c>
      <c r="P46" s="135">
        <v>0.1</v>
      </c>
      <c r="Q46" s="135">
        <v>0</v>
      </c>
      <c r="R46" s="135">
        <v>6.4</v>
      </c>
      <c r="S46" s="135">
        <v>6.4</v>
      </c>
      <c r="T46" s="135">
        <v>0</v>
      </c>
    </row>
    <row r="47" spans="1:20" x14ac:dyDescent="0.3">
      <c r="A47" s="135">
        <v>46</v>
      </c>
      <c r="B47" s="135" t="s">
        <v>153</v>
      </c>
      <c r="C47" s="135" t="s">
        <v>37</v>
      </c>
      <c r="D47" s="135" t="s">
        <v>41</v>
      </c>
      <c r="E47" s="135">
        <v>1</v>
      </c>
      <c r="F47" s="135">
        <v>5.8</v>
      </c>
      <c r="G47" s="135">
        <v>27.6</v>
      </c>
      <c r="H47" s="135">
        <v>0.2</v>
      </c>
      <c r="I47" s="135">
        <v>1.4</v>
      </c>
      <c r="J47" s="135">
        <v>1.4</v>
      </c>
      <c r="K47" s="135">
        <v>10.199999999999999</v>
      </c>
      <c r="L47" s="135">
        <v>0</v>
      </c>
      <c r="M47" s="135">
        <v>0</v>
      </c>
      <c r="N47" s="135">
        <v>0</v>
      </c>
      <c r="O47" s="135">
        <v>0.1</v>
      </c>
      <c r="P47" s="135">
        <v>0</v>
      </c>
      <c r="Q47" s="135">
        <v>0</v>
      </c>
      <c r="R47" s="135">
        <v>6.3</v>
      </c>
      <c r="S47" s="135">
        <v>6.3</v>
      </c>
      <c r="T47" s="135">
        <v>0</v>
      </c>
    </row>
    <row r="48" spans="1:20" x14ac:dyDescent="0.3">
      <c r="A48" s="135">
        <v>47</v>
      </c>
      <c r="B48" s="135" t="s">
        <v>149</v>
      </c>
      <c r="C48" s="135" t="s">
        <v>1237</v>
      </c>
      <c r="D48" s="135" t="s">
        <v>4</v>
      </c>
      <c r="E48" s="135">
        <v>1</v>
      </c>
      <c r="F48" s="135">
        <v>8.1</v>
      </c>
      <c r="G48" s="135">
        <v>37.5</v>
      </c>
      <c r="H48" s="135">
        <v>0.2</v>
      </c>
      <c r="I48" s="135">
        <v>0.8</v>
      </c>
      <c r="J48" s="135">
        <v>0.7</v>
      </c>
      <c r="K48" s="135">
        <v>4.7</v>
      </c>
      <c r="L48" s="135">
        <v>0</v>
      </c>
      <c r="M48" s="135">
        <v>0</v>
      </c>
      <c r="N48" s="135">
        <v>0</v>
      </c>
      <c r="O48" s="135">
        <v>0.1</v>
      </c>
      <c r="P48" s="135">
        <v>0.1</v>
      </c>
      <c r="Q48" s="135">
        <v>0</v>
      </c>
      <c r="R48" s="135">
        <v>6.3</v>
      </c>
      <c r="S48" s="135">
        <v>6.3</v>
      </c>
      <c r="T48" s="135">
        <v>0</v>
      </c>
    </row>
    <row r="49" spans="1:20" x14ac:dyDescent="0.3">
      <c r="A49" s="135">
        <v>48</v>
      </c>
      <c r="B49" s="135" t="s">
        <v>152</v>
      </c>
      <c r="C49" s="135" t="s">
        <v>404</v>
      </c>
      <c r="D49" s="135" t="s">
        <v>407</v>
      </c>
      <c r="E49" s="135">
        <v>1</v>
      </c>
      <c r="F49" s="135">
        <v>1.2</v>
      </c>
      <c r="G49" s="135">
        <v>5.5</v>
      </c>
      <c r="H49" s="135">
        <v>0</v>
      </c>
      <c r="I49" s="135">
        <v>2.4</v>
      </c>
      <c r="J49" s="135">
        <v>1.8</v>
      </c>
      <c r="K49" s="135">
        <v>22.6</v>
      </c>
      <c r="L49" s="135">
        <v>0.1</v>
      </c>
      <c r="M49" s="135">
        <v>0</v>
      </c>
      <c r="N49" s="135">
        <v>0</v>
      </c>
      <c r="O49" s="135">
        <v>0</v>
      </c>
      <c r="P49" s="135">
        <v>0</v>
      </c>
      <c r="Q49" s="135">
        <v>0</v>
      </c>
      <c r="R49" s="135">
        <v>5.5</v>
      </c>
      <c r="S49" s="135">
        <v>5.5</v>
      </c>
      <c r="T49" s="135">
        <v>0</v>
      </c>
    </row>
    <row r="50" spans="1:20" x14ac:dyDescent="0.3">
      <c r="A50" s="135">
        <v>49</v>
      </c>
      <c r="B50" s="135" t="s">
        <v>138</v>
      </c>
      <c r="C50" s="135" t="s">
        <v>22</v>
      </c>
      <c r="D50" s="135" t="s">
        <v>50</v>
      </c>
      <c r="E50" s="135">
        <v>1</v>
      </c>
      <c r="F50" s="135">
        <v>3.9</v>
      </c>
      <c r="G50" s="135">
        <v>17.600000000000001</v>
      </c>
      <c r="H50" s="135">
        <v>0.1</v>
      </c>
      <c r="I50" s="135">
        <v>1.9</v>
      </c>
      <c r="J50" s="135">
        <v>1.5</v>
      </c>
      <c r="K50" s="135">
        <v>12.5</v>
      </c>
      <c r="L50" s="135">
        <v>0.1</v>
      </c>
      <c r="M50" s="135">
        <v>0</v>
      </c>
      <c r="N50" s="135">
        <v>0</v>
      </c>
      <c r="O50" s="135">
        <v>0</v>
      </c>
      <c r="P50" s="135">
        <v>0</v>
      </c>
      <c r="Q50" s="135">
        <v>0</v>
      </c>
      <c r="R50" s="135">
        <v>5.5</v>
      </c>
      <c r="S50" s="135">
        <v>5.5</v>
      </c>
      <c r="T50" s="135">
        <v>0</v>
      </c>
    </row>
    <row r="51" spans="1:20" x14ac:dyDescent="0.3">
      <c r="A51" s="135">
        <v>50</v>
      </c>
      <c r="B51" s="135" t="s">
        <v>151</v>
      </c>
      <c r="C51" s="135" t="s">
        <v>409</v>
      </c>
      <c r="D51" s="135" t="s">
        <v>1236</v>
      </c>
      <c r="E51" s="135">
        <v>1</v>
      </c>
      <c r="F51" s="135">
        <v>2.5</v>
      </c>
      <c r="G51" s="135">
        <v>10.6</v>
      </c>
      <c r="H51" s="135">
        <v>0.1</v>
      </c>
      <c r="I51" s="135">
        <v>2.2999999999999998</v>
      </c>
      <c r="J51" s="135">
        <v>1.9</v>
      </c>
      <c r="K51" s="135">
        <v>16.399999999999999</v>
      </c>
      <c r="L51" s="135">
        <v>0</v>
      </c>
      <c r="M51" s="135">
        <v>54.8</v>
      </c>
      <c r="N51" s="135">
        <v>0</v>
      </c>
      <c r="O51" s="135">
        <v>0.1</v>
      </c>
      <c r="P51" s="135">
        <v>0</v>
      </c>
      <c r="Q51" s="135">
        <v>0</v>
      </c>
      <c r="R51" s="135">
        <v>5.4</v>
      </c>
      <c r="S51" s="135">
        <v>5.4</v>
      </c>
      <c r="T51" s="135">
        <v>0</v>
      </c>
    </row>
    <row r="52" spans="1:20" x14ac:dyDescent="0.3">
      <c r="A52" s="135">
        <v>51</v>
      </c>
      <c r="B52" s="135" t="s">
        <v>125</v>
      </c>
      <c r="C52" s="135" t="s">
        <v>397</v>
      </c>
      <c r="D52" s="135" t="s">
        <v>20</v>
      </c>
      <c r="E52" s="135">
        <v>1</v>
      </c>
      <c r="F52" s="135">
        <v>5</v>
      </c>
      <c r="G52" s="135">
        <v>23</v>
      </c>
      <c r="H52" s="135">
        <v>0.2</v>
      </c>
      <c r="I52" s="135">
        <v>1.2</v>
      </c>
      <c r="J52" s="135">
        <v>1.2</v>
      </c>
      <c r="K52" s="135">
        <v>8.6</v>
      </c>
      <c r="L52" s="135">
        <v>0</v>
      </c>
      <c r="M52" s="135">
        <v>0</v>
      </c>
      <c r="N52" s="135">
        <v>0</v>
      </c>
      <c r="O52" s="135">
        <v>0.1</v>
      </c>
      <c r="P52" s="135">
        <v>0</v>
      </c>
      <c r="Q52" s="135">
        <v>0</v>
      </c>
      <c r="R52" s="135">
        <v>5.4</v>
      </c>
      <c r="S52" s="135">
        <v>5.4</v>
      </c>
      <c r="T52" s="135">
        <v>0</v>
      </c>
    </row>
    <row r="53" spans="1:20" x14ac:dyDescent="0.3">
      <c r="A53" s="135">
        <v>52</v>
      </c>
      <c r="B53" s="135" t="s">
        <v>88</v>
      </c>
      <c r="C53" s="135" t="s">
        <v>20</v>
      </c>
      <c r="D53" s="135" t="s">
        <v>397</v>
      </c>
      <c r="E53" s="135">
        <v>1</v>
      </c>
      <c r="F53" s="135">
        <v>4.4000000000000004</v>
      </c>
      <c r="G53" s="135">
        <v>22.3</v>
      </c>
      <c r="H53" s="135">
        <v>0.1</v>
      </c>
      <c r="I53" s="135">
        <v>1.4</v>
      </c>
      <c r="J53" s="135">
        <v>1.1000000000000001</v>
      </c>
      <c r="K53" s="135">
        <v>9</v>
      </c>
      <c r="L53" s="135">
        <v>0</v>
      </c>
      <c r="M53" s="135">
        <v>0</v>
      </c>
      <c r="N53" s="135">
        <v>0</v>
      </c>
      <c r="O53" s="135">
        <v>0</v>
      </c>
      <c r="P53" s="135">
        <v>0</v>
      </c>
      <c r="Q53" s="135">
        <v>0</v>
      </c>
      <c r="R53" s="135">
        <v>5.3</v>
      </c>
      <c r="S53" s="135">
        <v>5.3</v>
      </c>
      <c r="T53" s="135">
        <v>0</v>
      </c>
    </row>
    <row r="54" spans="1:20" x14ac:dyDescent="0.3">
      <c r="A54" s="135">
        <v>53</v>
      </c>
      <c r="B54" s="135" t="s">
        <v>181</v>
      </c>
      <c r="C54" s="135" t="s">
        <v>37</v>
      </c>
      <c r="D54" s="135" t="s">
        <v>41</v>
      </c>
      <c r="E54" s="135">
        <v>1</v>
      </c>
      <c r="F54" s="135">
        <v>1.9</v>
      </c>
      <c r="G54" s="135">
        <v>8.4</v>
      </c>
      <c r="H54" s="135">
        <v>0</v>
      </c>
      <c r="I54" s="135">
        <v>2.1</v>
      </c>
      <c r="J54" s="135">
        <v>2.1</v>
      </c>
      <c r="K54" s="135">
        <v>16.5</v>
      </c>
      <c r="L54" s="135">
        <v>0.1</v>
      </c>
      <c r="M54" s="135">
        <v>0</v>
      </c>
      <c r="N54" s="135">
        <v>0</v>
      </c>
      <c r="O54" s="135">
        <v>0</v>
      </c>
      <c r="P54" s="135">
        <v>0</v>
      </c>
      <c r="Q54" s="135">
        <v>0</v>
      </c>
      <c r="R54" s="135">
        <v>5.3</v>
      </c>
      <c r="S54" s="135">
        <v>5.3</v>
      </c>
      <c r="T54" s="135">
        <v>0</v>
      </c>
    </row>
    <row r="55" spans="1:20" x14ac:dyDescent="0.3">
      <c r="A55" s="135">
        <v>54</v>
      </c>
      <c r="B55" s="135" t="s">
        <v>117</v>
      </c>
      <c r="C55" s="135" t="s">
        <v>404</v>
      </c>
      <c r="D55" s="135" t="s">
        <v>407</v>
      </c>
      <c r="E55" s="135">
        <v>1</v>
      </c>
      <c r="F55" s="135">
        <v>5.0999999999999996</v>
      </c>
      <c r="G55" s="135">
        <v>26</v>
      </c>
      <c r="H55" s="135">
        <v>0.2</v>
      </c>
      <c r="I55" s="135">
        <v>0.7</v>
      </c>
      <c r="J55" s="135">
        <v>0.6</v>
      </c>
      <c r="K55" s="135">
        <v>7.5</v>
      </c>
      <c r="L55" s="135">
        <v>0</v>
      </c>
      <c r="M55" s="135">
        <v>0</v>
      </c>
      <c r="N55" s="135">
        <v>0</v>
      </c>
      <c r="O55" s="135">
        <v>0</v>
      </c>
      <c r="P55" s="135">
        <v>0</v>
      </c>
      <c r="Q55" s="135">
        <v>0</v>
      </c>
      <c r="R55" s="135">
        <v>5.2</v>
      </c>
      <c r="S55" s="135">
        <v>5.2</v>
      </c>
      <c r="T55" s="135">
        <v>0</v>
      </c>
    </row>
    <row r="56" spans="1:20" x14ac:dyDescent="0.3">
      <c r="A56" s="135">
        <v>55</v>
      </c>
      <c r="B56" s="135" t="s">
        <v>764</v>
      </c>
      <c r="C56" s="135" t="s">
        <v>70</v>
      </c>
      <c r="D56" s="135" t="s">
        <v>401</v>
      </c>
      <c r="E56" s="135">
        <v>1</v>
      </c>
      <c r="F56" s="135">
        <v>7</v>
      </c>
      <c r="G56" s="135">
        <v>27.6</v>
      </c>
      <c r="H56" s="135">
        <v>0.2</v>
      </c>
      <c r="I56" s="135">
        <v>0.9</v>
      </c>
      <c r="J56" s="135">
        <v>0.7</v>
      </c>
      <c r="K56" s="135">
        <v>5</v>
      </c>
      <c r="L56" s="135">
        <v>0</v>
      </c>
      <c r="M56" s="135">
        <v>0</v>
      </c>
      <c r="N56" s="135">
        <v>0</v>
      </c>
      <c r="O56" s="135">
        <v>0.1</v>
      </c>
      <c r="P56" s="135">
        <v>0.1</v>
      </c>
      <c r="Q56" s="135">
        <v>0</v>
      </c>
      <c r="R56" s="135">
        <v>5</v>
      </c>
      <c r="S56" s="135">
        <v>5</v>
      </c>
      <c r="T56" s="135">
        <v>0</v>
      </c>
    </row>
    <row r="57" spans="1:20" x14ac:dyDescent="0.3">
      <c r="A57" s="135">
        <v>56</v>
      </c>
      <c r="B57" s="135" t="s">
        <v>124</v>
      </c>
      <c r="C57" s="135" t="s">
        <v>34</v>
      </c>
      <c r="D57" s="135" t="s">
        <v>7</v>
      </c>
      <c r="E57" s="135">
        <v>1</v>
      </c>
      <c r="F57" s="135">
        <v>3.2</v>
      </c>
      <c r="G57" s="135">
        <v>13.7</v>
      </c>
      <c r="H57" s="135">
        <v>0.1</v>
      </c>
      <c r="I57" s="135">
        <v>2</v>
      </c>
      <c r="J57" s="135">
        <v>1.5</v>
      </c>
      <c r="K57" s="135">
        <v>13.4</v>
      </c>
      <c r="L57" s="135">
        <v>0.1</v>
      </c>
      <c r="M57" s="135">
        <v>0</v>
      </c>
      <c r="N57" s="135">
        <v>0</v>
      </c>
      <c r="O57" s="135">
        <v>0.1</v>
      </c>
      <c r="P57" s="135">
        <v>0</v>
      </c>
      <c r="Q57" s="135">
        <v>0</v>
      </c>
      <c r="R57" s="135">
        <v>4.9000000000000004</v>
      </c>
      <c r="S57" s="135">
        <v>4.9000000000000004</v>
      </c>
      <c r="T57" s="135">
        <v>0</v>
      </c>
    </row>
    <row r="58" spans="1:20" x14ac:dyDescent="0.3">
      <c r="A58" s="135">
        <v>57</v>
      </c>
      <c r="B58" s="135" t="s">
        <v>142</v>
      </c>
      <c r="C58" s="135" t="s">
        <v>1238</v>
      </c>
      <c r="D58" s="135" t="s">
        <v>30</v>
      </c>
      <c r="E58" s="135">
        <v>1</v>
      </c>
      <c r="F58" s="135">
        <v>4.0999999999999996</v>
      </c>
      <c r="G58" s="135">
        <v>19</v>
      </c>
      <c r="H58" s="135">
        <v>0.1</v>
      </c>
      <c r="I58" s="135">
        <v>1.2</v>
      </c>
      <c r="J58" s="135">
        <v>1</v>
      </c>
      <c r="K58" s="135">
        <v>8.1</v>
      </c>
      <c r="L58" s="135">
        <v>0</v>
      </c>
      <c r="M58" s="135">
        <v>0</v>
      </c>
      <c r="N58" s="135">
        <v>0</v>
      </c>
      <c r="O58" s="135">
        <v>0</v>
      </c>
      <c r="P58" s="135">
        <v>0</v>
      </c>
      <c r="Q58" s="135">
        <v>0</v>
      </c>
      <c r="R58" s="135">
        <v>4.5</v>
      </c>
      <c r="S58" s="135">
        <v>4.5</v>
      </c>
      <c r="T58" s="135">
        <v>0</v>
      </c>
    </row>
    <row r="59" spans="1:20" x14ac:dyDescent="0.3">
      <c r="A59" s="135">
        <v>58</v>
      </c>
      <c r="B59" s="135" t="s">
        <v>148</v>
      </c>
      <c r="C59" s="135" t="s">
        <v>52</v>
      </c>
      <c r="D59" s="135" t="s">
        <v>398</v>
      </c>
      <c r="E59" s="135">
        <v>1</v>
      </c>
      <c r="F59" s="135">
        <v>5.7</v>
      </c>
      <c r="G59" s="135">
        <v>24.1</v>
      </c>
      <c r="H59" s="135">
        <v>0.2</v>
      </c>
      <c r="I59" s="135">
        <v>0.6</v>
      </c>
      <c r="J59" s="135">
        <v>0.5</v>
      </c>
      <c r="K59" s="135">
        <v>3.5</v>
      </c>
      <c r="L59" s="135">
        <v>0</v>
      </c>
      <c r="M59" s="135">
        <v>0</v>
      </c>
      <c r="N59" s="135">
        <v>0</v>
      </c>
      <c r="O59" s="135">
        <v>0</v>
      </c>
      <c r="P59" s="135">
        <v>0</v>
      </c>
      <c r="Q59" s="135">
        <v>0</v>
      </c>
      <c r="R59" s="135">
        <v>4.2</v>
      </c>
      <c r="S59" s="135">
        <v>4.2</v>
      </c>
      <c r="T59" s="135">
        <v>0</v>
      </c>
    </row>
    <row r="60" spans="1:20" x14ac:dyDescent="0.3">
      <c r="A60" s="135">
        <v>59</v>
      </c>
      <c r="B60" s="135" t="s">
        <v>461</v>
      </c>
      <c r="C60" s="135" t="s">
        <v>4</v>
      </c>
      <c r="D60" s="135" t="s">
        <v>1237</v>
      </c>
      <c r="E60" s="135">
        <v>1</v>
      </c>
      <c r="F60" s="135">
        <v>4.5999999999999996</v>
      </c>
      <c r="G60" s="135">
        <v>19.5</v>
      </c>
      <c r="H60" s="135">
        <v>0.1</v>
      </c>
      <c r="I60" s="135">
        <v>1</v>
      </c>
      <c r="J60" s="135">
        <v>0.8</v>
      </c>
      <c r="K60" s="135">
        <v>6.8</v>
      </c>
      <c r="L60" s="135">
        <v>0</v>
      </c>
      <c r="M60" s="135">
        <v>0</v>
      </c>
      <c r="N60" s="135">
        <v>0</v>
      </c>
      <c r="O60" s="135">
        <v>0</v>
      </c>
      <c r="P60" s="135">
        <v>0</v>
      </c>
      <c r="Q60" s="135">
        <v>0</v>
      </c>
      <c r="R60" s="135">
        <v>4.2</v>
      </c>
      <c r="S60" s="135">
        <v>4.2</v>
      </c>
      <c r="T60" s="135">
        <v>0</v>
      </c>
    </row>
    <row r="61" spans="1:20" x14ac:dyDescent="0.3">
      <c r="A61" s="135">
        <v>60</v>
      </c>
      <c r="B61" s="135" t="s">
        <v>130</v>
      </c>
      <c r="C61" s="135" t="s">
        <v>1236</v>
      </c>
      <c r="D61" s="135" t="s">
        <v>409</v>
      </c>
      <c r="E61" s="135">
        <v>1</v>
      </c>
      <c r="F61" s="135">
        <v>3.3</v>
      </c>
      <c r="G61" s="135">
        <v>16</v>
      </c>
      <c r="H61" s="135">
        <v>0.1</v>
      </c>
      <c r="I61" s="135">
        <v>1</v>
      </c>
      <c r="J61" s="135">
        <v>0.9</v>
      </c>
      <c r="K61" s="135">
        <v>8.1</v>
      </c>
      <c r="L61" s="135">
        <v>0</v>
      </c>
      <c r="M61" s="135">
        <v>32.9</v>
      </c>
      <c r="N61" s="135">
        <v>0</v>
      </c>
      <c r="O61" s="135">
        <v>0.1</v>
      </c>
      <c r="P61" s="135">
        <v>0</v>
      </c>
      <c r="Q61" s="135">
        <v>0</v>
      </c>
      <c r="R61" s="135">
        <v>4</v>
      </c>
      <c r="S61" s="135">
        <v>4</v>
      </c>
      <c r="T61" s="135">
        <v>0</v>
      </c>
    </row>
    <row r="62" spans="1:20" x14ac:dyDescent="0.3">
      <c r="A62" s="135">
        <v>61</v>
      </c>
      <c r="B62" s="135" t="s">
        <v>512</v>
      </c>
      <c r="C62" s="135" t="s">
        <v>4</v>
      </c>
      <c r="D62" s="135" t="s">
        <v>1237</v>
      </c>
      <c r="E62" s="135">
        <v>1</v>
      </c>
      <c r="F62" s="135">
        <v>4.0999999999999996</v>
      </c>
      <c r="G62" s="135">
        <v>17.7</v>
      </c>
      <c r="H62" s="135">
        <v>0.1</v>
      </c>
      <c r="I62" s="135">
        <v>1</v>
      </c>
      <c r="J62" s="135">
        <v>0.8</v>
      </c>
      <c r="K62" s="135">
        <v>5.7</v>
      </c>
      <c r="L62" s="135">
        <v>0</v>
      </c>
      <c r="M62" s="135">
        <v>6.7</v>
      </c>
      <c r="N62" s="135">
        <v>0</v>
      </c>
      <c r="O62" s="135">
        <v>0</v>
      </c>
      <c r="P62" s="135">
        <v>0</v>
      </c>
      <c r="Q62" s="135">
        <v>0</v>
      </c>
      <c r="R62" s="135">
        <v>3.9</v>
      </c>
      <c r="S62" s="135">
        <v>3.9</v>
      </c>
      <c r="T62" s="135">
        <v>0</v>
      </c>
    </row>
    <row r="63" spans="1:20" x14ac:dyDescent="0.3">
      <c r="A63" s="135">
        <v>62</v>
      </c>
      <c r="B63" s="135" t="s">
        <v>502</v>
      </c>
      <c r="C63" s="135" t="s">
        <v>407</v>
      </c>
      <c r="D63" s="135" t="s">
        <v>404</v>
      </c>
      <c r="E63" s="135">
        <v>1</v>
      </c>
      <c r="F63" s="135">
        <v>5.0999999999999996</v>
      </c>
      <c r="G63" s="135">
        <v>27.5</v>
      </c>
      <c r="H63" s="135">
        <v>0.1</v>
      </c>
      <c r="I63" s="135">
        <v>0</v>
      </c>
      <c r="J63" s="135">
        <v>0</v>
      </c>
      <c r="K63" s="135">
        <v>0</v>
      </c>
      <c r="L63" s="135">
        <v>0</v>
      </c>
      <c r="M63" s="135">
        <v>0</v>
      </c>
      <c r="N63" s="135">
        <v>0</v>
      </c>
      <c r="O63" s="135">
        <v>0.1</v>
      </c>
      <c r="P63" s="135">
        <v>0</v>
      </c>
      <c r="Q63" s="135">
        <v>0</v>
      </c>
      <c r="R63" s="135">
        <v>3.6</v>
      </c>
      <c r="S63" s="135">
        <v>3.6</v>
      </c>
      <c r="T63" s="135">
        <v>0</v>
      </c>
    </row>
    <row r="64" spans="1:20" x14ac:dyDescent="0.3">
      <c r="A64" s="135">
        <v>63</v>
      </c>
      <c r="B64" s="135" t="s">
        <v>472</v>
      </c>
      <c r="C64" s="135" t="s">
        <v>7</v>
      </c>
      <c r="D64" s="135" t="s">
        <v>34</v>
      </c>
      <c r="E64" s="135">
        <v>1</v>
      </c>
      <c r="F64" s="135">
        <v>4.5999999999999996</v>
      </c>
      <c r="G64" s="135">
        <v>16.899999999999999</v>
      </c>
      <c r="H64" s="135">
        <v>0</v>
      </c>
      <c r="I64" s="135">
        <v>1.2</v>
      </c>
      <c r="J64" s="135">
        <v>0.9</v>
      </c>
      <c r="K64" s="135">
        <v>6</v>
      </c>
      <c r="L64" s="135">
        <v>0</v>
      </c>
      <c r="M64" s="135">
        <v>0</v>
      </c>
      <c r="N64" s="135">
        <v>0</v>
      </c>
      <c r="O64" s="135">
        <v>0.1</v>
      </c>
      <c r="P64" s="135">
        <v>0</v>
      </c>
      <c r="Q64" s="135">
        <v>0</v>
      </c>
      <c r="R64" s="135">
        <v>3.3</v>
      </c>
      <c r="S64" s="135">
        <v>3.3</v>
      </c>
      <c r="T64" s="135">
        <v>0</v>
      </c>
    </row>
    <row r="65" spans="1:20" x14ac:dyDescent="0.3">
      <c r="A65" s="135">
        <v>64</v>
      </c>
      <c r="B65" s="135" t="s">
        <v>466</v>
      </c>
      <c r="C65" s="135" t="s">
        <v>16</v>
      </c>
      <c r="D65" s="135" t="s">
        <v>12</v>
      </c>
      <c r="E65" s="135">
        <v>1</v>
      </c>
      <c r="F65" s="135">
        <v>2</v>
      </c>
      <c r="G65" s="135">
        <v>8</v>
      </c>
      <c r="H65" s="135">
        <v>0</v>
      </c>
      <c r="I65" s="135">
        <v>1.4</v>
      </c>
      <c r="J65" s="135">
        <v>1.1000000000000001</v>
      </c>
      <c r="K65" s="135">
        <v>7.8</v>
      </c>
      <c r="L65" s="135">
        <v>0.1</v>
      </c>
      <c r="M65" s="135">
        <v>0</v>
      </c>
      <c r="N65" s="135">
        <v>0</v>
      </c>
      <c r="O65" s="135">
        <v>0</v>
      </c>
      <c r="P65" s="135">
        <v>0</v>
      </c>
      <c r="Q65" s="135">
        <v>0</v>
      </c>
      <c r="R65" s="135">
        <v>3.2</v>
      </c>
      <c r="S65" s="135">
        <v>3.2</v>
      </c>
      <c r="T65" s="135">
        <v>0</v>
      </c>
    </row>
    <row r="66" spans="1:20" x14ac:dyDescent="0.3">
      <c r="A66" s="135">
        <v>65</v>
      </c>
      <c r="B66" s="135" t="s">
        <v>103</v>
      </c>
      <c r="C66" s="135" t="s">
        <v>1236</v>
      </c>
      <c r="D66" s="135" t="s">
        <v>409</v>
      </c>
      <c r="E66" s="135">
        <v>1</v>
      </c>
      <c r="F66" s="135">
        <v>4.4000000000000004</v>
      </c>
      <c r="G66" s="135">
        <v>20</v>
      </c>
      <c r="H66" s="135">
        <v>0.1</v>
      </c>
      <c r="I66" s="135">
        <v>0.3</v>
      </c>
      <c r="J66" s="135">
        <v>0.2</v>
      </c>
      <c r="K66" s="135">
        <v>1.2</v>
      </c>
      <c r="L66" s="135">
        <v>0</v>
      </c>
      <c r="M66" s="135">
        <v>0</v>
      </c>
      <c r="N66" s="135">
        <v>0</v>
      </c>
      <c r="O66" s="135">
        <v>0.1</v>
      </c>
      <c r="P66" s="135">
        <v>0</v>
      </c>
      <c r="Q66" s="135">
        <v>0</v>
      </c>
      <c r="R66" s="135">
        <v>3.1</v>
      </c>
      <c r="S66" s="135">
        <v>3.1</v>
      </c>
      <c r="T66" s="135">
        <v>0</v>
      </c>
    </row>
    <row r="67" spans="1:20" x14ac:dyDescent="0.3">
      <c r="A67" s="135">
        <v>66</v>
      </c>
      <c r="B67" s="135" t="s">
        <v>132</v>
      </c>
      <c r="C67" s="135" t="s">
        <v>407</v>
      </c>
      <c r="D67" s="135" t="s">
        <v>404</v>
      </c>
      <c r="E67" s="135">
        <v>1</v>
      </c>
      <c r="F67" s="135">
        <v>1.4</v>
      </c>
      <c r="G67" s="135">
        <v>8.1</v>
      </c>
      <c r="H67" s="135">
        <v>0</v>
      </c>
      <c r="I67" s="135">
        <v>1</v>
      </c>
      <c r="J67" s="135">
        <v>0.8</v>
      </c>
      <c r="K67" s="135">
        <v>8.3000000000000007</v>
      </c>
      <c r="L67" s="135">
        <v>0</v>
      </c>
      <c r="M67" s="135">
        <v>50.5</v>
      </c>
      <c r="N67" s="135">
        <v>0</v>
      </c>
      <c r="O67" s="135">
        <v>0</v>
      </c>
      <c r="P67" s="135">
        <v>0</v>
      </c>
      <c r="Q67" s="135">
        <v>0</v>
      </c>
      <c r="R67" s="135">
        <v>2.9</v>
      </c>
      <c r="S67" s="135">
        <v>2.9</v>
      </c>
      <c r="T67" s="135">
        <v>0</v>
      </c>
    </row>
    <row r="68" spans="1:20" x14ac:dyDescent="0.3">
      <c r="A68" s="135">
        <v>67</v>
      </c>
      <c r="B68" s="135" t="s">
        <v>171</v>
      </c>
      <c r="C68" s="135" t="s">
        <v>401</v>
      </c>
      <c r="D68" s="135" t="s">
        <v>70</v>
      </c>
      <c r="E68" s="135">
        <v>1</v>
      </c>
      <c r="F68" s="135">
        <v>6.7</v>
      </c>
      <c r="G68" s="135">
        <v>23</v>
      </c>
      <c r="H68" s="135">
        <v>0</v>
      </c>
      <c r="I68" s="135">
        <v>0.5</v>
      </c>
      <c r="J68" s="135">
        <v>0.2</v>
      </c>
      <c r="K68" s="135">
        <v>1.6</v>
      </c>
      <c r="L68" s="135">
        <v>0</v>
      </c>
      <c r="M68" s="135">
        <v>0</v>
      </c>
      <c r="N68" s="135">
        <v>0</v>
      </c>
      <c r="O68" s="135">
        <v>0.1</v>
      </c>
      <c r="P68" s="135">
        <v>0.1</v>
      </c>
      <c r="Q68" s="135">
        <v>0</v>
      </c>
      <c r="R68" s="135">
        <v>2.9</v>
      </c>
      <c r="S68" s="135">
        <v>2.9</v>
      </c>
      <c r="T68" s="135">
        <v>0</v>
      </c>
    </row>
    <row r="69" spans="1:20" x14ac:dyDescent="0.3">
      <c r="A69" s="135">
        <v>68</v>
      </c>
      <c r="B69" s="135" t="s">
        <v>460</v>
      </c>
      <c r="C69" s="135" t="s">
        <v>7</v>
      </c>
      <c r="D69" s="135" t="s">
        <v>34</v>
      </c>
      <c r="E69" s="135">
        <v>1</v>
      </c>
      <c r="F69" s="135">
        <v>2.6</v>
      </c>
      <c r="G69" s="135">
        <v>9.5</v>
      </c>
      <c r="H69" s="135">
        <v>0</v>
      </c>
      <c r="I69" s="135">
        <v>1.2</v>
      </c>
      <c r="J69" s="135">
        <v>0.9</v>
      </c>
      <c r="K69" s="135">
        <v>6</v>
      </c>
      <c r="L69" s="135">
        <v>0</v>
      </c>
      <c r="M69" s="135">
        <v>0</v>
      </c>
      <c r="N69" s="135">
        <v>0</v>
      </c>
      <c r="O69" s="135">
        <v>0</v>
      </c>
      <c r="P69" s="135">
        <v>0</v>
      </c>
      <c r="Q69" s="135">
        <v>0</v>
      </c>
      <c r="R69" s="135">
        <v>2.7</v>
      </c>
      <c r="S69" s="135">
        <v>2.7</v>
      </c>
      <c r="T69" s="135">
        <v>0</v>
      </c>
    </row>
    <row r="70" spans="1:20" x14ac:dyDescent="0.3">
      <c r="A70" s="135">
        <v>69</v>
      </c>
      <c r="B70" s="135" t="s">
        <v>97</v>
      </c>
      <c r="C70" s="135" t="s">
        <v>397</v>
      </c>
      <c r="D70" s="135" t="s">
        <v>20</v>
      </c>
      <c r="E70" s="135">
        <v>1</v>
      </c>
      <c r="F70" s="135">
        <v>3.2</v>
      </c>
      <c r="G70" s="135">
        <v>13</v>
      </c>
      <c r="H70" s="135">
        <v>0.1</v>
      </c>
      <c r="I70" s="135">
        <v>0.6</v>
      </c>
      <c r="J70" s="135">
        <v>0.4</v>
      </c>
      <c r="K70" s="135">
        <v>3.1</v>
      </c>
      <c r="L70" s="135">
        <v>0</v>
      </c>
      <c r="M70" s="135">
        <v>0</v>
      </c>
      <c r="N70" s="135">
        <v>0</v>
      </c>
      <c r="O70" s="135">
        <v>0</v>
      </c>
      <c r="P70" s="135">
        <v>0</v>
      </c>
      <c r="Q70" s="135">
        <v>0</v>
      </c>
      <c r="R70" s="135">
        <v>2.6</v>
      </c>
      <c r="S70" s="135">
        <v>2.6</v>
      </c>
      <c r="T70" s="135">
        <v>0</v>
      </c>
    </row>
    <row r="71" spans="1:20" x14ac:dyDescent="0.3">
      <c r="A71" s="135">
        <v>70</v>
      </c>
      <c r="B71" s="135" t="s">
        <v>118</v>
      </c>
      <c r="C71" s="135" t="s">
        <v>10</v>
      </c>
      <c r="D71" s="135" t="s">
        <v>402</v>
      </c>
      <c r="E71" s="135">
        <v>1</v>
      </c>
      <c r="F71" s="135">
        <v>2.4</v>
      </c>
      <c r="G71" s="135">
        <v>11.8</v>
      </c>
      <c r="H71" s="135">
        <v>0.1</v>
      </c>
      <c r="I71" s="135">
        <v>0.6</v>
      </c>
      <c r="J71" s="135">
        <v>0.5</v>
      </c>
      <c r="K71" s="135">
        <v>3.2</v>
      </c>
      <c r="L71" s="135">
        <v>0</v>
      </c>
      <c r="M71" s="135">
        <v>0</v>
      </c>
      <c r="N71" s="135">
        <v>0</v>
      </c>
      <c r="O71" s="135">
        <v>0</v>
      </c>
      <c r="P71" s="135">
        <v>0</v>
      </c>
      <c r="Q71" s="135">
        <v>0</v>
      </c>
      <c r="R71" s="135">
        <v>2.4</v>
      </c>
      <c r="S71" s="135">
        <v>2.4</v>
      </c>
      <c r="T71" s="135">
        <v>0</v>
      </c>
    </row>
    <row r="72" spans="1:20" x14ac:dyDescent="0.3">
      <c r="A72" s="135">
        <v>71</v>
      </c>
      <c r="B72" s="135" t="s">
        <v>165</v>
      </c>
      <c r="C72" s="135" t="s">
        <v>26</v>
      </c>
      <c r="D72" s="135" t="s">
        <v>46</v>
      </c>
      <c r="E72" s="135">
        <v>1</v>
      </c>
      <c r="F72" s="135">
        <v>2.2999999999999998</v>
      </c>
      <c r="G72" s="135">
        <v>10.5</v>
      </c>
      <c r="H72" s="135">
        <v>0.1</v>
      </c>
      <c r="I72" s="135">
        <v>0.6</v>
      </c>
      <c r="J72" s="135">
        <v>0.6</v>
      </c>
      <c r="K72" s="135">
        <v>4.0999999999999996</v>
      </c>
      <c r="L72" s="135">
        <v>0</v>
      </c>
      <c r="M72" s="135">
        <v>0</v>
      </c>
      <c r="N72" s="135">
        <v>0</v>
      </c>
      <c r="O72" s="135">
        <v>0</v>
      </c>
      <c r="P72" s="135">
        <v>0</v>
      </c>
      <c r="Q72" s="135">
        <v>0</v>
      </c>
      <c r="R72" s="135">
        <v>2.4</v>
      </c>
      <c r="S72" s="135">
        <v>2.4</v>
      </c>
      <c r="T72" s="135">
        <v>0</v>
      </c>
    </row>
    <row r="73" spans="1:20" x14ac:dyDescent="0.3">
      <c r="A73" s="135">
        <v>72</v>
      </c>
      <c r="B73" s="135" t="s">
        <v>168</v>
      </c>
      <c r="C73" s="135" t="s">
        <v>404</v>
      </c>
      <c r="D73" s="135" t="s">
        <v>407</v>
      </c>
      <c r="E73" s="135">
        <v>1</v>
      </c>
      <c r="F73" s="135">
        <v>1.2</v>
      </c>
      <c r="G73" s="135">
        <v>5.8</v>
      </c>
      <c r="H73" s="135">
        <v>0</v>
      </c>
      <c r="I73" s="135">
        <v>1</v>
      </c>
      <c r="J73" s="135">
        <v>0.7</v>
      </c>
      <c r="K73" s="135">
        <v>5.0999999999999996</v>
      </c>
      <c r="L73" s="135">
        <v>0</v>
      </c>
      <c r="M73" s="135">
        <v>0</v>
      </c>
      <c r="N73" s="135">
        <v>0</v>
      </c>
      <c r="O73" s="135">
        <v>0</v>
      </c>
      <c r="P73" s="135">
        <v>0</v>
      </c>
      <c r="Q73" s="135">
        <v>0</v>
      </c>
      <c r="R73" s="135">
        <v>2.2000000000000002</v>
      </c>
      <c r="S73" s="135">
        <v>2.2000000000000002</v>
      </c>
      <c r="T73" s="135">
        <v>0</v>
      </c>
    </row>
    <row r="74" spans="1:20" x14ac:dyDescent="0.3">
      <c r="A74" s="135">
        <v>73</v>
      </c>
      <c r="B74" s="135" t="s">
        <v>156</v>
      </c>
      <c r="C74" s="135" t="s">
        <v>16</v>
      </c>
      <c r="D74" s="135" t="s">
        <v>12</v>
      </c>
      <c r="E74" s="135">
        <v>1</v>
      </c>
      <c r="F74" s="135">
        <v>3.3</v>
      </c>
      <c r="G74" s="135">
        <v>13.3</v>
      </c>
      <c r="H74" s="135">
        <v>0.1</v>
      </c>
      <c r="I74" s="135">
        <v>0.3</v>
      </c>
      <c r="J74" s="135">
        <v>0.3</v>
      </c>
      <c r="K74" s="135">
        <v>1.8</v>
      </c>
      <c r="L74" s="135">
        <v>0</v>
      </c>
      <c r="M74" s="135">
        <v>0</v>
      </c>
      <c r="N74" s="135">
        <v>0</v>
      </c>
      <c r="O74" s="135">
        <v>0</v>
      </c>
      <c r="P74" s="135">
        <v>0</v>
      </c>
      <c r="Q74" s="135">
        <v>0</v>
      </c>
      <c r="R74" s="135">
        <v>2.2000000000000002</v>
      </c>
      <c r="S74" s="135">
        <v>2.2000000000000002</v>
      </c>
      <c r="T74" s="135">
        <v>0</v>
      </c>
    </row>
    <row r="75" spans="1:20" x14ac:dyDescent="0.3">
      <c r="A75" s="135">
        <v>74</v>
      </c>
      <c r="B75" s="135" t="s">
        <v>1245</v>
      </c>
      <c r="C75" s="135" t="s">
        <v>18</v>
      </c>
      <c r="D75" s="135" t="s">
        <v>1239</v>
      </c>
      <c r="E75" s="135">
        <v>1</v>
      </c>
      <c r="F75" s="135">
        <v>2.6</v>
      </c>
      <c r="G75" s="135">
        <v>12.7</v>
      </c>
      <c r="H75" s="135">
        <v>0.1</v>
      </c>
      <c r="I75" s="135">
        <v>0.3</v>
      </c>
      <c r="J75" s="135">
        <v>0.2</v>
      </c>
      <c r="K75" s="135">
        <v>1.7</v>
      </c>
      <c r="L75" s="135">
        <v>0</v>
      </c>
      <c r="M75" s="135">
        <v>0</v>
      </c>
      <c r="N75" s="135">
        <v>0</v>
      </c>
      <c r="O75" s="135">
        <v>0</v>
      </c>
      <c r="P75" s="135">
        <v>0</v>
      </c>
      <c r="Q75" s="135">
        <v>0</v>
      </c>
      <c r="R75" s="135">
        <v>2.1</v>
      </c>
      <c r="S75" s="135">
        <v>2.1</v>
      </c>
      <c r="T75" s="135">
        <v>0</v>
      </c>
    </row>
    <row r="76" spans="1:20" x14ac:dyDescent="0.3">
      <c r="A76" s="135">
        <v>75</v>
      </c>
      <c r="B76" s="135" t="s">
        <v>508</v>
      </c>
      <c r="C76" s="135" t="s">
        <v>402</v>
      </c>
      <c r="D76" s="135" t="s">
        <v>10</v>
      </c>
      <c r="E76" s="135">
        <v>1</v>
      </c>
      <c r="F76" s="135">
        <v>0.7</v>
      </c>
      <c r="G76" s="135">
        <v>3.2</v>
      </c>
      <c r="H76" s="135">
        <v>0</v>
      </c>
      <c r="I76" s="135">
        <v>1.1000000000000001</v>
      </c>
      <c r="J76" s="135">
        <v>0.9</v>
      </c>
      <c r="K76" s="135">
        <v>5.3</v>
      </c>
      <c r="L76" s="135">
        <v>0</v>
      </c>
      <c r="M76" s="135">
        <v>0</v>
      </c>
      <c r="N76" s="135">
        <v>0</v>
      </c>
      <c r="O76" s="135">
        <v>0</v>
      </c>
      <c r="P76" s="135">
        <v>0</v>
      </c>
      <c r="Q76" s="135">
        <v>0</v>
      </c>
      <c r="R76" s="135">
        <v>1.9</v>
      </c>
      <c r="S76" s="135">
        <v>1.9</v>
      </c>
      <c r="T76" s="135">
        <v>0</v>
      </c>
    </row>
    <row r="77" spans="1:20" x14ac:dyDescent="0.3">
      <c r="A77" s="135">
        <v>76</v>
      </c>
      <c r="B77" s="135" t="s">
        <v>513</v>
      </c>
      <c r="C77" s="135" t="s">
        <v>10</v>
      </c>
      <c r="D77" s="135" t="s">
        <v>402</v>
      </c>
      <c r="E77" s="135">
        <v>1</v>
      </c>
      <c r="F77" s="135">
        <v>2</v>
      </c>
      <c r="G77" s="135">
        <v>8</v>
      </c>
      <c r="H77" s="135">
        <v>0.1</v>
      </c>
      <c r="I77" s="135">
        <v>0.6</v>
      </c>
      <c r="J77" s="135">
        <v>0.4</v>
      </c>
      <c r="K77" s="135">
        <v>2.9</v>
      </c>
      <c r="L77" s="135">
        <v>0</v>
      </c>
      <c r="M77" s="135">
        <v>0</v>
      </c>
      <c r="N77" s="135">
        <v>0</v>
      </c>
      <c r="O77" s="135">
        <v>0</v>
      </c>
      <c r="P77" s="135">
        <v>0</v>
      </c>
      <c r="Q77" s="135">
        <v>0</v>
      </c>
      <c r="R77" s="135">
        <v>1.9</v>
      </c>
      <c r="S77" s="135">
        <v>1.9</v>
      </c>
      <c r="T77" s="135">
        <v>0</v>
      </c>
    </row>
    <row r="78" spans="1:20" x14ac:dyDescent="0.3">
      <c r="A78" s="135">
        <v>77</v>
      </c>
      <c r="B78" s="135" t="s">
        <v>155</v>
      </c>
      <c r="C78" s="135" t="s">
        <v>1237</v>
      </c>
      <c r="D78" s="135" t="s">
        <v>4</v>
      </c>
      <c r="E78" s="135">
        <v>1</v>
      </c>
      <c r="F78" s="135">
        <v>0</v>
      </c>
      <c r="G78" s="135">
        <v>0</v>
      </c>
      <c r="H78" s="135">
        <v>0</v>
      </c>
      <c r="I78" s="135">
        <v>1.1000000000000001</v>
      </c>
      <c r="J78" s="135">
        <v>0.9</v>
      </c>
      <c r="K78" s="135">
        <v>8</v>
      </c>
      <c r="L78" s="135">
        <v>0</v>
      </c>
      <c r="M78" s="135">
        <v>0</v>
      </c>
      <c r="N78" s="135">
        <v>0</v>
      </c>
      <c r="O78" s="135">
        <v>0</v>
      </c>
      <c r="P78" s="135">
        <v>0</v>
      </c>
      <c r="Q78" s="135">
        <v>0</v>
      </c>
      <c r="R78" s="135">
        <v>1.8</v>
      </c>
      <c r="S78" s="135">
        <v>1.8</v>
      </c>
      <c r="T78" s="135">
        <v>0</v>
      </c>
    </row>
    <row r="79" spans="1:20" x14ac:dyDescent="0.3">
      <c r="A79" s="135">
        <v>78</v>
      </c>
      <c r="B79" s="135" t="s">
        <v>108</v>
      </c>
      <c r="C79" s="135" t="s">
        <v>1238</v>
      </c>
      <c r="D79" s="135" t="s">
        <v>30</v>
      </c>
      <c r="E79" s="135">
        <v>1</v>
      </c>
      <c r="F79" s="135">
        <v>2.2000000000000002</v>
      </c>
      <c r="G79" s="135">
        <v>9.3000000000000007</v>
      </c>
      <c r="H79" s="135">
        <v>0.1</v>
      </c>
      <c r="I79" s="135">
        <v>0.3</v>
      </c>
      <c r="J79" s="135">
        <v>0.3</v>
      </c>
      <c r="K79" s="135">
        <v>2.1</v>
      </c>
      <c r="L79" s="135">
        <v>0</v>
      </c>
      <c r="M79" s="135">
        <v>0</v>
      </c>
      <c r="N79" s="135">
        <v>0</v>
      </c>
      <c r="O79" s="135">
        <v>0</v>
      </c>
      <c r="P79" s="135">
        <v>0</v>
      </c>
      <c r="Q79" s="135">
        <v>0</v>
      </c>
      <c r="R79" s="135">
        <v>1.7</v>
      </c>
      <c r="S79" s="135">
        <v>1.7</v>
      </c>
      <c r="T79" s="135">
        <v>0</v>
      </c>
    </row>
    <row r="80" spans="1:20" x14ac:dyDescent="0.3">
      <c r="A80" s="135">
        <v>79</v>
      </c>
      <c r="B80" s="135" t="s">
        <v>186</v>
      </c>
      <c r="C80" s="135" t="s">
        <v>57</v>
      </c>
      <c r="D80" s="135" t="s">
        <v>28</v>
      </c>
      <c r="E80" s="135">
        <v>1</v>
      </c>
      <c r="F80" s="135">
        <v>2.7</v>
      </c>
      <c r="G80" s="135">
        <v>10</v>
      </c>
      <c r="H80" s="135">
        <v>0.1</v>
      </c>
      <c r="I80" s="135">
        <v>0</v>
      </c>
      <c r="J80" s="135">
        <v>0</v>
      </c>
      <c r="K80" s="135">
        <v>0</v>
      </c>
      <c r="L80" s="135">
        <v>0</v>
      </c>
      <c r="M80" s="135">
        <v>0</v>
      </c>
      <c r="N80" s="135">
        <v>0</v>
      </c>
      <c r="O80" s="135">
        <v>0</v>
      </c>
      <c r="P80" s="135">
        <v>0</v>
      </c>
      <c r="Q80" s="135">
        <v>0</v>
      </c>
      <c r="R80" s="135">
        <v>1.6</v>
      </c>
      <c r="S80" s="135">
        <v>1.6</v>
      </c>
      <c r="T80" s="135">
        <v>0</v>
      </c>
    </row>
    <row r="81" spans="1:20" x14ac:dyDescent="0.3">
      <c r="A81" s="135">
        <v>80</v>
      </c>
      <c r="B81" s="135" t="s">
        <v>159</v>
      </c>
      <c r="C81" s="135" t="s">
        <v>20</v>
      </c>
      <c r="D81" s="135" t="s">
        <v>397</v>
      </c>
      <c r="E81" s="135">
        <v>1</v>
      </c>
      <c r="F81" s="135">
        <v>1</v>
      </c>
      <c r="G81" s="135">
        <v>4.2</v>
      </c>
      <c r="H81" s="135">
        <v>0</v>
      </c>
      <c r="I81" s="135">
        <v>0.5</v>
      </c>
      <c r="J81" s="135">
        <v>0.4</v>
      </c>
      <c r="K81" s="135">
        <v>2.6</v>
      </c>
      <c r="L81" s="135">
        <v>0</v>
      </c>
      <c r="M81" s="135">
        <v>51.1</v>
      </c>
      <c r="N81" s="135">
        <v>0</v>
      </c>
      <c r="O81" s="135">
        <v>0</v>
      </c>
      <c r="P81" s="135">
        <v>0</v>
      </c>
      <c r="Q81" s="135">
        <v>0</v>
      </c>
      <c r="R81" s="135">
        <v>1.4</v>
      </c>
      <c r="S81" s="135">
        <v>1.4</v>
      </c>
      <c r="T81" s="135">
        <v>0</v>
      </c>
    </row>
    <row r="82" spans="1:20" x14ac:dyDescent="0.3">
      <c r="A82" s="135">
        <v>81</v>
      </c>
      <c r="B82" s="135" t="s">
        <v>1246</v>
      </c>
      <c r="C82" s="135" t="s">
        <v>409</v>
      </c>
      <c r="D82" s="135" t="s">
        <v>1236</v>
      </c>
      <c r="E82" s="135">
        <v>1</v>
      </c>
      <c r="F82" s="135">
        <v>1.2</v>
      </c>
      <c r="G82" s="135">
        <v>5.5</v>
      </c>
      <c r="H82" s="135">
        <v>0</v>
      </c>
      <c r="I82" s="135">
        <v>0.3</v>
      </c>
      <c r="J82" s="135">
        <v>0.3</v>
      </c>
      <c r="K82" s="135">
        <v>2.4</v>
      </c>
      <c r="L82" s="135">
        <v>0</v>
      </c>
      <c r="M82" s="135">
        <v>0</v>
      </c>
      <c r="N82" s="135">
        <v>0</v>
      </c>
      <c r="O82" s="135">
        <v>0</v>
      </c>
      <c r="P82" s="135">
        <v>0</v>
      </c>
      <c r="Q82" s="135">
        <v>0</v>
      </c>
      <c r="R82" s="135">
        <v>1.3</v>
      </c>
      <c r="S82" s="135">
        <v>1.3</v>
      </c>
      <c r="T82" s="135">
        <v>0</v>
      </c>
    </row>
    <row r="83" spans="1:20" x14ac:dyDescent="0.3">
      <c r="A83" s="135">
        <v>82</v>
      </c>
      <c r="B83" s="135" t="s">
        <v>1247</v>
      </c>
      <c r="C83" s="135" t="s">
        <v>398</v>
      </c>
      <c r="D83" s="135" t="s">
        <v>52</v>
      </c>
      <c r="E83" s="135">
        <v>1</v>
      </c>
      <c r="F83" s="135">
        <v>1.7</v>
      </c>
      <c r="G83" s="135">
        <v>6.6</v>
      </c>
      <c r="H83" s="135">
        <v>0</v>
      </c>
      <c r="I83" s="135">
        <v>0.3</v>
      </c>
      <c r="J83" s="135">
        <v>0.2</v>
      </c>
      <c r="K83" s="135">
        <v>1.2</v>
      </c>
      <c r="L83" s="135">
        <v>0</v>
      </c>
      <c r="M83" s="135">
        <v>0</v>
      </c>
      <c r="N83" s="135">
        <v>0</v>
      </c>
      <c r="O83" s="135">
        <v>0</v>
      </c>
      <c r="P83" s="135">
        <v>0</v>
      </c>
      <c r="Q83" s="135">
        <v>0</v>
      </c>
      <c r="R83" s="135">
        <v>1.2</v>
      </c>
      <c r="S83" s="135">
        <v>1.2</v>
      </c>
      <c r="T83" s="135">
        <v>0</v>
      </c>
    </row>
    <row r="84" spans="1:20" x14ac:dyDescent="0.3">
      <c r="A84" s="135">
        <v>83</v>
      </c>
      <c r="B84" s="135" t="s">
        <v>2564</v>
      </c>
      <c r="C84" s="135" t="s">
        <v>41</v>
      </c>
      <c r="D84" s="135" t="s">
        <v>37</v>
      </c>
      <c r="E84" s="135">
        <v>1</v>
      </c>
      <c r="F84" s="135">
        <v>1.2</v>
      </c>
      <c r="G84" s="135">
        <v>6.1</v>
      </c>
      <c r="H84" s="135">
        <v>0</v>
      </c>
      <c r="I84" s="135">
        <v>0.3</v>
      </c>
      <c r="J84" s="135">
        <v>0.2</v>
      </c>
      <c r="K84" s="135">
        <v>1.6</v>
      </c>
      <c r="L84" s="135">
        <v>0</v>
      </c>
      <c r="M84" s="135">
        <v>0</v>
      </c>
      <c r="N84" s="135">
        <v>0</v>
      </c>
      <c r="O84" s="135">
        <v>0</v>
      </c>
      <c r="P84" s="135">
        <v>0</v>
      </c>
      <c r="Q84" s="135">
        <v>0</v>
      </c>
      <c r="R84" s="135">
        <v>1.2</v>
      </c>
      <c r="S84" s="135">
        <v>1.2</v>
      </c>
      <c r="T84" s="135">
        <v>0</v>
      </c>
    </row>
    <row r="85" spans="1:20" x14ac:dyDescent="0.3">
      <c r="A85" s="135">
        <v>84</v>
      </c>
      <c r="B85" s="135" t="s">
        <v>133</v>
      </c>
      <c r="C85" s="135" t="s">
        <v>12</v>
      </c>
      <c r="D85" s="135" t="s">
        <v>16</v>
      </c>
      <c r="E85" s="135">
        <v>1</v>
      </c>
      <c r="F85" s="135">
        <v>1</v>
      </c>
      <c r="G85" s="135">
        <v>4.8</v>
      </c>
      <c r="H85" s="135">
        <v>0</v>
      </c>
      <c r="I85" s="135">
        <v>0.3</v>
      </c>
      <c r="J85" s="135">
        <v>0.2</v>
      </c>
      <c r="K85" s="135">
        <v>2.1</v>
      </c>
      <c r="L85" s="135">
        <v>0</v>
      </c>
      <c r="M85" s="135">
        <v>0</v>
      </c>
      <c r="N85" s="135">
        <v>0</v>
      </c>
      <c r="O85" s="135">
        <v>0</v>
      </c>
      <c r="P85" s="135">
        <v>0</v>
      </c>
      <c r="Q85" s="135">
        <v>0</v>
      </c>
      <c r="R85" s="135">
        <v>1.1000000000000001</v>
      </c>
      <c r="S85" s="135">
        <v>1.1000000000000001</v>
      </c>
      <c r="T85" s="135">
        <v>0</v>
      </c>
    </row>
    <row r="86" spans="1:20" x14ac:dyDescent="0.3">
      <c r="A86" s="135">
        <v>85</v>
      </c>
      <c r="B86" s="135" t="s">
        <v>154</v>
      </c>
      <c r="C86" s="135" t="s">
        <v>4</v>
      </c>
      <c r="D86" s="135" t="s">
        <v>1237</v>
      </c>
      <c r="E86" s="135">
        <v>1</v>
      </c>
      <c r="F86" s="135">
        <v>0.8</v>
      </c>
      <c r="G86" s="135">
        <v>3.7</v>
      </c>
      <c r="H86" s="135">
        <v>0</v>
      </c>
      <c r="I86" s="135">
        <v>0.3</v>
      </c>
      <c r="J86" s="135">
        <v>0.3</v>
      </c>
      <c r="K86" s="135">
        <v>3</v>
      </c>
      <c r="L86" s="135">
        <v>0</v>
      </c>
      <c r="M86" s="135">
        <v>0</v>
      </c>
      <c r="N86" s="135">
        <v>0</v>
      </c>
      <c r="O86" s="135">
        <v>0</v>
      </c>
      <c r="P86" s="135">
        <v>0</v>
      </c>
      <c r="Q86" s="135">
        <v>0</v>
      </c>
      <c r="R86" s="135">
        <v>1</v>
      </c>
      <c r="S86" s="135">
        <v>1</v>
      </c>
      <c r="T86" s="135">
        <v>0</v>
      </c>
    </row>
    <row r="87" spans="1:20" x14ac:dyDescent="0.3">
      <c r="A87" s="135">
        <v>86</v>
      </c>
      <c r="B87" s="135" t="s">
        <v>492</v>
      </c>
      <c r="C87" s="135" t="s">
        <v>1238</v>
      </c>
      <c r="D87" s="135" t="s">
        <v>30</v>
      </c>
      <c r="E87" s="135">
        <v>1</v>
      </c>
      <c r="F87" s="135">
        <v>0.6</v>
      </c>
      <c r="G87" s="135">
        <v>2.4</v>
      </c>
      <c r="H87" s="135">
        <v>0</v>
      </c>
      <c r="I87" s="135">
        <v>0.3</v>
      </c>
      <c r="J87" s="135">
        <v>0.2</v>
      </c>
      <c r="K87" s="135">
        <v>1.7</v>
      </c>
      <c r="L87" s="135">
        <v>0</v>
      </c>
      <c r="M87" s="135">
        <v>47</v>
      </c>
      <c r="N87" s="135">
        <v>0</v>
      </c>
      <c r="O87" s="135">
        <v>0</v>
      </c>
      <c r="P87" s="135">
        <v>0</v>
      </c>
      <c r="Q87" s="135">
        <v>0</v>
      </c>
      <c r="R87" s="135">
        <v>0.9</v>
      </c>
      <c r="S87" s="135">
        <v>0.9</v>
      </c>
      <c r="T87" s="135">
        <v>0</v>
      </c>
    </row>
    <row r="88" spans="1:20" x14ac:dyDescent="0.3">
      <c r="A88" s="135">
        <v>87</v>
      </c>
      <c r="B88" s="135" t="s">
        <v>470</v>
      </c>
      <c r="C88" s="135" t="s">
        <v>37</v>
      </c>
      <c r="D88" s="135" t="s">
        <v>41</v>
      </c>
      <c r="E88" s="135">
        <v>1</v>
      </c>
      <c r="F88" s="135">
        <v>0.7</v>
      </c>
      <c r="G88" s="135">
        <v>3.1</v>
      </c>
      <c r="H88" s="135">
        <v>0</v>
      </c>
      <c r="I88" s="135">
        <v>0.4</v>
      </c>
      <c r="J88" s="135">
        <v>0.3</v>
      </c>
      <c r="K88" s="135">
        <v>1.9</v>
      </c>
      <c r="L88" s="135">
        <v>0</v>
      </c>
      <c r="M88" s="135">
        <v>0</v>
      </c>
      <c r="N88" s="135">
        <v>0</v>
      </c>
      <c r="O88" s="135">
        <v>0</v>
      </c>
      <c r="P88" s="135">
        <v>0</v>
      </c>
      <c r="Q88" s="135">
        <v>0</v>
      </c>
      <c r="R88" s="135">
        <v>0.9</v>
      </c>
      <c r="S88" s="135">
        <v>0.9</v>
      </c>
      <c r="T88" s="135">
        <v>0</v>
      </c>
    </row>
    <row r="89" spans="1:20" x14ac:dyDescent="0.3">
      <c r="A89" s="135">
        <v>88</v>
      </c>
      <c r="B89" s="135" t="s">
        <v>1555</v>
      </c>
      <c r="C89" s="135" t="s">
        <v>20</v>
      </c>
      <c r="D89" s="135" t="s">
        <v>397</v>
      </c>
      <c r="E89" s="135">
        <v>1</v>
      </c>
      <c r="F89" s="135">
        <v>0.4</v>
      </c>
      <c r="G89" s="135">
        <v>1.8</v>
      </c>
      <c r="H89" s="135">
        <v>0</v>
      </c>
      <c r="I89" s="135">
        <v>0.5</v>
      </c>
      <c r="J89" s="135">
        <v>0.4</v>
      </c>
      <c r="K89" s="135">
        <v>2.6</v>
      </c>
      <c r="L89" s="135">
        <v>0</v>
      </c>
      <c r="M89" s="135">
        <v>0</v>
      </c>
      <c r="N89" s="135">
        <v>0</v>
      </c>
      <c r="O89" s="135">
        <v>0</v>
      </c>
      <c r="P89" s="135">
        <v>0</v>
      </c>
      <c r="Q89" s="135">
        <v>0</v>
      </c>
      <c r="R89" s="135">
        <v>0.9</v>
      </c>
      <c r="S89" s="135">
        <v>0.9</v>
      </c>
      <c r="T89" s="135">
        <v>0</v>
      </c>
    </row>
    <row r="90" spans="1:20" x14ac:dyDescent="0.3">
      <c r="A90" s="135">
        <v>89</v>
      </c>
      <c r="B90" s="135" t="s">
        <v>2467</v>
      </c>
      <c r="C90" s="135" t="s">
        <v>1239</v>
      </c>
      <c r="D90" s="135" t="s">
        <v>18</v>
      </c>
      <c r="E90" s="135">
        <v>1</v>
      </c>
      <c r="F90" s="135">
        <v>1.2</v>
      </c>
      <c r="G90" s="135">
        <v>6</v>
      </c>
      <c r="H90" s="135">
        <v>0</v>
      </c>
      <c r="I90" s="135">
        <v>0</v>
      </c>
      <c r="J90" s="135">
        <v>0</v>
      </c>
      <c r="K90" s="135">
        <v>0</v>
      </c>
      <c r="L90" s="135">
        <v>0</v>
      </c>
      <c r="M90" s="135">
        <v>0</v>
      </c>
      <c r="N90" s="135">
        <v>0</v>
      </c>
      <c r="O90" s="135">
        <v>0</v>
      </c>
      <c r="P90" s="135">
        <v>0</v>
      </c>
      <c r="Q90" s="135">
        <v>0</v>
      </c>
      <c r="R90" s="135">
        <v>0.8</v>
      </c>
      <c r="S90" s="135">
        <v>0.8</v>
      </c>
      <c r="T90" s="135">
        <v>0</v>
      </c>
    </row>
    <row r="91" spans="1:20" x14ac:dyDescent="0.3">
      <c r="A91" s="135">
        <v>90</v>
      </c>
      <c r="B91" s="135" t="s">
        <v>163</v>
      </c>
      <c r="C91" s="135" t="s">
        <v>41</v>
      </c>
      <c r="D91" s="135" t="s">
        <v>37</v>
      </c>
      <c r="E91" s="135">
        <v>1</v>
      </c>
      <c r="F91" s="135">
        <v>0.5</v>
      </c>
      <c r="G91" s="135">
        <v>2</v>
      </c>
      <c r="H91" s="135">
        <v>0</v>
      </c>
      <c r="I91" s="135">
        <v>0.3</v>
      </c>
      <c r="J91" s="135">
        <v>0.2</v>
      </c>
      <c r="K91" s="135">
        <v>2.6</v>
      </c>
      <c r="L91" s="135">
        <v>0</v>
      </c>
      <c r="M91" s="135">
        <v>0</v>
      </c>
      <c r="N91" s="135">
        <v>0</v>
      </c>
      <c r="O91" s="135">
        <v>0</v>
      </c>
      <c r="P91" s="135">
        <v>0</v>
      </c>
      <c r="Q91" s="135">
        <v>0</v>
      </c>
      <c r="R91" s="135">
        <v>0.8</v>
      </c>
      <c r="S91" s="135">
        <v>0.8</v>
      </c>
      <c r="T91" s="135">
        <v>0</v>
      </c>
    </row>
    <row r="92" spans="1:20" x14ac:dyDescent="0.3">
      <c r="A92" s="135">
        <v>91</v>
      </c>
      <c r="B92" s="135" t="s">
        <v>157</v>
      </c>
      <c r="C92" s="135" t="s">
        <v>397</v>
      </c>
      <c r="D92" s="135" t="s">
        <v>20</v>
      </c>
      <c r="E92" s="135">
        <v>1</v>
      </c>
      <c r="F92" s="135">
        <v>0.2</v>
      </c>
      <c r="G92" s="135">
        <v>0.8</v>
      </c>
      <c r="H92" s="135">
        <v>0</v>
      </c>
      <c r="I92" s="135">
        <v>0.3</v>
      </c>
      <c r="J92" s="135">
        <v>0.2</v>
      </c>
      <c r="K92" s="135">
        <v>1.5</v>
      </c>
      <c r="L92" s="135">
        <v>0</v>
      </c>
      <c r="M92" s="135">
        <v>65.599999999999994</v>
      </c>
      <c r="N92" s="135">
        <v>0</v>
      </c>
      <c r="O92" s="135">
        <v>0</v>
      </c>
      <c r="P92" s="135">
        <v>0</v>
      </c>
      <c r="Q92" s="135">
        <v>0</v>
      </c>
      <c r="R92" s="135">
        <v>0.8</v>
      </c>
      <c r="S92" s="135">
        <v>0.8</v>
      </c>
      <c r="T92" s="135">
        <v>0</v>
      </c>
    </row>
    <row r="93" spans="1:20" x14ac:dyDescent="0.3">
      <c r="A93" s="135">
        <v>92</v>
      </c>
      <c r="B93" s="135" t="s">
        <v>400</v>
      </c>
      <c r="C93" s="135" t="s">
        <v>10</v>
      </c>
      <c r="D93" s="135" t="s">
        <v>402</v>
      </c>
      <c r="E93" s="135">
        <v>1</v>
      </c>
      <c r="F93" s="135">
        <v>0.5</v>
      </c>
      <c r="G93" s="135">
        <v>2</v>
      </c>
      <c r="H93" s="135">
        <v>0</v>
      </c>
      <c r="I93" s="135">
        <v>0.3</v>
      </c>
      <c r="J93" s="135">
        <v>0.2</v>
      </c>
      <c r="K93" s="135">
        <v>1.5</v>
      </c>
      <c r="L93" s="135">
        <v>0</v>
      </c>
      <c r="M93" s="135">
        <v>34.700000000000003</v>
      </c>
      <c r="N93" s="135">
        <v>0</v>
      </c>
      <c r="O93" s="135">
        <v>0</v>
      </c>
      <c r="P93" s="135">
        <v>0</v>
      </c>
      <c r="Q93" s="135">
        <v>0</v>
      </c>
      <c r="R93" s="135">
        <v>0.7</v>
      </c>
      <c r="S93" s="135">
        <v>0.7</v>
      </c>
      <c r="T93" s="135">
        <v>0</v>
      </c>
    </row>
    <row r="94" spans="1:20" x14ac:dyDescent="0.3">
      <c r="A94" s="135">
        <v>93</v>
      </c>
      <c r="B94" s="135" t="s">
        <v>1523</v>
      </c>
      <c r="C94" s="135" t="s">
        <v>70</v>
      </c>
      <c r="D94" s="135" t="s">
        <v>401</v>
      </c>
      <c r="E94" s="135">
        <v>1</v>
      </c>
      <c r="F94" s="135">
        <v>0.6</v>
      </c>
      <c r="G94" s="135">
        <v>2.2000000000000002</v>
      </c>
      <c r="H94" s="135">
        <v>0</v>
      </c>
      <c r="I94" s="135">
        <v>0.3</v>
      </c>
      <c r="J94" s="135">
        <v>0.2</v>
      </c>
      <c r="K94" s="135">
        <v>1.7</v>
      </c>
      <c r="L94" s="135">
        <v>0</v>
      </c>
      <c r="M94" s="135">
        <v>0</v>
      </c>
      <c r="N94" s="135">
        <v>0</v>
      </c>
      <c r="O94" s="135">
        <v>0</v>
      </c>
      <c r="P94" s="135">
        <v>0</v>
      </c>
      <c r="Q94" s="135">
        <v>0</v>
      </c>
      <c r="R94" s="135">
        <v>0.7</v>
      </c>
      <c r="S94" s="135">
        <v>0.7</v>
      </c>
      <c r="T94" s="135">
        <v>0</v>
      </c>
    </row>
    <row r="95" spans="1:20" x14ac:dyDescent="0.3">
      <c r="A95" s="135">
        <v>94</v>
      </c>
      <c r="B95" s="135" t="s">
        <v>169</v>
      </c>
      <c r="C95" s="135" t="s">
        <v>50</v>
      </c>
      <c r="D95" s="135" t="s">
        <v>22</v>
      </c>
      <c r="E95" s="135">
        <v>1</v>
      </c>
      <c r="F95" s="135">
        <v>0.2</v>
      </c>
      <c r="G95" s="135">
        <v>0.8</v>
      </c>
      <c r="H95" s="135">
        <v>0</v>
      </c>
      <c r="I95" s="135">
        <v>0.4</v>
      </c>
      <c r="J95" s="135">
        <v>0.3</v>
      </c>
      <c r="K95" s="135">
        <v>2.2000000000000002</v>
      </c>
      <c r="L95" s="135">
        <v>0</v>
      </c>
      <c r="M95" s="135">
        <v>0</v>
      </c>
      <c r="N95" s="135">
        <v>0</v>
      </c>
      <c r="O95" s="135">
        <v>0</v>
      </c>
      <c r="P95" s="135">
        <v>0</v>
      </c>
      <c r="Q95" s="135">
        <v>0</v>
      </c>
      <c r="R95" s="135">
        <v>0.6</v>
      </c>
      <c r="S95" s="135">
        <v>0.6</v>
      </c>
      <c r="T95" s="135">
        <v>0</v>
      </c>
    </row>
    <row r="96" spans="1:20" x14ac:dyDescent="0.3">
      <c r="A96" s="135">
        <v>95</v>
      </c>
      <c r="B96" s="135" t="s">
        <v>496</v>
      </c>
      <c r="C96" s="135" t="s">
        <v>407</v>
      </c>
      <c r="D96" s="135" t="s">
        <v>404</v>
      </c>
      <c r="E96" s="135">
        <v>1</v>
      </c>
      <c r="F96" s="135">
        <v>0</v>
      </c>
      <c r="G96" s="135">
        <v>0</v>
      </c>
      <c r="H96" s="135">
        <v>0</v>
      </c>
      <c r="I96" s="135">
        <v>0.4</v>
      </c>
      <c r="J96" s="135">
        <v>0.3</v>
      </c>
      <c r="K96" s="135">
        <v>2.7</v>
      </c>
      <c r="L96" s="135">
        <v>0</v>
      </c>
      <c r="M96" s="135">
        <v>0</v>
      </c>
      <c r="N96" s="135">
        <v>0</v>
      </c>
      <c r="O96" s="135">
        <v>0</v>
      </c>
      <c r="P96" s="135">
        <v>0</v>
      </c>
      <c r="Q96" s="135">
        <v>0</v>
      </c>
      <c r="R96" s="135">
        <v>0.6</v>
      </c>
      <c r="S96" s="135">
        <v>0.6</v>
      </c>
      <c r="T96" s="135">
        <v>0</v>
      </c>
    </row>
    <row r="97" spans="1:20" x14ac:dyDescent="0.3">
      <c r="A97" s="135">
        <v>96</v>
      </c>
      <c r="B97" s="135" t="s">
        <v>1741</v>
      </c>
      <c r="C97" s="135" t="s">
        <v>34</v>
      </c>
      <c r="D97" s="135" t="s">
        <v>7</v>
      </c>
      <c r="E97" s="135">
        <v>1</v>
      </c>
      <c r="F97" s="135">
        <v>1.1000000000000001</v>
      </c>
      <c r="G97" s="135">
        <v>3.5</v>
      </c>
      <c r="H97" s="135">
        <v>0</v>
      </c>
      <c r="I97" s="135">
        <v>0</v>
      </c>
      <c r="J97" s="135">
        <v>0</v>
      </c>
      <c r="K97" s="135">
        <v>0</v>
      </c>
      <c r="L97" s="135">
        <v>0</v>
      </c>
      <c r="M97" s="135">
        <v>11.6</v>
      </c>
      <c r="N97" s="135">
        <v>0</v>
      </c>
      <c r="O97" s="135">
        <v>0</v>
      </c>
      <c r="P97" s="135">
        <v>0</v>
      </c>
      <c r="Q97" s="135">
        <v>0</v>
      </c>
      <c r="R97" s="135">
        <v>0.6</v>
      </c>
      <c r="S97" s="135">
        <v>0.6</v>
      </c>
      <c r="T97" s="135">
        <v>0</v>
      </c>
    </row>
    <row r="98" spans="1:20" x14ac:dyDescent="0.3">
      <c r="A98" s="135">
        <v>97</v>
      </c>
      <c r="B98" s="135" t="s">
        <v>175</v>
      </c>
      <c r="C98" s="135" t="s">
        <v>1236</v>
      </c>
      <c r="D98" s="135" t="s">
        <v>409</v>
      </c>
      <c r="E98" s="135">
        <v>1</v>
      </c>
      <c r="F98" s="135">
        <v>0.3</v>
      </c>
      <c r="G98" s="135">
        <v>1.2</v>
      </c>
      <c r="H98" s="135">
        <v>0</v>
      </c>
      <c r="I98" s="135">
        <v>0.3</v>
      </c>
      <c r="J98" s="135">
        <v>0.2</v>
      </c>
      <c r="K98" s="135">
        <v>1.4</v>
      </c>
      <c r="L98" s="135">
        <v>0</v>
      </c>
      <c r="M98" s="135">
        <v>0</v>
      </c>
      <c r="N98" s="135">
        <v>0</v>
      </c>
      <c r="O98" s="135">
        <v>0</v>
      </c>
      <c r="P98" s="135">
        <v>0</v>
      </c>
      <c r="Q98" s="135">
        <v>0</v>
      </c>
      <c r="R98" s="135">
        <v>0.5</v>
      </c>
      <c r="S98" s="135">
        <v>0.5</v>
      </c>
      <c r="T98" s="135">
        <v>0</v>
      </c>
    </row>
    <row r="99" spans="1:20" x14ac:dyDescent="0.3">
      <c r="A99" s="135">
        <v>98</v>
      </c>
      <c r="B99" s="135" t="s">
        <v>525</v>
      </c>
      <c r="C99" s="135" t="s">
        <v>401</v>
      </c>
      <c r="D99" s="135" t="s">
        <v>70</v>
      </c>
      <c r="E99" s="135">
        <v>1</v>
      </c>
      <c r="F99" s="135">
        <v>1.2</v>
      </c>
      <c r="G99" s="135">
        <v>4.3</v>
      </c>
      <c r="H99" s="135">
        <v>0</v>
      </c>
      <c r="I99" s="135">
        <v>0</v>
      </c>
      <c r="J99" s="135">
        <v>0</v>
      </c>
      <c r="K99" s="135">
        <v>0</v>
      </c>
      <c r="L99" s="135">
        <v>0</v>
      </c>
      <c r="M99" s="135">
        <v>0</v>
      </c>
      <c r="N99" s="135">
        <v>0</v>
      </c>
      <c r="O99" s="135">
        <v>0</v>
      </c>
      <c r="P99" s="135">
        <v>0</v>
      </c>
      <c r="Q99" s="135">
        <v>0</v>
      </c>
      <c r="R99" s="135">
        <v>0.5</v>
      </c>
      <c r="S99" s="135">
        <v>0.5</v>
      </c>
      <c r="T99" s="135">
        <v>0</v>
      </c>
    </row>
    <row r="100" spans="1:20" x14ac:dyDescent="0.3">
      <c r="A100" s="135">
        <v>99</v>
      </c>
      <c r="B100" s="135" t="s">
        <v>167</v>
      </c>
      <c r="C100" s="135" t="s">
        <v>57</v>
      </c>
      <c r="D100" s="135" t="s">
        <v>28</v>
      </c>
      <c r="E100" s="135">
        <v>1</v>
      </c>
      <c r="F100" s="135">
        <v>0.4</v>
      </c>
      <c r="G100" s="135">
        <v>2</v>
      </c>
      <c r="H100" s="135">
        <v>0</v>
      </c>
      <c r="I100" s="135">
        <v>0</v>
      </c>
      <c r="J100" s="135">
        <v>0</v>
      </c>
      <c r="K100" s="135">
        <v>0</v>
      </c>
      <c r="L100" s="135">
        <v>0</v>
      </c>
      <c r="M100" s="135">
        <v>39</v>
      </c>
      <c r="N100" s="135">
        <v>0</v>
      </c>
      <c r="O100" s="135">
        <v>0</v>
      </c>
      <c r="P100" s="135">
        <v>0</v>
      </c>
      <c r="Q100" s="135">
        <v>0</v>
      </c>
      <c r="R100" s="135">
        <v>0.4</v>
      </c>
      <c r="S100" s="135">
        <v>0.4</v>
      </c>
      <c r="T100" s="135">
        <v>0</v>
      </c>
    </row>
    <row r="101" spans="1:20" x14ac:dyDescent="0.3">
      <c r="A101" s="135">
        <v>100</v>
      </c>
      <c r="B101" s="135" t="s">
        <v>406</v>
      </c>
      <c r="C101" s="135" t="s">
        <v>1239</v>
      </c>
      <c r="D101" s="135" t="s">
        <v>18</v>
      </c>
      <c r="E101" s="135">
        <v>1</v>
      </c>
      <c r="F101" s="135">
        <v>0</v>
      </c>
      <c r="G101" s="135">
        <v>0</v>
      </c>
      <c r="H101" s="135">
        <v>0</v>
      </c>
      <c r="I101" s="135">
        <v>0.3</v>
      </c>
      <c r="J101" s="135">
        <v>0.2</v>
      </c>
      <c r="K101" s="135">
        <v>1.6</v>
      </c>
      <c r="L101" s="135">
        <v>0</v>
      </c>
      <c r="M101" s="135">
        <v>0</v>
      </c>
      <c r="N101" s="135">
        <v>0</v>
      </c>
      <c r="O101" s="135">
        <v>0</v>
      </c>
      <c r="P101" s="135">
        <v>0</v>
      </c>
      <c r="Q101" s="135">
        <v>0</v>
      </c>
      <c r="R101" s="135">
        <v>0.4</v>
      </c>
      <c r="S101" s="135">
        <v>0.4</v>
      </c>
      <c r="T101" s="135">
        <v>0</v>
      </c>
    </row>
    <row r="102" spans="1:20" x14ac:dyDescent="0.3">
      <c r="A102" s="135">
        <v>101</v>
      </c>
      <c r="B102" s="135" t="s">
        <v>112</v>
      </c>
      <c r="C102" s="135" t="s">
        <v>30</v>
      </c>
      <c r="D102" s="135" t="s">
        <v>1238</v>
      </c>
      <c r="E102" s="135">
        <v>1</v>
      </c>
      <c r="F102" s="135">
        <v>0</v>
      </c>
      <c r="G102" s="135">
        <v>0</v>
      </c>
      <c r="H102" s="135">
        <v>0</v>
      </c>
      <c r="I102" s="135">
        <v>0.3</v>
      </c>
      <c r="J102" s="135">
        <v>0.2</v>
      </c>
      <c r="K102" s="135">
        <v>1.6</v>
      </c>
      <c r="L102" s="135">
        <v>0</v>
      </c>
      <c r="M102" s="135">
        <v>0</v>
      </c>
      <c r="N102" s="135">
        <v>0</v>
      </c>
      <c r="O102" s="135">
        <v>0</v>
      </c>
      <c r="P102" s="135">
        <v>0</v>
      </c>
      <c r="Q102" s="135">
        <v>0</v>
      </c>
      <c r="R102" s="135">
        <v>0.4</v>
      </c>
      <c r="S102" s="135">
        <v>0.4</v>
      </c>
      <c r="T102" s="135">
        <v>0</v>
      </c>
    </row>
    <row r="103" spans="1:20" x14ac:dyDescent="0.3">
      <c r="A103" s="135">
        <v>102</v>
      </c>
      <c r="B103" s="135" t="s">
        <v>177</v>
      </c>
      <c r="C103" s="135" t="s">
        <v>12</v>
      </c>
      <c r="D103" s="135" t="s">
        <v>16</v>
      </c>
      <c r="E103" s="135">
        <v>1</v>
      </c>
      <c r="F103" s="135">
        <v>0.5</v>
      </c>
      <c r="G103" s="135">
        <v>2.2999999999999998</v>
      </c>
      <c r="H103" s="135">
        <v>0</v>
      </c>
      <c r="I103" s="135">
        <v>0</v>
      </c>
      <c r="J103" s="135">
        <v>0</v>
      </c>
      <c r="K103" s="135">
        <v>0</v>
      </c>
      <c r="L103" s="135">
        <v>0</v>
      </c>
      <c r="M103" s="135">
        <v>11.2</v>
      </c>
      <c r="N103" s="135">
        <v>0</v>
      </c>
      <c r="O103" s="135">
        <v>0</v>
      </c>
      <c r="P103" s="135">
        <v>0</v>
      </c>
      <c r="Q103" s="135">
        <v>0</v>
      </c>
      <c r="R103" s="135">
        <v>0.3</v>
      </c>
      <c r="S103" s="135">
        <v>0.3</v>
      </c>
      <c r="T103" s="135">
        <v>0</v>
      </c>
    </row>
    <row r="104" spans="1:20" x14ac:dyDescent="0.3">
      <c r="A104" s="135">
        <v>103</v>
      </c>
      <c r="B104" s="135" t="s">
        <v>1556</v>
      </c>
      <c r="C104" s="135" t="s">
        <v>70</v>
      </c>
      <c r="D104" s="135" t="s">
        <v>401</v>
      </c>
      <c r="E104" s="135">
        <v>1</v>
      </c>
      <c r="F104" s="135">
        <v>0.6</v>
      </c>
      <c r="G104" s="135">
        <v>2.2000000000000002</v>
      </c>
      <c r="H104" s="135">
        <v>0</v>
      </c>
      <c r="I104" s="135">
        <v>0</v>
      </c>
      <c r="J104" s="135">
        <v>0</v>
      </c>
      <c r="K104" s="135">
        <v>0</v>
      </c>
      <c r="L104" s="135">
        <v>0</v>
      </c>
      <c r="M104" s="135">
        <v>0</v>
      </c>
      <c r="N104" s="135">
        <v>0</v>
      </c>
      <c r="O104" s="135">
        <v>0</v>
      </c>
      <c r="P104" s="135">
        <v>0</v>
      </c>
      <c r="Q104" s="135">
        <v>0</v>
      </c>
      <c r="R104" s="135">
        <v>0.3</v>
      </c>
      <c r="S104" s="135">
        <v>0.3</v>
      </c>
      <c r="T104" s="135">
        <v>0</v>
      </c>
    </row>
    <row r="105" spans="1:20" x14ac:dyDescent="0.3">
      <c r="A105" s="135">
        <v>104</v>
      </c>
      <c r="B105" s="135" t="s">
        <v>185</v>
      </c>
      <c r="C105" s="135" t="s">
        <v>404</v>
      </c>
      <c r="D105" s="135" t="s">
        <v>407</v>
      </c>
      <c r="E105" s="135">
        <v>1</v>
      </c>
      <c r="F105" s="135">
        <v>0</v>
      </c>
      <c r="G105" s="135">
        <v>0</v>
      </c>
      <c r="H105" s="135">
        <v>0</v>
      </c>
      <c r="I105" s="135">
        <v>0</v>
      </c>
      <c r="J105" s="135">
        <v>0</v>
      </c>
      <c r="K105" s="135">
        <v>0</v>
      </c>
      <c r="L105" s="135">
        <v>0</v>
      </c>
      <c r="M105" s="135">
        <v>62.3</v>
      </c>
      <c r="N105" s="135">
        <v>0</v>
      </c>
      <c r="O105" s="135">
        <v>0</v>
      </c>
      <c r="P105" s="135">
        <v>0</v>
      </c>
      <c r="Q105" s="135">
        <v>0</v>
      </c>
      <c r="R105" s="135">
        <v>0.3</v>
      </c>
      <c r="S105" s="135">
        <v>0.3</v>
      </c>
      <c r="T105" s="135">
        <v>0</v>
      </c>
    </row>
    <row r="106" spans="1:20" x14ac:dyDescent="0.3">
      <c r="A106" s="135">
        <v>105</v>
      </c>
      <c r="B106" s="135" t="s">
        <v>178</v>
      </c>
      <c r="C106" s="135" t="s">
        <v>1238</v>
      </c>
      <c r="D106" s="135" t="s">
        <v>30</v>
      </c>
      <c r="E106" s="135">
        <v>1</v>
      </c>
      <c r="F106" s="135">
        <v>0.3</v>
      </c>
      <c r="G106" s="135">
        <v>1.3</v>
      </c>
      <c r="H106" s="135">
        <v>0</v>
      </c>
      <c r="I106" s="135">
        <v>0</v>
      </c>
      <c r="J106" s="135">
        <v>0</v>
      </c>
      <c r="K106" s="135">
        <v>0</v>
      </c>
      <c r="L106" s="135">
        <v>0</v>
      </c>
      <c r="M106" s="135">
        <v>0</v>
      </c>
      <c r="N106" s="135">
        <v>0</v>
      </c>
      <c r="O106" s="135">
        <v>0</v>
      </c>
      <c r="P106" s="135">
        <v>0</v>
      </c>
      <c r="Q106" s="135">
        <v>0</v>
      </c>
      <c r="R106" s="135">
        <v>0.2</v>
      </c>
      <c r="S106" s="135">
        <v>0.2</v>
      </c>
      <c r="T106" s="135">
        <v>0</v>
      </c>
    </row>
    <row r="107" spans="1:20" x14ac:dyDescent="0.3">
      <c r="A107" s="135">
        <v>106</v>
      </c>
      <c r="B107" s="135" t="s">
        <v>174</v>
      </c>
      <c r="C107" s="135" t="s">
        <v>28</v>
      </c>
      <c r="D107" s="135" t="s">
        <v>57</v>
      </c>
      <c r="E107" s="135">
        <v>1</v>
      </c>
      <c r="F107" s="135">
        <v>0.3</v>
      </c>
      <c r="G107" s="135">
        <v>1.1000000000000001</v>
      </c>
      <c r="H107" s="135">
        <v>0</v>
      </c>
      <c r="I107" s="135">
        <v>0</v>
      </c>
      <c r="J107" s="135">
        <v>0</v>
      </c>
      <c r="K107" s="135">
        <v>0</v>
      </c>
      <c r="L107" s="135">
        <v>0</v>
      </c>
      <c r="M107" s="135">
        <v>0</v>
      </c>
      <c r="N107" s="135">
        <v>0</v>
      </c>
      <c r="O107" s="135">
        <v>0</v>
      </c>
      <c r="P107" s="135">
        <v>0</v>
      </c>
      <c r="Q107" s="135">
        <v>0</v>
      </c>
      <c r="R107" s="135">
        <v>0.1</v>
      </c>
      <c r="S107" s="135">
        <v>0.1</v>
      </c>
      <c r="T107" s="135">
        <v>0</v>
      </c>
    </row>
    <row r="108" spans="1:20" x14ac:dyDescent="0.3">
      <c r="A108" s="135">
        <v>107</v>
      </c>
      <c r="B108" s="135" t="s">
        <v>166</v>
      </c>
      <c r="C108" s="135" t="s">
        <v>4</v>
      </c>
      <c r="D108" s="135" t="s">
        <v>1237</v>
      </c>
      <c r="E108" s="135">
        <v>1</v>
      </c>
      <c r="F108" s="135">
        <v>0</v>
      </c>
      <c r="G108" s="135">
        <v>0</v>
      </c>
      <c r="H108" s="135">
        <v>0</v>
      </c>
      <c r="I108" s="135">
        <v>0</v>
      </c>
      <c r="J108" s="135">
        <v>0</v>
      </c>
      <c r="K108" s="135">
        <v>0</v>
      </c>
      <c r="L108" s="135">
        <v>0</v>
      </c>
      <c r="M108" s="135">
        <v>12.3</v>
      </c>
      <c r="N108" s="135">
        <v>0</v>
      </c>
      <c r="O108" s="135">
        <v>0</v>
      </c>
      <c r="P108" s="135">
        <v>0</v>
      </c>
      <c r="Q108" s="135">
        <v>0</v>
      </c>
      <c r="R108" s="135">
        <v>0</v>
      </c>
      <c r="S108" s="135">
        <v>0</v>
      </c>
      <c r="T108" s="135">
        <v>0</v>
      </c>
    </row>
    <row r="109" spans="1:20" x14ac:dyDescent="0.3">
      <c r="A109" s="135">
        <v>108</v>
      </c>
      <c r="B109" s="135" t="s">
        <v>142</v>
      </c>
      <c r="C109" s="135" t="s">
        <v>1238</v>
      </c>
      <c r="D109" s="135" t="s">
        <v>397</v>
      </c>
      <c r="E109" s="135">
        <v>1</v>
      </c>
      <c r="F109" s="135">
        <v>0.5</v>
      </c>
      <c r="G109" s="135">
        <v>2.2000000000000002</v>
      </c>
      <c r="H109" s="135">
        <v>0</v>
      </c>
      <c r="I109" s="135">
        <v>0.3</v>
      </c>
      <c r="J109" s="135">
        <v>0.3</v>
      </c>
      <c r="K109" s="135">
        <v>1.9</v>
      </c>
      <c r="L109" s="135">
        <v>0</v>
      </c>
      <c r="M109" s="135">
        <v>0</v>
      </c>
      <c r="N109" s="135">
        <v>0</v>
      </c>
      <c r="O109" s="135">
        <v>0</v>
      </c>
      <c r="P109" s="135">
        <v>0</v>
      </c>
      <c r="Q109" s="135">
        <v>0</v>
      </c>
      <c r="R109" s="135">
        <v>0.7</v>
      </c>
      <c r="S109" s="135">
        <v>0.7</v>
      </c>
      <c r="T109" s="135">
        <v>0</v>
      </c>
    </row>
    <row r="110" spans="1:20" x14ac:dyDescent="0.3">
      <c r="A110" s="135">
        <v>109</v>
      </c>
      <c r="B110" s="135" t="s">
        <v>176</v>
      </c>
      <c r="C110" s="135" t="s">
        <v>26</v>
      </c>
      <c r="D110" s="135" t="s">
        <v>30</v>
      </c>
      <c r="E110" s="135">
        <v>1</v>
      </c>
      <c r="F110" s="135">
        <v>0.2</v>
      </c>
      <c r="G110" s="135">
        <v>0.7</v>
      </c>
      <c r="H110" s="135">
        <v>0</v>
      </c>
      <c r="I110" s="135">
        <v>0.3</v>
      </c>
      <c r="J110" s="135">
        <v>0.3</v>
      </c>
      <c r="K110" s="135">
        <v>2.6</v>
      </c>
      <c r="L110" s="135">
        <v>0</v>
      </c>
      <c r="M110" s="135">
        <v>0</v>
      </c>
      <c r="N110" s="135">
        <v>0</v>
      </c>
      <c r="O110" s="135">
        <v>0</v>
      </c>
      <c r="P110" s="135">
        <v>0</v>
      </c>
      <c r="Q110" s="135">
        <v>0</v>
      </c>
      <c r="R110" s="135">
        <v>0.7</v>
      </c>
      <c r="S110" s="135">
        <v>0.7</v>
      </c>
      <c r="T110" s="135">
        <v>0</v>
      </c>
    </row>
    <row r="111" spans="1:20" x14ac:dyDescent="0.3">
      <c r="A111" s="135">
        <v>110</v>
      </c>
      <c r="B111" s="135" t="s">
        <v>157</v>
      </c>
      <c r="C111" s="135" t="s">
        <v>397</v>
      </c>
      <c r="D111" s="135" t="s">
        <v>1238</v>
      </c>
      <c r="E111" s="135">
        <v>1</v>
      </c>
      <c r="F111" s="135">
        <v>0.3</v>
      </c>
      <c r="G111" s="135">
        <v>1.1000000000000001</v>
      </c>
      <c r="H111" s="135">
        <v>0</v>
      </c>
      <c r="I111" s="135">
        <v>0.4</v>
      </c>
      <c r="J111" s="135">
        <v>0.3</v>
      </c>
      <c r="K111" s="135">
        <v>1.5</v>
      </c>
      <c r="L111" s="135">
        <v>0</v>
      </c>
      <c r="M111" s="135">
        <v>48.1</v>
      </c>
      <c r="N111" s="135">
        <v>0</v>
      </c>
      <c r="O111" s="135">
        <v>0</v>
      </c>
      <c r="P111" s="135">
        <v>0</v>
      </c>
      <c r="Q111" s="135">
        <v>0</v>
      </c>
      <c r="R111" s="135">
        <v>0.7</v>
      </c>
      <c r="S111" s="135">
        <v>0.7</v>
      </c>
      <c r="T111" s="135">
        <v>0</v>
      </c>
    </row>
    <row r="112" spans="1:20" x14ac:dyDescent="0.3">
      <c r="A112" s="135">
        <v>111</v>
      </c>
      <c r="B112" s="135" t="s">
        <v>172</v>
      </c>
      <c r="C112" s="135" t="s">
        <v>30</v>
      </c>
      <c r="D112" s="135" t="s">
        <v>26</v>
      </c>
      <c r="E112" s="135">
        <v>1</v>
      </c>
      <c r="F112" s="135">
        <v>0</v>
      </c>
      <c r="G112" s="135">
        <v>0</v>
      </c>
      <c r="H112" s="135">
        <v>0</v>
      </c>
      <c r="I112" s="135">
        <v>0.3</v>
      </c>
      <c r="J112" s="135">
        <v>0.3</v>
      </c>
      <c r="K112" s="135">
        <v>2.5</v>
      </c>
      <c r="L112" s="135">
        <v>0</v>
      </c>
      <c r="M112" s="135">
        <v>0</v>
      </c>
      <c r="N112" s="135">
        <v>0</v>
      </c>
      <c r="O112" s="135">
        <v>0</v>
      </c>
      <c r="P112" s="135">
        <v>0</v>
      </c>
      <c r="Q112" s="135">
        <v>0</v>
      </c>
      <c r="R112" s="135">
        <v>0.6</v>
      </c>
      <c r="S112" s="135">
        <v>0.6</v>
      </c>
      <c r="T112" s="135">
        <v>0</v>
      </c>
    </row>
    <row r="113" spans="1:20" x14ac:dyDescent="0.3">
      <c r="A113" s="135">
        <v>112</v>
      </c>
      <c r="B113" s="135" t="s">
        <v>163</v>
      </c>
      <c r="C113" s="135" t="s">
        <v>41</v>
      </c>
      <c r="D113" s="135" t="s">
        <v>395</v>
      </c>
      <c r="E113" s="135">
        <v>1</v>
      </c>
      <c r="F113" s="135">
        <v>0.3</v>
      </c>
      <c r="G113" s="135">
        <v>0.9</v>
      </c>
      <c r="H113" s="135">
        <v>0</v>
      </c>
      <c r="I113" s="135">
        <v>0.3</v>
      </c>
      <c r="J113" s="135">
        <v>0.2</v>
      </c>
      <c r="K113" s="135">
        <v>2</v>
      </c>
      <c r="L113" s="135">
        <v>0</v>
      </c>
      <c r="M113" s="135">
        <v>0</v>
      </c>
      <c r="N113" s="135">
        <v>0</v>
      </c>
      <c r="O113" s="135">
        <v>0</v>
      </c>
      <c r="P113" s="135">
        <v>0</v>
      </c>
      <c r="Q113" s="135">
        <v>0</v>
      </c>
      <c r="R113" s="135">
        <v>0.5</v>
      </c>
      <c r="S113" s="135">
        <v>0.5</v>
      </c>
      <c r="T113" s="135">
        <v>0</v>
      </c>
    </row>
    <row r="114" spans="1:20" x14ac:dyDescent="0.3">
      <c r="A114" s="135">
        <v>113</v>
      </c>
      <c r="B114" s="135" t="s">
        <v>472</v>
      </c>
      <c r="C114" s="135" t="s">
        <v>7</v>
      </c>
      <c r="D114" s="135" t="s">
        <v>409</v>
      </c>
      <c r="E114" s="135">
        <v>1</v>
      </c>
      <c r="F114" s="135">
        <v>0.2</v>
      </c>
      <c r="G114" s="135">
        <v>0.9</v>
      </c>
      <c r="H114" s="135">
        <v>0</v>
      </c>
      <c r="I114" s="135">
        <v>0.3</v>
      </c>
      <c r="J114" s="135">
        <v>0.2</v>
      </c>
      <c r="K114" s="135">
        <v>1.4</v>
      </c>
      <c r="L114" s="135">
        <v>0</v>
      </c>
      <c r="M114" s="135">
        <v>0</v>
      </c>
      <c r="N114" s="135">
        <v>0</v>
      </c>
      <c r="O114" s="135">
        <v>0</v>
      </c>
      <c r="P114" s="135">
        <v>0</v>
      </c>
      <c r="Q114" s="135">
        <v>0</v>
      </c>
      <c r="R114" s="135">
        <v>0.5</v>
      </c>
      <c r="S114" s="135">
        <v>0.5</v>
      </c>
      <c r="T114" s="135">
        <v>0</v>
      </c>
    </row>
    <row r="115" spans="1:20" x14ac:dyDescent="0.3">
      <c r="A115" s="135">
        <v>114</v>
      </c>
      <c r="B115" s="135" t="s">
        <v>181</v>
      </c>
      <c r="C115" s="135" t="s">
        <v>37</v>
      </c>
      <c r="D115" s="135" t="s">
        <v>404</v>
      </c>
      <c r="E115" s="135">
        <v>1</v>
      </c>
      <c r="F115" s="135">
        <v>0.8</v>
      </c>
      <c r="G115" s="135">
        <v>3.2</v>
      </c>
      <c r="H115" s="135">
        <v>0</v>
      </c>
      <c r="I115" s="135">
        <v>0</v>
      </c>
      <c r="J115" s="135">
        <v>0</v>
      </c>
      <c r="K115" s="135">
        <v>0</v>
      </c>
      <c r="L115" s="135">
        <v>0</v>
      </c>
      <c r="M115" s="135">
        <v>0</v>
      </c>
      <c r="N115" s="135">
        <v>0</v>
      </c>
      <c r="O115" s="135">
        <v>0</v>
      </c>
      <c r="P115" s="135">
        <v>0</v>
      </c>
      <c r="Q115" s="135">
        <v>0</v>
      </c>
      <c r="R115" s="135">
        <v>0.4</v>
      </c>
      <c r="S115" s="135">
        <v>0.4</v>
      </c>
      <c r="T115" s="135">
        <v>0</v>
      </c>
    </row>
    <row r="116" spans="1:20" x14ac:dyDescent="0.3">
      <c r="A116" s="135">
        <v>115</v>
      </c>
      <c r="B116" s="135" t="s">
        <v>541</v>
      </c>
      <c r="C116" s="135" t="s">
        <v>28</v>
      </c>
      <c r="D116" s="135" t="s">
        <v>20</v>
      </c>
      <c r="E116" s="135">
        <v>1</v>
      </c>
      <c r="F116" s="135">
        <v>0</v>
      </c>
      <c r="G116" s="135">
        <v>0</v>
      </c>
      <c r="H116" s="135">
        <v>0</v>
      </c>
      <c r="I116" s="135">
        <v>0.3</v>
      </c>
      <c r="J116" s="135">
        <v>0.2</v>
      </c>
      <c r="K116" s="135">
        <v>2</v>
      </c>
      <c r="L116" s="135">
        <v>0</v>
      </c>
      <c r="M116" s="135">
        <v>0</v>
      </c>
      <c r="N116" s="135">
        <v>0</v>
      </c>
      <c r="O116" s="135">
        <v>0</v>
      </c>
      <c r="P116" s="135">
        <v>0</v>
      </c>
      <c r="Q116" s="135">
        <v>0</v>
      </c>
      <c r="R116" s="135">
        <v>0.4</v>
      </c>
      <c r="S116" s="135">
        <v>0.4</v>
      </c>
      <c r="T116" s="135">
        <v>0</v>
      </c>
    </row>
    <row r="117" spans="1:20" x14ac:dyDescent="0.3">
      <c r="A117" s="135">
        <v>116</v>
      </c>
      <c r="B117" s="135" t="s">
        <v>175</v>
      </c>
      <c r="C117" s="135" t="s">
        <v>1236</v>
      </c>
      <c r="D117" s="135" t="s">
        <v>401</v>
      </c>
      <c r="E117" s="135">
        <v>1</v>
      </c>
      <c r="F117" s="135">
        <v>0.3</v>
      </c>
      <c r="G117" s="135">
        <v>1</v>
      </c>
      <c r="H117" s="135">
        <v>0</v>
      </c>
      <c r="I117" s="135">
        <v>0.3</v>
      </c>
      <c r="J117" s="135">
        <v>0.2</v>
      </c>
      <c r="K117" s="135">
        <v>1.3</v>
      </c>
      <c r="L117" s="135">
        <v>0</v>
      </c>
      <c r="M117" s="135">
        <v>0</v>
      </c>
      <c r="N117" s="135">
        <v>0</v>
      </c>
      <c r="O117" s="135">
        <v>0</v>
      </c>
      <c r="P117" s="135">
        <v>0</v>
      </c>
      <c r="Q117" s="135">
        <v>0</v>
      </c>
      <c r="R117" s="135">
        <v>0.4</v>
      </c>
      <c r="S117" s="135">
        <v>0.4</v>
      </c>
      <c r="T117" s="135">
        <v>0</v>
      </c>
    </row>
    <row r="118" spans="1:20" x14ac:dyDescent="0.3">
      <c r="A118" s="135">
        <v>117</v>
      </c>
      <c r="B118" s="135" t="s">
        <v>508</v>
      </c>
      <c r="C118" s="135" t="s">
        <v>402</v>
      </c>
      <c r="D118" s="135" t="s">
        <v>57</v>
      </c>
      <c r="E118" s="135">
        <v>1</v>
      </c>
      <c r="F118" s="135">
        <v>0.8</v>
      </c>
      <c r="G118" s="135">
        <v>2.9</v>
      </c>
      <c r="H118" s="135">
        <v>0</v>
      </c>
      <c r="I118" s="135">
        <v>0</v>
      </c>
      <c r="J118" s="135">
        <v>0</v>
      </c>
      <c r="K118" s="135">
        <v>0</v>
      </c>
      <c r="L118" s="135">
        <v>0</v>
      </c>
      <c r="M118" s="135">
        <v>0</v>
      </c>
      <c r="N118" s="135">
        <v>0</v>
      </c>
      <c r="O118" s="135">
        <v>0</v>
      </c>
      <c r="P118" s="135">
        <v>0</v>
      </c>
      <c r="Q118" s="135">
        <v>0</v>
      </c>
      <c r="R118" s="135">
        <v>0.4</v>
      </c>
      <c r="S118" s="135">
        <v>0.4</v>
      </c>
      <c r="T118" s="135">
        <v>0</v>
      </c>
    </row>
    <row r="119" spans="1:20" x14ac:dyDescent="0.3">
      <c r="A119" s="135">
        <v>118</v>
      </c>
      <c r="B119" s="135" t="s">
        <v>112</v>
      </c>
      <c r="C119" s="135" t="s">
        <v>30</v>
      </c>
      <c r="D119" s="135" t="s">
        <v>26</v>
      </c>
      <c r="E119" s="135">
        <v>1</v>
      </c>
      <c r="F119" s="135">
        <v>0.3</v>
      </c>
      <c r="G119" s="135">
        <v>1.1000000000000001</v>
      </c>
      <c r="H119" s="135">
        <v>0</v>
      </c>
      <c r="I119" s="135">
        <v>0</v>
      </c>
      <c r="J119" s="135">
        <v>0</v>
      </c>
      <c r="K119" s="135">
        <v>0</v>
      </c>
      <c r="L119" s="135">
        <v>0</v>
      </c>
      <c r="M119" s="135">
        <v>43.1</v>
      </c>
      <c r="N119" s="135">
        <v>0</v>
      </c>
      <c r="O119" s="135">
        <v>0</v>
      </c>
      <c r="P119" s="135">
        <v>0</v>
      </c>
      <c r="Q119" s="135">
        <v>0</v>
      </c>
      <c r="R119" s="135">
        <v>0.2</v>
      </c>
      <c r="S119" s="135">
        <v>0.2</v>
      </c>
      <c r="T119" s="135">
        <v>0</v>
      </c>
    </row>
    <row r="120" spans="1:20" x14ac:dyDescent="0.3">
      <c r="A120" s="135">
        <v>119</v>
      </c>
      <c r="B120" s="135" t="s">
        <v>480</v>
      </c>
      <c r="C120" s="135" t="s">
        <v>34</v>
      </c>
      <c r="D120" s="135" t="s">
        <v>10</v>
      </c>
      <c r="E120" s="135">
        <v>1</v>
      </c>
      <c r="F120" s="135">
        <v>0</v>
      </c>
      <c r="G120" s="135">
        <v>0</v>
      </c>
      <c r="H120" s="135">
        <v>0</v>
      </c>
      <c r="I120" s="135">
        <v>0</v>
      </c>
      <c r="J120" s="135">
        <v>0</v>
      </c>
      <c r="K120" s="135">
        <v>0</v>
      </c>
      <c r="L120" s="135">
        <v>0</v>
      </c>
      <c r="M120" s="135">
        <v>15.1</v>
      </c>
      <c r="N120" s="135">
        <v>0</v>
      </c>
      <c r="O120" s="135">
        <v>0</v>
      </c>
      <c r="P120" s="135">
        <v>0</v>
      </c>
      <c r="Q120" s="135">
        <v>0</v>
      </c>
      <c r="R120" s="135">
        <v>0.1</v>
      </c>
      <c r="S120" s="135">
        <v>0.1</v>
      </c>
      <c r="T120" s="135">
        <v>0</v>
      </c>
    </row>
    <row r="121" spans="1:20" x14ac:dyDescent="0.3">
      <c r="A121" s="135">
        <v>120</v>
      </c>
      <c r="B121" s="135" t="s">
        <v>530</v>
      </c>
      <c r="C121" s="135" t="s">
        <v>41</v>
      </c>
      <c r="D121" s="135" t="s">
        <v>395</v>
      </c>
      <c r="E121" s="135">
        <v>1</v>
      </c>
      <c r="F121" s="135">
        <v>0</v>
      </c>
      <c r="G121" s="135">
        <v>0</v>
      </c>
      <c r="H121" s="135">
        <v>0</v>
      </c>
      <c r="I121" s="135">
        <v>0</v>
      </c>
      <c r="J121" s="135">
        <v>0</v>
      </c>
      <c r="K121" s="135">
        <v>0</v>
      </c>
      <c r="L121" s="135">
        <v>0</v>
      </c>
      <c r="M121" s="135">
        <v>13.1</v>
      </c>
      <c r="N121" s="135">
        <v>0</v>
      </c>
      <c r="O121" s="135">
        <v>0</v>
      </c>
      <c r="P121" s="135">
        <v>0</v>
      </c>
      <c r="Q121" s="135">
        <v>0</v>
      </c>
      <c r="R121" s="135">
        <v>0.1</v>
      </c>
      <c r="S121" s="135">
        <v>0.1</v>
      </c>
      <c r="T121" s="135">
        <v>0</v>
      </c>
    </row>
    <row r="122" spans="1:20" x14ac:dyDescent="0.3">
      <c r="A122" s="135">
        <v>121</v>
      </c>
      <c r="B122" s="135" t="s">
        <v>178</v>
      </c>
      <c r="C122" s="135" t="s">
        <v>1238</v>
      </c>
      <c r="D122" s="135" t="s">
        <v>397</v>
      </c>
      <c r="E122" s="135">
        <v>1</v>
      </c>
      <c r="F122" s="135">
        <v>0.3</v>
      </c>
      <c r="G122" s="135">
        <v>1.1000000000000001</v>
      </c>
      <c r="H122" s="135">
        <v>0</v>
      </c>
      <c r="I122" s="135">
        <v>0</v>
      </c>
      <c r="J122" s="135">
        <v>0</v>
      </c>
      <c r="K122" s="135">
        <v>0</v>
      </c>
      <c r="L122" s="135">
        <v>0</v>
      </c>
      <c r="M122" s="135">
        <v>0</v>
      </c>
      <c r="N122" s="135">
        <v>0</v>
      </c>
      <c r="O122" s="135">
        <v>0</v>
      </c>
      <c r="P122" s="135">
        <v>0</v>
      </c>
      <c r="Q122" s="135">
        <v>0</v>
      </c>
      <c r="R122" s="135">
        <v>0.1</v>
      </c>
      <c r="S122" s="135">
        <v>0.1</v>
      </c>
      <c r="T122" s="135">
        <v>0</v>
      </c>
    </row>
    <row r="123" spans="1:20" x14ac:dyDescent="0.3">
      <c r="A123" s="135">
        <v>122</v>
      </c>
      <c r="B123" s="135" t="s">
        <v>177</v>
      </c>
      <c r="C123" s="135" t="s">
        <v>12</v>
      </c>
      <c r="D123" s="135" t="s">
        <v>407</v>
      </c>
      <c r="E123" s="135">
        <v>1</v>
      </c>
      <c r="F123" s="135">
        <v>0.2</v>
      </c>
      <c r="G123" s="135">
        <v>0.9</v>
      </c>
      <c r="H123" s="135">
        <v>0</v>
      </c>
      <c r="I123" s="135">
        <v>0</v>
      </c>
      <c r="J123" s="135">
        <v>0</v>
      </c>
      <c r="K123" s="135">
        <v>0</v>
      </c>
      <c r="L123" s="135">
        <v>0</v>
      </c>
      <c r="M123" s="135">
        <v>0</v>
      </c>
      <c r="N123" s="135">
        <v>0</v>
      </c>
      <c r="O123" s="135">
        <v>0</v>
      </c>
      <c r="P123" s="135">
        <v>0</v>
      </c>
      <c r="Q123" s="135">
        <v>0</v>
      </c>
      <c r="R123" s="135">
        <v>0.1</v>
      </c>
      <c r="S123" s="135">
        <v>0.1</v>
      </c>
      <c r="T123" s="135">
        <v>0</v>
      </c>
    </row>
    <row r="124" spans="1:20" x14ac:dyDescent="0.3">
      <c r="A124" s="135">
        <v>123</v>
      </c>
      <c r="B124" s="135" t="s">
        <v>170</v>
      </c>
      <c r="C124" s="135" t="s">
        <v>395</v>
      </c>
      <c r="D124" s="135" t="s">
        <v>41</v>
      </c>
      <c r="E124" s="135">
        <v>1</v>
      </c>
      <c r="F124" s="135">
        <v>0.3</v>
      </c>
      <c r="G124" s="135">
        <v>0.9</v>
      </c>
      <c r="H124" s="135">
        <v>0</v>
      </c>
      <c r="I124" s="135">
        <v>0</v>
      </c>
      <c r="J124" s="135">
        <v>0</v>
      </c>
      <c r="K124" s="135">
        <v>0</v>
      </c>
      <c r="L124" s="135">
        <v>0</v>
      </c>
      <c r="M124" s="135">
        <v>0</v>
      </c>
      <c r="N124" s="135">
        <v>0</v>
      </c>
      <c r="O124" s="135">
        <v>0</v>
      </c>
      <c r="P124" s="135">
        <v>0</v>
      </c>
      <c r="Q124" s="135">
        <v>0</v>
      </c>
      <c r="R124" s="135">
        <v>0.1</v>
      </c>
      <c r="S124" s="135">
        <v>0.1</v>
      </c>
      <c r="T124" s="135">
        <v>0</v>
      </c>
    </row>
    <row r="125" spans="1:20" x14ac:dyDescent="0.3">
      <c r="A125" s="135">
        <v>124</v>
      </c>
      <c r="B125" s="135" t="s">
        <v>166</v>
      </c>
      <c r="C125" s="135" t="s">
        <v>4</v>
      </c>
      <c r="D125" s="135" t="s">
        <v>50</v>
      </c>
      <c r="E125" s="135">
        <v>1</v>
      </c>
      <c r="F125" s="135">
        <v>0</v>
      </c>
      <c r="G125" s="135">
        <v>0</v>
      </c>
      <c r="H125" s="135">
        <v>0</v>
      </c>
      <c r="I125" s="135">
        <v>0</v>
      </c>
      <c r="J125" s="135">
        <v>0</v>
      </c>
      <c r="K125" s="135">
        <v>0</v>
      </c>
      <c r="L125" s="135">
        <v>0</v>
      </c>
      <c r="M125" s="135">
        <v>25.4</v>
      </c>
      <c r="N125" s="135">
        <v>0</v>
      </c>
      <c r="O125" s="135">
        <v>0</v>
      </c>
      <c r="P125" s="135">
        <v>0</v>
      </c>
      <c r="Q125" s="135">
        <v>0</v>
      </c>
      <c r="R125" s="135">
        <v>0</v>
      </c>
      <c r="S125" s="135">
        <v>0</v>
      </c>
      <c r="T125" s="135">
        <v>0</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topLeftCell="K1" workbookViewId="0">
      <selection activeCell="U2" sqref="U2:U33"/>
    </sheetView>
  </sheetViews>
  <sheetFormatPr defaultRowHeight="14.4" x14ac:dyDescent="0.3"/>
  <cols>
    <col min="1" max="1" width="30.109375" bestFit="1" customWidth="1"/>
    <col min="2" max="2" width="4.77734375" bestFit="1" customWidth="1"/>
    <col min="3" max="3" width="6" bestFit="1" customWidth="1"/>
    <col min="4" max="4" width="7.21875" bestFit="1" customWidth="1"/>
    <col min="5" max="5" width="5.5546875" bestFit="1" customWidth="1"/>
    <col min="6" max="6" width="6.44140625" bestFit="1" customWidth="1"/>
    <col min="7" max="7" width="9.21875" bestFit="1" customWidth="1"/>
    <col min="8" max="8" width="7.5546875" bestFit="1" customWidth="1"/>
    <col min="9" max="9" width="7" bestFit="1" customWidth="1"/>
    <col min="10" max="10" width="9.21875" bestFit="1" customWidth="1"/>
    <col min="11" max="11" width="4.77734375" bestFit="1" customWidth="1"/>
    <col min="12" max="12" width="30.109375" bestFit="1" customWidth="1"/>
    <col min="13" max="13" width="7.21875" bestFit="1" customWidth="1"/>
    <col min="14" max="14" width="9.44140625" bestFit="1" customWidth="1"/>
    <col min="15" max="15" width="7.109375" customWidth="1"/>
    <col min="16" max="16" width="9.21875" bestFit="1" customWidth="1"/>
    <col min="17" max="17" width="7.5546875" bestFit="1" customWidth="1"/>
    <col min="18" max="18" width="9.109375" customWidth="1"/>
    <col min="19" max="19" width="9.21875" bestFit="1" customWidth="1"/>
    <col min="20" max="21" width="11" customWidth="1"/>
  </cols>
  <sheetData>
    <row r="1" spans="1:22" x14ac:dyDescent="0.3">
      <c r="A1" s="3" t="s">
        <v>387</v>
      </c>
      <c r="B1" s="3" t="s">
        <v>412</v>
      </c>
      <c r="C1" s="3" t="s">
        <v>419</v>
      </c>
      <c r="D1" s="3" t="s">
        <v>609</v>
      </c>
      <c r="E1" s="3" t="s">
        <v>391</v>
      </c>
      <c r="F1" s="3" t="s">
        <v>389</v>
      </c>
      <c r="G1" s="3" t="s">
        <v>648</v>
      </c>
      <c r="H1" s="3" t="s">
        <v>649</v>
      </c>
      <c r="I1" s="3" t="s">
        <v>613</v>
      </c>
      <c r="J1" s="2" t="s">
        <v>614</v>
      </c>
      <c r="L1" s="30" t="s">
        <v>615</v>
      </c>
      <c r="M1" s="24" t="s">
        <v>412</v>
      </c>
      <c r="N1" s="24" t="s">
        <v>593</v>
      </c>
      <c r="O1" s="24" t="s">
        <v>390</v>
      </c>
      <c r="P1" s="24" t="s">
        <v>391</v>
      </c>
      <c r="Q1" s="24" t="s">
        <v>389</v>
      </c>
      <c r="R1" s="24" t="s">
        <v>600</v>
      </c>
      <c r="S1" s="24" t="s">
        <v>601</v>
      </c>
      <c r="T1" t="s">
        <v>387</v>
      </c>
      <c r="U1" t="s">
        <v>81</v>
      </c>
      <c r="V1" s="133" t="s">
        <v>1346</v>
      </c>
    </row>
    <row r="2" spans="1:22" x14ac:dyDescent="0.3">
      <c r="A2" s="3" t="s">
        <v>650</v>
      </c>
      <c r="B2" s="3">
        <v>16</v>
      </c>
      <c r="C2" s="3">
        <v>452</v>
      </c>
      <c r="D2" s="3">
        <v>1846</v>
      </c>
      <c r="E2" s="3">
        <v>13</v>
      </c>
      <c r="F2" s="3">
        <v>84</v>
      </c>
      <c r="G2" s="3">
        <v>737</v>
      </c>
      <c r="H2" s="3">
        <v>8</v>
      </c>
      <c r="I2" s="3">
        <v>384.3</v>
      </c>
      <c r="J2" s="2">
        <v>24</v>
      </c>
      <c r="L2" s="25" t="s">
        <v>674</v>
      </c>
      <c r="M2" s="25">
        <v>16</v>
      </c>
      <c r="N2">
        <f>SUM(Table_3__2[[#This Row],[Att]]/$M$2)</f>
        <v>28.25</v>
      </c>
      <c r="O2">
        <f>SUM(Table_3__2[[#This Row],[Yard]]/$M$2)</f>
        <v>115.375</v>
      </c>
      <c r="P2">
        <f>SUM(Table_3__2[[#This Row],[TD]]/$M$2)</f>
        <v>0.8125</v>
      </c>
      <c r="Q2">
        <f>SUM(Table_3__2[[#This Row],[Rec]]/$M$2)</f>
        <v>5.25</v>
      </c>
      <c r="R2">
        <f>SUM(Table_3__2[[#This Row],[Yard_1]]/$M$2)</f>
        <v>46.0625</v>
      </c>
      <c r="S2">
        <f>SUM(Table_3__2[[#This Row],[TD_2]]/$M$2)</f>
        <v>0.5</v>
      </c>
      <c r="T2" t="s">
        <v>24</v>
      </c>
      <c r="U2" t="s">
        <v>2295</v>
      </c>
      <c r="V2" s="103">
        <v>8</v>
      </c>
    </row>
    <row r="3" spans="1:22" x14ac:dyDescent="0.3">
      <c r="A3" s="3" t="s">
        <v>651</v>
      </c>
      <c r="B3" s="3">
        <v>16</v>
      </c>
      <c r="C3" s="3">
        <v>364</v>
      </c>
      <c r="D3" s="3">
        <v>1857</v>
      </c>
      <c r="E3" s="3">
        <v>10</v>
      </c>
      <c r="F3" s="3">
        <v>94</v>
      </c>
      <c r="G3" s="3">
        <v>939</v>
      </c>
      <c r="H3" s="3">
        <v>7</v>
      </c>
      <c r="I3" s="3">
        <v>381.6</v>
      </c>
      <c r="J3" s="2">
        <v>23.9</v>
      </c>
      <c r="L3" s="25" t="s">
        <v>654</v>
      </c>
      <c r="M3" s="25">
        <v>16</v>
      </c>
      <c r="N3">
        <f>SUM(Table_3__2[[#This Row],[Att]]/$M$2)</f>
        <v>22.75</v>
      </c>
      <c r="O3">
        <f>SUM(Table_3__2[[#This Row],[Yard]]/$M$2)</f>
        <v>116.0625</v>
      </c>
      <c r="P3">
        <f>SUM(Table_3__2[[#This Row],[TD]]/$M$2)</f>
        <v>0.625</v>
      </c>
      <c r="Q3">
        <f>SUM(Table_3__2[[#This Row],[Rec]]/$M$2)</f>
        <v>5.875</v>
      </c>
      <c r="R3">
        <f>SUM(Table_3__2[[#This Row],[Yard_1]]/$M$2)</f>
        <v>58.6875</v>
      </c>
      <c r="S3">
        <f>SUM(Table_3__2[[#This Row],[TD_2]]/$M$2)</f>
        <v>0.4375</v>
      </c>
      <c r="T3" t="s">
        <v>50</v>
      </c>
      <c r="U3" t="s">
        <v>2296</v>
      </c>
      <c r="V3" s="103">
        <v>28</v>
      </c>
    </row>
    <row r="4" spans="1:22" x14ac:dyDescent="0.3">
      <c r="A4" s="3" t="s">
        <v>652</v>
      </c>
      <c r="B4" s="3">
        <v>16</v>
      </c>
      <c r="C4" s="3">
        <v>431</v>
      </c>
      <c r="D4" s="3">
        <v>1792</v>
      </c>
      <c r="E4" s="3">
        <v>18</v>
      </c>
      <c r="F4" s="3">
        <v>99</v>
      </c>
      <c r="G4" s="3">
        <v>735</v>
      </c>
      <c r="H4" s="3">
        <v>3</v>
      </c>
      <c r="I4" s="3">
        <v>378.7</v>
      </c>
      <c r="J4" s="2">
        <v>23.7</v>
      </c>
      <c r="L4" s="26" t="s">
        <v>675</v>
      </c>
      <c r="M4" s="26">
        <v>16</v>
      </c>
      <c r="N4">
        <f>SUM(Table_3__2[[#This Row],[Att]]/$M$2)</f>
        <v>26.9375</v>
      </c>
      <c r="O4">
        <f>SUM(Table_3__2[[#This Row],[Yard]]/$M$2)</f>
        <v>112</v>
      </c>
      <c r="P4">
        <f>SUM(Table_3__2[[#This Row],[TD]]/$M$2)</f>
        <v>1.125</v>
      </c>
      <c r="Q4">
        <f>SUM(Table_3__2[[#This Row],[Rec]]/$M$2)</f>
        <v>6.1875</v>
      </c>
      <c r="R4">
        <f>SUM(Table_3__2[[#This Row],[Yard_1]]/$M$2)</f>
        <v>45.9375</v>
      </c>
      <c r="S4">
        <f>SUM(Table_3__2[[#This Row],[TD_2]]/$M$2)</f>
        <v>0.1875</v>
      </c>
      <c r="T4" t="s">
        <v>32</v>
      </c>
      <c r="U4" t="s">
        <v>2297</v>
      </c>
      <c r="V4" s="103">
        <v>7</v>
      </c>
    </row>
    <row r="5" spans="1:22" x14ac:dyDescent="0.3">
      <c r="A5" s="3" t="s">
        <v>653</v>
      </c>
      <c r="B5" s="3">
        <v>16</v>
      </c>
      <c r="C5" s="3">
        <v>359</v>
      </c>
      <c r="D5" s="3">
        <v>1787</v>
      </c>
      <c r="E5" s="3">
        <v>14</v>
      </c>
      <c r="F5" s="3">
        <v>77</v>
      </c>
      <c r="G5" s="3">
        <v>743</v>
      </c>
      <c r="H5" s="3">
        <v>3</v>
      </c>
      <c r="I5" s="3">
        <v>355</v>
      </c>
      <c r="J5" s="2">
        <v>22.2</v>
      </c>
      <c r="L5" s="25" t="s">
        <v>666</v>
      </c>
      <c r="M5" s="25">
        <v>16</v>
      </c>
      <c r="N5">
        <f>SUM(Table_3__2[[#This Row],[Att]]/$M$2)</f>
        <v>22.4375</v>
      </c>
      <c r="O5">
        <f>SUM(Table_3__2[[#This Row],[Yard]]/$M$2)</f>
        <v>111.6875</v>
      </c>
      <c r="P5">
        <f>SUM(Table_3__2[[#This Row],[TD]]/$M$2)</f>
        <v>0.875</v>
      </c>
      <c r="Q5">
        <f>SUM(Table_3__2[[#This Row],[Rec]]/$M$2)</f>
        <v>4.8125</v>
      </c>
      <c r="R5">
        <f>SUM(Table_3__2[[#This Row],[Yard_1]]/$M$2)</f>
        <v>46.4375</v>
      </c>
      <c r="S5">
        <f>SUM(Table_3__2[[#This Row],[TD_2]]/$M$2)</f>
        <v>0.1875</v>
      </c>
      <c r="T5" t="s">
        <v>10</v>
      </c>
      <c r="U5" t="s">
        <v>1969</v>
      </c>
      <c r="V5" s="103">
        <v>16</v>
      </c>
    </row>
    <row r="6" spans="1:22" x14ac:dyDescent="0.3">
      <c r="A6" s="3" t="s">
        <v>654</v>
      </c>
      <c r="B6" s="3">
        <v>16</v>
      </c>
      <c r="C6" s="3">
        <v>359</v>
      </c>
      <c r="D6" s="3">
        <v>1441</v>
      </c>
      <c r="E6" s="3">
        <v>16</v>
      </c>
      <c r="F6" s="3">
        <v>118</v>
      </c>
      <c r="G6" s="3">
        <v>944</v>
      </c>
      <c r="H6" s="3">
        <v>3</v>
      </c>
      <c r="I6" s="3">
        <v>352.5</v>
      </c>
      <c r="J6" s="2">
        <v>22</v>
      </c>
      <c r="L6" s="26" t="s">
        <v>669</v>
      </c>
      <c r="M6" s="26">
        <v>16</v>
      </c>
      <c r="N6">
        <f>SUM(Table_3__2[[#This Row],[Att]]/$M$2)</f>
        <v>22.4375</v>
      </c>
      <c r="O6">
        <f>SUM(Table_3__2[[#This Row],[Yard]]/$M$2)</f>
        <v>90.0625</v>
      </c>
      <c r="P6">
        <f>SUM(Table_3__2[[#This Row],[TD]]/$M$2)</f>
        <v>1</v>
      </c>
      <c r="Q6">
        <f>SUM(Table_3__2[[#This Row],[Rec]]/$M$2)</f>
        <v>7.375</v>
      </c>
      <c r="R6">
        <f>SUM(Table_3__2[[#This Row],[Yard_1]]/$M$2)</f>
        <v>59</v>
      </c>
      <c r="S6">
        <f>SUM(Table_3__2[[#This Row],[TD_2]]/$M$2)</f>
        <v>0.1875</v>
      </c>
      <c r="T6" t="s">
        <v>22</v>
      </c>
      <c r="U6" t="s">
        <v>1997</v>
      </c>
      <c r="V6" s="103">
        <v>13</v>
      </c>
    </row>
    <row r="7" spans="1:22" x14ac:dyDescent="0.3">
      <c r="A7" s="3" t="s">
        <v>655</v>
      </c>
      <c r="B7" s="3">
        <v>16</v>
      </c>
      <c r="C7" s="3">
        <v>422</v>
      </c>
      <c r="D7" s="3">
        <v>1930</v>
      </c>
      <c r="E7" s="3">
        <v>7</v>
      </c>
      <c r="F7" s="3">
        <v>89</v>
      </c>
      <c r="G7" s="3">
        <v>798</v>
      </c>
      <c r="H7" s="3">
        <v>6</v>
      </c>
      <c r="I7" s="3">
        <v>350.8</v>
      </c>
      <c r="J7" s="2">
        <v>21.9</v>
      </c>
      <c r="L7" s="26" t="s">
        <v>659</v>
      </c>
      <c r="M7" s="26">
        <v>16</v>
      </c>
      <c r="N7">
        <f>SUM(Table_3__2[[#This Row],[Att]]/$M$2)</f>
        <v>26.375</v>
      </c>
      <c r="O7">
        <f>SUM(Table_3__2[[#This Row],[Yard]]/$M$2)</f>
        <v>120.625</v>
      </c>
      <c r="P7">
        <f>SUM(Table_3__2[[#This Row],[TD]]/$M$2)</f>
        <v>0.4375</v>
      </c>
      <c r="Q7">
        <f>SUM(Table_3__2[[#This Row],[Rec]]/$M$2)</f>
        <v>5.5625</v>
      </c>
      <c r="R7">
        <f>SUM(Table_3__2[[#This Row],[Yard_1]]/$M$2)</f>
        <v>49.875</v>
      </c>
      <c r="S7">
        <f>SUM(Table_3__2[[#This Row],[TD_2]]/$M$2)</f>
        <v>0.375</v>
      </c>
      <c r="T7" t="s">
        <v>46</v>
      </c>
      <c r="U7" t="s">
        <v>2298</v>
      </c>
      <c r="V7" s="103">
        <v>23</v>
      </c>
    </row>
    <row r="8" spans="1:22" x14ac:dyDescent="0.3">
      <c r="A8" s="3" t="s">
        <v>656</v>
      </c>
      <c r="B8" s="3">
        <v>16</v>
      </c>
      <c r="C8" s="3">
        <v>388</v>
      </c>
      <c r="D8" s="3">
        <v>1678</v>
      </c>
      <c r="E8" s="3">
        <v>13</v>
      </c>
      <c r="F8" s="3">
        <v>92</v>
      </c>
      <c r="G8" s="3">
        <v>770</v>
      </c>
      <c r="H8" s="3">
        <v>4</v>
      </c>
      <c r="I8" s="3">
        <v>346.8</v>
      </c>
      <c r="J8" s="2">
        <v>21.7</v>
      </c>
      <c r="L8" s="25" t="s">
        <v>670</v>
      </c>
      <c r="M8" s="25">
        <v>16</v>
      </c>
      <c r="N8">
        <f>SUM(Table_3__2[[#This Row],[Att]]/$M$2)</f>
        <v>24.25</v>
      </c>
      <c r="O8">
        <f>SUM(Table_3__2[[#This Row],[Yard]]/$M$2)</f>
        <v>104.875</v>
      </c>
      <c r="P8">
        <f>SUM(Table_3__2[[#This Row],[TD]]/$M$2)</f>
        <v>0.8125</v>
      </c>
      <c r="Q8">
        <f>SUM(Table_3__2[[#This Row],[Rec]]/$M$2)</f>
        <v>5.75</v>
      </c>
      <c r="R8">
        <f>SUM(Table_3__2[[#This Row],[Yard_1]]/$M$2)</f>
        <v>48.125</v>
      </c>
      <c r="S8">
        <f>SUM(Table_3__2[[#This Row],[TD_2]]/$M$2)</f>
        <v>0.25</v>
      </c>
      <c r="T8" t="s">
        <v>28</v>
      </c>
      <c r="U8" t="s">
        <v>1999</v>
      </c>
      <c r="V8" s="103">
        <v>12</v>
      </c>
    </row>
    <row r="9" spans="1:22" x14ac:dyDescent="0.3">
      <c r="A9" s="3" t="s">
        <v>657</v>
      </c>
      <c r="B9" s="3">
        <v>16</v>
      </c>
      <c r="C9" s="3">
        <v>391</v>
      </c>
      <c r="D9" s="3">
        <v>1684</v>
      </c>
      <c r="E9" s="3">
        <v>13</v>
      </c>
      <c r="F9" s="3">
        <v>92</v>
      </c>
      <c r="G9" s="3">
        <v>807</v>
      </c>
      <c r="H9" s="3">
        <v>3</v>
      </c>
      <c r="I9" s="3">
        <v>345.1</v>
      </c>
      <c r="J9" s="2">
        <v>21.6</v>
      </c>
      <c r="L9" s="26" t="s">
        <v>663</v>
      </c>
      <c r="M9" s="26">
        <v>16</v>
      </c>
      <c r="N9">
        <f>SUM(Table_3__2[[#This Row],[Att]]/$M$2)</f>
        <v>24.4375</v>
      </c>
      <c r="O9">
        <f>SUM(Table_3__2[[#This Row],[Yard]]/$M$2)</f>
        <v>105.25</v>
      </c>
      <c r="P9">
        <f>SUM(Table_3__2[[#This Row],[TD]]/$M$2)</f>
        <v>0.8125</v>
      </c>
      <c r="Q9">
        <f>SUM(Table_3__2[[#This Row],[Rec]]/$M$2)</f>
        <v>5.75</v>
      </c>
      <c r="R9">
        <f>SUM(Table_3__2[[#This Row],[Yard_1]]/$M$2)</f>
        <v>50.4375</v>
      </c>
      <c r="S9">
        <f>SUM(Table_3__2[[#This Row],[TD_2]]/$M$2)</f>
        <v>0.1875</v>
      </c>
      <c r="T9" t="s">
        <v>14</v>
      </c>
      <c r="U9" t="s">
        <v>2299</v>
      </c>
      <c r="V9" s="103">
        <v>19</v>
      </c>
    </row>
    <row r="10" spans="1:22" x14ac:dyDescent="0.3">
      <c r="A10" s="3" t="s">
        <v>658</v>
      </c>
      <c r="B10" s="3">
        <v>16</v>
      </c>
      <c r="C10" s="3">
        <v>383</v>
      </c>
      <c r="D10" s="3">
        <v>1402</v>
      </c>
      <c r="E10" s="3">
        <v>13</v>
      </c>
      <c r="F10" s="3">
        <v>105</v>
      </c>
      <c r="G10" s="3">
        <v>897</v>
      </c>
      <c r="H10" s="3">
        <v>5</v>
      </c>
      <c r="I10" s="3">
        <v>337.9</v>
      </c>
      <c r="J10" s="2">
        <v>21.1</v>
      </c>
      <c r="L10" s="26" t="s">
        <v>657</v>
      </c>
      <c r="M10" s="26">
        <v>16</v>
      </c>
      <c r="N10">
        <f>SUM(Table_3__2[[#This Row],[Att]]/$M$2)</f>
        <v>23.9375</v>
      </c>
      <c r="O10">
        <f>SUM(Table_3__2[[#This Row],[Yard]]/$M$2)</f>
        <v>87.625</v>
      </c>
      <c r="P10">
        <f>SUM(Table_3__2[[#This Row],[TD]]/$M$2)</f>
        <v>0.8125</v>
      </c>
      <c r="Q10">
        <f>SUM(Table_3__2[[#This Row],[Rec]]/$M$2)</f>
        <v>6.5625</v>
      </c>
      <c r="R10">
        <f>SUM(Table_3__2[[#This Row],[Yard_1]]/$M$2)</f>
        <v>56.0625</v>
      </c>
      <c r="S10">
        <f>SUM(Table_3__2[[#This Row],[TD_2]]/$M$2)</f>
        <v>0.3125</v>
      </c>
      <c r="T10" t="s">
        <v>52</v>
      </c>
      <c r="U10" t="s">
        <v>1994</v>
      </c>
      <c r="V10" s="103">
        <v>25</v>
      </c>
    </row>
    <row r="11" spans="1:22" x14ac:dyDescent="0.3">
      <c r="A11" s="3" t="s">
        <v>659</v>
      </c>
      <c r="B11" s="3">
        <v>16</v>
      </c>
      <c r="C11" s="3">
        <v>368</v>
      </c>
      <c r="D11" s="3">
        <v>1563</v>
      </c>
      <c r="E11" s="3">
        <v>6</v>
      </c>
      <c r="F11" s="3">
        <v>82</v>
      </c>
      <c r="G11" s="3">
        <v>824</v>
      </c>
      <c r="H11" s="3">
        <v>7</v>
      </c>
      <c r="I11" s="3">
        <v>316.7</v>
      </c>
      <c r="J11" s="2">
        <v>19.8</v>
      </c>
      <c r="L11" s="26" t="s">
        <v>671</v>
      </c>
      <c r="M11" s="26">
        <v>16</v>
      </c>
      <c r="N11">
        <f>SUM(Table_3__2[[#This Row],[Att]]/$M$2)</f>
        <v>23</v>
      </c>
      <c r="O11">
        <f>SUM(Table_3__2[[#This Row],[Yard]]/$M$2)</f>
        <v>97.6875</v>
      </c>
      <c r="P11">
        <f>SUM(Table_3__2[[#This Row],[TD]]/$M$2)</f>
        <v>0.375</v>
      </c>
      <c r="Q11">
        <f>SUM(Table_3__2[[#This Row],[Rec]]/$M$2)</f>
        <v>5.125</v>
      </c>
      <c r="R11">
        <f>SUM(Table_3__2[[#This Row],[Yard_1]]/$M$2)</f>
        <v>51.5</v>
      </c>
      <c r="S11">
        <f>SUM(Table_3__2[[#This Row],[TD_2]]/$M$2)</f>
        <v>0.4375</v>
      </c>
      <c r="T11" t="s">
        <v>70</v>
      </c>
      <c r="U11" t="s">
        <v>2300</v>
      </c>
      <c r="V11" s="103">
        <v>11</v>
      </c>
    </row>
    <row r="12" spans="1:22" x14ac:dyDescent="0.3">
      <c r="A12" s="3" t="s">
        <v>660</v>
      </c>
      <c r="B12" s="3">
        <v>16</v>
      </c>
      <c r="C12" s="3">
        <v>391</v>
      </c>
      <c r="D12" s="3">
        <v>1625</v>
      </c>
      <c r="E12" s="3">
        <v>12</v>
      </c>
      <c r="F12" s="3">
        <v>72</v>
      </c>
      <c r="G12" s="3">
        <v>559</v>
      </c>
      <c r="H12" s="3">
        <v>3</v>
      </c>
      <c r="I12" s="3">
        <v>308.39999999999998</v>
      </c>
      <c r="J12" s="2">
        <v>19.3</v>
      </c>
      <c r="L12" s="25" t="s">
        <v>662</v>
      </c>
      <c r="M12" s="25">
        <v>16</v>
      </c>
      <c r="N12">
        <f>SUM(Table_3__2[[#This Row],[Att]]/$M$2)</f>
        <v>24.4375</v>
      </c>
      <c r="O12">
        <f>SUM(Table_3__2[[#This Row],[Yard]]/$M$2)</f>
        <v>101.5625</v>
      </c>
      <c r="P12">
        <f>SUM(Table_3__2[[#This Row],[TD]]/$M$2)</f>
        <v>0.75</v>
      </c>
      <c r="Q12">
        <f>SUM(Table_3__2[[#This Row],[Rec]]/$M$2)</f>
        <v>4.5</v>
      </c>
      <c r="R12">
        <f>SUM(Table_3__2[[#This Row],[Yard_1]]/$M$2)</f>
        <v>34.9375</v>
      </c>
      <c r="S12">
        <f>SUM(Table_3__2[[#This Row],[TD_2]]/$M$2)</f>
        <v>0.1875</v>
      </c>
      <c r="T12" t="s">
        <v>26</v>
      </c>
      <c r="U12" t="s">
        <v>2301</v>
      </c>
      <c r="V12" s="103">
        <v>20</v>
      </c>
    </row>
    <row r="13" spans="1:22" x14ac:dyDescent="0.3">
      <c r="A13" s="3" t="s">
        <v>661</v>
      </c>
      <c r="B13" s="3">
        <v>16</v>
      </c>
      <c r="C13" s="3">
        <v>391</v>
      </c>
      <c r="D13" s="3">
        <v>1545</v>
      </c>
      <c r="E13" s="3">
        <v>6</v>
      </c>
      <c r="F13" s="3">
        <v>104</v>
      </c>
      <c r="G13" s="3">
        <v>962</v>
      </c>
      <c r="H13" s="3">
        <v>3</v>
      </c>
      <c r="I13" s="3">
        <v>304.7</v>
      </c>
      <c r="J13" s="2">
        <v>19</v>
      </c>
      <c r="L13" s="26" t="s">
        <v>667</v>
      </c>
      <c r="M13" s="26">
        <v>16</v>
      </c>
      <c r="N13">
        <f>SUM(Table_3__2[[#This Row],[Att]]/$M$2)</f>
        <v>24.4375</v>
      </c>
      <c r="O13">
        <f>SUM(Table_3__2[[#This Row],[Yard]]/$M$2)</f>
        <v>96.5625</v>
      </c>
      <c r="P13">
        <f>SUM(Table_3__2[[#This Row],[TD]]/$M$2)</f>
        <v>0.375</v>
      </c>
      <c r="Q13">
        <f>SUM(Table_3__2[[#This Row],[Rec]]/$M$2)</f>
        <v>6.5</v>
      </c>
      <c r="R13">
        <f>SUM(Table_3__2[[#This Row],[Yard_1]]/$M$2)</f>
        <v>60.125</v>
      </c>
      <c r="S13">
        <f>SUM(Table_3__2[[#This Row],[TD_2]]/$M$2)</f>
        <v>0.1875</v>
      </c>
      <c r="T13" t="s">
        <v>395</v>
      </c>
      <c r="U13" t="s">
        <v>1976</v>
      </c>
      <c r="V13" s="103">
        <v>15</v>
      </c>
    </row>
    <row r="14" spans="1:22" x14ac:dyDescent="0.3">
      <c r="A14" s="3" t="s">
        <v>662</v>
      </c>
      <c r="B14" s="3">
        <v>16</v>
      </c>
      <c r="C14" s="3">
        <v>368</v>
      </c>
      <c r="D14" s="3">
        <v>1511</v>
      </c>
      <c r="E14" s="3">
        <v>15</v>
      </c>
      <c r="F14" s="3">
        <v>70</v>
      </c>
      <c r="G14" s="3">
        <v>573</v>
      </c>
      <c r="H14" s="3">
        <v>1</v>
      </c>
      <c r="I14" s="3">
        <v>304.39999999999998</v>
      </c>
      <c r="J14" s="2">
        <v>19</v>
      </c>
      <c r="L14" s="25" t="s">
        <v>672</v>
      </c>
      <c r="M14" s="25">
        <v>16</v>
      </c>
      <c r="N14">
        <f>SUM(Table_3__2[[#This Row],[Att]]/$M$2)</f>
        <v>23</v>
      </c>
      <c r="O14">
        <f>SUM(Table_3__2[[#This Row],[Yard]]/$M$2)</f>
        <v>94.4375</v>
      </c>
      <c r="P14">
        <f>SUM(Table_3__2[[#This Row],[TD]]/$M$2)</f>
        <v>0.9375</v>
      </c>
      <c r="Q14">
        <f>SUM(Table_3__2[[#This Row],[Rec]]/$M$2)</f>
        <v>4.375</v>
      </c>
      <c r="R14">
        <f>SUM(Table_3__2[[#This Row],[Yard_1]]/$M$2)</f>
        <v>35.8125</v>
      </c>
      <c r="S14">
        <f>SUM(Table_3__2[[#This Row],[TD_2]]/$M$2)</f>
        <v>6.25E-2</v>
      </c>
      <c r="T14" t="s">
        <v>43</v>
      </c>
      <c r="U14" t="s">
        <v>2302</v>
      </c>
      <c r="V14" s="103">
        <v>10</v>
      </c>
    </row>
    <row r="15" spans="1:22" x14ac:dyDescent="0.3">
      <c r="A15" s="3" t="s">
        <v>663</v>
      </c>
      <c r="B15" s="3">
        <v>16</v>
      </c>
      <c r="C15" s="3">
        <v>402</v>
      </c>
      <c r="D15" s="3">
        <v>1841</v>
      </c>
      <c r="E15" s="3">
        <v>7</v>
      </c>
      <c r="F15" s="3">
        <v>61</v>
      </c>
      <c r="G15" s="3">
        <v>611</v>
      </c>
      <c r="H15" s="3">
        <v>2</v>
      </c>
      <c r="I15" s="3">
        <v>299.2</v>
      </c>
      <c r="J15" s="2">
        <v>18.7</v>
      </c>
      <c r="L15" s="25" t="s">
        <v>660</v>
      </c>
      <c r="M15" s="25">
        <v>16</v>
      </c>
      <c r="N15">
        <f>SUM(Table_3__2[[#This Row],[Att]]/$M$2)</f>
        <v>25.125</v>
      </c>
      <c r="O15">
        <f>SUM(Table_3__2[[#This Row],[Yard]]/$M$2)</f>
        <v>115.0625</v>
      </c>
      <c r="P15">
        <f>SUM(Table_3__2[[#This Row],[TD]]/$M$2)</f>
        <v>0.4375</v>
      </c>
      <c r="Q15">
        <f>SUM(Table_3__2[[#This Row],[Rec]]/$M$2)</f>
        <v>3.8125</v>
      </c>
      <c r="R15">
        <f>SUM(Table_3__2[[#This Row],[Yard_1]]/$M$2)</f>
        <v>38.1875</v>
      </c>
      <c r="S15">
        <f>SUM(Table_3__2[[#This Row],[TD_2]]/$M$2)</f>
        <v>0.125</v>
      </c>
      <c r="T15" t="s">
        <v>16</v>
      </c>
      <c r="U15" t="s">
        <v>1967</v>
      </c>
      <c r="V15" s="103">
        <v>22</v>
      </c>
    </row>
    <row r="16" spans="1:22" x14ac:dyDescent="0.3">
      <c r="A16" s="3" t="s">
        <v>664</v>
      </c>
      <c r="B16" s="3">
        <v>16</v>
      </c>
      <c r="C16" s="3">
        <v>354</v>
      </c>
      <c r="D16" s="3">
        <v>1655</v>
      </c>
      <c r="E16" s="3">
        <v>9</v>
      </c>
      <c r="F16" s="3">
        <v>84</v>
      </c>
      <c r="G16" s="3">
        <v>615</v>
      </c>
      <c r="H16" s="3">
        <v>3</v>
      </c>
      <c r="I16" s="3">
        <v>299</v>
      </c>
      <c r="J16" s="2">
        <v>18.7</v>
      </c>
      <c r="L16" s="25" t="s">
        <v>658</v>
      </c>
      <c r="M16" s="25">
        <v>16</v>
      </c>
      <c r="N16">
        <f>SUM(Table_3__2[[#This Row],[Att]]/$M$2)</f>
        <v>22.125</v>
      </c>
      <c r="O16">
        <f>SUM(Table_3__2[[#This Row],[Yard]]/$M$2)</f>
        <v>103.4375</v>
      </c>
      <c r="P16">
        <f>SUM(Table_3__2[[#This Row],[TD]]/$M$2)</f>
        <v>0.5625</v>
      </c>
      <c r="Q16">
        <f>SUM(Table_3__2[[#This Row],[Rec]]/$M$2)</f>
        <v>5.25</v>
      </c>
      <c r="R16">
        <f>SUM(Table_3__2[[#This Row],[Yard_1]]/$M$2)</f>
        <v>38.4375</v>
      </c>
      <c r="S16">
        <f>SUM(Table_3__2[[#This Row],[TD_2]]/$M$2)</f>
        <v>0.1875</v>
      </c>
      <c r="T16" t="s">
        <v>12</v>
      </c>
      <c r="U16" t="s">
        <v>1980</v>
      </c>
      <c r="V16" s="103">
        <v>24</v>
      </c>
    </row>
    <row r="17" spans="1:22" x14ac:dyDescent="0.3">
      <c r="A17" s="3" t="s">
        <v>665</v>
      </c>
      <c r="B17" s="3">
        <v>16</v>
      </c>
      <c r="C17" s="3">
        <v>354</v>
      </c>
      <c r="D17" s="3">
        <v>1392</v>
      </c>
      <c r="E17" s="3">
        <v>10</v>
      </c>
      <c r="F17" s="3">
        <v>98</v>
      </c>
      <c r="G17" s="3">
        <v>748</v>
      </c>
      <c r="H17" s="3">
        <v>3</v>
      </c>
      <c r="I17" s="3">
        <v>292</v>
      </c>
      <c r="J17" s="2">
        <v>18.3</v>
      </c>
      <c r="L17" s="25" t="s">
        <v>678</v>
      </c>
      <c r="M17" s="25">
        <v>16</v>
      </c>
      <c r="N17">
        <f>SUM(Table_3__2[[#This Row],[Att]]/$M$2)</f>
        <v>22.125</v>
      </c>
      <c r="O17">
        <f>SUM(Table_3__2[[#This Row],[Yard]]/$M$2)</f>
        <v>87</v>
      </c>
      <c r="P17">
        <f>SUM(Table_3__2[[#This Row],[TD]]/$M$2)</f>
        <v>0.625</v>
      </c>
      <c r="Q17">
        <f>SUM(Table_3__2[[#This Row],[Rec]]/$M$2)</f>
        <v>6.125</v>
      </c>
      <c r="R17">
        <f>SUM(Table_3__2[[#This Row],[Yard_1]]/$M$2)</f>
        <v>46.75</v>
      </c>
      <c r="S17">
        <f>SUM(Table_3__2[[#This Row],[TD_2]]/$M$2)</f>
        <v>0.1875</v>
      </c>
      <c r="T17" t="s">
        <v>397</v>
      </c>
      <c r="U17" t="s">
        <v>1982</v>
      </c>
      <c r="V17" s="103">
        <v>4</v>
      </c>
    </row>
    <row r="18" spans="1:22" x14ac:dyDescent="0.3">
      <c r="A18" s="3" t="s">
        <v>666</v>
      </c>
      <c r="B18" s="3">
        <v>16</v>
      </c>
      <c r="C18" s="3">
        <v>334</v>
      </c>
      <c r="D18" s="3">
        <v>1515</v>
      </c>
      <c r="E18" s="3">
        <v>9</v>
      </c>
      <c r="F18" s="3">
        <v>58</v>
      </c>
      <c r="G18" s="3">
        <v>556</v>
      </c>
      <c r="H18" s="3">
        <v>4</v>
      </c>
      <c r="I18" s="3">
        <v>285.10000000000002</v>
      </c>
      <c r="J18" s="2">
        <v>17.8</v>
      </c>
      <c r="L18" s="26" t="s">
        <v>661</v>
      </c>
      <c r="M18" s="26">
        <v>16</v>
      </c>
      <c r="N18">
        <f>SUM(Table_3__2[[#This Row],[Att]]/$M$2)</f>
        <v>20.875</v>
      </c>
      <c r="O18">
        <f>SUM(Table_3__2[[#This Row],[Yard]]/$M$2)</f>
        <v>94.6875</v>
      </c>
      <c r="P18">
        <f>SUM(Table_3__2[[#This Row],[TD]]/$M$2)</f>
        <v>0.5625</v>
      </c>
      <c r="Q18">
        <f>SUM(Table_3__2[[#This Row],[Rec]]/$M$2)</f>
        <v>3.625</v>
      </c>
      <c r="R18">
        <f>SUM(Table_3__2[[#This Row],[Yard_1]]/$M$2)</f>
        <v>34.75</v>
      </c>
      <c r="S18">
        <f>SUM(Table_3__2[[#This Row],[TD_2]]/$M$2)</f>
        <v>0.25</v>
      </c>
      <c r="T18" t="s">
        <v>409</v>
      </c>
      <c r="U18" t="s">
        <v>2303</v>
      </c>
      <c r="V18" s="103">
        <v>21</v>
      </c>
    </row>
    <row r="19" spans="1:22" x14ac:dyDescent="0.3">
      <c r="A19" s="3" t="s">
        <v>667</v>
      </c>
      <c r="B19" s="3">
        <v>16</v>
      </c>
      <c r="C19" s="3">
        <v>346</v>
      </c>
      <c r="D19" s="3">
        <v>1425</v>
      </c>
      <c r="E19" s="3">
        <v>12</v>
      </c>
      <c r="F19" s="3">
        <v>68</v>
      </c>
      <c r="G19" s="3">
        <v>581</v>
      </c>
      <c r="H19" s="3">
        <v>1</v>
      </c>
      <c r="I19" s="3">
        <v>278.60000000000002</v>
      </c>
      <c r="J19" s="2">
        <v>17.399999999999999</v>
      </c>
      <c r="L19" s="25" t="s">
        <v>650</v>
      </c>
      <c r="M19" s="25">
        <v>16</v>
      </c>
      <c r="N19">
        <f>SUM(Table_3__2[[#This Row],[Att]]/$M$2)</f>
        <v>21.625</v>
      </c>
      <c r="O19">
        <f>SUM(Table_3__2[[#This Row],[Yard]]/$M$2)</f>
        <v>89.0625</v>
      </c>
      <c r="P19">
        <f>SUM(Table_3__2[[#This Row],[TD]]/$M$2)</f>
        <v>0.75</v>
      </c>
      <c r="Q19">
        <f>SUM(Table_3__2[[#This Row],[Rec]]/$M$2)</f>
        <v>4.25</v>
      </c>
      <c r="R19">
        <f>SUM(Table_3__2[[#This Row],[Yard_1]]/$M$2)</f>
        <v>36.3125</v>
      </c>
      <c r="S19">
        <f>SUM(Table_3__2[[#This Row],[TD_2]]/$M$2)</f>
        <v>6.25E-2</v>
      </c>
      <c r="T19" t="s">
        <v>57</v>
      </c>
      <c r="U19" t="s">
        <v>2003</v>
      </c>
      <c r="V19" s="103">
        <v>32</v>
      </c>
    </row>
    <row r="20" spans="1:22" x14ac:dyDescent="0.3">
      <c r="A20" s="3" t="s">
        <v>668</v>
      </c>
      <c r="B20" s="3">
        <v>16</v>
      </c>
      <c r="C20" s="3">
        <v>411</v>
      </c>
      <c r="D20" s="3">
        <v>1448</v>
      </c>
      <c r="E20" s="3">
        <v>8</v>
      </c>
      <c r="F20" s="3">
        <v>77</v>
      </c>
      <c r="G20" s="3">
        <v>529</v>
      </c>
      <c r="H20" s="3">
        <v>5</v>
      </c>
      <c r="I20" s="3">
        <v>275.7</v>
      </c>
      <c r="J20" s="2">
        <v>17.2</v>
      </c>
      <c r="L20" s="26" t="s">
        <v>673</v>
      </c>
      <c r="M20" s="26">
        <v>16</v>
      </c>
      <c r="N20">
        <f>SUM(Table_3__2[[#This Row],[Att]]/$M$2)</f>
        <v>25.6875</v>
      </c>
      <c r="O20">
        <f>SUM(Table_3__2[[#This Row],[Yard]]/$M$2)</f>
        <v>90.5</v>
      </c>
      <c r="P20">
        <f>SUM(Table_3__2[[#This Row],[TD]]/$M$2)</f>
        <v>0.5</v>
      </c>
      <c r="Q20">
        <f>SUM(Table_3__2[[#This Row],[Rec]]/$M$2)</f>
        <v>4.8125</v>
      </c>
      <c r="R20">
        <f>SUM(Table_3__2[[#This Row],[Yard_1]]/$M$2)</f>
        <v>33.0625</v>
      </c>
      <c r="S20">
        <f>SUM(Table_3__2[[#This Row],[TD_2]]/$M$2)</f>
        <v>0.3125</v>
      </c>
      <c r="T20" t="s">
        <v>41</v>
      </c>
      <c r="U20" t="s">
        <v>2304</v>
      </c>
      <c r="V20" s="103">
        <v>9</v>
      </c>
    </row>
    <row r="21" spans="1:22" x14ac:dyDescent="0.3">
      <c r="A21" s="3" t="s">
        <v>669</v>
      </c>
      <c r="B21" s="3">
        <v>16</v>
      </c>
      <c r="C21" s="3">
        <v>314</v>
      </c>
      <c r="D21" s="3">
        <v>1188</v>
      </c>
      <c r="E21" s="3">
        <v>9</v>
      </c>
      <c r="F21" s="3">
        <v>110</v>
      </c>
      <c r="G21" s="3">
        <v>806</v>
      </c>
      <c r="H21" s="3">
        <v>3</v>
      </c>
      <c r="I21" s="3">
        <v>271.39999999999998</v>
      </c>
      <c r="J21" s="2">
        <v>17</v>
      </c>
      <c r="L21" s="25" t="s">
        <v>676</v>
      </c>
      <c r="M21" s="25">
        <v>16</v>
      </c>
      <c r="N21">
        <f>SUM(Table_3__2[[#This Row],[Att]]/$M$2)</f>
        <v>19.625</v>
      </c>
      <c r="O21">
        <f>SUM(Table_3__2[[#This Row],[Yard]]/$M$2)</f>
        <v>74.25</v>
      </c>
      <c r="P21">
        <f>SUM(Table_3__2[[#This Row],[TD]]/$M$2)</f>
        <v>0.5625</v>
      </c>
      <c r="Q21">
        <f>SUM(Table_3__2[[#This Row],[Rec]]/$M$2)</f>
        <v>6.875</v>
      </c>
      <c r="R21">
        <f>SUM(Table_3__2[[#This Row],[Yard_1]]/$M$2)</f>
        <v>50.375</v>
      </c>
      <c r="S21">
        <f>SUM(Table_3__2[[#This Row],[TD_2]]/$M$2)</f>
        <v>0.1875</v>
      </c>
      <c r="T21" t="s">
        <v>402</v>
      </c>
      <c r="U21" t="s">
        <v>1992</v>
      </c>
      <c r="V21" s="103">
        <v>6</v>
      </c>
    </row>
    <row r="22" spans="1:22" x14ac:dyDescent="0.3">
      <c r="A22" s="3" t="s">
        <v>670</v>
      </c>
      <c r="B22" s="3">
        <v>16</v>
      </c>
      <c r="C22" s="3">
        <v>297</v>
      </c>
      <c r="D22" s="3">
        <v>1237</v>
      </c>
      <c r="E22" s="3">
        <v>6</v>
      </c>
      <c r="F22" s="3">
        <v>102</v>
      </c>
      <c r="G22" s="3">
        <v>799</v>
      </c>
      <c r="H22" s="3">
        <v>5</v>
      </c>
      <c r="I22" s="3">
        <v>269.60000000000002</v>
      </c>
      <c r="J22" s="2">
        <v>16.899999999999999</v>
      </c>
      <c r="L22" s="26" t="s">
        <v>651</v>
      </c>
      <c r="M22" s="26">
        <v>16</v>
      </c>
      <c r="N22">
        <f>SUM(Table_3__2[[#This Row],[Att]]/$M$2)</f>
        <v>18.5625</v>
      </c>
      <c r="O22">
        <f>SUM(Table_3__2[[#This Row],[Yard]]/$M$2)</f>
        <v>77.3125</v>
      </c>
      <c r="P22">
        <f>SUM(Table_3__2[[#This Row],[TD]]/$M$2)</f>
        <v>0.375</v>
      </c>
      <c r="Q22">
        <f>SUM(Table_3__2[[#This Row],[Rec]]/$M$2)</f>
        <v>6.375</v>
      </c>
      <c r="R22">
        <f>SUM(Table_3__2[[#This Row],[Yard_1]]/$M$2)</f>
        <v>49.9375</v>
      </c>
      <c r="S22">
        <f>SUM(Table_3__2[[#This Row],[TD_2]]/$M$2)</f>
        <v>0.3125</v>
      </c>
      <c r="T22" t="s">
        <v>404</v>
      </c>
      <c r="U22" t="s">
        <v>1963</v>
      </c>
      <c r="V22" s="103">
        <v>31</v>
      </c>
    </row>
    <row r="23" spans="1:22" x14ac:dyDescent="0.3">
      <c r="A23" s="3" t="s">
        <v>671</v>
      </c>
      <c r="B23" s="3">
        <v>16</v>
      </c>
      <c r="C23" s="3">
        <v>360</v>
      </c>
      <c r="D23" s="3">
        <v>1108</v>
      </c>
      <c r="E23" s="3">
        <v>9</v>
      </c>
      <c r="F23" s="3">
        <v>96</v>
      </c>
      <c r="G23" s="3">
        <v>727</v>
      </c>
      <c r="H23" s="3">
        <v>5</v>
      </c>
      <c r="I23" s="3">
        <v>267.5</v>
      </c>
      <c r="J23" s="2">
        <v>16.7</v>
      </c>
      <c r="L23" s="25" t="s">
        <v>656</v>
      </c>
      <c r="M23" s="25">
        <v>16</v>
      </c>
      <c r="N23">
        <f>SUM(Table_3__2[[#This Row],[Att]]/$M$2)</f>
        <v>22.5</v>
      </c>
      <c r="O23">
        <f>SUM(Table_3__2[[#This Row],[Yard]]/$M$2)</f>
        <v>69.25</v>
      </c>
      <c r="P23">
        <f>SUM(Table_3__2[[#This Row],[TD]]/$M$2)</f>
        <v>0.5625</v>
      </c>
      <c r="Q23">
        <f>SUM(Table_3__2[[#This Row],[Rec]]/$M$2)</f>
        <v>6</v>
      </c>
      <c r="R23">
        <f>SUM(Table_3__2[[#This Row],[Yard_1]]/$M$2)</f>
        <v>45.4375</v>
      </c>
      <c r="S23">
        <f>SUM(Table_3__2[[#This Row],[TD_2]]/$M$2)</f>
        <v>0.3125</v>
      </c>
      <c r="T23" t="s">
        <v>37</v>
      </c>
      <c r="U23" t="s">
        <v>1987</v>
      </c>
      <c r="V23" s="103">
        <v>26</v>
      </c>
    </row>
    <row r="24" spans="1:22" x14ac:dyDescent="0.3">
      <c r="A24" s="3" t="s">
        <v>672</v>
      </c>
      <c r="B24" s="3">
        <v>16</v>
      </c>
      <c r="C24" s="3">
        <v>331</v>
      </c>
      <c r="D24" s="3">
        <v>1389</v>
      </c>
      <c r="E24" s="3">
        <v>7</v>
      </c>
      <c r="F24" s="3">
        <v>74</v>
      </c>
      <c r="G24" s="3">
        <v>652</v>
      </c>
      <c r="H24" s="3">
        <v>3</v>
      </c>
      <c r="I24" s="3">
        <v>264.10000000000002</v>
      </c>
      <c r="J24" s="2">
        <v>16.5</v>
      </c>
      <c r="L24" s="25" t="s">
        <v>680</v>
      </c>
      <c r="M24" s="25">
        <v>16</v>
      </c>
      <c r="N24">
        <f>SUM(Table_3__2[[#This Row],[Att]]/$M$2)</f>
        <v>20.6875</v>
      </c>
      <c r="O24">
        <f>SUM(Table_3__2[[#This Row],[Yard]]/$M$2)</f>
        <v>86.8125</v>
      </c>
      <c r="P24">
        <f>SUM(Table_3__2[[#This Row],[TD]]/$M$2)</f>
        <v>0.4375</v>
      </c>
      <c r="Q24">
        <f>SUM(Table_3__2[[#This Row],[Rec]]/$M$2)</f>
        <v>4.625</v>
      </c>
      <c r="R24">
        <f>SUM(Table_3__2[[#This Row],[Yard_1]]/$M$2)</f>
        <v>40.75</v>
      </c>
      <c r="S24">
        <f>SUM(Table_3__2[[#This Row],[TD_2]]/$M$2)</f>
        <v>0.1875</v>
      </c>
      <c r="T24" t="s">
        <v>34</v>
      </c>
      <c r="U24" t="s">
        <v>2305</v>
      </c>
      <c r="V24" s="103">
        <v>2</v>
      </c>
    </row>
    <row r="25" spans="1:22" x14ac:dyDescent="0.3">
      <c r="A25" s="3" t="s">
        <v>673</v>
      </c>
      <c r="B25" s="3">
        <v>16</v>
      </c>
      <c r="C25" s="3">
        <v>355</v>
      </c>
      <c r="D25" s="3">
        <v>1502</v>
      </c>
      <c r="E25" s="3">
        <v>5</v>
      </c>
      <c r="F25" s="3">
        <v>76</v>
      </c>
      <c r="G25" s="3">
        <v>681</v>
      </c>
      <c r="H25" s="3">
        <v>2</v>
      </c>
      <c r="I25" s="3">
        <v>260.3</v>
      </c>
      <c r="J25" s="2">
        <v>16.3</v>
      </c>
      <c r="L25" s="26" t="s">
        <v>665</v>
      </c>
      <c r="M25" s="26">
        <v>16</v>
      </c>
      <c r="N25">
        <f>SUM(Table_3__2[[#This Row],[Att]]/$M$2)</f>
        <v>22.1875</v>
      </c>
      <c r="O25">
        <f>SUM(Table_3__2[[#This Row],[Yard]]/$M$2)</f>
        <v>93.875</v>
      </c>
      <c r="P25">
        <f>SUM(Table_3__2[[#This Row],[TD]]/$M$2)</f>
        <v>0.3125</v>
      </c>
      <c r="Q25">
        <f>SUM(Table_3__2[[#This Row],[Rec]]/$M$2)</f>
        <v>4.75</v>
      </c>
      <c r="R25">
        <f>SUM(Table_3__2[[#This Row],[Yard_1]]/$M$2)</f>
        <v>42.5625</v>
      </c>
      <c r="S25">
        <f>SUM(Table_3__2[[#This Row],[TD_2]]/$M$2)</f>
        <v>0.125</v>
      </c>
      <c r="T25" t="s">
        <v>4</v>
      </c>
      <c r="U25" t="s">
        <v>2306</v>
      </c>
      <c r="V25" s="103">
        <v>17</v>
      </c>
    </row>
    <row r="26" spans="1:22" x14ac:dyDescent="0.3">
      <c r="A26" s="3" t="s">
        <v>674</v>
      </c>
      <c r="B26" s="3">
        <v>16</v>
      </c>
      <c r="C26" s="3">
        <v>302</v>
      </c>
      <c r="D26" s="3">
        <v>1119</v>
      </c>
      <c r="E26" s="3">
        <v>8</v>
      </c>
      <c r="F26" s="3">
        <v>78</v>
      </c>
      <c r="G26" s="3">
        <v>747</v>
      </c>
      <c r="H26" s="3">
        <v>4</v>
      </c>
      <c r="I26" s="3">
        <v>258.60000000000002</v>
      </c>
      <c r="J26" s="2">
        <v>16.2</v>
      </c>
      <c r="L26" s="26" t="s">
        <v>655</v>
      </c>
      <c r="M26" s="26">
        <v>16</v>
      </c>
      <c r="N26">
        <f>SUM(Table_3__2[[#This Row],[Att]]/$M$2)</f>
        <v>18.875</v>
      </c>
      <c r="O26">
        <f>SUM(Table_3__2[[#This Row],[Yard]]/$M$2)</f>
        <v>69.9375</v>
      </c>
      <c r="P26">
        <f>SUM(Table_3__2[[#This Row],[TD]]/$M$2)</f>
        <v>0.5</v>
      </c>
      <c r="Q26">
        <f>SUM(Table_3__2[[#This Row],[Rec]]/$M$2)</f>
        <v>4.875</v>
      </c>
      <c r="R26">
        <f>SUM(Table_3__2[[#This Row],[Yard_1]]/$M$2)</f>
        <v>46.6875</v>
      </c>
      <c r="S26">
        <f>SUM(Table_3__2[[#This Row],[TD_2]]/$M$2)</f>
        <v>0.25</v>
      </c>
      <c r="T26" t="s">
        <v>39</v>
      </c>
      <c r="U26" t="s">
        <v>1965</v>
      </c>
      <c r="V26" s="103">
        <v>27</v>
      </c>
    </row>
    <row r="27" spans="1:22" x14ac:dyDescent="0.3">
      <c r="A27" s="3" t="s">
        <v>675</v>
      </c>
      <c r="B27" s="3">
        <v>16</v>
      </c>
      <c r="C27" s="3">
        <v>363</v>
      </c>
      <c r="D27" s="3">
        <v>1439</v>
      </c>
      <c r="E27" s="3">
        <v>8</v>
      </c>
      <c r="F27" s="3">
        <v>71</v>
      </c>
      <c r="G27" s="3">
        <v>571</v>
      </c>
      <c r="H27" s="3">
        <v>1</v>
      </c>
      <c r="I27" s="3">
        <v>255</v>
      </c>
      <c r="J27" s="2">
        <v>15.9</v>
      </c>
      <c r="L27" s="26" t="s">
        <v>679</v>
      </c>
      <c r="M27" s="26">
        <v>16</v>
      </c>
      <c r="N27">
        <f>SUM(Table_3__2[[#This Row],[Att]]/$M$2)</f>
        <v>22.6875</v>
      </c>
      <c r="O27">
        <f>SUM(Table_3__2[[#This Row],[Yard]]/$M$2)</f>
        <v>89.9375</v>
      </c>
      <c r="P27">
        <f>SUM(Table_3__2[[#This Row],[TD]]/$M$2)</f>
        <v>0.5</v>
      </c>
      <c r="Q27">
        <f>SUM(Table_3__2[[#This Row],[Rec]]/$M$2)</f>
        <v>4.4375</v>
      </c>
      <c r="R27">
        <f>SUM(Table_3__2[[#This Row],[Yard_1]]/$M$2)</f>
        <v>35.6875</v>
      </c>
      <c r="S27">
        <f>SUM(Table_3__2[[#This Row],[TD_2]]/$M$2)</f>
        <v>6.25E-2</v>
      </c>
      <c r="T27" t="s">
        <v>20</v>
      </c>
      <c r="U27" t="s">
        <v>2307</v>
      </c>
      <c r="V27" s="103">
        <v>3</v>
      </c>
    </row>
    <row r="28" spans="1:22" x14ac:dyDescent="0.3">
      <c r="A28" s="3" t="s">
        <v>676</v>
      </c>
      <c r="B28" s="3">
        <v>16</v>
      </c>
      <c r="C28" s="3">
        <v>353</v>
      </c>
      <c r="D28" s="3">
        <v>1387</v>
      </c>
      <c r="E28" s="3">
        <v>7</v>
      </c>
      <c r="F28" s="3">
        <v>92</v>
      </c>
      <c r="G28" s="3">
        <v>637</v>
      </c>
      <c r="H28" s="3">
        <v>1</v>
      </c>
      <c r="I28" s="3">
        <v>250.4</v>
      </c>
      <c r="J28" s="2">
        <v>15.7</v>
      </c>
      <c r="L28" s="26" t="s">
        <v>653</v>
      </c>
      <c r="M28" s="26">
        <v>16</v>
      </c>
      <c r="N28">
        <f>SUM(Table_3__2[[#This Row],[Att]]/$M$2)</f>
        <v>22.0625</v>
      </c>
      <c r="O28">
        <f>SUM(Table_3__2[[#This Row],[Yard]]/$M$2)</f>
        <v>86.6875</v>
      </c>
      <c r="P28">
        <f>SUM(Table_3__2[[#This Row],[TD]]/$M$2)</f>
        <v>0.4375</v>
      </c>
      <c r="Q28">
        <f>SUM(Table_3__2[[#This Row],[Rec]]/$M$2)</f>
        <v>5.75</v>
      </c>
      <c r="R28">
        <f>SUM(Table_3__2[[#This Row],[Yard_1]]/$M$2)</f>
        <v>39.8125</v>
      </c>
      <c r="S28">
        <f>SUM(Table_3__2[[#This Row],[TD_2]]/$M$2)</f>
        <v>6.25E-2</v>
      </c>
      <c r="T28" t="s">
        <v>407</v>
      </c>
      <c r="U28" t="s">
        <v>2308</v>
      </c>
      <c r="V28" s="103">
        <v>29</v>
      </c>
    </row>
    <row r="29" spans="1:22" x14ac:dyDescent="0.3">
      <c r="A29" s="3" t="s">
        <v>677</v>
      </c>
      <c r="B29" s="3">
        <v>16</v>
      </c>
      <c r="C29" s="3">
        <v>387</v>
      </c>
      <c r="D29" s="3">
        <v>1514</v>
      </c>
      <c r="E29" s="3">
        <v>6</v>
      </c>
      <c r="F29" s="3">
        <v>56</v>
      </c>
      <c r="G29" s="3">
        <v>497</v>
      </c>
      <c r="H29" s="3">
        <v>2</v>
      </c>
      <c r="I29" s="3">
        <v>249.1</v>
      </c>
      <c r="J29" s="2">
        <v>15.6</v>
      </c>
      <c r="L29" s="26" t="s">
        <v>681</v>
      </c>
      <c r="M29" s="26">
        <v>16</v>
      </c>
      <c r="N29">
        <f>SUM(Table_3__2[[#This Row],[Att]]/$M$2)</f>
        <v>24.1875</v>
      </c>
      <c r="O29">
        <f>SUM(Table_3__2[[#This Row],[Yard]]/$M$2)</f>
        <v>94.625</v>
      </c>
      <c r="P29">
        <f>SUM(Table_3__2[[#This Row],[TD]]/$M$2)</f>
        <v>0.375</v>
      </c>
      <c r="Q29">
        <f>SUM(Table_3__2[[#This Row],[Rec]]/$M$2)</f>
        <v>3.5</v>
      </c>
      <c r="R29">
        <f>SUM(Table_3__2[[#This Row],[Yard_1]]/$M$2)</f>
        <v>31.0625</v>
      </c>
      <c r="S29">
        <f>SUM(Table_3__2[[#This Row],[TD_2]]/$M$2)</f>
        <v>0.125</v>
      </c>
      <c r="T29" t="s">
        <v>7</v>
      </c>
      <c r="U29" t="s">
        <v>2001</v>
      </c>
      <c r="V29" s="103">
        <v>1</v>
      </c>
    </row>
    <row r="30" spans="1:22" x14ac:dyDescent="0.3">
      <c r="A30" s="3" t="s">
        <v>678</v>
      </c>
      <c r="B30" s="3">
        <v>16</v>
      </c>
      <c r="C30" s="3">
        <v>328</v>
      </c>
      <c r="D30" s="3">
        <v>1249</v>
      </c>
      <c r="E30" s="3">
        <v>7</v>
      </c>
      <c r="F30" s="3">
        <v>71</v>
      </c>
      <c r="G30" s="3">
        <v>492</v>
      </c>
      <c r="H30" s="3">
        <v>3</v>
      </c>
      <c r="I30" s="3">
        <v>234.1</v>
      </c>
      <c r="J30" s="2">
        <v>14.6</v>
      </c>
      <c r="L30" s="25" t="s">
        <v>652</v>
      </c>
      <c r="M30" s="25">
        <v>16</v>
      </c>
      <c r="N30">
        <f>SUM(Table_3__2[[#This Row],[Att]]/$M$2)</f>
        <v>20.5</v>
      </c>
      <c r="O30">
        <f>SUM(Table_3__2[[#This Row],[Yard]]/$M$2)</f>
        <v>78.0625</v>
      </c>
      <c r="P30">
        <f>SUM(Table_3__2[[#This Row],[TD]]/$M$2)</f>
        <v>0.4375</v>
      </c>
      <c r="Q30">
        <f>SUM(Table_3__2[[#This Row],[Rec]]/$M$2)</f>
        <v>4.4375</v>
      </c>
      <c r="R30">
        <f>SUM(Table_3__2[[#This Row],[Yard_1]]/$M$2)</f>
        <v>30.75</v>
      </c>
      <c r="S30">
        <f>SUM(Table_3__2[[#This Row],[TD_2]]/$M$2)</f>
        <v>0.1875</v>
      </c>
      <c r="T30" t="s">
        <v>398</v>
      </c>
      <c r="U30" t="s">
        <v>2309</v>
      </c>
      <c r="V30" s="103">
        <v>30</v>
      </c>
    </row>
    <row r="31" spans="1:22" x14ac:dyDescent="0.3">
      <c r="A31" s="3" t="s">
        <v>679</v>
      </c>
      <c r="B31" s="3">
        <v>16</v>
      </c>
      <c r="C31" s="3">
        <v>325</v>
      </c>
      <c r="D31" s="3">
        <v>1245</v>
      </c>
      <c r="E31" s="3">
        <v>4</v>
      </c>
      <c r="F31" s="3">
        <v>79</v>
      </c>
      <c r="G31" s="3">
        <v>659</v>
      </c>
      <c r="H31" s="3">
        <v>2</v>
      </c>
      <c r="I31" s="3">
        <v>226.4</v>
      </c>
      <c r="J31" s="2">
        <v>14.2</v>
      </c>
      <c r="L31" s="25" t="s">
        <v>668</v>
      </c>
      <c r="M31" s="25">
        <v>16</v>
      </c>
      <c r="N31">
        <f>SUM(Table_3__2[[#This Row],[Att]]/$M$2)</f>
        <v>20.3125</v>
      </c>
      <c r="O31">
        <f>SUM(Table_3__2[[#This Row],[Yard]]/$M$2)</f>
        <v>77.8125</v>
      </c>
      <c r="P31">
        <f>SUM(Table_3__2[[#This Row],[TD]]/$M$2)</f>
        <v>0.25</v>
      </c>
      <c r="Q31">
        <f>SUM(Table_3__2[[#This Row],[Rec]]/$M$2)</f>
        <v>4.9375</v>
      </c>
      <c r="R31">
        <f>SUM(Table_3__2[[#This Row],[Yard_1]]/$M$2)</f>
        <v>41.1875</v>
      </c>
      <c r="S31">
        <f>SUM(Table_3__2[[#This Row],[TD_2]]/$M$2)</f>
        <v>0.125</v>
      </c>
      <c r="T31" t="s">
        <v>401</v>
      </c>
      <c r="U31" t="s">
        <v>2005</v>
      </c>
      <c r="V31" s="103">
        <v>14</v>
      </c>
    </row>
    <row r="32" spans="1:22" x14ac:dyDescent="0.3">
      <c r="A32" s="3" t="s">
        <v>680</v>
      </c>
      <c r="B32" s="3">
        <v>16</v>
      </c>
      <c r="C32" s="3">
        <v>309</v>
      </c>
      <c r="D32" s="3">
        <v>1031</v>
      </c>
      <c r="E32" s="3">
        <v>2</v>
      </c>
      <c r="F32" s="3">
        <v>80</v>
      </c>
      <c r="G32" s="3">
        <v>655</v>
      </c>
      <c r="H32" s="3">
        <v>5</v>
      </c>
      <c r="I32" s="3">
        <v>210.6</v>
      </c>
      <c r="J32" s="2">
        <v>13.2</v>
      </c>
      <c r="L32" s="26" t="s">
        <v>677</v>
      </c>
      <c r="M32" s="26">
        <v>16</v>
      </c>
      <c r="N32">
        <f>SUM(Table_3__2[[#This Row],[Att]]/$M$2)</f>
        <v>19.3125</v>
      </c>
      <c r="O32">
        <f>SUM(Table_3__2[[#This Row],[Yard]]/$M$2)</f>
        <v>64.4375</v>
      </c>
      <c r="P32">
        <f>SUM(Table_3__2[[#This Row],[TD]]/$M$2)</f>
        <v>0.125</v>
      </c>
      <c r="Q32">
        <f>SUM(Table_3__2[[#This Row],[Rec]]/$M$2)</f>
        <v>5</v>
      </c>
      <c r="R32">
        <f>SUM(Table_3__2[[#This Row],[Yard_1]]/$M$2)</f>
        <v>40.9375</v>
      </c>
      <c r="S32">
        <f>SUM(Table_3__2[[#This Row],[TD_2]]/$M$2)</f>
        <v>0.3125</v>
      </c>
      <c r="T32" t="s">
        <v>30</v>
      </c>
      <c r="U32" t="s">
        <v>1978</v>
      </c>
      <c r="V32" s="103">
        <v>5</v>
      </c>
    </row>
    <row r="33" spans="1:22" x14ac:dyDescent="0.3">
      <c r="A33" s="3" t="s">
        <v>681</v>
      </c>
      <c r="B33" s="3">
        <v>16</v>
      </c>
      <c r="C33" s="3">
        <v>296</v>
      </c>
      <c r="D33" s="3">
        <v>1044</v>
      </c>
      <c r="E33" s="3">
        <v>5</v>
      </c>
      <c r="F33" s="3">
        <v>87</v>
      </c>
      <c r="G33" s="3">
        <v>623</v>
      </c>
      <c r="H33" s="3">
        <v>0</v>
      </c>
      <c r="I33" s="3">
        <v>196.7</v>
      </c>
      <c r="J33" s="2">
        <v>12.3</v>
      </c>
      <c r="L33" s="25" t="s">
        <v>664</v>
      </c>
      <c r="M33" s="25">
        <v>16</v>
      </c>
      <c r="N33">
        <f>SUM(Table_3__2[[#This Row],[Att]]/$M$2)</f>
        <v>18.5</v>
      </c>
      <c r="O33">
        <f>SUM(Table_3__2[[#This Row],[Yard]]/$M$2)</f>
        <v>65.25</v>
      </c>
      <c r="P33">
        <f>SUM(Table_3__2[[#This Row],[TD]]/$M$2)</f>
        <v>0.3125</v>
      </c>
      <c r="Q33">
        <f>SUM(Table_3__2[[#This Row],[Rec]]/$M$2)</f>
        <v>5.4375</v>
      </c>
      <c r="R33">
        <f>SUM(Table_3__2[[#This Row],[Yard_1]]/$M$2)</f>
        <v>38.9375</v>
      </c>
      <c r="S33">
        <f>SUM(Table_3__2[[#This Row],[TD_2]]/$M$2)</f>
        <v>0</v>
      </c>
      <c r="T33" t="s">
        <v>18</v>
      </c>
      <c r="U33" t="s">
        <v>2310</v>
      </c>
      <c r="V33" s="103">
        <v>18</v>
      </c>
    </row>
  </sheetData>
  <pageMargins left="0.7" right="0.7" top="0.75" bottom="0.75" header="0.3" footer="0.3"/>
  <tableParts count="2">
    <tablePart r:id="rId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BD123"/>
  <sheetViews>
    <sheetView zoomScale="85" zoomScaleNormal="85" workbookViewId="0">
      <pane xSplit="4" ySplit="10" topLeftCell="E11" activePane="bottomRight" state="frozen"/>
      <selection activeCell="A2" sqref="A2"/>
      <selection pane="topRight" activeCell="A2" sqref="A2"/>
      <selection pane="bottomLeft" activeCell="A2" sqref="A2"/>
      <selection pane="bottomRight" activeCell="R12" sqref="R12"/>
    </sheetView>
  </sheetViews>
  <sheetFormatPr defaultColWidth="9.109375" defaultRowHeight="14.4" x14ac:dyDescent="0.3"/>
  <cols>
    <col min="1" max="1" width="2.77734375" style="9" customWidth="1"/>
    <col min="2" max="2" width="21.109375" style="9" bestFit="1" customWidth="1"/>
    <col min="3" max="3" width="8.77734375" style="196" bestFit="1" customWidth="1"/>
    <col min="4" max="4" width="11" style="9" bestFit="1" customWidth="1"/>
    <col min="5" max="5" width="8.44140625" style="9" bestFit="1" customWidth="1"/>
    <col min="6" max="6" width="11" style="9" bestFit="1" customWidth="1"/>
    <col min="7" max="7" width="13.109375" style="38" bestFit="1" customWidth="1"/>
    <col min="8" max="8" width="13.109375" style="9" bestFit="1" customWidth="1"/>
    <col min="9" max="9" width="9.77734375" style="200" bestFit="1" customWidth="1"/>
    <col min="10" max="10" width="11" style="9" bestFit="1" customWidth="1"/>
    <col min="11" max="11" width="12.109375" style="9" bestFit="1" customWidth="1"/>
    <col min="12" max="12" width="9.5546875" style="39" bestFit="1" customWidth="1"/>
    <col min="13" max="13" width="10.77734375" style="262" bestFit="1" customWidth="1"/>
    <col min="14" max="14" width="12.77734375" style="9" bestFit="1" customWidth="1"/>
    <col min="15" max="15" width="12" style="263" bestFit="1" customWidth="1"/>
    <col min="16" max="16" width="11.44140625" style="9" bestFit="1" customWidth="1"/>
    <col min="17" max="17" width="12.77734375" style="40" bestFit="1" customWidth="1"/>
    <col min="18" max="18" width="12.5546875" style="9" bestFit="1" customWidth="1"/>
    <col min="19" max="19" width="11.77734375" style="9" bestFit="1" customWidth="1"/>
    <col min="20" max="20" width="12.5546875" style="9" bestFit="1" customWidth="1"/>
    <col min="21" max="22" width="13.109375" style="9" bestFit="1" customWidth="1"/>
    <col min="23" max="23" width="13.109375" style="40" bestFit="1" customWidth="1"/>
    <col min="24" max="24" width="9.88671875" style="9" bestFit="1" customWidth="1"/>
    <col min="25" max="25" width="15.44140625" style="9" customWidth="1"/>
    <col min="26" max="26" width="10.77734375" style="40" customWidth="1"/>
    <col min="27" max="27" width="10.44140625" style="42" bestFit="1" customWidth="1"/>
    <col min="28" max="28" width="11.44140625" style="9" customWidth="1"/>
    <col min="29" max="30" width="7.44140625" style="9" hidden="1" customWidth="1"/>
    <col min="31" max="31" width="10.6640625" style="9" bestFit="1" customWidth="1"/>
    <col min="32" max="34" width="7.77734375" style="9" hidden="1" customWidth="1"/>
    <col min="35" max="35" width="7.5546875" style="9" hidden="1" customWidth="1"/>
    <col min="36" max="38" width="9.5546875" style="9" hidden="1" customWidth="1"/>
    <col min="39" max="39" width="9.21875" style="9" hidden="1" customWidth="1"/>
    <col min="40" max="40" width="7" style="9" hidden="1" customWidth="1"/>
    <col min="41" max="41" width="7" style="171" hidden="1" customWidth="1"/>
    <col min="42" max="42" width="7" style="9" hidden="1" customWidth="1"/>
    <col min="43" max="43" width="6.77734375" style="9" hidden="1" customWidth="1"/>
    <col min="44" max="45" width="11.77734375" style="9" hidden="1" customWidth="1"/>
    <col min="46" max="47" width="13.5546875" style="9" hidden="1" customWidth="1"/>
    <col min="48" max="49" width="11.109375" style="9" hidden="1" customWidth="1"/>
    <col min="50" max="50" width="7.88671875" style="9" hidden="1" customWidth="1"/>
    <col min="51" max="56" width="12.77734375" style="9" hidden="1" customWidth="1"/>
    <col min="57" max="62" width="12.77734375" style="9" bestFit="1" customWidth="1"/>
    <col min="63" max="16384" width="9.109375" style="9"/>
  </cols>
  <sheetData>
    <row r="1" spans="1:56" x14ac:dyDescent="0.3">
      <c r="A1" s="269"/>
      <c r="B1" s="273"/>
      <c r="C1" s="274"/>
      <c r="D1" s="275"/>
    </row>
    <row r="2" spans="1:56" x14ac:dyDescent="0.3">
      <c r="A2" s="271"/>
      <c r="B2" s="105"/>
      <c r="C2" s="276"/>
      <c r="D2" s="277"/>
    </row>
    <row r="3" spans="1:56" x14ac:dyDescent="0.3">
      <c r="A3" s="271"/>
      <c r="B3" s="105"/>
      <c r="C3" s="276"/>
      <c r="D3" s="277"/>
    </row>
    <row r="4" spans="1:56" x14ac:dyDescent="0.3">
      <c r="A4" s="271"/>
      <c r="B4" s="105"/>
      <c r="C4" s="276"/>
      <c r="D4" s="277"/>
    </row>
    <row r="5" spans="1:56" x14ac:dyDescent="0.3">
      <c r="A5" s="271"/>
      <c r="B5" s="535" t="s">
        <v>414</v>
      </c>
      <c r="C5" s="535"/>
      <c r="D5" s="536"/>
      <c r="E5" s="13"/>
      <c r="F5" s="13"/>
    </row>
    <row r="6" spans="1:56" x14ac:dyDescent="0.3">
      <c r="A6" s="271"/>
      <c r="B6" s="105"/>
      <c r="C6" s="276"/>
      <c r="D6" s="277"/>
    </row>
    <row r="7" spans="1:56" x14ac:dyDescent="0.3">
      <c r="A7" s="271"/>
      <c r="B7" s="105"/>
      <c r="C7" s="276"/>
      <c r="D7" s="277"/>
    </row>
    <row r="8" spans="1:56" ht="15" thickBot="1" x14ac:dyDescent="0.35">
      <c r="A8" s="528" t="s">
        <v>1909</v>
      </c>
      <c r="B8" s="529"/>
      <c r="C8" s="529"/>
      <c r="D8" s="530"/>
      <c r="E8" s="12"/>
      <c r="F8" s="12"/>
    </row>
    <row r="9" spans="1:56" ht="15" thickBot="1" x14ac:dyDescent="0.35">
      <c r="A9" s="531">
        <f>QB_matchups!A9</f>
        <v>42641</v>
      </c>
      <c r="B9" s="532"/>
      <c r="C9" s="532"/>
      <c r="D9" s="533"/>
      <c r="E9" s="20"/>
      <c r="F9" s="20"/>
      <c r="G9" s="537" t="s">
        <v>2454</v>
      </c>
      <c r="H9" s="538"/>
      <c r="I9" s="538"/>
      <c r="J9" s="539"/>
      <c r="K9" s="540" t="s">
        <v>2457</v>
      </c>
      <c r="L9" s="541"/>
      <c r="M9" s="542"/>
      <c r="O9" s="548" t="s">
        <v>2511</v>
      </c>
      <c r="P9" s="549"/>
      <c r="Q9" s="546" t="s">
        <v>2512</v>
      </c>
      <c r="R9" s="547"/>
      <c r="S9" s="544" t="s">
        <v>2593</v>
      </c>
      <c r="T9" s="544"/>
      <c r="U9" s="544"/>
      <c r="V9" s="544"/>
      <c r="W9" s="544"/>
      <c r="X9" s="544"/>
      <c r="Y9" s="544"/>
      <c r="Z9" s="544"/>
      <c r="AA9" s="544"/>
      <c r="AB9" s="545"/>
    </row>
    <row r="10" spans="1:56" ht="15" thickBot="1" x14ac:dyDescent="0.35">
      <c r="A10" s="278" t="s">
        <v>0</v>
      </c>
      <c r="B10" s="35" t="s">
        <v>415</v>
      </c>
      <c r="C10" s="197" t="s">
        <v>416</v>
      </c>
      <c r="D10" s="197" t="s">
        <v>1912</v>
      </c>
      <c r="E10" s="35" t="s">
        <v>387</v>
      </c>
      <c r="F10" s="35" t="s">
        <v>81</v>
      </c>
      <c r="G10" s="399" t="s">
        <v>389</v>
      </c>
      <c r="H10" s="400" t="s">
        <v>388</v>
      </c>
      <c r="I10" s="400" t="s">
        <v>2459</v>
      </c>
      <c r="J10" s="401" t="s">
        <v>601</v>
      </c>
      <c r="K10" s="399" t="s">
        <v>1606</v>
      </c>
      <c r="L10" s="400" t="s">
        <v>1607</v>
      </c>
      <c r="M10" s="401" t="s">
        <v>2294</v>
      </c>
      <c r="N10" s="35" t="s">
        <v>425</v>
      </c>
      <c r="O10" s="470" t="s">
        <v>1544</v>
      </c>
      <c r="P10" s="400" t="s">
        <v>1545</v>
      </c>
      <c r="Q10" s="471" t="s">
        <v>1530</v>
      </c>
      <c r="R10" s="404" t="s">
        <v>1531</v>
      </c>
      <c r="S10" s="462" t="s">
        <v>2464</v>
      </c>
      <c r="T10" s="400" t="s">
        <v>2462</v>
      </c>
      <c r="U10" s="467" t="s">
        <v>597</v>
      </c>
      <c r="V10" s="401" t="s">
        <v>390</v>
      </c>
      <c r="W10" s="41" t="s">
        <v>598</v>
      </c>
      <c r="X10" s="35" t="s">
        <v>2463</v>
      </c>
      <c r="Y10" s="35" t="s">
        <v>1672</v>
      </c>
      <c r="Z10" s="41" t="s">
        <v>604</v>
      </c>
      <c r="AA10" s="41" t="s">
        <v>1592</v>
      </c>
      <c r="AB10" s="43" t="s">
        <v>749</v>
      </c>
      <c r="AC10" s="314" t="s">
        <v>1674</v>
      </c>
      <c r="AD10" s="314" t="s">
        <v>1675</v>
      </c>
      <c r="AE10" s="213" t="s">
        <v>1412</v>
      </c>
      <c r="AF10" s="213" t="s">
        <v>1543</v>
      </c>
      <c r="AG10" s="35" t="s">
        <v>811</v>
      </c>
      <c r="AH10" s="35" t="s">
        <v>812</v>
      </c>
      <c r="AI10" s="35" t="s">
        <v>1348</v>
      </c>
      <c r="AJ10" s="35" t="s">
        <v>802</v>
      </c>
      <c r="AK10" s="35" t="s">
        <v>785</v>
      </c>
      <c r="AL10" s="35" t="s">
        <v>782</v>
      </c>
      <c r="AM10" s="35" t="s">
        <v>1343</v>
      </c>
      <c r="AN10" s="35" t="s">
        <v>788</v>
      </c>
      <c r="AO10" s="35" t="s">
        <v>776</v>
      </c>
      <c r="AP10" s="35" t="s">
        <v>777</v>
      </c>
      <c r="AQ10" s="35" t="s">
        <v>1334</v>
      </c>
      <c r="AR10" s="35" t="s">
        <v>789</v>
      </c>
      <c r="AS10" s="35" t="s">
        <v>778</v>
      </c>
      <c r="AT10" s="35" t="s">
        <v>779</v>
      </c>
      <c r="AU10" s="35" t="s">
        <v>1335</v>
      </c>
      <c r="AV10" s="35" t="s">
        <v>1349</v>
      </c>
      <c r="AW10" s="35" t="s">
        <v>1338</v>
      </c>
      <c r="AX10" s="35" t="s">
        <v>780</v>
      </c>
      <c r="AY10" s="35" t="s">
        <v>781</v>
      </c>
      <c r="AZ10" s="35" t="s">
        <v>795</v>
      </c>
      <c r="BA10" s="35" t="s">
        <v>796</v>
      </c>
      <c r="BB10" s="35" t="s">
        <v>1563</v>
      </c>
      <c r="BC10" s="35" t="s">
        <v>2461</v>
      </c>
      <c r="BD10" s="35" t="s">
        <v>2465</v>
      </c>
    </row>
    <row r="11" spans="1:56" ht="15" thickBot="1" x14ac:dyDescent="0.35">
      <c r="A11" s="37">
        <f>WRstats1!AL2</f>
        <v>19.399999999999999</v>
      </c>
      <c r="B11" s="5" t="str">
        <f>WRstats1!D2</f>
        <v>Antonio Brown</v>
      </c>
      <c r="C11" s="172">
        <f>IFERROR(INDEX(Salaries[DraftKings (Price)],MATCH(WRmatchups[[#This Row],[Name]],Salaries[Player],0)),"")</f>
        <v>9700</v>
      </c>
      <c r="D11" s="172">
        <f>IFERROR(INDEX(DK_Salary_Changes[WeekChange],MATCH(WRmatchups[[#This Row],[Name]],DK_Salary_Changes[Player],0)),"")</f>
        <v>100</v>
      </c>
      <c r="E11" s="14" t="str">
        <f>IFERROR(INDEX(Salaries[Team],MATCH(WRmatchups[[#This Row],[Name]],Salaries[Player],0)),"")</f>
        <v>PIT</v>
      </c>
      <c r="F11" s="460" t="str">
        <f>IFERROR(INDEX(Salaries[Opp],MATCH(WRmatchups[[#This Row],[Team]],Salaries[Team],0)),"")</f>
        <v>KC</v>
      </c>
      <c r="G11" s="457">
        <f>IFERROR(INDEX(WRYTD[Rec],MATCH(WRmatchups[Name],WRYTD[Player],0)),"0")</f>
        <v>24</v>
      </c>
      <c r="H11" s="458">
        <f>IFERROR(INDEX(targettracker54[TTL],MATCH(WRmatchups[Name],targettracker54[Name],0)),"")</f>
        <v>40</v>
      </c>
      <c r="I11" s="458">
        <f>IFERROR(INDEX(WRYTD[Rec Yds],MATCH(WRmatchups[Name],WRYTD[Player],0)),"0")</f>
        <v>305</v>
      </c>
      <c r="J11" s="459">
        <f>IFERROR(INDEX(WRYTD[Rec TD],MATCH(WRmatchups[Name],WRYTD[Player],0)),"0")</f>
        <v>2</v>
      </c>
      <c r="K11" s="473">
        <f>IFERROR(INDEX(Salaries[O/U],MATCH(WRmatchups[[#This Row],[Team]],Salaries[Team],0)),"")</f>
        <v>47.5</v>
      </c>
      <c r="L11" s="32">
        <f>IFERROR(INDEX(Salaries[Team O/U],MATCH(WRmatchups[[#This Row],[Team]],Salaries[Team],0)),"")</f>
        <v>26.5</v>
      </c>
      <c r="M11" s="417">
        <f>IFERROR(INDEX(Salaries[Spread],MATCH(WRmatchups[[#This Row],[Team]],Salaries[Team],0)),"")</f>
        <v>-5.5</v>
      </c>
      <c r="N11" s="424">
        <f>IFERROR(INDEX(WRallowed[DVP],MATCH(WRmatchups[[#This Row],[Opp]],WRallowed[Team],0)),IFERROR(INDEX(WRallowed[DVP],MATCH(WRmatchups[[#This Row],[Opp]],WRallowed[Opp],0)),""))</f>
        <v>24</v>
      </c>
      <c r="O11" s="17">
        <f>IFERROR(INDEX(YAtCData[YAtC],MATCH(WRmatchups[[#This Row],[Name]],YAtCData[Player],0)),"0")</f>
        <v>240</v>
      </c>
      <c r="P11" s="497">
        <f>IFERROR(INDEX(YAtCData[YAtC/Rec],MATCH(WRmatchups[[#This Row],[Name]],YAtCData[Player],0)),"0")</f>
        <v>10</v>
      </c>
      <c r="Q11" s="17">
        <f>IFERROR(INDEX(YAtCData[YAC],MATCH(WRmatchups[[#This Row],[Name]],YAtCData[Player],0)),"0")</f>
        <v>65</v>
      </c>
      <c r="R11" s="497">
        <f>IFERROR(INDEX(YACDATA[YAC per Reception],MATCH(WRmatchups[[#This Row],[Name]],YACDATA[Player],0)),"0")</f>
        <v>2.7</v>
      </c>
      <c r="S11" s="418">
        <f>AVERAGE(WRmatchups[[#This Row],[Tar1]:[Tar3]])</f>
        <v>11.9</v>
      </c>
      <c r="T11" s="464">
        <f>AVERAGE(WRmatchups[[#This Row],[Rec1]:[Rec3]])</f>
        <v>8.0316666666666681</v>
      </c>
      <c r="U11" s="468">
        <f>SUM(WRmatchups[[#This Row],[Rec4]]/WRmatchups[[#This Row],[Targets2]])</f>
        <v>0.67492997198879556</v>
      </c>
      <c r="V11" s="417">
        <f>AVERAGE(WRmatchups[[#This Row],[Yards1]:[Yards3]])</f>
        <v>110.63600000000001</v>
      </c>
      <c r="W11" s="461">
        <f>SUM(WRmatchups[[#This Row],[Yards]]/WRmatchups[[#This Row],[Targets2]])</f>
        <v>9.2971428571428572</v>
      </c>
      <c r="X11" s="32">
        <f>AVERAGE(WRmatchups[[#This Row],[TD1]:[TD3]])</f>
        <v>0.70750000000000002</v>
      </c>
      <c r="Y11" s="14">
        <f>_xlfn.RANK.EQ(WRmatchups[[#This Row],[Projection]],WRmatchups[Projection],0)</f>
        <v>1</v>
      </c>
      <c r="Z11" s="47">
        <f>SUM(WRmatchups[[#This Row],[Yards]]*0.1)+(WRmatchups[[#This Row],[RecTD5]]*6)+(WRmatchups[[#This Row],[Rec4]]*1)+(WRmatchups[[#This Row],[100+]])</f>
        <v>26.340266666666672</v>
      </c>
      <c r="AA11" s="345">
        <f>_xlfn.RANK.EQ(WRmatchups[[#This Row],[$/FP]],WRmatchups[$/FP],1)</f>
        <v>8</v>
      </c>
      <c r="AB11" s="22">
        <f>SUM(WRmatchups[[#This Row],[Salary]]/WRmatchups[[#This Row],[Projection]])</f>
        <v>368.2574714505547</v>
      </c>
      <c r="AC11" s="317">
        <f>_xlfn.RANK.EQ(WRmatchups[[#This Row],[Average]],WRmatchups[Average],1)</f>
        <v>1</v>
      </c>
      <c r="AD11" s="317">
        <f>AVERAGE(WRmatchups[[#This Row],[Proj Rank]],WRmatchups[[#This Row],[Value Rank]])</f>
        <v>4.5</v>
      </c>
      <c r="AE11" s="348">
        <f>WRmatchups[[#This Row],[Salary]]/50000</f>
        <v>0.19400000000000001</v>
      </c>
      <c r="AF11" s="214"/>
      <c r="AG11" s="14">
        <f>IFERROR(INDEX(WRstats3[Targets],MATCH(WRmatchups[[#This Row],[Name]],WRstats3[Player],0)),"0")</f>
        <v>11.9</v>
      </c>
      <c r="AH11" s="14" t="str">
        <f>IFERROR(INDEX(WRstats2[Targets],MATCH(WRmatchups[[#This Row],[Name]],WRstats2[Player],0)),"0")</f>
        <v>0</v>
      </c>
      <c r="AI11" s="14">
        <f>IFERROR(INDEX(WRstats3[Targets],MATCH(WRmatchups[[#This Row],[Name]],WRstats3[Player],0)),"0")</f>
        <v>11.9</v>
      </c>
      <c r="AJ11" s="14">
        <f>IFERROR(INDEX(WRstats1[Rec],MATCH(WRmatchups[[#This Row],[Name]],WRstats1[Player],0)),"0")</f>
        <v>7.4950000000000001</v>
      </c>
      <c r="AK11" s="14">
        <f>IFERROR(INDEX(WRstats2[Rec],MATCH(WRmatchups[[#This Row],[Name]],WRstats2[Player],0)),"0")</f>
        <v>8.3000000000000007</v>
      </c>
      <c r="AL11" s="14">
        <f>IFERROR(INDEX(WRstats3[Rec],MATCH(WRmatchups[[#This Row],[Name]],WRstats3[Player],0)),"0")</f>
        <v>8.3000000000000007</v>
      </c>
      <c r="AM11" s="32">
        <f>IFERROR(INDEX(WRallowed[Rec],MATCH(WRmatchups[[#This Row],[Opp]],WRallowed[Team],0)),"0")</f>
        <v>12.0625</v>
      </c>
      <c r="AN11" s="14">
        <f>IFERROR(INDEX(WRstats1[Rec Yds],MATCH(WRmatchups[[#This Row],[Name]],WRstats1[Player],0)),"0")</f>
        <v>113.708</v>
      </c>
      <c r="AO11" s="14">
        <f>IFERROR(INDEX(WRstats2[RecYards],MATCH(WRmatchups[[#This Row],[Name]],WRstats2[Player],0)),"0")</f>
        <v>100.8</v>
      </c>
      <c r="AP11" s="14">
        <f>IFERROR(INDEX(WRstats3[RecYards],MATCH(WRmatchups[[#This Row],[Name]],WRstats3[Player],0)),"0")</f>
        <v>117.4</v>
      </c>
      <c r="AQ11" s="32">
        <f>IFERROR(INDEX(WRallowed[Yard],MATCH(WRmatchups[[#This Row],[Opp]],WRallowed[Team],0)),"0")</f>
        <v>161.5625</v>
      </c>
      <c r="AR11" s="14">
        <f>IFERROR(INDEX(WRstats1[Rec TD],MATCH(WRmatchups[[#This Row],[Name]],WRstats1[Player],0)),"0")</f>
        <v>0.71499999999999997</v>
      </c>
      <c r="AS11" s="14" t="str">
        <f>IFERROR(INDEX(WRstats2[RecTD],MATCH(WRmatchups[[#This Row],[Name]],WRstats2[Player],0)),"0")</f>
        <v>0.5</v>
      </c>
      <c r="AT11" s="14">
        <f>IFERROR(INDEX(WRstats3[RecTD],MATCH(WRmatchups[[#This Row],[Name]],WRstats3[Player],0)),"0")</f>
        <v>0.7</v>
      </c>
      <c r="AU11" s="32">
        <f>IFERROR(INDEX(WRallowed[TD],MATCH(WRmatchups[[#This Row],[Opp]],WRallowed[Team],0)),"0")*0.5</f>
        <v>0.53125</v>
      </c>
      <c r="AV11" s="14" t="str">
        <f>IFERROR(INDEX(WRstats2[RushAtt],MATCH(WRmatchups[[#This Row],[Name]],WRstats2[Player],0)),"0")</f>
        <v>0.5</v>
      </c>
      <c r="AW11" s="14">
        <f>IFERROR(INDEX(WRstats3[RushATT],MATCH(WRmatchups[[#This Row],[Name]],WRstats3[Player],0)),"0")</f>
        <v>0.2</v>
      </c>
      <c r="AX11" s="14" t="str">
        <f>IFERROR(INDEX(WRstats2[RushYards],MATCH(WRmatchups[[#This Row],[Name]],WRstats2[Player],0)),"0")</f>
        <v>0.3</v>
      </c>
      <c r="AY11" s="14">
        <f>IFERROR(INDEX(WRstats3[RushYards],MATCH(WRmatchups[[#This Row],[Name]],WRstats3[Player],0)),"0")</f>
        <v>1.3</v>
      </c>
      <c r="AZ11" s="14" t="str">
        <f>IFERROR(INDEX(WRstats2[RushTD],MATCH(WRmatchups[[#This Row],[Name]],WRstats2[Player],0)),"0")</f>
        <v>0</v>
      </c>
      <c r="BA11" s="14">
        <f>IFERROR(INDEX(WRstats3[RushTD],MATCH(WRmatchups[[#This Row],[Name]],WRstats3[Player],0)),"0")</f>
        <v>0</v>
      </c>
      <c r="BB11" s="264">
        <f>IF(WRmatchups[[#This Row],[Yards]]&gt;=100,3,0)</f>
        <v>3</v>
      </c>
      <c r="BC11" s="191" t="str">
        <f>IFERROR(INDEX(#REF!,MATCH(WRmatchups[Name],#REF!,0)),"0")</f>
        <v>0</v>
      </c>
      <c r="BD11" s="493">
        <f>WRmatchups[[#This Row],[Targets]]/WRmatchups[[#This Row],[Salary]]*100</f>
        <v>0.41237113402061859</v>
      </c>
    </row>
    <row r="12" spans="1:56" ht="15" thickBot="1" x14ac:dyDescent="0.35">
      <c r="A12" s="37">
        <f>WRstats1!AL4</f>
        <v>16.5</v>
      </c>
      <c r="B12" s="5" t="str">
        <f>WRstats1!D4</f>
        <v>Julio Jones</v>
      </c>
      <c r="C12" s="195">
        <f>IFERROR(INDEX(Salaries[DraftKings (Price)],MATCH(WRmatchups[[#This Row],[Name]],Salaries[Player],0)),"")</f>
        <v>9200</v>
      </c>
      <c r="D12" s="195">
        <f>IFERROR(INDEX(DK_Salary_Changes[WeekChange],MATCH(WRmatchups[[#This Row],[Name]],DK_Salary_Changes[Player],0)),"")</f>
        <v>-300</v>
      </c>
      <c r="E12" s="14" t="str">
        <f>IFERROR(INDEX(Salaries[Team],MATCH(WRmatchups[[#This Row],[Name]],Salaries[Player],0)),"")</f>
        <v>ATL</v>
      </c>
      <c r="F12" s="460" t="str">
        <f>IFERROR(INDEX(Salaries[Opp],MATCH(WRmatchups[[#This Row],[Team]],Salaries[Team],0)),"")</f>
        <v>CAR</v>
      </c>
      <c r="G12" s="476">
        <f>IFERROR(INDEX(WRYTD[Rec],MATCH(WRmatchups[Name],WRYTD[Player],0)),"0")</f>
        <v>10</v>
      </c>
      <c r="H12" s="458">
        <f>IFERROR(INDEX(targettracker54[TTL],MATCH(WRmatchups[Name],targettracker54[Name],0)),"")</f>
        <v>20</v>
      </c>
      <c r="I12" s="475">
        <f>IFERROR(INDEX(WRYTD[Rec Yds],MATCH(WRmatchups[Name],WRYTD[Player],0)),"0")</f>
        <v>188</v>
      </c>
      <c r="J12" s="477">
        <f>IFERROR(INDEX(WRYTD[Rec TD],MATCH(WRmatchups[Name],WRYTD[Player],0)),"0")</f>
        <v>2</v>
      </c>
      <c r="K12" s="473">
        <f>IFERROR(INDEX(Salaries[O/U],MATCH(WRmatchups[[#This Row],[Team]],Salaries[Team],0)),"")</f>
        <v>50</v>
      </c>
      <c r="L12" s="32">
        <f>IFERROR(INDEX(Salaries[Team O/U],MATCH(WRmatchups[[#This Row],[Team]],Salaries[Team],0)),"")</f>
        <v>23.5</v>
      </c>
      <c r="M12" s="417">
        <f>IFERROR(INDEX(Salaries[Spread],MATCH(WRmatchups[[#This Row],[Team]],Salaries[Team],0)),"")</f>
        <v>3</v>
      </c>
      <c r="N12" s="424">
        <f>IFERROR(INDEX(WRallowed[DVP],MATCH(WRmatchups[[#This Row],[Opp]],WRallowed[Team],0)),IFERROR(INDEX(WRallowed[DVP],MATCH(WRmatchups[[#This Row],[Opp]],WRallowed[Opp],0)),""))</f>
        <v>8</v>
      </c>
      <c r="O12" s="17">
        <f>IFERROR(INDEX(YAtCData[YAtC],MATCH(WRmatchups[[#This Row],[Name]],YAtCData[Player],0)),"0")</f>
        <v>114</v>
      </c>
      <c r="P12" s="497">
        <f>IFERROR(INDEX(YAtCData[YAtC/Rec],MATCH(WRmatchups[[#This Row],[Name]],YAtCData[Player],0)),"0")</f>
        <v>11.4</v>
      </c>
      <c r="Q12" s="17">
        <f>IFERROR(INDEX(YAtCData[YAC],MATCH(WRmatchups[[#This Row],[Name]],YAtCData[Player],0)),"0")</f>
        <v>74</v>
      </c>
      <c r="R12" s="497">
        <f>IFERROR(INDEX(YACDATA[YAC per Reception],MATCH(WRmatchups[[#This Row],[Name]],YACDATA[Player],0)),"0")</f>
        <v>7.4</v>
      </c>
      <c r="S12" s="418">
        <f>AVERAGE(WRmatchups[[#This Row],[Tar1]:[Tar3]])</f>
        <v>12.7</v>
      </c>
      <c r="T12" s="464">
        <f>AVERAGE(WRmatchups[[#This Row],[Rec1]:[Rec3]])</f>
        <v>7.3356666666666674</v>
      </c>
      <c r="U12" s="468">
        <f>SUM(WRmatchups[[#This Row],[Rec4]]/WRmatchups[[#This Row],[Targets2]])</f>
        <v>0.57761154855643049</v>
      </c>
      <c r="V12" s="417">
        <f>AVERAGE(WRmatchups[[#This Row],[Yards1]:[Yards3]])</f>
        <v>101.94233333333334</v>
      </c>
      <c r="W12" s="461">
        <f>SUM(WRmatchups[[#This Row],[Yards]]/WRmatchups[[#This Row],[Targets2]])</f>
        <v>8.0269553805774283</v>
      </c>
      <c r="X12" s="32">
        <f>AVERAGE(WRmatchups[[#This Row],[TD1]:[TD3]])</f>
        <v>0.56699999999999995</v>
      </c>
      <c r="Y12" s="14">
        <f>_xlfn.RANK.EQ(WRmatchups[[#This Row],[Projection]],WRmatchups[Projection],0)</f>
        <v>2</v>
      </c>
      <c r="Z12" s="19">
        <f>SUM(WRmatchups[[#This Row],[Yards]]*0.1)+(WRmatchups[[#This Row],[RecTD5]]*6)+(WRmatchups[[#This Row],[Rec4]]*1)+(WRmatchups[[#This Row],[100+]])</f>
        <v>23.931900000000002</v>
      </c>
      <c r="AA12" s="8">
        <f>_xlfn.RANK.EQ(WRmatchups[[#This Row],[$/FP]],WRmatchups[$/FP],1)</f>
        <v>18</v>
      </c>
      <c r="AB12" s="23">
        <f>SUM(WRmatchups[[#This Row],[Salary]]/WRmatchups[[#This Row],[Projection]])</f>
        <v>384.4241368215645</v>
      </c>
      <c r="AC12" s="241">
        <f>_xlfn.RANK.EQ(WRmatchups[[#This Row],[Average]],WRmatchups[Average],1)</f>
        <v>2</v>
      </c>
      <c r="AD12" s="241">
        <f>AVERAGE(WRmatchups[[#This Row],[Proj Rank]],WRmatchups[[#This Row],[Value Rank]])</f>
        <v>10</v>
      </c>
      <c r="AE12" s="210">
        <f>WRmatchups[[#This Row],[Salary]]/50000</f>
        <v>0.184</v>
      </c>
      <c r="AF12" s="214"/>
      <c r="AG12" s="14">
        <f>IFERROR(INDEX(WRstats3[Targets],MATCH(WRmatchups[[#This Row],[Name]],WRstats3[Player],0)),"0")</f>
        <v>12.7</v>
      </c>
      <c r="AH12" s="14" t="str">
        <f>IFERROR(INDEX(WRstats2[Targets],MATCH(WRmatchups[[#This Row],[Name]],WRstats2[Player],0)),"0")</f>
        <v>0</v>
      </c>
      <c r="AI12" s="14">
        <f>IFERROR(INDEX(WRstats3[Targets],MATCH(WRmatchups[[#This Row],[Name]],WRstats3[Player],0)),"0")</f>
        <v>12.7</v>
      </c>
      <c r="AJ12" s="14">
        <f>IFERROR(INDEX(WRstats1[Rec],MATCH(WRmatchups[[#This Row],[Name]],WRstats1[Player],0)),"0")</f>
        <v>6.1070000000000002</v>
      </c>
      <c r="AK12" s="14">
        <f>IFERROR(INDEX(WRstats2[Rec],MATCH(WRmatchups[[#This Row],[Name]],WRstats2[Player],0)),"0")</f>
        <v>6.9</v>
      </c>
      <c r="AL12" s="14">
        <f>IFERROR(INDEX(WRstats3[Rec],MATCH(WRmatchups[[#This Row],[Name]],WRstats3[Player],0)),"0")</f>
        <v>9</v>
      </c>
      <c r="AM12" s="32">
        <f>IFERROR(INDEX(WRallowed[Rec],MATCH(WRmatchups[[#This Row],[Opp]],WRallowed[Team],0)),"0")</f>
        <v>13.1875</v>
      </c>
      <c r="AN12" s="14">
        <f>IFERROR(INDEX(WRstats1[Rec Yds],MATCH(WRmatchups[[#This Row],[Name]],WRstats1[Player],0)),"0")</f>
        <v>98.027000000000001</v>
      </c>
      <c r="AO12" s="14">
        <f>IFERROR(INDEX(WRstats2[RecYards],MATCH(WRmatchups[[#This Row],[Name]],WRstats2[Player],0)),"0")</f>
        <v>90.1</v>
      </c>
      <c r="AP12" s="14">
        <f>IFERROR(INDEX(WRstats3[RecYards],MATCH(WRmatchups[[#This Row],[Name]],WRstats3[Player],0)),"0")</f>
        <v>117.7</v>
      </c>
      <c r="AQ12" s="32">
        <f>IFERROR(INDEX(WRallowed[Yard],MATCH(WRmatchups[[#This Row],[Opp]],WRallowed[Team],0)),"0")</f>
        <v>165.4375</v>
      </c>
      <c r="AR12" s="14">
        <f>IFERROR(INDEX(WRstats1[Rec TD],MATCH(WRmatchups[[#This Row],[Name]],WRstats1[Player],0)),"0")</f>
        <v>0.63400000000000001</v>
      </c>
      <c r="AS12" s="14" t="str">
        <f>IFERROR(INDEX(WRstats2[RecTD],MATCH(WRmatchups[[#This Row],[Name]],WRstats2[Player],0)),"0")</f>
        <v>0.7</v>
      </c>
      <c r="AT12" s="14">
        <f>IFERROR(INDEX(WRstats3[RecTD],MATCH(WRmatchups[[#This Row],[Name]],WRstats3[Player],0)),"0")</f>
        <v>0.5</v>
      </c>
      <c r="AU12" s="32">
        <f>IFERROR(INDEX(WRallowed[TD],MATCH(WRmatchups[[#This Row],[Opp]],WRallowed[Team],0)),"0")*0.5</f>
        <v>0.8125</v>
      </c>
      <c r="AV12" s="14" t="str">
        <f>IFERROR(INDEX(WRstats2[RushAtt],MATCH(WRmatchups[[#This Row],[Name]],WRstats2[Player],0)),"0")</f>
        <v>0.7</v>
      </c>
      <c r="AW12" s="14">
        <f>IFERROR(INDEX(WRstats3[RushATT],MATCH(WRmatchups[[#This Row],[Name]],WRstats3[Player],0)),"0")</f>
        <v>0</v>
      </c>
      <c r="AX12" s="14" t="str">
        <f>IFERROR(INDEX(WRstats2[RushYards],MATCH(WRmatchups[[#This Row],[Name]],WRstats2[Player],0)),"0")</f>
        <v>0</v>
      </c>
      <c r="AY12" s="14">
        <f>IFERROR(INDEX(WRstats3[RushYards],MATCH(WRmatchups[[#This Row],[Name]],WRstats3[Player],0)),"0")</f>
        <v>0</v>
      </c>
      <c r="AZ12" s="14" t="str">
        <f>IFERROR(INDEX(WRstats2[RushTD],MATCH(WRmatchups[[#This Row],[Name]],WRstats2[Player],0)),"0")</f>
        <v>0</v>
      </c>
      <c r="BA12" s="14">
        <f>IFERROR(INDEX(WRstats3[RushTD],MATCH(WRmatchups[[#This Row],[Name]],WRstats3[Player],0)),"0")</f>
        <v>0</v>
      </c>
      <c r="BB12" s="264">
        <f>IF(WRmatchups[[#This Row],[Yards]]&gt;=100,3,0)</f>
        <v>3</v>
      </c>
      <c r="BC12" s="191" t="str">
        <f>IFERROR(INDEX(#REF!,MATCH(WRmatchups[Name],#REF!,0)),"0")</f>
        <v>0</v>
      </c>
      <c r="BD12" s="494">
        <f>WRmatchups[[#This Row],[Targets]]/WRmatchups[[#This Row],[Salary]]*100</f>
        <v>0.21739130434782608</v>
      </c>
    </row>
    <row r="13" spans="1:56" ht="15" thickBot="1" x14ac:dyDescent="0.35">
      <c r="A13" s="37">
        <f>WRstats1!AL3</f>
        <v>17</v>
      </c>
      <c r="B13" s="5" t="str">
        <f>WRstats1!D3</f>
        <v>A.J. Green</v>
      </c>
      <c r="C13" s="172">
        <f>IFERROR(INDEX(Salaries[DraftKings (Price)],MATCH(WRmatchups[[#This Row],[Name]],Salaries[Player],0)),"")</f>
        <v>8500</v>
      </c>
      <c r="D13" s="172">
        <f>IFERROR(INDEX(DK_Salary_Changes[WeekChange],MATCH(WRmatchups[[#This Row],[Name]],DK_Salary_Changes[Player],0)),"")</f>
        <v>400</v>
      </c>
      <c r="E13" s="14" t="str">
        <f>IFERROR(INDEX(Salaries[Team],MATCH(WRmatchups[[#This Row],[Name]],Salaries[Player],0)),"")</f>
        <v>CIN</v>
      </c>
      <c r="F13" s="460" t="str">
        <f>IFERROR(INDEX(Salaries[Opp],MATCH(WRmatchups[[#This Row],[Team]],Salaries[Team],0)),"")</f>
        <v>MIA</v>
      </c>
      <c r="G13" s="476">
        <f>IFERROR(INDEX(WRYTD[Rec],MATCH(WRmatchups[Name],WRYTD[Player],0)),"0")</f>
        <v>22</v>
      </c>
      <c r="H13" s="458">
        <f>IFERROR(INDEX(targettracker54[TTL],MATCH(WRmatchups[Name],targettracker54[Name],0)),"")</f>
        <v>32</v>
      </c>
      <c r="I13" s="475">
        <f>IFERROR(INDEX(WRYTD[Rec Yds],MATCH(WRmatchups[Name],WRYTD[Player],0)),"0")</f>
        <v>295</v>
      </c>
      <c r="J13" s="477">
        <f>IFERROR(INDEX(WRYTD[Rec TD],MATCH(WRmatchups[Name],WRYTD[Player],0)),"0")</f>
        <v>1</v>
      </c>
      <c r="K13" s="473">
        <f>IFERROR(INDEX(Salaries[O/U],MATCH(WRmatchups[[#This Row],[Team]],Salaries[Team],0)),"")</f>
        <v>44.5</v>
      </c>
      <c r="L13" s="32">
        <f>IFERROR(INDEX(Salaries[Team O/U],MATCH(WRmatchups[[#This Row],[Team]],Salaries[Team],0)),"")</f>
        <v>25.75</v>
      </c>
      <c r="M13" s="417">
        <f>IFERROR(INDEX(Salaries[Spread],MATCH(WRmatchups[[#This Row],[Team]],Salaries[Team],0)),"")</f>
        <v>-7</v>
      </c>
      <c r="N13" s="424">
        <f>IFERROR(INDEX(WRallowed[DVP],MATCH(WRmatchups[[#This Row],[Opp]],WRallowed[Team],0)),IFERROR(INDEX(WRallowed[DVP],MATCH(WRmatchups[[#This Row],[Opp]],WRallowed[Opp],0)),""))</f>
        <v>19</v>
      </c>
      <c r="O13" s="17">
        <f>IFERROR(INDEX(YAtCData[YAtC],MATCH(WRmatchups[[#This Row],[Name]],YAtCData[Player],0)),"0")</f>
        <v>185</v>
      </c>
      <c r="P13" s="497">
        <f>IFERROR(INDEX(YAtCData[YAtC/Rec],MATCH(WRmatchups[[#This Row],[Name]],YAtCData[Player],0)),"0")</f>
        <v>8.41</v>
      </c>
      <c r="Q13" s="17">
        <f>IFERROR(INDEX(YAtCData[YAC],MATCH(WRmatchups[[#This Row],[Name]],YAtCData[Player],0)),"0")</f>
        <v>110</v>
      </c>
      <c r="R13" s="497">
        <f>IFERROR(INDEX(YACDATA[YAC per Reception],MATCH(WRmatchups[[#This Row],[Name]],YACDATA[Player],0)),"0")</f>
        <v>5</v>
      </c>
      <c r="S13" s="418">
        <f>AVERAGE(WRmatchups[[#This Row],[Tar1]:[Tar3]])</f>
        <v>8</v>
      </c>
      <c r="T13" s="464">
        <f>AVERAGE(WRmatchups[[#This Row],[Rec1]:[Rec3]])</f>
        <v>6.6589999999999998</v>
      </c>
      <c r="U13" s="468">
        <f>SUM(WRmatchups[[#This Row],[Rec4]]/WRmatchups[[#This Row],[Targets2]])</f>
        <v>0.83237499999999998</v>
      </c>
      <c r="V13" s="417">
        <f>AVERAGE(WRmatchups[[#This Row],[Yards1]:[Yards3]])</f>
        <v>92.975666666666669</v>
      </c>
      <c r="W13" s="461">
        <f>SUM(WRmatchups[[#This Row],[Yards]]/WRmatchups[[#This Row],[Targets2]])</f>
        <v>11.621958333333334</v>
      </c>
      <c r="X13" s="32">
        <f>AVERAGE(WRmatchups[[#This Row],[TD1]:[TD3]])</f>
        <v>0.70450000000000002</v>
      </c>
      <c r="Y13" s="14">
        <f>_xlfn.RANK.EQ(WRmatchups[[#This Row],[Projection]],WRmatchups[Projection],0)</f>
        <v>3</v>
      </c>
      <c r="Z13" s="19">
        <f>SUM(WRmatchups[[#This Row],[Yards]]*0.1)+(WRmatchups[[#This Row],[RecTD5]]*6)+(WRmatchups[[#This Row],[Rec4]]*1)+(WRmatchups[[#This Row],[100+]])</f>
        <v>20.183566666666668</v>
      </c>
      <c r="AA13" s="8">
        <f>_xlfn.RANK.EQ(WRmatchups[[#This Row],[$/FP]],WRmatchups[$/FP],1)</f>
        <v>37</v>
      </c>
      <c r="AB13" s="23">
        <f>SUM(WRmatchups[[#This Row],[Salary]]/WRmatchups[[#This Row],[Projection]])</f>
        <v>421.13468547845025</v>
      </c>
      <c r="AC13" s="241">
        <f>_xlfn.RANK.EQ(WRmatchups[[#This Row],[Average]],WRmatchups[Average],1)</f>
        <v>14</v>
      </c>
      <c r="AD13" s="241">
        <f>AVERAGE(WRmatchups[[#This Row],[Proj Rank]],WRmatchups[[#This Row],[Value Rank]])</f>
        <v>20</v>
      </c>
      <c r="AE13" s="210">
        <f>WRmatchups[[#This Row],[Salary]]/50000</f>
        <v>0.17</v>
      </c>
      <c r="AF13" s="214"/>
      <c r="AG13" s="14">
        <f>IFERROR(INDEX(WRstats3[Targets],MATCH(WRmatchups[[#This Row],[Name]],WRstats3[Player],0)),"0")</f>
        <v>8</v>
      </c>
      <c r="AH13" s="14" t="str">
        <f>IFERROR(INDEX(WRstats2[Targets],MATCH(WRmatchups[[#This Row],[Name]],WRstats2[Player],0)),"0")</f>
        <v>0</v>
      </c>
      <c r="AI13" s="14">
        <f>IFERROR(INDEX(WRstats3[Targets],MATCH(WRmatchups[[#This Row],[Name]],WRstats3[Player],0)),"0")</f>
        <v>8</v>
      </c>
      <c r="AJ13" s="14">
        <f>IFERROR(INDEX(WRstats1[Rec],MATCH(WRmatchups[[#This Row],[Name]],WRstats1[Player],0)),"0")</f>
        <v>6.9770000000000003</v>
      </c>
      <c r="AK13" s="14">
        <f>IFERROR(INDEX(WRstats2[Rec],MATCH(WRmatchups[[#This Row],[Name]],WRstats2[Player],0)),"0")</f>
        <v>7.5</v>
      </c>
      <c r="AL13" s="14">
        <f>IFERROR(INDEX(WRstats3[Rec],MATCH(WRmatchups[[#This Row],[Name]],WRstats3[Player],0)),"0")</f>
        <v>5.5</v>
      </c>
      <c r="AM13" s="32">
        <f>IFERROR(INDEX(WRallowed[Rec],MATCH(WRmatchups[[#This Row],[Opp]],WRallowed[Team],0)),"0")</f>
        <v>13.25</v>
      </c>
      <c r="AN13" s="14">
        <f>IFERROR(INDEX(WRstats1[Rec Yds],MATCH(WRmatchups[[#This Row],[Name]],WRstats1[Player],0)),"0")</f>
        <v>87.927000000000007</v>
      </c>
      <c r="AO13" s="14">
        <f>IFERROR(INDEX(WRstats2[RecYards],MATCH(WRmatchups[[#This Row],[Name]],WRstats2[Player],0)),"0")</f>
        <v>100.3</v>
      </c>
      <c r="AP13" s="14">
        <f>IFERROR(INDEX(WRstats3[RecYards],MATCH(WRmatchups[[#This Row],[Name]],WRstats3[Player],0)),"0")</f>
        <v>90.7</v>
      </c>
      <c r="AQ13" s="32">
        <f>IFERROR(INDEX(WRallowed[Yard],MATCH(WRmatchups[[#This Row],[Opp]],WRallowed[Team],0)),"0")</f>
        <v>165.1875</v>
      </c>
      <c r="AR13" s="14">
        <f>IFERROR(INDEX(WRstats1[Rec TD],MATCH(WRmatchups[[#This Row],[Name]],WRstats1[Player],0)),"0")</f>
        <v>0.80900000000000005</v>
      </c>
      <c r="AS13" s="14" t="str">
        <f>IFERROR(INDEX(WRstats2[RecTD],MATCH(WRmatchups[[#This Row],[Name]],WRstats2[Player],0)),"0")</f>
        <v>0.8</v>
      </c>
      <c r="AT13" s="14">
        <f>IFERROR(INDEX(WRstats3[RecTD],MATCH(WRmatchups[[#This Row],[Name]],WRstats3[Player],0)),"0")</f>
        <v>0.6</v>
      </c>
      <c r="AU13" s="32">
        <f>IFERROR(INDEX(WRallowed[TD],MATCH(WRmatchups[[#This Row],[Opp]],WRallowed[Team],0)),"0")*0.5</f>
        <v>0.4375</v>
      </c>
      <c r="AV13" s="14" t="str">
        <f>IFERROR(INDEX(WRstats2[RushAtt],MATCH(WRmatchups[[#This Row],[Name]],WRstats2[Player],0)),"0")</f>
        <v>0.8</v>
      </c>
      <c r="AW13" s="14">
        <f>IFERROR(INDEX(WRstats3[RushATT],MATCH(WRmatchups[[#This Row],[Name]],WRstats3[Player],0)),"0")</f>
        <v>0</v>
      </c>
      <c r="AX13" s="14" t="str">
        <f>IFERROR(INDEX(WRstats2[RushYards],MATCH(WRmatchups[[#This Row],[Name]],WRstats2[Player],0)),"0")</f>
        <v>0</v>
      </c>
      <c r="AY13" s="14">
        <f>IFERROR(INDEX(WRstats3[RushYards],MATCH(WRmatchups[[#This Row],[Name]],WRstats3[Player],0)),"0")</f>
        <v>0</v>
      </c>
      <c r="AZ13" s="14" t="str">
        <f>IFERROR(INDEX(WRstats2[RushTD],MATCH(WRmatchups[[#This Row],[Name]],WRstats2[Player],0)),"0")</f>
        <v>0</v>
      </c>
      <c r="BA13" s="14">
        <f>IFERROR(INDEX(WRstats3[RushTD],MATCH(WRmatchups[[#This Row],[Name]],WRstats3[Player],0)),"0")</f>
        <v>0</v>
      </c>
      <c r="BB13" s="264">
        <f>IF(WRmatchups[[#This Row],[Yards]]&gt;=100,3,0)</f>
        <v>0</v>
      </c>
      <c r="BC13" s="191" t="str">
        <f>IFERROR(INDEX(#REF!,MATCH(WRmatchups[Name],#REF!,0)),"0")</f>
        <v>0</v>
      </c>
      <c r="BD13" s="494">
        <f>WRmatchups[[#This Row],[Targets]]/WRmatchups[[#This Row],[Salary]]*100</f>
        <v>0.37647058823529411</v>
      </c>
    </row>
    <row r="14" spans="1:56" ht="15" thickBot="1" x14ac:dyDescent="0.35">
      <c r="A14" s="37">
        <f>WRstats1!AL6</f>
        <v>15.8</v>
      </c>
      <c r="B14" s="5" t="str">
        <f>WRstats1!D6</f>
        <v>Odell Beckham</v>
      </c>
      <c r="C14" s="172">
        <f>IFERROR(INDEX(Salaries[DraftKings (Price)],MATCH(WRmatchups[[#This Row],[Name]],Salaries[Player],0)),"")</f>
        <v>8700</v>
      </c>
      <c r="D14" s="172">
        <f>IFERROR(INDEX(DK_Salary_Changes[WeekChange],MATCH(WRmatchups[[#This Row],[Name]],DK_Salary_Changes[Player],0)),"")</f>
        <v>-400</v>
      </c>
      <c r="E14" s="14" t="str">
        <f>IFERROR(INDEX(Salaries[Team],MATCH(WRmatchups[[#This Row],[Name]],Salaries[Player],0)),"")</f>
        <v>NYG</v>
      </c>
      <c r="F14" s="460" t="str">
        <f>IFERROR(INDEX(Salaries[Opp],MATCH(WRmatchups[[#This Row],[Team]],Salaries[Team],0)),"")</f>
        <v>@MIN</v>
      </c>
      <c r="G14" s="476">
        <f>IFERROR(INDEX(WRYTD[Rec],MATCH(WRmatchups[Name],WRYTD[Player],0)),"0")</f>
        <v>19</v>
      </c>
      <c r="H14" s="458">
        <f>IFERROR(INDEX(targettracker54[TTL],MATCH(WRmatchups[Name],targettracker54[Name],0)),"")</f>
        <v>30</v>
      </c>
      <c r="I14" s="475">
        <f>IFERROR(INDEX(WRYTD[Rec Yds],MATCH(WRmatchups[Name],WRYTD[Player],0)),"0")</f>
        <v>280</v>
      </c>
      <c r="J14" s="477">
        <f>IFERROR(INDEX(WRYTD[Rec TD],MATCH(WRmatchups[Name],WRYTD[Player],0)),"0")</f>
        <v>0</v>
      </c>
      <c r="K14" s="473">
        <f>IFERROR(INDEX(Salaries[O/U],MATCH(WRmatchups[[#This Row],[Team]],Salaries[Team],0)),"")</f>
        <v>43.5</v>
      </c>
      <c r="L14" s="32">
        <f>IFERROR(INDEX(Salaries[Team O/U],MATCH(WRmatchups[[#This Row],[Team]],Salaries[Team],0)),"")</f>
        <v>19.75</v>
      </c>
      <c r="M14" s="417">
        <f>IFERROR(INDEX(Salaries[Spread],MATCH(WRmatchups[[#This Row],[Team]],Salaries[Team],0)),"")</f>
        <v>4</v>
      </c>
      <c r="N14" s="424">
        <f>IFERROR(INDEX(WRallowed[DVP],MATCH(WRmatchups[[#This Row],[Opp]],WRallowed[Team],0)),IFERROR(INDEX(WRallowed[DVP],MATCH(WRmatchups[[#This Row],[Opp]],WRallowed[Opp],0)),""))</f>
        <v>14</v>
      </c>
      <c r="O14" s="17">
        <f>IFERROR(INDEX(YAtCData[YAtC],MATCH(WRmatchups[[#This Row],[Name]],YAtCData[Player],0)),"0")</f>
        <v>190</v>
      </c>
      <c r="P14" s="497">
        <f>IFERROR(INDEX(YAtCData[YAtC/Rec],MATCH(WRmatchups[[#This Row],[Name]],YAtCData[Player],0)),"0")</f>
        <v>10</v>
      </c>
      <c r="Q14" s="17">
        <f>IFERROR(INDEX(YAtCData[YAC],MATCH(WRmatchups[[#This Row],[Name]],YAtCData[Player],0)),"0")</f>
        <v>90</v>
      </c>
      <c r="R14" s="497">
        <f>IFERROR(INDEX(YACDATA[YAC per Reception],MATCH(WRmatchups[[#This Row],[Name]],YACDATA[Player],0)),"0")</f>
        <v>4.7</v>
      </c>
      <c r="S14" s="418">
        <f>AVERAGE(WRmatchups[[#This Row],[Tar1]:[Tar3]])</f>
        <v>9.9</v>
      </c>
      <c r="T14" s="464">
        <f>AVERAGE(WRmatchups[[#This Row],[Rec1]:[Rec3]])</f>
        <v>6.1113333333333335</v>
      </c>
      <c r="U14" s="468">
        <f>SUM(WRmatchups[[#This Row],[Rec4]]/WRmatchups[[#This Row],[Targets2]])</f>
        <v>0.61730639730639725</v>
      </c>
      <c r="V14" s="417">
        <f>AVERAGE(WRmatchups[[#This Row],[Yards1]:[Yards3]])</f>
        <v>87.990333333333339</v>
      </c>
      <c r="W14" s="461">
        <f>SUM(WRmatchups[[#This Row],[Yards]]/WRmatchups[[#This Row],[Targets2]])</f>
        <v>8.8879124579124582</v>
      </c>
      <c r="X14" s="32">
        <f>AVERAGE(WRmatchups[[#This Row],[TD1]:[TD3]])</f>
        <v>0.62850000000000006</v>
      </c>
      <c r="Y14" s="14">
        <f>_xlfn.RANK.EQ(WRmatchups[[#This Row],[Projection]],WRmatchups[Projection],0)</f>
        <v>4</v>
      </c>
      <c r="Z14" s="19">
        <f>SUM(WRmatchups[[#This Row],[Yards]]*0.1)+(WRmatchups[[#This Row],[RecTD5]]*6)+(WRmatchups[[#This Row],[Rec4]]*1)+(WRmatchups[[#This Row],[100+]])</f>
        <v>18.681366666666669</v>
      </c>
      <c r="AA14" s="8">
        <f>_xlfn.RANK.EQ(WRmatchups[[#This Row],[$/FP]],WRmatchups[$/FP],1)</f>
        <v>61</v>
      </c>
      <c r="AB14" s="23">
        <f>SUM(WRmatchups[[#This Row],[Salary]]/WRmatchups[[#This Row],[Projection]])</f>
        <v>465.70468613110029</v>
      </c>
      <c r="AC14" s="241">
        <f>_xlfn.RANK.EQ(WRmatchups[[#This Row],[Average]],WRmatchups[Average],1)</f>
        <v>31</v>
      </c>
      <c r="AD14" s="241">
        <f>AVERAGE(WRmatchups[[#This Row],[Proj Rank]],WRmatchups[[#This Row],[Value Rank]])</f>
        <v>32.5</v>
      </c>
      <c r="AE14" s="210">
        <f>WRmatchups[[#This Row],[Salary]]/50000</f>
        <v>0.17399999999999999</v>
      </c>
      <c r="AF14" s="214"/>
      <c r="AG14" s="14">
        <f>IFERROR(INDEX(WRstats3[Targets],MATCH(WRmatchups[[#This Row],[Name]],WRstats3[Player],0)),"0")</f>
        <v>9.9</v>
      </c>
      <c r="AH14" s="14" t="str">
        <f>IFERROR(INDEX(WRstats2[Targets],MATCH(WRmatchups[[#This Row],[Name]],WRstats2[Player],0)),"0")</f>
        <v>0</v>
      </c>
      <c r="AI14" s="14">
        <f>IFERROR(INDEX(WRstats3[Targets],MATCH(WRmatchups[[#This Row],[Name]],WRstats3[Player],0)),"0")</f>
        <v>9.9</v>
      </c>
      <c r="AJ14" s="14">
        <f>IFERROR(INDEX(WRstats1[Rec],MATCH(WRmatchups[[#This Row],[Name]],WRstats1[Player],0)),"0")</f>
        <v>6.3339999999999996</v>
      </c>
      <c r="AK14" s="14">
        <f>IFERROR(INDEX(WRstats2[Rec],MATCH(WRmatchups[[#This Row],[Name]],WRstats2[Player],0)),"0")</f>
        <v>5.7</v>
      </c>
      <c r="AL14" s="14">
        <f>IFERROR(INDEX(WRstats3[Rec],MATCH(WRmatchups[[#This Row],[Name]],WRstats3[Player],0)),"0")</f>
        <v>6.3</v>
      </c>
      <c r="AM14" s="32" t="str">
        <f>IFERROR(INDEX(WRallowed[Rec],MATCH(WRmatchups[[#This Row],[Opp]],WRallowed[Team],0)),"0")</f>
        <v>0</v>
      </c>
      <c r="AN14" s="14">
        <f>IFERROR(INDEX(WRstats1[Rec Yds],MATCH(WRmatchups[[#This Row],[Name]],WRstats1[Player],0)),"0")</f>
        <v>88.471000000000004</v>
      </c>
      <c r="AO14" s="14">
        <f>IFERROR(INDEX(WRstats2[RecYards],MATCH(WRmatchups[[#This Row],[Name]],WRstats2[Player],0)),"0")</f>
        <v>83.3</v>
      </c>
      <c r="AP14" s="14">
        <f>IFERROR(INDEX(WRstats3[RecYards],MATCH(WRmatchups[[#This Row],[Name]],WRstats3[Player],0)),"0")</f>
        <v>92.2</v>
      </c>
      <c r="AQ14" s="32" t="str">
        <f>IFERROR(INDEX(WRallowed[Yard],MATCH(WRmatchups[[#This Row],[Opp]],WRallowed[Team],0)),"0")</f>
        <v>0</v>
      </c>
      <c r="AR14" s="14">
        <f>IFERROR(INDEX(WRstats1[Rec TD],MATCH(WRmatchups[[#This Row],[Name]],WRstats1[Player],0)),"0")</f>
        <v>0.65700000000000003</v>
      </c>
      <c r="AS14" s="14" t="str">
        <f>IFERROR(INDEX(WRstats2[RecTD],MATCH(WRmatchups[[#This Row],[Name]],WRstats2[Player],0)),"0")</f>
        <v>0.6</v>
      </c>
      <c r="AT14" s="14">
        <f>IFERROR(INDEX(WRstats3[RecTD],MATCH(WRmatchups[[#This Row],[Name]],WRstats3[Player],0)),"0")</f>
        <v>0.6</v>
      </c>
      <c r="AU14" s="32">
        <f>IFERROR(INDEX(WRallowed[TD],MATCH(WRmatchups[[#This Row],[Opp]],WRallowed[Team],0)),"0")*0.5</f>
        <v>0</v>
      </c>
      <c r="AV14" s="14" t="str">
        <f>IFERROR(INDEX(WRstats2[RushAtt],MATCH(WRmatchups[[#This Row],[Name]],WRstats2[Player],0)),"0")</f>
        <v>0.6</v>
      </c>
      <c r="AW14" s="14">
        <f>IFERROR(INDEX(WRstats3[RushATT],MATCH(WRmatchups[[#This Row],[Name]],WRstats3[Player],0)),"0")</f>
        <v>0</v>
      </c>
      <c r="AX14" s="14" t="str">
        <f>IFERROR(INDEX(WRstats2[RushYards],MATCH(WRmatchups[[#This Row],[Name]],WRstats2[Player],0)),"0")</f>
        <v>0</v>
      </c>
      <c r="AY14" s="14">
        <f>IFERROR(INDEX(WRstats3[RushYards],MATCH(WRmatchups[[#This Row],[Name]],WRstats3[Player],0)),"0")</f>
        <v>0</v>
      </c>
      <c r="AZ14" s="14" t="str">
        <f>IFERROR(INDEX(WRstats2[RushTD],MATCH(WRmatchups[[#This Row],[Name]],WRstats2[Player],0)),"0")</f>
        <v>0</v>
      </c>
      <c r="BA14" s="14">
        <f>IFERROR(INDEX(WRstats3[RushTD],MATCH(WRmatchups[[#This Row],[Name]],WRstats3[Player],0)),"0")</f>
        <v>0</v>
      </c>
      <c r="BB14" s="264">
        <f>IF(WRmatchups[[#This Row],[Yards]]&gt;=100,3,0)</f>
        <v>0</v>
      </c>
      <c r="BC14" s="191" t="str">
        <f>IFERROR(INDEX(#REF!,MATCH(WRmatchups[Name],#REF!,0)),"0")</f>
        <v>0</v>
      </c>
      <c r="BD14" s="494">
        <f>WRmatchups[[#This Row],[Targets]]/WRmatchups[[#This Row],[Salary]]*100</f>
        <v>0.34482758620689657</v>
      </c>
    </row>
    <row r="15" spans="1:56" ht="15" thickBot="1" x14ac:dyDescent="0.35">
      <c r="A15" s="37">
        <f>WRstats1!AL5</f>
        <v>16.8</v>
      </c>
      <c r="B15" s="5" t="str">
        <f>WRstats1!D5</f>
        <v>Allen Robinson</v>
      </c>
      <c r="C15" s="172">
        <f>IFERROR(INDEX(Salaries[DraftKings (Price)],MATCH(WRmatchups[[#This Row],[Name]],Salaries[Player],0)),"")</f>
        <v>8000</v>
      </c>
      <c r="D15" s="172">
        <f>IFERROR(INDEX(DK_Salary_Changes[WeekChange],MATCH(WRmatchups[[#This Row],[Name]],DK_Salary_Changes[Player],0)),"")</f>
        <v>500</v>
      </c>
      <c r="E15" s="14" t="str">
        <f>IFERROR(INDEX(Salaries[Team],MATCH(WRmatchups[[#This Row],[Name]],Salaries[Player],0)),"")</f>
        <v>JAX</v>
      </c>
      <c r="F15" s="460" t="str">
        <f>IFERROR(INDEX(Salaries[Opp],MATCH(WRmatchups[[#This Row],[Team]],Salaries[Team],0)),"")</f>
        <v>IND</v>
      </c>
      <c r="G15" s="476">
        <f>IFERROR(INDEX(WRYTD[Rec],MATCH(WRmatchups[Name],WRYTD[Player],0)),"0")</f>
        <v>16</v>
      </c>
      <c r="H15" s="458">
        <f>IFERROR(INDEX(targettracker54[TTL],MATCH(WRmatchups[Name],targettracker54[Name],0)),"")</f>
        <v>31</v>
      </c>
      <c r="I15" s="475">
        <f>IFERROR(INDEX(WRYTD[Rec Yds],MATCH(WRmatchups[Name],WRYTD[Player],0)),"0")</f>
        <v>183</v>
      </c>
      <c r="J15" s="477">
        <f>IFERROR(INDEX(WRYTD[Rec TD],MATCH(WRmatchups[Name],WRYTD[Player],0)),"0")</f>
        <v>2</v>
      </c>
      <c r="K15" s="473">
        <f>IFERROR(INDEX(Salaries[O/U],MATCH(WRmatchups[[#This Row],[Team]],Salaries[Team],0)),"")</f>
        <v>49.5</v>
      </c>
      <c r="L15" s="32">
        <f>IFERROR(INDEX(Salaries[Team O/U],MATCH(WRmatchups[[#This Row],[Team]],Salaries[Team],0)),"")</f>
        <v>23.5</v>
      </c>
      <c r="M15" s="417">
        <f>IFERROR(INDEX(Salaries[Spread],MATCH(WRmatchups[[#This Row],[Team]],Salaries[Team],0)),"")</f>
        <v>2.5</v>
      </c>
      <c r="N15" s="424">
        <f>IFERROR(INDEX(WRallowed[DVP],MATCH(WRmatchups[[#This Row],[Opp]],WRallowed[Team],0)),IFERROR(INDEX(WRallowed[DVP],MATCH(WRmatchups[[#This Row],[Opp]],WRallowed[Opp],0)),""))</f>
        <v>25</v>
      </c>
      <c r="O15" s="17">
        <f>IFERROR(INDEX(YAtCData[YAtC],MATCH(WRmatchups[[#This Row],[Name]],YAtCData[Player],0)),"0")</f>
        <v>140</v>
      </c>
      <c r="P15" s="497">
        <f>IFERROR(INDEX(YAtCData[YAtC/Rec],MATCH(WRmatchups[[#This Row],[Name]],YAtCData[Player],0)),"0")</f>
        <v>8.75</v>
      </c>
      <c r="Q15" s="17">
        <f>IFERROR(INDEX(YAtCData[YAC],MATCH(WRmatchups[[#This Row],[Name]],YAtCData[Player],0)),"0")</f>
        <v>43</v>
      </c>
      <c r="R15" s="497">
        <f>IFERROR(INDEX(YACDATA[YAC per Reception],MATCH(WRmatchups[[#This Row],[Name]],YACDATA[Player],0)),"0")</f>
        <v>2.7</v>
      </c>
      <c r="S15" s="418">
        <f>AVERAGE(WRmatchups[[#This Row],[Tar1]:[Tar3]])</f>
        <v>8.6</v>
      </c>
      <c r="T15" s="464">
        <f>AVERAGE(WRmatchups[[#This Row],[Rec1]:[Rec3]])</f>
        <v>5.6593333333333335</v>
      </c>
      <c r="U15" s="468">
        <f>SUM(WRmatchups[[#This Row],[Rec4]]/WRmatchups[[#This Row],[Targets2]])</f>
        <v>0.658062015503876</v>
      </c>
      <c r="V15" s="417">
        <f>AVERAGE(WRmatchups[[#This Row],[Yards1]:[Yards3]])</f>
        <v>85.674666666666667</v>
      </c>
      <c r="W15" s="461">
        <f>SUM(WRmatchups[[#This Row],[Yards]]/WRmatchups[[#This Row],[Targets2]])</f>
        <v>9.9621705426356595</v>
      </c>
      <c r="X15" s="32">
        <f>AVERAGE(WRmatchups[[#This Row],[TD1]:[TD3]])</f>
        <v>0.6984999999999999</v>
      </c>
      <c r="Y15" s="14">
        <f>_xlfn.RANK.EQ(WRmatchups[[#This Row],[Projection]],WRmatchups[Projection],0)</f>
        <v>5</v>
      </c>
      <c r="Z15" s="19">
        <f>SUM(WRmatchups[[#This Row],[Yards]]*0.1)+(WRmatchups[[#This Row],[RecTD5]]*6)+(WRmatchups[[#This Row],[Rec4]]*1)+(WRmatchups[[#This Row],[100+]])</f>
        <v>18.4178</v>
      </c>
      <c r="AA15" s="8">
        <f>_xlfn.RANK.EQ(WRmatchups[[#This Row],[$/FP]],WRmatchups[$/FP],1)</f>
        <v>49</v>
      </c>
      <c r="AB15" s="23">
        <f>SUM(WRmatchups[[#This Row],[Salary]]/WRmatchups[[#This Row],[Projection]])</f>
        <v>434.36241027701465</v>
      </c>
      <c r="AC15" s="241">
        <f>_xlfn.RANK.EQ(WRmatchups[[#This Row],[Average]],WRmatchups[Average],1)</f>
        <v>20</v>
      </c>
      <c r="AD15" s="241">
        <f>AVERAGE(WRmatchups[[#This Row],[Proj Rank]],WRmatchups[[#This Row],[Value Rank]])</f>
        <v>27</v>
      </c>
      <c r="AE15" s="210">
        <f>WRmatchups[[#This Row],[Salary]]/50000</f>
        <v>0.16</v>
      </c>
      <c r="AF15" s="214"/>
      <c r="AG15" s="14">
        <f>IFERROR(INDEX(WRstats3[Targets],MATCH(WRmatchups[[#This Row],[Name]],WRstats3[Player],0)),"0")</f>
        <v>8.6</v>
      </c>
      <c r="AH15" s="14" t="str">
        <f>IFERROR(INDEX(WRstats2[Targets],MATCH(WRmatchups[[#This Row],[Name]],WRstats2[Player],0)),"0")</f>
        <v>0</v>
      </c>
      <c r="AI15" s="14">
        <f>IFERROR(INDEX(WRstats3[Targets],MATCH(WRmatchups[[#This Row],[Name]],WRstats3[Player],0)),"0")</f>
        <v>8.6</v>
      </c>
      <c r="AJ15" s="14">
        <f>IFERROR(INDEX(WRstats1[Rec],MATCH(WRmatchups[[#This Row],[Name]],WRstats1[Player],0)),"0")</f>
        <v>7.0780000000000003</v>
      </c>
      <c r="AK15" s="14">
        <f>IFERROR(INDEX(WRstats2[Rec],MATCH(WRmatchups[[#This Row],[Name]],WRstats2[Player],0)),"0")</f>
        <v>5.0999999999999996</v>
      </c>
      <c r="AL15" s="14">
        <f>IFERROR(INDEX(WRstats3[Rec],MATCH(WRmatchups[[#This Row],[Name]],WRstats3[Player],0)),"0")</f>
        <v>4.8</v>
      </c>
      <c r="AM15" s="32">
        <f>IFERROR(INDEX(WRallowed[Rec],MATCH(WRmatchups[[#This Row],[Opp]],WRallowed[Team],0)),"0")</f>
        <v>12.1875</v>
      </c>
      <c r="AN15" s="14">
        <f>IFERROR(INDEX(WRstats1[Rec Yds],MATCH(WRmatchups[[#This Row],[Name]],WRstats1[Player],0)),"0")</f>
        <v>91.623999999999995</v>
      </c>
      <c r="AO15" s="14">
        <f>IFERROR(INDEX(WRstats2[RecYards],MATCH(WRmatchups[[#This Row],[Name]],WRstats2[Player],0)),"0")</f>
        <v>83.7</v>
      </c>
      <c r="AP15" s="14">
        <f>IFERROR(INDEX(WRstats3[RecYards],MATCH(WRmatchups[[#This Row],[Name]],WRstats3[Player],0)),"0")</f>
        <v>81.7</v>
      </c>
      <c r="AQ15" s="32">
        <f>IFERROR(INDEX(WRallowed[Yard],MATCH(WRmatchups[[#This Row],[Opp]],WRallowed[Team],0)),"0")</f>
        <v>166.625</v>
      </c>
      <c r="AR15" s="14">
        <f>IFERROR(INDEX(WRstats1[Rec TD],MATCH(WRmatchups[[#This Row],[Name]],WRstats1[Player],0)),"0")</f>
        <v>0.69699999999999995</v>
      </c>
      <c r="AS15" s="14" t="str">
        <f>IFERROR(INDEX(WRstats2[RecTD],MATCH(WRmatchups[[#This Row],[Name]],WRstats2[Player],0)),"0")</f>
        <v>0.8</v>
      </c>
      <c r="AT15" s="14">
        <f>IFERROR(INDEX(WRstats3[RecTD],MATCH(WRmatchups[[#This Row],[Name]],WRstats3[Player],0)),"0")</f>
        <v>0.7</v>
      </c>
      <c r="AU15" s="32">
        <f>IFERROR(INDEX(WRallowed[TD],MATCH(WRmatchups[[#This Row],[Opp]],WRallowed[Team],0)),"0")*0.5</f>
        <v>0.59375</v>
      </c>
      <c r="AV15" s="14" t="str">
        <f>IFERROR(INDEX(WRstats2[RushAtt],MATCH(WRmatchups[[#This Row],[Name]],WRstats2[Player],0)),"0")</f>
        <v>0.8</v>
      </c>
      <c r="AW15" s="14">
        <f>IFERROR(INDEX(WRstats3[RushATT],MATCH(WRmatchups[[#This Row],[Name]],WRstats3[Player],0)),"0")</f>
        <v>0</v>
      </c>
      <c r="AX15" s="14" t="str">
        <f>IFERROR(INDEX(WRstats2[RushYards],MATCH(WRmatchups[[#This Row],[Name]],WRstats2[Player],0)),"0")</f>
        <v>0</v>
      </c>
      <c r="AY15" s="14">
        <f>IFERROR(INDEX(WRstats3[RushYards],MATCH(WRmatchups[[#This Row],[Name]],WRstats3[Player],0)),"0")</f>
        <v>0</v>
      </c>
      <c r="AZ15" s="14" t="str">
        <f>IFERROR(INDEX(WRstats2[RushTD],MATCH(WRmatchups[[#This Row],[Name]],WRstats2[Player],0)),"0")</f>
        <v>0</v>
      </c>
      <c r="BA15" s="14">
        <f>IFERROR(INDEX(WRstats3[RushTD],MATCH(WRmatchups[[#This Row],[Name]],WRstats3[Player],0)),"0")</f>
        <v>0</v>
      </c>
      <c r="BB15" s="264">
        <f>IF(WRmatchups[[#This Row],[Yards]]&gt;=100,3,0)</f>
        <v>0</v>
      </c>
      <c r="BC15" s="191" t="str">
        <f>IFERROR(INDEX(#REF!,MATCH(WRmatchups[Name],#REF!,0)),"0")</f>
        <v>0</v>
      </c>
      <c r="BD15" s="494">
        <f>WRmatchups[[#This Row],[Targets]]/WRmatchups[[#This Row],[Salary]]*100</f>
        <v>0.38750000000000001</v>
      </c>
    </row>
    <row r="16" spans="1:56" ht="15" thickBot="1" x14ac:dyDescent="0.35">
      <c r="A16" s="37">
        <f>WRstats1!AL7</f>
        <v>14.6</v>
      </c>
      <c r="B16" s="5" t="str">
        <f>WRstats1!D7</f>
        <v>DeAndre Hopkins</v>
      </c>
      <c r="C16" s="172">
        <f>IFERROR(INDEX(Salaries[DraftKings (Price)],MATCH(WRmatchups[[#This Row],[Name]],Salaries[Player],0)),"")</f>
        <v>8400</v>
      </c>
      <c r="D16" s="172">
        <f>IFERROR(INDEX(DK_Salary_Changes[WeekChange],MATCH(WRmatchups[[#This Row],[Name]],DK_Salary_Changes[Player],0)),"")</f>
        <v>-200</v>
      </c>
      <c r="E16" s="14" t="str">
        <f>IFERROR(INDEX(Salaries[Team],MATCH(WRmatchups[[#This Row],[Name]],Salaries[Player],0)),"")</f>
        <v>HOU</v>
      </c>
      <c r="F16" s="460" t="str">
        <f>IFERROR(INDEX(Salaries[Opp],MATCH(WRmatchups[[#This Row],[Team]],Salaries[Team],0)),"")</f>
        <v>TEN</v>
      </c>
      <c r="G16" s="476">
        <f>IFERROR(INDEX(WRYTD[Rec],MATCH(WRmatchups[Name],WRYTD[Player],0)),"0")</f>
        <v>16</v>
      </c>
      <c r="H16" s="458">
        <f>IFERROR(INDEX(targettracker54[TTL],MATCH(WRmatchups[Name],targettracker54[Name],0)),"")</f>
        <v>27</v>
      </c>
      <c r="I16" s="475">
        <f>IFERROR(INDEX(WRYTD[Rec Yds],MATCH(WRmatchups[Name],WRYTD[Player],0)),"0")</f>
        <v>223</v>
      </c>
      <c r="J16" s="477">
        <f>IFERROR(INDEX(WRYTD[Rec TD],MATCH(WRmatchups[Name],WRYTD[Player],0)),"0")</f>
        <v>2</v>
      </c>
      <c r="K16" s="473">
        <f>IFERROR(INDEX(Salaries[O/U],MATCH(WRmatchups[[#This Row],[Team]],Salaries[Team],0)),"")</f>
        <v>40.5</v>
      </c>
      <c r="L16" s="32">
        <f>IFERROR(INDEX(Salaries[Team O/U],MATCH(WRmatchups[[#This Row],[Team]],Salaries[Team],0)),"")</f>
        <v>23.5</v>
      </c>
      <c r="M16" s="417">
        <f>IFERROR(INDEX(Salaries[Spread],MATCH(WRmatchups[[#This Row],[Team]],Salaries[Team],0)),"")</f>
        <v>-6.5</v>
      </c>
      <c r="N16" s="424">
        <f>IFERROR(INDEX(WRallowed[DVP],MATCH(WRmatchups[[#This Row],[Opp]],WRallowed[Team],0)),IFERROR(INDEX(WRallowed[DVP],MATCH(WRmatchups[[#This Row],[Opp]],WRallowed[Opp],0)),""))</f>
        <v>22</v>
      </c>
      <c r="O16" s="17">
        <f>IFERROR(INDEX(YAtCData[YAtC],MATCH(WRmatchups[[#This Row],[Name]],YAtCData[Player],0)),"0")</f>
        <v>200</v>
      </c>
      <c r="P16" s="497">
        <f>IFERROR(INDEX(YAtCData[YAtC/Rec],MATCH(WRmatchups[[#This Row],[Name]],YAtCData[Player],0)),"0")</f>
        <v>12.5</v>
      </c>
      <c r="Q16" s="17">
        <f>IFERROR(INDEX(YAtCData[YAC],MATCH(WRmatchups[[#This Row],[Name]],YAtCData[Player],0)),"0")</f>
        <v>23</v>
      </c>
      <c r="R16" s="497">
        <f>IFERROR(INDEX(YACDATA[YAC per Reception],MATCH(WRmatchups[[#This Row],[Name]],YACDATA[Player],0)),"0")</f>
        <v>1.4</v>
      </c>
      <c r="S16" s="418">
        <f>AVERAGE(WRmatchups[[#This Row],[Tar1]:[Tar3]])</f>
        <v>9.3000000000000007</v>
      </c>
      <c r="T16" s="464">
        <f>AVERAGE(WRmatchups[[#This Row],[Rec1]:[Rec3]])</f>
        <v>5.5666666666666664</v>
      </c>
      <c r="U16" s="468">
        <f>SUM(WRmatchups[[#This Row],[Rec4]]/WRmatchups[[#This Row],[Targets2]])</f>
        <v>0.59856630824372747</v>
      </c>
      <c r="V16" s="417">
        <f>AVERAGE(WRmatchups[[#This Row],[Yards1]:[Yards3]])</f>
        <v>86.538000000000011</v>
      </c>
      <c r="W16" s="461">
        <f>SUM(WRmatchups[[#This Row],[Yards]]/WRmatchups[[#This Row],[Targets2]])</f>
        <v>9.305161290322582</v>
      </c>
      <c r="X16" s="32">
        <f>AVERAGE(WRmatchups[[#This Row],[TD1]:[TD3]])</f>
        <v>0.61899999999999999</v>
      </c>
      <c r="Y16" s="14">
        <f>_xlfn.RANK.EQ(WRmatchups[[#This Row],[Projection]],WRmatchups[Projection],0)</f>
        <v>6</v>
      </c>
      <c r="Z16" s="19">
        <f>SUM(WRmatchups[[#This Row],[Yards]]*0.1)+(WRmatchups[[#This Row],[RecTD5]]*6)+(WRmatchups[[#This Row],[Rec4]]*1)+(WRmatchups[[#This Row],[100+]])</f>
        <v>17.934466666666669</v>
      </c>
      <c r="AA16" s="8">
        <f>_xlfn.RANK.EQ(WRmatchups[[#This Row],[$/FP]],WRmatchups[$/FP],1)</f>
        <v>63</v>
      </c>
      <c r="AB16" s="23">
        <f>SUM(WRmatchups[[#This Row],[Salary]]/WRmatchups[[#This Row],[Projection]])</f>
        <v>468.37188727849906</v>
      </c>
      <c r="AC16" s="241">
        <f>_xlfn.RANK.EQ(WRmatchups[[#This Row],[Average]],WRmatchups[Average],1)</f>
        <v>36</v>
      </c>
      <c r="AD16" s="241">
        <f>AVERAGE(WRmatchups[[#This Row],[Proj Rank]],WRmatchups[[#This Row],[Value Rank]])</f>
        <v>34.5</v>
      </c>
      <c r="AE16" s="210">
        <f>WRmatchups[[#This Row],[Salary]]/50000</f>
        <v>0.16800000000000001</v>
      </c>
      <c r="AF16" s="214"/>
      <c r="AG16" s="14">
        <f>IFERROR(INDEX(WRstats3[Targets],MATCH(WRmatchups[[#This Row],[Name]],WRstats3[Player],0)),"0")</f>
        <v>9.3000000000000007</v>
      </c>
      <c r="AH16" s="14" t="str">
        <f>IFERROR(INDEX(WRstats2[Targets],MATCH(WRmatchups[[#This Row],[Name]],WRstats2[Player],0)),"0")</f>
        <v>0</v>
      </c>
      <c r="AI16" s="14">
        <f>IFERROR(INDEX(WRstats3[Targets],MATCH(WRmatchups[[#This Row],[Name]],WRstats3[Player],0)),"0")</f>
        <v>9.3000000000000007</v>
      </c>
      <c r="AJ16" s="14">
        <f>IFERROR(INDEX(WRstats1[Rec],MATCH(WRmatchups[[#This Row],[Name]],WRstats1[Player],0)),"0")</f>
        <v>4.9000000000000004</v>
      </c>
      <c r="AK16" s="14">
        <f>IFERROR(INDEX(WRstats2[Rec],MATCH(WRmatchups[[#This Row],[Name]],WRstats2[Player],0)),"0")</f>
        <v>6.1</v>
      </c>
      <c r="AL16" s="14">
        <f>IFERROR(INDEX(WRstats3[Rec],MATCH(WRmatchups[[#This Row],[Name]],WRstats3[Player],0)),"0")</f>
        <v>5.7</v>
      </c>
      <c r="AM16" s="32">
        <f>IFERROR(INDEX(WRallowed[Rec],MATCH(WRmatchups[[#This Row],[Opp]],WRallowed[Team],0)),"0")</f>
        <v>9.8125</v>
      </c>
      <c r="AN16" s="14">
        <f>IFERROR(INDEX(WRstats1[Rec Yds],MATCH(WRmatchups[[#This Row],[Name]],WRstats1[Player],0)),"0")</f>
        <v>84.013999999999996</v>
      </c>
      <c r="AO16" s="14">
        <f>IFERROR(INDEX(WRstats2[RecYards],MATCH(WRmatchups[[#This Row],[Name]],WRstats2[Player],0)),"0")</f>
        <v>90.5</v>
      </c>
      <c r="AP16" s="14">
        <f>IFERROR(INDEX(WRstats3[RecYards],MATCH(WRmatchups[[#This Row],[Name]],WRstats3[Player],0)),"0")</f>
        <v>85.1</v>
      </c>
      <c r="AQ16" s="32">
        <f>IFERROR(INDEX(WRallowed[Yard],MATCH(WRmatchups[[#This Row],[Opp]],WRallowed[Team],0)),"0")</f>
        <v>127.5625</v>
      </c>
      <c r="AR16" s="14">
        <f>IFERROR(INDEX(WRstats1[Rec TD],MATCH(WRmatchups[[#This Row],[Name]],WRstats1[Player],0)),"0")</f>
        <v>0.63800000000000001</v>
      </c>
      <c r="AS16" s="14" t="str">
        <f>IFERROR(INDEX(WRstats2[RecTD],MATCH(WRmatchups[[#This Row],[Name]],WRstats2[Player],0)),"0")</f>
        <v>0.6</v>
      </c>
      <c r="AT16" s="14">
        <f>IFERROR(INDEX(WRstats3[RecTD],MATCH(WRmatchups[[#This Row],[Name]],WRstats3[Player],0)),"0")</f>
        <v>0.6</v>
      </c>
      <c r="AU16" s="32">
        <f>IFERROR(INDEX(WRallowed[TD],MATCH(WRmatchups[[#This Row],[Opp]],WRallowed[Team],0)),"0")*0.5</f>
        <v>0.21875</v>
      </c>
      <c r="AV16" s="14" t="str">
        <f>IFERROR(INDEX(WRstats2[RushAtt],MATCH(WRmatchups[[#This Row],[Name]],WRstats2[Player],0)),"0")</f>
        <v>0.6</v>
      </c>
      <c r="AW16" s="14">
        <f>IFERROR(INDEX(WRstats3[RushATT],MATCH(WRmatchups[[#This Row],[Name]],WRstats3[Player],0)),"0")</f>
        <v>0</v>
      </c>
      <c r="AX16" s="14" t="str">
        <f>IFERROR(INDEX(WRstats2[RushYards],MATCH(WRmatchups[[#This Row],[Name]],WRstats2[Player],0)),"0")</f>
        <v>0</v>
      </c>
      <c r="AY16" s="14">
        <f>IFERROR(INDEX(WRstats3[RushYards],MATCH(WRmatchups[[#This Row],[Name]],WRstats3[Player],0)),"0")</f>
        <v>0</v>
      </c>
      <c r="AZ16" s="14" t="str">
        <f>IFERROR(INDEX(WRstats2[RushTD],MATCH(WRmatchups[[#This Row],[Name]],WRstats2[Player],0)),"0")</f>
        <v>0</v>
      </c>
      <c r="BA16" s="14">
        <f>IFERROR(INDEX(WRstats3[RushTD],MATCH(WRmatchups[[#This Row],[Name]],WRstats3[Player],0)),"0")</f>
        <v>0</v>
      </c>
      <c r="BB16" s="264">
        <f>IF(WRmatchups[[#This Row],[Yards]]&gt;=100,3,0)</f>
        <v>0</v>
      </c>
      <c r="BC16" s="191" t="str">
        <f>IFERROR(INDEX(#REF!,MATCH(WRmatchups[Name],#REF!,0)),"0")</f>
        <v>0</v>
      </c>
      <c r="BD16" s="494">
        <f>WRmatchups[[#This Row],[Targets]]/WRmatchups[[#This Row],[Salary]]*100</f>
        <v>0.3214285714285714</v>
      </c>
    </row>
    <row r="17" spans="1:56" ht="15" thickBot="1" x14ac:dyDescent="0.35">
      <c r="A17" s="37">
        <f>WRstats1!AL17</f>
        <v>13.7</v>
      </c>
      <c r="B17" s="5" t="str">
        <f>WRstats1!D17</f>
        <v>Alshon Jeffery</v>
      </c>
      <c r="C17" s="172">
        <f>IFERROR(INDEX(Salaries[DraftKings (Price)],MATCH(WRmatchups[[#This Row],[Name]],Salaries[Player],0)),"")</f>
        <v>7500</v>
      </c>
      <c r="D17" s="172">
        <f>IFERROR(INDEX(DK_Salary_Changes[WeekChange],MATCH(WRmatchups[[#This Row],[Name]],DK_Salary_Changes[Player],0)),"")</f>
        <v>-500</v>
      </c>
      <c r="E17" s="14" t="str">
        <f>IFERROR(INDEX(Salaries[Team],MATCH(WRmatchups[[#This Row],[Name]],Salaries[Player],0)),"")</f>
        <v>CHI</v>
      </c>
      <c r="F17" s="460" t="str">
        <f>IFERROR(INDEX(Salaries[Opp],MATCH(WRmatchups[[#This Row],[Team]],Salaries[Team],0)),"")</f>
        <v>DET</v>
      </c>
      <c r="G17" s="476">
        <f>IFERROR(INDEX(WRYTD[Rec],MATCH(WRmatchups[Name],WRYTD[Player],0)),"0")</f>
        <v>14</v>
      </c>
      <c r="H17" s="458">
        <f>IFERROR(INDEX(targettracker54[TTL],MATCH(WRmatchups[Name],targettracker54[Name],0)),"")</f>
        <v>20</v>
      </c>
      <c r="I17" s="475">
        <f>IFERROR(INDEX(WRYTD[Rec Yds],MATCH(WRmatchups[Name],WRYTD[Player],0)),"0")</f>
        <v>271</v>
      </c>
      <c r="J17" s="477">
        <f>IFERROR(INDEX(WRYTD[Rec TD],MATCH(WRmatchups[Name],WRYTD[Player],0)),"0")</f>
        <v>0</v>
      </c>
      <c r="K17" s="473">
        <f>IFERROR(INDEX(Salaries[O/U],MATCH(WRmatchups[[#This Row],[Team]],Salaries[Team],0)),"")</f>
        <v>46.5</v>
      </c>
      <c r="L17" s="32">
        <f>IFERROR(INDEX(Salaries[Team O/U],MATCH(WRmatchups[[#This Row],[Team]],Salaries[Team],0)),"")</f>
        <v>21.75</v>
      </c>
      <c r="M17" s="417">
        <f>IFERROR(INDEX(Salaries[Spread],MATCH(WRmatchups[[#This Row],[Team]],Salaries[Team],0)),"")</f>
        <v>3</v>
      </c>
      <c r="N17" s="424">
        <f>IFERROR(INDEX(WRallowed[DVP],MATCH(WRmatchups[[#This Row],[Opp]],WRallowed[Team],0)),IFERROR(INDEX(WRallowed[DVP],MATCH(WRmatchups[[#This Row],[Opp]],WRallowed[Opp],0)),""))</f>
        <v>15</v>
      </c>
      <c r="O17" s="17">
        <f>IFERROR(INDEX(YAtCData[YAtC],MATCH(WRmatchups[[#This Row],[Name]],YAtCData[Player],0)),"0")</f>
        <v>203</v>
      </c>
      <c r="P17" s="497">
        <f>IFERROR(INDEX(YAtCData[YAtC/Rec],MATCH(WRmatchups[[#This Row],[Name]],YAtCData[Player],0)),"0")</f>
        <v>14.5</v>
      </c>
      <c r="Q17" s="17">
        <f>IFERROR(INDEX(YAtCData[YAC],MATCH(WRmatchups[[#This Row],[Name]],YAtCData[Player],0)),"0")</f>
        <v>68</v>
      </c>
      <c r="R17" s="497">
        <f>IFERROR(INDEX(YACDATA[YAC per Reception],MATCH(WRmatchups[[#This Row],[Name]],YACDATA[Player],0)),"0")</f>
        <v>4.9000000000000004</v>
      </c>
      <c r="S17" s="418">
        <f>AVERAGE(WRmatchups[[#This Row],[Tar1]:[Tar3]])</f>
        <v>10.1</v>
      </c>
      <c r="T17" s="464">
        <f>AVERAGE(WRmatchups[[#This Row],[Rec1]:[Rec3]])</f>
        <v>5.7190000000000003</v>
      </c>
      <c r="U17" s="468">
        <f>SUM(WRmatchups[[#This Row],[Rec4]]/WRmatchups[[#This Row],[Targets2]])</f>
        <v>0.5662376237623763</v>
      </c>
      <c r="V17" s="417">
        <f>AVERAGE(WRmatchups[[#This Row],[Yards1]:[Yards3]])</f>
        <v>85.856333333333339</v>
      </c>
      <c r="W17" s="461">
        <f>SUM(WRmatchups[[#This Row],[Yards]]/WRmatchups[[#This Row],[Targets2]])</f>
        <v>8.5006270627062719</v>
      </c>
      <c r="X17" s="32">
        <f>AVERAGE(WRmatchups[[#This Row],[TD1]:[TD3]])</f>
        <v>0.54649999999999999</v>
      </c>
      <c r="Y17" s="14">
        <f>_xlfn.RANK.EQ(WRmatchups[[#This Row],[Projection]],WRmatchups[Projection],0)</f>
        <v>7</v>
      </c>
      <c r="Z17" s="19">
        <f>SUM(WRmatchups[[#This Row],[Yards]]*0.1)+(WRmatchups[[#This Row],[RecTD5]]*6)+(WRmatchups[[#This Row],[Rec4]]*1)+(WRmatchups[[#This Row],[100+]])</f>
        <v>17.583633333333335</v>
      </c>
      <c r="AA17" s="8">
        <f>_xlfn.RANK.EQ(WRmatchups[[#This Row],[$/FP]],WRmatchups[$/FP],1)</f>
        <v>41</v>
      </c>
      <c r="AB17" s="23">
        <f>SUM(WRmatchups[[#This Row],[Salary]]/WRmatchups[[#This Row],[Projection]])</f>
        <v>426.53300701978543</v>
      </c>
      <c r="AC17" s="241">
        <f>_xlfn.RANK.EQ(WRmatchups[[#This Row],[Average]],WRmatchups[Average],1)</f>
        <v>18</v>
      </c>
      <c r="AD17" s="241">
        <f>AVERAGE(WRmatchups[[#This Row],[Proj Rank]],WRmatchups[[#This Row],[Value Rank]])</f>
        <v>24</v>
      </c>
      <c r="AE17" s="210">
        <f>WRmatchups[[#This Row],[Salary]]/50000</f>
        <v>0.15</v>
      </c>
      <c r="AF17" s="214"/>
      <c r="AG17" s="14">
        <f>IFERROR(INDEX(WRstats3[Targets],MATCH(WRmatchups[[#This Row],[Name]],WRstats3[Player],0)),"0")</f>
        <v>10.1</v>
      </c>
      <c r="AH17" s="14" t="str">
        <f>IFERROR(INDEX(WRstats2[Targets],MATCH(WRmatchups[[#This Row],[Name]],WRstats2[Player],0)),"0")</f>
        <v>0</v>
      </c>
      <c r="AI17" s="14">
        <f>IFERROR(INDEX(WRstats3[Targets],MATCH(WRmatchups[[#This Row],[Name]],WRstats3[Player],0)),"0")</f>
        <v>10.1</v>
      </c>
      <c r="AJ17" s="14">
        <f>IFERROR(INDEX(WRstats1[Rec],MATCH(WRmatchups[[#This Row],[Name]],WRstats1[Player],0)),"0")</f>
        <v>5.2569999999999997</v>
      </c>
      <c r="AK17" s="14">
        <f>IFERROR(INDEX(WRstats2[Rec],MATCH(WRmatchups[[#This Row],[Name]],WRstats2[Player],0)),"0")</f>
        <v>6.1</v>
      </c>
      <c r="AL17" s="14">
        <f>IFERROR(INDEX(WRstats3[Rec],MATCH(WRmatchups[[#This Row],[Name]],WRstats3[Player],0)),"0")</f>
        <v>5.8</v>
      </c>
      <c r="AM17" s="32">
        <f>IFERROR(INDEX(WRallowed[Rec],MATCH(WRmatchups[[#This Row],[Opp]],WRallowed[Team],0)),"0")</f>
        <v>11.5625</v>
      </c>
      <c r="AN17" s="14">
        <f>IFERROR(INDEX(WRstats1[Rec Yds],MATCH(WRmatchups[[#This Row],[Name]],WRstats1[Player],0)),"0")</f>
        <v>82.369</v>
      </c>
      <c r="AO17" s="14">
        <f>IFERROR(INDEX(WRstats2[RecYards],MATCH(WRmatchups[[#This Row],[Name]],WRstats2[Player],0)),"0")</f>
        <v>86</v>
      </c>
      <c r="AP17" s="14">
        <f>IFERROR(INDEX(WRstats3[RecYards],MATCH(WRmatchups[[#This Row],[Name]],WRstats3[Player],0)),"0")</f>
        <v>89.2</v>
      </c>
      <c r="AQ17" s="32">
        <f>IFERROR(INDEX(WRallowed[Yard],MATCH(WRmatchups[[#This Row],[Opp]],WRallowed[Team],0)),"0")</f>
        <v>164.1875</v>
      </c>
      <c r="AR17" s="14">
        <f>IFERROR(INDEX(WRstats1[Rec TD],MATCH(WRmatchups[[#This Row],[Name]],WRstats1[Player],0)),"0")</f>
        <v>0.49299999999999999</v>
      </c>
      <c r="AS17" s="14" t="str">
        <f>IFERROR(INDEX(WRstats2[RecTD],MATCH(WRmatchups[[#This Row],[Name]],WRstats2[Player],0)),"0")</f>
        <v>0.5</v>
      </c>
      <c r="AT17" s="14">
        <f>IFERROR(INDEX(WRstats3[RecTD],MATCH(WRmatchups[[#This Row],[Name]],WRstats3[Player],0)),"0")</f>
        <v>0.6</v>
      </c>
      <c r="AU17" s="32">
        <f>IFERROR(INDEX(WRallowed[TD],MATCH(WRmatchups[[#This Row],[Opp]],WRallowed[Team],0)),"0")*0.5</f>
        <v>0.65625</v>
      </c>
      <c r="AV17" s="14" t="str">
        <f>IFERROR(INDEX(WRstats2[RushAtt],MATCH(WRmatchups[[#This Row],[Name]],WRstats2[Player],0)),"0")</f>
        <v>0.5</v>
      </c>
      <c r="AW17" s="14">
        <f>IFERROR(INDEX(WRstats3[RushATT],MATCH(WRmatchups[[#This Row],[Name]],WRstats3[Player],0)),"0")</f>
        <v>0</v>
      </c>
      <c r="AX17" s="14" t="str">
        <f>IFERROR(INDEX(WRstats2[RushYards],MATCH(WRmatchups[[#This Row],[Name]],WRstats2[Player],0)),"0")</f>
        <v>0</v>
      </c>
      <c r="AY17" s="14">
        <f>IFERROR(INDEX(WRstats3[RushYards],MATCH(WRmatchups[[#This Row],[Name]],WRstats3[Player],0)),"0")</f>
        <v>0</v>
      </c>
      <c r="AZ17" s="14" t="str">
        <f>IFERROR(INDEX(WRstats2[RushTD],MATCH(WRmatchups[[#This Row],[Name]],WRstats2[Player],0)),"0")</f>
        <v>0</v>
      </c>
      <c r="BA17" s="14">
        <f>IFERROR(INDEX(WRstats3[RushTD],MATCH(WRmatchups[[#This Row],[Name]],WRstats3[Player],0)),"0")</f>
        <v>0</v>
      </c>
      <c r="BB17" s="264">
        <f>IF(WRmatchups[[#This Row],[Yards]]&gt;=100,3,0)</f>
        <v>0</v>
      </c>
      <c r="BC17" s="191" t="str">
        <f>IFERROR(INDEX(#REF!,MATCH(WRmatchups[Name],#REF!,0)),"0")</f>
        <v>0</v>
      </c>
      <c r="BD17" s="494">
        <f>WRmatchups[[#This Row],[Targets]]/WRmatchups[[#This Row],[Salary]]*100</f>
        <v>0.26666666666666666</v>
      </c>
    </row>
    <row r="18" spans="1:56" ht="15" thickBot="1" x14ac:dyDescent="0.35">
      <c r="A18" s="37">
        <f>WRstats1!AL16</f>
        <v>14.4</v>
      </c>
      <c r="B18" s="5" t="str">
        <f>WRstats1!D16</f>
        <v>Larry Fitzgerald</v>
      </c>
      <c r="C18" s="172">
        <f>IFERROR(INDEX(Salaries[DraftKings (Price)],MATCH(WRmatchups[[#This Row],[Name]],Salaries[Player],0)),"")</f>
        <v>7200</v>
      </c>
      <c r="D18" s="172">
        <f>IFERROR(INDEX(DK_Salary_Changes[WeekChange],MATCH(WRmatchups[[#This Row],[Name]],DK_Salary_Changes[Player],0)),"")</f>
        <v>300</v>
      </c>
      <c r="E18" s="14" t="str">
        <f>IFERROR(INDEX(Salaries[Team],MATCH(WRmatchups[[#This Row],[Name]],Salaries[Player],0)),"")</f>
        <v>ARI</v>
      </c>
      <c r="F18" s="460" t="str">
        <f>IFERROR(INDEX(Salaries[Opp],MATCH(WRmatchups[[#This Row],[Team]],Salaries[Team],0)),"")</f>
        <v>LA</v>
      </c>
      <c r="G18" s="476">
        <f>IFERROR(INDEX(WRYTD[Rec],MATCH(WRmatchups[Name],WRYTD[Player],0)),"0")</f>
        <v>21</v>
      </c>
      <c r="H18" s="458">
        <f>IFERROR(INDEX(targettracker54[TTL],MATCH(WRmatchups[Name],targettracker54[Name],0)),"")</f>
        <v>33</v>
      </c>
      <c r="I18" s="475">
        <f>IFERROR(INDEX(WRYTD[Rec Yds],MATCH(WRmatchups[Name],WRYTD[Player],0)),"0")</f>
        <v>222</v>
      </c>
      <c r="J18" s="477">
        <f>IFERROR(INDEX(WRYTD[Rec TD],MATCH(WRmatchups[Name],WRYTD[Player],0)),"0")</f>
        <v>3</v>
      </c>
      <c r="K18" s="473">
        <f>IFERROR(INDEX(Salaries[O/U],MATCH(WRmatchups[[#This Row],[Team]],Salaries[Team],0)),"")</f>
        <v>43</v>
      </c>
      <c r="L18" s="32">
        <f>IFERROR(INDEX(Salaries[Team O/U],MATCH(WRmatchups[[#This Row],[Team]],Salaries[Team],0)),"")</f>
        <v>25.5</v>
      </c>
      <c r="M18" s="417">
        <f>IFERROR(INDEX(Salaries[Spread],MATCH(WRmatchups[[#This Row],[Team]],Salaries[Team],0)),"")</f>
        <v>-8</v>
      </c>
      <c r="N18" s="424">
        <f>IFERROR(INDEX(WRallowed[DVP],MATCH(WRmatchups[[#This Row],[Opp]],WRallowed[Team],0)),IFERROR(INDEX(WRallowed[DVP],MATCH(WRmatchups[[#This Row],[Opp]],WRallowed[Opp],0)),""))</f>
        <v>5</v>
      </c>
      <c r="O18" s="17">
        <f>IFERROR(INDEX(YAtCData[YAtC],MATCH(WRmatchups[[#This Row],[Name]],YAtCData[Player],0)),"0")</f>
        <v>169</v>
      </c>
      <c r="P18" s="497">
        <f>IFERROR(INDEX(YAtCData[YAtC/Rec],MATCH(WRmatchups[[#This Row],[Name]],YAtCData[Player],0)),"0")</f>
        <v>8.4499999999999993</v>
      </c>
      <c r="Q18" s="17">
        <f>IFERROR(INDEX(YAtCData[YAC],MATCH(WRmatchups[[#This Row],[Name]],YAtCData[Player],0)),"0")</f>
        <v>49</v>
      </c>
      <c r="R18" s="497">
        <f>IFERROR(INDEX(YACDATA[YAC per Reception],MATCH(WRmatchups[[#This Row],[Name]],YACDATA[Player],0)),"0")</f>
        <v>2.5</v>
      </c>
      <c r="S18" s="418">
        <f>AVERAGE(WRmatchups[[#This Row],[Tar1]:[Tar3]])</f>
        <v>7.9</v>
      </c>
      <c r="T18" s="464">
        <f>AVERAGE(WRmatchups[[#This Row],[Rec1]:[Rec3]])</f>
        <v>6.4020000000000001</v>
      </c>
      <c r="U18" s="468">
        <f>SUM(WRmatchups[[#This Row],[Rec4]]/WRmatchups[[#This Row],[Targets2]])</f>
        <v>0.810379746835443</v>
      </c>
      <c r="V18" s="417">
        <f>AVERAGE(WRmatchups[[#This Row],[Yards1]:[Yards3]])</f>
        <v>76.51766666666667</v>
      </c>
      <c r="W18" s="461">
        <f>SUM(WRmatchups[[#This Row],[Yards]]/WRmatchups[[#This Row],[Targets2]])</f>
        <v>9.6857805907173002</v>
      </c>
      <c r="X18" s="32">
        <f>AVERAGE(WRmatchups[[#This Row],[TD1]:[TD3]])</f>
        <v>0.58050000000000002</v>
      </c>
      <c r="Y18" s="14">
        <f>_xlfn.RANK.EQ(WRmatchups[[#This Row],[Projection]],WRmatchups[Projection],0)</f>
        <v>8</v>
      </c>
      <c r="Z18" s="19">
        <f>SUM(WRmatchups[[#This Row],[Yards]]*0.1)+(WRmatchups[[#This Row],[RecTD5]]*6)+(WRmatchups[[#This Row],[Rec4]]*1)+(WRmatchups[[#This Row],[100+]])</f>
        <v>17.536766666666669</v>
      </c>
      <c r="AA18" s="8">
        <f>_xlfn.RANK.EQ(WRmatchups[[#This Row],[$/FP]],WRmatchups[$/FP],1)</f>
        <v>29</v>
      </c>
      <c r="AB18" s="23">
        <f>SUM(WRmatchups[[#This Row],[Salary]]/WRmatchups[[#This Row],[Projection]])</f>
        <v>410.56599183049701</v>
      </c>
      <c r="AC18" s="241">
        <f>_xlfn.RANK.EQ(WRmatchups[[#This Row],[Average]],WRmatchups[Average],1)</f>
        <v>11</v>
      </c>
      <c r="AD18" s="241">
        <f>AVERAGE(WRmatchups[[#This Row],[Proj Rank]],WRmatchups[[#This Row],[Value Rank]])</f>
        <v>18.5</v>
      </c>
      <c r="AE18" s="210">
        <f>WRmatchups[[#This Row],[Salary]]/50000</f>
        <v>0.14399999999999999</v>
      </c>
      <c r="AF18" s="214"/>
      <c r="AG18" s="14">
        <f>IFERROR(INDEX(WRstats3[Targets],MATCH(WRmatchups[[#This Row],[Name]],WRstats3[Player],0)),"0")</f>
        <v>7.9</v>
      </c>
      <c r="AH18" s="14" t="str">
        <f>IFERROR(INDEX(WRstats2[Targets],MATCH(WRmatchups[[#This Row],[Name]],WRstats2[Player],0)),"0")</f>
        <v>0</v>
      </c>
      <c r="AI18" s="14">
        <f>IFERROR(INDEX(WRstats3[Targets],MATCH(WRmatchups[[#This Row],[Name]],WRstats3[Player],0)),"0")</f>
        <v>7.9</v>
      </c>
      <c r="AJ18" s="14">
        <f>IFERROR(INDEX(WRstats1[Rec],MATCH(WRmatchups[[#This Row],[Name]],WRstats1[Player],0)),"0")</f>
        <v>6.4059999999999997</v>
      </c>
      <c r="AK18" s="14">
        <f>IFERROR(INDEX(WRstats2[Rec],MATCH(WRmatchups[[#This Row],[Name]],WRstats2[Player],0)),"0")</f>
        <v>6.6</v>
      </c>
      <c r="AL18" s="14">
        <f>IFERROR(INDEX(WRstats3[Rec],MATCH(WRmatchups[[#This Row],[Name]],WRstats3[Player],0)),"0")</f>
        <v>6.2</v>
      </c>
      <c r="AM18" s="32">
        <f>IFERROR(INDEX(WRallowed[Rec],MATCH(WRmatchups[[#This Row],[Opp]],WRallowed[Team],0)),"0")</f>
        <v>12.75</v>
      </c>
      <c r="AN18" s="14">
        <f>IFERROR(INDEX(WRstats1[Rec Yds],MATCH(WRmatchups[[#This Row],[Name]],WRstats1[Player],0)),"0")</f>
        <v>73.852999999999994</v>
      </c>
      <c r="AO18" s="14">
        <f>IFERROR(INDEX(WRstats2[RecYards],MATCH(WRmatchups[[#This Row],[Name]],WRstats2[Player],0)),"0")</f>
        <v>81.3</v>
      </c>
      <c r="AP18" s="14">
        <f>IFERROR(INDEX(WRstats3[RecYards],MATCH(WRmatchups[[#This Row],[Name]],WRstats3[Player],0)),"0")</f>
        <v>74.400000000000006</v>
      </c>
      <c r="AQ18" s="32">
        <f>IFERROR(INDEX(WRallowed[Yard],MATCH(WRmatchups[[#This Row],[Opp]],WRallowed[Team],0)),"0")</f>
        <v>166.625</v>
      </c>
      <c r="AR18" s="14">
        <f>IFERROR(INDEX(WRstats1[Rec TD],MATCH(WRmatchups[[#This Row],[Name]],WRstats1[Player],0)),"0")</f>
        <v>0.66100000000000003</v>
      </c>
      <c r="AS18" s="14" t="str">
        <f>IFERROR(INDEX(WRstats2[RecTD],MATCH(WRmatchups[[#This Row],[Name]],WRstats2[Player],0)),"0")</f>
        <v>0.5</v>
      </c>
      <c r="AT18" s="14">
        <f>IFERROR(INDEX(WRstats3[RecTD],MATCH(WRmatchups[[#This Row],[Name]],WRstats3[Player],0)),"0")</f>
        <v>0.5</v>
      </c>
      <c r="AU18" s="32">
        <f>IFERROR(INDEX(WRallowed[TD],MATCH(WRmatchups[[#This Row],[Opp]],WRallowed[Team],0)),"0")*0.5</f>
        <v>0.46875</v>
      </c>
      <c r="AV18" s="14" t="str">
        <f>IFERROR(INDEX(WRstats2[RushAtt],MATCH(WRmatchups[[#This Row],[Name]],WRstats2[Player],0)),"0")</f>
        <v>0.5</v>
      </c>
      <c r="AW18" s="14">
        <f>IFERROR(INDEX(WRstats3[RushATT],MATCH(WRmatchups[[#This Row],[Name]],WRstats3[Player],0)),"0")</f>
        <v>0</v>
      </c>
      <c r="AX18" s="14" t="str">
        <f>IFERROR(INDEX(WRstats2[RushYards],MATCH(WRmatchups[[#This Row],[Name]],WRstats2[Player],0)),"0")</f>
        <v>0.4</v>
      </c>
      <c r="AY18" s="14">
        <f>IFERROR(INDEX(WRstats3[RushYards],MATCH(WRmatchups[[#This Row],[Name]],WRstats3[Player],0)),"0")</f>
        <v>0</v>
      </c>
      <c r="AZ18" s="14" t="str">
        <f>IFERROR(INDEX(WRstats2[RushTD],MATCH(WRmatchups[[#This Row],[Name]],WRstats2[Player],0)),"0")</f>
        <v>0</v>
      </c>
      <c r="BA18" s="14">
        <f>IFERROR(INDEX(WRstats3[RushTD],MATCH(WRmatchups[[#This Row],[Name]],WRstats3[Player],0)),"0")</f>
        <v>0</v>
      </c>
      <c r="BB18" s="264">
        <f>IF(WRmatchups[[#This Row],[Yards]]&gt;=100,3,0)</f>
        <v>0</v>
      </c>
      <c r="BC18" s="191" t="str">
        <f>IFERROR(INDEX(#REF!,MATCH(WRmatchups[Name],#REF!,0)),"0")</f>
        <v>0</v>
      </c>
      <c r="BD18" s="494">
        <f>WRmatchups[[#This Row],[Targets]]/WRmatchups[[#This Row],[Salary]]*100</f>
        <v>0.45833333333333331</v>
      </c>
    </row>
    <row r="19" spans="1:56" ht="15" thickBot="1" x14ac:dyDescent="0.35">
      <c r="A19" s="37">
        <f>WRstats1!AL8</f>
        <v>14.8</v>
      </c>
      <c r="B19" s="5" t="str">
        <f>WRstats1!D8</f>
        <v>Marvin Jones</v>
      </c>
      <c r="C19" s="172">
        <f>IFERROR(INDEX(Salaries[DraftKings (Price)],MATCH(WRmatchups[[#This Row],[Name]],Salaries[Player],0)),"")</f>
        <v>7300</v>
      </c>
      <c r="D19" s="172">
        <f>IFERROR(INDEX(DK_Salary_Changes[WeekChange],MATCH(WRmatchups[[#This Row],[Name]],DK_Salary_Changes[Player],0)),"")</f>
        <v>1100</v>
      </c>
      <c r="E19" s="14" t="str">
        <f>IFERROR(INDEX(Salaries[Team],MATCH(WRmatchups[[#This Row],[Name]],Salaries[Player],0)),"")</f>
        <v>DET</v>
      </c>
      <c r="F19" s="460" t="str">
        <f>IFERROR(INDEX(Salaries[Opp],MATCH(WRmatchups[[#This Row],[Team]],Salaries[Team],0)),"")</f>
        <v>@CHI</v>
      </c>
      <c r="G19" s="476">
        <f>IFERROR(INDEX(WRYTD[Rec],MATCH(WRmatchups[Name],WRYTD[Player],0)),"0")</f>
        <v>18</v>
      </c>
      <c r="H19" s="458">
        <f>IFERROR(INDEX(targettracker54[TTL],MATCH(WRmatchups[Name],targettracker54[Name],0)),"")</f>
        <v>29</v>
      </c>
      <c r="I19" s="475">
        <f>IFERROR(INDEX(WRYTD[Rec Yds],MATCH(WRmatchups[Name],WRYTD[Player],0)),"0")</f>
        <v>408</v>
      </c>
      <c r="J19" s="477">
        <f>IFERROR(INDEX(WRYTD[Rec TD],MATCH(WRmatchups[Name],WRYTD[Player],0)),"0")</f>
        <v>2</v>
      </c>
      <c r="K19" s="473">
        <f>IFERROR(INDEX(Salaries[O/U],MATCH(WRmatchups[[#This Row],[Team]],Salaries[Team],0)),"")</f>
        <v>46.5</v>
      </c>
      <c r="L19" s="32">
        <f>IFERROR(INDEX(Salaries[Team O/U],MATCH(WRmatchups[[#This Row],[Team]],Salaries[Team],0)),"")</f>
        <v>24.75</v>
      </c>
      <c r="M19" s="417">
        <f>IFERROR(INDEX(Salaries[Spread],MATCH(WRmatchups[[#This Row],[Team]],Salaries[Team],0)),"")</f>
        <v>-3</v>
      </c>
      <c r="N19" s="424">
        <f>IFERROR(INDEX(WRallowed[DVP],MATCH(WRmatchups[[#This Row],[Opp]],WRallowed[Team],0)),IFERROR(INDEX(WRallowed[DVP],MATCH(WRmatchups[[#This Row],[Opp]],WRallowed[Opp],0)),""))</f>
        <v>10</v>
      </c>
      <c r="O19" s="17">
        <f>IFERROR(INDEX(YAtCData[YAtC],MATCH(WRmatchups[[#This Row],[Name]],YAtCData[Player],0)),"0")</f>
        <v>257</v>
      </c>
      <c r="P19" s="497">
        <f>IFERROR(INDEX(YAtCData[YAtC/Rec],MATCH(WRmatchups[[#This Row],[Name]],YAtCData[Player],0)),"0")</f>
        <v>14.28</v>
      </c>
      <c r="Q19" s="17">
        <f>IFERROR(INDEX(YAtCData[YAC],MATCH(WRmatchups[[#This Row],[Name]],YAtCData[Player],0)),"0")</f>
        <v>151</v>
      </c>
      <c r="R19" s="497">
        <f>IFERROR(INDEX(YACDATA[YAC per Reception],MATCH(WRmatchups[[#This Row],[Name]],YACDATA[Player],0)),"0")</f>
        <v>8.4</v>
      </c>
      <c r="S19" s="418">
        <f>AVERAGE(WRmatchups[[#This Row],[Tar1]:[Tar3]])</f>
        <v>8.8000000000000007</v>
      </c>
      <c r="T19" s="464">
        <f>AVERAGE(WRmatchups[[#This Row],[Rec1]:[Rec3]])</f>
        <v>5.6006666666666662</v>
      </c>
      <c r="U19" s="468">
        <f>SUM(WRmatchups[[#This Row],[Rec4]]/WRmatchups[[#This Row],[Targets2]])</f>
        <v>0.63643939393939386</v>
      </c>
      <c r="V19" s="417">
        <f>AVERAGE(WRmatchups[[#This Row],[Yards1]:[Yards3]])</f>
        <v>82.847666666666669</v>
      </c>
      <c r="W19" s="461">
        <f>SUM(WRmatchups[[#This Row],[Yards]]/WRmatchups[[#This Row],[Targets2]])</f>
        <v>9.4145075757575754</v>
      </c>
      <c r="X19" s="32">
        <f>AVERAGE(WRmatchups[[#This Row],[TD1]:[TD3]])</f>
        <v>0.56499999999999995</v>
      </c>
      <c r="Y19" s="14">
        <f>_xlfn.RANK.EQ(WRmatchups[[#This Row],[Projection]],WRmatchups[Projection],0)</f>
        <v>9</v>
      </c>
      <c r="Z19" s="19">
        <f>SUM(WRmatchups[[#This Row],[Yards]]*0.1)+(WRmatchups[[#This Row],[RecTD5]]*6)+(WRmatchups[[#This Row],[Rec4]]*1)+(WRmatchups[[#This Row],[100+]])</f>
        <v>17.275433333333332</v>
      </c>
      <c r="AA19" s="8">
        <f>_xlfn.RANK.EQ(WRmatchups[[#This Row],[$/FP]],WRmatchups[$/FP],1)</f>
        <v>40</v>
      </c>
      <c r="AB19" s="23">
        <f>SUM(WRmatchups[[#This Row],[Salary]]/WRmatchups[[#This Row],[Projection]])</f>
        <v>422.56537703829912</v>
      </c>
      <c r="AC19" s="241">
        <f>_xlfn.RANK.EQ(WRmatchups[[#This Row],[Average]],WRmatchups[Average],1)</f>
        <v>19</v>
      </c>
      <c r="AD19" s="241">
        <f>AVERAGE(WRmatchups[[#This Row],[Proj Rank]],WRmatchups[[#This Row],[Value Rank]])</f>
        <v>24.5</v>
      </c>
      <c r="AE19" s="210">
        <f>WRmatchups[[#This Row],[Salary]]/50000</f>
        <v>0.14599999999999999</v>
      </c>
      <c r="AF19" s="214"/>
      <c r="AG19" s="14">
        <f>IFERROR(INDEX(WRstats3[Targets],MATCH(WRmatchups[[#This Row],[Name]],WRstats3[Player],0)),"0")</f>
        <v>8.8000000000000007</v>
      </c>
      <c r="AH19" s="14" t="str">
        <f>IFERROR(INDEX(WRstats2[Targets],MATCH(WRmatchups[[#This Row],[Name]],WRstats2[Player],0)),"0")</f>
        <v>0</v>
      </c>
      <c r="AI19" s="14">
        <f>IFERROR(INDEX(WRstats3[Targets],MATCH(WRmatchups[[#This Row],[Name]],WRstats3[Player],0)),"0")</f>
        <v>8.8000000000000007</v>
      </c>
      <c r="AJ19" s="14">
        <f>IFERROR(INDEX(WRstats1[Rec],MATCH(WRmatchups[[#This Row],[Name]],WRstats1[Player],0)),"0")</f>
        <v>5.5019999999999998</v>
      </c>
      <c r="AK19" s="14">
        <f>IFERROR(INDEX(WRstats2[Rec],MATCH(WRmatchups[[#This Row],[Name]],WRstats2[Player],0)),"0")</f>
        <v>5.3</v>
      </c>
      <c r="AL19" s="14">
        <f>IFERROR(INDEX(WRstats3[Rec],MATCH(WRmatchups[[#This Row],[Name]],WRstats3[Player],0)),"0")</f>
        <v>6</v>
      </c>
      <c r="AM19" s="32" t="str">
        <f>IFERROR(INDEX(WRallowed[Rec],MATCH(WRmatchups[[#This Row],[Opp]],WRallowed[Team],0)),"0")</f>
        <v>0</v>
      </c>
      <c r="AN19" s="14">
        <f>IFERROR(INDEX(WRstats1[Rec Yds],MATCH(WRmatchups[[#This Row],[Name]],WRstats1[Player],0)),"0")</f>
        <v>89.843000000000004</v>
      </c>
      <c r="AO19" s="14">
        <f>IFERROR(INDEX(WRstats2[RecYards],MATCH(WRmatchups[[#This Row],[Name]],WRstats2[Player],0)),"0")</f>
        <v>72.8</v>
      </c>
      <c r="AP19" s="14">
        <f>IFERROR(INDEX(WRstats3[RecYards],MATCH(WRmatchups[[#This Row],[Name]],WRstats3[Player],0)),"0")</f>
        <v>85.9</v>
      </c>
      <c r="AQ19" s="32" t="str">
        <f>IFERROR(INDEX(WRallowed[Yard],MATCH(WRmatchups[[#This Row],[Opp]],WRallowed[Team],0)),"0")</f>
        <v>0</v>
      </c>
      <c r="AR19" s="14">
        <f>IFERROR(INDEX(WRstats1[Rec TD],MATCH(WRmatchups[[#This Row],[Name]],WRstats1[Player],0)),"0")</f>
        <v>0.53</v>
      </c>
      <c r="AS19" s="14" t="str">
        <f>IFERROR(INDEX(WRstats2[RecTD],MATCH(WRmatchups[[#This Row],[Name]],WRstats2[Player],0)),"0")</f>
        <v>0.5</v>
      </c>
      <c r="AT19" s="14">
        <f>IFERROR(INDEX(WRstats3[RecTD],MATCH(WRmatchups[[#This Row],[Name]],WRstats3[Player],0)),"0")</f>
        <v>0.6</v>
      </c>
      <c r="AU19" s="32">
        <f>IFERROR(INDEX(WRallowed[TD],MATCH(WRmatchups[[#This Row],[Opp]],WRallowed[Team],0)),"0")*0.5</f>
        <v>0</v>
      </c>
      <c r="AV19" s="14" t="str">
        <f>IFERROR(INDEX(WRstats2[RushAtt],MATCH(WRmatchups[[#This Row],[Name]],WRstats2[Player],0)),"0")</f>
        <v>0.5</v>
      </c>
      <c r="AW19" s="14">
        <f>IFERROR(INDEX(WRstats3[RushATT],MATCH(WRmatchups[[#This Row],[Name]],WRstats3[Player],0)),"0")</f>
        <v>0</v>
      </c>
      <c r="AX19" s="14">
        <f>IFERROR(INDEX(WRstats2[RushYards],MATCH(WRmatchups[[#This Row],[Name]],WRstats2[Player],0)),"0")</f>
        <v>1.5</v>
      </c>
      <c r="AY19" s="14">
        <f>IFERROR(INDEX(WRstats3[RushYards],MATCH(WRmatchups[[#This Row],[Name]],WRstats3[Player],0)),"0")</f>
        <v>0</v>
      </c>
      <c r="AZ19" s="14" t="str">
        <f>IFERROR(INDEX(WRstats2[RushTD],MATCH(WRmatchups[[#This Row],[Name]],WRstats2[Player],0)),"0")</f>
        <v>0</v>
      </c>
      <c r="BA19" s="14">
        <f>IFERROR(INDEX(WRstats3[RushTD],MATCH(WRmatchups[[#This Row],[Name]],WRstats3[Player],0)),"0")</f>
        <v>0</v>
      </c>
      <c r="BB19" s="264">
        <f>IF(WRmatchups[[#This Row],[Yards]]&gt;=100,3,0)</f>
        <v>0</v>
      </c>
      <c r="BC19" s="191" t="str">
        <f>IFERROR(INDEX(#REF!,MATCH(WRmatchups[Name],#REF!,0)),"0")</f>
        <v>0</v>
      </c>
      <c r="BD19" s="494">
        <f>WRmatchups[[#This Row],[Targets]]/WRmatchups[[#This Row],[Salary]]*100</f>
        <v>0.39726027397260272</v>
      </c>
    </row>
    <row r="20" spans="1:56" ht="15" thickBot="1" x14ac:dyDescent="0.35">
      <c r="A20" s="37">
        <f>WRstats1!AL11</f>
        <v>15.2</v>
      </c>
      <c r="B20" s="5" t="str">
        <f>WRstats1!D11</f>
        <v>Jarvis Landry</v>
      </c>
      <c r="C20" s="172">
        <f>IFERROR(INDEX(Salaries[DraftKings (Price)],MATCH(WRmatchups[[#This Row],[Name]],Salaries[Player],0)),"")</f>
        <v>6900</v>
      </c>
      <c r="D20" s="172">
        <f>IFERROR(INDEX(DK_Salary_Changes[WeekChange],MATCH(WRmatchups[[#This Row],[Name]],DK_Salary_Changes[Player],0)),"")</f>
        <v>300</v>
      </c>
      <c r="E20" s="14" t="str">
        <f>IFERROR(INDEX(Salaries[Team],MATCH(WRmatchups[[#This Row],[Name]],Salaries[Player],0)),"")</f>
        <v>MIA</v>
      </c>
      <c r="F20" s="460" t="str">
        <f>IFERROR(INDEX(Salaries[Opp],MATCH(WRmatchups[[#This Row],[Team]],Salaries[Team],0)),"")</f>
        <v>@CIN</v>
      </c>
      <c r="G20" s="476">
        <f>IFERROR(INDEX(WRYTD[Rec],MATCH(WRmatchups[Name],WRYTD[Player],0)),"0")</f>
        <v>24</v>
      </c>
      <c r="H20" s="458">
        <f>IFERROR(INDEX(targettracker54[TTL],MATCH(WRmatchups[Name],targettracker54[Name],0)),"")</f>
        <v>35</v>
      </c>
      <c r="I20" s="475">
        <f>IFERROR(INDEX(WRYTD[Rec Yds],MATCH(WRmatchups[Name],WRYTD[Player],0)),"0")</f>
        <v>316</v>
      </c>
      <c r="J20" s="477">
        <f>IFERROR(INDEX(WRYTD[Rec TD],MATCH(WRmatchups[Name],WRYTD[Player],0)),"0")</f>
        <v>1</v>
      </c>
      <c r="K20" s="473">
        <f>IFERROR(INDEX(Salaries[O/U],MATCH(WRmatchups[[#This Row],[Team]],Salaries[Team],0)),"")</f>
        <v>44.5</v>
      </c>
      <c r="L20" s="32">
        <f>IFERROR(INDEX(Salaries[Team O/U],MATCH(WRmatchups[[#This Row],[Team]],Salaries[Team],0)),"")</f>
        <v>18.75</v>
      </c>
      <c r="M20" s="417">
        <f>IFERROR(INDEX(Salaries[Spread],MATCH(WRmatchups[[#This Row],[Team]],Salaries[Team],0)),"")</f>
        <v>7</v>
      </c>
      <c r="N20" s="424">
        <f>IFERROR(INDEX(WRallowed[DVP],MATCH(WRmatchups[[#This Row],[Opp]],WRallowed[Team],0)),IFERROR(INDEX(WRallowed[DVP],MATCH(WRmatchups[[#This Row],[Opp]],WRallowed[Opp],0)),""))</f>
        <v>12</v>
      </c>
      <c r="O20" s="17">
        <f>IFERROR(INDEX(YAtCData[YAtC],MATCH(WRmatchups[[#This Row],[Name]],YAtCData[Player],0)),"0")</f>
        <v>166</v>
      </c>
      <c r="P20" s="497">
        <f>IFERROR(INDEX(YAtCData[YAtC/Rec],MATCH(WRmatchups[[#This Row],[Name]],YAtCData[Player],0)),"0")</f>
        <v>6.92</v>
      </c>
      <c r="Q20" s="17">
        <f>IFERROR(INDEX(YAtCData[YAC],MATCH(WRmatchups[[#This Row],[Name]],YAtCData[Player],0)),"0")</f>
        <v>148</v>
      </c>
      <c r="R20" s="497">
        <f>IFERROR(INDEX(YACDATA[YAC per Reception],MATCH(WRmatchups[[#This Row],[Name]],YACDATA[Player],0)),"0")</f>
        <v>6.2</v>
      </c>
      <c r="S20" s="418">
        <f>AVERAGE(WRmatchups[[#This Row],[Tar1]:[Tar3]])</f>
        <v>9.6999999999999993</v>
      </c>
      <c r="T20" s="464">
        <f>AVERAGE(WRmatchups[[#This Row],[Rec1]:[Rec3]])</f>
        <v>6.833333333333333</v>
      </c>
      <c r="U20" s="468">
        <f>SUM(WRmatchups[[#This Row],[Rec4]]/WRmatchups[[#This Row],[Targets2]])</f>
        <v>0.70446735395189009</v>
      </c>
      <c r="V20" s="417">
        <f>AVERAGE(WRmatchups[[#This Row],[Yards1]:[Yards3]])</f>
        <v>79.148666666666671</v>
      </c>
      <c r="W20" s="461">
        <f>SUM(WRmatchups[[#This Row],[Yards]]/WRmatchups[[#This Row],[Targets2]])</f>
        <v>8.1596563573883163</v>
      </c>
      <c r="X20" s="32">
        <f>AVERAGE(WRmatchups[[#This Row],[TD1]:[TD3]])</f>
        <v>0.41749999999999998</v>
      </c>
      <c r="Y20" s="14">
        <f>_xlfn.RANK.EQ(WRmatchups[[#This Row],[Projection]],WRmatchups[Projection],0)</f>
        <v>10</v>
      </c>
      <c r="Z20" s="19">
        <f>SUM(WRmatchups[[#This Row],[Yards]]*0.1)+(WRmatchups[[#This Row],[RecTD5]]*6)+(WRmatchups[[#This Row],[Rec4]]*1)+(WRmatchups[[#This Row],[100+]])</f>
        <v>17.2532</v>
      </c>
      <c r="AA20" s="8">
        <f>_xlfn.RANK.EQ(WRmatchups[[#This Row],[$/FP]],WRmatchups[$/FP],1)</f>
        <v>23</v>
      </c>
      <c r="AB20" s="23">
        <f>SUM(WRmatchups[[#This Row],[Salary]]/WRmatchups[[#This Row],[Projection]])</f>
        <v>399.92581086407159</v>
      </c>
      <c r="AC20" s="241">
        <f>_xlfn.RANK.EQ(WRmatchups[[#This Row],[Average]],WRmatchups[Average],1)</f>
        <v>7</v>
      </c>
      <c r="AD20" s="241">
        <f>AVERAGE(WRmatchups[[#This Row],[Proj Rank]],WRmatchups[[#This Row],[Value Rank]])</f>
        <v>16.5</v>
      </c>
      <c r="AE20" s="210">
        <f>WRmatchups[[#This Row],[Salary]]/50000</f>
        <v>0.13800000000000001</v>
      </c>
      <c r="AF20" s="214"/>
      <c r="AG20" s="14">
        <f>IFERROR(INDEX(WRstats3[Targets],MATCH(WRmatchups[[#This Row],[Name]],WRstats3[Player],0)),"0")</f>
        <v>9.6999999999999993</v>
      </c>
      <c r="AH20" s="14" t="str">
        <f>IFERROR(INDEX(WRstats2[Targets],MATCH(WRmatchups[[#This Row],[Name]],WRstats2[Player],0)),"0")</f>
        <v>0</v>
      </c>
      <c r="AI20" s="14">
        <f>IFERROR(INDEX(WRstats3[Targets],MATCH(WRmatchups[[#This Row],[Name]],WRstats3[Player],0)),"0")</f>
        <v>9.6999999999999993</v>
      </c>
      <c r="AJ20" s="14">
        <f>IFERROR(INDEX(WRstats1[Rec],MATCH(WRmatchups[[#This Row],[Name]],WRstats1[Player],0)),"0")</f>
        <v>7.1</v>
      </c>
      <c r="AK20" s="14">
        <f>IFERROR(INDEX(WRstats2[Rec],MATCH(WRmatchups[[#This Row],[Name]],WRstats2[Player],0)),"0")</f>
        <v>6.6</v>
      </c>
      <c r="AL20" s="14">
        <f>IFERROR(INDEX(WRstats3[Rec],MATCH(WRmatchups[[#This Row],[Name]],WRstats3[Player],0)),"0")</f>
        <v>6.8</v>
      </c>
      <c r="AM20" s="32" t="str">
        <f>IFERROR(INDEX(WRallowed[Rec],MATCH(WRmatchups[[#This Row],[Opp]],WRallowed[Team],0)),"0")</f>
        <v>0</v>
      </c>
      <c r="AN20" s="14">
        <f>IFERROR(INDEX(WRstats1[Rec Yds],MATCH(WRmatchups[[#This Row],[Name]],WRstats1[Player],0)),"0")</f>
        <v>93.846000000000004</v>
      </c>
      <c r="AO20" s="14">
        <f>IFERROR(INDEX(WRstats2[RecYards],MATCH(WRmatchups[[#This Row],[Name]],WRstats2[Player],0)),"0")</f>
        <v>70.5</v>
      </c>
      <c r="AP20" s="14">
        <f>IFERROR(INDEX(WRstats3[RecYards],MATCH(WRmatchups[[#This Row],[Name]],WRstats3[Player],0)),"0")</f>
        <v>73.099999999999994</v>
      </c>
      <c r="AQ20" s="32" t="str">
        <f>IFERROR(INDEX(WRallowed[Yard],MATCH(WRmatchups[[#This Row],[Opp]],WRallowed[Team],0)),"0")</f>
        <v>0</v>
      </c>
      <c r="AR20" s="14">
        <f>IFERROR(INDEX(WRstats1[Rec TD],MATCH(WRmatchups[[#This Row],[Name]],WRstats1[Player],0)),"0")</f>
        <v>0.33500000000000002</v>
      </c>
      <c r="AS20" s="14" t="str">
        <f>IFERROR(INDEX(WRstats2[RecTD],MATCH(WRmatchups[[#This Row],[Name]],WRstats2[Player],0)),"0")</f>
        <v>0.4</v>
      </c>
      <c r="AT20" s="14">
        <f>IFERROR(INDEX(WRstats3[RecTD],MATCH(WRmatchups[[#This Row],[Name]],WRstats3[Player],0)),"0")</f>
        <v>0.5</v>
      </c>
      <c r="AU20" s="32">
        <f>IFERROR(INDEX(WRallowed[TD],MATCH(WRmatchups[[#This Row],[Opp]],WRallowed[Team],0)),"0")*0.5</f>
        <v>0</v>
      </c>
      <c r="AV20" s="14" t="str">
        <f>IFERROR(INDEX(WRstats2[RushAtt],MATCH(WRmatchups[[#This Row],[Name]],WRstats2[Player],0)),"0")</f>
        <v>0.4</v>
      </c>
      <c r="AW20" s="14">
        <f>IFERROR(INDEX(WRstats3[RushATT],MATCH(WRmatchups[[#This Row],[Name]],WRstats3[Player],0)),"0")</f>
        <v>1</v>
      </c>
      <c r="AX20" s="14">
        <f>IFERROR(INDEX(WRstats2[RushYards],MATCH(WRmatchups[[#This Row],[Name]],WRstats2[Player],0)),"0")</f>
        <v>2.1</v>
      </c>
      <c r="AY20" s="14">
        <f>IFERROR(INDEX(WRstats3[RushYards],MATCH(WRmatchups[[#This Row],[Name]],WRstats3[Player],0)),"0")</f>
        <v>5.5</v>
      </c>
      <c r="AZ20" s="14" t="str">
        <f>IFERROR(INDEX(WRstats2[RushTD],MATCH(WRmatchups[[#This Row],[Name]],WRstats2[Player],0)),"0")</f>
        <v>0</v>
      </c>
      <c r="BA20" s="14">
        <f>IFERROR(INDEX(WRstats3[RushTD],MATCH(WRmatchups[[#This Row],[Name]],WRstats3[Player],0)),"0")</f>
        <v>0</v>
      </c>
      <c r="BB20" s="264">
        <f>IF(WRmatchups[[#This Row],[Yards]]&gt;=100,3,0)</f>
        <v>0</v>
      </c>
      <c r="BC20" s="191" t="str">
        <f>IFERROR(INDEX(#REF!,MATCH(WRmatchups[Name],#REF!,0)),"0")</f>
        <v>0</v>
      </c>
      <c r="BD20" s="494">
        <f>WRmatchups[[#This Row],[Targets]]/WRmatchups[[#This Row],[Salary]]*100</f>
        <v>0.50724637681159412</v>
      </c>
    </row>
    <row r="21" spans="1:56" ht="15" thickBot="1" x14ac:dyDescent="0.35">
      <c r="A21" s="37">
        <f>WRstats1!AL10</f>
        <v>14.7</v>
      </c>
      <c r="B21" s="5" t="str">
        <f>WRstats1!D10</f>
        <v>T.Y. Hilton</v>
      </c>
      <c r="C21" s="172">
        <f>IFERROR(INDEX(Salaries[DraftKings (Price)],MATCH(WRmatchups[[#This Row],[Name]],Salaries[Player],0)),"")</f>
        <v>7000</v>
      </c>
      <c r="D21" s="172">
        <f>IFERROR(INDEX(DK_Salary_Changes[WeekChange],MATCH(WRmatchups[[#This Row],[Name]],DK_Salary_Changes[Player],0)),"")</f>
        <v>200</v>
      </c>
      <c r="E21" s="14" t="str">
        <f>IFERROR(INDEX(Salaries[Team],MATCH(WRmatchups[[#This Row],[Name]],Salaries[Player],0)),"")</f>
        <v>IND</v>
      </c>
      <c r="F21" s="460" t="str">
        <f>IFERROR(INDEX(Salaries[Opp],MATCH(WRmatchups[[#This Row],[Team]],Salaries[Team],0)),"")</f>
        <v>@JAX</v>
      </c>
      <c r="G21" s="476">
        <f>IFERROR(INDEX(WRYTD[Rec],MATCH(WRmatchups[Name],WRYTD[Player],0)),"0")</f>
        <v>18</v>
      </c>
      <c r="H21" s="458">
        <f>IFERROR(INDEX(targettracker54[TTL],MATCH(WRmatchups[Name],targettracker54[Name],0)),"")</f>
        <v>34</v>
      </c>
      <c r="I21" s="475">
        <f>IFERROR(INDEX(WRYTD[Rec Yds],MATCH(WRmatchups[Name],WRYTD[Player],0)),"0")</f>
        <v>294</v>
      </c>
      <c r="J21" s="477">
        <f>IFERROR(INDEX(WRYTD[Rec TD],MATCH(WRmatchups[Name],WRYTD[Player],0)),"0")</f>
        <v>1</v>
      </c>
      <c r="K21" s="473">
        <f>IFERROR(INDEX(Salaries[O/U],MATCH(WRmatchups[[#This Row],[Team]],Salaries[Team],0)),"")</f>
        <v>49.5</v>
      </c>
      <c r="L21" s="32">
        <f>IFERROR(INDEX(Salaries[Team O/U],MATCH(WRmatchups[[#This Row],[Team]],Salaries[Team],0)),"")</f>
        <v>26</v>
      </c>
      <c r="M21" s="417">
        <f>IFERROR(INDEX(Salaries[Spread],MATCH(WRmatchups[[#This Row],[Team]],Salaries[Team],0)),"")</f>
        <v>-2.5</v>
      </c>
      <c r="N21" s="424">
        <f>IFERROR(INDEX(WRallowed[DVP],MATCH(WRmatchups[[#This Row],[Opp]],WRallowed[Team],0)),IFERROR(INDEX(WRallowed[DVP],MATCH(WRmatchups[[#This Row],[Opp]],WRallowed[Opp],0)),""))</f>
        <v>16</v>
      </c>
      <c r="O21" s="17">
        <f>IFERROR(INDEX(YAtCData[YAtC],MATCH(WRmatchups[[#This Row],[Name]],YAtCData[Player],0)),"0")</f>
        <v>194</v>
      </c>
      <c r="P21" s="497">
        <f>IFERROR(INDEX(YAtCData[YAtC/Rec],MATCH(WRmatchups[[#This Row],[Name]],YAtCData[Player],0)),"0")</f>
        <v>10.78</v>
      </c>
      <c r="Q21" s="17">
        <f>IFERROR(INDEX(YAtCData[YAC],MATCH(WRmatchups[[#This Row],[Name]],YAtCData[Player],0)),"0")</f>
        <v>100</v>
      </c>
      <c r="R21" s="497">
        <f>IFERROR(INDEX(YACDATA[YAC per Reception],MATCH(WRmatchups[[#This Row],[Name]],YACDATA[Player],0)),"0")</f>
        <v>5.6</v>
      </c>
      <c r="S21" s="418">
        <f>AVERAGE(WRmatchups[[#This Row],[Tar1]:[Tar3]])</f>
        <v>8.8000000000000007</v>
      </c>
      <c r="T21" s="464">
        <f>AVERAGE(WRmatchups[[#This Row],[Rec1]:[Rec3]])</f>
        <v>5.5270000000000001</v>
      </c>
      <c r="U21" s="468">
        <f>SUM(WRmatchups[[#This Row],[Rec4]]/WRmatchups[[#This Row],[Targets2]])</f>
        <v>0.6280681818181818</v>
      </c>
      <c r="V21" s="417">
        <f>AVERAGE(WRmatchups[[#This Row],[Yards1]:[Yards3]])</f>
        <v>83.356000000000009</v>
      </c>
      <c r="W21" s="461">
        <f>SUM(WRmatchups[[#This Row],[Yards]]/WRmatchups[[#This Row],[Targets2]])</f>
        <v>9.4722727272727276</v>
      </c>
      <c r="X21" s="32">
        <f>AVERAGE(WRmatchups[[#This Row],[TD1]:[TD3]])</f>
        <v>0.55400000000000005</v>
      </c>
      <c r="Y21" s="14">
        <f>_xlfn.RANK.EQ(WRmatchups[[#This Row],[Projection]],WRmatchups[Projection],0)</f>
        <v>11</v>
      </c>
      <c r="Z21" s="19">
        <f>SUM(WRmatchups[[#This Row],[Yards]]*0.1)+(WRmatchups[[#This Row],[RecTD5]]*6)+(WRmatchups[[#This Row],[Rec4]]*1)+(WRmatchups[[#This Row],[100+]])</f>
        <v>17.186600000000002</v>
      </c>
      <c r="AA21" s="8">
        <f>_xlfn.RANK.EQ(WRmatchups[[#This Row],[$/FP]],WRmatchups[$/FP],1)</f>
        <v>27</v>
      </c>
      <c r="AB21" s="23">
        <f>SUM(WRmatchups[[#This Row],[Salary]]/WRmatchups[[#This Row],[Projection]])</f>
        <v>407.29405467049907</v>
      </c>
      <c r="AC21" s="241">
        <f>_xlfn.RANK.EQ(WRmatchups[[#This Row],[Average]],WRmatchups[Average],1)</f>
        <v>13</v>
      </c>
      <c r="AD21" s="241">
        <f>AVERAGE(WRmatchups[[#This Row],[Proj Rank]],WRmatchups[[#This Row],[Value Rank]])</f>
        <v>19</v>
      </c>
      <c r="AE21" s="210">
        <f>WRmatchups[[#This Row],[Salary]]/50000</f>
        <v>0.14000000000000001</v>
      </c>
      <c r="AF21" s="214"/>
      <c r="AG21" s="14">
        <f>IFERROR(INDEX(WRstats3[Targets],MATCH(WRmatchups[[#This Row],[Name]],WRstats3[Player],0)),"0")</f>
        <v>8.8000000000000007</v>
      </c>
      <c r="AH21" s="14" t="str">
        <f>IFERROR(INDEX(WRstats2[Targets],MATCH(WRmatchups[[#This Row],[Name]],WRstats2[Player],0)),"0")</f>
        <v>0</v>
      </c>
      <c r="AI21" s="14">
        <f>IFERROR(INDEX(WRstats3[Targets],MATCH(WRmatchups[[#This Row],[Name]],WRstats3[Player],0)),"0")</f>
        <v>8.8000000000000007</v>
      </c>
      <c r="AJ21" s="14">
        <f>IFERROR(INDEX(WRstats1[Rec],MATCH(WRmatchups[[#This Row],[Name]],WRstats1[Player],0)),"0")</f>
        <v>5.8810000000000002</v>
      </c>
      <c r="AK21" s="14">
        <f>IFERROR(INDEX(WRstats2[Rec],MATCH(WRmatchups[[#This Row],[Name]],WRstats2[Player],0)),"0")</f>
        <v>5.0999999999999996</v>
      </c>
      <c r="AL21" s="14">
        <f>IFERROR(INDEX(WRstats3[Rec],MATCH(WRmatchups[[#This Row],[Name]],WRstats3[Player],0)),"0")</f>
        <v>5.6</v>
      </c>
      <c r="AM21" s="32" t="str">
        <f>IFERROR(INDEX(WRallowed[Rec],MATCH(WRmatchups[[#This Row],[Opp]],WRallowed[Team],0)),"0")</f>
        <v>0</v>
      </c>
      <c r="AN21" s="14">
        <f>IFERROR(INDEX(WRstats1[Rec Yds],MATCH(WRmatchups[[#This Row],[Name]],WRstats1[Player],0)),"0")</f>
        <v>88.268000000000001</v>
      </c>
      <c r="AO21" s="14">
        <f>IFERROR(INDEX(WRstats2[RecYards],MATCH(WRmatchups[[#This Row],[Name]],WRstats2[Player],0)),"0")</f>
        <v>82.2</v>
      </c>
      <c r="AP21" s="14">
        <f>IFERROR(INDEX(WRstats3[RecYards],MATCH(WRmatchups[[#This Row],[Name]],WRstats3[Player],0)),"0")</f>
        <v>79.599999999999994</v>
      </c>
      <c r="AQ21" s="32" t="str">
        <f>IFERROR(INDEX(WRallowed[Yard],MATCH(WRmatchups[[#This Row],[Opp]],WRallowed[Team],0)),"0")</f>
        <v>0</v>
      </c>
      <c r="AR21" s="14">
        <f>IFERROR(INDEX(WRstats1[Rec TD],MATCH(WRmatchups[[#This Row],[Name]],WRstats1[Player],0)),"0")</f>
        <v>0.50800000000000001</v>
      </c>
      <c r="AS21" s="14" t="str">
        <f>IFERROR(INDEX(WRstats2[RecTD],MATCH(WRmatchups[[#This Row],[Name]],WRstats2[Player],0)),"0")</f>
        <v>0.6</v>
      </c>
      <c r="AT21" s="14">
        <f>IFERROR(INDEX(WRstats3[RecTD],MATCH(WRmatchups[[#This Row],[Name]],WRstats3[Player],0)),"0")</f>
        <v>0.6</v>
      </c>
      <c r="AU21" s="32">
        <f>IFERROR(INDEX(WRallowed[TD],MATCH(WRmatchups[[#This Row],[Opp]],WRallowed[Team],0)),"0")*0.5</f>
        <v>0</v>
      </c>
      <c r="AV21" s="14" t="str">
        <f>IFERROR(INDEX(WRstats2[RushAtt],MATCH(WRmatchups[[#This Row],[Name]],WRstats2[Player],0)),"0")</f>
        <v>0.6</v>
      </c>
      <c r="AW21" s="14">
        <f>IFERROR(INDEX(WRstats3[RushATT],MATCH(WRmatchups[[#This Row],[Name]],WRstats3[Player],0)),"0")</f>
        <v>0.2</v>
      </c>
      <c r="AX21" s="14" t="str">
        <f>IFERROR(INDEX(WRstats2[RushYards],MATCH(WRmatchups[[#This Row],[Name]],WRstats2[Player],0)),"0")</f>
        <v>0</v>
      </c>
      <c r="AY21" s="14">
        <f>IFERROR(INDEX(WRstats3[RushYards],MATCH(WRmatchups[[#This Row],[Name]],WRstats3[Player],0)),"0")</f>
        <v>1.5</v>
      </c>
      <c r="AZ21" s="14" t="str">
        <f>IFERROR(INDEX(WRstats2[RushTD],MATCH(WRmatchups[[#This Row],[Name]],WRstats2[Player],0)),"0")</f>
        <v>0</v>
      </c>
      <c r="BA21" s="14">
        <f>IFERROR(INDEX(WRstats3[RushTD],MATCH(WRmatchups[[#This Row],[Name]],WRstats3[Player],0)),"0")</f>
        <v>0</v>
      </c>
      <c r="BB21" s="264">
        <f>IF(WRmatchups[[#This Row],[Yards]]&gt;=100,3,0)</f>
        <v>0</v>
      </c>
      <c r="BC21" s="191" t="str">
        <f>IFERROR(INDEX(#REF!,MATCH(WRmatchups[Name],#REF!,0)),"0")</f>
        <v>0</v>
      </c>
      <c r="BD21" s="494">
        <f>WRmatchups[[#This Row],[Targets]]/WRmatchups[[#This Row],[Salary]]*100</f>
        <v>0.48571428571428565</v>
      </c>
    </row>
    <row r="22" spans="1:56" ht="15" thickBot="1" x14ac:dyDescent="0.35">
      <c r="A22" s="37">
        <f>WRstats1!AL9</f>
        <v>15.1</v>
      </c>
      <c r="B22" s="5" t="str">
        <f>WRstats1!D9</f>
        <v>Brandin Cooks</v>
      </c>
      <c r="C22" s="172">
        <f>IFERROR(INDEX(Salaries[DraftKings (Price)],MATCH(WRmatchups[[#This Row],[Name]],Salaries[Player],0)),"")</f>
        <v>7400</v>
      </c>
      <c r="D22" s="172">
        <f>IFERROR(INDEX(DK_Salary_Changes[WeekChange],MATCH(WRmatchups[[#This Row],[Name]],DK_Salary_Changes[Player],0)),"")</f>
        <v>-500</v>
      </c>
      <c r="E22" s="14" t="str">
        <f>IFERROR(INDEX(Salaries[Team],MATCH(WRmatchups[[#This Row],[Name]],Salaries[Player],0)),"")</f>
        <v>NO</v>
      </c>
      <c r="F22" s="460" t="str">
        <f>IFERROR(INDEX(Salaries[Opp],MATCH(WRmatchups[[#This Row],[Team]],Salaries[Team],0)),"")</f>
        <v>@SD</v>
      </c>
      <c r="G22" s="476">
        <f>IFERROR(INDEX(WRYTD[Rec],MATCH(WRmatchups[Name],WRYTD[Player],0)),"0")</f>
        <v>15</v>
      </c>
      <c r="H22" s="458">
        <f>IFERROR(INDEX(targettracker54[TTL],MATCH(WRmatchups[Name],targettracker54[Name],0)),"")</f>
        <v>26</v>
      </c>
      <c r="I22" s="475">
        <f>IFERROR(INDEX(WRYTD[Rec Yds],MATCH(WRmatchups[Name],WRYTD[Player],0)),"0")</f>
        <v>224</v>
      </c>
      <c r="J22" s="477">
        <f>IFERROR(INDEX(WRYTD[Rec TD],MATCH(WRmatchups[Name],WRYTD[Player],0)),"0")</f>
        <v>2</v>
      </c>
      <c r="K22" s="473">
        <f>IFERROR(INDEX(Salaries[O/U],MATCH(WRmatchups[[#This Row],[Team]],Salaries[Team],0)),"")</f>
        <v>53.5</v>
      </c>
      <c r="L22" s="32">
        <f>IFERROR(INDEX(Salaries[Team O/U],MATCH(WRmatchups[[#This Row],[Team]],Salaries[Team],0)),"")</f>
        <v>24.75</v>
      </c>
      <c r="M22" s="417">
        <f>IFERROR(INDEX(Salaries[Spread],MATCH(WRmatchups[[#This Row],[Team]],Salaries[Team],0)),"")</f>
        <v>4</v>
      </c>
      <c r="N22" s="424">
        <f>IFERROR(INDEX(WRallowed[DVP],MATCH(WRmatchups[[#This Row],[Opp]],WRallowed[Team],0)),IFERROR(INDEX(WRallowed[DVP],MATCH(WRmatchups[[#This Row],[Opp]],WRallowed[Opp],0)),""))</f>
        <v>4</v>
      </c>
      <c r="O22" s="17">
        <f>IFERROR(INDEX(YAtCData[YAtC],MATCH(WRmatchups[[#This Row],[Name]],YAtCData[Player],0)),"0")</f>
        <v>125</v>
      </c>
      <c r="P22" s="497">
        <f>IFERROR(INDEX(YAtCData[YAtC/Rec],MATCH(WRmatchups[[#This Row],[Name]],YAtCData[Player],0)),"0")</f>
        <v>8.33</v>
      </c>
      <c r="Q22" s="17">
        <f>IFERROR(INDEX(YAtCData[YAC],MATCH(WRmatchups[[#This Row],[Name]],YAtCData[Player],0)),"0")</f>
        <v>99</v>
      </c>
      <c r="R22" s="497">
        <f>IFERROR(INDEX(YACDATA[YAC per Reception],MATCH(WRmatchups[[#This Row],[Name]],YACDATA[Player],0)),"0")</f>
        <v>6.6</v>
      </c>
      <c r="S22" s="418">
        <f>AVERAGE(WRmatchups[[#This Row],[Tar1]:[Tar3]])</f>
        <v>7.2</v>
      </c>
      <c r="T22" s="464">
        <f>AVERAGE(WRmatchups[[#This Row],[Rec1]:[Rec3]])</f>
        <v>5.7733333333333334</v>
      </c>
      <c r="U22" s="468">
        <f>SUM(WRmatchups[[#This Row],[Rec4]]/WRmatchups[[#This Row],[Targets2]])</f>
        <v>0.80185185185185182</v>
      </c>
      <c r="V22" s="417">
        <f>AVERAGE(WRmatchups[[#This Row],[Yards1]:[Yards3]])</f>
        <v>80.048333333333332</v>
      </c>
      <c r="W22" s="461">
        <f>SUM(WRmatchups[[#This Row],[Yards]]/WRmatchups[[#This Row],[Targets2]])</f>
        <v>11.117824074074074</v>
      </c>
      <c r="X22" s="32">
        <f>AVERAGE(WRmatchups[[#This Row],[TD1]:[TD3]])</f>
        <v>0.54949999999999999</v>
      </c>
      <c r="Y22" s="14">
        <f>_xlfn.RANK.EQ(WRmatchups[[#This Row],[Projection]],WRmatchups[Projection],0)</f>
        <v>12</v>
      </c>
      <c r="Z22" s="19">
        <f>SUM(WRmatchups[[#This Row],[Yards]]*0.1)+(WRmatchups[[#This Row],[RecTD5]]*6)+(WRmatchups[[#This Row],[Rec4]]*1)+(WRmatchups[[#This Row],[100+]])</f>
        <v>17.075166666666668</v>
      </c>
      <c r="AA22" s="8">
        <f>_xlfn.RANK.EQ(WRmatchups[[#This Row],[$/FP]],WRmatchups[$/FP],1)</f>
        <v>48</v>
      </c>
      <c r="AB22" s="23">
        <f>SUM(WRmatchups[[#This Row],[Salary]]/WRmatchups[[#This Row],[Projection]])</f>
        <v>433.37790748748176</v>
      </c>
      <c r="AC22" s="241">
        <f>_xlfn.RANK.EQ(WRmatchups[[#This Row],[Average]],WRmatchups[Average],1)</f>
        <v>25</v>
      </c>
      <c r="AD22" s="241">
        <f>AVERAGE(WRmatchups[[#This Row],[Proj Rank]],WRmatchups[[#This Row],[Value Rank]])</f>
        <v>30</v>
      </c>
      <c r="AE22" s="210">
        <f>WRmatchups[[#This Row],[Salary]]/50000</f>
        <v>0.14799999999999999</v>
      </c>
      <c r="AF22" s="214"/>
      <c r="AG22" s="14">
        <f>IFERROR(INDEX(WRstats3[Targets],MATCH(WRmatchups[[#This Row],[Name]],WRstats3[Player],0)),"0")</f>
        <v>7.2</v>
      </c>
      <c r="AH22" s="14" t="str">
        <f>IFERROR(INDEX(WRstats2[Targets],MATCH(WRmatchups[[#This Row],[Name]],WRstats2[Player],0)),"0")</f>
        <v>0</v>
      </c>
      <c r="AI22" s="14">
        <f>IFERROR(INDEX(WRstats3[Targets],MATCH(WRmatchups[[#This Row],[Name]],WRstats3[Player],0)),"0")</f>
        <v>7.2</v>
      </c>
      <c r="AJ22" s="14">
        <f>IFERROR(INDEX(WRstats1[Rec],MATCH(WRmatchups[[#This Row],[Name]],WRstats1[Player],0)),"0")</f>
        <v>6.52</v>
      </c>
      <c r="AK22" s="14">
        <f>IFERROR(INDEX(WRstats2[Rec],MATCH(WRmatchups[[#This Row],[Name]],WRstats2[Player],0)),"0")</f>
        <v>6.1</v>
      </c>
      <c r="AL22" s="14">
        <f>IFERROR(INDEX(WRstats3[Rec],MATCH(WRmatchups[[#This Row],[Name]],WRstats3[Player],0)),"0")</f>
        <v>4.7</v>
      </c>
      <c r="AM22" s="32" t="str">
        <f>IFERROR(INDEX(WRallowed[Rec],MATCH(WRmatchups[[#This Row],[Opp]],WRallowed[Team],0)),"0")</f>
        <v>0</v>
      </c>
      <c r="AN22" s="14">
        <f>IFERROR(INDEX(WRstats1[Rec Yds],MATCH(WRmatchups[[#This Row],[Name]],WRstats1[Player],0)),"0")</f>
        <v>82.344999999999999</v>
      </c>
      <c r="AO22" s="14">
        <f>IFERROR(INDEX(WRstats2[RecYards],MATCH(WRmatchups[[#This Row],[Name]],WRstats2[Player],0)),"0")</f>
        <v>83.9</v>
      </c>
      <c r="AP22" s="14">
        <f>IFERROR(INDEX(WRstats3[RecYards],MATCH(WRmatchups[[#This Row],[Name]],WRstats3[Player],0)),"0")</f>
        <v>73.900000000000006</v>
      </c>
      <c r="AQ22" s="32" t="str">
        <f>IFERROR(INDEX(WRallowed[Yard],MATCH(WRmatchups[[#This Row],[Opp]],WRallowed[Team],0)),"0")</f>
        <v>0</v>
      </c>
      <c r="AR22" s="14">
        <f>IFERROR(INDEX(WRstats1[Rec TD],MATCH(WRmatchups[[#This Row],[Name]],WRstats1[Player],0)),"0")</f>
        <v>0.59899999999999998</v>
      </c>
      <c r="AS22" s="14" t="str">
        <f>IFERROR(INDEX(WRstats2[RecTD],MATCH(WRmatchups[[#This Row],[Name]],WRstats2[Player],0)),"0")</f>
        <v>0.6</v>
      </c>
      <c r="AT22" s="14">
        <f>IFERROR(INDEX(WRstats3[RecTD],MATCH(WRmatchups[[#This Row],[Name]],WRstats3[Player],0)),"0")</f>
        <v>0.5</v>
      </c>
      <c r="AU22" s="32">
        <f>IFERROR(INDEX(WRallowed[TD],MATCH(WRmatchups[[#This Row],[Opp]],WRallowed[Team],0)),"0")*0.5</f>
        <v>0</v>
      </c>
      <c r="AV22" s="14" t="str">
        <f>IFERROR(INDEX(WRstats2[RushAtt],MATCH(WRmatchups[[#This Row],[Name]],WRstats2[Player],0)),"0")</f>
        <v>0.6</v>
      </c>
      <c r="AW22" s="14">
        <f>IFERROR(INDEX(WRstats3[RushATT],MATCH(WRmatchups[[#This Row],[Name]],WRstats3[Player],0)),"0")</f>
        <v>0.2</v>
      </c>
      <c r="AX22" s="14">
        <f>IFERROR(INDEX(WRstats2[RushYards],MATCH(WRmatchups[[#This Row],[Name]],WRstats2[Player],0)),"0")</f>
        <v>1.3</v>
      </c>
      <c r="AY22" s="14">
        <f>IFERROR(INDEX(WRstats3[RushYards],MATCH(WRmatchups[[#This Row],[Name]],WRstats3[Player],0)),"0")</f>
        <v>1.1000000000000001</v>
      </c>
      <c r="AZ22" s="14" t="str">
        <f>IFERROR(INDEX(WRstats2[RushTD],MATCH(WRmatchups[[#This Row],[Name]],WRstats2[Player],0)),"0")</f>
        <v>0</v>
      </c>
      <c r="BA22" s="14">
        <f>IFERROR(INDEX(WRstats3[RushTD],MATCH(WRmatchups[[#This Row],[Name]],WRstats3[Player],0)),"0")</f>
        <v>0</v>
      </c>
      <c r="BB22" s="264">
        <f>IF(WRmatchups[[#This Row],[Yards]]&gt;=100,3,0)</f>
        <v>0</v>
      </c>
      <c r="BC22" s="191" t="str">
        <f>IFERROR(INDEX(#REF!,MATCH(WRmatchups[Name],#REF!,0)),"0")</f>
        <v>0</v>
      </c>
      <c r="BD22" s="494">
        <f>WRmatchups[[#This Row],[Targets]]/WRmatchups[[#This Row],[Salary]]*100</f>
        <v>0.35135135135135137</v>
      </c>
    </row>
    <row r="23" spans="1:56" ht="15" thickBot="1" x14ac:dyDescent="0.35">
      <c r="A23" s="37">
        <f>WRstats1!AL19</f>
        <v>13.6</v>
      </c>
      <c r="B23" s="5" t="str">
        <f>WRstats1!D19</f>
        <v>Demaryius Thomas</v>
      </c>
      <c r="C23" s="172">
        <f>IFERROR(INDEX(Salaries[DraftKings (Price)],MATCH(WRmatchups[[#This Row],[Name]],Salaries[Player],0)),"")</f>
        <v>6700</v>
      </c>
      <c r="D23" s="172">
        <f>IFERROR(INDEX(DK_Salary_Changes[WeekChange],MATCH(WRmatchups[[#This Row],[Name]],DK_Salary_Changes[Player],0)),"")</f>
        <v>300</v>
      </c>
      <c r="E23" s="14" t="str">
        <f>IFERROR(INDEX(Salaries[Team],MATCH(WRmatchups[[#This Row],[Name]],Salaries[Player],0)),"")</f>
        <v>DEN</v>
      </c>
      <c r="F23" s="460" t="str">
        <f>IFERROR(INDEX(Salaries[Opp],MATCH(WRmatchups[[#This Row],[Team]],Salaries[Team],0)),"")</f>
        <v>@TB</v>
      </c>
      <c r="G23" s="476">
        <f>IFERROR(INDEX(WRYTD[Rec],MATCH(WRmatchups[Name],WRYTD[Player],0)),"0")</f>
        <v>15</v>
      </c>
      <c r="H23" s="458">
        <f>IFERROR(INDEX(targettracker54[TTL],MATCH(WRmatchups[Name],targettracker54[Name],0)),"")</f>
        <v>20</v>
      </c>
      <c r="I23" s="475">
        <f>IFERROR(INDEX(WRYTD[Rec Yds],MATCH(WRmatchups[Name],WRYTD[Player],0)),"0")</f>
        <v>238</v>
      </c>
      <c r="J23" s="477">
        <f>IFERROR(INDEX(WRYTD[Rec TD],MATCH(WRmatchups[Name],WRYTD[Player],0)),"0")</f>
        <v>1</v>
      </c>
      <c r="K23" s="473">
        <f>IFERROR(INDEX(Salaries[O/U],MATCH(WRmatchups[[#This Row],[Team]],Salaries[Team],0)),"")</f>
        <v>44</v>
      </c>
      <c r="L23" s="32">
        <f>IFERROR(INDEX(Salaries[Team O/U],MATCH(WRmatchups[[#This Row],[Team]],Salaries[Team],0)),"")</f>
        <v>23.5</v>
      </c>
      <c r="M23" s="417">
        <f>IFERROR(INDEX(Salaries[Spread],MATCH(WRmatchups[[#This Row],[Team]],Salaries[Team],0)),"")</f>
        <v>-3</v>
      </c>
      <c r="N23" s="424">
        <f>IFERROR(INDEX(WRallowed[DVP],MATCH(WRmatchups[[#This Row],[Opp]],WRallowed[Team],0)),IFERROR(INDEX(WRallowed[DVP],MATCH(WRmatchups[[#This Row],[Opp]],WRallowed[Opp],0)),""))</f>
        <v>26</v>
      </c>
      <c r="O23" s="17">
        <f>IFERROR(INDEX(YAtCData[YAtC],MATCH(WRmatchups[[#This Row],[Name]],YAtCData[Player],0)),"0")</f>
        <v>134</v>
      </c>
      <c r="P23" s="497">
        <f>IFERROR(INDEX(YAtCData[YAtC/Rec],MATCH(WRmatchups[[#This Row],[Name]],YAtCData[Player],0)),"0")</f>
        <v>8.93</v>
      </c>
      <c r="Q23" s="17">
        <f>IFERROR(INDEX(YAtCData[YAC],MATCH(WRmatchups[[#This Row],[Name]],YAtCData[Player],0)),"0")</f>
        <v>104</v>
      </c>
      <c r="R23" s="497">
        <f>IFERROR(INDEX(YACDATA[YAC per Reception],MATCH(WRmatchups[[#This Row],[Name]],YACDATA[Player],0)),"0")</f>
        <v>6.9</v>
      </c>
      <c r="S23" s="418">
        <f>AVERAGE(WRmatchups[[#This Row],[Tar1]:[Tar3]])</f>
        <v>9.1999999999999993</v>
      </c>
      <c r="T23" s="464">
        <f>AVERAGE(WRmatchups[[#This Row],[Rec1]:[Rec3]])</f>
        <v>5.4993333333333325</v>
      </c>
      <c r="U23" s="468">
        <f>SUM(WRmatchups[[#This Row],[Rec4]]/WRmatchups[[#This Row],[Targets2]])</f>
        <v>0.59775362318840575</v>
      </c>
      <c r="V23" s="417">
        <f>AVERAGE(WRmatchups[[#This Row],[Yards1]:[Yards3]])</f>
        <v>78.88033333333334</v>
      </c>
      <c r="W23" s="461">
        <f>SUM(WRmatchups[[#This Row],[Yards]]/WRmatchups[[#This Row],[Targets2]])</f>
        <v>8.5739492753623203</v>
      </c>
      <c r="X23" s="32">
        <f>AVERAGE(WRmatchups[[#This Row],[TD1]:[TD3]])</f>
        <v>0.55499999999999994</v>
      </c>
      <c r="Y23" s="14">
        <f>_xlfn.RANK.EQ(WRmatchups[[#This Row],[Projection]],WRmatchups[Projection],0)</f>
        <v>13</v>
      </c>
      <c r="Z23" s="19">
        <f>SUM(WRmatchups[[#This Row],[Yards]]*0.1)+(WRmatchups[[#This Row],[RecTD5]]*6)+(WRmatchups[[#This Row],[Rec4]]*1)+(WRmatchups[[#This Row],[100+]])</f>
        <v>16.717366666666667</v>
      </c>
      <c r="AA23" s="8">
        <f>_xlfn.RANK.EQ(WRmatchups[[#This Row],[$/FP]],WRmatchups[$/FP],1)</f>
        <v>24</v>
      </c>
      <c r="AB23" s="23">
        <f>SUM(WRmatchups[[#This Row],[Salary]]/WRmatchups[[#This Row],[Projection]])</f>
        <v>400.7808247311678</v>
      </c>
      <c r="AC23" s="241">
        <f>_xlfn.RANK.EQ(WRmatchups[[#This Row],[Average]],WRmatchups[Average],1)</f>
        <v>11</v>
      </c>
      <c r="AD23" s="241">
        <f>AVERAGE(WRmatchups[[#This Row],[Proj Rank]],WRmatchups[[#This Row],[Value Rank]])</f>
        <v>18.5</v>
      </c>
      <c r="AE23" s="210">
        <f>WRmatchups[[#This Row],[Salary]]/50000</f>
        <v>0.13400000000000001</v>
      </c>
      <c r="AF23" s="214"/>
      <c r="AG23" s="14">
        <f>IFERROR(INDEX(WRstats3[Targets],MATCH(WRmatchups[[#This Row],[Name]],WRstats3[Player],0)),"0")</f>
        <v>9.1999999999999993</v>
      </c>
      <c r="AH23" s="14" t="str">
        <f>IFERROR(INDEX(WRstats2[Targets],MATCH(WRmatchups[[#This Row],[Name]],WRstats2[Player],0)),"0")</f>
        <v>0</v>
      </c>
      <c r="AI23" s="14">
        <f>IFERROR(INDEX(WRstats3[Targets],MATCH(WRmatchups[[#This Row],[Name]],WRstats3[Player],0)),"0")</f>
        <v>9.1999999999999993</v>
      </c>
      <c r="AJ23" s="14">
        <f>IFERROR(INDEX(WRstats1[Rec],MATCH(WRmatchups[[#This Row],[Name]],WRstats1[Player],0)),"0")</f>
        <v>5.1980000000000004</v>
      </c>
      <c r="AK23" s="14">
        <f>IFERROR(INDEX(WRstats2[Rec],MATCH(WRmatchups[[#This Row],[Name]],WRstats2[Player],0)),"0")</f>
        <v>5.7</v>
      </c>
      <c r="AL23" s="14">
        <f>IFERROR(INDEX(WRstats3[Rec],MATCH(WRmatchups[[#This Row],[Name]],WRstats3[Player],0)),"0")</f>
        <v>5.6</v>
      </c>
      <c r="AM23" s="32" t="str">
        <f>IFERROR(INDEX(WRallowed[Rec],MATCH(WRmatchups[[#This Row],[Opp]],WRallowed[Team],0)),"0")</f>
        <v>0</v>
      </c>
      <c r="AN23" s="14">
        <f>IFERROR(INDEX(WRstats1[Rec Yds],MATCH(WRmatchups[[#This Row],[Name]],WRstats1[Player],0)),"0")</f>
        <v>80.040999999999997</v>
      </c>
      <c r="AO23" s="14">
        <f>IFERROR(INDEX(WRstats2[RecYards],MATCH(WRmatchups[[#This Row],[Name]],WRstats2[Player],0)),"0")</f>
        <v>79.400000000000006</v>
      </c>
      <c r="AP23" s="14">
        <f>IFERROR(INDEX(WRstats3[RecYards],MATCH(WRmatchups[[#This Row],[Name]],WRstats3[Player],0)),"0")</f>
        <v>77.2</v>
      </c>
      <c r="AQ23" s="32" t="str">
        <f>IFERROR(INDEX(WRallowed[Yard],MATCH(WRmatchups[[#This Row],[Opp]],WRallowed[Team],0)),"0")</f>
        <v>0</v>
      </c>
      <c r="AR23" s="14">
        <f>IFERROR(INDEX(WRstats1[Rec TD],MATCH(WRmatchups[[#This Row],[Name]],WRstats1[Player],0)),"0")</f>
        <v>0.51</v>
      </c>
      <c r="AS23" s="14" t="str">
        <f>IFERROR(INDEX(WRstats2[RecTD],MATCH(WRmatchups[[#This Row],[Name]],WRstats2[Player],0)),"0")</f>
        <v>0.6</v>
      </c>
      <c r="AT23" s="14">
        <f>IFERROR(INDEX(WRstats3[RecTD],MATCH(WRmatchups[[#This Row],[Name]],WRstats3[Player],0)),"0")</f>
        <v>0.6</v>
      </c>
      <c r="AU23" s="32">
        <f>IFERROR(INDEX(WRallowed[TD],MATCH(WRmatchups[[#This Row],[Opp]],WRallowed[Team],0)),"0")*0.5</f>
        <v>0</v>
      </c>
      <c r="AV23" s="14" t="str">
        <f>IFERROR(INDEX(WRstats2[RushAtt],MATCH(WRmatchups[[#This Row],[Name]],WRstats2[Player],0)),"0")</f>
        <v>0.6</v>
      </c>
      <c r="AW23" s="14">
        <f>IFERROR(INDEX(WRstats3[RushATT],MATCH(WRmatchups[[#This Row],[Name]],WRstats3[Player],0)),"0")</f>
        <v>0</v>
      </c>
      <c r="AX23" s="14" t="str">
        <f>IFERROR(INDEX(WRstats2[RushYards],MATCH(WRmatchups[[#This Row],[Name]],WRstats2[Player],0)),"0")</f>
        <v>0.2</v>
      </c>
      <c r="AY23" s="14">
        <f>IFERROR(INDEX(WRstats3[RushYards],MATCH(WRmatchups[[#This Row],[Name]],WRstats3[Player],0)),"0")</f>
        <v>0</v>
      </c>
      <c r="AZ23" s="14" t="str">
        <f>IFERROR(INDEX(WRstats2[RushTD],MATCH(WRmatchups[[#This Row],[Name]],WRstats2[Player],0)),"0")</f>
        <v>0</v>
      </c>
      <c r="BA23" s="14">
        <f>IFERROR(INDEX(WRstats3[RushTD],MATCH(WRmatchups[[#This Row],[Name]],WRstats3[Player],0)),"0")</f>
        <v>0</v>
      </c>
      <c r="BB23" s="264">
        <f>IF(WRmatchups[[#This Row],[Yards]]&gt;=100,3,0)</f>
        <v>0</v>
      </c>
      <c r="BC23" s="191" t="str">
        <f>IFERROR(INDEX(#REF!,MATCH(WRmatchups[Name],#REF!,0)),"0")</f>
        <v>0</v>
      </c>
      <c r="BD23" s="494">
        <f>WRmatchups[[#This Row],[Targets]]/WRmatchups[[#This Row],[Salary]]*100</f>
        <v>0.29850746268656719</v>
      </c>
    </row>
    <row r="24" spans="1:56" ht="15" thickBot="1" x14ac:dyDescent="0.35">
      <c r="A24" s="37">
        <f>WRstats1!AL14</f>
        <v>14</v>
      </c>
      <c r="B24" s="5" t="str">
        <f>WRstats1!D14</f>
        <v>Kelvin Benjamin</v>
      </c>
      <c r="C24" s="172">
        <f>IFERROR(INDEX(Salaries[DraftKings (Price)],MATCH(WRmatchups[[#This Row],[Name]],Salaries[Player],0)),"")</f>
        <v>7100</v>
      </c>
      <c r="D24" s="172">
        <f>IFERROR(INDEX(DK_Salary_Changes[WeekChange],MATCH(WRmatchups[[#This Row],[Name]],DK_Salary_Changes[Player],0)),"")</f>
        <v>-100</v>
      </c>
      <c r="E24" s="14" t="str">
        <f>IFERROR(INDEX(Salaries[Team],MATCH(WRmatchups[[#This Row],[Name]],Salaries[Player],0)),"")</f>
        <v>CAR</v>
      </c>
      <c r="F24" s="460" t="str">
        <f>IFERROR(INDEX(Salaries[Opp],MATCH(WRmatchups[[#This Row],[Team]],Salaries[Team],0)),"")</f>
        <v>@ATL</v>
      </c>
      <c r="G24" s="476">
        <f>IFERROR(INDEX(WRYTD[Rec],MATCH(WRmatchups[Name],WRYTD[Player],0)),"0")</f>
        <v>13</v>
      </c>
      <c r="H24" s="458">
        <f>IFERROR(INDEX(targettracker54[TTL],MATCH(WRmatchups[Name],targettracker54[Name],0)),"")</f>
        <v>22</v>
      </c>
      <c r="I24" s="475">
        <f>IFERROR(INDEX(WRYTD[Rec Yds],MATCH(WRmatchups[Name],WRYTD[Player],0)),"0")</f>
        <v>199</v>
      </c>
      <c r="J24" s="477">
        <f>IFERROR(INDEX(WRYTD[Rec TD],MATCH(WRmatchups[Name],WRYTD[Player],0)),"0")</f>
        <v>3</v>
      </c>
      <c r="K24" s="473">
        <f>IFERROR(INDEX(Salaries[O/U],MATCH(WRmatchups[[#This Row],[Team]],Salaries[Team],0)),"")</f>
        <v>50</v>
      </c>
      <c r="L24" s="32">
        <f>IFERROR(INDEX(Salaries[Team O/U],MATCH(WRmatchups[[#This Row],[Team]],Salaries[Team],0)),"")</f>
        <v>26.5</v>
      </c>
      <c r="M24" s="417">
        <f>IFERROR(INDEX(Salaries[Spread],MATCH(WRmatchups[[#This Row],[Team]],Salaries[Team],0)),"")</f>
        <v>-3</v>
      </c>
      <c r="N24" s="424">
        <f>IFERROR(INDEX(WRallowed[DVP],MATCH(WRmatchups[[#This Row],[Opp]],WRallowed[Team],0)),IFERROR(INDEX(WRallowed[DVP],MATCH(WRmatchups[[#This Row],[Opp]],WRallowed[Opp],0)),""))</f>
        <v>2</v>
      </c>
      <c r="O24" s="17">
        <f>IFERROR(INDEX(YAtCData[YAtC],MATCH(WRmatchups[[#This Row],[Name]],YAtCData[Player],0)),"0")</f>
        <v>155</v>
      </c>
      <c r="P24" s="497">
        <f>IFERROR(INDEX(YAtCData[YAtC/Rec],MATCH(WRmatchups[[#This Row],[Name]],YAtCData[Player],0)),"0")</f>
        <v>11.92</v>
      </c>
      <c r="Q24" s="17">
        <f>IFERROR(INDEX(YAtCData[YAC],MATCH(WRmatchups[[#This Row],[Name]],YAtCData[Player],0)),"0")</f>
        <v>44</v>
      </c>
      <c r="R24" s="497">
        <f>IFERROR(INDEX(YACDATA[YAC per Reception],MATCH(WRmatchups[[#This Row],[Name]],YACDATA[Player],0)),"0")</f>
        <v>3.4</v>
      </c>
      <c r="S24" s="418">
        <f>AVERAGE(WRmatchups[[#This Row],[Tar1]:[Tar3]])</f>
        <v>7.8</v>
      </c>
      <c r="T24" s="464">
        <f>AVERAGE(WRmatchups[[#This Row],[Rec1]:[Rec3]])</f>
        <v>5.1936666666666671</v>
      </c>
      <c r="U24" s="468">
        <f>SUM(WRmatchups[[#This Row],[Rec4]]/WRmatchups[[#This Row],[Targets2]])</f>
        <v>0.66585470085470089</v>
      </c>
      <c r="V24" s="417">
        <f>AVERAGE(WRmatchups[[#This Row],[Yards1]:[Yards3]])</f>
        <v>72.679999999999993</v>
      </c>
      <c r="W24" s="461">
        <f>SUM(WRmatchups[[#This Row],[Yards]]/WRmatchups[[#This Row],[Targets2]])</f>
        <v>9.3179487179487168</v>
      </c>
      <c r="X24" s="32">
        <f>AVERAGE(WRmatchups[[#This Row],[TD1]:[TD3]])</f>
        <v>0.66649999999999998</v>
      </c>
      <c r="Y24" s="14">
        <f>_xlfn.RANK.EQ(WRmatchups[[#This Row],[Projection]],WRmatchups[Projection],0)</f>
        <v>14</v>
      </c>
      <c r="Z24" s="19">
        <f>SUM(WRmatchups[[#This Row],[Yards]]*0.1)+(WRmatchups[[#This Row],[RecTD5]]*6)+(WRmatchups[[#This Row],[Rec4]]*1)+(WRmatchups[[#This Row],[100+]])</f>
        <v>16.460666666666668</v>
      </c>
      <c r="AA24" s="8">
        <f>_xlfn.RANK.EQ(WRmatchups[[#This Row],[$/FP]],WRmatchups[$/FP],1)</f>
        <v>46</v>
      </c>
      <c r="AB24" s="23">
        <f>SUM(WRmatchups[[#This Row],[Salary]]/WRmatchups[[#This Row],[Projection]])</f>
        <v>431.33125430318734</v>
      </c>
      <c r="AC24" s="241">
        <f>_xlfn.RANK.EQ(WRmatchups[[#This Row],[Average]],WRmatchups[Average],1)</f>
        <v>25</v>
      </c>
      <c r="AD24" s="241">
        <f>AVERAGE(WRmatchups[[#This Row],[Proj Rank]],WRmatchups[[#This Row],[Value Rank]])</f>
        <v>30</v>
      </c>
      <c r="AE24" s="210">
        <f>WRmatchups[[#This Row],[Salary]]/50000</f>
        <v>0.14199999999999999</v>
      </c>
      <c r="AF24" s="214"/>
      <c r="AG24" s="14">
        <f>IFERROR(INDEX(WRstats3[Targets],MATCH(WRmatchups[[#This Row],[Name]],WRstats3[Player],0)),"0")</f>
        <v>7.8</v>
      </c>
      <c r="AH24" s="14" t="str">
        <f>IFERROR(INDEX(WRstats2[Targets],MATCH(WRmatchups[[#This Row],[Name]],WRstats2[Player],0)),"0")</f>
        <v>0</v>
      </c>
      <c r="AI24" s="14">
        <f>IFERROR(INDEX(WRstats3[Targets],MATCH(WRmatchups[[#This Row],[Name]],WRstats3[Player],0)),"0")</f>
        <v>7.8</v>
      </c>
      <c r="AJ24" s="14">
        <f>IFERROR(INDEX(WRstats1[Rec],MATCH(WRmatchups[[#This Row],[Name]],WRstats1[Player],0)),"0")</f>
        <v>5.2809999999999997</v>
      </c>
      <c r="AK24" s="14">
        <f>IFERROR(INDEX(WRstats2[Rec],MATCH(WRmatchups[[#This Row],[Name]],WRstats2[Player],0)),"0")</f>
        <v>5.4</v>
      </c>
      <c r="AL24" s="14">
        <f>IFERROR(INDEX(WRstats3[Rec],MATCH(WRmatchups[[#This Row],[Name]],WRstats3[Player],0)),"0")</f>
        <v>4.9000000000000004</v>
      </c>
      <c r="AM24" s="32" t="str">
        <f>IFERROR(INDEX(WRallowed[Rec],MATCH(WRmatchups[[#This Row],[Opp]],WRallowed[Team],0)),"0")</f>
        <v>0</v>
      </c>
      <c r="AN24" s="14">
        <f>IFERROR(INDEX(WRstats1[Rec Yds],MATCH(WRmatchups[[#This Row],[Name]],WRstats1[Player],0)),"0")</f>
        <v>70.540000000000006</v>
      </c>
      <c r="AO24" s="14">
        <f>IFERROR(INDEX(WRstats2[RecYards],MATCH(WRmatchups[[#This Row],[Name]],WRstats2[Player],0)),"0")</f>
        <v>80.599999999999994</v>
      </c>
      <c r="AP24" s="14">
        <f>IFERROR(INDEX(WRstats3[RecYards],MATCH(WRmatchups[[#This Row],[Name]],WRstats3[Player],0)),"0")</f>
        <v>66.900000000000006</v>
      </c>
      <c r="AQ24" s="32" t="str">
        <f>IFERROR(INDEX(WRallowed[Yard],MATCH(WRmatchups[[#This Row],[Opp]],WRallowed[Team],0)),"0")</f>
        <v>0</v>
      </c>
      <c r="AR24" s="14">
        <f>IFERROR(INDEX(WRstats1[Rec TD],MATCH(WRmatchups[[#This Row],[Name]],WRstats1[Player],0)),"0")</f>
        <v>0.73299999999999998</v>
      </c>
      <c r="AS24" s="14" t="str">
        <f>IFERROR(INDEX(WRstats2[RecTD],MATCH(WRmatchups[[#This Row],[Name]],WRstats2[Player],0)),"0")</f>
        <v>0.5</v>
      </c>
      <c r="AT24" s="14">
        <f>IFERROR(INDEX(WRstats3[RecTD],MATCH(WRmatchups[[#This Row],[Name]],WRstats3[Player],0)),"0")</f>
        <v>0.6</v>
      </c>
      <c r="AU24" s="32">
        <f>IFERROR(INDEX(WRallowed[TD],MATCH(WRmatchups[[#This Row],[Opp]],WRallowed[Team],0)),"0")*0.5</f>
        <v>0</v>
      </c>
      <c r="AV24" s="14" t="str">
        <f>IFERROR(INDEX(WRstats2[RushAtt],MATCH(WRmatchups[[#This Row],[Name]],WRstats2[Player],0)),"0")</f>
        <v>0.5</v>
      </c>
      <c r="AW24" s="14">
        <f>IFERROR(INDEX(WRstats3[RushATT],MATCH(WRmatchups[[#This Row],[Name]],WRstats3[Player],0)),"0")</f>
        <v>0</v>
      </c>
      <c r="AX24" s="14" t="str">
        <f>IFERROR(INDEX(WRstats2[RushYards],MATCH(WRmatchups[[#This Row],[Name]],WRstats2[Player],0)),"0")</f>
        <v>0</v>
      </c>
      <c r="AY24" s="14">
        <f>IFERROR(INDEX(WRstats3[RushYards],MATCH(WRmatchups[[#This Row],[Name]],WRstats3[Player],0)),"0")</f>
        <v>0</v>
      </c>
      <c r="AZ24" s="14" t="str">
        <f>IFERROR(INDEX(WRstats2[RushTD],MATCH(WRmatchups[[#This Row],[Name]],WRstats2[Player],0)),"0")</f>
        <v>0</v>
      </c>
      <c r="BA24" s="14">
        <f>IFERROR(INDEX(WRstats3[RushTD],MATCH(WRmatchups[[#This Row],[Name]],WRstats3[Player],0)),"0")</f>
        <v>0</v>
      </c>
      <c r="BB24" s="264">
        <f>IF(WRmatchups[[#This Row],[Yards]]&gt;=100,3,0)</f>
        <v>0</v>
      </c>
      <c r="BC24" s="191" t="str">
        <f>IFERROR(INDEX(#REF!,MATCH(WRmatchups[Name],#REF!,0)),"0")</f>
        <v>0</v>
      </c>
      <c r="BD24" s="494">
        <f>WRmatchups[[#This Row],[Targets]]/WRmatchups[[#This Row],[Salary]]*100</f>
        <v>0.30985915492957744</v>
      </c>
    </row>
    <row r="25" spans="1:56" ht="15" thickBot="1" x14ac:dyDescent="0.35">
      <c r="A25" s="37">
        <f>WRstats1!AL23</f>
        <v>13.8</v>
      </c>
      <c r="B25" s="5" t="str">
        <f>WRstats1!D23</f>
        <v>Jeremy Maclin</v>
      </c>
      <c r="C25" s="172">
        <f>IFERROR(INDEX(Salaries[DraftKings (Price)],MATCH(WRmatchups[[#This Row],[Name]],Salaries[Player],0)),"")</f>
        <v>6000</v>
      </c>
      <c r="D25" s="172">
        <f>IFERROR(INDEX(DK_Salary_Changes[WeekChange],MATCH(WRmatchups[[#This Row],[Name]],DK_Salary_Changes[Player],0)),"")</f>
        <v>0</v>
      </c>
      <c r="E25" s="14" t="str">
        <f>IFERROR(INDEX(Salaries[Team],MATCH(WRmatchups[[#This Row],[Name]],Salaries[Player],0)),"")</f>
        <v>KC</v>
      </c>
      <c r="F25" s="460" t="str">
        <f>IFERROR(INDEX(Salaries[Opp],MATCH(WRmatchups[[#This Row],[Team]],Salaries[Team],0)),"")</f>
        <v>@PIT</v>
      </c>
      <c r="G25" s="476">
        <f>IFERROR(INDEX(WRYTD[Rec],MATCH(WRmatchups[Name],WRYTD[Player],0)),"0")</f>
        <v>15</v>
      </c>
      <c r="H25" s="458">
        <f>IFERROR(INDEX(targettracker54[TTL],MATCH(WRmatchups[Name],targettracker54[Name],0)),"")</f>
        <v>29</v>
      </c>
      <c r="I25" s="475">
        <f>IFERROR(INDEX(WRYTD[Rec Yds],MATCH(WRmatchups[Name],WRYTD[Player],0)),"0")</f>
        <v>166</v>
      </c>
      <c r="J25" s="477">
        <f>IFERROR(INDEX(WRYTD[Rec TD],MATCH(WRmatchups[Name],WRYTD[Player],0)),"0")</f>
        <v>1</v>
      </c>
      <c r="K25" s="473">
        <f>IFERROR(INDEX(Salaries[O/U],MATCH(WRmatchups[[#This Row],[Team]],Salaries[Team],0)),"")</f>
        <v>47.5</v>
      </c>
      <c r="L25" s="32">
        <f>IFERROR(INDEX(Salaries[Team O/U],MATCH(WRmatchups[[#This Row],[Team]],Salaries[Team],0)),"")</f>
        <v>21</v>
      </c>
      <c r="M25" s="417">
        <f>IFERROR(INDEX(Salaries[Spread],MATCH(WRmatchups[[#This Row],[Team]],Salaries[Team],0)),"")</f>
        <v>5.5</v>
      </c>
      <c r="N25" s="424">
        <f>IFERROR(INDEX(WRallowed[DVP],MATCH(WRmatchups[[#This Row],[Opp]],WRallowed[Team],0)),IFERROR(INDEX(WRallowed[DVP],MATCH(WRmatchups[[#This Row],[Opp]],WRallowed[Opp],0)),""))</f>
        <v>30</v>
      </c>
      <c r="O25" s="17">
        <f>IFERROR(INDEX(YAtCData[YAtC],MATCH(WRmatchups[[#This Row],[Name]],YAtCData[Player],0)),"0")</f>
        <v>128</v>
      </c>
      <c r="P25" s="497">
        <f>IFERROR(INDEX(YAtCData[YAtC/Rec],MATCH(WRmatchups[[#This Row],[Name]],YAtCData[Player],0)),"0")</f>
        <v>8.5299999999999994</v>
      </c>
      <c r="Q25" s="17">
        <f>IFERROR(INDEX(YAtCData[YAC],MATCH(WRmatchups[[#This Row],[Name]],YAtCData[Player],0)),"0")</f>
        <v>38</v>
      </c>
      <c r="R25" s="497">
        <f>IFERROR(INDEX(YACDATA[YAC per Reception],MATCH(WRmatchups[[#This Row],[Name]],YACDATA[Player],0)),"0")</f>
        <v>2.5</v>
      </c>
      <c r="S25" s="418">
        <f>AVERAGE(WRmatchups[[#This Row],[Tar1]:[Tar3]])</f>
        <v>7.9</v>
      </c>
      <c r="T25" s="464">
        <f>AVERAGE(WRmatchups[[#This Row],[Rec1]:[Rec3]])</f>
        <v>5.9706666666666663</v>
      </c>
      <c r="U25" s="468">
        <f>SUM(WRmatchups[[#This Row],[Rec4]]/WRmatchups[[#This Row],[Targets2]])</f>
        <v>0.75578059071729953</v>
      </c>
      <c r="V25" s="417">
        <f>AVERAGE(WRmatchups[[#This Row],[Yards1]:[Yards3]])</f>
        <v>76.8</v>
      </c>
      <c r="W25" s="461">
        <f>SUM(WRmatchups[[#This Row],[Yards]]/WRmatchups[[#This Row],[Targets2]])</f>
        <v>9.7215189873417707</v>
      </c>
      <c r="X25" s="32">
        <f>AVERAGE(WRmatchups[[#This Row],[TD1]:[TD3]])</f>
        <v>0.44750000000000001</v>
      </c>
      <c r="Y25" s="14">
        <f>_xlfn.RANK.EQ(WRmatchups[[#This Row],[Projection]],WRmatchups[Projection],0)</f>
        <v>15</v>
      </c>
      <c r="Z25" s="19">
        <f>SUM(WRmatchups[[#This Row],[Yards]]*0.1)+(WRmatchups[[#This Row],[RecTD5]]*6)+(WRmatchups[[#This Row],[Rec4]]*1)+(WRmatchups[[#This Row],[100+]])</f>
        <v>16.335666666666668</v>
      </c>
      <c r="AA25" s="8">
        <f>_xlfn.RANK.EQ(WRmatchups[[#This Row],[$/FP]],WRmatchups[$/FP],1)</f>
        <v>7</v>
      </c>
      <c r="AB25" s="23">
        <f>SUM(WRmatchups[[#This Row],[Salary]]/WRmatchups[[#This Row],[Projection]])</f>
        <v>367.29446813720483</v>
      </c>
      <c r="AC25" s="241">
        <f>_xlfn.RANK.EQ(WRmatchups[[#This Row],[Average]],WRmatchups[Average],1)</f>
        <v>3</v>
      </c>
      <c r="AD25" s="241">
        <f>AVERAGE(WRmatchups[[#This Row],[Proj Rank]],WRmatchups[[#This Row],[Value Rank]])</f>
        <v>11</v>
      </c>
      <c r="AE25" s="210">
        <f>WRmatchups[[#This Row],[Salary]]/50000</f>
        <v>0.12</v>
      </c>
      <c r="AF25" s="214"/>
      <c r="AG25" s="14">
        <f>IFERROR(INDEX(WRstats3[Targets],MATCH(WRmatchups[[#This Row],[Name]],WRstats3[Player],0)),"0")</f>
        <v>7.9</v>
      </c>
      <c r="AH25" s="14" t="str">
        <f>IFERROR(INDEX(WRstats2[Targets],MATCH(WRmatchups[[#This Row],[Name]],WRstats2[Player],0)),"0")</f>
        <v>0</v>
      </c>
      <c r="AI25" s="14">
        <f>IFERROR(INDEX(WRstats3[Targets],MATCH(WRmatchups[[#This Row],[Name]],WRstats3[Player],0)),"0")</f>
        <v>7.9</v>
      </c>
      <c r="AJ25" s="14">
        <f>IFERROR(INDEX(WRstats1[Rec],MATCH(WRmatchups[[#This Row],[Name]],WRstats1[Player],0)),"0")</f>
        <v>6.6120000000000001</v>
      </c>
      <c r="AK25" s="14">
        <f>IFERROR(INDEX(WRstats2[Rec],MATCH(WRmatchups[[#This Row],[Name]],WRstats2[Player],0)),"0")</f>
        <v>5.7</v>
      </c>
      <c r="AL25" s="14">
        <f>IFERROR(INDEX(WRstats3[Rec],MATCH(WRmatchups[[#This Row],[Name]],WRstats3[Player],0)),"0")</f>
        <v>5.6</v>
      </c>
      <c r="AM25" s="32" t="str">
        <f>IFERROR(INDEX(WRallowed[Rec],MATCH(WRmatchups[[#This Row],[Opp]],WRallowed[Team],0)),"0")</f>
        <v>0</v>
      </c>
      <c r="AN25" s="14">
        <f>IFERROR(INDEX(WRstats1[Rec Yds],MATCH(WRmatchups[[#This Row],[Name]],WRstats1[Player],0)),"0")</f>
        <v>76.7</v>
      </c>
      <c r="AO25" s="14">
        <f>IFERROR(INDEX(WRstats2[RecYards],MATCH(WRmatchups[[#This Row],[Name]],WRstats2[Player],0)),"0")</f>
        <v>68.2</v>
      </c>
      <c r="AP25" s="14">
        <f>IFERROR(INDEX(WRstats3[RecYards],MATCH(WRmatchups[[#This Row],[Name]],WRstats3[Player],0)),"0")</f>
        <v>85.5</v>
      </c>
      <c r="AQ25" s="32" t="str">
        <f>IFERROR(INDEX(WRallowed[Yard],MATCH(WRmatchups[[#This Row],[Opp]],WRallowed[Team],0)),"0")</f>
        <v>0</v>
      </c>
      <c r="AR25" s="14">
        <f>IFERROR(INDEX(WRstats1[Rec TD],MATCH(WRmatchups[[#This Row],[Name]],WRstats1[Player],0)),"0")</f>
        <v>0.495</v>
      </c>
      <c r="AS25" s="14" t="str">
        <f>IFERROR(INDEX(WRstats2[RecTD],MATCH(WRmatchups[[#This Row],[Name]],WRstats2[Player],0)),"0")</f>
        <v>0.3</v>
      </c>
      <c r="AT25" s="14">
        <f>IFERROR(INDEX(WRstats3[RecTD],MATCH(WRmatchups[[#This Row],[Name]],WRstats3[Player],0)),"0")</f>
        <v>0.4</v>
      </c>
      <c r="AU25" s="32">
        <f>IFERROR(INDEX(WRallowed[TD],MATCH(WRmatchups[[#This Row],[Opp]],WRallowed[Team],0)),"0")*0.5</f>
        <v>0</v>
      </c>
      <c r="AV25" s="14" t="str">
        <f>IFERROR(INDEX(WRstats2[RushAtt],MATCH(WRmatchups[[#This Row],[Name]],WRstats2[Player],0)),"0")</f>
        <v>0.3</v>
      </c>
      <c r="AW25" s="14">
        <f>IFERROR(INDEX(WRstats3[RushATT],MATCH(WRmatchups[[#This Row],[Name]],WRstats3[Player],0)),"0")</f>
        <v>0.2</v>
      </c>
      <c r="AX25" s="14" t="str">
        <f>IFERROR(INDEX(WRstats2[RushYards],MATCH(WRmatchups[[#This Row],[Name]],WRstats2[Player],0)),"0")</f>
        <v>0.4</v>
      </c>
      <c r="AY25" s="14">
        <f>IFERROR(INDEX(WRstats3[RushYards],MATCH(WRmatchups[[#This Row],[Name]],WRstats3[Player],0)),"0")</f>
        <v>1</v>
      </c>
      <c r="AZ25" s="14" t="str">
        <f>IFERROR(INDEX(WRstats2[RushTD],MATCH(WRmatchups[[#This Row],[Name]],WRstats2[Player],0)),"0")</f>
        <v>0</v>
      </c>
      <c r="BA25" s="14">
        <f>IFERROR(INDEX(WRstats3[RushTD],MATCH(WRmatchups[[#This Row],[Name]],WRstats3[Player],0)),"0")</f>
        <v>0</v>
      </c>
      <c r="BB25" s="264">
        <f>IF(WRmatchups[[#This Row],[Yards]]&gt;=100,3,0)</f>
        <v>0</v>
      </c>
      <c r="BC25" s="191" t="str">
        <f>IFERROR(INDEX(#REF!,MATCH(WRmatchups[Name],#REF!,0)),"0")</f>
        <v>0</v>
      </c>
      <c r="BD25" s="494">
        <f>WRmatchups[[#This Row],[Targets]]/WRmatchups[[#This Row],[Salary]]*100</f>
        <v>0.48333333333333334</v>
      </c>
    </row>
    <row r="26" spans="1:56" ht="15" thickBot="1" x14ac:dyDescent="0.35">
      <c r="A26" s="37">
        <f>WRstats1!AL15</f>
        <v>14</v>
      </c>
      <c r="B26" s="5" t="str">
        <f>WRstats1!D15</f>
        <v>Mike Evans</v>
      </c>
      <c r="C26" s="172">
        <f>IFERROR(INDEX(Salaries[DraftKings (Price)],MATCH(WRmatchups[[#This Row],[Name]],Salaries[Player],0)),"")</f>
        <v>6500</v>
      </c>
      <c r="D26" s="172">
        <f>IFERROR(INDEX(DK_Salary_Changes[WeekChange],MATCH(WRmatchups[[#This Row],[Name]],DK_Salary_Changes[Player],0)),"")</f>
        <v>-500</v>
      </c>
      <c r="E26" s="14" t="str">
        <f>IFERROR(INDEX(Salaries[Team],MATCH(WRmatchups[[#This Row],[Name]],Salaries[Player],0)),"")</f>
        <v>TB</v>
      </c>
      <c r="F26" s="460" t="str">
        <f>IFERROR(INDEX(Salaries[Opp],MATCH(WRmatchups[[#This Row],[Team]],Salaries[Team],0)),"")</f>
        <v>DEN</v>
      </c>
      <c r="G26" s="476">
        <f>IFERROR(INDEX(WRYTD[Rec],MATCH(WRmatchups[Name],WRYTD[Player],0)),"0")</f>
        <v>21</v>
      </c>
      <c r="H26" s="458">
        <f>IFERROR(INDEX(targettracker54[TTL],MATCH(WRmatchups[Name],targettracker54[Name],0)),"")</f>
        <v>37</v>
      </c>
      <c r="I26" s="475">
        <f>IFERROR(INDEX(WRYTD[Rec Yds],MATCH(WRmatchups[Name],WRYTD[Player],0)),"0")</f>
        <v>301</v>
      </c>
      <c r="J26" s="477">
        <f>IFERROR(INDEX(WRYTD[Rec TD],MATCH(WRmatchups[Name],WRYTD[Player],0)),"0")</f>
        <v>3</v>
      </c>
      <c r="K26" s="473">
        <f>IFERROR(INDEX(Salaries[O/U],MATCH(WRmatchups[[#This Row],[Team]],Salaries[Team],0)),"")</f>
        <v>44</v>
      </c>
      <c r="L26" s="32">
        <f>IFERROR(INDEX(Salaries[Team O/U],MATCH(WRmatchups[[#This Row],[Team]],Salaries[Team],0)),"")</f>
        <v>20.5</v>
      </c>
      <c r="M26" s="417">
        <f>IFERROR(INDEX(Salaries[Spread],MATCH(WRmatchups[[#This Row],[Team]],Salaries[Team],0)),"")</f>
        <v>3</v>
      </c>
      <c r="N26" s="424">
        <f>IFERROR(INDEX(WRallowed[DVP],MATCH(WRmatchups[[#This Row],[Opp]],WRallowed[Team],0)),IFERROR(INDEX(WRallowed[DVP],MATCH(WRmatchups[[#This Row],[Opp]],WRallowed[Opp],0)),""))</f>
        <v>1</v>
      </c>
      <c r="O26" s="17">
        <f>IFERROR(INDEX(YAtCData[YAtC],MATCH(WRmatchups[[#This Row],[Name]],YAtCData[Player],0)),"0")</f>
        <v>268</v>
      </c>
      <c r="P26" s="497">
        <f>IFERROR(INDEX(YAtCData[YAtC/Rec],MATCH(WRmatchups[[#This Row],[Name]],YAtCData[Player],0)),"0")</f>
        <v>12.76</v>
      </c>
      <c r="Q26" s="17">
        <f>IFERROR(INDEX(YAtCData[YAC],MATCH(WRmatchups[[#This Row],[Name]],YAtCData[Player],0)),"0")</f>
        <v>33</v>
      </c>
      <c r="R26" s="497">
        <f>IFERROR(INDEX(YACDATA[YAC per Reception],MATCH(WRmatchups[[#This Row],[Name]],YACDATA[Player],0)),"0")</f>
        <v>1.6</v>
      </c>
      <c r="S26" s="418">
        <f>AVERAGE(WRmatchups[[#This Row],[Tar1]:[Tar3]])</f>
        <v>9.9</v>
      </c>
      <c r="T26" s="464">
        <f>AVERAGE(WRmatchups[[#This Row],[Rec1]:[Rec3]])</f>
        <v>5.2023333333333328</v>
      </c>
      <c r="U26" s="468">
        <f>SUM(WRmatchups[[#This Row],[Rec4]]/WRmatchups[[#This Row],[Targets2]])</f>
        <v>0.52548821548821545</v>
      </c>
      <c r="V26" s="417">
        <f>AVERAGE(WRmatchups[[#This Row],[Yards1]:[Yards3]])</f>
        <v>75.634333333333331</v>
      </c>
      <c r="W26" s="461">
        <f>SUM(WRmatchups[[#This Row],[Yards]]/WRmatchups[[#This Row],[Targets2]])</f>
        <v>7.639831649831649</v>
      </c>
      <c r="X26" s="32">
        <f>AVERAGE(WRmatchups[[#This Row],[TD1]:[TD3]])</f>
        <v>0.54349999999999998</v>
      </c>
      <c r="Y26" s="14">
        <f>_xlfn.RANK.EQ(WRmatchups[[#This Row],[Projection]],WRmatchups[Projection],0)</f>
        <v>16</v>
      </c>
      <c r="Z26" s="19">
        <f>SUM(WRmatchups[[#This Row],[Yards]]*0.1)+(WRmatchups[[#This Row],[RecTD5]]*6)+(WRmatchups[[#This Row],[Rec4]]*1)+(WRmatchups[[#This Row],[100+]])</f>
        <v>16.026766666666667</v>
      </c>
      <c r="AA26" s="8">
        <f>_xlfn.RANK.EQ(WRmatchups[[#This Row],[$/FP]],WRmatchups[$/FP],1)</f>
        <v>26</v>
      </c>
      <c r="AB26" s="23">
        <f>SUM(WRmatchups[[#This Row],[Salary]]/WRmatchups[[#This Row],[Projection]])</f>
        <v>405.57151265695097</v>
      </c>
      <c r="AC26" s="241">
        <f>_xlfn.RANK.EQ(WRmatchups[[#This Row],[Average]],WRmatchups[Average],1)</f>
        <v>15</v>
      </c>
      <c r="AD26" s="241">
        <f>AVERAGE(WRmatchups[[#This Row],[Proj Rank]],WRmatchups[[#This Row],[Value Rank]])</f>
        <v>21</v>
      </c>
      <c r="AE26" s="210">
        <f>WRmatchups[[#This Row],[Salary]]/50000</f>
        <v>0.13</v>
      </c>
      <c r="AF26" s="214"/>
      <c r="AG26" s="14">
        <f>IFERROR(INDEX(WRstats3[Targets],MATCH(WRmatchups[[#This Row],[Name]],WRstats3[Player],0)),"0")</f>
        <v>9.9</v>
      </c>
      <c r="AH26" s="14" t="str">
        <f>IFERROR(INDEX(WRstats2[Targets],MATCH(WRmatchups[[#This Row],[Name]],WRstats2[Player],0)),"0")</f>
        <v>0</v>
      </c>
      <c r="AI26" s="14">
        <f>IFERROR(INDEX(WRstats3[Targets],MATCH(WRmatchups[[#This Row],[Name]],WRstats3[Player],0)),"0")</f>
        <v>9.9</v>
      </c>
      <c r="AJ26" s="14">
        <f>IFERROR(INDEX(WRstats1[Rec],MATCH(WRmatchups[[#This Row],[Name]],WRstats1[Player],0)),"0")</f>
        <v>5.407</v>
      </c>
      <c r="AK26" s="14">
        <f>IFERROR(INDEX(WRstats2[Rec],MATCH(WRmatchups[[#This Row],[Name]],WRstats2[Player],0)),"0")</f>
        <v>5.2</v>
      </c>
      <c r="AL26" s="14">
        <f>IFERROR(INDEX(WRstats3[Rec],MATCH(WRmatchups[[#This Row],[Name]],WRstats3[Player],0)),"0")</f>
        <v>5</v>
      </c>
      <c r="AM26" s="32">
        <f>IFERROR(INDEX(WRallowed[Rec],MATCH(WRmatchups[[#This Row],[Opp]],WRallowed[Team],0)),"0")</f>
        <v>13.9375</v>
      </c>
      <c r="AN26" s="14">
        <f>IFERROR(INDEX(WRstats1[Rec Yds],MATCH(WRmatchups[[#This Row],[Name]],WRstats1[Player],0)),"0")</f>
        <v>78.802999999999997</v>
      </c>
      <c r="AO26" s="14">
        <f>IFERROR(INDEX(WRstats2[RecYards],MATCH(WRmatchups[[#This Row],[Name]],WRstats2[Player],0)),"0")</f>
        <v>77.5</v>
      </c>
      <c r="AP26" s="14">
        <f>IFERROR(INDEX(WRstats3[RecYards],MATCH(WRmatchups[[#This Row],[Name]],WRstats3[Player],0)),"0")</f>
        <v>70.599999999999994</v>
      </c>
      <c r="AQ26" s="32">
        <f>IFERROR(INDEX(WRallowed[Yard],MATCH(WRmatchups[[#This Row],[Opp]],WRallowed[Team],0)),"0")</f>
        <v>176.3125</v>
      </c>
      <c r="AR26" s="14">
        <f>IFERROR(INDEX(WRstats1[Rec TD],MATCH(WRmatchups[[#This Row],[Name]],WRstats1[Player],0)),"0")</f>
        <v>0.58699999999999997</v>
      </c>
      <c r="AS26" s="14" t="str">
        <f>IFERROR(INDEX(WRstats2[RecTD],MATCH(WRmatchups[[#This Row],[Name]],WRstats2[Player],0)),"0")</f>
        <v>0.5</v>
      </c>
      <c r="AT26" s="14">
        <f>IFERROR(INDEX(WRstats3[RecTD],MATCH(WRmatchups[[#This Row],[Name]],WRstats3[Player],0)),"0")</f>
        <v>0.5</v>
      </c>
      <c r="AU26" s="32">
        <f>IFERROR(INDEX(WRallowed[TD],MATCH(WRmatchups[[#This Row],[Opp]],WRallowed[Team],0)),"0")*0.5</f>
        <v>0.59375</v>
      </c>
      <c r="AV26" s="14" t="str">
        <f>IFERROR(INDEX(WRstats2[RushAtt],MATCH(WRmatchups[[#This Row],[Name]],WRstats2[Player],0)),"0")</f>
        <v>0.5</v>
      </c>
      <c r="AW26" s="14">
        <f>IFERROR(INDEX(WRstats3[RushATT],MATCH(WRmatchups[[#This Row],[Name]],WRstats3[Player],0)),"0")</f>
        <v>0</v>
      </c>
      <c r="AX26" s="14" t="str">
        <f>IFERROR(INDEX(WRstats2[RushYards],MATCH(WRmatchups[[#This Row],[Name]],WRstats2[Player],0)),"0")</f>
        <v>0</v>
      </c>
      <c r="AY26" s="14">
        <f>IFERROR(INDEX(WRstats3[RushYards],MATCH(WRmatchups[[#This Row],[Name]],WRstats3[Player],0)),"0")</f>
        <v>0</v>
      </c>
      <c r="AZ26" s="14" t="str">
        <f>IFERROR(INDEX(WRstats2[RushTD],MATCH(WRmatchups[[#This Row],[Name]],WRstats2[Player],0)),"0")</f>
        <v>0</v>
      </c>
      <c r="BA26" s="14">
        <f>IFERROR(INDEX(WRstats3[RushTD],MATCH(WRmatchups[[#This Row],[Name]],WRstats3[Player],0)),"0")</f>
        <v>0</v>
      </c>
      <c r="BB26" s="264">
        <f>IF(WRmatchups[[#This Row],[Yards]]&gt;=100,3,0)</f>
        <v>0</v>
      </c>
      <c r="BC26" s="191" t="str">
        <f>IFERROR(INDEX(#REF!,MATCH(WRmatchups[Name],#REF!,0)),"0")</f>
        <v>0</v>
      </c>
      <c r="BD26" s="494">
        <f>WRmatchups[[#This Row],[Targets]]/WRmatchups[[#This Row],[Salary]]*100</f>
        <v>0.56923076923076932</v>
      </c>
    </row>
    <row r="27" spans="1:56" ht="15" thickBot="1" x14ac:dyDescent="0.35">
      <c r="A27" s="37">
        <f>WRstats1!AL18</f>
        <v>13.6</v>
      </c>
      <c r="B27" s="5" t="str">
        <f>WRstats1!D18</f>
        <v>Stefon Diggs</v>
      </c>
      <c r="C27" s="172">
        <f>IFERROR(INDEX(Salaries[DraftKings (Price)],MATCH(WRmatchups[[#This Row],[Name]],Salaries[Player],0)),"")</f>
        <v>6100</v>
      </c>
      <c r="D27" s="172">
        <f>IFERROR(INDEX(DK_Salary_Changes[WeekChange],MATCH(WRmatchups[[#This Row],[Name]],DK_Salary_Changes[Player],0)),"")</f>
        <v>1000</v>
      </c>
      <c r="E27" s="14" t="str">
        <f>IFERROR(INDEX(Salaries[Team],MATCH(WRmatchups[[#This Row],[Name]],Salaries[Player],0)),"")</f>
        <v>MIN</v>
      </c>
      <c r="F27" s="460" t="str">
        <f>IFERROR(INDEX(Salaries[Opp],MATCH(WRmatchups[[#This Row],[Team]],Salaries[Team],0)),"")</f>
        <v>NYG</v>
      </c>
      <c r="G27" s="476">
        <f>IFERROR(INDEX(WRYTD[Rec],MATCH(WRmatchups[Name],WRYTD[Player],0)),"0")</f>
        <v>20</v>
      </c>
      <c r="H27" s="458">
        <f>IFERROR(INDEX(targettracker54[TTL],MATCH(WRmatchups[Name],targettracker54[Name],0)),"")</f>
        <v>27</v>
      </c>
      <c r="I27" s="475">
        <f>IFERROR(INDEX(WRYTD[Rec Yds],MATCH(WRmatchups[Name],WRYTD[Player],0)),"0")</f>
        <v>325</v>
      </c>
      <c r="J27" s="477">
        <f>IFERROR(INDEX(WRYTD[Rec TD],MATCH(WRmatchups[Name],WRYTD[Player],0)),"0")</f>
        <v>1</v>
      </c>
      <c r="K27" s="473">
        <f>IFERROR(INDEX(Salaries[O/U],MATCH(WRmatchups[[#This Row],[Team]],Salaries[Team],0)),"")</f>
        <v>43.5</v>
      </c>
      <c r="L27" s="32">
        <f>IFERROR(INDEX(Salaries[Team O/U],MATCH(WRmatchups[[#This Row],[Team]],Salaries[Team],0)),"")</f>
        <v>23.75</v>
      </c>
      <c r="M27" s="417">
        <f>IFERROR(INDEX(Salaries[Spread],MATCH(WRmatchups[[#This Row],[Team]],Salaries[Team],0)),"")</f>
        <v>-4</v>
      </c>
      <c r="N27" s="424">
        <f>IFERROR(INDEX(WRallowed[DVP],MATCH(WRmatchups[[#This Row],[Opp]],WRallowed[Team],0)),IFERROR(INDEX(WRallowed[DVP],MATCH(WRmatchups[[#This Row],[Opp]],WRallowed[Opp],0)),""))</f>
        <v>21</v>
      </c>
      <c r="O27" s="17">
        <f>IFERROR(INDEX(YAtCData[YAtC],MATCH(WRmatchups[[#This Row],[Name]],YAtCData[Player],0)),"0")</f>
        <v>219</v>
      </c>
      <c r="P27" s="497">
        <f>IFERROR(INDEX(YAtCData[YAtC/Rec],MATCH(WRmatchups[[#This Row],[Name]],YAtCData[Player],0)),"0")</f>
        <v>10.95</v>
      </c>
      <c r="Q27" s="17">
        <f>IFERROR(INDEX(YAtCData[YAC],MATCH(WRmatchups[[#This Row],[Name]],YAtCData[Player],0)),"0")</f>
        <v>106</v>
      </c>
      <c r="R27" s="497">
        <f>IFERROR(INDEX(YACDATA[YAC per Reception],MATCH(WRmatchups[[#This Row],[Name]],YACDATA[Player],0)),"0")</f>
        <v>5.3</v>
      </c>
      <c r="S27" s="418">
        <f>AVERAGE(WRmatchups[[#This Row],[Tar1]:[Tar3]])</f>
        <v>9.1</v>
      </c>
      <c r="T27" s="464">
        <f>AVERAGE(WRmatchups[[#This Row],[Rec1]:[Rec3]])</f>
        <v>5.4913333333333334</v>
      </c>
      <c r="U27" s="468">
        <f>SUM(WRmatchups[[#This Row],[Rec4]]/WRmatchups[[#This Row],[Targets2]])</f>
        <v>0.60344322344322343</v>
      </c>
      <c r="V27" s="417">
        <f>AVERAGE(WRmatchups[[#This Row],[Yards1]:[Yards3]])</f>
        <v>73.600333333333325</v>
      </c>
      <c r="W27" s="461">
        <f>SUM(WRmatchups[[#This Row],[Yards]]/WRmatchups[[#This Row],[Targets2]])</f>
        <v>8.0879487179487182</v>
      </c>
      <c r="X27" s="32">
        <f>AVERAGE(WRmatchups[[#This Row],[TD1]:[TD3]])</f>
        <v>0.52750000000000008</v>
      </c>
      <c r="Y27" s="14">
        <f>_xlfn.RANK.EQ(WRmatchups[[#This Row],[Projection]],WRmatchups[Projection],0)</f>
        <v>17</v>
      </c>
      <c r="Z27" s="19">
        <f>SUM(WRmatchups[[#This Row],[Yards]]*0.1)+(WRmatchups[[#This Row],[RecTD5]]*6)+(WRmatchups[[#This Row],[Rec4]]*1)+(WRmatchups[[#This Row],[100+]])</f>
        <v>16.016366666666666</v>
      </c>
      <c r="AA27" s="8">
        <f>_xlfn.RANK.EQ(WRmatchups[[#This Row],[$/FP]],WRmatchups[$/FP],1)</f>
        <v>14</v>
      </c>
      <c r="AB27" s="23">
        <f>SUM(WRmatchups[[#This Row],[Salary]]/WRmatchups[[#This Row],[Projection]])</f>
        <v>380.86041153736488</v>
      </c>
      <c r="AC27" s="241">
        <f>_xlfn.RANK.EQ(WRmatchups[[#This Row],[Average]],WRmatchups[Average],1)</f>
        <v>5</v>
      </c>
      <c r="AD27" s="241">
        <f>AVERAGE(WRmatchups[[#This Row],[Proj Rank]],WRmatchups[[#This Row],[Value Rank]])</f>
        <v>15.5</v>
      </c>
      <c r="AE27" s="210">
        <f>WRmatchups[[#This Row],[Salary]]/50000</f>
        <v>0.122</v>
      </c>
      <c r="AF27" s="214"/>
      <c r="AG27" s="14">
        <f>IFERROR(INDEX(WRstats3[Targets],MATCH(WRmatchups[[#This Row],[Name]],WRstats3[Player],0)),"0")</f>
        <v>9.1</v>
      </c>
      <c r="AH27" s="14" t="str">
        <f>IFERROR(INDEX(WRstats2[Targets],MATCH(WRmatchups[[#This Row],[Name]],WRstats2[Player],0)),"0")</f>
        <v>0</v>
      </c>
      <c r="AI27" s="14">
        <f>IFERROR(INDEX(WRstats3[Targets],MATCH(WRmatchups[[#This Row],[Name]],WRstats3[Player],0)),"0")</f>
        <v>9.1</v>
      </c>
      <c r="AJ27" s="14">
        <f>IFERROR(INDEX(WRstats1[Rec],MATCH(WRmatchups[[#This Row],[Name]],WRstats1[Player],0)),"0")</f>
        <v>5.1740000000000004</v>
      </c>
      <c r="AK27" s="14">
        <f>IFERROR(INDEX(WRstats2[Rec],MATCH(WRmatchups[[#This Row],[Name]],WRstats2[Player],0)),"0")</f>
        <v>5.0999999999999996</v>
      </c>
      <c r="AL27" s="14">
        <f>IFERROR(INDEX(WRstats3[Rec],MATCH(WRmatchups[[#This Row],[Name]],WRstats3[Player],0)),"0")</f>
        <v>6.2</v>
      </c>
      <c r="AM27" s="32">
        <f>IFERROR(INDEX(WRallowed[Rec],MATCH(WRmatchups[[#This Row],[Opp]],WRallowed[Team],0)),"0")</f>
        <v>11.0625</v>
      </c>
      <c r="AN27" s="14">
        <f>IFERROR(INDEX(WRstats1[Rec Yds],MATCH(WRmatchups[[#This Row],[Name]],WRstats1[Player],0)),"0")</f>
        <v>78.100999999999999</v>
      </c>
      <c r="AO27" s="14">
        <f>IFERROR(INDEX(WRstats2[RecYards],MATCH(WRmatchups[[#This Row],[Name]],WRstats2[Player],0)),"0")</f>
        <v>65.2</v>
      </c>
      <c r="AP27" s="14">
        <f>IFERROR(INDEX(WRstats3[RecYards],MATCH(WRmatchups[[#This Row],[Name]],WRstats3[Player],0)),"0")</f>
        <v>77.5</v>
      </c>
      <c r="AQ27" s="32">
        <f>IFERROR(INDEX(WRallowed[Yard],MATCH(WRmatchups[[#This Row],[Opp]],WRallowed[Team],0)),"0")</f>
        <v>155.4375</v>
      </c>
      <c r="AR27" s="14">
        <f>IFERROR(INDEX(WRstats1[Rec TD],MATCH(WRmatchups[[#This Row],[Name]],WRstats1[Player],0)),"0")</f>
        <v>0.55500000000000005</v>
      </c>
      <c r="AS27" s="14" t="str">
        <f>IFERROR(INDEX(WRstats2[RecTD],MATCH(WRmatchups[[#This Row],[Name]],WRstats2[Player],0)),"0")</f>
        <v>0.5</v>
      </c>
      <c r="AT27" s="14">
        <f>IFERROR(INDEX(WRstats3[RecTD],MATCH(WRmatchups[[#This Row],[Name]],WRstats3[Player],0)),"0")</f>
        <v>0.5</v>
      </c>
      <c r="AU27" s="32">
        <f>IFERROR(INDEX(WRallowed[TD],MATCH(WRmatchups[[#This Row],[Opp]],WRallowed[Team],0)),"0")*0.5</f>
        <v>0.375</v>
      </c>
      <c r="AV27" s="14" t="str">
        <f>IFERROR(INDEX(WRstats2[RushAtt],MATCH(WRmatchups[[#This Row],[Name]],WRstats2[Player],0)),"0")</f>
        <v>0.5</v>
      </c>
      <c r="AW27" s="14">
        <f>IFERROR(INDEX(WRstats3[RushATT],MATCH(WRmatchups[[#This Row],[Name]],WRstats3[Player],0)),"0")</f>
        <v>0.2</v>
      </c>
      <c r="AX27" s="14" t="str">
        <f>IFERROR(INDEX(WRstats2[RushYards],MATCH(WRmatchups[[#This Row],[Name]],WRstats2[Player],0)),"0")</f>
        <v>0.7</v>
      </c>
      <c r="AY27" s="14">
        <f>IFERROR(INDEX(WRstats3[RushYards],MATCH(WRmatchups[[#This Row],[Name]],WRstats3[Player],0)),"0")</f>
        <v>1.2</v>
      </c>
      <c r="AZ27" s="14" t="str">
        <f>IFERROR(INDEX(WRstats2[RushTD],MATCH(WRmatchups[[#This Row],[Name]],WRstats2[Player],0)),"0")</f>
        <v>0</v>
      </c>
      <c r="BA27" s="14">
        <f>IFERROR(INDEX(WRstats3[RushTD],MATCH(WRmatchups[[#This Row],[Name]],WRstats3[Player],0)),"0")</f>
        <v>0</v>
      </c>
      <c r="BB27" s="264">
        <f>IF(WRmatchups[[#This Row],[Yards]]&gt;=100,3,0)</f>
        <v>0</v>
      </c>
      <c r="BC27" s="191" t="str">
        <f>IFERROR(INDEX(#REF!,MATCH(WRmatchups[Name],#REF!,0)),"0")</f>
        <v>0</v>
      </c>
      <c r="BD27" s="494">
        <f>WRmatchups[[#This Row],[Targets]]/WRmatchups[[#This Row],[Salary]]*100</f>
        <v>0.44262295081967212</v>
      </c>
    </row>
    <row r="28" spans="1:56" ht="15" thickBot="1" x14ac:dyDescent="0.35">
      <c r="A28" s="37">
        <f>WRstats1!AL13</f>
        <v>14.7</v>
      </c>
      <c r="B28" s="5" t="str">
        <f>WRstats1!D13</f>
        <v>Doug Baldwin</v>
      </c>
      <c r="C28" s="172">
        <f>IFERROR(INDEX(Salaries[DraftKings (Price)],MATCH(WRmatchups[[#This Row],[Name]],Salaries[Player],0)),"")</f>
        <v>6100</v>
      </c>
      <c r="D28" s="172">
        <f>IFERROR(INDEX(DK_Salary_Changes[WeekChange],MATCH(WRmatchups[[#This Row],[Name]],DK_Salary_Changes[Player],0)),"")</f>
        <v>-200</v>
      </c>
      <c r="E28" s="14" t="str">
        <f>IFERROR(INDEX(Salaries[Team],MATCH(WRmatchups[[#This Row],[Name]],Salaries[Player],0)),"")</f>
        <v>SEA</v>
      </c>
      <c r="F28" s="460" t="str">
        <f>IFERROR(INDEX(Salaries[Opp],MATCH(WRmatchups[[#This Row],[Team]],Salaries[Team],0)),"")</f>
        <v>@NYJ</v>
      </c>
      <c r="G28" s="476">
        <f>IFERROR(INDEX(WRYTD[Rec],MATCH(WRmatchups[Name],WRYTD[Player],0)),"0")</f>
        <v>20</v>
      </c>
      <c r="H28" s="458">
        <f>IFERROR(INDEX(targettracker54[TTL],MATCH(WRmatchups[Name],targettracker54[Name],0)),"")</f>
        <v>27</v>
      </c>
      <c r="I28" s="475">
        <f>IFERROR(INDEX(WRYTD[Rec Yds],MATCH(WRmatchups[Name],WRYTD[Player],0)),"0")</f>
        <v>276</v>
      </c>
      <c r="J28" s="477">
        <f>IFERROR(INDEX(WRYTD[Rec TD],MATCH(WRmatchups[Name],WRYTD[Player],0)),"0")</f>
        <v>2</v>
      </c>
      <c r="K28" s="473">
        <f>IFERROR(INDEX(Salaries[O/U],MATCH(WRmatchups[[#This Row],[Team]],Salaries[Team],0)),"")</f>
        <v>40.5</v>
      </c>
      <c r="L28" s="32">
        <f>IFERROR(INDEX(Salaries[Team O/U],MATCH(WRmatchups[[#This Row],[Team]],Salaries[Team],0)),"")</f>
        <v>21</v>
      </c>
      <c r="M28" s="417">
        <f>IFERROR(INDEX(Salaries[Spread],MATCH(WRmatchups[[#This Row],[Team]],Salaries[Team],0)),"")</f>
        <v>-1.5</v>
      </c>
      <c r="N28" s="424">
        <f>IFERROR(INDEX(WRallowed[DVP],MATCH(WRmatchups[[#This Row],[Opp]],WRallowed[Team],0)),IFERROR(INDEX(WRallowed[DVP],MATCH(WRmatchups[[#This Row],[Opp]],WRallowed[Opp],0)),""))</f>
        <v>17</v>
      </c>
      <c r="O28" s="17">
        <f>IFERROR(INDEX(YAtCData[YAtC],MATCH(WRmatchups[[#This Row],[Name]],YAtCData[Player],0)),"0")</f>
        <v>183</v>
      </c>
      <c r="P28" s="497">
        <f>IFERROR(INDEX(YAtCData[YAtC/Rec],MATCH(WRmatchups[[#This Row],[Name]],YAtCData[Player],0)),"0")</f>
        <v>9.15</v>
      </c>
      <c r="Q28" s="17">
        <f>IFERROR(INDEX(YAtCData[YAC],MATCH(WRmatchups[[#This Row],[Name]],YAtCData[Player],0)),"0")</f>
        <v>93</v>
      </c>
      <c r="R28" s="497">
        <f>IFERROR(INDEX(YACDATA[YAC per Reception],MATCH(WRmatchups[[#This Row],[Name]],YACDATA[Player],0)),"0")</f>
        <v>4.7</v>
      </c>
      <c r="S28" s="418">
        <f>AVERAGE(WRmatchups[[#This Row],[Tar1]:[Tar3]])</f>
        <v>7.1</v>
      </c>
      <c r="T28" s="464">
        <f>AVERAGE(WRmatchups[[#This Row],[Rec1]:[Rec3]])</f>
        <v>5.4426666666666677</v>
      </c>
      <c r="U28" s="468">
        <f>SUM(WRmatchups[[#This Row],[Rec4]]/WRmatchups[[#This Row],[Targets2]])</f>
        <v>0.76657276995305179</v>
      </c>
      <c r="V28" s="417">
        <f>AVERAGE(WRmatchups[[#This Row],[Yards1]:[Yards3]])</f>
        <v>73.051000000000002</v>
      </c>
      <c r="W28" s="461">
        <f>SUM(WRmatchups[[#This Row],[Yards]]/WRmatchups[[#This Row],[Targets2]])</f>
        <v>10.28887323943662</v>
      </c>
      <c r="X28" s="32">
        <f>AVERAGE(WRmatchups[[#This Row],[TD1]:[TD3]])</f>
        <v>0.53800000000000003</v>
      </c>
      <c r="Y28" s="14">
        <f>_xlfn.RANK.EQ(WRmatchups[[#This Row],[Projection]],WRmatchups[Projection],0)</f>
        <v>18</v>
      </c>
      <c r="Z28" s="19">
        <f>SUM(WRmatchups[[#This Row],[Yards]]*0.1)+(WRmatchups[[#This Row],[RecTD5]]*6)+(WRmatchups[[#This Row],[Rec4]]*1)+(WRmatchups[[#This Row],[100+]])</f>
        <v>15.975766666666669</v>
      </c>
      <c r="AA28" s="8">
        <f>_xlfn.RANK.EQ(WRmatchups[[#This Row],[$/FP]],WRmatchups[$/FP],1)</f>
        <v>16</v>
      </c>
      <c r="AB28" s="23">
        <f>SUM(WRmatchups[[#This Row],[Salary]]/WRmatchups[[#This Row],[Projection]])</f>
        <v>381.828310795726</v>
      </c>
      <c r="AC28" s="241">
        <f>_xlfn.RANK.EQ(WRmatchups[[#This Row],[Average]],WRmatchups[Average],1)</f>
        <v>9</v>
      </c>
      <c r="AD28" s="241">
        <f>AVERAGE(WRmatchups[[#This Row],[Proj Rank]],WRmatchups[[#This Row],[Value Rank]])</f>
        <v>17</v>
      </c>
      <c r="AE28" s="210">
        <f>WRmatchups[[#This Row],[Salary]]/50000</f>
        <v>0.122</v>
      </c>
      <c r="AF28" s="214"/>
      <c r="AG28" s="14">
        <f>IFERROR(INDEX(WRstats3[Targets],MATCH(WRmatchups[[#This Row],[Name]],WRstats3[Player],0)),"0")</f>
        <v>7.1</v>
      </c>
      <c r="AH28" s="14" t="str">
        <f>IFERROR(INDEX(WRstats2[Targets],MATCH(WRmatchups[[#This Row],[Name]],WRstats2[Player],0)),"0")</f>
        <v>0</v>
      </c>
      <c r="AI28" s="14">
        <f>IFERROR(INDEX(WRstats3[Targets],MATCH(WRmatchups[[#This Row],[Name]],WRstats3[Player],0)),"0")</f>
        <v>7.1</v>
      </c>
      <c r="AJ28" s="14">
        <f>IFERROR(INDEX(WRstats1[Rec],MATCH(WRmatchups[[#This Row],[Name]],WRstats1[Player],0)),"0")</f>
        <v>6.4279999999999999</v>
      </c>
      <c r="AK28" s="14">
        <f>IFERROR(INDEX(WRstats2[Rec],MATCH(WRmatchups[[#This Row],[Name]],WRstats2[Player],0)),"0")</f>
        <v>4.5</v>
      </c>
      <c r="AL28" s="14">
        <f>IFERROR(INDEX(WRstats3[Rec],MATCH(WRmatchups[[#This Row],[Name]],WRstats3[Player],0)),"0")</f>
        <v>5.4</v>
      </c>
      <c r="AM28" s="32" t="str">
        <f>IFERROR(INDEX(WRallowed[Rec],MATCH(WRmatchups[[#This Row],[Opp]],WRallowed[Team],0)),"0")</f>
        <v>0</v>
      </c>
      <c r="AN28" s="14">
        <f>IFERROR(INDEX(WRstats1[Rec Yds],MATCH(WRmatchups[[#This Row],[Name]],WRstats1[Player],0)),"0")</f>
        <v>82.052999999999997</v>
      </c>
      <c r="AO28" s="14">
        <f>IFERROR(INDEX(WRstats2[RecYards],MATCH(WRmatchups[[#This Row],[Name]],WRstats2[Player],0)),"0")</f>
        <v>64.7</v>
      </c>
      <c r="AP28" s="14">
        <f>IFERROR(INDEX(WRstats3[RecYards],MATCH(WRmatchups[[#This Row],[Name]],WRstats3[Player],0)),"0")</f>
        <v>72.400000000000006</v>
      </c>
      <c r="AQ28" s="32" t="str">
        <f>IFERROR(INDEX(WRallowed[Yard],MATCH(WRmatchups[[#This Row],[Opp]],WRallowed[Team],0)),"0")</f>
        <v>0</v>
      </c>
      <c r="AR28" s="14">
        <f>IFERROR(INDEX(WRstats1[Rec TD],MATCH(WRmatchups[[#This Row],[Name]],WRstats1[Player],0)),"0")</f>
        <v>0.57599999999999996</v>
      </c>
      <c r="AS28" s="14" t="str">
        <f>IFERROR(INDEX(WRstats2[RecTD],MATCH(WRmatchups[[#This Row],[Name]],WRstats2[Player],0)),"0")</f>
        <v>0.7</v>
      </c>
      <c r="AT28" s="14">
        <f>IFERROR(INDEX(WRstats3[RecTD],MATCH(WRmatchups[[#This Row],[Name]],WRstats3[Player],0)),"0")</f>
        <v>0.5</v>
      </c>
      <c r="AU28" s="32">
        <f>IFERROR(INDEX(WRallowed[TD],MATCH(WRmatchups[[#This Row],[Opp]],WRallowed[Team],0)),"0")*0.5</f>
        <v>0</v>
      </c>
      <c r="AV28" s="14" t="str">
        <f>IFERROR(INDEX(WRstats2[RushAtt],MATCH(WRmatchups[[#This Row],[Name]],WRstats2[Player],0)),"0")</f>
        <v>0.7</v>
      </c>
      <c r="AW28" s="14">
        <f>IFERROR(INDEX(WRstats3[RushATT],MATCH(WRmatchups[[#This Row],[Name]],WRstats3[Player],0)),"0")</f>
        <v>0</v>
      </c>
      <c r="AX28" s="14" t="str">
        <f>IFERROR(INDEX(WRstats2[RushYards],MATCH(WRmatchups[[#This Row],[Name]],WRstats2[Player],0)),"0")</f>
        <v>0.9</v>
      </c>
      <c r="AY28" s="14">
        <f>IFERROR(INDEX(WRstats3[RushYards],MATCH(WRmatchups[[#This Row],[Name]],WRstats3[Player],0)),"0")</f>
        <v>0</v>
      </c>
      <c r="AZ28" s="14" t="str">
        <f>IFERROR(INDEX(WRstats2[RushTD],MATCH(WRmatchups[[#This Row],[Name]],WRstats2[Player],0)),"0")</f>
        <v>0</v>
      </c>
      <c r="BA28" s="14">
        <f>IFERROR(INDEX(WRstats3[RushTD],MATCH(WRmatchups[[#This Row],[Name]],WRstats3[Player],0)),"0")</f>
        <v>0</v>
      </c>
      <c r="BB28" s="264">
        <f>IF(WRmatchups[[#This Row],[Yards]]&gt;=100,3,0)</f>
        <v>0</v>
      </c>
      <c r="BC28" s="191" t="str">
        <f>IFERROR(INDEX(#REF!,MATCH(WRmatchups[Name],#REF!,0)),"0")</f>
        <v>0</v>
      </c>
      <c r="BD28" s="494">
        <f>WRmatchups[[#This Row],[Targets]]/WRmatchups[[#This Row],[Salary]]*100</f>
        <v>0.44262295081967212</v>
      </c>
    </row>
    <row r="29" spans="1:56" ht="15" thickBot="1" x14ac:dyDescent="0.35">
      <c r="A29" s="37">
        <f>WRstats1!AL12</f>
        <v>14.6</v>
      </c>
      <c r="B29" s="5" t="str">
        <f>WRstats1!D12</f>
        <v>Travis Benjamin</v>
      </c>
      <c r="C29" s="172">
        <f>IFERROR(INDEX(Salaries[DraftKings (Price)],MATCH(WRmatchups[[#This Row],[Name]],Salaries[Player],0)),"")</f>
        <v>5900</v>
      </c>
      <c r="D29" s="172">
        <f>IFERROR(INDEX(DK_Salary_Changes[WeekChange],MATCH(WRmatchups[[#This Row],[Name]],DK_Salary_Changes[Player],0)),"")</f>
        <v>700</v>
      </c>
      <c r="E29" s="14" t="str">
        <f>IFERROR(INDEX(Salaries[Team],MATCH(WRmatchups[[#This Row],[Name]],Salaries[Player],0)),"")</f>
        <v>SD</v>
      </c>
      <c r="F29" s="460" t="str">
        <f>IFERROR(INDEX(Salaries[Opp],MATCH(WRmatchups[[#This Row],[Team]],Salaries[Team],0)),"")</f>
        <v>NO</v>
      </c>
      <c r="G29" s="476">
        <f>IFERROR(INDEX(WRYTD[Rec],MATCH(WRmatchups[Name],WRYTD[Player],0)),"0")</f>
        <v>17</v>
      </c>
      <c r="H29" s="458">
        <f>IFERROR(INDEX(targettracker54[TTL],MATCH(WRmatchups[Name],targettracker54[Name],0)),"")</f>
        <v>21</v>
      </c>
      <c r="I29" s="475">
        <f>IFERROR(INDEX(WRYTD[Rec Yds],MATCH(WRmatchups[Name],WRYTD[Player],0)),"0")</f>
        <v>229</v>
      </c>
      <c r="J29" s="477">
        <f>IFERROR(INDEX(WRYTD[Rec TD],MATCH(WRmatchups[Name],WRYTD[Player],0)),"0")</f>
        <v>2</v>
      </c>
      <c r="K29" s="473">
        <f>IFERROR(INDEX(Salaries[O/U],MATCH(WRmatchups[[#This Row],[Team]],Salaries[Team],0)),"")</f>
        <v>53.5</v>
      </c>
      <c r="L29" s="32">
        <f>IFERROR(INDEX(Salaries[Team O/U],MATCH(WRmatchups[[#This Row],[Team]],Salaries[Team],0)),"")</f>
        <v>28.75</v>
      </c>
      <c r="M29" s="417">
        <f>IFERROR(INDEX(Salaries[Spread],MATCH(WRmatchups[[#This Row],[Team]],Salaries[Team],0)),"")</f>
        <v>-4</v>
      </c>
      <c r="N29" s="424">
        <f>IFERROR(INDEX(WRallowed[DVP],MATCH(WRmatchups[[#This Row],[Opp]],WRallowed[Team],0)),IFERROR(INDEX(WRallowed[DVP],MATCH(WRmatchups[[#This Row],[Opp]],WRallowed[Opp],0)),""))</f>
        <v>27</v>
      </c>
      <c r="O29" s="17">
        <f>IFERROR(INDEX(YAtCData[YAtC],MATCH(WRmatchups[[#This Row],[Name]],YAtCData[Player],0)),"0")</f>
        <v>158</v>
      </c>
      <c r="P29" s="497">
        <f>IFERROR(INDEX(YAtCData[YAtC/Rec],MATCH(WRmatchups[[#This Row],[Name]],YAtCData[Player],0)),"0")</f>
        <v>9.2899999999999991</v>
      </c>
      <c r="Q29" s="17">
        <f>IFERROR(INDEX(YAtCData[YAC],MATCH(WRmatchups[[#This Row],[Name]],YAtCData[Player],0)),"0")</f>
        <v>71</v>
      </c>
      <c r="R29" s="497">
        <f>IFERROR(INDEX(YACDATA[YAC per Reception],MATCH(WRmatchups[[#This Row],[Name]],YACDATA[Player],0)),"0")</f>
        <v>4.2</v>
      </c>
      <c r="S29" s="418">
        <f>AVERAGE(WRmatchups[[#This Row],[Tar1]:[Tar3]])</f>
        <v>8.1</v>
      </c>
      <c r="T29" s="464">
        <f>AVERAGE(WRmatchups[[#This Row],[Rec1]:[Rec3]])</f>
        <v>5.0470000000000006</v>
      </c>
      <c r="U29" s="468">
        <f>SUM(WRmatchups[[#This Row],[Rec4]]/WRmatchups[[#This Row],[Targets2]])</f>
        <v>0.62308641975308654</v>
      </c>
      <c r="V29" s="417">
        <f>AVERAGE(WRmatchups[[#This Row],[Yards1]:[Yards3]])</f>
        <v>74.080333333333328</v>
      </c>
      <c r="W29" s="461">
        <f>SUM(WRmatchups[[#This Row],[Yards]]/WRmatchups[[#This Row],[Targets2]])</f>
        <v>9.1457201646090525</v>
      </c>
      <c r="X29" s="32">
        <f>AVERAGE(WRmatchups[[#This Row],[TD1]:[TD3]])</f>
        <v>0.53649999999999998</v>
      </c>
      <c r="Y29" s="14">
        <f>_xlfn.RANK.EQ(WRmatchups[[#This Row],[Projection]],WRmatchups[Projection],0)</f>
        <v>19</v>
      </c>
      <c r="Z29" s="19">
        <f>SUM(WRmatchups[[#This Row],[Yards]]*0.1)+(WRmatchups[[#This Row],[RecTD5]]*6)+(WRmatchups[[#This Row],[Rec4]]*1)+(WRmatchups[[#This Row],[100+]])</f>
        <v>15.674033333333334</v>
      </c>
      <c r="AA29" s="8">
        <f>_xlfn.RANK.EQ(WRmatchups[[#This Row],[$/FP]],WRmatchups[$/FP],1)</f>
        <v>12</v>
      </c>
      <c r="AB29" s="23">
        <f>SUM(WRmatchups[[#This Row],[Salary]]/WRmatchups[[#This Row],[Projection]])</f>
        <v>376.41874778029904</v>
      </c>
      <c r="AC29" s="241">
        <f>_xlfn.RANK.EQ(WRmatchups[[#This Row],[Average]],WRmatchups[Average],1)</f>
        <v>5</v>
      </c>
      <c r="AD29" s="241">
        <f>AVERAGE(WRmatchups[[#This Row],[Proj Rank]],WRmatchups[[#This Row],[Value Rank]])</f>
        <v>15.5</v>
      </c>
      <c r="AE29" s="210">
        <f>WRmatchups[[#This Row],[Salary]]/50000</f>
        <v>0.11799999999999999</v>
      </c>
      <c r="AF29" s="214"/>
      <c r="AG29" s="14">
        <f>IFERROR(INDEX(WRstats3[Targets],MATCH(WRmatchups[[#This Row],[Name]],WRstats3[Player],0)),"0")</f>
        <v>8.1</v>
      </c>
      <c r="AH29" s="14" t="str">
        <f>IFERROR(INDEX(WRstats2[Targets],MATCH(WRmatchups[[#This Row],[Name]],WRstats2[Player],0)),"0")</f>
        <v>0</v>
      </c>
      <c r="AI29" s="14">
        <f>IFERROR(INDEX(WRstats3[Targets],MATCH(WRmatchups[[#This Row],[Name]],WRstats3[Player],0)),"0")</f>
        <v>8.1</v>
      </c>
      <c r="AJ29" s="14">
        <f>IFERROR(INDEX(WRstats1[Rec],MATCH(WRmatchups[[#This Row],[Name]],WRstats1[Player],0)),"0")</f>
        <v>6.0410000000000004</v>
      </c>
      <c r="AK29" s="14">
        <f>IFERROR(INDEX(WRstats2[Rec],MATCH(WRmatchups[[#This Row],[Name]],WRstats2[Player],0)),"0")</f>
        <v>4.4000000000000004</v>
      </c>
      <c r="AL29" s="14">
        <f>IFERROR(INDEX(WRstats3[Rec],MATCH(WRmatchups[[#This Row],[Name]],WRstats3[Player],0)),"0")</f>
        <v>4.7</v>
      </c>
      <c r="AM29" s="32">
        <f>IFERROR(INDEX(WRallowed[Rec],MATCH(WRmatchups[[#This Row],[Opp]],WRallowed[Team],0)),"0")</f>
        <v>13.25</v>
      </c>
      <c r="AN29" s="14">
        <f>IFERROR(INDEX(WRstats1[Rec Yds],MATCH(WRmatchups[[#This Row],[Name]],WRstats1[Player],0)),"0")</f>
        <v>81.840999999999994</v>
      </c>
      <c r="AO29" s="14">
        <f>IFERROR(INDEX(WRstats2[RecYards],MATCH(WRmatchups[[#This Row],[Name]],WRstats2[Player],0)),"0")</f>
        <v>55.8</v>
      </c>
      <c r="AP29" s="14">
        <f>IFERROR(INDEX(WRstats3[RecYards],MATCH(WRmatchups[[#This Row],[Name]],WRstats3[Player],0)),"0")</f>
        <v>84.6</v>
      </c>
      <c r="AQ29" s="32">
        <f>IFERROR(INDEX(WRallowed[Yard],MATCH(WRmatchups[[#This Row],[Opp]],WRallowed[Team],0)),"0")</f>
        <v>153.5</v>
      </c>
      <c r="AR29" s="14">
        <f>IFERROR(INDEX(WRstats1[Rec TD],MATCH(WRmatchups[[#This Row],[Name]],WRstats1[Player],0)),"0")</f>
        <v>0.57299999999999995</v>
      </c>
      <c r="AS29" s="14" t="str">
        <f>IFERROR(INDEX(WRstats2[RecTD],MATCH(WRmatchups[[#This Row],[Name]],WRstats2[Player],0)),"0")</f>
        <v>0.5</v>
      </c>
      <c r="AT29" s="14">
        <f>IFERROR(INDEX(WRstats3[RecTD],MATCH(WRmatchups[[#This Row],[Name]],WRstats3[Player],0)),"0")</f>
        <v>0.5</v>
      </c>
      <c r="AU29" s="32">
        <f>IFERROR(INDEX(WRallowed[TD],MATCH(WRmatchups[[#This Row],[Opp]],WRallowed[Team],0)),"0")*0.5</f>
        <v>0.375</v>
      </c>
      <c r="AV29" s="14" t="str">
        <f>IFERROR(INDEX(WRstats2[RushAtt],MATCH(WRmatchups[[#This Row],[Name]],WRstats2[Player],0)),"0")</f>
        <v>0.5</v>
      </c>
      <c r="AW29" s="14">
        <f>IFERROR(INDEX(WRstats3[RushATT],MATCH(WRmatchups[[#This Row],[Name]],WRstats3[Player],0)),"0")</f>
        <v>0</v>
      </c>
      <c r="AX29" s="14" t="str">
        <f>IFERROR(INDEX(WRstats2[RushYards],MATCH(WRmatchups[[#This Row],[Name]],WRstats2[Player],0)),"0")</f>
        <v>0.5</v>
      </c>
      <c r="AY29" s="14">
        <f>IFERROR(INDEX(WRstats3[RushYards],MATCH(WRmatchups[[#This Row],[Name]],WRstats3[Player],0)),"0")</f>
        <v>0</v>
      </c>
      <c r="AZ29" s="14" t="str">
        <f>IFERROR(INDEX(WRstats2[RushTD],MATCH(WRmatchups[[#This Row],[Name]],WRstats2[Player],0)),"0")</f>
        <v>0</v>
      </c>
      <c r="BA29" s="14">
        <f>IFERROR(INDEX(WRstats3[RushTD],MATCH(WRmatchups[[#This Row],[Name]],WRstats3[Player],0)),"0")</f>
        <v>0</v>
      </c>
      <c r="BB29" s="264">
        <f>IF(WRmatchups[[#This Row],[Yards]]&gt;=100,3,0)</f>
        <v>0</v>
      </c>
      <c r="BC29" s="191" t="str">
        <f>IFERROR(INDEX(#REF!,MATCH(WRmatchups[Name],#REF!,0)),"0")</f>
        <v>0</v>
      </c>
      <c r="BD29" s="494">
        <f>WRmatchups[[#This Row],[Targets]]/WRmatchups[[#This Row],[Salary]]*100</f>
        <v>0.3559322033898305</v>
      </c>
    </row>
    <row r="30" spans="1:56" ht="15" thickBot="1" x14ac:dyDescent="0.35">
      <c r="A30" s="37">
        <f>WRstats1!AL22</f>
        <v>13.4</v>
      </c>
      <c r="B30" s="5" t="str">
        <f>WRstats1!D22</f>
        <v>Dez Bryant</v>
      </c>
      <c r="C30" s="172">
        <f>IFERROR(INDEX(Salaries[DraftKings (Price)],MATCH(WRmatchups[[#This Row],[Name]],Salaries[Player],0)),"")</f>
        <v>7900</v>
      </c>
      <c r="D30" s="172">
        <f>IFERROR(INDEX(DK_Salary_Changes[WeekChange],MATCH(WRmatchups[[#This Row],[Name]],DK_Salary_Changes[Player],0)),"")</f>
        <v>-500</v>
      </c>
      <c r="E30" s="14" t="str">
        <f>IFERROR(INDEX(Salaries[Team],MATCH(WRmatchups[[#This Row],[Name]],Salaries[Player],0)),"")</f>
        <v>DAL</v>
      </c>
      <c r="F30" s="460" t="str">
        <f>IFERROR(INDEX(Salaries[Opp],MATCH(WRmatchups[[#This Row],[Team]],Salaries[Team],0)),"")</f>
        <v>@SF</v>
      </c>
      <c r="G30" s="476">
        <f>IFERROR(INDEX(WRYTD[Rec],MATCH(WRmatchups[Name],WRYTD[Player],0)),"0")</f>
        <v>11</v>
      </c>
      <c r="H30" s="458">
        <f>IFERROR(INDEX(targettracker54[TTL],MATCH(WRmatchups[Name],targettracker54[Name],0)),"")</f>
        <v>23</v>
      </c>
      <c r="I30" s="475">
        <f>IFERROR(INDEX(WRYTD[Rec Yds],MATCH(WRmatchups[Name],WRYTD[Player],0)),"0")</f>
        <v>150</v>
      </c>
      <c r="J30" s="477">
        <f>IFERROR(INDEX(WRYTD[Rec TD],MATCH(WRmatchups[Name],WRYTD[Player],0)),"0")</f>
        <v>1</v>
      </c>
      <c r="K30" s="473">
        <f>IFERROR(INDEX(Salaries[O/U],MATCH(WRmatchups[[#This Row],[Team]],Salaries[Team],0)),"")</f>
        <v>46</v>
      </c>
      <c r="L30" s="32">
        <f>IFERROR(INDEX(Salaries[Team O/U],MATCH(WRmatchups[[#This Row],[Team]],Salaries[Team],0)),"")</f>
        <v>24.5</v>
      </c>
      <c r="M30" s="417">
        <f>IFERROR(INDEX(Salaries[Spread],MATCH(WRmatchups[[#This Row],[Team]],Salaries[Team],0)),"")</f>
        <v>-3</v>
      </c>
      <c r="N30" s="424">
        <f>IFERROR(INDEX(WRallowed[DVP],MATCH(WRmatchups[[#This Row],[Opp]],WRallowed[Team],0)),IFERROR(INDEX(WRallowed[DVP],MATCH(WRmatchups[[#This Row],[Opp]],WRallowed[Opp],0)),""))</f>
        <v>18</v>
      </c>
      <c r="O30" s="17">
        <f>IFERROR(INDEX(YAtCData[YAtC],MATCH(WRmatchups[[#This Row],[Name]],YAtCData[Player],0)),"0")</f>
        <v>126</v>
      </c>
      <c r="P30" s="497">
        <f>IFERROR(INDEX(YAtCData[YAtC/Rec],MATCH(WRmatchups[[#This Row],[Name]],YAtCData[Player],0)),"0")</f>
        <v>11.45</v>
      </c>
      <c r="Q30" s="17">
        <f>IFERROR(INDEX(YAtCData[YAC],MATCH(WRmatchups[[#This Row],[Name]],YAtCData[Player],0)),"0")</f>
        <v>24</v>
      </c>
      <c r="R30" s="497">
        <f>IFERROR(INDEX(YACDATA[YAC per Reception],MATCH(WRmatchups[[#This Row],[Name]],YACDATA[Player],0)),"0")</f>
        <v>2.2000000000000002</v>
      </c>
      <c r="S30" s="418">
        <f>AVERAGE(WRmatchups[[#This Row],[Tar1]:[Tar3]])</f>
        <v>8.1</v>
      </c>
      <c r="T30" s="464">
        <f>AVERAGE(WRmatchups[[#This Row],[Rec1]:[Rec3]])</f>
        <v>4.8603333333333341</v>
      </c>
      <c r="U30" s="468">
        <f>SUM(WRmatchups[[#This Row],[Rec4]]/WRmatchups[[#This Row],[Targets2]])</f>
        <v>0.60004115226337462</v>
      </c>
      <c r="V30" s="417">
        <f>AVERAGE(WRmatchups[[#This Row],[Yards1]:[Yards3]])</f>
        <v>69.500999999999991</v>
      </c>
      <c r="W30" s="461">
        <f>SUM(WRmatchups[[#This Row],[Yards]]/WRmatchups[[#This Row],[Targets2]])</f>
        <v>8.5803703703703693</v>
      </c>
      <c r="X30" s="32">
        <f>AVERAGE(WRmatchups[[#This Row],[TD1]:[TD3]])</f>
        <v>0.59799999999999998</v>
      </c>
      <c r="Y30" s="14">
        <f>_xlfn.RANK.EQ(WRmatchups[[#This Row],[Projection]],WRmatchups[Projection],0)</f>
        <v>20</v>
      </c>
      <c r="Z30" s="19">
        <f>SUM(WRmatchups[[#This Row],[Yards]]*0.1)+(WRmatchups[[#This Row],[RecTD5]]*6)+(WRmatchups[[#This Row],[Rec4]]*1)+(WRmatchups[[#This Row],[100+]])</f>
        <v>15.398433333333333</v>
      </c>
      <c r="AA30" s="8">
        <f>_xlfn.RANK.EQ(WRmatchups[[#This Row],[$/FP]],WRmatchups[$/FP],1)</f>
        <v>74</v>
      </c>
      <c r="AB30" s="23">
        <f>SUM(WRmatchups[[#This Row],[Salary]]/WRmatchups[[#This Row],[Projection]])</f>
        <v>513.03920528711797</v>
      </c>
      <c r="AC30" s="241">
        <f>_xlfn.RANK.EQ(WRmatchups[[#This Row],[Average]],WRmatchups[Average],1)</f>
        <v>49</v>
      </c>
      <c r="AD30" s="241">
        <f>AVERAGE(WRmatchups[[#This Row],[Proj Rank]],WRmatchups[[#This Row],[Value Rank]])</f>
        <v>47</v>
      </c>
      <c r="AE30" s="210">
        <f>WRmatchups[[#This Row],[Salary]]/50000</f>
        <v>0.158</v>
      </c>
      <c r="AF30" s="214"/>
      <c r="AG30" s="14">
        <f>IFERROR(INDEX(WRstats3[Targets],MATCH(WRmatchups[[#This Row],[Name]],WRstats3[Player],0)),"0")</f>
        <v>8.1</v>
      </c>
      <c r="AH30" s="14" t="str">
        <f>IFERROR(INDEX(WRstats2[Targets],MATCH(WRmatchups[[#This Row],[Name]],WRstats2[Player],0)),"0")</f>
        <v>0</v>
      </c>
      <c r="AI30" s="14">
        <f>IFERROR(INDEX(WRstats3[Targets],MATCH(WRmatchups[[#This Row],[Name]],WRstats3[Player],0)),"0")</f>
        <v>8.1</v>
      </c>
      <c r="AJ30" s="14">
        <f>IFERROR(INDEX(WRstats1[Rec],MATCH(WRmatchups[[#This Row],[Name]],WRstats1[Player],0)),"0")</f>
        <v>5.4809999999999999</v>
      </c>
      <c r="AK30" s="14">
        <f>IFERROR(INDEX(WRstats2[Rec],MATCH(WRmatchups[[#This Row],[Name]],WRstats2[Player],0)),"0")</f>
        <v>4.2</v>
      </c>
      <c r="AL30" s="14">
        <f>IFERROR(INDEX(WRstats3[Rec],MATCH(WRmatchups[[#This Row],[Name]],WRstats3[Player],0)),"0")</f>
        <v>4.9000000000000004</v>
      </c>
      <c r="AM30" s="32" t="str">
        <f>IFERROR(INDEX(WRallowed[Rec],MATCH(WRmatchups[[#This Row],[Opp]],WRallowed[Team],0)),"0")</f>
        <v>0</v>
      </c>
      <c r="AN30" s="14">
        <f>IFERROR(INDEX(WRstats1[Rec Yds],MATCH(WRmatchups[[#This Row],[Name]],WRstats1[Player],0)),"0")</f>
        <v>71.703000000000003</v>
      </c>
      <c r="AO30" s="14">
        <f>IFERROR(INDEX(WRstats2[RecYards],MATCH(WRmatchups[[#This Row],[Name]],WRstats2[Player],0)),"0")</f>
        <v>65.8</v>
      </c>
      <c r="AP30" s="14">
        <f>IFERROR(INDEX(WRstats3[RecYards],MATCH(WRmatchups[[#This Row],[Name]],WRstats3[Player],0)),"0")</f>
        <v>71</v>
      </c>
      <c r="AQ30" s="32" t="str">
        <f>IFERROR(INDEX(WRallowed[Yard],MATCH(WRmatchups[[#This Row],[Opp]],WRallowed[Team],0)),"0")</f>
        <v>0</v>
      </c>
      <c r="AR30" s="14">
        <f>IFERROR(INDEX(WRstats1[Rec TD],MATCH(WRmatchups[[#This Row],[Name]],WRstats1[Player],0)),"0")</f>
        <v>0.59599999999999997</v>
      </c>
      <c r="AS30" s="14" t="str">
        <f>IFERROR(INDEX(WRstats2[RecTD],MATCH(WRmatchups[[#This Row],[Name]],WRstats2[Player],0)),"0")</f>
        <v>0.5</v>
      </c>
      <c r="AT30" s="14">
        <f>IFERROR(INDEX(WRstats3[RecTD],MATCH(WRmatchups[[#This Row],[Name]],WRstats3[Player],0)),"0")</f>
        <v>0.6</v>
      </c>
      <c r="AU30" s="32">
        <f>IFERROR(INDEX(WRallowed[TD],MATCH(WRmatchups[[#This Row],[Opp]],WRallowed[Team],0)),"0")*0.5</f>
        <v>0</v>
      </c>
      <c r="AV30" s="14" t="str">
        <f>IFERROR(INDEX(WRstats2[RushAtt],MATCH(WRmatchups[[#This Row],[Name]],WRstats2[Player],0)),"0")</f>
        <v>0.5</v>
      </c>
      <c r="AW30" s="14">
        <f>IFERROR(INDEX(WRstats3[RushATT],MATCH(WRmatchups[[#This Row],[Name]],WRstats3[Player],0)),"0")</f>
        <v>0</v>
      </c>
      <c r="AX30" s="14" t="str">
        <f>IFERROR(INDEX(WRstats2[RushYards],MATCH(WRmatchups[[#This Row],[Name]],WRstats2[Player],0)),"0")</f>
        <v>0.2</v>
      </c>
      <c r="AY30" s="14">
        <f>IFERROR(INDEX(WRstats3[RushYards],MATCH(WRmatchups[[#This Row],[Name]],WRstats3[Player],0)),"0")</f>
        <v>0</v>
      </c>
      <c r="AZ30" s="14" t="str">
        <f>IFERROR(INDEX(WRstats2[RushTD],MATCH(WRmatchups[[#This Row],[Name]],WRstats2[Player],0)),"0")</f>
        <v>0</v>
      </c>
      <c r="BA30" s="14">
        <f>IFERROR(INDEX(WRstats3[RushTD],MATCH(WRmatchups[[#This Row],[Name]],WRstats3[Player],0)),"0")</f>
        <v>0</v>
      </c>
      <c r="BB30" s="264">
        <f>IF(WRmatchups[[#This Row],[Yards]]&gt;=100,3,0)</f>
        <v>0</v>
      </c>
      <c r="BC30" s="191" t="str">
        <f>IFERROR(INDEX(#REF!,MATCH(WRmatchups[Name],#REF!,0)),"0")</f>
        <v>0</v>
      </c>
      <c r="BD30" s="494">
        <f>WRmatchups[[#This Row],[Targets]]/WRmatchups[[#This Row],[Salary]]*100</f>
        <v>0.29113924050632911</v>
      </c>
    </row>
    <row r="31" spans="1:56" ht="15" thickBot="1" x14ac:dyDescent="0.35">
      <c r="A31" s="37">
        <f>WRstats1!AL20</f>
        <v>13.3</v>
      </c>
      <c r="B31" s="5" t="str">
        <f>WRstats1!D20</f>
        <v>Amari Cooper</v>
      </c>
      <c r="C31" s="172">
        <f>IFERROR(INDEX(Salaries[DraftKings (Price)],MATCH(WRmatchups[[#This Row],[Name]],Salaries[Player],0)),"")</f>
        <v>7600</v>
      </c>
      <c r="D31" s="172">
        <f>IFERROR(INDEX(DK_Salary_Changes[WeekChange],MATCH(WRmatchups[[#This Row],[Name]],DK_Salary_Changes[Player],0)),"")</f>
        <v>-100</v>
      </c>
      <c r="E31" s="14" t="str">
        <f>IFERROR(INDEX(Salaries[Team],MATCH(WRmatchups[[#This Row],[Name]],Salaries[Player],0)),"")</f>
        <v>OAK</v>
      </c>
      <c r="F31" s="460" t="str">
        <f>IFERROR(INDEX(Salaries[Opp],MATCH(WRmatchups[[#This Row],[Team]],Salaries[Team],0)),"")</f>
        <v>@BAL</v>
      </c>
      <c r="G31" s="476">
        <f>IFERROR(INDEX(WRYTD[Rec],MATCH(WRmatchups[Name],WRYTD[Player],0)),"0")</f>
        <v>15</v>
      </c>
      <c r="H31" s="458">
        <f>IFERROR(INDEX(targettracker54[TTL],MATCH(WRmatchups[Name],targettracker54[Name],0)),"")</f>
        <v>29</v>
      </c>
      <c r="I31" s="475">
        <f>IFERROR(INDEX(WRYTD[Rec Yds],MATCH(WRmatchups[Name],WRYTD[Player],0)),"0")</f>
        <v>270</v>
      </c>
      <c r="J31" s="477">
        <f>IFERROR(INDEX(WRYTD[Rec TD],MATCH(WRmatchups[Name],WRYTD[Player],0)),"0")</f>
        <v>0</v>
      </c>
      <c r="K31" s="473">
        <f>IFERROR(INDEX(Salaries[O/U],MATCH(WRmatchups[[#This Row],[Team]],Salaries[Team],0)),"")</f>
        <v>46.5</v>
      </c>
      <c r="L31" s="32">
        <f>IFERROR(INDEX(Salaries[Team O/U],MATCH(WRmatchups[[#This Row],[Team]],Salaries[Team],0)),"")</f>
        <v>21.5</v>
      </c>
      <c r="M31" s="417">
        <f>IFERROR(INDEX(Salaries[Spread],MATCH(WRmatchups[[#This Row],[Team]],Salaries[Team],0)),"")</f>
        <v>3.5</v>
      </c>
      <c r="N31" s="424">
        <f>IFERROR(INDEX(WRallowed[DVP],MATCH(WRmatchups[[#This Row],[Opp]],WRallowed[Team],0)),IFERROR(INDEX(WRallowed[DVP],MATCH(WRmatchups[[#This Row],[Opp]],WRallowed[Opp],0)),""))</f>
        <v>28</v>
      </c>
      <c r="O31" s="17">
        <f>IFERROR(INDEX(YAtCData[YAtC],MATCH(WRmatchups[[#This Row],[Name]],YAtCData[Player],0)),"0")</f>
        <v>153</v>
      </c>
      <c r="P31" s="497">
        <f>IFERROR(INDEX(YAtCData[YAtC/Rec],MATCH(WRmatchups[[#This Row],[Name]],YAtCData[Player],0)),"0")</f>
        <v>10.199999999999999</v>
      </c>
      <c r="Q31" s="17">
        <f>IFERROR(INDEX(YAtCData[YAC],MATCH(WRmatchups[[#This Row],[Name]],YAtCData[Player],0)),"0")</f>
        <v>117</v>
      </c>
      <c r="R31" s="497">
        <f>IFERROR(INDEX(YACDATA[YAC per Reception],MATCH(WRmatchups[[#This Row],[Name]],YACDATA[Player],0)),"0")</f>
        <v>7.8</v>
      </c>
      <c r="S31" s="418">
        <f>AVERAGE(WRmatchups[[#This Row],[Tar1]:[Tar3]])</f>
        <v>8.6</v>
      </c>
      <c r="T31" s="464">
        <f>AVERAGE(WRmatchups[[#This Row],[Rec1]:[Rec3]])</f>
        <v>5.0010000000000003</v>
      </c>
      <c r="U31" s="468">
        <f>SUM(WRmatchups[[#This Row],[Rec4]]/WRmatchups[[#This Row],[Targets2]])</f>
        <v>0.58151162790697686</v>
      </c>
      <c r="V31" s="417">
        <f>AVERAGE(WRmatchups[[#This Row],[Yards1]:[Yards3]])</f>
        <v>74.703999999999994</v>
      </c>
      <c r="W31" s="461">
        <f>SUM(WRmatchups[[#This Row],[Yards]]/WRmatchups[[#This Row],[Targets2]])</f>
        <v>8.6865116279069756</v>
      </c>
      <c r="X31" s="32">
        <f>AVERAGE(WRmatchups[[#This Row],[TD1]:[TD3]])</f>
        <v>0.48</v>
      </c>
      <c r="Y31" s="14">
        <f>_xlfn.RANK.EQ(WRmatchups[[#This Row],[Projection]],WRmatchups[Projection],0)</f>
        <v>21</v>
      </c>
      <c r="Z31" s="19">
        <f>SUM(WRmatchups[[#This Row],[Yards]]*0.1)+(WRmatchups[[#This Row],[RecTD5]]*6)+(WRmatchups[[#This Row],[Rec4]]*1)+(WRmatchups[[#This Row],[100+]])</f>
        <v>15.351400000000002</v>
      </c>
      <c r="AA31" s="8">
        <f>_xlfn.RANK.EQ(WRmatchups[[#This Row],[$/FP]],WRmatchups[$/FP],1)</f>
        <v>69</v>
      </c>
      <c r="AB31" s="23">
        <f>SUM(WRmatchups[[#This Row],[Salary]]/WRmatchups[[#This Row],[Projection]])</f>
        <v>495.06885365504115</v>
      </c>
      <c r="AC31" s="241">
        <f>_xlfn.RANK.EQ(WRmatchups[[#This Row],[Average]],WRmatchups[Average],1)</f>
        <v>46</v>
      </c>
      <c r="AD31" s="241">
        <f>AVERAGE(WRmatchups[[#This Row],[Proj Rank]],WRmatchups[[#This Row],[Value Rank]])</f>
        <v>45</v>
      </c>
      <c r="AE31" s="210">
        <f>WRmatchups[[#This Row],[Salary]]/50000</f>
        <v>0.152</v>
      </c>
      <c r="AF31" s="214"/>
      <c r="AG31" s="14">
        <f>IFERROR(INDEX(WRstats3[Targets],MATCH(WRmatchups[[#This Row],[Name]],WRstats3[Player],0)),"0")</f>
        <v>8.6</v>
      </c>
      <c r="AH31" s="14" t="str">
        <f>IFERROR(INDEX(WRstats2[Targets],MATCH(WRmatchups[[#This Row],[Name]],WRstats2[Player],0)),"0")</f>
        <v>0</v>
      </c>
      <c r="AI31" s="14">
        <f>IFERROR(INDEX(WRstats3[Targets],MATCH(WRmatchups[[#This Row],[Name]],WRstats3[Player],0)),"0")</f>
        <v>8.6</v>
      </c>
      <c r="AJ31" s="14">
        <f>IFERROR(INDEX(WRstats1[Rec],MATCH(WRmatchups[[#This Row],[Name]],WRstats1[Player],0)),"0")</f>
        <v>5.0030000000000001</v>
      </c>
      <c r="AK31" s="14">
        <f>IFERROR(INDEX(WRstats2[Rec],MATCH(WRmatchups[[#This Row],[Name]],WRstats2[Player],0)),"0")</f>
        <v>5</v>
      </c>
      <c r="AL31" s="14">
        <f>IFERROR(INDEX(WRstats3[Rec],MATCH(WRmatchups[[#This Row],[Name]],WRstats3[Player],0)),"0")</f>
        <v>5</v>
      </c>
      <c r="AM31" s="32" t="str">
        <f>IFERROR(INDEX(WRallowed[Rec],MATCH(WRmatchups[[#This Row],[Opp]],WRallowed[Team],0)),"0")</f>
        <v>0</v>
      </c>
      <c r="AN31" s="14">
        <f>IFERROR(INDEX(WRstats1[Rec Yds],MATCH(WRmatchups[[#This Row],[Name]],WRstats1[Player],0)),"0")</f>
        <v>86.912000000000006</v>
      </c>
      <c r="AO31" s="14">
        <f>IFERROR(INDEX(WRstats2[RecYards],MATCH(WRmatchups[[#This Row],[Name]],WRstats2[Player],0)),"0")</f>
        <v>64.8</v>
      </c>
      <c r="AP31" s="14">
        <f>IFERROR(INDEX(WRstats3[RecYards],MATCH(WRmatchups[[#This Row],[Name]],WRstats3[Player],0)),"0")</f>
        <v>72.400000000000006</v>
      </c>
      <c r="AQ31" s="32" t="str">
        <f>IFERROR(INDEX(WRallowed[Yard],MATCH(WRmatchups[[#This Row],[Opp]],WRallowed[Team],0)),"0")</f>
        <v>0</v>
      </c>
      <c r="AR31" s="14">
        <f>IFERROR(INDEX(WRstats1[Rec TD],MATCH(WRmatchups[[#This Row],[Name]],WRstats1[Player],0)),"0")</f>
        <v>0.36</v>
      </c>
      <c r="AS31" s="14" t="str">
        <f>IFERROR(INDEX(WRstats2[RecTD],MATCH(WRmatchups[[#This Row],[Name]],WRstats2[Player],0)),"0")</f>
        <v>0.4</v>
      </c>
      <c r="AT31" s="14">
        <f>IFERROR(INDEX(WRstats3[RecTD],MATCH(WRmatchups[[#This Row],[Name]],WRstats3[Player],0)),"0")</f>
        <v>0.6</v>
      </c>
      <c r="AU31" s="32">
        <f>IFERROR(INDEX(WRallowed[TD],MATCH(WRmatchups[[#This Row],[Opp]],WRallowed[Team],0)),"0")*0.5</f>
        <v>0</v>
      </c>
      <c r="AV31" s="14" t="str">
        <f>IFERROR(INDEX(WRstats2[RushAtt],MATCH(WRmatchups[[#This Row],[Name]],WRstats2[Player],0)),"0")</f>
        <v>0.4</v>
      </c>
      <c r="AW31" s="14">
        <f>IFERROR(INDEX(WRstats3[RushATT],MATCH(WRmatchups[[#This Row],[Name]],WRstats3[Player],0)),"0")</f>
        <v>0.2</v>
      </c>
      <c r="AX31" s="14" t="str">
        <f>IFERROR(INDEX(WRstats2[RushYards],MATCH(WRmatchups[[#This Row],[Name]],WRstats2[Player],0)),"0")</f>
        <v>0.4</v>
      </c>
      <c r="AY31" s="14">
        <f>IFERROR(INDEX(WRstats3[RushYards],MATCH(WRmatchups[[#This Row],[Name]],WRstats3[Player],0)),"0")</f>
        <v>0.5</v>
      </c>
      <c r="AZ31" s="14" t="str">
        <f>IFERROR(INDEX(WRstats2[RushTD],MATCH(WRmatchups[[#This Row],[Name]],WRstats2[Player],0)),"0")</f>
        <v>0</v>
      </c>
      <c r="BA31" s="14">
        <f>IFERROR(INDEX(WRstats3[RushTD],MATCH(WRmatchups[[#This Row],[Name]],WRstats3[Player],0)),"0")</f>
        <v>0</v>
      </c>
      <c r="BB31" s="264">
        <f>IF(WRmatchups[[#This Row],[Yards]]&gt;=100,3,0)</f>
        <v>0</v>
      </c>
      <c r="BC31" s="191" t="str">
        <f>IFERROR(INDEX(#REF!,MATCH(WRmatchups[Name],#REF!,0)),"0")</f>
        <v>0</v>
      </c>
      <c r="BD31" s="494">
        <f>WRmatchups[[#This Row],[Targets]]/WRmatchups[[#This Row],[Salary]]*100</f>
        <v>0.38157894736842102</v>
      </c>
    </row>
    <row r="32" spans="1:56" ht="15" thickBot="1" x14ac:dyDescent="0.35">
      <c r="A32" s="37">
        <f>WRstats1!AL26</f>
        <v>12.7</v>
      </c>
      <c r="B32" s="5" t="str">
        <f>WRstats1!D26</f>
        <v>Emmanuel Sanders</v>
      </c>
      <c r="C32" s="172">
        <f>IFERROR(INDEX(Salaries[DraftKings (Price)],MATCH(WRmatchups[[#This Row],[Name]],Salaries[Player],0)),"")</f>
        <v>6400</v>
      </c>
      <c r="D32" s="172">
        <f>IFERROR(INDEX(DK_Salary_Changes[WeekChange],MATCH(WRmatchups[[#This Row],[Name]],DK_Salary_Changes[Player],0)),"")</f>
        <v>400</v>
      </c>
      <c r="E32" s="14" t="str">
        <f>IFERROR(INDEX(Salaries[Team],MATCH(WRmatchups[[#This Row],[Name]],Salaries[Player],0)),"")</f>
        <v>DEN</v>
      </c>
      <c r="F32" s="460" t="str">
        <f>IFERROR(INDEX(Salaries[Opp],MATCH(WRmatchups[[#This Row],[Team]],Salaries[Team],0)),"")</f>
        <v>@TB</v>
      </c>
      <c r="G32" s="476">
        <f>IFERROR(INDEX(WRYTD[Rec],MATCH(WRmatchups[Name],WRYTD[Player],0)),"0")</f>
        <v>17</v>
      </c>
      <c r="H32" s="458">
        <f>IFERROR(INDEX(targettracker54[TTL],MATCH(WRmatchups[Name],targettracker54[Name],0)),"")</f>
        <v>29</v>
      </c>
      <c r="I32" s="475">
        <f>IFERROR(INDEX(WRYTD[Rec Yds],MATCH(WRmatchups[Name],WRYTD[Player],0)),"0")</f>
        <v>205</v>
      </c>
      <c r="J32" s="477">
        <f>IFERROR(INDEX(WRYTD[Rec TD],MATCH(WRmatchups[Name],WRYTD[Player],0)),"0")</f>
        <v>2</v>
      </c>
      <c r="K32" s="473">
        <f>IFERROR(INDEX(Salaries[O/U],MATCH(WRmatchups[[#This Row],[Team]],Salaries[Team],0)),"")</f>
        <v>44</v>
      </c>
      <c r="L32" s="32">
        <f>IFERROR(INDEX(Salaries[Team O/U],MATCH(WRmatchups[[#This Row],[Team]],Salaries[Team],0)),"")</f>
        <v>23.5</v>
      </c>
      <c r="M32" s="417">
        <f>IFERROR(INDEX(Salaries[Spread],MATCH(WRmatchups[[#This Row],[Team]],Salaries[Team],0)),"")</f>
        <v>-3</v>
      </c>
      <c r="N32" s="424">
        <f>IFERROR(INDEX(WRallowed[DVP],MATCH(WRmatchups[[#This Row],[Opp]],WRallowed[Team],0)),IFERROR(INDEX(WRallowed[DVP],MATCH(WRmatchups[[#This Row],[Opp]],WRallowed[Opp],0)),""))</f>
        <v>26</v>
      </c>
      <c r="O32" s="17">
        <f>IFERROR(INDEX(YAtCData[YAtC],MATCH(WRmatchups[[#This Row],[Name]],YAtCData[Player],0)),"0")</f>
        <v>147</v>
      </c>
      <c r="P32" s="497">
        <f>IFERROR(INDEX(YAtCData[YAtC/Rec],MATCH(WRmatchups[[#This Row],[Name]],YAtCData[Player],0)),"0")</f>
        <v>8.65</v>
      </c>
      <c r="Q32" s="17">
        <f>IFERROR(INDEX(YAtCData[YAC],MATCH(WRmatchups[[#This Row],[Name]],YAtCData[Player],0)),"0")</f>
        <v>58</v>
      </c>
      <c r="R32" s="497">
        <f>IFERROR(INDEX(YACDATA[YAC per Reception],MATCH(WRmatchups[[#This Row],[Name]],YACDATA[Player],0)),"0")</f>
        <v>3.4</v>
      </c>
      <c r="S32" s="418">
        <f>AVERAGE(WRmatchups[[#This Row],[Tar1]:[Tar3]])</f>
        <v>8.6</v>
      </c>
      <c r="T32" s="464">
        <f>AVERAGE(WRmatchups[[#This Row],[Rec1]:[Rec3]])</f>
        <v>5.2446666666666664</v>
      </c>
      <c r="U32" s="468">
        <f>SUM(WRmatchups[[#This Row],[Rec4]]/WRmatchups[[#This Row],[Targets2]])</f>
        <v>0.60984496124031007</v>
      </c>
      <c r="V32" s="417">
        <f>AVERAGE(WRmatchups[[#This Row],[Yards1]:[Yards3]])</f>
        <v>68.769000000000005</v>
      </c>
      <c r="W32" s="461">
        <f>SUM(WRmatchups[[#This Row],[Yards]]/WRmatchups[[#This Row],[Targets2]])</f>
        <v>7.9963953488372104</v>
      </c>
      <c r="X32" s="32">
        <f>AVERAGE(WRmatchups[[#This Row],[TD1]:[TD3]])</f>
        <v>0.505</v>
      </c>
      <c r="Y32" s="14">
        <f>_xlfn.RANK.EQ(WRmatchups[[#This Row],[Projection]],WRmatchups[Projection],0)</f>
        <v>22</v>
      </c>
      <c r="Z32" s="19">
        <f>SUM(WRmatchups[[#This Row],[Yards]]*0.1)+(WRmatchups[[#This Row],[RecTD5]]*6)+(WRmatchups[[#This Row],[Rec4]]*1)+(WRmatchups[[#This Row],[100+]])</f>
        <v>15.151566666666668</v>
      </c>
      <c r="AA32" s="8">
        <f>_xlfn.RANK.EQ(WRmatchups[[#This Row],[$/FP]],WRmatchups[$/FP],1)</f>
        <v>38</v>
      </c>
      <c r="AB32" s="23">
        <f>SUM(WRmatchups[[#This Row],[Salary]]/WRmatchups[[#This Row],[Projection]])</f>
        <v>422.39856384488291</v>
      </c>
      <c r="AC32" s="241">
        <f>_xlfn.RANK.EQ(WRmatchups[[#This Row],[Average]],WRmatchups[Average],1)</f>
        <v>25</v>
      </c>
      <c r="AD32" s="241">
        <f>AVERAGE(WRmatchups[[#This Row],[Proj Rank]],WRmatchups[[#This Row],[Value Rank]])</f>
        <v>30</v>
      </c>
      <c r="AE32" s="210">
        <f>WRmatchups[[#This Row],[Salary]]/50000</f>
        <v>0.128</v>
      </c>
      <c r="AF32" s="214"/>
      <c r="AG32" s="14">
        <f>IFERROR(INDEX(WRstats3[Targets],MATCH(WRmatchups[[#This Row],[Name]],WRstats3[Player],0)),"0")</f>
        <v>8.6</v>
      </c>
      <c r="AH32" s="14" t="str">
        <f>IFERROR(INDEX(WRstats2[Targets],MATCH(WRmatchups[[#This Row],[Name]],WRstats2[Player],0)),"0")</f>
        <v>0</v>
      </c>
      <c r="AI32" s="14">
        <f>IFERROR(INDEX(WRstats3[Targets],MATCH(WRmatchups[[#This Row],[Name]],WRstats3[Player],0)),"0")</f>
        <v>8.6</v>
      </c>
      <c r="AJ32" s="14">
        <f>IFERROR(INDEX(WRstats1[Rec],MATCH(WRmatchups[[#This Row],[Name]],WRstats1[Player],0)),"0")</f>
        <v>5.8339999999999996</v>
      </c>
      <c r="AK32" s="14">
        <f>IFERROR(INDEX(WRstats2[Rec],MATCH(WRmatchups[[#This Row],[Name]],WRstats2[Player],0)),"0")</f>
        <v>5</v>
      </c>
      <c r="AL32" s="14">
        <f>IFERROR(INDEX(WRstats3[Rec],MATCH(WRmatchups[[#This Row],[Name]],WRstats3[Player],0)),"0")</f>
        <v>4.9000000000000004</v>
      </c>
      <c r="AM32" s="32" t="str">
        <f>IFERROR(INDEX(WRallowed[Rec],MATCH(WRmatchups[[#This Row],[Opp]],WRallowed[Team],0)),"0")</f>
        <v>0</v>
      </c>
      <c r="AN32" s="14">
        <f>IFERROR(INDEX(WRstats1[Rec Yds],MATCH(WRmatchups[[#This Row],[Name]],WRstats1[Player],0)),"0")</f>
        <v>68.606999999999999</v>
      </c>
      <c r="AO32" s="14">
        <f>IFERROR(INDEX(WRstats2[RecYards],MATCH(WRmatchups[[#This Row],[Name]],WRstats2[Player],0)),"0")</f>
        <v>68</v>
      </c>
      <c r="AP32" s="14">
        <f>IFERROR(INDEX(WRstats3[RecYards],MATCH(WRmatchups[[#This Row],[Name]],WRstats3[Player],0)),"0")</f>
        <v>69.7</v>
      </c>
      <c r="AQ32" s="32" t="str">
        <f>IFERROR(INDEX(WRallowed[Yard],MATCH(WRmatchups[[#This Row],[Opp]],WRallowed[Team],0)),"0")</f>
        <v>0</v>
      </c>
      <c r="AR32" s="14">
        <f>IFERROR(INDEX(WRstats1[Rec TD],MATCH(WRmatchups[[#This Row],[Name]],WRstats1[Player],0)),"0")</f>
        <v>0.51</v>
      </c>
      <c r="AS32" s="14" t="str">
        <f>IFERROR(INDEX(WRstats2[RecTD],MATCH(WRmatchups[[#This Row],[Name]],WRstats2[Player],0)),"0")</f>
        <v>0.4</v>
      </c>
      <c r="AT32" s="14">
        <f>IFERROR(INDEX(WRstats3[RecTD],MATCH(WRmatchups[[#This Row],[Name]],WRstats3[Player],0)),"0")</f>
        <v>0.5</v>
      </c>
      <c r="AU32" s="32">
        <f>IFERROR(INDEX(WRallowed[TD],MATCH(WRmatchups[[#This Row],[Opp]],WRallowed[Team],0)),"0")*0.5</f>
        <v>0</v>
      </c>
      <c r="AV32" s="14" t="str">
        <f>IFERROR(INDEX(WRstats2[RushAtt],MATCH(WRmatchups[[#This Row],[Name]],WRstats2[Player],0)),"0")</f>
        <v>0.4</v>
      </c>
      <c r="AW32" s="14">
        <f>IFERROR(INDEX(WRstats3[RushATT],MATCH(WRmatchups[[#This Row],[Name]],WRstats3[Player],0)),"0")</f>
        <v>0.3</v>
      </c>
      <c r="AX32" s="14" t="str">
        <f>IFERROR(INDEX(WRstats2[RushYards],MATCH(WRmatchups[[#This Row],[Name]],WRstats2[Player],0)),"0")</f>
        <v>0.2</v>
      </c>
      <c r="AY32" s="14">
        <f>IFERROR(INDEX(WRstats3[RushYards],MATCH(WRmatchups[[#This Row],[Name]],WRstats3[Player],0)),"0")</f>
        <v>1.7</v>
      </c>
      <c r="AZ32" s="14" t="str">
        <f>IFERROR(INDEX(WRstats2[RushTD],MATCH(WRmatchups[[#This Row],[Name]],WRstats2[Player],0)),"0")</f>
        <v>0</v>
      </c>
      <c r="BA32" s="14">
        <f>IFERROR(INDEX(WRstats3[RushTD],MATCH(WRmatchups[[#This Row],[Name]],WRstats3[Player],0)),"0")</f>
        <v>0</v>
      </c>
      <c r="BB32" s="264">
        <f>IF(WRmatchups[[#This Row],[Yards]]&gt;=100,3,0)</f>
        <v>0</v>
      </c>
      <c r="BC32" s="191" t="str">
        <f>IFERROR(INDEX(#REF!,MATCH(WRmatchups[Name],#REF!,0)),"0")</f>
        <v>0</v>
      </c>
      <c r="BD32" s="494">
        <f>WRmatchups[[#This Row],[Targets]]/WRmatchups[[#This Row],[Salary]]*100</f>
        <v>0.45312499999999994</v>
      </c>
    </row>
    <row r="33" spans="1:56" ht="15" thickBot="1" x14ac:dyDescent="0.35">
      <c r="A33" s="37">
        <f>WRstats1!AL34</f>
        <v>11.1</v>
      </c>
      <c r="B33" s="5" t="str">
        <f>WRstats1!D34</f>
        <v>Willie Snead</v>
      </c>
      <c r="C33" s="172">
        <f>IFERROR(INDEX(Salaries[DraftKings (Price)],MATCH(WRmatchups[[#This Row],[Name]],Salaries[Player],0)),"")</f>
        <v>6600</v>
      </c>
      <c r="D33" s="172">
        <f>IFERROR(INDEX(DK_Salary_Changes[WeekChange],MATCH(WRmatchups[[#This Row],[Name]],DK_Salary_Changes[Player],0)),"")</f>
        <v>100</v>
      </c>
      <c r="E33" s="14" t="str">
        <f>IFERROR(INDEX(Salaries[Team],MATCH(WRmatchups[[#This Row],[Name]],Salaries[Player],0)),"")</f>
        <v>NO</v>
      </c>
      <c r="F33" s="460" t="str">
        <f>IFERROR(INDEX(Salaries[Opp],MATCH(WRmatchups[[#This Row],[Team]],Salaries[Team],0)),"")</f>
        <v>@SD</v>
      </c>
      <c r="G33" s="476">
        <f>IFERROR(INDEX(WRYTD[Rec],MATCH(WRmatchups[Name],WRYTD[Player],0)),"0")</f>
        <v>14</v>
      </c>
      <c r="H33" s="458">
        <f>IFERROR(INDEX(targettracker54[TTL],MATCH(WRmatchups[Name],targettracker54[Name],0)),"")</f>
        <v>17</v>
      </c>
      <c r="I33" s="475">
        <f>IFERROR(INDEX(WRYTD[Rec Yds],MATCH(WRmatchups[Name],WRYTD[Player],0)),"0")</f>
        <v>226</v>
      </c>
      <c r="J33" s="477">
        <f>IFERROR(INDEX(WRYTD[Rec TD],MATCH(WRmatchups[Name],WRYTD[Player],0)),"0")</f>
        <v>2</v>
      </c>
      <c r="K33" s="473">
        <f>IFERROR(INDEX(Salaries[O/U],MATCH(WRmatchups[[#This Row],[Team]],Salaries[Team],0)),"")</f>
        <v>53.5</v>
      </c>
      <c r="L33" s="32">
        <f>IFERROR(INDEX(Salaries[Team O/U],MATCH(WRmatchups[[#This Row],[Team]],Salaries[Team],0)),"")</f>
        <v>24.75</v>
      </c>
      <c r="M33" s="417">
        <f>IFERROR(INDEX(Salaries[Spread],MATCH(WRmatchups[[#This Row],[Team]],Salaries[Team],0)),"")</f>
        <v>4</v>
      </c>
      <c r="N33" s="424">
        <f>IFERROR(INDEX(WRallowed[DVP],MATCH(WRmatchups[[#This Row],[Opp]],WRallowed[Team],0)),IFERROR(INDEX(WRallowed[DVP],MATCH(WRmatchups[[#This Row],[Opp]],WRallowed[Opp],0)),""))</f>
        <v>4</v>
      </c>
      <c r="O33" s="17">
        <f>IFERROR(INDEX(YAtCData[YAtC],MATCH(WRmatchups[[#This Row],[Name]],YAtCData[Player],0)),"0")</f>
        <v>152</v>
      </c>
      <c r="P33" s="497">
        <f>IFERROR(INDEX(YAtCData[YAtC/Rec],MATCH(WRmatchups[[#This Row],[Name]],YAtCData[Player],0)),"0")</f>
        <v>10.86</v>
      </c>
      <c r="Q33" s="17">
        <f>IFERROR(INDEX(YAtCData[YAC],MATCH(WRmatchups[[#This Row],[Name]],YAtCData[Player],0)),"0")</f>
        <v>74</v>
      </c>
      <c r="R33" s="497">
        <f>IFERROR(INDEX(YACDATA[YAC per Reception],MATCH(WRmatchups[[#This Row],[Name]],YACDATA[Player],0)),"0")</f>
        <v>5.3</v>
      </c>
      <c r="S33" s="418">
        <f>AVERAGE(WRmatchups[[#This Row],[Tar1]:[Tar3]])</f>
        <v>7.2</v>
      </c>
      <c r="T33" s="464">
        <f>AVERAGE(WRmatchups[[#This Row],[Rec1]:[Rec3]])</f>
        <v>4.9419999999999993</v>
      </c>
      <c r="U33" s="468">
        <f>SUM(WRmatchups[[#This Row],[Rec4]]/WRmatchups[[#This Row],[Targets2]])</f>
        <v>0.68638888888888883</v>
      </c>
      <c r="V33" s="417">
        <f>AVERAGE(WRmatchups[[#This Row],[Yards1]:[Yards3]])</f>
        <v>68.21833333333332</v>
      </c>
      <c r="W33" s="461">
        <f>SUM(WRmatchups[[#This Row],[Yards]]/WRmatchups[[#This Row],[Targets2]])</f>
        <v>9.4747685185185162</v>
      </c>
      <c r="X33" s="32">
        <f>AVERAGE(WRmatchups[[#This Row],[TD1]:[TD3]])</f>
        <v>0.41300000000000003</v>
      </c>
      <c r="Y33" s="14">
        <f>_xlfn.RANK.EQ(WRmatchups[[#This Row],[Projection]],WRmatchups[Projection],0)</f>
        <v>23</v>
      </c>
      <c r="Z33" s="19">
        <f>SUM(WRmatchups[[#This Row],[Yards]]*0.1)+(WRmatchups[[#This Row],[RecTD5]]*6)+(WRmatchups[[#This Row],[Rec4]]*1)+(WRmatchups[[#This Row],[100+]])</f>
        <v>14.241833333333332</v>
      </c>
      <c r="AA33" s="8">
        <f>_xlfn.RANK.EQ(WRmatchups[[#This Row],[$/FP]],WRmatchups[$/FP],1)</f>
        <v>59</v>
      </c>
      <c r="AB33" s="23">
        <f>SUM(WRmatchups[[#This Row],[Salary]]/WRmatchups[[#This Row],[Projection]])</f>
        <v>463.42348246363417</v>
      </c>
      <c r="AC33" s="241">
        <f>_xlfn.RANK.EQ(WRmatchups[[#This Row],[Average]],WRmatchups[Average],1)</f>
        <v>40</v>
      </c>
      <c r="AD33" s="241">
        <f>AVERAGE(WRmatchups[[#This Row],[Proj Rank]],WRmatchups[[#This Row],[Value Rank]])</f>
        <v>41</v>
      </c>
      <c r="AE33" s="210">
        <f>WRmatchups[[#This Row],[Salary]]/50000</f>
        <v>0.13200000000000001</v>
      </c>
      <c r="AF33" s="214"/>
      <c r="AG33" s="14">
        <f>IFERROR(INDEX(WRstats3[Targets],MATCH(WRmatchups[[#This Row],[Name]],WRstats3[Player],0)),"0")</f>
        <v>7.2</v>
      </c>
      <c r="AH33" s="14" t="str">
        <f>IFERROR(INDEX(WRstats2[Targets],MATCH(WRmatchups[[#This Row],[Name]],WRstats2[Player],0)),"0")</f>
        <v>0</v>
      </c>
      <c r="AI33" s="14">
        <f>IFERROR(INDEX(WRstats3[Targets],MATCH(WRmatchups[[#This Row],[Name]],WRstats3[Player],0)),"0")</f>
        <v>7.2</v>
      </c>
      <c r="AJ33" s="14">
        <f>IFERROR(INDEX(WRstats1[Rec],MATCH(WRmatchups[[#This Row],[Name]],WRstats1[Player],0)),"0")</f>
        <v>4.9260000000000002</v>
      </c>
      <c r="AK33" s="14">
        <f>IFERROR(INDEX(WRstats2[Rec],MATCH(WRmatchups[[#This Row],[Name]],WRstats2[Player],0)),"0")</f>
        <v>4.8</v>
      </c>
      <c r="AL33" s="14">
        <f>IFERROR(INDEX(WRstats3[Rec],MATCH(WRmatchups[[#This Row],[Name]],WRstats3[Player],0)),"0")</f>
        <v>5.0999999999999996</v>
      </c>
      <c r="AM33" s="32" t="str">
        <f>IFERROR(INDEX(WRallowed[Rec],MATCH(WRmatchups[[#This Row],[Opp]],WRallowed[Team],0)),"0")</f>
        <v>0</v>
      </c>
      <c r="AN33" s="14">
        <f>IFERROR(INDEX(WRstats1[Rec Yds],MATCH(WRmatchups[[#This Row],[Name]],WRstats1[Player],0)),"0")</f>
        <v>61.354999999999997</v>
      </c>
      <c r="AO33" s="14">
        <f>IFERROR(INDEX(WRstats2[RecYards],MATCH(WRmatchups[[#This Row],[Name]],WRstats2[Player],0)),"0")</f>
        <v>69</v>
      </c>
      <c r="AP33" s="14">
        <f>IFERROR(INDEX(WRstats3[RecYards],MATCH(WRmatchups[[#This Row],[Name]],WRstats3[Player],0)),"0")</f>
        <v>74.3</v>
      </c>
      <c r="AQ33" s="32" t="str">
        <f>IFERROR(INDEX(WRallowed[Yard],MATCH(WRmatchups[[#This Row],[Opp]],WRallowed[Team],0)),"0")</f>
        <v>0</v>
      </c>
      <c r="AR33" s="14">
        <f>IFERROR(INDEX(WRstats1[Rec TD],MATCH(WRmatchups[[#This Row],[Name]],WRstats1[Player],0)),"0")</f>
        <v>0.42599999999999999</v>
      </c>
      <c r="AS33" s="14" t="str">
        <f>IFERROR(INDEX(WRstats2[RecTD],MATCH(WRmatchups[[#This Row],[Name]],WRstats2[Player],0)),"0")</f>
        <v>0.5</v>
      </c>
      <c r="AT33" s="14">
        <f>IFERROR(INDEX(WRstats3[RecTD],MATCH(WRmatchups[[#This Row],[Name]],WRstats3[Player],0)),"0")</f>
        <v>0.4</v>
      </c>
      <c r="AU33" s="32">
        <f>IFERROR(INDEX(WRallowed[TD],MATCH(WRmatchups[[#This Row],[Opp]],WRallowed[Team],0)),"0")*0.5</f>
        <v>0</v>
      </c>
      <c r="AV33" s="14" t="str">
        <f>IFERROR(INDEX(WRstats2[RushAtt],MATCH(WRmatchups[[#This Row],[Name]],WRstats2[Player],0)),"0")</f>
        <v>0.5</v>
      </c>
      <c r="AW33" s="14">
        <f>IFERROR(INDEX(WRstats3[RushATT],MATCH(WRmatchups[[#This Row],[Name]],WRstats3[Player],0)),"0")</f>
        <v>0</v>
      </c>
      <c r="AX33" s="14" t="str">
        <f>IFERROR(INDEX(WRstats2[RushYards],MATCH(WRmatchups[[#This Row],[Name]],WRstats2[Player],0)),"0")</f>
        <v>0</v>
      </c>
      <c r="AY33" s="14">
        <f>IFERROR(INDEX(WRstats3[RushYards],MATCH(WRmatchups[[#This Row],[Name]],WRstats3[Player],0)),"0")</f>
        <v>0</v>
      </c>
      <c r="AZ33" s="14" t="str">
        <f>IFERROR(INDEX(WRstats2[RushTD],MATCH(WRmatchups[[#This Row],[Name]],WRstats2[Player],0)),"0")</f>
        <v>0</v>
      </c>
      <c r="BA33" s="14">
        <f>IFERROR(INDEX(WRstats3[RushTD],MATCH(WRmatchups[[#This Row],[Name]],WRstats3[Player],0)),"0")</f>
        <v>0</v>
      </c>
      <c r="BB33" s="264">
        <f>IF(WRmatchups[[#This Row],[Yards]]&gt;=100,3,0)</f>
        <v>0</v>
      </c>
      <c r="BC33" s="191" t="str">
        <f>IFERROR(INDEX(#REF!,MATCH(WRmatchups[Name],#REF!,0)),"0")</f>
        <v>0</v>
      </c>
      <c r="BD33" s="494">
        <f>WRmatchups[[#This Row],[Targets]]/WRmatchups[[#This Row],[Salary]]*100</f>
        <v>0.25757575757575757</v>
      </c>
    </row>
    <row r="34" spans="1:56" ht="15" thickBot="1" x14ac:dyDescent="0.35">
      <c r="A34" s="37">
        <f>WRstats1!AL30</f>
        <v>11.6</v>
      </c>
      <c r="B34" s="5" t="str">
        <f>WRstats1!D30</f>
        <v>Julian Edelman</v>
      </c>
      <c r="C34" s="172">
        <f>IFERROR(INDEX(Salaries[DraftKings (Price)],MATCH(WRmatchups[[#This Row],[Name]],Salaries[Player],0)),"")</f>
        <v>5800</v>
      </c>
      <c r="D34" s="172">
        <f>IFERROR(INDEX(DK_Salary_Changes[WeekChange],MATCH(WRmatchups[[#This Row],[Name]],DK_Salary_Changes[Player],0)),"")</f>
        <v>-600</v>
      </c>
      <c r="E34" s="14" t="str">
        <f>IFERROR(INDEX(Salaries[Team],MATCH(WRmatchups[[#This Row],[Name]],Salaries[Player],0)),"")</f>
        <v>NE</v>
      </c>
      <c r="F34" s="460" t="str">
        <f>IFERROR(INDEX(Salaries[Opp],MATCH(WRmatchups[[#This Row],[Team]],Salaries[Team],0)),"")</f>
        <v>BUF</v>
      </c>
      <c r="G34" s="476">
        <f>IFERROR(INDEX(WRYTD[Rec],MATCH(WRmatchups[Name],WRYTD[Player],0)),"0")</f>
        <v>18</v>
      </c>
      <c r="H34" s="458">
        <f>IFERROR(INDEX(targettracker54[TTL],MATCH(WRmatchups[Name],targettracker54[Name],0)),"")</f>
        <v>24</v>
      </c>
      <c r="I34" s="475">
        <f>IFERROR(INDEX(WRYTD[Rec Yds],MATCH(WRmatchups[Name],WRYTD[Player],0)),"0")</f>
        <v>180</v>
      </c>
      <c r="J34" s="477">
        <f>IFERROR(INDEX(WRYTD[Rec TD],MATCH(WRmatchups[Name],WRYTD[Player],0)),"0")</f>
        <v>0</v>
      </c>
      <c r="K34" s="473">
        <f>IFERROR(INDEX(Salaries[O/U],MATCH(WRmatchups[[#This Row],[Team]],Salaries[Team],0)),"")</f>
        <v>44</v>
      </c>
      <c r="L34" s="32">
        <f>IFERROR(INDEX(Salaries[Team O/U],MATCH(WRmatchups[[#This Row],[Team]],Salaries[Team],0)),"")</f>
        <v>24.25</v>
      </c>
      <c r="M34" s="417">
        <f>IFERROR(INDEX(Salaries[Spread],MATCH(WRmatchups[[#This Row],[Team]],Salaries[Team],0)),"")</f>
        <v>-4.5</v>
      </c>
      <c r="N34" s="424">
        <f>IFERROR(INDEX(WRallowed[DVP],MATCH(WRmatchups[[#This Row],[Opp]],WRallowed[Team],0)),IFERROR(INDEX(WRallowed[DVP],MATCH(WRmatchups[[#This Row],[Opp]],WRallowed[Opp],0)),""))</f>
        <v>23</v>
      </c>
      <c r="O34" s="17">
        <f>IFERROR(INDEX(YAtCData[YAtC],MATCH(WRmatchups[[#This Row],[Name]],YAtCData[Player],0)),"0")</f>
        <v>88</v>
      </c>
      <c r="P34" s="497">
        <f>IFERROR(INDEX(YAtCData[YAtC/Rec],MATCH(WRmatchups[[#This Row],[Name]],YAtCData[Player],0)),"0")</f>
        <v>4.8899999999999997</v>
      </c>
      <c r="Q34" s="17">
        <f>IFERROR(INDEX(YAtCData[YAC],MATCH(WRmatchups[[#This Row],[Name]],YAtCData[Player],0)),"0")</f>
        <v>92</v>
      </c>
      <c r="R34" s="497">
        <f>IFERROR(INDEX(YACDATA[YAC per Reception],MATCH(WRmatchups[[#This Row],[Name]],YACDATA[Player],0)),"0")</f>
        <v>5.0999999999999996</v>
      </c>
      <c r="S34" s="418">
        <f>AVERAGE(WRmatchups[[#This Row],[Tar1]:[Tar3]])</f>
        <v>8</v>
      </c>
      <c r="T34" s="464">
        <f>AVERAGE(WRmatchups[[#This Row],[Rec1]:[Rec3]])</f>
        <v>5.4749999999999988</v>
      </c>
      <c r="U34" s="468">
        <f>SUM(WRmatchups[[#This Row],[Rec4]]/WRmatchups[[#This Row],[Targets2]])</f>
        <v>0.68437499999999984</v>
      </c>
      <c r="V34" s="417">
        <f>AVERAGE(WRmatchups[[#This Row],[Yards1]:[Yards3]])</f>
        <v>60.402999999999999</v>
      </c>
      <c r="W34" s="461">
        <f>SUM(WRmatchups[[#This Row],[Yards]]/WRmatchups[[#This Row],[Targets2]])</f>
        <v>7.5503749999999998</v>
      </c>
      <c r="X34" s="32">
        <f>AVERAGE(WRmatchups[[#This Row],[TD1]:[TD3]])</f>
        <v>0.41700000000000004</v>
      </c>
      <c r="Y34" s="14">
        <f>_xlfn.RANK.EQ(WRmatchups[[#This Row],[Projection]],WRmatchups[Projection],0)</f>
        <v>24</v>
      </c>
      <c r="Z34" s="19">
        <f>SUM(WRmatchups[[#This Row],[Yards]]*0.1)+(WRmatchups[[#This Row],[RecTD5]]*6)+(WRmatchups[[#This Row],[Rec4]]*1)+(WRmatchups[[#This Row],[100+]])</f>
        <v>14.017299999999999</v>
      </c>
      <c r="AA34" s="8">
        <f>_xlfn.RANK.EQ(WRmatchups[[#This Row],[$/FP]],WRmatchups[$/FP],1)</f>
        <v>32</v>
      </c>
      <c r="AB34" s="23">
        <f>SUM(WRmatchups[[#This Row],[Salary]]/WRmatchups[[#This Row],[Projection]])</f>
        <v>413.77440733950192</v>
      </c>
      <c r="AC34" s="241">
        <f>_xlfn.RANK.EQ(WRmatchups[[#This Row],[Average]],WRmatchups[Average],1)</f>
        <v>22</v>
      </c>
      <c r="AD34" s="241">
        <f>AVERAGE(WRmatchups[[#This Row],[Proj Rank]],WRmatchups[[#This Row],[Value Rank]])</f>
        <v>28</v>
      </c>
      <c r="AE34" s="210">
        <f>WRmatchups[[#This Row],[Salary]]/50000</f>
        <v>0.11600000000000001</v>
      </c>
      <c r="AF34" s="214"/>
      <c r="AG34" s="14">
        <f>IFERROR(INDEX(WRstats3[Targets],MATCH(WRmatchups[[#This Row],[Name]],WRstats3[Player],0)),"0")</f>
        <v>8</v>
      </c>
      <c r="AH34" s="14" t="str">
        <f>IFERROR(INDEX(WRstats2[Targets],MATCH(WRmatchups[[#This Row],[Name]],WRstats2[Player],0)),"0")</f>
        <v>0</v>
      </c>
      <c r="AI34" s="14">
        <f>IFERROR(INDEX(WRstats3[Targets],MATCH(WRmatchups[[#This Row],[Name]],WRstats3[Player],0)),"0")</f>
        <v>8</v>
      </c>
      <c r="AJ34" s="14">
        <f>IFERROR(INDEX(WRstats1[Rec],MATCH(WRmatchups[[#This Row],[Name]],WRstats1[Player],0)),"0")</f>
        <v>5.4249999999999998</v>
      </c>
      <c r="AK34" s="14">
        <f>IFERROR(INDEX(WRstats2[Rec],MATCH(WRmatchups[[#This Row],[Name]],WRstats2[Player],0)),"0")</f>
        <v>5.4</v>
      </c>
      <c r="AL34" s="14">
        <f>IFERROR(INDEX(WRstats3[Rec],MATCH(WRmatchups[[#This Row],[Name]],WRstats3[Player],0)),"0")</f>
        <v>5.6</v>
      </c>
      <c r="AM34" s="32">
        <f>IFERROR(INDEX(WRallowed[Rec],MATCH(WRmatchups[[#This Row],[Opp]],WRallowed[Team],0)),"0")</f>
        <v>11.5625</v>
      </c>
      <c r="AN34" s="14">
        <f>IFERROR(INDEX(WRstats1[Rec Yds],MATCH(WRmatchups[[#This Row],[Name]],WRstats1[Player],0)),"0")</f>
        <v>61.808999999999997</v>
      </c>
      <c r="AO34" s="14">
        <f>IFERROR(INDEX(WRstats2[RecYards],MATCH(WRmatchups[[#This Row],[Name]],WRstats2[Player],0)),"0")</f>
        <v>66.2</v>
      </c>
      <c r="AP34" s="14">
        <f>IFERROR(INDEX(WRstats3[RecYards],MATCH(WRmatchups[[#This Row],[Name]],WRstats3[Player],0)),"0")</f>
        <v>53.2</v>
      </c>
      <c r="AQ34" s="32">
        <f>IFERROR(INDEX(WRallowed[Yard],MATCH(WRmatchups[[#This Row],[Opp]],WRallowed[Team],0)),"0")</f>
        <v>176.125</v>
      </c>
      <c r="AR34" s="14">
        <f>IFERROR(INDEX(WRstats1[Rec TD],MATCH(WRmatchups[[#This Row],[Name]],WRstats1[Player],0)),"0")</f>
        <v>0.33400000000000002</v>
      </c>
      <c r="AS34" s="14" t="str">
        <f>IFERROR(INDEX(WRstats2[RecTD],MATCH(WRmatchups[[#This Row],[Name]],WRstats2[Player],0)),"0")</f>
        <v>0.4</v>
      </c>
      <c r="AT34" s="14">
        <f>IFERROR(INDEX(WRstats3[RecTD],MATCH(WRmatchups[[#This Row],[Name]],WRstats3[Player],0)),"0")</f>
        <v>0.5</v>
      </c>
      <c r="AU34" s="32">
        <f>IFERROR(INDEX(WRallowed[TD],MATCH(WRmatchups[[#This Row],[Opp]],WRallowed[Team],0)),"0")*0.5</f>
        <v>0.71875</v>
      </c>
      <c r="AV34" s="14" t="str">
        <f>IFERROR(INDEX(WRstats2[RushAtt],MATCH(WRmatchups[[#This Row],[Name]],WRstats2[Player],0)),"0")</f>
        <v>0.4</v>
      </c>
      <c r="AW34" s="14">
        <f>IFERROR(INDEX(WRstats3[RushATT],MATCH(WRmatchups[[#This Row],[Name]],WRstats3[Player],0)),"0")</f>
        <v>0.2</v>
      </c>
      <c r="AX34" s="14">
        <f>IFERROR(INDEX(WRstats2[RushYards],MATCH(WRmatchups[[#This Row],[Name]],WRstats2[Player],0)),"0")</f>
        <v>3.8</v>
      </c>
      <c r="AY34" s="14">
        <f>IFERROR(INDEX(WRstats3[RushYards],MATCH(WRmatchups[[#This Row],[Name]],WRstats3[Player],0)),"0")</f>
        <v>1.4</v>
      </c>
      <c r="AZ34" s="14" t="str">
        <f>IFERROR(INDEX(WRstats2[RushTD],MATCH(WRmatchups[[#This Row],[Name]],WRstats2[Player],0)),"0")</f>
        <v>0</v>
      </c>
      <c r="BA34" s="14">
        <f>IFERROR(INDEX(WRstats3[RushTD],MATCH(WRmatchups[[#This Row],[Name]],WRstats3[Player],0)),"0")</f>
        <v>0</v>
      </c>
      <c r="BB34" s="264">
        <f>IF(WRmatchups[[#This Row],[Yards]]&gt;=100,3,0)</f>
        <v>0</v>
      </c>
      <c r="BC34" s="191" t="str">
        <f>IFERROR(INDEX(#REF!,MATCH(WRmatchups[Name],#REF!,0)),"0")</f>
        <v>0</v>
      </c>
      <c r="BD34" s="494">
        <f>WRmatchups[[#This Row],[Targets]]/WRmatchups[[#This Row],[Salary]]*100</f>
        <v>0.41379310344827586</v>
      </c>
    </row>
    <row r="35" spans="1:56" ht="15" thickBot="1" x14ac:dyDescent="0.35">
      <c r="A35" s="37">
        <f>WRstats1!AL41</f>
        <v>9.3000000000000007</v>
      </c>
      <c r="B35" s="5" t="str">
        <f>WRstats1!D41</f>
        <v>Brandon Marshall</v>
      </c>
      <c r="C35" s="172">
        <f>IFERROR(INDEX(Salaries[DraftKings (Price)],MATCH(WRmatchups[[#This Row],[Name]],Salaries[Player],0)),"")</f>
        <v>7000</v>
      </c>
      <c r="D35" s="172">
        <f>IFERROR(INDEX(DK_Salary_Changes[WeekChange],MATCH(WRmatchups[[#This Row],[Name]],DK_Salary_Changes[Player],0)),"")</f>
        <v>-300</v>
      </c>
      <c r="E35" s="14" t="str">
        <f>IFERROR(INDEX(Salaries[Team],MATCH(WRmatchups[[#This Row],[Name]],Salaries[Player],0)),"")</f>
        <v>NYJ</v>
      </c>
      <c r="F35" s="460" t="str">
        <f>IFERROR(INDEX(Salaries[Opp],MATCH(WRmatchups[[#This Row],[Team]],Salaries[Team],0)),"")</f>
        <v>SEA</v>
      </c>
      <c r="G35" s="476">
        <f>IFERROR(INDEX(WRYTD[Rec],MATCH(WRmatchups[Name],WRYTD[Player],0)),"0")</f>
        <v>12</v>
      </c>
      <c r="H35" s="458">
        <f>IFERROR(INDEX(targettracker54[TTL],MATCH(WRmatchups[Name],targettracker54[Name],0)),"")</f>
        <v>27</v>
      </c>
      <c r="I35" s="475">
        <f>IFERROR(INDEX(WRYTD[Rec Yds],MATCH(WRmatchups[Name],WRYTD[Player],0)),"0")</f>
        <v>160</v>
      </c>
      <c r="J35" s="477">
        <f>IFERROR(INDEX(WRYTD[Rec TD],MATCH(WRmatchups[Name],WRYTD[Player],0)),"0")</f>
        <v>0</v>
      </c>
      <c r="K35" s="473">
        <f>IFERROR(INDEX(Salaries[O/U],MATCH(WRmatchups[[#This Row],[Team]],Salaries[Team],0)),"")</f>
        <v>40.5</v>
      </c>
      <c r="L35" s="32">
        <f>IFERROR(INDEX(Salaries[Team O/U],MATCH(WRmatchups[[#This Row],[Team]],Salaries[Team],0)),"")</f>
        <v>19.5</v>
      </c>
      <c r="M35" s="417">
        <f>IFERROR(INDEX(Salaries[Spread],MATCH(WRmatchups[[#This Row],[Team]],Salaries[Team],0)),"")</f>
        <v>1.5</v>
      </c>
      <c r="N35" s="424">
        <f>IFERROR(INDEX(WRallowed[DVP],MATCH(WRmatchups[[#This Row],[Opp]],WRallowed[Team],0)),IFERROR(INDEX(WRallowed[DVP],MATCH(WRmatchups[[#This Row],[Opp]],WRallowed[Opp],0)),""))</f>
        <v>3</v>
      </c>
      <c r="O35" s="17">
        <f>IFERROR(INDEX(YAtCData[YAtC],MATCH(WRmatchups[[#This Row],[Name]],YAtCData[Player],0)),"0")</f>
        <v>108</v>
      </c>
      <c r="P35" s="497">
        <f>IFERROR(INDEX(YAtCData[YAtC/Rec],MATCH(WRmatchups[[#This Row],[Name]],YAtCData[Player],0)),"0")</f>
        <v>9</v>
      </c>
      <c r="Q35" s="17">
        <f>IFERROR(INDEX(YAtCData[YAC],MATCH(WRmatchups[[#This Row],[Name]],YAtCData[Player],0)),"0")</f>
        <v>52</v>
      </c>
      <c r="R35" s="497">
        <f>IFERROR(INDEX(YACDATA[YAC per Reception],MATCH(WRmatchups[[#This Row],[Name]],YACDATA[Player],0)),"0")</f>
        <v>4.3</v>
      </c>
      <c r="S35" s="418">
        <f>AVERAGE(WRmatchups[[#This Row],[Tar1]:[Tar3]])</f>
        <v>8.8000000000000007</v>
      </c>
      <c r="T35" s="464">
        <f>AVERAGE(WRmatchups[[#This Row],[Rec1]:[Rec3]])</f>
        <v>4.9063333333333334</v>
      </c>
      <c r="U35" s="468">
        <f>SUM(WRmatchups[[#This Row],[Rec4]]/WRmatchups[[#This Row],[Targets2]])</f>
        <v>0.55753787878787875</v>
      </c>
      <c r="V35" s="417">
        <f>AVERAGE(WRmatchups[[#This Row],[Yards1]:[Yards3]])</f>
        <v>64.935666666666677</v>
      </c>
      <c r="W35" s="461">
        <f>SUM(WRmatchups[[#This Row],[Yards]]/WRmatchups[[#This Row],[Targets2]])</f>
        <v>7.3790530303030311</v>
      </c>
      <c r="X35" s="32">
        <f>AVERAGE(WRmatchups[[#This Row],[TD1]:[TD3]])</f>
        <v>0.41149999999999998</v>
      </c>
      <c r="Y35" s="14">
        <f>_xlfn.RANK.EQ(WRmatchups[[#This Row],[Projection]],WRmatchups[Projection],0)</f>
        <v>25</v>
      </c>
      <c r="Z35" s="19">
        <f>SUM(WRmatchups[[#This Row],[Yards]]*0.1)+(WRmatchups[[#This Row],[RecTD5]]*6)+(WRmatchups[[#This Row],[Rec4]]*1)+(WRmatchups[[#This Row],[100+]])</f>
        <v>13.8689</v>
      </c>
      <c r="AA35" s="8">
        <f>_xlfn.RANK.EQ(WRmatchups[[#This Row],[$/FP]],WRmatchups[$/FP],1)</f>
        <v>73</v>
      </c>
      <c r="AB35" s="23">
        <f>SUM(WRmatchups[[#This Row],[Salary]]/WRmatchups[[#This Row],[Projection]])</f>
        <v>504.72640223810106</v>
      </c>
      <c r="AC35" s="241">
        <f>_xlfn.RANK.EQ(WRmatchups[[#This Row],[Average]],WRmatchups[Average],1)</f>
        <v>51</v>
      </c>
      <c r="AD35" s="241">
        <f>AVERAGE(WRmatchups[[#This Row],[Proj Rank]],WRmatchups[[#This Row],[Value Rank]])</f>
        <v>49</v>
      </c>
      <c r="AE35" s="210">
        <f>WRmatchups[[#This Row],[Salary]]/50000</f>
        <v>0.14000000000000001</v>
      </c>
      <c r="AF35" s="214"/>
      <c r="AG35" s="14">
        <f>IFERROR(INDEX(WRstats3[Targets],MATCH(WRmatchups[[#This Row],[Name]],WRstats3[Player],0)),"0")</f>
        <v>8.8000000000000007</v>
      </c>
      <c r="AH35" s="14" t="str">
        <f>IFERROR(INDEX(WRstats2[Targets],MATCH(WRmatchups[[#This Row],[Name]],WRstats2[Player],0)),"0")</f>
        <v>0</v>
      </c>
      <c r="AI35" s="14">
        <f>IFERROR(INDEX(WRstats3[Targets],MATCH(WRmatchups[[#This Row],[Name]],WRstats3[Player],0)),"0")</f>
        <v>8.8000000000000007</v>
      </c>
      <c r="AJ35" s="14">
        <f>IFERROR(INDEX(WRstats1[Rec],MATCH(WRmatchups[[#This Row],[Name]],WRstats1[Player],0)),"0")</f>
        <v>3.819</v>
      </c>
      <c r="AK35" s="14">
        <f>IFERROR(INDEX(WRstats2[Rec],MATCH(WRmatchups[[#This Row],[Name]],WRstats2[Player],0)),"0")</f>
        <v>5.3</v>
      </c>
      <c r="AL35" s="14">
        <f>IFERROR(INDEX(WRstats3[Rec],MATCH(WRmatchups[[#This Row],[Name]],WRstats3[Player],0)),"0")</f>
        <v>5.6</v>
      </c>
      <c r="AM35" s="32">
        <f>IFERROR(INDEX(WRallowed[Rec],MATCH(WRmatchups[[#This Row],[Opp]],WRallowed[Team],0)),"0")</f>
        <v>13</v>
      </c>
      <c r="AN35" s="14">
        <f>IFERROR(INDEX(WRstats1[Rec Yds],MATCH(WRmatchups[[#This Row],[Name]],WRstats1[Player],0)),"0")</f>
        <v>49.807000000000002</v>
      </c>
      <c r="AO35" s="14">
        <f>IFERROR(INDEX(WRstats2[RecYards],MATCH(WRmatchups[[#This Row],[Name]],WRstats2[Player],0)),"0")</f>
        <v>70.8</v>
      </c>
      <c r="AP35" s="14">
        <f>IFERROR(INDEX(WRstats3[RecYards],MATCH(WRmatchups[[#This Row],[Name]],WRstats3[Player],0)),"0")</f>
        <v>74.2</v>
      </c>
      <c r="AQ35" s="32">
        <f>IFERROR(INDEX(WRallowed[Yard],MATCH(WRmatchups[[#This Row],[Opp]],WRallowed[Team],0)),"0")</f>
        <v>148.5625</v>
      </c>
      <c r="AR35" s="14">
        <f>IFERROR(INDEX(WRstats1[Rec TD],MATCH(WRmatchups[[#This Row],[Name]],WRstats1[Player],0)),"0")</f>
        <v>0.42299999999999999</v>
      </c>
      <c r="AS35" s="14" t="str">
        <f>IFERROR(INDEX(WRstats2[RecTD],MATCH(WRmatchups[[#This Row],[Name]],WRstats2[Player],0)),"0")</f>
        <v>0.4</v>
      </c>
      <c r="AT35" s="14">
        <f>IFERROR(INDEX(WRstats3[RecTD],MATCH(WRmatchups[[#This Row],[Name]],WRstats3[Player],0)),"0")</f>
        <v>0.4</v>
      </c>
      <c r="AU35" s="32">
        <f>IFERROR(INDEX(WRallowed[TD],MATCH(WRmatchups[[#This Row],[Opp]],WRallowed[Team],0)),"0")*0.5</f>
        <v>0.375</v>
      </c>
      <c r="AV35" s="14" t="str">
        <f>IFERROR(INDEX(WRstats2[RushAtt],MATCH(WRmatchups[[#This Row],[Name]],WRstats2[Player],0)),"0")</f>
        <v>0.4</v>
      </c>
      <c r="AW35" s="14">
        <f>IFERROR(INDEX(WRstats3[RushATT],MATCH(WRmatchups[[#This Row],[Name]],WRstats3[Player],0)),"0")</f>
        <v>0</v>
      </c>
      <c r="AX35" s="14" t="str">
        <f>IFERROR(INDEX(WRstats2[RushYards],MATCH(WRmatchups[[#This Row],[Name]],WRstats2[Player],0)),"0")</f>
        <v>0</v>
      </c>
      <c r="AY35" s="14">
        <f>IFERROR(INDEX(WRstats3[RushYards],MATCH(WRmatchups[[#This Row],[Name]],WRstats3[Player],0)),"0")</f>
        <v>0</v>
      </c>
      <c r="AZ35" s="14" t="str">
        <f>IFERROR(INDEX(WRstats2[RushTD],MATCH(WRmatchups[[#This Row],[Name]],WRstats2[Player],0)),"0")</f>
        <v>0</v>
      </c>
      <c r="BA35" s="14">
        <f>IFERROR(INDEX(WRstats3[RushTD],MATCH(WRmatchups[[#This Row],[Name]],WRstats3[Player],0)),"0")</f>
        <v>0</v>
      </c>
      <c r="BB35" s="264">
        <f>IF(WRmatchups[[#This Row],[Yards]]&gt;=100,3,0)</f>
        <v>0</v>
      </c>
      <c r="BC35" s="191" t="str">
        <f>IFERROR(INDEX(#REF!,MATCH(WRmatchups[Name],#REF!,0)),"0")</f>
        <v>0</v>
      </c>
      <c r="BD35" s="494">
        <f>WRmatchups[[#This Row],[Targets]]/WRmatchups[[#This Row],[Salary]]*100</f>
        <v>0.38571428571428573</v>
      </c>
    </row>
    <row r="36" spans="1:56" ht="15" thickBot="1" x14ac:dyDescent="0.35">
      <c r="A36" s="37">
        <f>WRstats1!AL24</f>
        <v>13</v>
      </c>
      <c r="B36" s="5" t="str">
        <f>WRstats1!D24</f>
        <v>Terrelle Pryor</v>
      </c>
      <c r="C36" s="172">
        <f>IFERROR(INDEX(Salaries[DraftKings (Price)],MATCH(WRmatchups[[#This Row],[Name]],Salaries[Player],0)),"")</f>
        <v>4300</v>
      </c>
      <c r="D36" s="172">
        <f>IFERROR(INDEX(DK_Salary_Changes[WeekChange],MATCH(WRmatchups[[#This Row],[Name]],DK_Salary_Changes[Player],0)),"")</f>
        <v>900</v>
      </c>
      <c r="E36" s="14" t="str">
        <f>IFERROR(INDEX(Salaries[Team],MATCH(WRmatchups[[#This Row],[Name]],Salaries[Player],0)),"")</f>
        <v>CLE</v>
      </c>
      <c r="F36" s="460" t="str">
        <f>IFERROR(INDEX(Salaries[Opp],MATCH(WRmatchups[[#This Row],[Team]],Salaries[Team],0)),"")</f>
        <v>@WAS</v>
      </c>
      <c r="G36" s="476">
        <f>IFERROR(INDEX(WRYTD[Rec],MATCH(WRmatchups[Name],WRYTD[Player],0)),"0")</f>
        <v>14</v>
      </c>
      <c r="H36" s="458">
        <f>IFERROR(INDEX(targettracker54[TTL],MATCH(WRmatchups[Name],targettracker54[Name],0)),"")</f>
        <v>31</v>
      </c>
      <c r="I36" s="475">
        <f>IFERROR(INDEX(WRYTD[Rec Yds],MATCH(WRmatchups[Name],WRYTD[Player],0)),"0")</f>
        <v>244</v>
      </c>
      <c r="J36" s="477">
        <f>IFERROR(INDEX(WRYTD[Rec TD],MATCH(WRmatchups[Name],WRYTD[Player],0)),"0")</f>
        <v>0</v>
      </c>
      <c r="K36" s="473">
        <f>IFERROR(INDEX(Salaries[O/U],MATCH(WRmatchups[[#This Row],[Team]],Salaries[Team],0)),"")</f>
        <v>45.5</v>
      </c>
      <c r="L36" s="32">
        <f>IFERROR(INDEX(Salaries[Team O/U],MATCH(WRmatchups[[#This Row],[Team]],Salaries[Team],0)),"")</f>
        <v>18.75</v>
      </c>
      <c r="M36" s="417">
        <f>IFERROR(INDEX(Salaries[Spread],MATCH(WRmatchups[[#This Row],[Team]],Salaries[Team],0)),"")</f>
        <v>8</v>
      </c>
      <c r="N36" s="424">
        <f>IFERROR(INDEX(WRallowed[DVP],MATCH(WRmatchups[[#This Row],[Opp]],WRallowed[Team],0)),IFERROR(INDEX(WRallowed[DVP],MATCH(WRmatchups[[#This Row],[Opp]],WRallowed[Opp],0)),""))</f>
        <v>29</v>
      </c>
      <c r="O36" s="17" t="str">
        <f>IFERROR(INDEX(YAtCData[YAtC],MATCH(WRmatchups[[#This Row],[Name]],YAtCData[Player],0)),"0")</f>
        <v>0</v>
      </c>
      <c r="P36" s="497" t="str">
        <f>IFERROR(INDEX(YAtCData[YAtC/Rec],MATCH(WRmatchups[[#This Row],[Name]],YAtCData[Player],0)),"0")</f>
        <v>0</v>
      </c>
      <c r="Q36" s="17" t="str">
        <f>IFERROR(INDEX(YAtCData[YAC],MATCH(WRmatchups[[#This Row],[Name]],YAtCData[Player],0)),"0")</f>
        <v>0</v>
      </c>
      <c r="R36" s="497" t="str">
        <f>IFERROR(INDEX(YACDATA[YAC per Reception],MATCH(WRmatchups[[#This Row],[Name]],YACDATA[Player],0)),"0")</f>
        <v>0</v>
      </c>
      <c r="S36" s="418">
        <f>AVERAGE(WRmatchups[[#This Row],[Tar1]:[Tar3]])</f>
        <v>8.5</v>
      </c>
      <c r="T36" s="464">
        <f>AVERAGE(WRmatchups[[#This Row],[Rec1]:[Rec3]])</f>
        <v>4.9453333333333331</v>
      </c>
      <c r="U36" s="468">
        <f>SUM(WRmatchups[[#This Row],[Rec4]]/WRmatchups[[#This Row],[Targets2]])</f>
        <v>0.58180392156862748</v>
      </c>
      <c r="V36" s="417">
        <f>AVERAGE(WRmatchups[[#This Row],[Yards1]:[Yards3]])</f>
        <v>64.810999999999993</v>
      </c>
      <c r="W36" s="461">
        <f>SUM(WRmatchups[[#This Row],[Yards]]/WRmatchups[[#This Row],[Targets2]])</f>
        <v>7.6248235294117634</v>
      </c>
      <c r="X36" s="32">
        <f>AVERAGE(WRmatchups[[#This Row],[TD1]:[TD3]])</f>
        <v>0.38650000000000001</v>
      </c>
      <c r="Y36" s="14">
        <f>_xlfn.RANK.EQ(WRmatchups[[#This Row],[Projection]],WRmatchups[Projection],0)</f>
        <v>26</v>
      </c>
      <c r="Z36" s="19">
        <f>SUM(WRmatchups[[#This Row],[Yards]]*0.1)+(WRmatchups[[#This Row],[RecTD5]]*6)+(WRmatchups[[#This Row],[Rec4]]*1)+(WRmatchups[[#This Row],[100+]])</f>
        <v>13.745433333333335</v>
      </c>
      <c r="AA36" s="8">
        <f>_xlfn.RANK.EQ(WRmatchups[[#This Row],[$/FP]],WRmatchups[$/FP],1)</f>
        <v>3</v>
      </c>
      <c r="AB36" s="23">
        <f>SUM(WRmatchups[[#This Row],[Salary]]/WRmatchups[[#This Row],[Projection]])</f>
        <v>312.83117059483993</v>
      </c>
      <c r="AC36" s="241">
        <f>_xlfn.RANK.EQ(WRmatchups[[#This Row],[Average]],WRmatchups[Average],1)</f>
        <v>4</v>
      </c>
      <c r="AD36" s="241">
        <f>AVERAGE(WRmatchups[[#This Row],[Proj Rank]],WRmatchups[[#This Row],[Value Rank]])</f>
        <v>14.5</v>
      </c>
      <c r="AE36" s="210">
        <f>WRmatchups[[#This Row],[Salary]]/50000</f>
        <v>8.5999999999999993E-2</v>
      </c>
      <c r="AF36" s="214"/>
      <c r="AG36" s="14">
        <f>IFERROR(INDEX(WRstats3[Targets],MATCH(WRmatchups[[#This Row],[Name]],WRstats3[Player],0)),"0")</f>
        <v>8.5</v>
      </c>
      <c r="AH36" s="14" t="str">
        <f>IFERROR(INDEX(WRstats2[Targets],MATCH(WRmatchups[[#This Row],[Name]],WRstats2[Player],0)),"0")</f>
        <v>0</v>
      </c>
      <c r="AI36" s="14">
        <f>IFERROR(INDEX(WRstats3[Targets],MATCH(WRmatchups[[#This Row],[Name]],WRstats3[Player],0)),"0")</f>
        <v>8.5</v>
      </c>
      <c r="AJ36" s="14">
        <f>IFERROR(INDEX(WRstats1[Rec],MATCH(WRmatchups[[#This Row],[Name]],WRstats1[Player],0)),"0")</f>
        <v>5.2359999999999998</v>
      </c>
      <c r="AK36" s="14">
        <f>IFERROR(INDEX(WRstats2[Rec],MATCH(WRmatchups[[#This Row],[Name]],WRstats2[Player],0)),"0")</f>
        <v>4.5</v>
      </c>
      <c r="AL36" s="14">
        <f>IFERROR(INDEX(WRstats3[Rec],MATCH(WRmatchups[[#This Row],[Name]],WRstats3[Player],0)),"0")</f>
        <v>5.0999999999999996</v>
      </c>
      <c r="AM36" s="32" t="str">
        <f>IFERROR(INDEX(WRallowed[Rec],MATCH(WRmatchups[[#This Row],[Opp]],WRallowed[Team],0)),"0")</f>
        <v>0</v>
      </c>
      <c r="AN36" s="14">
        <f>IFERROR(INDEX(WRstats1[Rec Yds],MATCH(WRmatchups[[#This Row],[Name]],WRstats1[Player],0)),"0")</f>
        <v>74.332999999999998</v>
      </c>
      <c r="AO36" s="14">
        <f>IFERROR(INDEX(WRstats2[RecYards],MATCH(WRmatchups[[#This Row],[Name]],WRstats2[Player],0)),"0")</f>
        <v>62.6</v>
      </c>
      <c r="AP36" s="14">
        <f>IFERROR(INDEX(WRstats3[RecYards],MATCH(WRmatchups[[#This Row],[Name]],WRstats3[Player],0)),"0")</f>
        <v>57.5</v>
      </c>
      <c r="AQ36" s="32" t="str">
        <f>IFERROR(INDEX(WRallowed[Yard],MATCH(WRmatchups[[#This Row],[Opp]],WRallowed[Team],0)),"0")</f>
        <v>0</v>
      </c>
      <c r="AR36" s="14">
        <f>IFERROR(INDEX(WRstats1[Rec TD],MATCH(WRmatchups[[#This Row],[Name]],WRstats1[Player],0)),"0")</f>
        <v>0.373</v>
      </c>
      <c r="AS36" s="14" t="str">
        <f>IFERROR(INDEX(WRstats2[RecTD],MATCH(WRmatchups[[#This Row],[Name]],WRstats2[Player],0)),"0")</f>
        <v>0.1</v>
      </c>
      <c r="AT36" s="14">
        <f>IFERROR(INDEX(WRstats3[RecTD],MATCH(WRmatchups[[#This Row],[Name]],WRstats3[Player],0)),"0")</f>
        <v>0.4</v>
      </c>
      <c r="AU36" s="32">
        <f>IFERROR(INDEX(WRallowed[TD],MATCH(WRmatchups[[#This Row],[Opp]],WRallowed[Team],0)),"0")*0.5</f>
        <v>0</v>
      </c>
      <c r="AV36" s="14" t="str">
        <f>IFERROR(INDEX(WRstats2[RushAtt],MATCH(WRmatchups[[#This Row],[Name]],WRstats2[Player],0)),"0")</f>
        <v>0.1</v>
      </c>
      <c r="AW36" s="14">
        <f>IFERROR(INDEX(WRstats3[RushATT],MATCH(WRmatchups[[#This Row],[Name]],WRstats3[Player],0)),"0")</f>
        <v>1.4</v>
      </c>
      <c r="AX36" s="14">
        <f>IFERROR(INDEX(WRstats2[RushYards],MATCH(WRmatchups[[#This Row],[Name]],WRstats2[Player],0)),"0")</f>
        <v>2.6</v>
      </c>
      <c r="AY36" s="14">
        <f>IFERROR(INDEX(WRstats3[RushYards],MATCH(WRmatchups[[#This Row],[Name]],WRstats3[Player],0)),"0")</f>
        <v>4.5</v>
      </c>
      <c r="AZ36" s="14" t="str">
        <f>IFERROR(INDEX(WRstats2[RushTD],MATCH(WRmatchups[[#This Row],[Name]],WRstats2[Player],0)),"0")</f>
        <v>0</v>
      </c>
      <c r="BA36" s="14">
        <f>IFERROR(INDEX(WRstats3[RushTD],MATCH(WRmatchups[[#This Row],[Name]],WRstats3[Player],0)),"0")</f>
        <v>0</v>
      </c>
      <c r="BB36" s="264">
        <f>IF(WRmatchups[[#This Row],[Yards]]&gt;=100,3,0)</f>
        <v>0</v>
      </c>
      <c r="BC36" s="191" t="str">
        <f>IFERROR(INDEX(#REF!,MATCH(WRmatchups[Name],#REF!,0)),"0")</f>
        <v>0</v>
      </c>
      <c r="BD36" s="494">
        <f>WRmatchups[[#This Row],[Targets]]/WRmatchups[[#This Row],[Salary]]*100</f>
        <v>0.72093023255813948</v>
      </c>
    </row>
    <row r="37" spans="1:56" ht="15" thickBot="1" x14ac:dyDescent="0.35">
      <c r="A37" s="37">
        <f>WRstats1!AL32</f>
        <v>11.7</v>
      </c>
      <c r="B37" s="5" t="str">
        <f>WRstats1!D32</f>
        <v>Michael Crabtree</v>
      </c>
      <c r="C37" s="172">
        <f>IFERROR(INDEX(Salaries[DraftKings (Price)],MATCH(WRmatchups[[#This Row],[Name]],Salaries[Player],0)),"")</f>
        <v>6400</v>
      </c>
      <c r="D37" s="172">
        <f>IFERROR(INDEX(DK_Salary_Changes[WeekChange],MATCH(WRmatchups[[#This Row],[Name]],DK_Salary_Changes[Player],0)),"")</f>
        <v>400</v>
      </c>
      <c r="E37" s="14" t="str">
        <f>IFERROR(INDEX(Salaries[Team],MATCH(WRmatchups[[#This Row],[Name]],Salaries[Player],0)),"")</f>
        <v>OAK</v>
      </c>
      <c r="F37" s="460" t="str">
        <f>IFERROR(INDEX(Salaries[Opp],MATCH(WRmatchups[[#This Row],[Team]],Salaries[Team],0)),"")</f>
        <v>@BAL</v>
      </c>
      <c r="G37" s="476">
        <f>IFERROR(INDEX(WRYTD[Rec],MATCH(WRmatchups[Name],WRYTD[Player],0)),"0")</f>
        <v>19</v>
      </c>
      <c r="H37" s="458">
        <f>IFERROR(INDEX(targettracker54[TTL],MATCH(WRmatchups[Name],targettracker54[Name],0)),"")</f>
        <v>25</v>
      </c>
      <c r="I37" s="475">
        <f>IFERROR(INDEX(WRYTD[Rec Yds],MATCH(WRmatchups[Name],WRYTD[Player],0)),"0")</f>
        <v>220</v>
      </c>
      <c r="J37" s="477">
        <f>IFERROR(INDEX(WRYTD[Rec TD],MATCH(WRmatchups[Name],WRYTD[Player],0)),"0")</f>
        <v>1</v>
      </c>
      <c r="K37" s="473">
        <f>IFERROR(INDEX(Salaries[O/U],MATCH(WRmatchups[[#This Row],[Team]],Salaries[Team],0)),"")</f>
        <v>46.5</v>
      </c>
      <c r="L37" s="32">
        <f>IFERROR(INDEX(Salaries[Team O/U],MATCH(WRmatchups[[#This Row],[Team]],Salaries[Team],0)),"")</f>
        <v>21.5</v>
      </c>
      <c r="M37" s="417">
        <f>IFERROR(INDEX(Salaries[Spread],MATCH(WRmatchups[[#This Row],[Team]],Salaries[Team],0)),"")</f>
        <v>3.5</v>
      </c>
      <c r="N37" s="424">
        <f>IFERROR(INDEX(WRallowed[DVP],MATCH(WRmatchups[[#This Row],[Opp]],WRallowed[Team],0)),IFERROR(INDEX(WRallowed[DVP],MATCH(WRmatchups[[#This Row],[Opp]],WRallowed[Opp],0)),""))</f>
        <v>28</v>
      </c>
      <c r="O37" s="17">
        <f>IFERROR(INDEX(YAtCData[YAtC],MATCH(WRmatchups[[#This Row],[Name]],YAtCData[Player],0)),"0")</f>
        <v>157</v>
      </c>
      <c r="P37" s="497">
        <f>IFERROR(INDEX(YAtCData[YAtC/Rec],MATCH(WRmatchups[[#This Row],[Name]],YAtCData[Player],0)),"0")</f>
        <v>8.26</v>
      </c>
      <c r="Q37" s="17">
        <f>IFERROR(INDEX(YAtCData[YAC],MATCH(WRmatchups[[#This Row],[Name]],YAtCData[Player],0)),"0")</f>
        <v>63</v>
      </c>
      <c r="R37" s="497">
        <f>IFERROR(INDEX(YACDATA[YAC per Reception],MATCH(WRmatchups[[#This Row],[Name]],YACDATA[Player],0)),"0")</f>
        <v>3.3</v>
      </c>
      <c r="S37" s="418">
        <f>AVERAGE(WRmatchups[[#This Row],[Tar1]:[Tar3]])</f>
        <v>8.3000000000000007</v>
      </c>
      <c r="T37" s="464">
        <f>AVERAGE(WRmatchups[[#This Row],[Rec1]:[Rec3]])</f>
        <v>4.799666666666667</v>
      </c>
      <c r="U37" s="468">
        <f>SUM(WRmatchups[[#This Row],[Rec4]]/WRmatchups[[#This Row],[Targets2]])</f>
        <v>0.57827309236947788</v>
      </c>
      <c r="V37" s="417">
        <f>AVERAGE(WRmatchups[[#This Row],[Yards1]:[Yards3]])</f>
        <v>60.219666666666662</v>
      </c>
      <c r="W37" s="461">
        <f>SUM(WRmatchups[[#This Row],[Yards]]/WRmatchups[[#This Row],[Targets2]])</f>
        <v>7.2553815261044168</v>
      </c>
      <c r="X37" s="32">
        <f>AVERAGE(WRmatchups[[#This Row],[TD1]:[TD3]])</f>
        <v>0.48349999999999999</v>
      </c>
      <c r="Y37" s="14">
        <f>_xlfn.RANK.EQ(WRmatchups[[#This Row],[Projection]],WRmatchups[Projection],0)</f>
        <v>27</v>
      </c>
      <c r="Z37" s="19">
        <f>SUM(WRmatchups[[#This Row],[Yards]]*0.1)+(WRmatchups[[#This Row],[RecTD5]]*6)+(WRmatchups[[#This Row],[Rec4]]*1)+(WRmatchups[[#This Row],[100+]])</f>
        <v>13.722633333333334</v>
      </c>
      <c r="AA37" s="8">
        <f>_xlfn.RANK.EQ(WRmatchups[[#This Row],[$/FP]],WRmatchups[$/FP],1)</f>
        <v>62</v>
      </c>
      <c r="AB37" s="23">
        <f>SUM(WRmatchups[[#This Row],[Salary]]/WRmatchups[[#This Row],[Projection]])</f>
        <v>466.38278853184153</v>
      </c>
      <c r="AC37" s="241">
        <f>_xlfn.RANK.EQ(WRmatchups[[#This Row],[Average]],WRmatchups[Average],1)</f>
        <v>44</v>
      </c>
      <c r="AD37" s="241">
        <f>AVERAGE(WRmatchups[[#This Row],[Proj Rank]],WRmatchups[[#This Row],[Value Rank]])</f>
        <v>44.5</v>
      </c>
      <c r="AE37" s="210">
        <f>WRmatchups[[#This Row],[Salary]]/50000</f>
        <v>0.128</v>
      </c>
      <c r="AF37" s="214"/>
      <c r="AG37" s="14">
        <f>IFERROR(INDEX(WRstats3[Targets],MATCH(WRmatchups[[#This Row],[Name]],WRstats3[Player],0)),"0")</f>
        <v>8.3000000000000007</v>
      </c>
      <c r="AH37" s="14" t="str">
        <f>IFERROR(INDEX(WRstats2[Targets],MATCH(WRmatchups[[#This Row],[Name]],WRstats2[Player],0)),"0")</f>
        <v>0</v>
      </c>
      <c r="AI37" s="14">
        <f>IFERROR(INDEX(WRstats3[Targets],MATCH(WRmatchups[[#This Row],[Name]],WRstats3[Player],0)),"0")</f>
        <v>8.3000000000000007</v>
      </c>
      <c r="AJ37" s="14">
        <f>IFERROR(INDEX(WRstats1[Rec],MATCH(WRmatchups[[#This Row],[Name]],WRstats1[Player],0)),"0")</f>
        <v>5.7990000000000004</v>
      </c>
      <c r="AK37" s="14">
        <f>IFERROR(INDEX(WRstats2[Rec],MATCH(WRmatchups[[#This Row],[Name]],WRstats2[Player],0)),"0")</f>
        <v>3.8</v>
      </c>
      <c r="AL37" s="14">
        <f>IFERROR(INDEX(WRstats3[Rec],MATCH(WRmatchups[[#This Row],[Name]],WRstats3[Player],0)),"0")</f>
        <v>4.8</v>
      </c>
      <c r="AM37" s="32" t="str">
        <f>IFERROR(INDEX(WRallowed[Rec],MATCH(WRmatchups[[#This Row],[Opp]],WRallowed[Team],0)),"0")</f>
        <v>0</v>
      </c>
      <c r="AN37" s="14">
        <f>IFERROR(INDEX(WRstats1[Rec Yds],MATCH(WRmatchups[[#This Row],[Name]],WRstats1[Player],0)),"0")</f>
        <v>67.159000000000006</v>
      </c>
      <c r="AO37" s="14">
        <f>IFERROR(INDEX(WRstats2[RecYards],MATCH(WRmatchups[[#This Row],[Name]],WRstats2[Player],0)),"0")</f>
        <v>51.4</v>
      </c>
      <c r="AP37" s="14">
        <f>IFERROR(INDEX(WRstats3[RecYards],MATCH(WRmatchups[[#This Row],[Name]],WRstats3[Player],0)),"0")</f>
        <v>62.1</v>
      </c>
      <c r="AQ37" s="32" t="str">
        <f>IFERROR(INDEX(WRallowed[Yard],MATCH(WRmatchups[[#This Row],[Opp]],WRallowed[Team],0)),"0")</f>
        <v>0</v>
      </c>
      <c r="AR37" s="14">
        <f>IFERROR(INDEX(WRstats1[Rec TD],MATCH(WRmatchups[[#This Row],[Name]],WRstats1[Player],0)),"0")</f>
        <v>0.36699999999999999</v>
      </c>
      <c r="AS37" s="14" t="str">
        <f>IFERROR(INDEX(WRstats2[RecTD],MATCH(WRmatchups[[#This Row],[Name]],WRstats2[Player],0)),"0")</f>
        <v>0.4</v>
      </c>
      <c r="AT37" s="14">
        <f>IFERROR(INDEX(WRstats3[RecTD],MATCH(WRmatchups[[#This Row],[Name]],WRstats3[Player],0)),"0")</f>
        <v>0.6</v>
      </c>
      <c r="AU37" s="32">
        <f>IFERROR(INDEX(WRallowed[TD],MATCH(WRmatchups[[#This Row],[Opp]],WRallowed[Team],0)),"0")*0.5</f>
        <v>0</v>
      </c>
      <c r="AV37" s="14" t="str">
        <f>IFERROR(INDEX(WRstats2[RushAtt],MATCH(WRmatchups[[#This Row],[Name]],WRstats2[Player],0)),"0")</f>
        <v>0.4</v>
      </c>
      <c r="AW37" s="14">
        <f>IFERROR(INDEX(WRstats3[RushATT],MATCH(WRmatchups[[#This Row],[Name]],WRstats3[Player],0)),"0")</f>
        <v>0</v>
      </c>
      <c r="AX37" s="14" t="str">
        <f>IFERROR(INDEX(WRstats2[RushYards],MATCH(WRmatchups[[#This Row],[Name]],WRstats2[Player],0)),"0")</f>
        <v>0</v>
      </c>
      <c r="AY37" s="14">
        <f>IFERROR(INDEX(WRstats3[RushYards],MATCH(WRmatchups[[#This Row],[Name]],WRstats3[Player],0)),"0")</f>
        <v>0</v>
      </c>
      <c r="AZ37" s="14" t="str">
        <f>IFERROR(INDEX(WRstats2[RushTD],MATCH(WRmatchups[[#This Row],[Name]],WRstats2[Player],0)),"0")</f>
        <v>0</v>
      </c>
      <c r="BA37" s="14">
        <f>IFERROR(INDEX(WRstats3[RushTD],MATCH(WRmatchups[[#This Row],[Name]],WRstats3[Player],0)),"0")</f>
        <v>0</v>
      </c>
      <c r="BB37" s="264">
        <f>IF(WRmatchups[[#This Row],[Yards]]&gt;=100,3,0)</f>
        <v>0</v>
      </c>
      <c r="BC37" s="191" t="str">
        <f>IFERROR(INDEX(#REF!,MATCH(WRmatchups[Name],#REF!,0)),"0")</f>
        <v>0</v>
      </c>
      <c r="BD37" s="494">
        <f>WRmatchups[[#This Row],[Targets]]/WRmatchups[[#This Row],[Salary]]*100</f>
        <v>0.390625</v>
      </c>
    </row>
    <row r="38" spans="1:56" ht="15" thickBot="1" x14ac:dyDescent="0.35">
      <c r="A38" s="37">
        <f>WRstats1!AL37</f>
        <v>10.9</v>
      </c>
      <c r="B38" s="5" t="str">
        <f>WRstats1!D37</f>
        <v>Steve L Smith</v>
      </c>
      <c r="C38" s="172">
        <f>IFERROR(INDEX(Salaries[DraftKings (Price)],MATCH(WRmatchups[[#This Row],[Name]],Salaries[Player],0)),"")</f>
        <v>4500</v>
      </c>
      <c r="D38" s="172">
        <f>IFERROR(INDEX(DK_Salary_Changes[WeekChange],MATCH(WRmatchups[[#This Row],[Name]],DK_Salary_Changes[Player],0)),"")</f>
        <v>400</v>
      </c>
      <c r="E38" s="14" t="str">
        <f>IFERROR(INDEX(Salaries[Team],MATCH(WRmatchups[[#This Row],[Name]],Salaries[Player],0)),"")</f>
        <v>BAL</v>
      </c>
      <c r="F38" s="460" t="str">
        <f>IFERROR(INDEX(Salaries[Opp],MATCH(WRmatchups[[#This Row],[Team]],Salaries[Team],0)),"")</f>
        <v>OAK</v>
      </c>
      <c r="G38" s="476">
        <f>IFERROR(INDEX(WRYTD[Rec],MATCH(WRmatchups[Name],WRYTD[Player],0)),"0")</f>
        <v>16</v>
      </c>
      <c r="H38" s="458">
        <f>IFERROR(INDEX(targettracker54[TTL],MATCH(WRmatchups[Name],targettracker54[Name],0)),"")</f>
        <v>26</v>
      </c>
      <c r="I38" s="475">
        <f>IFERROR(INDEX(WRYTD[Rec Yds],MATCH(WRmatchups[Name],WRYTD[Player],0)),"0")</f>
        <v>170</v>
      </c>
      <c r="J38" s="477">
        <f>IFERROR(INDEX(WRYTD[Rec TD],MATCH(WRmatchups[Name],WRYTD[Player],0)),"0")</f>
        <v>0</v>
      </c>
      <c r="K38" s="473">
        <f>IFERROR(INDEX(Salaries[O/U],MATCH(WRmatchups[[#This Row],[Team]],Salaries[Team],0)),"")</f>
        <v>46.5</v>
      </c>
      <c r="L38" s="32">
        <f>IFERROR(INDEX(Salaries[Team O/U],MATCH(WRmatchups[[#This Row],[Team]],Salaries[Team],0)),"")</f>
        <v>25</v>
      </c>
      <c r="M38" s="417">
        <f>IFERROR(INDEX(Salaries[Spread],MATCH(WRmatchups[[#This Row],[Team]],Salaries[Team],0)),"")</f>
        <v>-3.5</v>
      </c>
      <c r="N38" s="424">
        <f>IFERROR(INDEX(WRallowed[DVP],MATCH(WRmatchups[[#This Row],[Opp]],WRallowed[Team],0)),IFERROR(INDEX(WRallowed[DVP],MATCH(WRmatchups[[#This Row],[Opp]],WRallowed[Opp],0)),""))</f>
        <v>13</v>
      </c>
      <c r="O38" s="17" t="str">
        <f>IFERROR(INDEX(YAtCData[YAtC],MATCH(WRmatchups[[#This Row],[Name]],YAtCData[Player],0)),"0")</f>
        <v>0</v>
      </c>
      <c r="P38" s="497" t="str">
        <f>IFERROR(INDEX(YAtCData[YAtC/Rec],MATCH(WRmatchups[[#This Row],[Name]],YAtCData[Player],0)),"0")</f>
        <v>0</v>
      </c>
      <c r="Q38" s="17" t="str">
        <f>IFERROR(INDEX(YAtCData[YAC],MATCH(WRmatchups[[#This Row],[Name]],YAtCData[Player],0)),"0")</f>
        <v>0</v>
      </c>
      <c r="R38" s="497" t="str">
        <f>IFERROR(INDEX(YACDATA[YAC per Reception],MATCH(WRmatchups[[#This Row],[Name]],YACDATA[Player],0)),"0")</f>
        <v>0</v>
      </c>
      <c r="S38" s="418" t="e">
        <f>AVERAGE(WRmatchups[[#This Row],[Tar1]:[Tar3]])</f>
        <v>#DIV/0!</v>
      </c>
      <c r="T38" s="464">
        <f>AVERAGE(WRmatchups[[#This Row],[Rec1]:[Rec3]])</f>
        <v>5.2320000000000002</v>
      </c>
      <c r="U38" s="468" t="e">
        <f>SUM(WRmatchups[[#This Row],[Rec4]]/WRmatchups[[#This Row],[Targets2]])</f>
        <v>#DIV/0!</v>
      </c>
      <c r="V38" s="417">
        <f>AVERAGE(WRmatchups[[#This Row],[Yards1]:[Yards3]])</f>
        <v>62.133000000000003</v>
      </c>
      <c r="W38" s="461" t="e">
        <f>SUM(WRmatchups[[#This Row],[Yards]]/WRmatchups[[#This Row],[Targets2]])</f>
        <v>#DIV/0!</v>
      </c>
      <c r="X38" s="32">
        <f>AVERAGE(WRmatchups[[#This Row],[TD1]:[TD3]])</f>
        <v>0.36</v>
      </c>
      <c r="Y38" s="14">
        <f>_xlfn.RANK.EQ(WRmatchups[[#This Row],[Projection]],WRmatchups[Projection],0)</f>
        <v>28</v>
      </c>
      <c r="Z38" s="19">
        <f>SUM(WRmatchups[[#This Row],[Yards]]*0.1)+(WRmatchups[[#This Row],[RecTD5]]*6)+(WRmatchups[[#This Row],[Rec4]]*1)+(WRmatchups[[#This Row],[100+]])</f>
        <v>13.6053</v>
      </c>
      <c r="AA38" s="8">
        <f>_xlfn.RANK.EQ(WRmatchups[[#This Row],[$/FP]],WRmatchups[$/FP],1)</f>
        <v>5</v>
      </c>
      <c r="AB38" s="23">
        <f>SUM(WRmatchups[[#This Row],[Salary]]/WRmatchups[[#This Row],[Projection]])</f>
        <v>330.75345637361909</v>
      </c>
      <c r="AC38" s="241">
        <f>_xlfn.RANK.EQ(WRmatchups[[#This Row],[Average]],WRmatchups[Average],1)</f>
        <v>7</v>
      </c>
      <c r="AD38" s="241">
        <f>AVERAGE(WRmatchups[[#This Row],[Proj Rank]],WRmatchups[[#This Row],[Value Rank]])</f>
        <v>16.5</v>
      </c>
      <c r="AE38" s="210">
        <f>WRmatchups[[#This Row],[Salary]]/50000</f>
        <v>0.09</v>
      </c>
      <c r="AF38" s="214"/>
      <c r="AG38" s="14" t="str">
        <f>IFERROR(INDEX(WRstats3[Targets],MATCH(WRmatchups[[#This Row],[Name]],WRstats3[Player],0)),"0")</f>
        <v>0</v>
      </c>
      <c r="AH38" s="14" t="str">
        <f>IFERROR(INDEX(WRstats2[Targets],MATCH(WRmatchups[[#This Row],[Name]],WRstats2[Player],0)),"0")</f>
        <v>0</v>
      </c>
      <c r="AI38" s="14" t="str">
        <f>IFERROR(INDEX(WRstats3[Targets],MATCH(WRmatchups[[#This Row],[Name]],WRstats3[Player],0)),"0")</f>
        <v>0</v>
      </c>
      <c r="AJ38" s="14">
        <f>IFERROR(INDEX(WRstats1[Rec],MATCH(WRmatchups[[#This Row],[Name]],WRstats1[Player],0)),"0")</f>
        <v>5.2320000000000002</v>
      </c>
      <c r="AK38" s="14" t="str">
        <f>IFERROR(INDEX(WRstats2[Rec],MATCH(WRmatchups[[#This Row],[Name]],WRstats2[Player],0)),"0")</f>
        <v>0</v>
      </c>
      <c r="AL38" s="14" t="str">
        <f>IFERROR(INDEX(WRstats3[Rec],MATCH(WRmatchups[[#This Row],[Name]],WRstats3[Player],0)),"0")</f>
        <v>0</v>
      </c>
      <c r="AM38" s="32">
        <f>IFERROR(INDEX(WRallowed[Rec],MATCH(WRmatchups[[#This Row],[Opp]],WRallowed[Team],0)),"0")</f>
        <v>11.125</v>
      </c>
      <c r="AN38" s="14">
        <f>IFERROR(INDEX(WRstats1[Rec Yds],MATCH(WRmatchups[[#This Row],[Name]],WRstats1[Player],0)),"0")</f>
        <v>62.133000000000003</v>
      </c>
      <c r="AO38" s="14" t="str">
        <f>IFERROR(INDEX(WRstats2[RecYards],MATCH(WRmatchups[[#This Row],[Name]],WRstats2[Player],0)),"0")</f>
        <v>0</v>
      </c>
      <c r="AP38" s="14" t="str">
        <f>IFERROR(INDEX(WRstats3[RecYards],MATCH(WRmatchups[[#This Row],[Name]],WRstats3[Player],0)),"0")</f>
        <v>0</v>
      </c>
      <c r="AQ38" s="32">
        <f>IFERROR(INDEX(WRallowed[Yard],MATCH(WRmatchups[[#This Row],[Opp]],WRallowed[Team],0)),"0")</f>
        <v>145.75</v>
      </c>
      <c r="AR38" s="14">
        <f>IFERROR(INDEX(WRstats1[Rec TD],MATCH(WRmatchups[[#This Row],[Name]],WRstats1[Player],0)),"0")</f>
        <v>0.36</v>
      </c>
      <c r="AS38" s="14" t="str">
        <f>IFERROR(INDEX(WRstats2[RecTD],MATCH(WRmatchups[[#This Row],[Name]],WRstats2[Player],0)),"0")</f>
        <v>0</v>
      </c>
      <c r="AT38" s="14" t="str">
        <f>IFERROR(INDEX(WRstats3[RecTD],MATCH(WRmatchups[[#This Row],[Name]],WRstats3[Player],0)),"0")</f>
        <v>0</v>
      </c>
      <c r="AU38" s="32">
        <f>IFERROR(INDEX(WRallowed[TD],MATCH(WRmatchups[[#This Row],[Opp]],WRallowed[Team],0)),"0")*0.5</f>
        <v>0.4375</v>
      </c>
      <c r="AV38" s="14" t="str">
        <f>IFERROR(INDEX(WRstats2[RushAtt],MATCH(WRmatchups[[#This Row],[Name]],WRstats2[Player],0)),"0")</f>
        <v>0</v>
      </c>
      <c r="AW38" s="14" t="str">
        <f>IFERROR(INDEX(WRstats3[RushATT],MATCH(WRmatchups[[#This Row],[Name]],WRstats3[Player],0)),"0")</f>
        <v>0</v>
      </c>
      <c r="AX38" s="14" t="str">
        <f>IFERROR(INDEX(WRstats2[RushYards],MATCH(WRmatchups[[#This Row],[Name]],WRstats2[Player],0)),"0")</f>
        <v>0</v>
      </c>
      <c r="AY38" s="14" t="str">
        <f>IFERROR(INDEX(WRstats3[RushYards],MATCH(WRmatchups[[#This Row],[Name]],WRstats3[Player],0)),"0")</f>
        <v>0</v>
      </c>
      <c r="AZ38" s="14" t="str">
        <f>IFERROR(INDEX(WRstats2[RushTD],MATCH(WRmatchups[[#This Row],[Name]],WRstats2[Player],0)),"0")</f>
        <v>0</v>
      </c>
      <c r="BA38" s="14" t="str">
        <f>IFERROR(INDEX(WRstats3[RushTD],MATCH(WRmatchups[[#This Row],[Name]],WRstats3[Player],0)),"0")</f>
        <v>0</v>
      </c>
      <c r="BB38" s="264">
        <f>IF(WRmatchups[[#This Row],[Yards]]&gt;=100,3,0)</f>
        <v>0</v>
      </c>
      <c r="BC38" s="191" t="str">
        <f>IFERROR(INDEX(#REF!,MATCH(WRmatchups[Name],#REF!,0)),"0")</f>
        <v>0</v>
      </c>
      <c r="BD38" s="494">
        <f>WRmatchups[[#This Row],[Targets]]/WRmatchups[[#This Row],[Salary]]*100</f>
        <v>0.57777777777777772</v>
      </c>
    </row>
    <row r="39" spans="1:56" ht="15" thickBot="1" x14ac:dyDescent="0.35">
      <c r="A39" s="37">
        <f>WRstats1!AL21</f>
        <v>12.9</v>
      </c>
      <c r="B39" s="5" t="str">
        <f>WRstats1!D21</f>
        <v>DeSean Jackson</v>
      </c>
      <c r="C39" s="172">
        <f>IFERROR(INDEX(Salaries[DraftKings (Price)],MATCH(WRmatchups[[#This Row],[Name]],Salaries[Player],0)),"")</f>
        <v>6200</v>
      </c>
      <c r="D39" s="172">
        <f>IFERROR(INDEX(DK_Salary_Changes[WeekChange],MATCH(WRmatchups[[#This Row],[Name]],DK_Salary_Changes[Player],0)),"")</f>
        <v>300</v>
      </c>
      <c r="E39" s="14" t="str">
        <f>IFERROR(INDEX(Salaries[Team],MATCH(WRmatchups[[#This Row],[Name]],Salaries[Player],0)),"")</f>
        <v>WAS</v>
      </c>
      <c r="F39" s="460" t="str">
        <f>IFERROR(INDEX(Salaries[Opp],MATCH(WRmatchups[[#This Row],[Team]],Salaries[Team],0)),"")</f>
        <v>CLE</v>
      </c>
      <c r="G39" s="476">
        <f>IFERROR(INDEX(WRYTD[Rec],MATCH(WRmatchups[Name],WRYTD[Player],0)),"0")</f>
        <v>14</v>
      </c>
      <c r="H39" s="458">
        <f>IFERROR(INDEX(targettracker54[TTL],MATCH(WRmatchups[Name],targettracker54[Name],0)),"")</f>
        <v>23</v>
      </c>
      <c r="I39" s="475">
        <f>IFERROR(INDEX(WRYTD[Rec Yds],MATCH(WRmatchups[Name],WRYTD[Player],0)),"0")</f>
        <v>238</v>
      </c>
      <c r="J39" s="477">
        <f>IFERROR(INDEX(WRYTD[Rec TD],MATCH(WRmatchups[Name],WRYTD[Player],0)),"0")</f>
        <v>1</v>
      </c>
      <c r="K39" s="473">
        <f>IFERROR(INDEX(Salaries[O/U],MATCH(WRmatchups[[#This Row],[Team]],Salaries[Team],0)),"")</f>
        <v>45.5</v>
      </c>
      <c r="L39" s="32">
        <f>IFERROR(INDEX(Salaries[Team O/U],MATCH(WRmatchups[[#This Row],[Team]],Salaries[Team],0)),"")</f>
        <v>26.75</v>
      </c>
      <c r="M39" s="417">
        <f>IFERROR(INDEX(Salaries[Spread],MATCH(WRmatchups[[#This Row],[Team]],Salaries[Team],0)),"")</f>
        <v>-8</v>
      </c>
      <c r="N39" s="424">
        <f>IFERROR(INDEX(WRallowed[DVP],MATCH(WRmatchups[[#This Row],[Opp]],WRallowed[Team],0)),IFERROR(INDEX(WRallowed[DVP],MATCH(WRmatchups[[#This Row],[Opp]],WRallowed[Opp],0)),""))</f>
        <v>32</v>
      </c>
      <c r="O39" s="17">
        <f>IFERROR(INDEX(YAtCData[YAtC],MATCH(WRmatchups[[#This Row],[Name]],YAtCData[Player],0)),"0")</f>
        <v>155</v>
      </c>
      <c r="P39" s="497">
        <f>IFERROR(INDEX(YAtCData[YAtC/Rec],MATCH(WRmatchups[[#This Row],[Name]],YAtCData[Player],0)),"0")</f>
        <v>11.07</v>
      </c>
      <c r="Q39" s="17">
        <f>IFERROR(INDEX(YAtCData[YAC],MATCH(WRmatchups[[#This Row],[Name]],YAtCData[Player],0)),"0")</f>
        <v>83</v>
      </c>
      <c r="R39" s="497">
        <f>IFERROR(INDEX(YACDATA[YAC per Reception],MATCH(WRmatchups[[#This Row],[Name]],YACDATA[Player],0)),"0")</f>
        <v>5.9</v>
      </c>
      <c r="S39" s="418">
        <f>AVERAGE(WRmatchups[[#This Row],[Tar1]:[Tar3]])</f>
        <v>5.3</v>
      </c>
      <c r="T39" s="464">
        <f>AVERAGE(WRmatchups[[#This Row],[Rec1]:[Rec3]])</f>
        <v>3.9176666666666669</v>
      </c>
      <c r="U39" s="468">
        <f>SUM(WRmatchups[[#This Row],[Rec4]]/WRmatchups[[#This Row],[Targets2]])</f>
        <v>0.73918238993710694</v>
      </c>
      <c r="V39" s="417">
        <f>AVERAGE(WRmatchups[[#This Row],[Yards1]:[Yards3]])</f>
        <v>63.096333333333327</v>
      </c>
      <c r="W39" s="461">
        <f>SUM(WRmatchups[[#This Row],[Yards]]/WRmatchups[[#This Row],[Targets2]])</f>
        <v>11.904968553459119</v>
      </c>
      <c r="X39" s="32">
        <f>AVERAGE(WRmatchups[[#This Row],[TD1]:[TD3]])</f>
        <v>0.52150000000000007</v>
      </c>
      <c r="Y39" s="14">
        <f>_xlfn.RANK.EQ(WRmatchups[[#This Row],[Projection]],WRmatchups[Projection],0)</f>
        <v>29</v>
      </c>
      <c r="Z39" s="19">
        <f>SUM(WRmatchups[[#This Row],[Yards]]*0.1)+(WRmatchups[[#This Row],[RecTD5]]*6)+(WRmatchups[[#This Row],[Rec4]]*1)+(WRmatchups[[#This Row],[100+]])</f>
        <v>13.356300000000001</v>
      </c>
      <c r="AA39" s="8">
        <f>_xlfn.RANK.EQ(WRmatchups[[#This Row],[$/FP]],WRmatchups[$/FP],1)</f>
        <v>60</v>
      </c>
      <c r="AB39" s="23">
        <f>SUM(WRmatchups[[#This Row],[Salary]]/WRmatchups[[#This Row],[Projection]])</f>
        <v>464.2004147855319</v>
      </c>
      <c r="AC39" s="241">
        <f>_xlfn.RANK.EQ(WRmatchups[[#This Row],[Average]],WRmatchups[Average],1)</f>
        <v>44</v>
      </c>
      <c r="AD39" s="241">
        <f>AVERAGE(WRmatchups[[#This Row],[Proj Rank]],WRmatchups[[#This Row],[Value Rank]])</f>
        <v>44.5</v>
      </c>
      <c r="AE39" s="210">
        <f>WRmatchups[[#This Row],[Salary]]/50000</f>
        <v>0.124</v>
      </c>
      <c r="AF39" s="214"/>
      <c r="AG39" s="14">
        <f>IFERROR(INDEX(WRstats3[Targets],MATCH(WRmatchups[[#This Row],[Name]],WRstats3[Player],0)),"0")</f>
        <v>5.3</v>
      </c>
      <c r="AH39" s="14" t="str">
        <f>IFERROR(INDEX(WRstats2[Targets],MATCH(WRmatchups[[#This Row],[Name]],WRstats2[Player],0)),"0")</f>
        <v>0</v>
      </c>
      <c r="AI39" s="14">
        <f>IFERROR(INDEX(WRstats3[Targets],MATCH(WRmatchups[[#This Row],[Name]],WRstats3[Player],0)),"0")</f>
        <v>5.3</v>
      </c>
      <c r="AJ39" s="14">
        <f>IFERROR(INDEX(WRstats1[Rec],MATCH(WRmatchups[[#This Row],[Name]],WRstats1[Player],0)),"0")</f>
        <v>4.2530000000000001</v>
      </c>
      <c r="AK39" s="14">
        <f>IFERROR(INDEX(WRstats2[Rec],MATCH(WRmatchups[[#This Row],[Name]],WRstats2[Player],0)),"0")</f>
        <v>4</v>
      </c>
      <c r="AL39" s="14">
        <f>IFERROR(INDEX(WRstats3[Rec],MATCH(WRmatchups[[#This Row],[Name]],WRstats3[Player],0)),"0")</f>
        <v>3.5</v>
      </c>
      <c r="AM39" s="32">
        <f>IFERROR(INDEX(WRallowed[Rec],MATCH(WRmatchups[[#This Row],[Opp]],WRallowed[Team],0)),"0")</f>
        <v>12.375</v>
      </c>
      <c r="AN39" s="14">
        <f>IFERROR(INDEX(WRstats1[Rec Yds],MATCH(WRmatchups[[#This Row],[Name]],WRstats1[Player],0)),"0")</f>
        <v>69.388999999999996</v>
      </c>
      <c r="AO39" s="14">
        <f>IFERROR(INDEX(WRstats2[RecYards],MATCH(WRmatchups[[#This Row],[Name]],WRstats2[Player],0)),"0")</f>
        <v>57</v>
      </c>
      <c r="AP39" s="14">
        <f>IFERROR(INDEX(WRstats3[RecYards],MATCH(WRmatchups[[#This Row],[Name]],WRstats3[Player],0)),"0")</f>
        <v>62.9</v>
      </c>
      <c r="AQ39" s="32">
        <f>IFERROR(INDEX(WRallowed[Yard],MATCH(WRmatchups[[#This Row],[Opp]],WRallowed[Team],0)),"0")</f>
        <v>176.875</v>
      </c>
      <c r="AR39" s="14">
        <f>IFERROR(INDEX(WRstats1[Rec TD],MATCH(WRmatchups[[#This Row],[Name]],WRstats1[Player],0)),"0")</f>
        <v>0.64300000000000002</v>
      </c>
      <c r="AS39" s="14" t="str">
        <f>IFERROR(INDEX(WRstats2[RecTD],MATCH(WRmatchups[[#This Row],[Name]],WRstats2[Player],0)),"0")</f>
        <v>0.4</v>
      </c>
      <c r="AT39" s="14">
        <f>IFERROR(INDEX(WRstats3[RecTD],MATCH(WRmatchups[[#This Row],[Name]],WRstats3[Player],0)),"0")</f>
        <v>0.4</v>
      </c>
      <c r="AU39" s="32">
        <f>IFERROR(INDEX(WRallowed[TD],MATCH(WRmatchups[[#This Row],[Opp]],WRallowed[Team],0)),"0")*0.5</f>
        <v>0.625</v>
      </c>
      <c r="AV39" s="14" t="str">
        <f>IFERROR(INDEX(WRstats2[RushAtt],MATCH(WRmatchups[[#This Row],[Name]],WRstats2[Player],0)),"0")</f>
        <v>0.4</v>
      </c>
      <c r="AW39" s="14">
        <f>IFERROR(INDEX(WRstats3[RushATT],MATCH(WRmatchups[[#This Row],[Name]],WRstats3[Player],0)),"0")</f>
        <v>0</v>
      </c>
      <c r="AX39" s="14" t="str">
        <f>IFERROR(INDEX(WRstats2[RushYards],MATCH(WRmatchups[[#This Row],[Name]],WRstats2[Player],0)),"0")</f>
        <v>0</v>
      </c>
      <c r="AY39" s="14">
        <f>IFERROR(INDEX(WRstats3[RushYards],MATCH(WRmatchups[[#This Row],[Name]],WRstats3[Player],0)),"0")</f>
        <v>0</v>
      </c>
      <c r="AZ39" s="14" t="str">
        <f>IFERROR(INDEX(WRstats2[RushTD],MATCH(WRmatchups[[#This Row],[Name]],WRstats2[Player],0)),"0")</f>
        <v>0</v>
      </c>
      <c r="BA39" s="14">
        <f>IFERROR(INDEX(WRstats3[RushTD],MATCH(WRmatchups[[#This Row],[Name]],WRstats3[Player],0)),"0")</f>
        <v>0</v>
      </c>
      <c r="BB39" s="264">
        <f>IF(WRmatchups[[#This Row],[Yards]]&gt;=100,3,0)</f>
        <v>0</v>
      </c>
      <c r="BC39" s="191" t="str">
        <f>IFERROR(INDEX(#REF!,MATCH(WRmatchups[Name],#REF!,0)),"0")</f>
        <v>0</v>
      </c>
      <c r="BD39" s="494">
        <f>WRmatchups[[#This Row],[Targets]]/WRmatchups[[#This Row],[Salary]]*100</f>
        <v>0.37096774193548387</v>
      </c>
    </row>
    <row r="40" spans="1:56" ht="15" thickBot="1" x14ac:dyDescent="0.35">
      <c r="A40" s="37">
        <f>WRstats1!AL35</f>
        <v>10.7</v>
      </c>
      <c r="B40" s="5" t="str">
        <f>WRstats1!D35</f>
        <v>Phillip Dorsett</v>
      </c>
      <c r="C40" s="172">
        <f>IFERROR(INDEX(Salaries[DraftKings (Price)],MATCH(WRmatchups[[#This Row],[Name]],Salaries[Player],0)),"")</f>
        <v>4700</v>
      </c>
      <c r="D40" s="172">
        <f>IFERROR(INDEX(DK_Salary_Changes[WeekChange],MATCH(WRmatchups[[#This Row],[Name]],DK_Salary_Changes[Player],0)),"")</f>
        <v>300</v>
      </c>
      <c r="E40" s="14" t="str">
        <f>IFERROR(INDEX(Salaries[Team],MATCH(WRmatchups[[#This Row],[Name]],Salaries[Player],0)),"")</f>
        <v>IND</v>
      </c>
      <c r="F40" s="460" t="str">
        <f>IFERROR(INDEX(Salaries[Opp],MATCH(WRmatchups[[#This Row],[Team]],Salaries[Team],0)),"")</f>
        <v>@JAX</v>
      </c>
      <c r="G40" s="476">
        <f>IFERROR(INDEX(WRYTD[Rec],MATCH(WRmatchups[Name],WRYTD[Player],0)),"0")</f>
        <v>8</v>
      </c>
      <c r="H40" s="458">
        <f>IFERROR(INDEX(targettracker54[TTL],MATCH(WRmatchups[Name],targettracker54[Name],0)),"")</f>
        <v>15</v>
      </c>
      <c r="I40" s="475">
        <f>IFERROR(INDEX(WRYTD[Rec Yds],MATCH(WRmatchups[Name],WRYTD[Player],0)),"0")</f>
        <v>151</v>
      </c>
      <c r="J40" s="477">
        <f>IFERROR(INDEX(WRYTD[Rec TD],MATCH(WRmatchups[Name],WRYTD[Player],0)),"0")</f>
        <v>0</v>
      </c>
      <c r="K40" s="473">
        <f>IFERROR(INDEX(Salaries[O/U],MATCH(WRmatchups[[#This Row],[Team]],Salaries[Team],0)),"")</f>
        <v>49.5</v>
      </c>
      <c r="L40" s="32">
        <f>IFERROR(INDEX(Salaries[Team O/U],MATCH(WRmatchups[[#This Row],[Team]],Salaries[Team],0)),"")</f>
        <v>26</v>
      </c>
      <c r="M40" s="417">
        <f>IFERROR(INDEX(Salaries[Spread],MATCH(WRmatchups[[#This Row],[Team]],Salaries[Team],0)),"")</f>
        <v>-2.5</v>
      </c>
      <c r="N40" s="424">
        <f>IFERROR(INDEX(WRallowed[DVP],MATCH(WRmatchups[[#This Row],[Opp]],WRallowed[Team],0)),IFERROR(INDEX(WRallowed[DVP],MATCH(WRmatchups[[#This Row],[Opp]],WRallowed[Opp],0)),""))</f>
        <v>16</v>
      </c>
      <c r="O40" s="17">
        <f>IFERROR(INDEX(YAtCData[YAtC],MATCH(WRmatchups[[#This Row],[Name]],YAtCData[Player],0)),"0")</f>
        <v>127</v>
      </c>
      <c r="P40" s="497">
        <f>IFERROR(INDEX(YAtCData[YAtC/Rec],MATCH(WRmatchups[[#This Row],[Name]],YAtCData[Player],0)),"0")</f>
        <v>15.88</v>
      </c>
      <c r="Q40" s="17">
        <f>IFERROR(INDEX(YAtCData[YAC],MATCH(WRmatchups[[#This Row],[Name]],YAtCData[Player],0)),"0")</f>
        <v>24</v>
      </c>
      <c r="R40" s="497">
        <f>IFERROR(INDEX(YACDATA[YAC per Reception],MATCH(WRmatchups[[#This Row],[Name]],YACDATA[Player],0)),"0")</f>
        <v>3</v>
      </c>
      <c r="S40" s="418">
        <f>AVERAGE(WRmatchups[[#This Row],[Tar1]:[Tar3]])</f>
        <v>7.3</v>
      </c>
      <c r="T40" s="464">
        <f>AVERAGE(WRmatchups[[#This Row],[Rec1]:[Rec3]])</f>
        <v>4.3683333333333332</v>
      </c>
      <c r="U40" s="468">
        <f>SUM(WRmatchups[[#This Row],[Rec4]]/WRmatchups[[#This Row],[Targets2]])</f>
        <v>0.5984018264840183</v>
      </c>
      <c r="V40" s="417">
        <f>AVERAGE(WRmatchups[[#This Row],[Yards1]:[Yards3]])</f>
        <v>58.998333333333335</v>
      </c>
      <c r="W40" s="461">
        <f>SUM(WRmatchups[[#This Row],[Yards]]/WRmatchups[[#This Row],[Targets2]])</f>
        <v>8.0819634703196357</v>
      </c>
      <c r="X40" s="32">
        <f>AVERAGE(WRmatchups[[#This Row],[TD1]:[TD3]])</f>
        <v>0.46450000000000002</v>
      </c>
      <c r="Y40" s="14">
        <f>_xlfn.RANK.EQ(WRmatchups[[#This Row],[Projection]],WRmatchups[Projection],0)</f>
        <v>30</v>
      </c>
      <c r="Z40" s="19">
        <f>SUM(WRmatchups[[#This Row],[Yards]]*0.1)+(WRmatchups[[#This Row],[RecTD5]]*6)+(WRmatchups[[#This Row],[Rec4]]*1)+(WRmatchups[[#This Row],[100+]])</f>
        <v>13.055166666666665</v>
      </c>
      <c r="AA40" s="8">
        <f>_xlfn.RANK.EQ(WRmatchups[[#This Row],[$/FP]],WRmatchups[$/FP],1)</f>
        <v>6</v>
      </c>
      <c r="AB40" s="23">
        <f>SUM(WRmatchups[[#This Row],[Salary]]/WRmatchups[[#This Row],[Projection]])</f>
        <v>360.01072372368543</v>
      </c>
      <c r="AC40" s="241">
        <f>_xlfn.RANK.EQ(WRmatchups[[#This Row],[Average]],WRmatchups[Average],1)</f>
        <v>10</v>
      </c>
      <c r="AD40" s="241">
        <f>AVERAGE(WRmatchups[[#This Row],[Proj Rank]],WRmatchups[[#This Row],[Value Rank]])</f>
        <v>18</v>
      </c>
      <c r="AE40" s="210">
        <f>WRmatchups[[#This Row],[Salary]]/50000</f>
        <v>9.4E-2</v>
      </c>
      <c r="AF40" s="214"/>
      <c r="AG40" s="14">
        <f>IFERROR(INDEX(WRstats3[Targets],MATCH(WRmatchups[[#This Row],[Name]],WRstats3[Player],0)),"0")</f>
        <v>7.3</v>
      </c>
      <c r="AH40" s="14" t="str">
        <f>IFERROR(INDEX(WRstats2[Targets],MATCH(WRmatchups[[#This Row],[Name]],WRstats2[Player],0)),"0")</f>
        <v>0</v>
      </c>
      <c r="AI40" s="14">
        <f>IFERROR(INDEX(WRstats3[Targets],MATCH(WRmatchups[[#This Row],[Name]],WRstats3[Player],0)),"0")</f>
        <v>7.3</v>
      </c>
      <c r="AJ40" s="14">
        <f>IFERROR(INDEX(WRstats1[Rec],MATCH(WRmatchups[[#This Row],[Name]],WRstats1[Player],0)),"0")</f>
        <v>4.5049999999999999</v>
      </c>
      <c r="AK40" s="14">
        <f>IFERROR(INDEX(WRstats2[Rec],MATCH(WRmatchups[[#This Row],[Name]],WRstats2[Player],0)),"0")</f>
        <v>4</v>
      </c>
      <c r="AL40" s="14">
        <f>IFERROR(INDEX(WRstats3[Rec],MATCH(WRmatchups[[#This Row],[Name]],WRstats3[Player],0)),"0")</f>
        <v>4.5999999999999996</v>
      </c>
      <c r="AM40" s="32" t="str">
        <f>IFERROR(INDEX(WRallowed[Rec],MATCH(WRmatchups[[#This Row],[Opp]],WRallowed[Team],0)),"0")</f>
        <v>0</v>
      </c>
      <c r="AN40" s="14">
        <f>IFERROR(INDEX(WRstats1[Rec Yds],MATCH(WRmatchups[[#This Row],[Name]],WRstats1[Player],0)),"0")</f>
        <v>59.795000000000002</v>
      </c>
      <c r="AO40" s="14">
        <f>IFERROR(INDEX(WRstats2[RecYards],MATCH(WRmatchups[[#This Row],[Name]],WRstats2[Player],0)),"0")</f>
        <v>52.1</v>
      </c>
      <c r="AP40" s="14">
        <f>IFERROR(INDEX(WRstats3[RecYards],MATCH(WRmatchups[[#This Row],[Name]],WRstats3[Player],0)),"0")</f>
        <v>65.099999999999994</v>
      </c>
      <c r="AQ40" s="32" t="str">
        <f>IFERROR(INDEX(WRallowed[Yard],MATCH(WRmatchups[[#This Row],[Opp]],WRallowed[Team],0)),"0")</f>
        <v>0</v>
      </c>
      <c r="AR40" s="14">
        <f>IFERROR(INDEX(WRstats1[Rec TD],MATCH(WRmatchups[[#This Row],[Name]],WRstats1[Player],0)),"0")</f>
        <v>0.42899999999999999</v>
      </c>
      <c r="AS40" s="14" t="str">
        <f>IFERROR(INDEX(WRstats2[RecTD],MATCH(WRmatchups[[#This Row],[Name]],WRstats2[Player],0)),"0")</f>
        <v>0.4</v>
      </c>
      <c r="AT40" s="14">
        <f>IFERROR(INDEX(WRstats3[RecTD],MATCH(WRmatchups[[#This Row],[Name]],WRstats3[Player],0)),"0")</f>
        <v>0.5</v>
      </c>
      <c r="AU40" s="32">
        <f>IFERROR(INDEX(WRallowed[TD],MATCH(WRmatchups[[#This Row],[Opp]],WRallowed[Team],0)),"0")*0.5</f>
        <v>0</v>
      </c>
      <c r="AV40" s="14" t="str">
        <f>IFERROR(INDEX(WRstats2[RushAtt],MATCH(WRmatchups[[#This Row],[Name]],WRstats2[Player],0)),"0")</f>
        <v>0.4</v>
      </c>
      <c r="AW40" s="14">
        <f>IFERROR(INDEX(WRstats3[RushATT],MATCH(WRmatchups[[#This Row],[Name]],WRstats3[Player],0)),"0")</f>
        <v>0.2</v>
      </c>
      <c r="AX40" s="14" t="str">
        <f>IFERROR(INDEX(WRstats2[RushYards],MATCH(WRmatchups[[#This Row],[Name]],WRstats2[Player],0)),"0")</f>
        <v>0.1</v>
      </c>
      <c r="AY40" s="14">
        <f>IFERROR(INDEX(WRstats3[RushYards],MATCH(WRmatchups[[#This Row],[Name]],WRstats3[Player],0)),"0")</f>
        <v>1</v>
      </c>
      <c r="AZ40" s="14" t="str">
        <f>IFERROR(INDEX(WRstats2[RushTD],MATCH(WRmatchups[[#This Row],[Name]],WRstats2[Player],0)),"0")</f>
        <v>0</v>
      </c>
      <c r="BA40" s="14">
        <f>IFERROR(INDEX(WRstats3[RushTD],MATCH(WRmatchups[[#This Row],[Name]],WRstats3[Player],0)),"0")</f>
        <v>0</v>
      </c>
      <c r="BB40" s="264">
        <f>IF(WRmatchups[[#This Row],[Yards]]&gt;=100,3,0)</f>
        <v>0</v>
      </c>
      <c r="BC40" s="191" t="str">
        <f>IFERROR(INDEX(#REF!,MATCH(WRmatchups[Name],#REF!,0)),"0")</f>
        <v>0</v>
      </c>
      <c r="BD40" s="494">
        <f>WRmatchups[[#This Row],[Targets]]/WRmatchups[[#This Row],[Salary]]*100</f>
        <v>0.31914893617021273</v>
      </c>
    </row>
    <row r="41" spans="1:56" ht="15" thickBot="1" x14ac:dyDescent="0.35">
      <c r="A41" s="37">
        <f>WRstats1!AL28</f>
        <v>11.1</v>
      </c>
      <c r="B41" s="5" t="str">
        <f>WRstats1!D28</f>
        <v>Eric Decker</v>
      </c>
      <c r="C41" s="172">
        <f>IFERROR(INDEX(Salaries[DraftKings (Price)],MATCH(WRmatchups[[#This Row],[Name]],Salaries[Player],0)),"")</f>
        <v>6300</v>
      </c>
      <c r="D41" s="172">
        <f>IFERROR(INDEX(DK_Salary_Changes[WeekChange],MATCH(WRmatchups[[#This Row],[Name]],DK_Salary_Changes[Player],0)),"")</f>
        <v>-600</v>
      </c>
      <c r="E41" s="14" t="str">
        <f>IFERROR(INDEX(Salaries[Team],MATCH(WRmatchups[[#This Row],[Name]],Salaries[Player],0)),"")</f>
        <v>NYJ</v>
      </c>
      <c r="F41" s="460" t="str">
        <f>IFERROR(INDEX(Salaries[Opp],MATCH(WRmatchups[[#This Row],[Team]],Salaries[Team],0)),"")</f>
        <v>SEA</v>
      </c>
      <c r="G41" s="476">
        <f>IFERROR(INDEX(WRYTD[Rec],MATCH(WRmatchups[Name],WRYTD[Player],0)),"0")</f>
        <v>9</v>
      </c>
      <c r="H41" s="458">
        <f>IFERROR(INDEX(targettracker54[TTL],MATCH(WRmatchups[Name],targettracker54[Name],0)),"")</f>
        <v>21</v>
      </c>
      <c r="I41" s="475">
        <f>IFERROR(INDEX(WRYTD[Rec Yds],MATCH(WRmatchups[Name],WRYTD[Player],0)),"0")</f>
        <v>194</v>
      </c>
      <c r="J41" s="477">
        <f>IFERROR(INDEX(WRYTD[Rec TD],MATCH(WRmatchups[Name],WRYTD[Player],0)),"0")</f>
        <v>2</v>
      </c>
      <c r="K41" s="473">
        <f>IFERROR(INDEX(Salaries[O/U],MATCH(WRmatchups[[#This Row],[Team]],Salaries[Team],0)),"")</f>
        <v>40.5</v>
      </c>
      <c r="L41" s="32">
        <f>IFERROR(INDEX(Salaries[Team O/U],MATCH(WRmatchups[[#This Row],[Team]],Salaries[Team],0)),"")</f>
        <v>19.5</v>
      </c>
      <c r="M41" s="417">
        <f>IFERROR(INDEX(Salaries[Spread],MATCH(WRmatchups[[#This Row],[Team]],Salaries[Team],0)),"")</f>
        <v>1.5</v>
      </c>
      <c r="N41" s="424">
        <f>IFERROR(INDEX(WRallowed[DVP],MATCH(WRmatchups[[#This Row],[Opp]],WRallowed[Team],0)),IFERROR(INDEX(WRallowed[DVP],MATCH(WRmatchups[[#This Row],[Opp]],WRallowed[Opp],0)),""))</f>
        <v>3</v>
      </c>
      <c r="O41" s="17">
        <f>IFERROR(INDEX(YAtCData[YAtC],MATCH(WRmatchups[[#This Row],[Name]],YAtCData[Player],0)),"0")</f>
        <v>164</v>
      </c>
      <c r="P41" s="497">
        <f>IFERROR(INDEX(YAtCData[YAtC/Rec],MATCH(WRmatchups[[#This Row],[Name]],YAtCData[Player],0)),"0")</f>
        <v>18.22</v>
      </c>
      <c r="Q41" s="17">
        <f>IFERROR(INDEX(YAtCData[YAC],MATCH(WRmatchups[[#This Row],[Name]],YAtCData[Player],0)),"0")</f>
        <v>30</v>
      </c>
      <c r="R41" s="497">
        <f>IFERROR(INDEX(YACDATA[YAC per Reception],MATCH(WRmatchups[[#This Row],[Name]],YACDATA[Player],0)),"0")</f>
        <v>3.3</v>
      </c>
      <c r="S41" s="418">
        <f>AVERAGE(WRmatchups[[#This Row],[Tar1]:[Tar3]])</f>
        <v>7.8</v>
      </c>
      <c r="T41" s="464">
        <f>AVERAGE(WRmatchups[[#This Row],[Rec1]:[Rec3]])</f>
        <v>4.0456666666666665</v>
      </c>
      <c r="U41" s="468">
        <f>SUM(WRmatchups[[#This Row],[Rec4]]/WRmatchups[[#This Row],[Targets2]])</f>
        <v>0.51867521367521363</v>
      </c>
      <c r="V41" s="417">
        <f>AVERAGE(WRmatchups[[#This Row],[Yards1]:[Yards3]])</f>
        <v>61.034666666666674</v>
      </c>
      <c r="W41" s="461">
        <f>SUM(WRmatchups[[#This Row],[Yards]]/WRmatchups[[#This Row],[Targets2]])</f>
        <v>7.8249572649572663</v>
      </c>
      <c r="X41" s="32">
        <f>AVERAGE(WRmatchups[[#This Row],[TD1]:[TD3]])</f>
        <v>0.42500000000000004</v>
      </c>
      <c r="Y41" s="14">
        <f>_xlfn.RANK.EQ(WRmatchups[[#This Row],[Projection]],WRmatchups[Projection],0)</f>
        <v>31</v>
      </c>
      <c r="Z41" s="19">
        <f>SUM(WRmatchups[[#This Row],[Yards]]*0.1)+(WRmatchups[[#This Row],[RecTD5]]*6)+(WRmatchups[[#This Row],[Rec4]]*1)+(WRmatchups[[#This Row],[100+]])</f>
        <v>12.699133333333336</v>
      </c>
      <c r="AA41" s="8">
        <f>_xlfn.RANK.EQ(WRmatchups[[#This Row],[$/FP]],WRmatchups[$/FP],1)</f>
        <v>70</v>
      </c>
      <c r="AB41" s="23">
        <f>SUM(WRmatchups[[#This Row],[Salary]]/WRmatchups[[#This Row],[Projection]])</f>
        <v>496.09684650396082</v>
      </c>
      <c r="AC41" s="241">
        <f>_xlfn.RANK.EQ(WRmatchups[[#This Row],[Average]],WRmatchups[Average],1)</f>
        <v>56</v>
      </c>
      <c r="AD41" s="241">
        <f>AVERAGE(WRmatchups[[#This Row],[Proj Rank]],WRmatchups[[#This Row],[Value Rank]])</f>
        <v>50.5</v>
      </c>
      <c r="AE41" s="210">
        <f>WRmatchups[[#This Row],[Salary]]/50000</f>
        <v>0.126</v>
      </c>
      <c r="AF41" s="214"/>
      <c r="AG41" s="14">
        <f>IFERROR(INDEX(WRstats3[Targets],MATCH(WRmatchups[[#This Row],[Name]],WRstats3[Player],0)),"0")</f>
        <v>7.8</v>
      </c>
      <c r="AH41" s="14" t="str">
        <f>IFERROR(INDEX(WRstats2[Targets],MATCH(WRmatchups[[#This Row],[Name]],WRstats2[Player],0)),"0")</f>
        <v>0</v>
      </c>
      <c r="AI41" s="14">
        <f>IFERROR(INDEX(WRstats3[Targets],MATCH(WRmatchups[[#This Row],[Name]],WRstats3[Player],0)),"0")</f>
        <v>7.8</v>
      </c>
      <c r="AJ41" s="14">
        <f>IFERROR(INDEX(WRstats1[Rec],MATCH(WRmatchups[[#This Row],[Name]],WRstats1[Player],0)),"0")</f>
        <v>3.637</v>
      </c>
      <c r="AK41" s="14">
        <f>IFERROR(INDEX(WRstats2[Rec],MATCH(WRmatchups[[#This Row],[Name]],WRstats2[Player],0)),"0")</f>
        <v>3.7</v>
      </c>
      <c r="AL41" s="14">
        <f>IFERROR(INDEX(WRstats3[Rec],MATCH(WRmatchups[[#This Row],[Name]],WRstats3[Player],0)),"0")</f>
        <v>4.8</v>
      </c>
      <c r="AM41" s="32">
        <f>IFERROR(INDEX(WRallowed[Rec],MATCH(WRmatchups[[#This Row],[Opp]],WRallowed[Team],0)),"0")</f>
        <v>13</v>
      </c>
      <c r="AN41" s="14">
        <f>IFERROR(INDEX(WRstats1[Rec Yds],MATCH(WRmatchups[[#This Row],[Name]],WRstats1[Player],0)),"0")</f>
        <v>60.404000000000003</v>
      </c>
      <c r="AO41" s="14">
        <f>IFERROR(INDEX(WRstats2[RecYards],MATCH(WRmatchups[[#This Row],[Name]],WRstats2[Player],0)),"0")</f>
        <v>61.1</v>
      </c>
      <c r="AP41" s="14">
        <f>IFERROR(INDEX(WRstats3[RecYards],MATCH(WRmatchups[[#This Row],[Name]],WRstats3[Player],0)),"0")</f>
        <v>61.6</v>
      </c>
      <c r="AQ41" s="32">
        <f>IFERROR(INDEX(WRallowed[Yard],MATCH(WRmatchups[[#This Row],[Opp]],WRallowed[Team],0)),"0")</f>
        <v>148.5625</v>
      </c>
      <c r="AR41" s="14">
        <f>IFERROR(INDEX(WRstats1[Rec TD],MATCH(WRmatchups[[#This Row],[Name]],WRstats1[Player],0)),"0")</f>
        <v>0.55000000000000004</v>
      </c>
      <c r="AS41" s="14" t="str">
        <f>IFERROR(INDEX(WRstats2[RecTD],MATCH(WRmatchups[[#This Row],[Name]],WRstats2[Player],0)),"0")</f>
        <v>0.4</v>
      </c>
      <c r="AT41" s="14">
        <f>IFERROR(INDEX(WRstats3[RecTD],MATCH(WRmatchups[[#This Row],[Name]],WRstats3[Player],0)),"0")</f>
        <v>0.3</v>
      </c>
      <c r="AU41" s="32">
        <f>IFERROR(INDEX(WRallowed[TD],MATCH(WRmatchups[[#This Row],[Opp]],WRallowed[Team],0)),"0")*0.5</f>
        <v>0.375</v>
      </c>
      <c r="AV41" s="14" t="str">
        <f>IFERROR(INDEX(WRstats2[RushAtt],MATCH(WRmatchups[[#This Row],[Name]],WRstats2[Player],0)),"0")</f>
        <v>0.4</v>
      </c>
      <c r="AW41" s="14">
        <f>IFERROR(INDEX(WRstats3[RushATT],MATCH(WRmatchups[[#This Row],[Name]],WRstats3[Player],0)),"0")</f>
        <v>0</v>
      </c>
      <c r="AX41" s="14" t="str">
        <f>IFERROR(INDEX(WRstats2[RushYards],MATCH(WRmatchups[[#This Row],[Name]],WRstats2[Player],0)),"0")</f>
        <v>0</v>
      </c>
      <c r="AY41" s="14">
        <f>IFERROR(INDEX(WRstats3[RushYards],MATCH(WRmatchups[[#This Row],[Name]],WRstats3[Player],0)),"0")</f>
        <v>0</v>
      </c>
      <c r="AZ41" s="14" t="str">
        <f>IFERROR(INDEX(WRstats2[RushTD],MATCH(WRmatchups[[#This Row],[Name]],WRstats2[Player],0)),"0")</f>
        <v>0</v>
      </c>
      <c r="BA41" s="14">
        <f>IFERROR(INDEX(WRstats3[RushTD],MATCH(WRmatchups[[#This Row],[Name]],WRstats3[Player],0)),"0")</f>
        <v>0</v>
      </c>
      <c r="BB41" s="264">
        <f>IF(WRmatchups[[#This Row],[Yards]]&gt;=100,3,0)</f>
        <v>0</v>
      </c>
      <c r="BC41" s="191" t="str">
        <f>IFERROR(INDEX(#REF!,MATCH(WRmatchups[Name],#REF!,0)),"0")</f>
        <v>0</v>
      </c>
      <c r="BD41" s="494">
        <f>WRmatchups[[#This Row],[Targets]]/WRmatchups[[#This Row],[Salary]]*100</f>
        <v>0.33333333333333337</v>
      </c>
    </row>
    <row r="42" spans="1:56" ht="15" thickBot="1" x14ac:dyDescent="0.35">
      <c r="A42" s="37">
        <f>WRstats1!AL27</f>
        <v>11.7</v>
      </c>
      <c r="B42" s="5" t="str">
        <f>WRstats1!D27</f>
        <v>DeVante Parker</v>
      </c>
      <c r="C42" s="172">
        <f>IFERROR(INDEX(Salaries[DraftKings (Price)],MATCH(WRmatchups[[#This Row],[Name]],Salaries[Player],0)),"")</f>
        <v>5200</v>
      </c>
      <c r="D42" s="172">
        <f>IFERROR(INDEX(DK_Salary_Changes[WeekChange],MATCH(WRmatchups[[#This Row],[Name]],DK_Salary_Changes[Player],0)),"")</f>
        <v>300</v>
      </c>
      <c r="E42" s="14" t="str">
        <f>IFERROR(INDEX(Salaries[Team],MATCH(WRmatchups[[#This Row],[Name]],Salaries[Player],0)),"")</f>
        <v>MIA</v>
      </c>
      <c r="F42" s="460" t="str">
        <f>IFERROR(INDEX(Salaries[Opp],MATCH(WRmatchups[[#This Row],[Team]],Salaries[Team],0)),"")</f>
        <v>@CIN</v>
      </c>
      <c r="G42" s="476">
        <f>IFERROR(INDEX(WRYTD[Rec],MATCH(WRmatchups[Name],WRYTD[Player],0)),"0")</f>
        <v>11</v>
      </c>
      <c r="H42" s="458">
        <f>IFERROR(INDEX(targettracker54[TTL],MATCH(WRmatchups[Name],targettracker54[Name],0)),"")</f>
        <v>19</v>
      </c>
      <c r="I42" s="475">
        <f>IFERROR(INDEX(WRYTD[Rec Yds],MATCH(WRmatchups[Name],WRYTD[Player],0)),"0")</f>
        <v>157</v>
      </c>
      <c r="J42" s="477">
        <f>IFERROR(INDEX(WRYTD[Rec TD],MATCH(WRmatchups[Name],WRYTD[Player],0)),"0")</f>
        <v>1</v>
      </c>
      <c r="K42" s="473">
        <f>IFERROR(INDEX(Salaries[O/U],MATCH(WRmatchups[[#This Row],[Team]],Salaries[Team],0)),"")</f>
        <v>44.5</v>
      </c>
      <c r="L42" s="32">
        <f>IFERROR(INDEX(Salaries[Team O/U],MATCH(WRmatchups[[#This Row],[Team]],Salaries[Team],0)),"")</f>
        <v>18.75</v>
      </c>
      <c r="M42" s="417">
        <f>IFERROR(INDEX(Salaries[Spread],MATCH(WRmatchups[[#This Row],[Team]],Salaries[Team],0)),"")</f>
        <v>7</v>
      </c>
      <c r="N42" s="424">
        <f>IFERROR(INDEX(WRallowed[DVP],MATCH(WRmatchups[[#This Row],[Opp]],WRallowed[Team],0)),IFERROR(INDEX(WRallowed[DVP],MATCH(WRmatchups[[#This Row],[Opp]],WRallowed[Opp],0)),""))</f>
        <v>12</v>
      </c>
      <c r="O42" s="17">
        <f>IFERROR(INDEX(YAtCData[YAtC],MATCH(WRmatchups[[#This Row],[Name]],YAtCData[Player],0)),"0")</f>
        <v>120</v>
      </c>
      <c r="P42" s="497">
        <f>IFERROR(INDEX(YAtCData[YAtC/Rec],MATCH(WRmatchups[[#This Row],[Name]],YAtCData[Player],0)),"0")</f>
        <v>10.91</v>
      </c>
      <c r="Q42" s="17">
        <f>IFERROR(INDEX(YAtCData[YAC],MATCH(WRmatchups[[#This Row],[Name]],YAtCData[Player],0)),"0")</f>
        <v>37</v>
      </c>
      <c r="R42" s="497">
        <f>IFERROR(INDEX(YACDATA[YAC per Reception],MATCH(WRmatchups[[#This Row],[Name]],YACDATA[Player],0)),"0")</f>
        <v>3.4</v>
      </c>
      <c r="S42" s="418">
        <f>AVERAGE(WRmatchups[[#This Row],[Tar1]:[Tar3]])</f>
        <v>7.5</v>
      </c>
      <c r="T42" s="464">
        <f>AVERAGE(WRmatchups[[#This Row],[Rec1]:[Rec3]])</f>
        <v>4.0469999999999997</v>
      </c>
      <c r="U42" s="468">
        <f>SUM(WRmatchups[[#This Row],[Rec4]]/WRmatchups[[#This Row],[Targets2]])</f>
        <v>0.53959999999999997</v>
      </c>
      <c r="V42" s="417">
        <f>AVERAGE(WRmatchups[[#This Row],[Yards1]:[Yards3]])</f>
        <v>60.551333333333332</v>
      </c>
      <c r="W42" s="461">
        <f>SUM(WRmatchups[[#This Row],[Yards]]/WRmatchups[[#This Row],[Targets2]])</f>
        <v>8.0735111111111113</v>
      </c>
      <c r="X42" s="32">
        <f>AVERAGE(WRmatchups[[#This Row],[TD1]:[TD3]])</f>
        <v>0.39300000000000002</v>
      </c>
      <c r="Y42" s="14">
        <f>_xlfn.RANK.EQ(WRmatchups[[#This Row],[Projection]],WRmatchups[Projection],0)</f>
        <v>32</v>
      </c>
      <c r="Z42" s="19">
        <f>SUM(WRmatchups[[#This Row],[Yards]]*0.1)+(WRmatchups[[#This Row],[RecTD5]]*6)+(WRmatchups[[#This Row],[Rec4]]*1)+(WRmatchups[[#This Row],[100+]])</f>
        <v>12.460133333333335</v>
      </c>
      <c r="AA42" s="8">
        <f>_xlfn.RANK.EQ(WRmatchups[[#This Row],[$/FP]],WRmatchups[$/FP],1)</f>
        <v>35</v>
      </c>
      <c r="AB42" s="23">
        <f>SUM(WRmatchups[[#This Row],[Salary]]/WRmatchups[[#This Row],[Projection]])</f>
        <v>417.33100769387158</v>
      </c>
      <c r="AC42" s="241">
        <f>_xlfn.RANK.EQ(WRmatchups[[#This Row],[Average]],WRmatchups[Average],1)</f>
        <v>33</v>
      </c>
      <c r="AD42" s="241">
        <f>AVERAGE(WRmatchups[[#This Row],[Proj Rank]],WRmatchups[[#This Row],[Value Rank]])</f>
        <v>33.5</v>
      </c>
      <c r="AE42" s="210">
        <f>WRmatchups[[#This Row],[Salary]]/50000</f>
        <v>0.104</v>
      </c>
      <c r="AF42" s="214"/>
      <c r="AG42" s="14">
        <f>IFERROR(INDEX(WRstats3[Targets],MATCH(WRmatchups[[#This Row],[Name]],WRstats3[Player],0)),"0")</f>
        <v>7.5</v>
      </c>
      <c r="AH42" s="14" t="str">
        <f>IFERROR(INDEX(WRstats2[Targets],MATCH(WRmatchups[[#This Row],[Name]],WRstats2[Player],0)),"0")</f>
        <v>0</v>
      </c>
      <c r="AI42" s="14">
        <f>IFERROR(INDEX(WRstats3[Targets],MATCH(WRmatchups[[#This Row],[Name]],WRstats3[Player],0)),"0")</f>
        <v>7.5</v>
      </c>
      <c r="AJ42" s="14">
        <f>IFERROR(INDEX(WRstats1[Rec],MATCH(WRmatchups[[#This Row],[Name]],WRstats1[Player],0)),"0")</f>
        <v>4.8410000000000002</v>
      </c>
      <c r="AK42" s="14">
        <f>IFERROR(INDEX(WRstats2[Rec],MATCH(WRmatchups[[#This Row],[Name]],WRstats2[Player],0)),"0")</f>
        <v>2.9</v>
      </c>
      <c r="AL42" s="14">
        <f>IFERROR(INDEX(WRstats3[Rec],MATCH(WRmatchups[[#This Row],[Name]],WRstats3[Player],0)),"0")</f>
        <v>4.4000000000000004</v>
      </c>
      <c r="AM42" s="32" t="str">
        <f>IFERROR(INDEX(WRallowed[Rec],MATCH(WRmatchups[[#This Row],[Opp]],WRallowed[Team],0)),"0")</f>
        <v>0</v>
      </c>
      <c r="AN42" s="14">
        <f>IFERROR(INDEX(WRstats1[Rec Yds],MATCH(WRmatchups[[#This Row],[Name]],WRstats1[Player],0)),"0")</f>
        <v>71.054000000000002</v>
      </c>
      <c r="AO42" s="14">
        <f>IFERROR(INDEX(WRstats2[RecYards],MATCH(WRmatchups[[#This Row],[Name]],WRstats2[Player],0)),"0")</f>
        <v>44.2</v>
      </c>
      <c r="AP42" s="14">
        <f>IFERROR(INDEX(WRstats3[RecYards],MATCH(WRmatchups[[#This Row],[Name]],WRstats3[Player],0)),"0")</f>
        <v>66.400000000000006</v>
      </c>
      <c r="AQ42" s="32" t="str">
        <f>IFERROR(INDEX(WRallowed[Yard],MATCH(WRmatchups[[#This Row],[Opp]],WRallowed[Team],0)),"0")</f>
        <v>0</v>
      </c>
      <c r="AR42" s="14">
        <f>IFERROR(INDEX(WRstats1[Rec TD],MATCH(WRmatchups[[#This Row],[Name]],WRstats1[Player],0)),"0")</f>
        <v>0.38600000000000001</v>
      </c>
      <c r="AS42" s="14" t="str">
        <f>IFERROR(INDEX(WRstats2[RecTD],MATCH(WRmatchups[[#This Row],[Name]],WRstats2[Player],0)),"0")</f>
        <v>0.3</v>
      </c>
      <c r="AT42" s="14">
        <f>IFERROR(INDEX(WRstats3[RecTD],MATCH(WRmatchups[[#This Row],[Name]],WRstats3[Player],0)),"0")</f>
        <v>0.4</v>
      </c>
      <c r="AU42" s="32">
        <f>IFERROR(INDEX(WRallowed[TD],MATCH(WRmatchups[[#This Row],[Opp]],WRallowed[Team],0)),"0")*0.5</f>
        <v>0</v>
      </c>
      <c r="AV42" s="14" t="str">
        <f>IFERROR(INDEX(WRstats2[RushAtt],MATCH(WRmatchups[[#This Row],[Name]],WRstats2[Player],0)),"0")</f>
        <v>0.3</v>
      </c>
      <c r="AW42" s="14">
        <f>IFERROR(INDEX(WRstats3[RushATT],MATCH(WRmatchups[[#This Row],[Name]],WRstats3[Player],0)),"0")</f>
        <v>0</v>
      </c>
      <c r="AX42" s="14" t="str">
        <f>IFERROR(INDEX(WRstats2[RushYards],MATCH(WRmatchups[[#This Row],[Name]],WRstats2[Player],0)),"0")</f>
        <v>0</v>
      </c>
      <c r="AY42" s="14">
        <f>IFERROR(INDEX(WRstats3[RushYards],MATCH(WRmatchups[[#This Row],[Name]],WRstats3[Player],0)),"0")</f>
        <v>0</v>
      </c>
      <c r="AZ42" s="14" t="str">
        <f>IFERROR(INDEX(WRstats2[RushTD],MATCH(WRmatchups[[#This Row],[Name]],WRstats2[Player],0)),"0")</f>
        <v>0</v>
      </c>
      <c r="BA42" s="14">
        <f>IFERROR(INDEX(WRstats3[RushTD],MATCH(WRmatchups[[#This Row],[Name]],WRstats3[Player],0)),"0")</f>
        <v>0</v>
      </c>
      <c r="BB42" s="264">
        <f>IF(WRmatchups[[#This Row],[Yards]]&gt;=100,3,0)</f>
        <v>0</v>
      </c>
      <c r="BC42" s="191" t="str">
        <f>IFERROR(INDEX(#REF!,MATCH(WRmatchups[Name],#REF!,0)),"0")</f>
        <v>0</v>
      </c>
      <c r="BD42" s="494">
        <f>WRmatchups[[#This Row],[Targets]]/WRmatchups[[#This Row],[Salary]]*100</f>
        <v>0.36538461538461536</v>
      </c>
    </row>
    <row r="43" spans="1:56" ht="15" thickBot="1" x14ac:dyDescent="0.35">
      <c r="A43" s="37">
        <f>WRstats1!AL29</f>
        <v>10.9</v>
      </c>
      <c r="B43" s="5" t="str">
        <f>WRstats1!D29</f>
        <v>Will Fuller</v>
      </c>
      <c r="C43" s="172">
        <f>IFERROR(INDEX(Salaries[DraftKings (Price)],MATCH(WRmatchups[[#This Row],[Name]],Salaries[Player],0)),"")</f>
        <v>5300</v>
      </c>
      <c r="D43" s="172">
        <f>IFERROR(INDEX(DK_Salary_Changes[WeekChange],MATCH(WRmatchups[[#This Row],[Name]],DK_Salary_Changes[Player],0)),"")</f>
        <v>500</v>
      </c>
      <c r="E43" s="14" t="str">
        <f>IFERROR(INDEX(Salaries[Team],MATCH(WRmatchups[[#This Row],[Name]],Salaries[Player],0)),"")</f>
        <v>HOU</v>
      </c>
      <c r="F43" s="460" t="str">
        <f>IFERROR(INDEX(Salaries[Opp],MATCH(WRmatchups[[#This Row],[Team]],Salaries[Team],0)),"")</f>
        <v>TEN</v>
      </c>
      <c r="G43" s="476">
        <f>IFERROR(INDEX(WRYTD[Rec],MATCH(WRmatchups[Name],WRYTD[Player],0)),"0")</f>
        <v>12</v>
      </c>
      <c r="H43" s="458">
        <f>IFERROR(INDEX(targettracker54[TTL],MATCH(WRmatchups[Name],targettracker54[Name],0)),"")</f>
        <v>25</v>
      </c>
      <c r="I43" s="475">
        <f>IFERROR(INDEX(WRYTD[Rec Yds],MATCH(WRmatchups[Name],WRYTD[Player],0)),"0")</f>
        <v>242</v>
      </c>
      <c r="J43" s="477">
        <f>IFERROR(INDEX(WRYTD[Rec TD],MATCH(WRmatchups[Name],WRYTD[Player],0)),"0")</f>
        <v>1</v>
      </c>
      <c r="K43" s="473">
        <f>IFERROR(INDEX(Salaries[O/U],MATCH(WRmatchups[[#This Row],[Team]],Salaries[Team],0)),"")</f>
        <v>40.5</v>
      </c>
      <c r="L43" s="32">
        <f>IFERROR(INDEX(Salaries[Team O/U],MATCH(WRmatchups[[#This Row],[Team]],Salaries[Team],0)),"")</f>
        <v>23.5</v>
      </c>
      <c r="M43" s="417">
        <f>IFERROR(INDEX(Salaries[Spread],MATCH(WRmatchups[[#This Row],[Team]],Salaries[Team],0)),"")</f>
        <v>-6.5</v>
      </c>
      <c r="N43" s="424">
        <f>IFERROR(INDEX(WRallowed[DVP],MATCH(WRmatchups[[#This Row],[Opp]],WRallowed[Team],0)),IFERROR(INDEX(WRallowed[DVP],MATCH(WRmatchups[[#This Row],[Opp]],WRallowed[Opp],0)),""))</f>
        <v>22</v>
      </c>
      <c r="O43" s="17">
        <f>IFERROR(INDEX(YAtCData[YAtC],MATCH(WRmatchups[[#This Row],[Name]],YAtCData[Player],0)),"0")</f>
        <v>170</v>
      </c>
      <c r="P43" s="497">
        <f>IFERROR(INDEX(YAtCData[YAtC/Rec],MATCH(WRmatchups[[#This Row],[Name]],YAtCData[Player],0)),"0")</f>
        <v>14.17</v>
      </c>
      <c r="Q43" s="17">
        <f>IFERROR(INDEX(YAtCData[YAC],MATCH(WRmatchups[[#This Row],[Name]],YAtCData[Player],0)),"0")</f>
        <v>72</v>
      </c>
      <c r="R43" s="497">
        <f>IFERROR(INDEX(YACDATA[YAC per Reception],MATCH(WRmatchups[[#This Row],[Name]],YACDATA[Player],0)),"0")</f>
        <v>6</v>
      </c>
      <c r="S43" s="418">
        <f>AVERAGE(WRmatchups[[#This Row],[Tar1]:[Tar3]])</f>
        <v>5.8</v>
      </c>
      <c r="T43" s="464">
        <f>AVERAGE(WRmatchups[[#This Row],[Rec1]:[Rec3]])</f>
        <v>3.7503333333333333</v>
      </c>
      <c r="U43" s="468">
        <f>SUM(WRmatchups[[#This Row],[Rec4]]/WRmatchups[[#This Row],[Targets2]])</f>
        <v>0.64660919540229889</v>
      </c>
      <c r="V43" s="417">
        <f>AVERAGE(WRmatchups[[#This Row],[Yards1]:[Yards3]])</f>
        <v>62.596000000000004</v>
      </c>
      <c r="W43" s="461">
        <f>SUM(WRmatchups[[#This Row],[Yards]]/WRmatchups[[#This Row],[Targets2]])</f>
        <v>10.792413793103449</v>
      </c>
      <c r="X43" s="32">
        <f>AVERAGE(WRmatchups[[#This Row],[TD1]:[TD3]])</f>
        <v>0.38850000000000001</v>
      </c>
      <c r="Y43" s="14">
        <f>_xlfn.RANK.EQ(WRmatchups[[#This Row],[Projection]],WRmatchups[Projection],0)</f>
        <v>33</v>
      </c>
      <c r="Z43" s="19">
        <f>SUM(WRmatchups[[#This Row],[Yards]]*0.1)+(WRmatchups[[#This Row],[RecTD5]]*6)+(WRmatchups[[#This Row],[Rec4]]*1)+(WRmatchups[[#This Row],[100+]])</f>
        <v>12.340933333333334</v>
      </c>
      <c r="AA43" s="8">
        <f>_xlfn.RANK.EQ(WRmatchups[[#This Row],[$/FP]],WRmatchups[$/FP],1)</f>
        <v>45</v>
      </c>
      <c r="AB43" s="23">
        <f>SUM(WRmatchups[[#This Row],[Salary]]/WRmatchups[[#This Row],[Projection]])</f>
        <v>429.46508637920414</v>
      </c>
      <c r="AC43" s="241">
        <f>_xlfn.RANK.EQ(WRmatchups[[#This Row],[Average]],WRmatchups[Average],1)</f>
        <v>38</v>
      </c>
      <c r="AD43" s="241">
        <f>AVERAGE(WRmatchups[[#This Row],[Proj Rank]],WRmatchups[[#This Row],[Value Rank]])</f>
        <v>39</v>
      </c>
      <c r="AE43" s="210">
        <f>WRmatchups[[#This Row],[Salary]]/50000</f>
        <v>0.106</v>
      </c>
      <c r="AF43" s="214"/>
      <c r="AG43" s="14">
        <f>IFERROR(INDEX(WRstats3[Targets],MATCH(WRmatchups[[#This Row],[Name]],WRstats3[Player],0)),"0")</f>
        <v>5.8</v>
      </c>
      <c r="AH43" s="14" t="str">
        <f>IFERROR(INDEX(WRstats2[Targets],MATCH(WRmatchups[[#This Row],[Name]],WRstats2[Player],0)),"0")</f>
        <v>0</v>
      </c>
      <c r="AI43" s="14">
        <f>IFERROR(INDEX(WRstats3[Targets],MATCH(WRmatchups[[#This Row],[Name]],WRstats3[Player],0)),"0")</f>
        <v>5.8</v>
      </c>
      <c r="AJ43" s="14">
        <f>IFERROR(INDEX(WRstats1[Rec],MATCH(WRmatchups[[#This Row],[Name]],WRstats1[Player],0)),"0")</f>
        <v>3.6509999999999998</v>
      </c>
      <c r="AK43" s="14">
        <f>IFERROR(INDEX(WRstats2[Rec],MATCH(WRmatchups[[#This Row],[Name]],WRstats2[Player],0)),"0")</f>
        <v>4</v>
      </c>
      <c r="AL43" s="14">
        <f>IFERROR(INDEX(WRstats3[Rec],MATCH(WRmatchups[[#This Row],[Name]],WRstats3[Player],0)),"0")</f>
        <v>3.6</v>
      </c>
      <c r="AM43" s="32">
        <f>IFERROR(INDEX(WRallowed[Rec],MATCH(WRmatchups[[#This Row],[Opp]],WRallowed[Team],0)),"0")</f>
        <v>9.8125</v>
      </c>
      <c r="AN43" s="14">
        <f>IFERROR(INDEX(WRstats1[Rec Yds],MATCH(WRmatchups[[#This Row],[Name]],WRstats1[Player],0)),"0")</f>
        <v>69.188000000000002</v>
      </c>
      <c r="AO43" s="14">
        <f>IFERROR(INDEX(WRstats2[RecYards],MATCH(WRmatchups[[#This Row],[Name]],WRstats2[Player],0)),"0")</f>
        <v>59.6</v>
      </c>
      <c r="AP43" s="14">
        <f>IFERROR(INDEX(WRstats3[RecYards],MATCH(WRmatchups[[#This Row],[Name]],WRstats3[Player],0)),"0")</f>
        <v>59</v>
      </c>
      <c r="AQ43" s="32">
        <f>IFERROR(INDEX(WRallowed[Yard],MATCH(WRmatchups[[#This Row],[Opp]],WRallowed[Team],0)),"0")</f>
        <v>127.5625</v>
      </c>
      <c r="AR43" s="14">
        <f>IFERROR(INDEX(WRstats1[Rec TD],MATCH(WRmatchups[[#This Row],[Name]],WRstats1[Player],0)),"0")</f>
        <v>0.377</v>
      </c>
      <c r="AS43" s="14" t="str">
        <f>IFERROR(INDEX(WRstats2[RecTD],MATCH(WRmatchups[[#This Row],[Name]],WRstats2[Player],0)),"0")</f>
        <v>0.3</v>
      </c>
      <c r="AT43" s="14">
        <f>IFERROR(INDEX(WRstats3[RecTD],MATCH(WRmatchups[[#This Row],[Name]],WRstats3[Player],0)),"0")</f>
        <v>0.4</v>
      </c>
      <c r="AU43" s="32">
        <f>IFERROR(INDEX(WRallowed[TD],MATCH(WRmatchups[[#This Row],[Opp]],WRallowed[Team],0)),"0")*0.5</f>
        <v>0.21875</v>
      </c>
      <c r="AV43" s="14" t="str">
        <f>IFERROR(INDEX(WRstats2[RushAtt],MATCH(WRmatchups[[#This Row],[Name]],WRstats2[Player],0)),"0")</f>
        <v>0.3</v>
      </c>
      <c r="AW43" s="14">
        <f>IFERROR(INDEX(WRstats3[RushATT],MATCH(WRmatchups[[#This Row],[Name]],WRstats3[Player],0)),"0")</f>
        <v>0</v>
      </c>
      <c r="AX43" s="14">
        <f>IFERROR(INDEX(WRstats2[RushYards],MATCH(WRmatchups[[#This Row],[Name]],WRstats2[Player],0)),"0")</f>
        <v>-0.1</v>
      </c>
      <c r="AY43" s="14">
        <f>IFERROR(INDEX(WRstats3[RushYards],MATCH(WRmatchups[[#This Row],[Name]],WRstats3[Player],0)),"0")</f>
        <v>0</v>
      </c>
      <c r="AZ43" s="14" t="str">
        <f>IFERROR(INDEX(WRstats2[RushTD],MATCH(WRmatchups[[#This Row],[Name]],WRstats2[Player],0)),"0")</f>
        <v>0</v>
      </c>
      <c r="BA43" s="14">
        <f>IFERROR(INDEX(WRstats3[RushTD],MATCH(WRmatchups[[#This Row],[Name]],WRstats3[Player],0)),"0")</f>
        <v>0</v>
      </c>
      <c r="BB43" s="264">
        <f>IF(WRmatchups[[#This Row],[Yards]]&gt;=100,3,0)</f>
        <v>0</v>
      </c>
      <c r="BC43" s="191" t="str">
        <f>IFERROR(INDEX(#REF!,MATCH(WRmatchups[Name],#REF!,0)),"0")</f>
        <v>0</v>
      </c>
      <c r="BD43" s="494">
        <f>WRmatchups[[#This Row],[Targets]]/WRmatchups[[#This Row],[Salary]]*100</f>
        <v>0.47169811320754718</v>
      </c>
    </row>
    <row r="44" spans="1:56" ht="15" thickBot="1" x14ac:dyDescent="0.35">
      <c r="A44" s="37">
        <f>WRstats1!AL33</f>
        <v>11.2</v>
      </c>
      <c r="B44" s="5" t="str">
        <f>WRstats1!D33</f>
        <v>Sterling Shepard</v>
      </c>
      <c r="C44" s="172">
        <f>IFERROR(INDEX(Salaries[DraftKings (Price)],MATCH(WRmatchups[[#This Row],[Name]],Salaries[Player],0)),"")</f>
        <v>5800</v>
      </c>
      <c r="D44" s="172">
        <f>IFERROR(INDEX(DK_Salary_Changes[WeekChange],MATCH(WRmatchups[[#This Row],[Name]],DK_Salary_Changes[Player],0)),"")</f>
        <v>300</v>
      </c>
      <c r="E44" s="14" t="str">
        <f>IFERROR(INDEX(Salaries[Team],MATCH(WRmatchups[[#This Row],[Name]],Salaries[Player],0)),"")</f>
        <v>NYG</v>
      </c>
      <c r="F44" s="460" t="str">
        <f>IFERROR(INDEX(Salaries[Opp],MATCH(WRmatchups[[#This Row],[Team]],Salaries[Team],0)),"")</f>
        <v>@MIN</v>
      </c>
      <c r="G44" s="476">
        <f>IFERROR(INDEX(WRYTD[Rec],MATCH(WRmatchups[Name],WRYTD[Player],0)),"0")</f>
        <v>16</v>
      </c>
      <c r="H44" s="458">
        <f>IFERROR(INDEX(targettracker54[TTL],MATCH(WRmatchups[Name],targettracker54[Name],0)),"")</f>
        <v>19</v>
      </c>
      <c r="I44" s="475">
        <f>IFERROR(INDEX(WRYTD[Rec Yds],MATCH(WRmatchups[Name],WRYTD[Player],0)),"0")</f>
        <v>233</v>
      </c>
      <c r="J44" s="477">
        <f>IFERROR(INDEX(WRYTD[Rec TD],MATCH(WRmatchups[Name],WRYTD[Player],0)),"0")</f>
        <v>2</v>
      </c>
      <c r="K44" s="473">
        <f>IFERROR(INDEX(Salaries[O/U],MATCH(WRmatchups[[#This Row],[Team]],Salaries[Team],0)),"")</f>
        <v>43.5</v>
      </c>
      <c r="L44" s="32">
        <f>IFERROR(INDEX(Salaries[Team O/U],MATCH(WRmatchups[[#This Row],[Team]],Salaries[Team],0)),"")</f>
        <v>19.75</v>
      </c>
      <c r="M44" s="417">
        <f>IFERROR(INDEX(Salaries[Spread],MATCH(WRmatchups[[#This Row],[Team]],Salaries[Team],0)),"")</f>
        <v>4</v>
      </c>
      <c r="N44" s="424">
        <f>IFERROR(INDEX(WRallowed[DVP],MATCH(WRmatchups[[#This Row],[Opp]],WRallowed[Team],0)),IFERROR(INDEX(WRallowed[DVP],MATCH(WRmatchups[[#This Row],[Opp]],WRallowed[Opp],0)),""))</f>
        <v>14</v>
      </c>
      <c r="O44" s="17">
        <f>IFERROR(INDEX(YAtCData[YAtC],MATCH(WRmatchups[[#This Row],[Name]],YAtCData[Player],0)),"0")</f>
        <v>173</v>
      </c>
      <c r="P44" s="497">
        <f>IFERROR(INDEX(YAtCData[YAtC/Rec],MATCH(WRmatchups[[#This Row],[Name]],YAtCData[Player],0)),"0")</f>
        <v>10.81</v>
      </c>
      <c r="Q44" s="17">
        <f>IFERROR(INDEX(YAtCData[YAC],MATCH(WRmatchups[[#This Row],[Name]],YAtCData[Player],0)),"0")</f>
        <v>60</v>
      </c>
      <c r="R44" s="497">
        <f>IFERROR(INDEX(YACDATA[YAC per Reception],MATCH(WRmatchups[[#This Row],[Name]],YACDATA[Player],0)),"0")</f>
        <v>3.8</v>
      </c>
      <c r="S44" s="418">
        <f>AVERAGE(WRmatchups[[#This Row],[Tar1]:[Tar3]])</f>
        <v>6.7</v>
      </c>
      <c r="T44" s="464">
        <f>AVERAGE(WRmatchups[[#This Row],[Rec1]:[Rec3]])</f>
        <v>4.2123333333333335</v>
      </c>
      <c r="U44" s="468">
        <f>SUM(WRmatchups[[#This Row],[Rec4]]/WRmatchups[[#This Row],[Targets2]])</f>
        <v>0.62870646766169158</v>
      </c>
      <c r="V44" s="417">
        <f>AVERAGE(WRmatchups[[#This Row],[Yards1]:[Yards3]])</f>
        <v>56.451000000000001</v>
      </c>
      <c r="W44" s="461">
        <f>SUM(WRmatchups[[#This Row],[Yards]]/WRmatchups[[#This Row],[Targets2]])</f>
        <v>8.4255223880597008</v>
      </c>
      <c r="X44" s="32">
        <f>AVERAGE(WRmatchups[[#This Row],[TD1]:[TD3]])</f>
        <v>0.39700000000000002</v>
      </c>
      <c r="Y44" s="14">
        <f>_xlfn.RANK.EQ(WRmatchups[[#This Row],[Projection]],WRmatchups[Projection],0)</f>
        <v>34</v>
      </c>
      <c r="Z44" s="19">
        <f>SUM(WRmatchups[[#This Row],[Yards]]*0.1)+(WRmatchups[[#This Row],[RecTD5]]*6)+(WRmatchups[[#This Row],[Rec4]]*1)+(WRmatchups[[#This Row],[100+]])</f>
        <v>12.239433333333334</v>
      </c>
      <c r="AA44" s="8">
        <f>_xlfn.RANK.EQ(WRmatchups[[#This Row],[$/FP]],WRmatchups[$/FP],1)</f>
        <v>65</v>
      </c>
      <c r="AB44" s="23">
        <f>SUM(WRmatchups[[#This Row],[Salary]]/WRmatchups[[#This Row],[Projection]])</f>
        <v>473.87814795347276</v>
      </c>
      <c r="AC44" s="241">
        <f>_xlfn.RANK.EQ(WRmatchups[[#This Row],[Average]],WRmatchups[Average],1)</f>
        <v>53</v>
      </c>
      <c r="AD44" s="241">
        <f>AVERAGE(WRmatchups[[#This Row],[Proj Rank]],WRmatchups[[#This Row],[Value Rank]])</f>
        <v>49.5</v>
      </c>
      <c r="AE44" s="210">
        <f>WRmatchups[[#This Row],[Salary]]/50000</f>
        <v>0.11600000000000001</v>
      </c>
      <c r="AF44" s="214"/>
      <c r="AG44" s="14">
        <f>IFERROR(INDEX(WRstats3[Targets],MATCH(WRmatchups[[#This Row],[Name]],WRstats3[Player],0)),"0")</f>
        <v>6.7</v>
      </c>
      <c r="AH44" s="14" t="str">
        <f>IFERROR(INDEX(WRstats2[Targets],MATCH(WRmatchups[[#This Row],[Name]],WRstats2[Player],0)),"0")</f>
        <v>0</v>
      </c>
      <c r="AI44" s="14">
        <f>IFERROR(INDEX(WRstats3[Targets],MATCH(WRmatchups[[#This Row],[Name]],WRstats3[Player],0)),"0")</f>
        <v>6.7</v>
      </c>
      <c r="AJ44" s="14">
        <f>IFERROR(INDEX(WRstats1[Rec],MATCH(WRmatchups[[#This Row],[Name]],WRstats1[Player],0)),"0")</f>
        <v>4.8369999999999997</v>
      </c>
      <c r="AK44" s="14">
        <f>IFERROR(INDEX(WRstats2[Rec],MATCH(WRmatchups[[#This Row],[Name]],WRstats2[Player],0)),"0")</f>
        <v>3.6</v>
      </c>
      <c r="AL44" s="14">
        <f>IFERROR(INDEX(WRstats3[Rec],MATCH(WRmatchups[[#This Row],[Name]],WRstats3[Player],0)),"0")</f>
        <v>4.2</v>
      </c>
      <c r="AM44" s="32" t="str">
        <f>IFERROR(INDEX(WRallowed[Rec],MATCH(WRmatchups[[#This Row],[Opp]],WRallowed[Team],0)),"0")</f>
        <v>0</v>
      </c>
      <c r="AN44" s="14">
        <f>IFERROR(INDEX(WRstats1[Rec Yds],MATCH(WRmatchups[[#This Row],[Name]],WRstats1[Player],0)),"0")</f>
        <v>65.052999999999997</v>
      </c>
      <c r="AO44" s="14">
        <f>IFERROR(INDEX(WRstats2[RecYards],MATCH(WRmatchups[[#This Row],[Name]],WRstats2[Player],0)),"0")</f>
        <v>49.7</v>
      </c>
      <c r="AP44" s="14">
        <f>IFERROR(INDEX(WRstats3[RecYards],MATCH(WRmatchups[[#This Row],[Name]],WRstats3[Player],0)),"0")</f>
        <v>54.6</v>
      </c>
      <c r="AQ44" s="32" t="str">
        <f>IFERROR(INDEX(WRallowed[Yard],MATCH(WRmatchups[[#This Row],[Opp]],WRallowed[Team],0)),"0")</f>
        <v>0</v>
      </c>
      <c r="AR44" s="14">
        <f>IFERROR(INDEX(WRstats1[Rec TD],MATCH(WRmatchups[[#This Row],[Name]],WRstats1[Player],0)),"0")</f>
        <v>0.39400000000000002</v>
      </c>
      <c r="AS44" s="14" t="str">
        <f>IFERROR(INDEX(WRstats2[RecTD],MATCH(WRmatchups[[#This Row],[Name]],WRstats2[Player],0)),"0")</f>
        <v>0.3</v>
      </c>
      <c r="AT44" s="14">
        <f>IFERROR(INDEX(WRstats3[RecTD],MATCH(WRmatchups[[#This Row],[Name]],WRstats3[Player],0)),"0")</f>
        <v>0.4</v>
      </c>
      <c r="AU44" s="32">
        <f>IFERROR(INDEX(WRallowed[TD],MATCH(WRmatchups[[#This Row],[Opp]],WRallowed[Team],0)),"0")*0.5</f>
        <v>0</v>
      </c>
      <c r="AV44" s="14" t="str">
        <f>IFERROR(INDEX(WRstats2[RushAtt],MATCH(WRmatchups[[#This Row],[Name]],WRstats2[Player],0)),"0")</f>
        <v>0.3</v>
      </c>
      <c r="AW44" s="14">
        <f>IFERROR(INDEX(WRstats3[RushATT],MATCH(WRmatchups[[#This Row],[Name]],WRstats3[Player],0)),"0")</f>
        <v>0</v>
      </c>
      <c r="AX44" s="14" t="str">
        <f>IFERROR(INDEX(WRstats2[RushYards],MATCH(WRmatchups[[#This Row],[Name]],WRstats2[Player],0)),"0")</f>
        <v>0</v>
      </c>
      <c r="AY44" s="14">
        <f>IFERROR(INDEX(WRstats3[RushYards],MATCH(WRmatchups[[#This Row],[Name]],WRstats3[Player],0)),"0")</f>
        <v>0</v>
      </c>
      <c r="AZ44" s="14" t="str">
        <f>IFERROR(INDEX(WRstats2[RushTD],MATCH(WRmatchups[[#This Row],[Name]],WRstats2[Player],0)),"0")</f>
        <v>0</v>
      </c>
      <c r="BA44" s="14">
        <f>IFERROR(INDEX(WRstats3[RushTD],MATCH(WRmatchups[[#This Row],[Name]],WRstats3[Player],0)),"0")</f>
        <v>0</v>
      </c>
      <c r="BB44" s="264">
        <f>IF(WRmatchups[[#This Row],[Yards]]&gt;=100,3,0)</f>
        <v>0</v>
      </c>
      <c r="BC44" s="191" t="str">
        <f>IFERROR(INDEX(#REF!,MATCH(WRmatchups[Name],#REF!,0)),"0")</f>
        <v>0</v>
      </c>
      <c r="BD44" s="494">
        <f>WRmatchups[[#This Row],[Targets]]/WRmatchups[[#This Row],[Salary]]*100</f>
        <v>0.32758620689655171</v>
      </c>
    </row>
    <row r="45" spans="1:56" ht="15" thickBot="1" x14ac:dyDescent="0.35">
      <c r="A45" s="37">
        <f>WRstats1!AL44</f>
        <v>9.3000000000000007</v>
      </c>
      <c r="B45" s="5" t="str">
        <f>WRstats1!D44</f>
        <v>Tajae Sharpe</v>
      </c>
      <c r="C45" s="172">
        <f>IFERROR(INDEX(Salaries[DraftKings (Price)],MATCH(WRmatchups[[#This Row],[Name]],Salaries[Player],0)),"")</f>
        <v>5000</v>
      </c>
      <c r="D45" s="172">
        <f>IFERROR(INDEX(DK_Salary_Changes[WeekChange],MATCH(WRmatchups[[#This Row],[Name]],DK_Salary_Changes[Player],0)),"")</f>
        <v>300</v>
      </c>
      <c r="E45" s="14" t="str">
        <f>IFERROR(INDEX(Salaries[Team],MATCH(WRmatchups[[#This Row],[Name]],Salaries[Player],0)),"")</f>
        <v>TEN</v>
      </c>
      <c r="F45" s="460" t="str">
        <f>IFERROR(INDEX(Salaries[Opp],MATCH(WRmatchups[[#This Row],[Team]],Salaries[Team],0)),"")</f>
        <v>@HOU</v>
      </c>
      <c r="G45" s="476">
        <f>IFERROR(INDEX(WRYTD[Rec],MATCH(WRmatchups[Name],WRYTD[Player],0)),"0")</f>
        <v>14</v>
      </c>
      <c r="H45" s="458">
        <f>IFERROR(INDEX(targettracker54[TTL],MATCH(WRmatchups[Name],targettracker54[Name],0)),"")</f>
        <v>25</v>
      </c>
      <c r="I45" s="475">
        <f>IFERROR(INDEX(WRYTD[Rec Yds],MATCH(WRmatchups[Name],WRYTD[Player],0)),"0")</f>
        <v>157</v>
      </c>
      <c r="J45" s="477">
        <f>IFERROR(INDEX(WRYTD[Rec TD],MATCH(WRmatchups[Name],WRYTD[Player],0)),"0")</f>
        <v>0</v>
      </c>
      <c r="K45" s="473">
        <f>IFERROR(INDEX(Salaries[O/U],MATCH(WRmatchups[[#This Row],[Team]],Salaries[Team],0)),"")</f>
        <v>40.5</v>
      </c>
      <c r="L45" s="32">
        <f>IFERROR(INDEX(Salaries[Team O/U],MATCH(WRmatchups[[#This Row],[Team]],Salaries[Team],0)),"")</f>
        <v>17</v>
      </c>
      <c r="M45" s="417">
        <f>IFERROR(INDEX(Salaries[Spread],MATCH(WRmatchups[[#This Row],[Team]],Salaries[Team],0)),"")</f>
        <v>6.5</v>
      </c>
      <c r="N45" s="424">
        <f>IFERROR(INDEX(WRallowed[DVP],MATCH(WRmatchups[[#This Row],[Opp]],WRallowed[Team],0)),IFERROR(INDEX(WRallowed[DVP],MATCH(WRmatchups[[#This Row],[Opp]],WRallowed[Opp],0)),""))</f>
        <v>6</v>
      </c>
      <c r="O45" s="17">
        <f>IFERROR(INDEX(YAtCData[YAtC],MATCH(WRmatchups[[#This Row],[Name]],YAtCData[Player],0)),"0")</f>
        <v>127</v>
      </c>
      <c r="P45" s="497">
        <f>IFERROR(INDEX(YAtCData[YAtC/Rec],MATCH(WRmatchups[[#This Row],[Name]],YAtCData[Player],0)),"0")</f>
        <v>9.07</v>
      </c>
      <c r="Q45" s="17">
        <f>IFERROR(INDEX(YAtCData[YAC],MATCH(WRmatchups[[#This Row],[Name]],YAtCData[Player],0)),"0")</f>
        <v>30</v>
      </c>
      <c r="R45" s="497">
        <f>IFERROR(INDEX(YACDATA[YAC per Reception],MATCH(WRmatchups[[#This Row],[Name]],YACDATA[Player],0)),"0")</f>
        <v>2.1</v>
      </c>
      <c r="S45" s="418">
        <f>AVERAGE(WRmatchups[[#This Row],[Tar1]:[Tar3]])</f>
        <v>6.3</v>
      </c>
      <c r="T45" s="464">
        <f>AVERAGE(WRmatchups[[#This Row],[Rec1]:[Rec3]])</f>
        <v>4.6533333333333333</v>
      </c>
      <c r="U45" s="468">
        <f>SUM(WRmatchups[[#This Row],[Rec4]]/WRmatchups[[#This Row],[Targets2]])</f>
        <v>0.73862433862433863</v>
      </c>
      <c r="V45" s="417">
        <f>AVERAGE(WRmatchups[[#This Row],[Yards1]:[Yards3]])</f>
        <v>59.728666666666662</v>
      </c>
      <c r="W45" s="461">
        <f>SUM(WRmatchups[[#This Row],[Yards]]/WRmatchups[[#This Row],[Targets2]])</f>
        <v>9.4807407407407407</v>
      </c>
      <c r="X45" s="32">
        <f>AVERAGE(WRmatchups[[#This Row],[TD1]:[TD3]])</f>
        <v>0.26749999999999996</v>
      </c>
      <c r="Y45" s="14">
        <f>_xlfn.RANK.EQ(WRmatchups[[#This Row],[Projection]],WRmatchups[Projection],0)</f>
        <v>35</v>
      </c>
      <c r="Z45" s="19">
        <f>SUM(WRmatchups[[#This Row],[Yards]]*0.1)+(WRmatchups[[#This Row],[RecTD5]]*6)+(WRmatchups[[#This Row],[Rec4]]*1)+(WRmatchups[[#This Row],[100+]])</f>
        <v>12.231199999999999</v>
      </c>
      <c r="AA45" s="8">
        <f>_xlfn.RANK.EQ(WRmatchups[[#This Row],[$/FP]],WRmatchups[$/FP],1)</f>
        <v>28</v>
      </c>
      <c r="AB45" s="23">
        <f>SUM(WRmatchups[[#This Row],[Salary]]/WRmatchups[[#This Row],[Projection]])</f>
        <v>408.79063378899866</v>
      </c>
      <c r="AC45" s="241">
        <f>_xlfn.RANK.EQ(WRmatchups[[#This Row],[Average]],WRmatchups[Average],1)</f>
        <v>30</v>
      </c>
      <c r="AD45" s="241">
        <f>AVERAGE(WRmatchups[[#This Row],[Proj Rank]],WRmatchups[[#This Row],[Value Rank]])</f>
        <v>31.5</v>
      </c>
      <c r="AE45" s="210">
        <f>WRmatchups[[#This Row],[Salary]]/50000</f>
        <v>0.1</v>
      </c>
      <c r="AF45" s="214"/>
      <c r="AG45" s="14">
        <f>IFERROR(INDEX(WRstats3[Targets],MATCH(WRmatchups[[#This Row],[Name]],WRstats3[Player],0)),"0")</f>
        <v>6.3</v>
      </c>
      <c r="AH45" s="14" t="str">
        <f>IFERROR(INDEX(WRstats2[Targets],MATCH(WRmatchups[[#This Row],[Name]],WRstats2[Player],0)),"0")</f>
        <v>0</v>
      </c>
      <c r="AI45" s="14">
        <f>IFERROR(INDEX(WRstats3[Targets],MATCH(WRmatchups[[#This Row],[Name]],WRstats3[Player],0)),"0")</f>
        <v>6.3</v>
      </c>
      <c r="AJ45" s="14">
        <f>IFERROR(INDEX(WRstats1[Rec],MATCH(WRmatchups[[#This Row],[Name]],WRstats1[Player],0)),"0")</f>
        <v>4.26</v>
      </c>
      <c r="AK45" s="14">
        <f>IFERROR(INDEX(WRstats2[Rec],MATCH(WRmatchups[[#This Row],[Name]],WRstats2[Player],0)),"0")</f>
        <v>5.0999999999999996</v>
      </c>
      <c r="AL45" s="14">
        <f>IFERROR(INDEX(WRstats3[Rec],MATCH(WRmatchups[[#This Row],[Name]],WRstats3[Player],0)),"0")</f>
        <v>4.5999999999999996</v>
      </c>
      <c r="AM45" s="32" t="str">
        <f>IFERROR(INDEX(WRallowed[Rec],MATCH(WRmatchups[[#This Row],[Opp]],WRallowed[Team],0)),"0")</f>
        <v>0</v>
      </c>
      <c r="AN45" s="14">
        <f>IFERROR(INDEX(WRstats1[Rec Yds],MATCH(WRmatchups[[#This Row],[Name]],WRstats1[Player],0)),"0")</f>
        <v>58.085999999999999</v>
      </c>
      <c r="AO45" s="14">
        <f>IFERROR(INDEX(WRstats2[RecYards],MATCH(WRmatchups[[#This Row],[Name]],WRstats2[Player],0)),"0")</f>
        <v>64.3</v>
      </c>
      <c r="AP45" s="14">
        <f>IFERROR(INDEX(WRstats3[RecYards],MATCH(WRmatchups[[#This Row],[Name]],WRstats3[Player],0)),"0")</f>
        <v>56.8</v>
      </c>
      <c r="AQ45" s="32" t="str">
        <f>IFERROR(INDEX(WRallowed[Yard],MATCH(WRmatchups[[#This Row],[Opp]],WRallowed[Team],0)),"0")</f>
        <v>0</v>
      </c>
      <c r="AR45" s="14">
        <f>IFERROR(INDEX(WRstats1[Rec TD],MATCH(WRmatchups[[#This Row],[Name]],WRstats1[Player],0)),"0")</f>
        <v>0.23499999999999999</v>
      </c>
      <c r="AS45" s="14" t="str">
        <f>IFERROR(INDEX(WRstats2[RecTD],MATCH(WRmatchups[[#This Row],[Name]],WRstats2[Player],0)),"0")</f>
        <v>0.2</v>
      </c>
      <c r="AT45" s="14">
        <f>IFERROR(INDEX(WRstats3[RecTD],MATCH(WRmatchups[[#This Row],[Name]],WRstats3[Player],0)),"0")</f>
        <v>0.3</v>
      </c>
      <c r="AU45" s="32">
        <f>IFERROR(INDEX(WRallowed[TD],MATCH(WRmatchups[[#This Row],[Opp]],WRallowed[Team],0)),"0")*0.5</f>
        <v>0</v>
      </c>
      <c r="AV45" s="14" t="str">
        <f>IFERROR(INDEX(WRstats2[RushAtt],MATCH(WRmatchups[[#This Row],[Name]],WRstats2[Player],0)),"0")</f>
        <v>0.2</v>
      </c>
      <c r="AW45" s="14">
        <f>IFERROR(INDEX(WRstats3[RushATT],MATCH(WRmatchups[[#This Row],[Name]],WRstats3[Player],0)),"0")</f>
        <v>0</v>
      </c>
      <c r="AX45" s="14" t="str">
        <f>IFERROR(INDEX(WRstats2[RushYards],MATCH(WRmatchups[[#This Row],[Name]],WRstats2[Player],0)),"0")</f>
        <v>0</v>
      </c>
      <c r="AY45" s="14">
        <f>IFERROR(INDEX(WRstats3[RushYards],MATCH(WRmatchups[[#This Row],[Name]],WRstats3[Player],0)),"0")</f>
        <v>0</v>
      </c>
      <c r="AZ45" s="14" t="str">
        <f>IFERROR(INDEX(WRstats2[RushTD],MATCH(WRmatchups[[#This Row],[Name]],WRstats2[Player],0)),"0")</f>
        <v>0</v>
      </c>
      <c r="BA45" s="14">
        <f>IFERROR(INDEX(WRstats3[RushTD],MATCH(WRmatchups[[#This Row],[Name]],WRstats3[Player],0)),"0")</f>
        <v>0</v>
      </c>
      <c r="BB45" s="264">
        <f>IF(WRmatchups[[#This Row],[Yards]]&gt;=100,3,0)</f>
        <v>0</v>
      </c>
      <c r="BC45" s="191" t="str">
        <f>IFERROR(INDEX(#REF!,MATCH(WRmatchups[Name],#REF!,0)),"0")</f>
        <v>0</v>
      </c>
      <c r="BD45" s="494">
        <f>WRmatchups[[#This Row],[Targets]]/WRmatchups[[#This Row],[Salary]]*100</f>
        <v>0.5</v>
      </c>
    </row>
    <row r="46" spans="1:56" ht="15" thickBot="1" x14ac:dyDescent="0.35">
      <c r="A46" s="37">
        <f>WRstats1!AL36</f>
        <v>10.7</v>
      </c>
      <c r="B46" s="5" t="str">
        <f>WRstats1!D36</f>
        <v>Allen Hurns</v>
      </c>
      <c r="C46" s="172">
        <f>IFERROR(INDEX(Salaries[DraftKings (Price)],MATCH(WRmatchups[[#This Row],[Name]],Salaries[Player],0)),"")</f>
        <v>4800</v>
      </c>
      <c r="D46" s="172">
        <f>IFERROR(INDEX(DK_Salary_Changes[WeekChange],MATCH(WRmatchups[[#This Row],[Name]],DK_Salary_Changes[Player],0)),"")</f>
        <v>-400</v>
      </c>
      <c r="E46" s="14" t="str">
        <f>IFERROR(INDEX(Salaries[Team],MATCH(WRmatchups[[#This Row],[Name]],Salaries[Player],0)),"")</f>
        <v>JAX</v>
      </c>
      <c r="F46" s="460" t="str">
        <f>IFERROR(INDEX(Salaries[Opp],MATCH(WRmatchups[[#This Row],[Team]],Salaries[Team],0)),"")</f>
        <v>IND</v>
      </c>
      <c r="G46" s="476">
        <f>IFERROR(INDEX(WRYTD[Rec],MATCH(WRmatchups[Name],WRYTD[Player],0)),"0")</f>
        <v>13</v>
      </c>
      <c r="H46" s="458">
        <f>IFERROR(INDEX(targettracker54[TTL],MATCH(WRmatchups[Name],targettracker54[Name],0)),"")</f>
        <v>23</v>
      </c>
      <c r="I46" s="475">
        <f>IFERROR(INDEX(WRYTD[Rec Yds],MATCH(WRmatchups[Name],WRYTD[Player],0)),"0")</f>
        <v>179</v>
      </c>
      <c r="J46" s="477">
        <f>IFERROR(INDEX(WRYTD[Rec TD],MATCH(WRmatchups[Name],WRYTD[Player],0)),"0")</f>
        <v>0</v>
      </c>
      <c r="K46" s="473">
        <f>IFERROR(INDEX(Salaries[O/U],MATCH(WRmatchups[[#This Row],[Team]],Salaries[Team],0)),"")</f>
        <v>49.5</v>
      </c>
      <c r="L46" s="32">
        <f>IFERROR(INDEX(Salaries[Team O/U],MATCH(WRmatchups[[#This Row],[Team]],Salaries[Team],0)),"")</f>
        <v>23.5</v>
      </c>
      <c r="M46" s="417">
        <f>IFERROR(INDEX(Salaries[Spread],MATCH(WRmatchups[[#This Row],[Team]],Salaries[Team],0)),"")</f>
        <v>2.5</v>
      </c>
      <c r="N46" s="424">
        <f>IFERROR(INDEX(WRallowed[DVP],MATCH(WRmatchups[[#This Row],[Opp]],WRallowed[Team],0)),IFERROR(INDEX(WRallowed[DVP],MATCH(WRmatchups[[#This Row],[Opp]],WRallowed[Opp],0)),""))</f>
        <v>25</v>
      </c>
      <c r="O46" s="17">
        <f>IFERROR(INDEX(YAtCData[YAtC],MATCH(WRmatchups[[#This Row],[Name]],YAtCData[Player],0)),"0")</f>
        <v>118</v>
      </c>
      <c r="P46" s="497">
        <f>IFERROR(INDEX(YAtCData[YAtC/Rec],MATCH(WRmatchups[[#This Row],[Name]],YAtCData[Player],0)),"0")</f>
        <v>9.08</v>
      </c>
      <c r="Q46" s="17">
        <f>IFERROR(INDEX(YAtCData[YAC],MATCH(WRmatchups[[#This Row],[Name]],YAtCData[Player],0)),"0")</f>
        <v>61</v>
      </c>
      <c r="R46" s="497">
        <f>IFERROR(INDEX(YACDATA[YAC per Reception],MATCH(WRmatchups[[#This Row],[Name]],YACDATA[Player],0)),"0")</f>
        <v>4.7</v>
      </c>
      <c r="S46" s="418">
        <f>AVERAGE(WRmatchups[[#This Row],[Tar1]:[Tar3]])</f>
        <v>6</v>
      </c>
      <c r="T46" s="464">
        <f>AVERAGE(WRmatchups[[#This Row],[Rec1]:[Rec3]])</f>
        <v>4.0213333333333336</v>
      </c>
      <c r="U46" s="468">
        <f>SUM(WRmatchups[[#This Row],[Rec4]]/WRmatchups[[#This Row],[Targets2]])</f>
        <v>0.67022222222222227</v>
      </c>
      <c r="V46" s="417">
        <f>AVERAGE(WRmatchups[[#This Row],[Yards1]:[Yards3]])</f>
        <v>56.442666666666668</v>
      </c>
      <c r="W46" s="461">
        <f>SUM(WRmatchups[[#This Row],[Yards]]/WRmatchups[[#This Row],[Targets2]])</f>
        <v>9.4071111111111119</v>
      </c>
      <c r="X46" s="32">
        <f>AVERAGE(WRmatchups[[#This Row],[TD1]:[TD3]])</f>
        <v>0.40449999999999997</v>
      </c>
      <c r="Y46" s="14">
        <f>_xlfn.RANK.EQ(WRmatchups[[#This Row],[Projection]],WRmatchups[Projection],0)</f>
        <v>36</v>
      </c>
      <c r="Z46" s="19">
        <f>SUM(WRmatchups[[#This Row],[Yards]]*0.1)+(WRmatchups[[#This Row],[RecTD5]]*6)+(WRmatchups[[#This Row],[Rec4]]*1)+(WRmatchups[[#This Row],[100+]])</f>
        <v>12.092600000000001</v>
      </c>
      <c r="AA46" s="8">
        <f>_xlfn.RANK.EQ(WRmatchups[[#This Row],[$/FP]],WRmatchups[$/FP],1)</f>
        <v>22</v>
      </c>
      <c r="AB46" s="23">
        <f>SUM(WRmatchups[[#This Row],[Salary]]/WRmatchups[[#This Row],[Projection]])</f>
        <v>396.93696971701701</v>
      </c>
      <c r="AC46" s="241">
        <f>_xlfn.RANK.EQ(WRmatchups[[#This Row],[Average]],WRmatchups[Average],1)</f>
        <v>23</v>
      </c>
      <c r="AD46" s="241">
        <f>AVERAGE(WRmatchups[[#This Row],[Proj Rank]],WRmatchups[[#This Row],[Value Rank]])</f>
        <v>29</v>
      </c>
      <c r="AE46" s="210">
        <f>WRmatchups[[#This Row],[Salary]]/50000</f>
        <v>9.6000000000000002E-2</v>
      </c>
      <c r="AF46" s="214"/>
      <c r="AG46" s="14">
        <f>IFERROR(INDEX(WRstats3[Targets],MATCH(WRmatchups[[#This Row],[Name]],WRstats3[Player],0)),"0")</f>
        <v>6</v>
      </c>
      <c r="AH46" s="14" t="str">
        <f>IFERROR(INDEX(WRstats2[Targets],MATCH(WRmatchups[[#This Row],[Name]],WRstats2[Player],0)),"0")</f>
        <v>0</v>
      </c>
      <c r="AI46" s="14">
        <f>IFERROR(INDEX(WRstats3[Targets],MATCH(WRmatchups[[#This Row],[Name]],WRstats3[Player],0)),"0")</f>
        <v>6</v>
      </c>
      <c r="AJ46" s="14">
        <f>IFERROR(INDEX(WRstats1[Rec],MATCH(WRmatchups[[#This Row],[Name]],WRstats1[Player],0)),"0")</f>
        <v>4.7640000000000002</v>
      </c>
      <c r="AK46" s="14">
        <f>IFERROR(INDEX(WRstats2[Rec],MATCH(WRmatchups[[#This Row],[Name]],WRstats2[Player],0)),"0")</f>
        <v>3.5</v>
      </c>
      <c r="AL46" s="14">
        <f>IFERROR(INDEX(WRstats3[Rec],MATCH(WRmatchups[[#This Row],[Name]],WRstats3[Player],0)),"0")</f>
        <v>3.8</v>
      </c>
      <c r="AM46" s="32">
        <f>IFERROR(INDEX(WRallowed[Rec],MATCH(WRmatchups[[#This Row],[Opp]],WRallowed[Team],0)),"0")</f>
        <v>12.1875</v>
      </c>
      <c r="AN46" s="14">
        <f>IFERROR(INDEX(WRstats1[Rec Yds],MATCH(WRmatchups[[#This Row],[Name]],WRstats1[Player],0)),"0")</f>
        <v>59.628</v>
      </c>
      <c r="AO46" s="14">
        <f>IFERROR(INDEX(WRstats2[RecYards],MATCH(WRmatchups[[#This Row],[Name]],WRstats2[Player],0)),"0")</f>
        <v>50.8</v>
      </c>
      <c r="AP46" s="14">
        <f>IFERROR(INDEX(WRstats3[RecYards],MATCH(WRmatchups[[#This Row],[Name]],WRstats3[Player],0)),"0")</f>
        <v>58.9</v>
      </c>
      <c r="AQ46" s="32">
        <f>IFERROR(INDEX(WRallowed[Yard],MATCH(WRmatchups[[#This Row],[Opp]],WRallowed[Team],0)),"0")</f>
        <v>166.625</v>
      </c>
      <c r="AR46" s="14">
        <f>IFERROR(INDEX(WRstats1[Rec TD],MATCH(WRmatchups[[#This Row],[Name]],WRstats1[Player],0)),"0")</f>
        <v>0.40899999999999997</v>
      </c>
      <c r="AS46" s="14" t="str">
        <f>IFERROR(INDEX(WRstats2[RecTD],MATCH(WRmatchups[[#This Row],[Name]],WRstats2[Player],0)),"0")</f>
        <v>0.3</v>
      </c>
      <c r="AT46" s="14">
        <f>IFERROR(INDEX(WRstats3[RecTD],MATCH(WRmatchups[[#This Row],[Name]],WRstats3[Player],0)),"0")</f>
        <v>0.4</v>
      </c>
      <c r="AU46" s="32">
        <f>IFERROR(INDEX(WRallowed[TD],MATCH(WRmatchups[[#This Row],[Opp]],WRallowed[Team],0)),"0")*0.5</f>
        <v>0.59375</v>
      </c>
      <c r="AV46" s="14" t="str">
        <f>IFERROR(INDEX(WRstats2[RushAtt],MATCH(WRmatchups[[#This Row],[Name]],WRstats2[Player],0)),"0")</f>
        <v>0.3</v>
      </c>
      <c r="AW46" s="14">
        <f>IFERROR(INDEX(WRstats3[RushATT],MATCH(WRmatchups[[#This Row],[Name]],WRstats3[Player],0)),"0")</f>
        <v>0</v>
      </c>
      <c r="AX46" s="14" t="str">
        <f>IFERROR(INDEX(WRstats2[RushYards],MATCH(WRmatchups[[#This Row],[Name]],WRstats2[Player],0)),"0")</f>
        <v>0</v>
      </c>
      <c r="AY46" s="14">
        <f>IFERROR(INDEX(WRstats3[RushYards],MATCH(WRmatchups[[#This Row],[Name]],WRstats3[Player],0)),"0")</f>
        <v>0</v>
      </c>
      <c r="AZ46" s="14" t="str">
        <f>IFERROR(INDEX(WRstats2[RushTD],MATCH(WRmatchups[[#This Row],[Name]],WRstats2[Player],0)),"0")</f>
        <v>0</v>
      </c>
      <c r="BA46" s="14">
        <f>IFERROR(INDEX(WRstats3[RushTD],MATCH(WRmatchups[[#This Row],[Name]],WRstats3[Player],0)),"0")</f>
        <v>0</v>
      </c>
      <c r="BB46" s="264">
        <f>IF(WRmatchups[[#This Row],[Yards]]&gt;=100,3,0)</f>
        <v>0</v>
      </c>
      <c r="BC46" s="191" t="str">
        <f>IFERROR(INDEX(#REF!,MATCH(WRmatchups[Name],#REF!,0)),"0")</f>
        <v>0</v>
      </c>
      <c r="BD46" s="494">
        <f>WRmatchups[[#This Row],[Targets]]/WRmatchups[[#This Row],[Salary]]*100</f>
        <v>0.47916666666666663</v>
      </c>
    </row>
    <row r="47" spans="1:56" ht="15" thickBot="1" x14ac:dyDescent="0.35">
      <c r="A47" s="37">
        <f>WRstats1!AL51</f>
        <v>8.4</v>
      </c>
      <c r="B47" s="5" t="str">
        <f>WRstats1!D51</f>
        <v>Golden Tate</v>
      </c>
      <c r="C47" s="172">
        <f>IFERROR(INDEX(Salaries[DraftKings (Price)],MATCH(WRmatchups[[#This Row],[Name]],Salaries[Player],0)),"")</f>
        <v>5800</v>
      </c>
      <c r="D47" s="172">
        <f>IFERROR(INDEX(DK_Salary_Changes[WeekChange],MATCH(WRmatchups[[#This Row],[Name]],DK_Salary_Changes[Player],0)),"")</f>
        <v>-100</v>
      </c>
      <c r="E47" s="14" t="str">
        <f>IFERROR(INDEX(Salaries[Team],MATCH(WRmatchups[[#This Row],[Name]],Salaries[Player],0)),"")</f>
        <v>DET</v>
      </c>
      <c r="F47" s="460" t="str">
        <f>IFERROR(INDEX(Salaries[Opp],MATCH(WRmatchups[[#This Row],[Team]],Salaries[Team],0)),"")</f>
        <v>@CHI</v>
      </c>
      <c r="G47" s="476" t="str">
        <f>IFERROR(INDEX(WRYTD[Rec],MATCH(WRmatchups[Name],WRYTD[Player],0)),"0")</f>
        <v>0</v>
      </c>
      <c r="H47" s="458">
        <f>IFERROR(INDEX(targettracker54[TTL],MATCH(WRmatchups[Name],targettracker54[Name],0)),"")</f>
        <v>22</v>
      </c>
      <c r="I47" s="475" t="str">
        <f>IFERROR(INDEX(WRYTD[Rec Yds],MATCH(WRmatchups[Name],WRYTD[Player],0)),"0")</f>
        <v>0</v>
      </c>
      <c r="J47" s="477" t="str">
        <f>IFERROR(INDEX(WRYTD[Rec TD],MATCH(WRmatchups[Name],WRYTD[Player],0)),"0")</f>
        <v>0</v>
      </c>
      <c r="K47" s="473">
        <f>IFERROR(INDEX(Salaries[O/U],MATCH(WRmatchups[[#This Row],[Team]],Salaries[Team],0)),"")</f>
        <v>46.5</v>
      </c>
      <c r="L47" s="32">
        <f>IFERROR(INDEX(Salaries[Team O/U],MATCH(WRmatchups[[#This Row],[Team]],Salaries[Team],0)),"")</f>
        <v>24.75</v>
      </c>
      <c r="M47" s="417">
        <f>IFERROR(INDEX(Salaries[Spread],MATCH(WRmatchups[[#This Row],[Team]],Salaries[Team],0)),"")</f>
        <v>-3</v>
      </c>
      <c r="N47" s="424">
        <f>IFERROR(INDEX(WRallowed[DVP],MATCH(WRmatchups[[#This Row],[Opp]],WRallowed[Team],0)),IFERROR(INDEX(WRallowed[DVP],MATCH(WRmatchups[[#This Row],[Opp]],WRallowed[Opp],0)),""))</f>
        <v>10</v>
      </c>
      <c r="O47" s="17">
        <f>IFERROR(INDEX(YAtCData[YAtC],MATCH(WRmatchups[[#This Row],[Name]],YAtCData[Player],0)),"0")</f>
        <v>28</v>
      </c>
      <c r="P47" s="497">
        <f>IFERROR(INDEX(YAtCData[YAtC/Rec],MATCH(WRmatchups[[#This Row],[Name]],YAtCData[Player],0)),"0")</f>
        <v>2.15</v>
      </c>
      <c r="Q47" s="17">
        <f>IFERROR(INDEX(YAtCData[YAC],MATCH(WRmatchups[[#This Row],[Name]],YAtCData[Player],0)),"0")</f>
        <v>66</v>
      </c>
      <c r="R47" s="497">
        <f>IFERROR(INDEX(YACDATA[YAC per Reception],MATCH(WRmatchups[[#This Row],[Name]],YACDATA[Player],0)),"0")</f>
        <v>5.0999999999999996</v>
      </c>
      <c r="S47" s="418">
        <f>AVERAGE(WRmatchups[[#This Row],[Tar1]:[Tar3]])</f>
        <v>6.1</v>
      </c>
      <c r="T47" s="464">
        <f>AVERAGE(WRmatchups[[#This Row],[Rec1]:[Rec3]])</f>
        <v>4.6523333333333339</v>
      </c>
      <c r="U47" s="468">
        <f>SUM(WRmatchups[[#This Row],[Rec4]]/WRmatchups[[#This Row],[Targets2]])</f>
        <v>0.76267759562841542</v>
      </c>
      <c r="V47" s="417">
        <f>AVERAGE(WRmatchups[[#This Row],[Yards1]:[Yards3]])</f>
        <v>51.907333333333327</v>
      </c>
      <c r="W47" s="461">
        <f>SUM(WRmatchups[[#This Row],[Yards]]/WRmatchups[[#This Row],[Targets2]])</f>
        <v>8.5093989071038241</v>
      </c>
      <c r="X47" s="32">
        <f>AVERAGE(WRmatchups[[#This Row],[TD1]:[TD3]])</f>
        <v>0.34899999999999998</v>
      </c>
      <c r="Y47" s="14">
        <f>_xlfn.RANK.EQ(WRmatchups[[#This Row],[Projection]],WRmatchups[Projection],0)</f>
        <v>37</v>
      </c>
      <c r="Z47" s="19">
        <f>SUM(WRmatchups[[#This Row],[Yards]]*0.1)+(WRmatchups[[#This Row],[RecTD5]]*6)+(WRmatchups[[#This Row],[Rec4]]*1)+(WRmatchups[[#This Row],[100+]])</f>
        <v>11.937066666666666</v>
      </c>
      <c r="AA47" s="8">
        <f>_xlfn.RANK.EQ(WRmatchups[[#This Row],[$/FP]],WRmatchups[$/FP],1)</f>
        <v>67</v>
      </c>
      <c r="AB47" s="23">
        <f>SUM(WRmatchups[[#This Row],[Salary]]/WRmatchups[[#This Row],[Projection]])</f>
        <v>485.88151192922885</v>
      </c>
      <c r="AC47" s="241">
        <f>_xlfn.RANK.EQ(WRmatchups[[#This Row],[Average]],WRmatchups[Average],1)</f>
        <v>58</v>
      </c>
      <c r="AD47" s="241">
        <f>AVERAGE(WRmatchups[[#This Row],[Proj Rank]],WRmatchups[[#This Row],[Value Rank]])</f>
        <v>52</v>
      </c>
      <c r="AE47" s="210">
        <f>WRmatchups[[#This Row],[Salary]]/50000</f>
        <v>0.11600000000000001</v>
      </c>
      <c r="AF47" s="214"/>
      <c r="AG47" s="14">
        <f>IFERROR(INDEX(WRstats3[Targets],MATCH(WRmatchups[[#This Row],[Name]],WRstats3[Player],0)),"0")</f>
        <v>6.1</v>
      </c>
      <c r="AH47" s="14" t="str">
        <f>IFERROR(INDEX(WRstats2[Targets],MATCH(WRmatchups[[#This Row],[Name]],WRstats2[Player],0)),"0")</f>
        <v>0</v>
      </c>
      <c r="AI47" s="14">
        <f>IFERROR(INDEX(WRstats3[Targets],MATCH(WRmatchups[[#This Row],[Name]],WRstats3[Player],0)),"0")</f>
        <v>6.1</v>
      </c>
      <c r="AJ47" s="14">
        <f>IFERROR(INDEX(WRstats1[Rec],MATCH(WRmatchups[[#This Row],[Name]],WRstats1[Player],0)),"0")</f>
        <v>4.157</v>
      </c>
      <c r="AK47" s="14">
        <f>IFERROR(INDEX(WRstats2[Rec],MATCH(WRmatchups[[#This Row],[Name]],WRstats2[Player],0)),"0")</f>
        <v>5.4</v>
      </c>
      <c r="AL47" s="14">
        <f>IFERROR(INDEX(WRstats3[Rec],MATCH(WRmatchups[[#This Row],[Name]],WRstats3[Player],0)),"0")</f>
        <v>4.4000000000000004</v>
      </c>
      <c r="AM47" s="32" t="str">
        <f>IFERROR(INDEX(WRallowed[Rec],MATCH(WRmatchups[[#This Row],[Opp]],WRallowed[Team],0)),"0")</f>
        <v>0</v>
      </c>
      <c r="AN47" s="14">
        <f>IFERROR(INDEX(WRstats1[Rec Yds],MATCH(WRmatchups[[#This Row],[Name]],WRstats1[Player],0)),"0")</f>
        <v>44.921999999999997</v>
      </c>
      <c r="AO47" s="14">
        <f>IFERROR(INDEX(WRstats2[RecYards],MATCH(WRmatchups[[#This Row],[Name]],WRstats2[Player],0)),"0")</f>
        <v>57.6</v>
      </c>
      <c r="AP47" s="14">
        <f>IFERROR(INDEX(WRstats3[RecYards],MATCH(WRmatchups[[#This Row],[Name]],WRstats3[Player],0)),"0")</f>
        <v>53.2</v>
      </c>
      <c r="AQ47" s="32" t="str">
        <f>IFERROR(INDEX(WRallowed[Yard],MATCH(WRmatchups[[#This Row],[Opp]],WRallowed[Team],0)),"0")</f>
        <v>0</v>
      </c>
      <c r="AR47" s="14">
        <f>IFERROR(INDEX(WRstats1[Rec TD],MATCH(WRmatchups[[#This Row],[Name]],WRstats1[Player],0)),"0")</f>
        <v>0.29799999999999999</v>
      </c>
      <c r="AS47" s="14" t="str">
        <f>IFERROR(INDEX(WRstats2[RecTD],MATCH(WRmatchups[[#This Row],[Name]],WRstats2[Player],0)),"0")</f>
        <v>0.3</v>
      </c>
      <c r="AT47" s="14">
        <f>IFERROR(INDEX(WRstats3[RecTD],MATCH(WRmatchups[[#This Row],[Name]],WRstats3[Player],0)),"0")</f>
        <v>0.4</v>
      </c>
      <c r="AU47" s="32">
        <f>IFERROR(INDEX(WRallowed[TD],MATCH(WRmatchups[[#This Row],[Opp]],WRallowed[Team],0)),"0")*0.5</f>
        <v>0</v>
      </c>
      <c r="AV47" s="14" t="str">
        <f>IFERROR(INDEX(WRstats2[RushAtt],MATCH(WRmatchups[[#This Row],[Name]],WRstats2[Player],0)),"0")</f>
        <v>0.3</v>
      </c>
      <c r="AW47" s="14">
        <f>IFERROR(INDEX(WRstats3[RushATT],MATCH(WRmatchups[[#This Row],[Name]],WRstats3[Player],0)),"0")</f>
        <v>0.5</v>
      </c>
      <c r="AX47" s="14">
        <f>IFERROR(INDEX(WRstats2[RushYards],MATCH(WRmatchups[[#This Row],[Name]],WRstats2[Player],0)),"0")</f>
        <v>1.1000000000000001</v>
      </c>
      <c r="AY47" s="14">
        <f>IFERROR(INDEX(WRstats3[RushYards],MATCH(WRmatchups[[#This Row],[Name]],WRstats3[Player],0)),"0")</f>
        <v>2.6</v>
      </c>
      <c r="AZ47" s="14" t="str">
        <f>IFERROR(INDEX(WRstats2[RushTD],MATCH(WRmatchups[[#This Row],[Name]],WRstats2[Player],0)),"0")</f>
        <v>0</v>
      </c>
      <c r="BA47" s="14">
        <f>IFERROR(INDEX(WRstats3[RushTD],MATCH(WRmatchups[[#This Row],[Name]],WRstats3[Player],0)),"0")</f>
        <v>0</v>
      </c>
      <c r="BB47" s="264">
        <f>IF(WRmatchups[[#This Row],[Yards]]&gt;=100,3,0)</f>
        <v>0</v>
      </c>
      <c r="BC47" s="191" t="str">
        <f>IFERROR(INDEX(#REF!,MATCH(WRmatchups[Name],#REF!,0)),"0")</f>
        <v>0</v>
      </c>
      <c r="BD47" s="494">
        <f>WRmatchups[[#This Row],[Targets]]/WRmatchups[[#This Row],[Salary]]*100</f>
        <v>0.37931034482758619</v>
      </c>
    </row>
    <row r="48" spans="1:56" ht="15" thickBot="1" x14ac:dyDescent="0.35">
      <c r="A48" s="37">
        <f>WRstats1!AL25</f>
        <v>12.3</v>
      </c>
      <c r="B48" s="5" t="str">
        <f>WRstats1!D25</f>
        <v>Tyrell Williams</v>
      </c>
      <c r="C48" s="172">
        <f>IFERROR(INDEX(Salaries[DraftKings (Price)],MATCH(WRmatchups[[#This Row],[Name]],Salaries[Player],0)),"")</f>
        <v>4400</v>
      </c>
      <c r="D48" s="172">
        <f>IFERROR(INDEX(DK_Salary_Changes[WeekChange],MATCH(WRmatchups[[#This Row],[Name]],DK_Salary_Changes[Player],0)),"")</f>
        <v>100</v>
      </c>
      <c r="E48" s="14" t="str">
        <f>IFERROR(INDEX(Salaries[Team],MATCH(WRmatchups[[#This Row],[Name]],Salaries[Player],0)),"")</f>
        <v>SD</v>
      </c>
      <c r="F48" s="460" t="str">
        <f>IFERROR(INDEX(Salaries[Opp],MATCH(WRmatchups[[#This Row],[Team]],Salaries[Team],0)),"")</f>
        <v>NO</v>
      </c>
      <c r="G48" s="476">
        <f>IFERROR(INDEX(WRYTD[Rec],MATCH(WRmatchups[Name],WRYTD[Player],0)),"0")</f>
        <v>11</v>
      </c>
      <c r="H48" s="458">
        <f>IFERROR(INDEX(targettracker54[TTL],MATCH(WRmatchups[Name],targettracker54[Name],0)),"")</f>
        <v>20</v>
      </c>
      <c r="I48" s="475">
        <f>IFERROR(INDEX(WRYTD[Rec Yds],MATCH(WRmatchups[Name],WRYTD[Player],0)),"0")</f>
        <v>201</v>
      </c>
      <c r="J48" s="477">
        <f>IFERROR(INDEX(WRYTD[Rec TD],MATCH(WRmatchups[Name],WRYTD[Player],0)),"0")</f>
        <v>1</v>
      </c>
      <c r="K48" s="473">
        <f>IFERROR(INDEX(Salaries[O/U],MATCH(WRmatchups[[#This Row],[Team]],Salaries[Team],0)),"")</f>
        <v>53.5</v>
      </c>
      <c r="L48" s="32">
        <f>IFERROR(INDEX(Salaries[Team O/U],MATCH(WRmatchups[[#This Row],[Team]],Salaries[Team],0)),"")</f>
        <v>28.75</v>
      </c>
      <c r="M48" s="417">
        <f>IFERROR(INDEX(Salaries[Spread],MATCH(WRmatchups[[#This Row],[Team]],Salaries[Team],0)),"")</f>
        <v>-4</v>
      </c>
      <c r="N48" s="424">
        <f>IFERROR(INDEX(WRallowed[DVP],MATCH(WRmatchups[[#This Row],[Opp]],WRallowed[Team],0)),IFERROR(INDEX(WRallowed[DVP],MATCH(WRmatchups[[#This Row],[Opp]],WRallowed[Opp],0)),""))</f>
        <v>27</v>
      </c>
      <c r="O48" s="17">
        <f>IFERROR(INDEX(YAtCData[YAtC],MATCH(WRmatchups[[#This Row],[Name]],YAtCData[Player],0)),"0")</f>
        <v>55</v>
      </c>
      <c r="P48" s="497">
        <f>IFERROR(INDEX(YAtCData[YAtC/Rec],MATCH(WRmatchups[[#This Row],[Name]],YAtCData[Player],0)),"0")</f>
        <v>5</v>
      </c>
      <c r="Q48" s="17">
        <f>IFERROR(INDEX(YAtCData[YAC],MATCH(WRmatchups[[#This Row],[Name]],YAtCData[Player],0)),"0")</f>
        <v>146</v>
      </c>
      <c r="R48" s="497">
        <f>IFERROR(INDEX(YACDATA[YAC per Reception],MATCH(WRmatchups[[#This Row],[Name]],YACDATA[Player],0)),"0")</f>
        <v>13.3</v>
      </c>
      <c r="S48" s="418">
        <f>AVERAGE(WRmatchups[[#This Row],[Tar1]:[Tar3]])</f>
        <v>6.1</v>
      </c>
      <c r="T48" s="464">
        <f>AVERAGE(WRmatchups[[#This Row],[Rec1]:[Rec3]])</f>
        <v>3.3339999999999996</v>
      </c>
      <c r="U48" s="468">
        <f>SUM(WRmatchups[[#This Row],[Rec4]]/WRmatchups[[#This Row],[Targets2]])</f>
        <v>0.54655737704918028</v>
      </c>
      <c r="V48" s="417">
        <f>AVERAGE(WRmatchups[[#This Row],[Yards1]:[Yards3]])</f>
        <v>60.426333333333332</v>
      </c>
      <c r="W48" s="461">
        <f>SUM(WRmatchups[[#This Row],[Yards]]/WRmatchups[[#This Row],[Targets2]])</f>
        <v>9.9059562841530067</v>
      </c>
      <c r="X48" s="32">
        <f>AVERAGE(WRmatchups[[#This Row],[TD1]:[TD3]])</f>
        <v>0.42249999999999999</v>
      </c>
      <c r="Y48" s="14">
        <f>_xlfn.RANK.EQ(WRmatchups[[#This Row],[Projection]],WRmatchups[Projection],0)</f>
        <v>38</v>
      </c>
      <c r="Z48" s="19">
        <f>SUM(WRmatchups[[#This Row],[Yards]]*0.1)+(WRmatchups[[#This Row],[RecTD5]]*6)+(WRmatchups[[#This Row],[Rec4]]*1)+(WRmatchups[[#This Row],[100+]])</f>
        <v>11.911633333333334</v>
      </c>
      <c r="AA48" s="8">
        <f>_xlfn.RANK.EQ(WRmatchups[[#This Row],[$/FP]],WRmatchups[$/FP],1)</f>
        <v>9</v>
      </c>
      <c r="AB48" s="23">
        <f>SUM(WRmatchups[[#This Row],[Salary]]/WRmatchups[[#This Row],[Projection]])</f>
        <v>369.38678994484383</v>
      </c>
      <c r="AC48" s="241">
        <f>_xlfn.RANK.EQ(WRmatchups[[#This Row],[Average]],WRmatchups[Average],1)</f>
        <v>17</v>
      </c>
      <c r="AD48" s="241">
        <f>AVERAGE(WRmatchups[[#This Row],[Proj Rank]],WRmatchups[[#This Row],[Value Rank]])</f>
        <v>23.5</v>
      </c>
      <c r="AE48" s="210">
        <f>WRmatchups[[#This Row],[Salary]]/50000</f>
        <v>8.7999999999999995E-2</v>
      </c>
      <c r="AF48" s="214"/>
      <c r="AG48" s="14">
        <f>IFERROR(INDEX(WRstats3[Targets],MATCH(WRmatchups[[#This Row],[Name]],WRstats3[Player],0)),"0")</f>
        <v>6.1</v>
      </c>
      <c r="AH48" s="14" t="str">
        <f>IFERROR(INDEX(WRstats2[Targets],MATCH(WRmatchups[[#This Row],[Name]],WRstats2[Player],0)),"0")</f>
        <v>0</v>
      </c>
      <c r="AI48" s="14">
        <f>IFERROR(INDEX(WRstats3[Targets],MATCH(WRmatchups[[#This Row],[Name]],WRstats3[Player],0)),"0")</f>
        <v>6.1</v>
      </c>
      <c r="AJ48" s="14">
        <f>IFERROR(INDEX(WRstats1[Rec],MATCH(WRmatchups[[#This Row],[Name]],WRstats1[Player],0)),"0")</f>
        <v>4.202</v>
      </c>
      <c r="AK48" s="14">
        <f>IFERROR(INDEX(WRstats2[Rec],MATCH(WRmatchups[[#This Row],[Name]],WRstats2[Player],0)),"0")</f>
        <v>2.1</v>
      </c>
      <c r="AL48" s="14">
        <f>IFERROR(INDEX(WRstats3[Rec],MATCH(WRmatchups[[#This Row],[Name]],WRstats3[Player],0)),"0")</f>
        <v>3.7</v>
      </c>
      <c r="AM48" s="32">
        <f>IFERROR(INDEX(WRallowed[Rec],MATCH(WRmatchups[[#This Row],[Opp]],WRallowed[Team],0)),"0")</f>
        <v>13.25</v>
      </c>
      <c r="AN48" s="14">
        <f>IFERROR(INDEX(WRstats1[Rec Yds],MATCH(WRmatchups[[#This Row],[Name]],WRstats1[Player],0)),"0")</f>
        <v>75.778999999999996</v>
      </c>
      <c r="AO48" s="14">
        <f>IFERROR(INDEX(WRstats2[RecYards],MATCH(WRmatchups[[#This Row],[Name]],WRstats2[Player],0)),"0")</f>
        <v>41.4</v>
      </c>
      <c r="AP48" s="14">
        <f>IFERROR(INDEX(WRstats3[RecYards],MATCH(WRmatchups[[#This Row],[Name]],WRstats3[Player],0)),"0")</f>
        <v>64.099999999999994</v>
      </c>
      <c r="AQ48" s="32">
        <f>IFERROR(INDEX(WRallowed[Yard],MATCH(WRmatchups[[#This Row],[Opp]],WRallowed[Team],0)),"0")</f>
        <v>153.5</v>
      </c>
      <c r="AR48" s="14">
        <f>IFERROR(INDEX(WRstats1[Rec TD],MATCH(WRmatchups[[#This Row],[Name]],WRstats1[Player],0)),"0")</f>
        <v>0.44500000000000001</v>
      </c>
      <c r="AS48" s="14" t="str">
        <f>IFERROR(INDEX(WRstats2[RecTD],MATCH(WRmatchups[[#This Row],[Name]],WRstats2[Player],0)),"0")</f>
        <v>0.4</v>
      </c>
      <c r="AT48" s="14">
        <f>IFERROR(INDEX(WRstats3[RecTD],MATCH(WRmatchups[[#This Row],[Name]],WRstats3[Player],0)),"0")</f>
        <v>0.4</v>
      </c>
      <c r="AU48" s="32">
        <f>IFERROR(INDEX(WRallowed[TD],MATCH(WRmatchups[[#This Row],[Opp]],WRallowed[Team],0)),"0")*0.5</f>
        <v>0.375</v>
      </c>
      <c r="AV48" s="14" t="str">
        <f>IFERROR(INDEX(WRstats2[RushAtt],MATCH(WRmatchups[[#This Row],[Name]],WRstats2[Player],0)),"0")</f>
        <v>0.4</v>
      </c>
      <c r="AW48" s="14">
        <f>IFERROR(INDEX(WRstats3[RushATT],MATCH(WRmatchups[[#This Row],[Name]],WRstats3[Player],0)),"0")</f>
        <v>0</v>
      </c>
      <c r="AX48" s="14" t="str">
        <f>IFERROR(INDEX(WRstats2[RushYards],MATCH(WRmatchups[[#This Row],[Name]],WRstats2[Player],0)),"0")</f>
        <v>0</v>
      </c>
      <c r="AY48" s="14">
        <f>IFERROR(INDEX(WRstats3[RushYards],MATCH(WRmatchups[[#This Row],[Name]],WRstats3[Player],0)),"0")</f>
        <v>0</v>
      </c>
      <c r="AZ48" s="14" t="str">
        <f>IFERROR(INDEX(WRstats2[RushTD],MATCH(WRmatchups[[#This Row],[Name]],WRstats2[Player],0)),"0")</f>
        <v>0</v>
      </c>
      <c r="BA48" s="14">
        <f>IFERROR(INDEX(WRstats3[RushTD],MATCH(WRmatchups[[#This Row],[Name]],WRstats3[Player],0)),"0")</f>
        <v>0</v>
      </c>
      <c r="BB48" s="264">
        <f>IF(WRmatchups[[#This Row],[Yards]]&gt;=100,3,0)</f>
        <v>0</v>
      </c>
      <c r="BC48" s="191" t="str">
        <f>IFERROR(INDEX(#REF!,MATCH(WRmatchups[Name],#REF!,0)),"0")</f>
        <v>0</v>
      </c>
      <c r="BD48" s="494">
        <f>WRmatchups[[#This Row],[Targets]]/WRmatchups[[#This Row],[Salary]]*100</f>
        <v>0.45454545454545453</v>
      </c>
    </row>
    <row r="49" spans="1:56" ht="15" thickBot="1" x14ac:dyDescent="0.35">
      <c r="A49" s="37">
        <f>WRstats1!AL39</f>
        <v>9.3000000000000007</v>
      </c>
      <c r="B49" s="5" t="str">
        <f>WRstats1!D39</f>
        <v>Michael Floyd</v>
      </c>
      <c r="C49" s="172">
        <f>IFERROR(INDEX(Salaries[DraftKings (Price)],MATCH(WRmatchups[[#This Row],[Name]],Salaries[Player],0)),"")</f>
        <v>5100</v>
      </c>
      <c r="D49" s="172">
        <f>IFERROR(INDEX(DK_Salary_Changes[WeekChange],MATCH(WRmatchups[[#This Row],[Name]],DK_Salary_Changes[Player],0)),"")</f>
        <v>-700</v>
      </c>
      <c r="E49" s="14" t="str">
        <f>IFERROR(INDEX(Salaries[Team],MATCH(WRmatchups[[#This Row],[Name]],Salaries[Player],0)),"")</f>
        <v>ARI</v>
      </c>
      <c r="F49" s="460" t="str">
        <f>IFERROR(INDEX(Salaries[Opp],MATCH(WRmatchups[[#This Row],[Team]],Salaries[Team],0)),"")</f>
        <v>LA</v>
      </c>
      <c r="G49" s="476">
        <f>IFERROR(INDEX(WRYTD[Rec],MATCH(WRmatchups[Name],WRYTD[Player],0)),"0")</f>
        <v>9</v>
      </c>
      <c r="H49" s="458">
        <f>IFERROR(INDEX(targettracker54[TTL],MATCH(WRmatchups[Name],targettracker54[Name],0)),"")</f>
        <v>24</v>
      </c>
      <c r="I49" s="475">
        <f>IFERROR(INDEX(WRYTD[Rec Yds],MATCH(WRmatchups[Name],WRYTD[Player],0)),"0")</f>
        <v>134</v>
      </c>
      <c r="J49" s="477">
        <f>IFERROR(INDEX(WRYTD[Rec TD],MATCH(WRmatchups[Name],WRYTD[Player],0)),"0")</f>
        <v>1</v>
      </c>
      <c r="K49" s="473">
        <f>IFERROR(INDEX(Salaries[O/U],MATCH(WRmatchups[[#This Row],[Team]],Salaries[Team],0)),"")</f>
        <v>43</v>
      </c>
      <c r="L49" s="32">
        <f>IFERROR(INDEX(Salaries[Team O/U],MATCH(WRmatchups[[#This Row],[Team]],Salaries[Team],0)),"")</f>
        <v>25.5</v>
      </c>
      <c r="M49" s="417">
        <f>IFERROR(INDEX(Salaries[Spread],MATCH(WRmatchups[[#This Row],[Team]],Salaries[Team],0)),"")</f>
        <v>-8</v>
      </c>
      <c r="N49" s="424">
        <f>IFERROR(INDEX(WRallowed[DVP],MATCH(WRmatchups[[#This Row],[Opp]],WRallowed[Team],0)),IFERROR(INDEX(WRallowed[DVP],MATCH(WRmatchups[[#This Row],[Opp]],WRallowed[Opp],0)),""))</f>
        <v>5</v>
      </c>
      <c r="O49" s="17">
        <f>IFERROR(INDEX(YAtCData[YAtC],MATCH(WRmatchups[[#This Row],[Name]],YAtCData[Player],0)),"0")</f>
        <v>118</v>
      </c>
      <c r="P49" s="497">
        <f>IFERROR(INDEX(YAtCData[YAtC/Rec],MATCH(WRmatchups[[#This Row],[Name]],YAtCData[Player],0)),"0")</f>
        <v>13.11</v>
      </c>
      <c r="Q49" s="17">
        <f>IFERROR(INDEX(YAtCData[YAC],MATCH(WRmatchups[[#This Row],[Name]],YAtCData[Player],0)),"0")</f>
        <v>16</v>
      </c>
      <c r="R49" s="497">
        <f>IFERROR(INDEX(YACDATA[YAC per Reception],MATCH(WRmatchups[[#This Row],[Name]],YACDATA[Player],0)),"0")</f>
        <v>1.8</v>
      </c>
      <c r="S49" s="418">
        <f>AVERAGE(WRmatchups[[#This Row],[Tar1]:[Tar3]])</f>
        <v>6.3</v>
      </c>
      <c r="T49" s="464">
        <f>AVERAGE(WRmatchups[[#This Row],[Rec1]:[Rec3]])</f>
        <v>3.4306666666666668</v>
      </c>
      <c r="U49" s="468">
        <f>SUM(WRmatchups[[#This Row],[Rec4]]/WRmatchups[[#This Row],[Targets2]])</f>
        <v>0.54455026455026456</v>
      </c>
      <c r="V49" s="417">
        <f>AVERAGE(WRmatchups[[#This Row],[Yards1]:[Yards3]])</f>
        <v>58.690666666666665</v>
      </c>
      <c r="W49" s="461">
        <f>SUM(WRmatchups[[#This Row],[Yards]]/WRmatchups[[#This Row],[Targets2]])</f>
        <v>9.3159788359788358</v>
      </c>
      <c r="X49" s="32">
        <f>AVERAGE(WRmatchups[[#This Row],[TD1]:[TD3]])</f>
        <v>0.35650000000000004</v>
      </c>
      <c r="Y49" s="14">
        <f>_xlfn.RANK.EQ(WRmatchups[[#This Row],[Projection]],WRmatchups[Projection],0)</f>
        <v>39</v>
      </c>
      <c r="Z49" s="19">
        <f>SUM(WRmatchups[[#This Row],[Yards]]*0.1)+(WRmatchups[[#This Row],[RecTD5]]*6)+(WRmatchups[[#This Row],[Rec4]]*1)+(WRmatchups[[#This Row],[100+]])</f>
        <v>11.438733333333335</v>
      </c>
      <c r="AA49" s="8">
        <f>_xlfn.RANK.EQ(WRmatchups[[#This Row],[$/FP]],WRmatchups[$/FP],1)</f>
        <v>53</v>
      </c>
      <c r="AB49" s="23">
        <f>SUM(WRmatchups[[#This Row],[Salary]]/WRmatchups[[#This Row],[Projection]])</f>
        <v>445.85356187456648</v>
      </c>
      <c r="AC49" s="241">
        <f>_xlfn.RANK.EQ(WRmatchups[[#This Row],[Average]],WRmatchups[Average],1)</f>
        <v>48</v>
      </c>
      <c r="AD49" s="241">
        <f>AVERAGE(WRmatchups[[#This Row],[Proj Rank]],WRmatchups[[#This Row],[Value Rank]])</f>
        <v>46</v>
      </c>
      <c r="AE49" s="210">
        <f>WRmatchups[[#This Row],[Salary]]/50000</f>
        <v>0.10199999999999999</v>
      </c>
      <c r="AF49" s="214"/>
      <c r="AG49" s="14">
        <f>IFERROR(INDEX(WRstats3[Targets],MATCH(WRmatchups[[#This Row],[Name]],WRstats3[Player],0)),"0")</f>
        <v>6.3</v>
      </c>
      <c r="AH49" s="14" t="str">
        <f>IFERROR(INDEX(WRstats2[Targets],MATCH(WRmatchups[[#This Row],[Name]],WRstats2[Player],0)),"0")</f>
        <v>0</v>
      </c>
      <c r="AI49" s="14">
        <f>IFERROR(INDEX(WRstats3[Targets],MATCH(WRmatchups[[#This Row],[Name]],WRstats3[Player],0)),"0")</f>
        <v>6.3</v>
      </c>
      <c r="AJ49" s="14">
        <f>IFERROR(INDEX(WRstats1[Rec],MATCH(WRmatchups[[#This Row],[Name]],WRstats1[Player],0)),"0")</f>
        <v>3.0920000000000001</v>
      </c>
      <c r="AK49" s="14">
        <f>IFERROR(INDEX(WRstats2[Rec],MATCH(WRmatchups[[#This Row],[Name]],WRstats2[Player],0)),"0")</f>
        <v>3.4</v>
      </c>
      <c r="AL49" s="14">
        <f>IFERROR(INDEX(WRstats3[Rec],MATCH(WRmatchups[[#This Row],[Name]],WRstats3[Player],0)),"0")</f>
        <v>3.8</v>
      </c>
      <c r="AM49" s="32">
        <f>IFERROR(INDEX(WRallowed[Rec],MATCH(WRmatchups[[#This Row],[Opp]],WRallowed[Team],0)),"0")</f>
        <v>12.75</v>
      </c>
      <c r="AN49" s="14">
        <f>IFERROR(INDEX(WRstats1[Rec Yds],MATCH(WRmatchups[[#This Row],[Name]],WRstats1[Player],0)),"0")</f>
        <v>59.372</v>
      </c>
      <c r="AO49" s="14">
        <f>IFERROR(INDEX(WRstats2[RecYards],MATCH(WRmatchups[[#This Row],[Name]],WRstats2[Player],0)),"0")</f>
        <v>52.7</v>
      </c>
      <c r="AP49" s="14">
        <f>IFERROR(INDEX(WRstats3[RecYards],MATCH(WRmatchups[[#This Row],[Name]],WRstats3[Player],0)),"0")</f>
        <v>64</v>
      </c>
      <c r="AQ49" s="32">
        <f>IFERROR(INDEX(WRallowed[Yard],MATCH(WRmatchups[[#This Row],[Opp]],WRallowed[Team],0)),"0")</f>
        <v>166.625</v>
      </c>
      <c r="AR49" s="14">
        <f>IFERROR(INDEX(WRstats1[Rec TD],MATCH(WRmatchups[[#This Row],[Name]],WRstats1[Player],0)),"0")</f>
        <v>0.313</v>
      </c>
      <c r="AS49" s="14" t="str">
        <f>IFERROR(INDEX(WRstats2[RecTD],MATCH(WRmatchups[[#This Row],[Name]],WRstats2[Player],0)),"0")</f>
        <v>0.4</v>
      </c>
      <c r="AT49" s="14">
        <f>IFERROR(INDEX(WRstats3[RecTD],MATCH(WRmatchups[[#This Row],[Name]],WRstats3[Player],0)),"0")</f>
        <v>0.4</v>
      </c>
      <c r="AU49" s="32">
        <f>IFERROR(INDEX(WRallowed[TD],MATCH(WRmatchups[[#This Row],[Opp]],WRallowed[Team],0)),"0")*0.5</f>
        <v>0.46875</v>
      </c>
      <c r="AV49" s="14" t="str">
        <f>IFERROR(INDEX(WRstats2[RushAtt],MATCH(WRmatchups[[#This Row],[Name]],WRstats2[Player],0)),"0")</f>
        <v>0.4</v>
      </c>
      <c r="AW49" s="14">
        <f>IFERROR(INDEX(WRstats3[RushATT],MATCH(WRmatchups[[#This Row],[Name]],WRstats3[Player],0)),"0")</f>
        <v>0</v>
      </c>
      <c r="AX49" s="14">
        <f>IFERROR(INDEX(WRstats2[RushYards],MATCH(WRmatchups[[#This Row],[Name]],WRstats2[Player],0)),"0")</f>
        <v>0</v>
      </c>
      <c r="AY49" s="14">
        <f>IFERROR(INDEX(WRstats3[RushYards],MATCH(WRmatchups[[#This Row],[Name]],WRstats3[Player],0)),"0")</f>
        <v>0</v>
      </c>
      <c r="AZ49" s="14" t="str">
        <f>IFERROR(INDEX(WRstats2[RushTD],MATCH(WRmatchups[[#This Row],[Name]],WRstats2[Player],0)),"0")</f>
        <v>0</v>
      </c>
      <c r="BA49" s="14">
        <f>IFERROR(INDEX(WRstats3[RushTD],MATCH(WRmatchups[[#This Row],[Name]],WRstats3[Player],0)),"0")</f>
        <v>0</v>
      </c>
      <c r="BB49" s="264">
        <f>IF(WRmatchups[[#This Row],[Yards]]&gt;=100,3,0)</f>
        <v>0</v>
      </c>
      <c r="BC49" s="191" t="str">
        <f>IFERROR(INDEX(#REF!,MATCH(WRmatchups[Name],#REF!,0)),"0")</f>
        <v>0</v>
      </c>
      <c r="BD49" s="494">
        <f>WRmatchups[[#This Row],[Targets]]/WRmatchups[[#This Row],[Salary]]*100</f>
        <v>0.47058823529411759</v>
      </c>
    </row>
    <row r="50" spans="1:56" ht="15" thickBot="1" x14ac:dyDescent="0.35">
      <c r="A50" s="37">
        <f>WRstats1!AL42</f>
        <v>9.9</v>
      </c>
      <c r="B50" s="5" t="str">
        <f>WRstats1!D42</f>
        <v>Jamison Crowder</v>
      </c>
      <c r="C50" s="172">
        <f>IFERROR(INDEX(Salaries[DraftKings (Price)],MATCH(WRmatchups[[#This Row],[Name]],Salaries[Player],0)),"")</f>
        <v>4200</v>
      </c>
      <c r="D50" s="172">
        <f>IFERROR(INDEX(DK_Salary_Changes[WeekChange],MATCH(WRmatchups[[#This Row],[Name]],DK_Salary_Changes[Player],0)),"")</f>
        <v>400</v>
      </c>
      <c r="E50" s="14" t="str">
        <f>IFERROR(INDEX(Salaries[Team],MATCH(WRmatchups[[#This Row],[Name]],Salaries[Player],0)),"")</f>
        <v>WAS</v>
      </c>
      <c r="F50" s="460" t="str">
        <f>IFERROR(INDEX(Salaries[Opp],MATCH(WRmatchups[[#This Row],[Team]],Salaries[Team],0)),"")</f>
        <v>CLE</v>
      </c>
      <c r="G50" s="476">
        <f>IFERROR(INDEX(WRYTD[Rec],MATCH(WRmatchups[Name],WRYTD[Player],0)),"0")</f>
        <v>16</v>
      </c>
      <c r="H50" s="458">
        <f>IFERROR(INDEX(targettracker54[TTL],MATCH(WRmatchups[Name],targettracker54[Name],0)),"")</f>
        <v>25</v>
      </c>
      <c r="I50" s="475">
        <f>IFERROR(INDEX(WRYTD[Rec Yds],MATCH(WRmatchups[Name],WRYTD[Player],0)),"0")</f>
        <v>175</v>
      </c>
      <c r="J50" s="477">
        <f>IFERROR(INDEX(WRYTD[Rec TD],MATCH(WRmatchups[Name],WRYTD[Player],0)),"0")</f>
        <v>2</v>
      </c>
      <c r="K50" s="473">
        <f>IFERROR(INDEX(Salaries[O/U],MATCH(WRmatchups[[#This Row],[Team]],Salaries[Team],0)),"")</f>
        <v>45.5</v>
      </c>
      <c r="L50" s="32">
        <f>IFERROR(INDEX(Salaries[Team O/U],MATCH(WRmatchups[[#This Row],[Team]],Salaries[Team],0)),"")</f>
        <v>26.75</v>
      </c>
      <c r="M50" s="417">
        <f>IFERROR(INDEX(Salaries[Spread],MATCH(WRmatchups[[#This Row],[Team]],Salaries[Team],0)),"")</f>
        <v>-8</v>
      </c>
      <c r="N50" s="424">
        <f>IFERROR(INDEX(WRallowed[DVP],MATCH(WRmatchups[[#This Row],[Opp]],WRallowed[Team],0)),IFERROR(INDEX(WRallowed[DVP],MATCH(WRmatchups[[#This Row],[Opp]],WRallowed[Opp],0)),""))</f>
        <v>32</v>
      </c>
      <c r="O50" s="17">
        <f>IFERROR(INDEX(YAtCData[YAtC],MATCH(WRmatchups[[#This Row],[Name]],YAtCData[Player],0)),"0")</f>
        <v>77</v>
      </c>
      <c r="P50" s="497">
        <f>IFERROR(INDEX(YAtCData[YAtC/Rec],MATCH(WRmatchups[[#This Row],[Name]],YAtCData[Player],0)),"0")</f>
        <v>4.8099999999999996</v>
      </c>
      <c r="Q50" s="17">
        <f>IFERROR(INDEX(YAtCData[YAC],MATCH(WRmatchups[[#This Row],[Name]],YAtCData[Player],0)),"0")</f>
        <v>98</v>
      </c>
      <c r="R50" s="497">
        <f>IFERROR(INDEX(YACDATA[YAC per Reception],MATCH(WRmatchups[[#This Row],[Name]],YACDATA[Player],0)),"0")</f>
        <v>6.1</v>
      </c>
      <c r="S50" s="418">
        <f>AVERAGE(WRmatchups[[#This Row],[Tar1]:[Tar3]])</f>
        <v>3.7</v>
      </c>
      <c r="T50" s="464">
        <f>AVERAGE(WRmatchups[[#This Row],[Rec1]:[Rec3]])</f>
        <v>4.2273333333333332</v>
      </c>
      <c r="U50" s="468">
        <f>SUM(WRmatchups[[#This Row],[Rec4]]/WRmatchups[[#This Row],[Targets2]])</f>
        <v>1.1425225225225224</v>
      </c>
      <c r="V50" s="417">
        <f>AVERAGE(WRmatchups[[#This Row],[Yards1]:[Yards3]])</f>
        <v>50.844333333333338</v>
      </c>
      <c r="W50" s="461">
        <f>SUM(WRmatchups[[#This Row],[Yards]]/WRmatchups[[#This Row],[Targets2]])</f>
        <v>13.741711711711712</v>
      </c>
      <c r="X50" s="32">
        <f>AVERAGE(WRmatchups[[#This Row],[TD1]:[TD3]])</f>
        <v>0.26550000000000001</v>
      </c>
      <c r="Y50" s="14">
        <f>_xlfn.RANK.EQ(WRmatchups[[#This Row],[Projection]],WRmatchups[Projection],0)</f>
        <v>40</v>
      </c>
      <c r="Z50" s="19">
        <f>SUM(WRmatchups[[#This Row],[Yards]]*0.1)+(WRmatchups[[#This Row],[RecTD5]]*6)+(WRmatchups[[#This Row],[Rec4]]*1)+(WRmatchups[[#This Row],[100+]])</f>
        <v>10.904766666666667</v>
      </c>
      <c r="AA50" s="8">
        <f>_xlfn.RANK.EQ(WRmatchups[[#This Row],[$/FP]],WRmatchups[$/FP],1)</f>
        <v>19</v>
      </c>
      <c r="AB50" s="23">
        <f>SUM(WRmatchups[[#This Row],[Salary]]/WRmatchups[[#This Row],[Projection]])</f>
        <v>385.15267023900861</v>
      </c>
      <c r="AC50" s="241">
        <f>_xlfn.RANK.EQ(WRmatchups[[#This Row],[Average]],WRmatchups[Average],1)</f>
        <v>24</v>
      </c>
      <c r="AD50" s="241">
        <f>AVERAGE(WRmatchups[[#This Row],[Proj Rank]],WRmatchups[[#This Row],[Value Rank]])</f>
        <v>29.5</v>
      </c>
      <c r="AE50" s="210">
        <f>WRmatchups[[#This Row],[Salary]]/50000</f>
        <v>8.4000000000000005E-2</v>
      </c>
      <c r="AF50" s="214"/>
      <c r="AG50" s="14">
        <f>IFERROR(INDEX(WRstats3[Targets],MATCH(WRmatchups[[#This Row],[Name]],WRstats3[Player],0)),"0")</f>
        <v>3.7</v>
      </c>
      <c r="AH50" s="14" t="str">
        <f>IFERROR(INDEX(WRstats2[Targets],MATCH(WRmatchups[[#This Row],[Name]],WRstats2[Player],0)),"0")</f>
        <v>0</v>
      </c>
      <c r="AI50" s="14">
        <f>IFERROR(INDEX(WRstats3[Targets],MATCH(WRmatchups[[#This Row],[Name]],WRstats3[Player],0)),"0")</f>
        <v>3.7</v>
      </c>
      <c r="AJ50" s="14">
        <f>IFERROR(INDEX(WRstats1[Rec],MATCH(WRmatchups[[#This Row],[Name]],WRstats1[Player],0)),"0")</f>
        <v>4.9820000000000002</v>
      </c>
      <c r="AK50" s="14">
        <f>IFERROR(INDEX(WRstats2[Rec],MATCH(WRmatchups[[#This Row],[Name]],WRstats2[Player],0)),"0")</f>
        <v>4.8</v>
      </c>
      <c r="AL50" s="14">
        <f>IFERROR(INDEX(WRstats3[Rec],MATCH(WRmatchups[[#This Row],[Name]],WRstats3[Player],0)),"0")</f>
        <v>2.9</v>
      </c>
      <c r="AM50" s="32">
        <f>IFERROR(INDEX(WRallowed[Rec],MATCH(WRmatchups[[#This Row],[Opp]],WRallowed[Team],0)),"0")</f>
        <v>12.375</v>
      </c>
      <c r="AN50" s="14">
        <f>IFERROR(INDEX(WRstats1[Rec Yds],MATCH(WRmatchups[[#This Row],[Name]],WRstats1[Player],0)),"0")</f>
        <v>54.933</v>
      </c>
      <c r="AO50" s="14">
        <f>IFERROR(INDEX(WRstats2[RecYards],MATCH(WRmatchups[[#This Row],[Name]],WRstats2[Player],0)),"0")</f>
        <v>58.4</v>
      </c>
      <c r="AP50" s="14">
        <f>IFERROR(INDEX(WRstats3[RecYards],MATCH(WRmatchups[[#This Row],[Name]],WRstats3[Player],0)),"0")</f>
        <v>39.200000000000003</v>
      </c>
      <c r="AQ50" s="32">
        <f>IFERROR(INDEX(WRallowed[Yard],MATCH(WRmatchups[[#This Row],[Opp]],WRallowed[Team],0)),"0")</f>
        <v>176.875</v>
      </c>
      <c r="AR50" s="14">
        <f>IFERROR(INDEX(WRstats1[Rec TD],MATCH(WRmatchups[[#This Row],[Name]],WRstats1[Player],0)),"0")</f>
        <v>0.33100000000000002</v>
      </c>
      <c r="AS50" s="14" t="str">
        <f>IFERROR(INDEX(WRstats2[RecTD],MATCH(WRmatchups[[#This Row],[Name]],WRstats2[Player],0)),"0")</f>
        <v>0.3</v>
      </c>
      <c r="AT50" s="14">
        <f>IFERROR(INDEX(WRstats3[RecTD],MATCH(WRmatchups[[#This Row],[Name]],WRstats3[Player],0)),"0")</f>
        <v>0.2</v>
      </c>
      <c r="AU50" s="32">
        <f>IFERROR(INDEX(WRallowed[TD],MATCH(WRmatchups[[#This Row],[Opp]],WRallowed[Team],0)),"0")*0.5</f>
        <v>0.625</v>
      </c>
      <c r="AV50" s="14" t="str">
        <f>IFERROR(INDEX(WRstats2[RushAtt],MATCH(WRmatchups[[#This Row],[Name]],WRstats2[Player],0)),"0")</f>
        <v>0.3</v>
      </c>
      <c r="AW50" s="14">
        <f>IFERROR(INDEX(WRstats3[RushATT],MATCH(WRmatchups[[#This Row],[Name]],WRstats3[Player],0)),"0")</f>
        <v>0</v>
      </c>
      <c r="AX50" s="14" t="str">
        <f>IFERROR(INDEX(WRstats2[RushYards],MATCH(WRmatchups[[#This Row],[Name]],WRstats2[Player],0)),"0")</f>
        <v>0</v>
      </c>
      <c r="AY50" s="14">
        <f>IFERROR(INDEX(WRstats3[RushYards],MATCH(WRmatchups[[#This Row],[Name]],WRstats3[Player],0)),"0")</f>
        <v>0</v>
      </c>
      <c r="AZ50" s="14" t="str">
        <f>IFERROR(INDEX(WRstats2[RushTD],MATCH(WRmatchups[[#This Row],[Name]],WRstats2[Player],0)),"0")</f>
        <v>0</v>
      </c>
      <c r="BA50" s="14">
        <f>IFERROR(INDEX(WRstats3[RushTD],MATCH(WRmatchups[[#This Row],[Name]],WRstats3[Player],0)),"0")</f>
        <v>0</v>
      </c>
      <c r="BB50" s="264">
        <f>IF(WRmatchups[[#This Row],[Yards]]&gt;=100,3,0)</f>
        <v>0</v>
      </c>
      <c r="BC50" s="191" t="str">
        <f>IFERROR(INDEX(#REF!,MATCH(WRmatchups[Name],#REF!,0)),"0")</f>
        <v>0</v>
      </c>
      <c r="BD50" s="494">
        <f>WRmatchups[[#This Row],[Targets]]/WRmatchups[[#This Row],[Salary]]*100</f>
        <v>0.59523809523809523</v>
      </c>
    </row>
    <row r="51" spans="1:56" ht="15" thickBot="1" x14ac:dyDescent="0.35">
      <c r="A51" s="37">
        <f>WRstats1!AL52</f>
        <v>8.4</v>
      </c>
      <c r="B51" s="5" t="str">
        <f>WRstats1!D52</f>
        <v>Kevin White</v>
      </c>
      <c r="C51" s="172">
        <f>IFERROR(INDEX(Salaries[DraftKings (Price)],MATCH(WRmatchups[[#This Row],[Name]],Salaries[Player],0)),"")</f>
        <v>3400</v>
      </c>
      <c r="D51" s="172">
        <f>IFERROR(INDEX(DK_Salary_Changes[WeekChange],MATCH(WRmatchups[[#This Row],[Name]],DK_Salary_Changes[Player],0)),"")</f>
        <v>-600</v>
      </c>
      <c r="E51" s="14" t="str">
        <f>IFERROR(INDEX(Salaries[Team],MATCH(WRmatchups[[#This Row],[Name]],Salaries[Player],0)),"")</f>
        <v>CHI</v>
      </c>
      <c r="F51" s="460" t="str">
        <f>IFERROR(INDEX(Salaries[Opp],MATCH(WRmatchups[[#This Row],[Team]],Salaries[Team],0)),"")</f>
        <v>DET</v>
      </c>
      <c r="G51" s="476">
        <f>IFERROR(INDEX(WRYTD[Rec],MATCH(WRmatchups[Name],WRYTD[Player],0)),"0")</f>
        <v>13</v>
      </c>
      <c r="H51" s="458">
        <f>IFERROR(INDEX(targettracker54[TTL],MATCH(WRmatchups[Name],targettracker54[Name],0)),"")</f>
        <v>27</v>
      </c>
      <c r="I51" s="475">
        <f>IFERROR(INDEX(WRYTD[Rec Yds],MATCH(WRmatchups[Name],WRYTD[Player],0)),"0")</f>
        <v>132</v>
      </c>
      <c r="J51" s="477">
        <f>IFERROR(INDEX(WRYTD[Rec TD],MATCH(WRmatchups[Name],WRYTD[Player],0)),"0")</f>
        <v>0</v>
      </c>
      <c r="K51" s="473">
        <f>IFERROR(INDEX(Salaries[O/U],MATCH(WRmatchups[[#This Row],[Team]],Salaries[Team],0)),"")</f>
        <v>46.5</v>
      </c>
      <c r="L51" s="32">
        <f>IFERROR(INDEX(Salaries[Team O/U],MATCH(WRmatchups[[#This Row],[Team]],Salaries[Team],0)),"")</f>
        <v>21.75</v>
      </c>
      <c r="M51" s="417">
        <f>IFERROR(INDEX(Salaries[Spread],MATCH(WRmatchups[[#This Row],[Team]],Salaries[Team],0)),"")</f>
        <v>3</v>
      </c>
      <c r="N51" s="424">
        <f>IFERROR(INDEX(WRallowed[DVP],MATCH(WRmatchups[[#This Row],[Opp]],WRallowed[Team],0)),IFERROR(INDEX(WRallowed[DVP],MATCH(WRmatchups[[#This Row],[Opp]],WRallowed[Opp],0)),""))</f>
        <v>15</v>
      </c>
      <c r="O51" s="17">
        <f>IFERROR(INDEX(YAtCData[YAtC],MATCH(WRmatchups[[#This Row],[Name]],YAtCData[Player],0)),"0")</f>
        <v>96</v>
      </c>
      <c r="P51" s="497">
        <f>IFERROR(INDEX(YAtCData[YAtC/Rec],MATCH(WRmatchups[[#This Row],[Name]],YAtCData[Player],0)),"0")</f>
        <v>7.38</v>
      </c>
      <c r="Q51" s="17">
        <f>IFERROR(INDEX(YAtCData[YAC],MATCH(WRmatchups[[#This Row],[Name]],YAtCData[Player],0)),"0")</f>
        <v>36</v>
      </c>
      <c r="R51" s="497">
        <f>IFERROR(INDEX(YACDATA[YAC per Reception],MATCH(WRmatchups[[#This Row],[Name]],YACDATA[Player],0)),"0")</f>
        <v>2.8</v>
      </c>
      <c r="S51" s="418">
        <f>AVERAGE(WRmatchups[[#This Row],[Tar1]:[Tar3]])</f>
        <v>6.4</v>
      </c>
      <c r="T51" s="464">
        <f>AVERAGE(WRmatchups[[#This Row],[Rec1]:[Rec3]])</f>
        <v>3.8606666666666669</v>
      </c>
      <c r="U51" s="468">
        <f>SUM(WRmatchups[[#This Row],[Rec4]]/WRmatchups[[#This Row],[Targets2]])</f>
        <v>0.60322916666666671</v>
      </c>
      <c r="V51" s="417">
        <f>AVERAGE(WRmatchups[[#This Row],[Yards1]:[Yards3]])</f>
        <v>47.615000000000009</v>
      </c>
      <c r="W51" s="461">
        <f>SUM(WRmatchups[[#This Row],[Yards]]/WRmatchups[[#This Row],[Targets2]])</f>
        <v>7.4398437500000014</v>
      </c>
      <c r="X51" s="32">
        <f>AVERAGE(WRmatchups[[#This Row],[TD1]:[TD3]])</f>
        <v>0.35899999999999999</v>
      </c>
      <c r="Y51" s="14">
        <f>_xlfn.RANK.EQ(WRmatchups[[#This Row],[Projection]],WRmatchups[Projection],0)</f>
        <v>41</v>
      </c>
      <c r="Z51" s="19">
        <f>SUM(WRmatchups[[#This Row],[Yards]]*0.1)+(WRmatchups[[#This Row],[RecTD5]]*6)+(WRmatchups[[#This Row],[Rec4]]*1)+(WRmatchups[[#This Row],[100+]])</f>
        <v>10.776166666666668</v>
      </c>
      <c r="AA51" s="8">
        <f>_xlfn.RANK.EQ(WRmatchups[[#This Row],[$/FP]],WRmatchups[$/FP],1)</f>
        <v>4</v>
      </c>
      <c r="AB51" s="23">
        <f>SUM(WRmatchups[[#This Row],[Salary]]/WRmatchups[[#This Row],[Projection]])</f>
        <v>315.51108155342803</v>
      </c>
      <c r="AC51" s="241">
        <f>_xlfn.RANK.EQ(WRmatchups[[#This Row],[Average]],WRmatchups[Average],1)</f>
        <v>16</v>
      </c>
      <c r="AD51" s="241">
        <f>AVERAGE(WRmatchups[[#This Row],[Proj Rank]],WRmatchups[[#This Row],[Value Rank]])</f>
        <v>22.5</v>
      </c>
      <c r="AE51" s="210">
        <f>WRmatchups[[#This Row],[Salary]]/50000</f>
        <v>6.8000000000000005E-2</v>
      </c>
      <c r="AF51" s="214"/>
      <c r="AG51" s="14">
        <f>IFERROR(INDEX(WRstats3[Targets],MATCH(WRmatchups[[#This Row],[Name]],WRstats3[Player],0)),"0")</f>
        <v>6.4</v>
      </c>
      <c r="AH51" s="14" t="str">
        <f>IFERROR(INDEX(WRstats2[Targets],MATCH(WRmatchups[[#This Row],[Name]],WRstats2[Player],0)),"0")</f>
        <v>0</v>
      </c>
      <c r="AI51" s="14">
        <f>IFERROR(INDEX(WRstats3[Targets],MATCH(WRmatchups[[#This Row],[Name]],WRstats3[Player],0)),"0")</f>
        <v>6.4</v>
      </c>
      <c r="AJ51" s="14">
        <f>IFERROR(INDEX(WRstats1[Rec],MATCH(WRmatchups[[#This Row],[Name]],WRstats1[Player],0)),"0")</f>
        <v>4.1820000000000004</v>
      </c>
      <c r="AK51" s="14">
        <f>IFERROR(INDEX(WRstats2[Rec],MATCH(WRmatchups[[#This Row],[Name]],WRstats2[Player],0)),"0")</f>
        <v>3.5</v>
      </c>
      <c r="AL51" s="14">
        <f>IFERROR(INDEX(WRstats3[Rec],MATCH(WRmatchups[[#This Row],[Name]],WRstats3[Player],0)),"0")</f>
        <v>3.9</v>
      </c>
      <c r="AM51" s="32">
        <f>IFERROR(INDEX(WRallowed[Rec],MATCH(WRmatchups[[#This Row],[Opp]],WRallowed[Team],0)),"0")</f>
        <v>11.5625</v>
      </c>
      <c r="AN51" s="14">
        <f>IFERROR(INDEX(WRstats1[Rec Yds],MATCH(WRmatchups[[#This Row],[Name]],WRstats1[Player],0)),"0")</f>
        <v>45.045000000000002</v>
      </c>
      <c r="AO51" s="14">
        <f>IFERROR(INDEX(WRstats2[RecYards],MATCH(WRmatchups[[#This Row],[Name]],WRstats2[Player],0)),"0")</f>
        <v>46.1</v>
      </c>
      <c r="AP51" s="14">
        <f>IFERROR(INDEX(WRstats3[RecYards],MATCH(WRmatchups[[#This Row],[Name]],WRstats3[Player],0)),"0")</f>
        <v>51.7</v>
      </c>
      <c r="AQ51" s="32">
        <f>IFERROR(INDEX(WRallowed[Yard],MATCH(WRmatchups[[#This Row],[Opp]],WRallowed[Team],0)),"0")</f>
        <v>164.1875</v>
      </c>
      <c r="AR51" s="14">
        <f>IFERROR(INDEX(WRstats1[Rec TD],MATCH(WRmatchups[[#This Row],[Name]],WRstats1[Player],0)),"0")</f>
        <v>0.318</v>
      </c>
      <c r="AS51" s="14" t="str">
        <f>IFERROR(INDEX(WRstats2[RecTD],MATCH(WRmatchups[[#This Row],[Name]],WRstats2[Player],0)),"0")</f>
        <v>0.3</v>
      </c>
      <c r="AT51" s="14">
        <f>IFERROR(INDEX(WRstats3[RecTD],MATCH(WRmatchups[[#This Row],[Name]],WRstats3[Player],0)),"0")</f>
        <v>0.4</v>
      </c>
      <c r="AU51" s="32">
        <f>IFERROR(INDEX(WRallowed[TD],MATCH(WRmatchups[[#This Row],[Opp]],WRallowed[Team],0)),"0")*0.5</f>
        <v>0.65625</v>
      </c>
      <c r="AV51" s="14" t="str">
        <f>IFERROR(INDEX(WRstats2[RushAtt],MATCH(WRmatchups[[#This Row],[Name]],WRstats2[Player],0)),"0")</f>
        <v>0.3</v>
      </c>
      <c r="AW51" s="14">
        <f>IFERROR(INDEX(WRstats3[RushATT],MATCH(WRmatchups[[#This Row],[Name]],WRstats3[Player],0)),"0")</f>
        <v>0.2</v>
      </c>
      <c r="AX51" s="14" t="str">
        <f>IFERROR(INDEX(WRstats2[RushYards],MATCH(WRmatchups[[#This Row],[Name]],WRstats2[Player],0)),"0")</f>
        <v>0.8</v>
      </c>
      <c r="AY51" s="14">
        <f>IFERROR(INDEX(WRstats3[RushYards],MATCH(WRmatchups[[#This Row],[Name]],WRstats3[Player],0)),"0")</f>
        <v>1.8</v>
      </c>
      <c r="AZ51" s="14" t="str">
        <f>IFERROR(INDEX(WRstats2[RushTD],MATCH(WRmatchups[[#This Row],[Name]],WRstats2[Player],0)),"0")</f>
        <v>0</v>
      </c>
      <c r="BA51" s="14">
        <f>IFERROR(INDEX(WRstats3[RushTD],MATCH(WRmatchups[[#This Row],[Name]],WRstats3[Player],0)),"0")</f>
        <v>0</v>
      </c>
      <c r="BB51" s="264">
        <f>IF(WRmatchups[[#This Row],[Yards]]&gt;=100,3,0)</f>
        <v>0</v>
      </c>
      <c r="BC51" s="191" t="str">
        <f>IFERROR(INDEX(#REF!,MATCH(WRmatchups[Name],#REF!,0)),"0")</f>
        <v>0</v>
      </c>
      <c r="BD51" s="494">
        <f>WRmatchups[[#This Row],[Targets]]/WRmatchups[[#This Row],[Salary]]*100</f>
        <v>0.79411764705882348</v>
      </c>
    </row>
    <row r="52" spans="1:56" ht="15" thickBot="1" x14ac:dyDescent="0.35">
      <c r="A52" s="37">
        <f>WRstats1!AL43</f>
        <v>9.1</v>
      </c>
      <c r="B52" s="5" t="str">
        <f>WRstats1!D43</f>
        <v>John Brown</v>
      </c>
      <c r="C52" s="172">
        <f>IFERROR(INDEX(Salaries[DraftKings (Price)],MATCH(WRmatchups[[#This Row],[Name]],Salaries[Player],0)),"")</f>
        <v>4300</v>
      </c>
      <c r="D52" s="172">
        <f>IFERROR(INDEX(DK_Salary_Changes[WeekChange],MATCH(WRmatchups[[#This Row],[Name]],DK_Salary_Changes[Player],0)),"")</f>
        <v>-500</v>
      </c>
      <c r="E52" s="14" t="str">
        <f>IFERROR(INDEX(Salaries[Team],MATCH(WRmatchups[[#This Row],[Name]],Salaries[Player],0)),"")</f>
        <v>ARI</v>
      </c>
      <c r="F52" s="460" t="str">
        <f>IFERROR(INDEX(Salaries[Opp],MATCH(WRmatchups[[#This Row],[Team]],Salaries[Team],0)),"")</f>
        <v>LA</v>
      </c>
      <c r="G52" s="476" t="str">
        <f>IFERROR(INDEX(WRYTD[Rec],MATCH(WRmatchups[Name],WRYTD[Player],0)),"0")</f>
        <v>0</v>
      </c>
      <c r="H52" s="458">
        <f>IFERROR(INDEX(targettracker54[TTL],MATCH(WRmatchups[Name],targettracker54[Name],0)),"")</f>
        <v>18</v>
      </c>
      <c r="I52" s="475" t="str">
        <f>IFERROR(INDEX(WRYTD[Rec Yds],MATCH(WRmatchups[Name],WRYTD[Player],0)),"0")</f>
        <v>0</v>
      </c>
      <c r="J52" s="477" t="str">
        <f>IFERROR(INDEX(WRYTD[Rec TD],MATCH(WRmatchups[Name],WRYTD[Player],0)),"0")</f>
        <v>0</v>
      </c>
      <c r="K52" s="473">
        <f>IFERROR(INDEX(Salaries[O/U],MATCH(WRmatchups[[#This Row],[Team]],Salaries[Team],0)),"")</f>
        <v>43</v>
      </c>
      <c r="L52" s="32">
        <f>IFERROR(INDEX(Salaries[Team O/U],MATCH(WRmatchups[[#This Row],[Team]],Salaries[Team],0)),"")</f>
        <v>25.5</v>
      </c>
      <c r="M52" s="417">
        <f>IFERROR(INDEX(Salaries[Spread],MATCH(WRmatchups[[#This Row],[Team]],Salaries[Team],0)),"")</f>
        <v>-8</v>
      </c>
      <c r="N52" s="424">
        <f>IFERROR(INDEX(WRallowed[DVP],MATCH(WRmatchups[[#This Row],[Opp]],WRallowed[Team],0)),IFERROR(INDEX(WRallowed[DVP],MATCH(WRmatchups[[#This Row],[Opp]],WRallowed[Opp],0)),""))</f>
        <v>5</v>
      </c>
      <c r="O52" s="17">
        <f>IFERROR(INDEX(YAtCData[YAtC],MATCH(WRmatchups[[#This Row],[Name]],YAtCData[Player],0)),"0")</f>
        <v>81</v>
      </c>
      <c r="P52" s="497">
        <f>IFERROR(INDEX(YAtCData[YAtC/Rec],MATCH(WRmatchups[[#This Row],[Name]],YAtCData[Player],0)),"0")</f>
        <v>10.130000000000001</v>
      </c>
      <c r="Q52" s="17">
        <f>IFERROR(INDEX(YAtCData[YAC],MATCH(WRmatchups[[#This Row],[Name]],YAtCData[Player],0)),"0")</f>
        <v>11</v>
      </c>
      <c r="R52" s="497">
        <f>IFERROR(INDEX(YACDATA[YAC per Reception],MATCH(WRmatchups[[#This Row],[Name]],YACDATA[Player],0)),"0")</f>
        <v>1.4</v>
      </c>
      <c r="S52" s="418">
        <f>AVERAGE(WRmatchups[[#This Row],[Tar1]:[Tar3]])</f>
        <v>5.9</v>
      </c>
      <c r="T52" s="464">
        <f>AVERAGE(WRmatchups[[#This Row],[Rec1]:[Rec3]])</f>
        <v>3.3780000000000001</v>
      </c>
      <c r="U52" s="468">
        <f>SUM(WRmatchups[[#This Row],[Rec4]]/WRmatchups[[#This Row],[Targets2]])</f>
        <v>0.5725423728813559</v>
      </c>
      <c r="V52" s="417">
        <f>AVERAGE(WRmatchups[[#This Row],[Yards1]:[Yards3]])</f>
        <v>50.776000000000003</v>
      </c>
      <c r="W52" s="461">
        <f>SUM(WRmatchups[[#This Row],[Yards]]/WRmatchups[[#This Row],[Targets2]])</f>
        <v>8.6061016949152549</v>
      </c>
      <c r="X52" s="32">
        <f>AVERAGE(WRmatchups[[#This Row],[TD1]:[TD3]])</f>
        <v>0.36099999999999999</v>
      </c>
      <c r="Y52" s="14">
        <f>_xlfn.RANK.EQ(WRmatchups[[#This Row],[Projection]],WRmatchups[Projection],0)</f>
        <v>42</v>
      </c>
      <c r="Z52" s="19">
        <f>SUM(WRmatchups[[#This Row],[Yards]]*0.1)+(WRmatchups[[#This Row],[RecTD5]]*6)+(WRmatchups[[#This Row],[Rec4]]*1)+(WRmatchups[[#This Row],[100+]])</f>
        <v>10.621600000000001</v>
      </c>
      <c r="AA52" s="8">
        <f>_xlfn.RANK.EQ(WRmatchups[[#This Row],[$/FP]],WRmatchups[$/FP],1)</f>
        <v>25</v>
      </c>
      <c r="AB52" s="23">
        <f>SUM(WRmatchups[[#This Row],[Salary]]/WRmatchups[[#This Row],[Projection]])</f>
        <v>404.83542969044208</v>
      </c>
      <c r="AC52" s="241">
        <f>_xlfn.RANK.EQ(WRmatchups[[#This Row],[Average]],WRmatchups[Average],1)</f>
        <v>33</v>
      </c>
      <c r="AD52" s="241">
        <f>AVERAGE(WRmatchups[[#This Row],[Proj Rank]],WRmatchups[[#This Row],[Value Rank]])</f>
        <v>33.5</v>
      </c>
      <c r="AE52" s="210">
        <f>WRmatchups[[#This Row],[Salary]]/50000</f>
        <v>8.5999999999999993E-2</v>
      </c>
      <c r="AF52" s="214"/>
      <c r="AG52" s="14">
        <f>IFERROR(INDEX(WRstats3[Targets],MATCH(WRmatchups[[#This Row],[Name]],WRstats3[Player],0)),"0")</f>
        <v>5.9</v>
      </c>
      <c r="AH52" s="14" t="str">
        <f>IFERROR(INDEX(WRstats2[Targets],MATCH(WRmatchups[[#This Row],[Name]],WRstats2[Player],0)),"0")</f>
        <v>0</v>
      </c>
      <c r="AI52" s="14">
        <f>IFERROR(INDEX(WRstats3[Targets],MATCH(WRmatchups[[#This Row],[Name]],WRstats3[Player],0)),"0")</f>
        <v>5.9</v>
      </c>
      <c r="AJ52" s="14">
        <f>IFERROR(INDEX(WRstats1[Rec],MATCH(WRmatchups[[#This Row],[Name]],WRstats1[Player],0)),"0")</f>
        <v>3.5339999999999998</v>
      </c>
      <c r="AK52" s="14">
        <f>IFERROR(INDEX(WRstats2[Rec],MATCH(WRmatchups[[#This Row],[Name]],WRstats2[Player],0)),"0")</f>
        <v>2.6</v>
      </c>
      <c r="AL52" s="14">
        <f>IFERROR(INDEX(WRstats3[Rec],MATCH(WRmatchups[[#This Row],[Name]],WRstats3[Player],0)),"0")</f>
        <v>4</v>
      </c>
      <c r="AM52" s="32">
        <f>IFERROR(INDEX(WRallowed[Rec],MATCH(WRmatchups[[#This Row],[Opp]],WRallowed[Team],0)),"0")</f>
        <v>12.75</v>
      </c>
      <c r="AN52" s="14">
        <f>IFERROR(INDEX(WRstats1[Rec Yds],MATCH(WRmatchups[[#This Row],[Name]],WRstats1[Player],0)),"0")</f>
        <v>55.027999999999999</v>
      </c>
      <c r="AO52" s="14">
        <f>IFERROR(INDEX(WRstats2[RecYards],MATCH(WRmatchups[[#This Row],[Name]],WRstats2[Player],0)),"0")</f>
        <v>35.4</v>
      </c>
      <c r="AP52" s="14">
        <f>IFERROR(INDEX(WRstats3[RecYards],MATCH(WRmatchups[[#This Row],[Name]],WRstats3[Player],0)),"0")</f>
        <v>61.9</v>
      </c>
      <c r="AQ52" s="32">
        <f>IFERROR(INDEX(WRallowed[Yard],MATCH(WRmatchups[[#This Row],[Opp]],WRallowed[Team],0)),"0")</f>
        <v>166.625</v>
      </c>
      <c r="AR52" s="14">
        <f>IFERROR(INDEX(WRstats1[Rec TD],MATCH(WRmatchups[[#This Row],[Name]],WRstats1[Player],0)),"0")</f>
        <v>0.32200000000000001</v>
      </c>
      <c r="AS52" s="14" t="str">
        <f>IFERROR(INDEX(WRstats2[RecTD],MATCH(WRmatchups[[#This Row],[Name]],WRstats2[Player],0)),"0")</f>
        <v>0.2</v>
      </c>
      <c r="AT52" s="14">
        <f>IFERROR(INDEX(WRstats3[RecTD],MATCH(WRmatchups[[#This Row],[Name]],WRstats3[Player],0)),"0")</f>
        <v>0.4</v>
      </c>
      <c r="AU52" s="32">
        <f>IFERROR(INDEX(WRallowed[TD],MATCH(WRmatchups[[#This Row],[Opp]],WRallowed[Team],0)),"0")*0.5</f>
        <v>0.46875</v>
      </c>
      <c r="AV52" s="14" t="str">
        <f>IFERROR(INDEX(WRstats2[RushAtt],MATCH(WRmatchups[[#This Row],[Name]],WRstats2[Player],0)),"0")</f>
        <v>0.2</v>
      </c>
      <c r="AW52" s="14">
        <f>IFERROR(INDEX(WRstats3[RushATT],MATCH(WRmatchups[[#This Row],[Name]],WRstats3[Player],0)),"0")</f>
        <v>0.3</v>
      </c>
      <c r="AX52" s="14" t="str">
        <f>IFERROR(INDEX(WRstats2[RushYards],MATCH(WRmatchups[[#This Row],[Name]],WRstats2[Player],0)),"0")</f>
        <v>0.2</v>
      </c>
      <c r="AY52" s="14">
        <f>IFERROR(INDEX(WRstats3[RushYards],MATCH(WRmatchups[[#This Row],[Name]],WRstats3[Player],0)),"0")</f>
        <v>1.5</v>
      </c>
      <c r="AZ52" s="14" t="str">
        <f>IFERROR(INDEX(WRstats2[RushTD],MATCH(WRmatchups[[#This Row],[Name]],WRstats2[Player],0)),"0")</f>
        <v>0</v>
      </c>
      <c r="BA52" s="14">
        <f>IFERROR(INDEX(WRstats3[RushTD],MATCH(WRmatchups[[#This Row],[Name]],WRstats3[Player],0)),"0")</f>
        <v>0</v>
      </c>
      <c r="BB52" s="264">
        <f>IF(WRmatchups[[#This Row],[Yards]]&gt;=100,3,0)</f>
        <v>0</v>
      </c>
      <c r="BC52" s="191" t="str">
        <f>IFERROR(INDEX(#REF!,MATCH(WRmatchups[Name],#REF!,0)),"0")</f>
        <v>0</v>
      </c>
      <c r="BD52" s="494">
        <f>WRmatchups[[#This Row],[Targets]]/WRmatchups[[#This Row],[Salary]]*100</f>
        <v>0.41860465116279072</v>
      </c>
    </row>
    <row r="53" spans="1:56" ht="15" thickBot="1" x14ac:dyDescent="0.35">
      <c r="A53" s="37">
        <f>WRstats1!AL40</f>
        <v>10</v>
      </c>
      <c r="B53" s="5" t="str">
        <f>WRstats1!D40</f>
        <v>Tyler Lockett</v>
      </c>
      <c r="C53" s="172">
        <f>IFERROR(INDEX(Salaries[DraftKings (Price)],MATCH(WRmatchups[[#This Row],[Name]],Salaries[Player],0)),"")</f>
        <v>3900</v>
      </c>
      <c r="D53" s="172">
        <f>IFERROR(INDEX(DK_Salary_Changes[WeekChange],MATCH(WRmatchups[[#This Row],[Name]],DK_Salary_Changes[Player],0)),"")</f>
        <v>-300</v>
      </c>
      <c r="E53" s="14" t="str">
        <f>IFERROR(INDEX(Salaries[Team],MATCH(WRmatchups[[#This Row],[Name]],Salaries[Player],0)),"")</f>
        <v>SEA</v>
      </c>
      <c r="F53" s="460" t="str">
        <f>IFERROR(INDEX(Salaries[Opp],MATCH(WRmatchups[[#This Row],[Team]],Salaries[Team],0)),"")</f>
        <v>@NYJ</v>
      </c>
      <c r="G53" s="476">
        <f>IFERROR(INDEX(WRYTD[Rec],MATCH(WRmatchups[Name],WRYTD[Player],0)),"0")</f>
        <v>7</v>
      </c>
      <c r="H53" s="458">
        <f>IFERROR(INDEX(targettracker54[TTL],MATCH(WRmatchups[Name],targettracker54[Name],0)),"")</f>
        <v>12</v>
      </c>
      <c r="I53" s="475">
        <f>IFERROR(INDEX(WRYTD[Rec Yds],MATCH(WRmatchups[Name],WRYTD[Player],0)),"0")</f>
        <v>116</v>
      </c>
      <c r="J53" s="477">
        <f>IFERROR(INDEX(WRYTD[Rec TD],MATCH(WRmatchups[Name],WRYTD[Player],0)),"0")</f>
        <v>0</v>
      </c>
      <c r="K53" s="473">
        <f>IFERROR(INDEX(Salaries[O/U],MATCH(WRmatchups[[#This Row],[Team]],Salaries[Team],0)),"")</f>
        <v>40.5</v>
      </c>
      <c r="L53" s="32">
        <f>IFERROR(INDEX(Salaries[Team O/U],MATCH(WRmatchups[[#This Row],[Team]],Salaries[Team],0)),"")</f>
        <v>21</v>
      </c>
      <c r="M53" s="417">
        <f>IFERROR(INDEX(Salaries[Spread],MATCH(WRmatchups[[#This Row],[Team]],Salaries[Team],0)),"")</f>
        <v>-1.5</v>
      </c>
      <c r="N53" s="424">
        <f>IFERROR(INDEX(WRallowed[DVP],MATCH(WRmatchups[[#This Row],[Opp]],WRallowed[Team],0)),IFERROR(INDEX(WRallowed[DVP],MATCH(WRmatchups[[#This Row],[Opp]],WRallowed[Opp],0)),""))</f>
        <v>17</v>
      </c>
      <c r="O53" s="17">
        <f>IFERROR(INDEX(YAtCData[YAtC],MATCH(WRmatchups[[#This Row],[Name]],YAtCData[Player],0)),"0")</f>
        <v>73</v>
      </c>
      <c r="P53" s="497">
        <f>IFERROR(INDEX(YAtCData[YAtC/Rec],MATCH(WRmatchups[[#This Row],[Name]],YAtCData[Player],0)),"0")</f>
        <v>10.43</v>
      </c>
      <c r="Q53" s="17">
        <f>IFERROR(INDEX(YAtCData[YAC],MATCH(WRmatchups[[#This Row],[Name]],YAtCData[Player],0)),"0")</f>
        <v>43</v>
      </c>
      <c r="R53" s="497">
        <f>IFERROR(INDEX(YACDATA[YAC per Reception],MATCH(WRmatchups[[#This Row],[Name]],YACDATA[Player],0)),"0")</f>
        <v>6.1</v>
      </c>
      <c r="S53" s="418">
        <f>AVERAGE(WRmatchups[[#This Row],[Tar1]:[Tar3]])</f>
        <v>5.3</v>
      </c>
      <c r="T53" s="464">
        <f>AVERAGE(WRmatchups[[#This Row],[Rec1]:[Rec3]])</f>
        <v>3.8893333333333331</v>
      </c>
      <c r="U53" s="468">
        <f>SUM(WRmatchups[[#This Row],[Rec4]]/WRmatchups[[#This Row],[Targets2]])</f>
        <v>0.73383647798742135</v>
      </c>
      <c r="V53" s="417">
        <f>AVERAGE(WRmatchups[[#This Row],[Yards1]:[Yards3]])</f>
        <v>49.577333333333335</v>
      </c>
      <c r="W53" s="461">
        <f>SUM(WRmatchups[[#This Row],[Yards]]/WRmatchups[[#This Row],[Targets2]])</f>
        <v>9.3542138364779888</v>
      </c>
      <c r="X53" s="32">
        <f>AVERAGE(WRmatchups[[#This Row],[TD1]:[TD3]])</f>
        <v>0.27600000000000002</v>
      </c>
      <c r="Y53" s="14">
        <f>_xlfn.RANK.EQ(WRmatchups[[#This Row],[Projection]],WRmatchups[Projection],0)</f>
        <v>43</v>
      </c>
      <c r="Z53" s="19">
        <f>SUM(WRmatchups[[#This Row],[Yards]]*0.1)+(WRmatchups[[#This Row],[RecTD5]]*6)+(WRmatchups[[#This Row],[Rec4]]*1)+(WRmatchups[[#This Row],[100+]])</f>
        <v>10.503066666666667</v>
      </c>
      <c r="AA53" s="8">
        <f>_xlfn.RANK.EQ(WRmatchups[[#This Row],[$/FP]],WRmatchups[$/FP],1)</f>
        <v>11</v>
      </c>
      <c r="AB53" s="23">
        <f>SUM(WRmatchups[[#This Row],[Salary]]/WRmatchups[[#This Row],[Projection]])</f>
        <v>371.32012237695653</v>
      </c>
      <c r="AC53" s="241">
        <f>_xlfn.RANK.EQ(WRmatchups[[#This Row],[Average]],WRmatchups[Average],1)</f>
        <v>20</v>
      </c>
      <c r="AD53" s="241">
        <f>AVERAGE(WRmatchups[[#This Row],[Proj Rank]],WRmatchups[[#This Row],[Value Rank]])</f>
        <v>27</v>
      </c>
      <c r="AE53" s="210">
        <f>WRmatchups[[#This Row],[Salary]]/50000</f>
        <v>7.8E-2</v>
      </c>
      <c r="AF53" s="214"/>
      <c r="AG53" s="14">
        <f>IFERROR(INDEX(WRstats3[Targets],MATCH(WRmatchups[[#This Row],[Name]],WRstats3[Player],0)),"0")</f>
        <v>5.3</v>
      </c>
      <c r="AH53" s="14" t="str">
        <f>IFERROR(INDEX(WRstats2[Targets],MATCH(WRmatchups[[#This Row],[Name]],WRstats2[Player],0)),"0")</f>
        <v>0</v>
      </c>
      <c r="AI53" s="14">
        <f>IFERROR(INDEX(WRstats3[Targets],MATCH(WRmatchups[[#This Row],[Name]],WRstats3[Player],0)),"0")</f>
        <v>5.3</v>
      </c>
      <c r="AJ53" s="14">
        <f>IFERROR(INDEX(WRstats1[Rec],MATCH(WRmatchups[[#This Row],[Name]],WRstats1[Player],0)),"0")</f>
        <v>5.0679999999999996</v>
      </c>
      <c r="AK53" s="14">
        <f>IFERROR(INDEX(WRstats2[Rec],MATCH(WRmatchups[[#This Row],[Name]],WRstats2[Player],0)),"0")</f>
        <v>2.7</v>
      </c>
      <c r="AL53" s="14">
        <f>IFERROR(INDEX(WRstats3[Rec],MATCH(WRmatchups[[#This Row],[Name]],WRstats3[Player],0)),"0")</f>
        <v>3.9</v>
      </c>
      <c r="AM53" s="32" t="str">
        <f>IFERROR(INDEX(WRallowed[Rec],MATCH(WRmatchups[[#This Row],[Opp]],WRallowed[Team],0)),"0")</f>
        <v>0</v>
      </c>
      <c r="AN53" s="14">
        <f>IFERROR(INDEX(WRstats1[Rec Yds],MATCH(WRmatchups[[#This Row],[Name]],WRstats1[Player],0)),"0")</f>
        <v>60.832000000000001</v>
      </c>
      <c r="AO53" s="14">
        <f>IFERROR(INDEX(WRstats2[RecYards],MATCH(WRmatchups[[#This Row],[Name]],WRstats2[Player],0)),"0")</f>
        <v>37</v>
      </c>
      <c r="AP53" s="14">
        <f>IFERROR(INDEX(WRstats3[RecYards],MATCH(WRmatchups[[#This Row],[Name]],WRstats3[Player],0)),"0")</f>
        <v>50.9</v>
      </c>
      <c r="AQ53" s="32" t="str">
        <f>IFERROR(INDEX(WRallowed[Yard],MATCH(WRmatchups[[#This Row],[Opp]],WRallowed[Team],0)),"0")</f>
        <v>0</v>
      </c>
      <c r="AR53" s="14">
        <f>IFERROR(INDEX(WRstats1[Rec TD],MATCH(WRmatchups[[#This Row],[Name]],WRstats1[Player],0)),"0")</f>
        <v>0.252</v>
      </c>
      <c r="AS53" s="14" t="str">
        <f>IFERROR(INDEX(WRstats2[RecTD],MATCH(WRmatchups[[#This Row],[Name]],WRstats2[Player],0)),"0")</f>
        <v>0.2</v>
      </c>
      <c r="AT53" s="14">
        <f>IFERROR(INDEX(WRstats3[RecTD],MATCH(WRmatchups[[#This Row],[Name]],WRstats3[Player],0)),"0")</f>
        <v>0.3</v>
      </c>
      <c r="AU53" s="32">
        <f>IFERROR(INDEX(WRallowed[TD],MATCH(WRmatchups[[#This Row],[Opp]],WRallowed[Team],0)),"0")*0.5</f>
        <v>0</v>
      </c>
      <c r="AV53" s="14" t="str">
        <f>IFERROR(INDEX(WRstats2[RushAtt],MATCH(WRmatchups[[#This Row],[Name]],WRstats2[Player],0)),"0")</f>
        <v>0.2</v>
      </c>
      <c r="AW53" s="14">
        <f>IFERROR(INDEX(WRstats3[RushATT],MATCH(WRmatchups[[#This Row],[Name]],WRstats3[Player],0)),"0")</f>
        <v>0</v>
      </c>
      <c r="AX53" s="14" t="str">
        <f>IFERROR(INDEX(WRstats2[RushYards],MATCH(WRmatchups[[#This Row],[Name]],WRstats2[Player],0)),"0")</f>
        <v>0</v>
      </c>
      <c r="AY53" s="14">
        <f>IFERROR(INDEX(WRstats3[RushYards],MATCH(WRmatchups[[#This Row],[Name]],WRstats3[Player],0)),"0")</f>
        <v>0</v>
      </c>
      <c r="AZ53" s="14" t="str">
        <f>IFERROR(INDEX(WRstats2[RushTD],MATCH(WRmatchups[[#This Row],[Name]],WRstats2[Player],0)),"0")</f>
        <v>0</v>
      </c>
      <c r="BA53" s="14">
        <f>IFERROR(INDEX(WRstats3[RushTD],MATCH(WRmatchups[[#This Row],[Name]],WRstats3[Player],0)),"0")</f>
        <v>0</v>
      </c>
      <c r="BB53" s="264">
        <f>IF(WRmatchups[[#This Row],[Yards]]&gt;=100,3,0)</f>
        <v>0</v>
      </c>
      <c r="BC53" s="191" t="str">
        <f>IFERROR(INDEX(#REF!,MATCH(WRmatchups[Name],#REF!,0)),"0")</f>
        <v>0</v>
      </c>
      <c r="BD53" s="494">
        <f>WRmatchups[[#This Row],[Targets]]/WRmatchups[[#This Row],[Salary]]*100</f>
        <v>0.30769230769230771</v>
      </c>
    </row>
    <row r="54" spans="1:56" ht="15" thickBot="1" x14ac:dyDescent="0.35">
      <c r="A54" s="37">
        <f>WRstats1!AL31</f>
        <v>10.3</v>
      </c>
      <c r="B54" s="5" t="str">
        <f>WRstats1!D31</f>
        <v>Mike Wallace</v>
      </c>
      <c r="C54" s="172">
        <f>IFERROR(INDEX(Salaries[DraftKings (Price)],MATCH(WRmatchups[[#This Row],[Name]],Salaries[Player],0)),"")</f>
        <v>5200</v>
      </c>
      <c r="D54" s="172">
        <f>IFERROR(INDEX(DK_Salary_Changes[WeekChange],MATCH(WRmatchups[[#This Row],[Name]],DK_Salary_Changes[Player],0)),"")</f>
        <v>200</v>
      </c>
      <c r="E54" s="14" t="str">
        <f>IFERROR(INDEX(Salaries[Team],MATCH(WRmatchups[[#This Row],[Name]],Salaries[Player],0)),"")</f>
        <v>BAL</v>
      </c>
      <c r="F54" s="460" t="str">
        <f>IFERROR(INDEX(Salaries[Opp],MATCH(WRmatchups[[#This Row],[Team]],Salaries[Team],0)),"")</f>
        <v>OAK</v>
      </c>
      <c r="G54" s="476">
        <f>IFERROR(INDEX(WRYTD[Rec],MATCH(WRmatchups[Name],WRYTD[Player],0)),"0")</f>
        <v>10</v>
      </c>
      <c r="H54" s="458">
        <f>IFERROR(INDEX(targettracker54[TTL],MATCH(WRmatchups[Name],targettracker54[Name],0)),"")</f>
        <v>18</v>
      </c>
      <c r="I54" s="475">
        <f>IFERROR(INDEX(WRYTD[Rec Yds],MATCH(WRmatchups[Name],WRYTD[Player],0)),"0")</f>
        <v>166</v>
      </c>
      <c r="J54" s="477">
        <f>IFERROR(INDEX(WRYTD[Rec TD],MATCH(WRmatchups[Name],WRYTD[Player],0)),"0")</f>
        <v>3</v>
      </c>
      <c r="K54" s="473">
        <f>IFERROR(INDEX(Salaries[O/U],MATCH(WRmatchups[[#This Row],[Team]],Salaries[Team],0)),"")</f>
        <v>46.5</v>
      </c>
      <c r="L54" s="32">
        <f>IFERROR(INDEX(Salaries[Team O/U],MATCH(WRmatchups[[#This Row],[Team]],Salaries[Team],0)),"")</f>
        <v>25</v>
      </c>
      <c r="M54" s="417">
        <f>IFERROR(INDEX(Salaries[Spread],MATCH(WRmatchups[[#This Row],[Team]],Salaries[Team],0)),"")</f>
        <v>-3.5</v>
      </c>
      <c r="N54" s="424">
        <f>IFERROR(INDEX(WRallowed[DVP],MATCH(WRmatchups[[#This Row],[Opp]],WRallowed[Team],0)),IFERROR(INDEX(WRallowed[DVP],MATCH(WRmatchups[[#This Row],[Opp]],WRallowed[Opp],0)),""))</f>
        <v>13</v>
      </c>
      <c r="O54" s="17">
        <f>IFERROR(INDEX(YAtCData[YAtC],MATCH(WRmatchups[[#This Row],[Name]],YAtCData[Player],0)),"0")</f>
        <v>124</v>
      </c>
      <c r="P54" s="497">
        <f>IFERROR(INDEX(YAtCData[YAtC/Rec],MATCH(WRmatchups[[#This Row],[Name]],YAtCData[Player],0)),"0")</f>
        <v>12.4</v>
      </c>
      <c r="Q54" s="17">
        <f>IFERROR(INDEX(YAtCData[YAC],MATCH(WRmatchups[[#This Row],[Name]],YAtCData[Player],0)),"0")</f>
        <v>42</v>
      </c>
      <c r="R54" s="497">
        <f>IFERROR(INDEX(YACDATA[YAC per Reception],MATCH(WRmatchups[[#This Row],[Name]],YACDATA[Player],0)),"0")</f>
        <v>4.2</v>
      </c>
      <c r="S54" s="418">
        <f>AVERAGE(WRmatchups[[#This Row],[Tar1]:[Tar3]])</f>
        <v>6.4</v>
      </c>
      <c r="T54" s="464">
        <f>AVERAGE(WRmatchups[[#This Row],[Rec1]:[Rec3]])</f>
        <v>3.1629999999999998</v>
      </c>
      <c r="U54" s="468">
        <f>SUM(WRmatchups[[#This Row],[Rec4]]/WRmatchups[[#This Row],[Targets2]])</f>
        <v>0.49421874999999993</v>
      </c>
      <c r="V54" s="417">
        <f>AVERAGE(WRmatchups[[#This Row],[Yards1]:[Yards3]])</f>
        <v>50.336333333333329</v>
      </c>
      <c r="W54" s="461">
        <f>SUM(WRmatchups[[#This Row],[Yards]]/WRmatchups[[#This Row],[Targets2]])</f>
        <v>7.8650520833333326</v>
      </c>
      <c r="X54" s="32">
        <f>AVERAGE(WRmatchups[[#This Row],[TD1]:[TD3]])</f>
        <v>0.3805</v>
      </c>
      <c r="Y54" s="14">
        <f>_xlfn.RANK.EQ(WRmatchups[[#This Row],[Projection]],WRmatchups[Projection],0)</f>
        <v>44</v>
      </c>
      <c r="Z54" s="19">
        <f>SUM(WRmatchups[[#This Row],[Yards]]*0.1)+(WRmatchups[[#This Row],[RecTD5]]*6)+(WRmatchups[[#This Row],[Rec4]]*1)+(WRmatchups[[#This Row],[100+]])</f>
        <v>10.479633333333334</v>
      </c>
      <c r="AA54" s="8">
        <f>_xlfn.RANK.EQ(WRmatchups[[#This Row],[$/FP]],WRmatchups[$/FP],1)</f>
        <v>71</v>
      </c>
      <c r="AB54" s="23">
        <f>SUM(WRmatchups[[#This Row],[Salary]]/WRmatchups[[#This Row],[Projection]])</f>
        <v>496.20056681372438</v>
      </c>
      <c r="AC54" s="241">
        <f>_xlfn.RANK.EQ(WRmatchups[[#This Row],[Average]],WRmatchups[Average],1)</f>
        <v>64</v>
      </c>
      <c r="AD54" s="241">
        <f>AVERAGE(WRmatchups[[#This Row],[Proj Rank]],WRmatchups[[#This Row],[Value Rank]])</f>
        <v>57.5</v>
      </c>
      <c r="AE54" s="210">
        <f>WRmatchups[[#This Row],[Salary]]/50000</f>
        <v>0.104</v>
      </c>
      <c r="AF54" s="214"/>
      <c r="AG54" s="14">
        <f>IFERROR(INDEX(WRstats3[Targets],MATCH(WRmatchups[[#This Row],[Name]],WRstats3[Player],0)),"0")</f>
        <v>6.4</v>
      </c>
      <c r="AH54" s="14" t="str">
        <f>IFERROR(INDEX(WRstats2[Targets],MATCH(WRmatchups[[#This Row],[Name]],WRstats2[Player],0)),"0")</f>
        <v>0</v>
      </c>
      <c r="AI54" s="14">
        <f>IFERROR(INDEX(WRstats3[Targets],MATCH(WRmatchups[[#This Row],[Name]],WRstats3[Player],0)),"0")</f>
        <v>6.4</v>
      </c>
      <c r="AJ54" s="14">
        <f>IFERROR(INDEX(WRstats1[Rec],MATCH(WRmatchups[[#This Row],[Name]],WRstats1[Player],0)),"0")</f>
        <v>2.9889999999999999</v>
      </c>
      <c r="AK54" s="14">
        <f>IFERROR(INDEX(WRstats2[Rec],MATCH(WRmatchups[[#This Row],[Name]],WRstats2[Player],0)),"0")</f>
        <v>2.9</v>
      </c>
      <c r="AL54" s="14">
        <f>IFERROR(INDEX(WRstats3[Rec],MATCH(WRmatchups[[#This Row],[Name]],WRstats3[Player],0)),"0")</f>
        <v>3.6</v>
      </c>
      <c r="AM54" s="32">
        <f>IFERROR(INDEX(WRallowed[Rec],MATCH(WRmatchups[[#This Row],[Opp]],WRallowed[Team],0)),"0")</f>
        <v>11.125</v>
      </c>
      <c r="AN54" s="14">
        <f>IFERROR(INDEX(WRstats1[Rec Yds],MATCH(WRmatchups[[#This Row],[Name]],WRstats1[Player],0)),"0")</f>
        <v>59.308999999999997</v>
      </c>
      <c r="AO54" s="14">
        <f>IFERROR(INDEX(WRstats2[RecYards],MATCH(WRmatchups[[#This Row],[Name]],WRstats2[Player],0)),"0")</f>
        <v>43.8</v>
      </c>
      <c r="AP54" s="14">
        <f>IFERROR(INDEX(WRstats3[RecYards],MATCH(WRmatchups[[#This Row],[Name]],WRstats3[Player],0)),"0")</f>
        <v>47.9</v>
      </c>
      <c r="AQ54" s="32">
        <f>IFERROR(INDEX(WRallowed[Yard],MATCH(WRmatchups[[#This Row],[Opp]],WRallowed[Team],0)),"0")</f>
        <v>145.75</v>
      </c>
      <c r="AR54" s="14">
        <f>IFERROR(INDEX(WRstats1[Rec TD],MATCH(WRmatchups[[#This Row],[Name]],WRstats1[Player],0)),"0")</f>
        <v>0.46100000000000002</v>
      </c>
      <c r="AS54" s="14" t="str">
        <f>IFERROR(INDEX(WRstats2[RecTD],MATCH(WRmatchups[[#This Row],[Name]],WRstats2[Player],0)),"0")</f>
        <v>0.4</v>
      </c>
      <c r="AT54" s="14">
        <f>IFERROR(INDEX(WRstats3[RecTD],MATCH(WRmatchups[[#This Row],[Name]],WRstats3[Player],0)),"0")</f>
        <v>0.3</v>
      </c>
      <c r="AU54" s="32">
        <f>IFERROR(INDEX(WRallowed[TD],MATCH(WRmatchups[[#This Row],[Opp]],WRallowed[Team],0)),"0")*0.5</f>
        <v>0.4375</v>
      </c>
      <c r="AV54" s="14" t="str">
        <f>IFERROR(INDEX(WRstats2[RushAtt],MATCH(WRmatchups[[#This Row],[Name]],WRstats2[Player],0)),"0")</f>
        <v>0.4</v>
      </c>
      <c r="AW54" s="14">
        <f>IFERROR(INDEX(WRstats3[RushATT],MATCH(WRmatchups[[#This Row],[Name]],WRstats3[Player],0)),"0")</f>
        <v>0.2</v>
      </c>
      <c r="AX54" s="14" t="str">
        <f>IFERROR(INDEX(WRstats2[RushYards],MATCH(WRmatchups[[#This Row],[Name]],WRstats2[Player],0)),"0")</f>
        <v>0.1</v>
      </c>
      <c r="AY54" s="14">
        <f>IFERROR(INDEX(WRstats3[RushYards],MATCH(WRmatchups[[#This Row],[Name]],WRstats3[Player],0)),"0")</f>
        <v>1.2</v>
      </c>
      <c r="AZ54" s="14" t="str">
        <f>IFERROR(INDEX(WRstats2[RushTD],MATCH(WRmatchups[[#This Row],[Name]],WRstats2[Player],0)),"0")</f>
        <v>0</v>
      </c>
      <c r="BA54" s="14">
        <f>IFERROR(INDEX(WRstats3[RushTD],MATCH(WRmatchups[[#This Row],[Name]],WRstats3[Player],0)),"0")</f>
        <v>0</v>
      </c>
      <c r="BB54" s="264">
        <f>IF(WRmatchups[[#This Row],[Yards]]&gt;=100,3,0)</f>
        <v>0</v>
      </c>
      <c r="BC54" s="191" t="str">
        <f>IFERROR(INDEX(#REF!,MATCH(WRmatchups[Name],#REF!,0)),"0")</f>
        <v>0</v>
      </c>
      <c r="BD54" s="494">
        <f>WRmatchups[[#This Row],[Targets]]/WRmatchups[[#This Row],[Salary]]*100</f>
        <v>0.34615384615384615</v>
      </c>
    </row>
    <row r="55" spans="1:56" ht="15" thickBot="1" x14ac:dyDescent="0.35">
      <c r="A55" s="37">
        <f>WRstats1!AL47</f>
        <v>9.4</v>
      </c>
      <c r="B55" s="5" t="str">
        <f>WRstats1!D47</f>
        <v>Cole Beasley</v>
      </c>
      <c r="C55" s="172">
        <f>IFERROR(INDEX(Salaries[DraftKings (Price)],MATCH(WRmatchups[[#This Row],[Name]],Salaries[Player],0)),"")</f>
        <v>3900</v>
      </c>
      <c r="D55" s="172">
        <f>IFERROR(INDEX(DK_Salary_Changes[WeekChange],MATCH(WRmatchups[[#This Row],[Name]],DK_Salary_Changes[Player],0)),"")</f>
        <v>700</v>
      </c>
      <c r="E55" s="14" t="str">
        <f>IFERROR(INDEX(Salaries[Team],MATCH(WRmatchups[[#This Row],[Name]],Salaries[Player],0)),"")</f>
        <v>DAL</v>
      </c>
      <c r="F55" s="460" t="str">
        <f>IFERROR(INDEX(Salaries[Opp],MATCH(WRmatchups[[#This Row],[Team]],Salaries[Team],0)),"")</f>
        <v>@SF</v>
      </c>
      <c r="G55" s="476">
        <f>IFERROR(INDEX(WRYTD[Rec],MATCH(WRmatchups[Name],WRYTD[Player],0)),"0")</f>
        <v>20</v>
      </c>
      <c r="H55" s="458">
        <f>IFERROR(INDEX(targettracker54[TTL],MATCH(WRmatchups[Name],targettracker54[Name],0)),"")</f>
        <v>25</v>
      </c>
      <c r="I55" s="475">
        <f>IFERROR(INDEX(WRYTD[Rec Yds],MATCH(WRmatchups[Name],WRYTD[Player],0)),"0")</f>
        <v>213</v>
      </c>
      <c r="J55" s="477">
        <f>IFERROR(INDEX(WRYTD[Rec TD],MATCH(WRmatchups[Name],WRYTD[Player],0)),"0")</f>
        <v>0</v>
      </c>
      <c r="K55" s="473">
        <f>IFERROR(INDEX(Salaries[O/U],MATCH(WRmatchups[[#This Row],[Team]],Salaries[Team],0)),"")</f>
        <v>46</v>
      </c>
      <c r="L55" s="32">
        <f>IFERROR(INDEX(Salaries[Team O/U],MATCH(WRmatchups[[#This Row],[Team]],Salaries[Team],0)),"")</f>
        <v>24.5</v>
      </c>
      <c r="M55" s="417">
        <f>IFERROR(INDEX(Salaries[Spread],MATCH(WRmatchups[[#This Row],[Team]],Salaries[Team],0)),"")</f>
        <v>-3</v>
      </c>
      <c r="N55" s="424">
        <f>IFERROR(INDEX(WRallowed[DVP],MATCH(WRmatchups[[#This Row],[Opp]],WRallowed[Team],0)),IFERROR(INDEX(WRallowed[DVP],MATCH(WRmatchups[[#This Row],[Opp]],WRallowed[Opp],0)),""))</f>
        <v>18</v>
      </c>
      <c r="O55" s="17">
        <f>IFERROR(INDEX(YAtCData[YAtC],MATCH(WRmatchups[[#This Row],[Name]],YAtCData[Player],0)),"0")</f>
        <v>135</v>
      </c>
      <c r="P55" s="497">
        <f>IFERROR(INDEX(YAtCData[YAtC/Rec],MATCH(WRmatchups[[#This Row],[Name]],YAtCData[Player],0)),"0")</f>
        <v>6.75</v>
      </c>
      <c r="Q55" s="17">
        <f>IFERROR(INDEX(YAtCData[YAC],MATCH(WRmatchups[[#This Row],[Name]],YAtCData[Player],0)),"0")</f>
        <v>78</v>
      </c>
      <c r="R55" s="497">
        <f>IFERROR(INDEX(YACDATA[YAC per Reception],MATCH(WRmatchups[[#This Row],[Name]],YACDATA[Player],0)),"0")</f>
        <v>3.9</v>
      </c>
      <c r="S55" s="418">
        <f>AVERAGE(WRmatchups[[#This Row],[Tar1]:[Tar3]])</f>
        <v>5.4</v>
      </c>
      <c r="T55" s="464">
        <f>AVERAGE(WRmatchups[[#This Row],[Rec1]:[Rec3]])</f>
        <v>3.9513333333333329</v>
      </c>
      <c r="U55" s="468">
        <f>SUM(WRmatchups[[#This Row],[Rec4]]/WRmatchups[[#This Row],[Targets2]])</f>
        <v>0.73172839506172827</v>
      </c>
      <c r="V55" s="417">
        <f>AVERAGE(WRmatchups[[#This Row],[Yards1]:[Yards3]])</f>
        <v>44.001333333333328</v>
      </c>
      <c r="W55" s="461">
        <f>SUM(WRmatchups[[#This Row],[Yards]]/WRmatchups[[#This Row],[Targets2]])</f>
        <v>8.1483950617283938</v>
      </c>
      <c r="X55" s="32">
        <f>AVERAGE(WRmatchups[[#This Row],[TD1]:[TD3]])</f>
        <v>0.3145</v>
      </c>
      <c r="Y55" s="14">
        <f>_xlfn.RANK.EQ(WRmatchups[[#This Row],[Projection]],WRmatchups[Projection],0)</f>
        <v>45</v>
      </c>
      <c r="Z55" s="19">
        <f>SUM(WRmatchups[[#This Row],[Yards]]*0.1)+(WRmatchups[[#This Row],[RecTD5]]*6)+(WRmatchups[[#This Row],[Rec4]]*1)+(WRmatchups[[#This Row],[100+]])</f>
        <v>10.238466666666666</v>
      </c>
      <c r="AA55" s="8">
        <f>_xlfn.RANK.EQ(WRmatchups[[#This Row],[$/FP]],WRmatchups[$/FP],1)</f>
        <v>15</v>
      </c>
      <c r="AB55" s="23">
        <f>SUM(WRmatchups[[#This Row],[Salary]]/WRmatchups[[#This Row],[Projection]])</f>
        <v>380.91641326500718</v>
      </c>
      <c r="AC55" s="241">
        <f>_xlfn.RANK.EQ(WRmatchups[[#This Row],[Average]],WRmatchups[Average],1)</f>
        <v>25</v>
      </c>
      <c r="AD55" s="241">
        <f>AVERAGE(WRmatchups[[#This Row],[Proj Rank]],WRmatchups[[#This Row],[Value Rank]])</f>
        <v>30</v>
      </c>
      <c r="AE55" s="210">
        <f>WRmatchups[[#This Row],[Salary]]/50000</f>
        <v>7.8E-2</v>
      </c>
      <c r="AF55" s="214"/>
      <c r="AG55" s="14">
        <f>IFERROR(INDEX(WRstats3[Targets],MATCH(WRmatchups[[#This Row],[Name]],WRstats3[Player],0)),"0")</f>
        <v>5.4</v>
      </c>
      <c r="AH55" s="14" t="str">
        <f>IFERROR(INDEX(WRstats2[Targets],MATCH(WRmatchups[[#This Row],[Name]],WRstats2[Player],0)),"0")</f>
        <v>0</v>
      </c>
      <c r="AI55" s="14">
        <f>IFERROR(INDEX(WRstats3[Targets],MATCH(WRmatchups[[#This Row],[Name]],WRstats3[Player],0)),"0")</f>
        <v>5.4</v>
      </c>
      <c r="AJ55" s="14">
        <f>IFERROR(INDEX(WRstats1[Rec],MATCH(WRmatchups[[#This Row],[Name]],WRstats1[Player],0)),"0")</f>
        <v>4.9539999999999997</v>
      </c>
      <c r="AK55" s="14">
        <f>IFERROR(INDEX(WRstats2[Rec],MATCH(WRmatchups[[#This Row],[Name]],WRstats2[Player],0)),"0")</f>
        <v>3.1</v>
      </c>
      <c r="AL55" s="14">
        <f>IFERROR(INDEX(WRstats3[Rec],MATCH(WRmatchups[[#This Row],[Name]],WRstats3[Player],0)),"0")</f>
        <v>3.8</v>
      </c>
      <c r="AM55" s="32" t="str">
        <f>IFERROR(INDEX(WRallowed[Rec],MATCH(WRmatchups[[#This Row],[Opp]],WRallowed[Team],0)),"0")</f>
        <v>0</v>
      </c>
      <c r="AN55" s="14">
        <f>IFERROR(INDEX(WRstats1[Rec Yds],MATCH(WRmatchups[[#This Row],[Name]],WRstats1[Player],0)),"0")</f>
        <v>55.904000000000003</v>
      </c>
      <c r="AO55" s="14">
        <f>IFERROR(INDEX(WRstats2[RecYards],MATCH(WRmatchups[[#This Row],[Name]],WRstats2[Player],0)),"0")</f>
        <v>35.5</v>
      </c>
      <c r="AP55" s="14">
        <f>IFERROR(INDEX(WRstats3[RecYards],MATCH(WRmatchups[[#This Row],[Name]],WRstats3[Player],0)),"0")</f>
        <v>40.6</v>
      </c>
      <c r="AQ55" s="32" t="str">
        <f>IFERROR(INDEX(WRallowed[Yard],MATCH(WRmatchups[[#This Row],[Opp]],WRallowed[Team],0)),"0")</f>
        <v>0</v>
      </c>
      <c r="AR55" s="14">
        <f>IFERROR(INDEX(WRstats1[Rec TD],MATCH(WRmatchups[[#This Row],[Name]],WRstats1[Player],0)),"0")</f>
        <v>0.22900000000000001</v>
      </c>
      <c r="AS55" s="14" t="str">
        <f>IFERROR(INDEX(WRstats2[RecTD],MATCH(WRmatchups[[#This Row],[Name]],WRstats2[Player],0)),"0")</f>
        <v>0.2</v>
      </c>
      <c r="AT55" s="14">
        <f>IFERROR(INDEX(WRstats3[RecTD],MATCH(WRmatchups[[#This Row],[Name]],WRstats3[Player],0)),"0")</f>
        <v>0.4</v>
      </c>
      <c r="AU55" s="32">
        <f>IFERROR(INDEX(WRallowed[TD],MATCH(WRmatchups[[#This Row],[Opp]],WRallowed[Team],0)),"0")*0.5</f>
        <v>0</v>
      </c>
      <c r="AV55" s="14" t="str">
        <f>IFERROR(INDEX(WRstats2[RushAtt],MATCH(WRmatchups[[#This Row],[Name]],WRstats2[Player],0)),"0")</f>
        <v>0.2</v>
      </c>
      <c r="AW55" s="14">
        <f>IFERROR(INDEX(WRstats3[RushATT],MATCH(WRmatchups[[#This Row],[Name]],WRstats3[Player],0)),"0")</f>
        <v>0</v>
      </c>
      <c r="AX55" s="14" t="str">
        <f>IFERROR(INDEX(WRstats2[RushYards],MATCH(WRmatchups[[#This Row],[Name]],WRstats2[Player],0)),"0")</f>
        <v>0</v>
      </c>
      <c r="AY55" s="14">
        <f>IFERROR(INDEX(WRstats3[RushYards],MATCH(WRmatchups[[#This Row],[Name]],WRstats3[Player],0)),"0")</f>
        <v>0</v>
      </c>
      <c r="AZ55" s="14" t="str">
        <f>IFERROR(INDEX(WRstats2[RushTD],MATCH(WRmatchups[[#This Row],[Name]],WRstats2[Player],0)),"0")</f>
        <v>0</v>
      </c>
      <c r="BA55" s="14">
        <f>IFERROR(INDEX(WRstats3[RushTD],MATCH(WRmatchups[[#This Row],[Name]],WRstats3[Player],0)),"0")</f>
        <v>0</v>
      </c>
      <c r="BB55" s="264">
        <f>IF(WRmatchups[[#This Row],[Yards]]&gt;=100,3,0)</f>
        <v>0</v>
      </c>
      <c r="BC55" s="191" t="str">
        <f>IFERROR(INDEX(#REF!,MATCH(WRmatchups[Name],#REF!,0)),"0")</f>
        <v>0</v>
      </c>
      <c r="BD55" s="494">
        <f>WRmatchups[[#This Row],[Targets]]/WRmatchups[[#This Row],[Salary]]*100</f>
        <v>0.64102564102564097</v>
      </c>
    </row>
    <row r="56" spans="1:56" ht="15" thickBot="1" x14ac:dyDescent="0.35">
      <c r="A56" s="37">
        <f>WRstats1!AL49</f>
        <v>9.1</v>
      </c>
      <c r="B56" s="5" t="str">
        <f>WRstats1!D49</f>
        <v>Quincy Enunwa</v>
      </c>
      <c r="C56" s="172">
        <f>IFERROR(INDEX(Salaries[DraftKings (Price)],MATCH(WRmatchups[[#This Row],[Name]],Salaries[Player],0)),"")</f>
        <v>4400</v>
      </c>
      <c r="D56" s="172">
        <f>IFERROR(INDEX(DK_Salary_Changes[WeekChange],MATCH(WRmatchups[[#This Row],[Name]],DK_Salary_Changes[Player],0)),"")</f>
        <v>-400</v>
      </c>
      <c r="E56" s="14" t="str">
        <f>IFERROR(INDEX(Salaries[Team],MATCH(WRmatchups[[#This Row],[Name]],Salaries[Player],0)),"")</f>
        <v>NYJ</v>
      </c>
      <c r="F56" s="460" t="str">
        <f>IFERROR(INDEX(Salaries[Opp],MATCH(WRmatchups[[#This Row],[Team]],Salaries[Team],0)),"")</f>
        <v>SEA</v>
      </c>
      <c r="G56" s="476">
        <f>IFERROR(INDEX(WRYTD[Rec],MATCH(WRmatchups[Name],WRYTD[Player],0)),"0")</f>
        <v>17</v>
      </c>
      <c r="H56" s="458">
        <f>IFERROR(INDEX(targettracker54[TTL],MATCH(WRmatchups[Name],targettracker54[Name],0)),"")</f>
        <v>25</v>
      </c>
      <c r="I56" s="475">
        <f>IFERROR(INDEX(WRYTD[Rec Yds],MATCH(WRmatchups[Name],WRYTD[Player],0)),"0")</f>
        <v>183</v>
      </c>
      <c r="J56" s="477">
        <f>IFERROR(INDEX(WRYTD[Rec TD],MATCH(WRmatchups[Name],WRYTD[Player],0)),"0")</f>
        <v>1</v>
      </c>
      <c r="K56" s="473">
        <f>IFERROR(INDEX(Salaries[O/U],MATCH(WRmatchups[[#This Row],[Team]],Salaries[Team],0)),"")</f>
        <v>40.5</v>
      </c>
      <c r="L56" s="32">
        <f>IFERROR(INDEX(Salaries[Team O/U],MATCH(WRmatchups[[#This Row],[Team]],Salaries[Team],0)),"")</f>
        <v>19.5</v>
      </c>
      <c r="M56" s="417">
        <f>IFERROR(INDEX(Salaries[Spread],MATCH(WRmatchups[[#This Row],[Team]],Salaries[Team],0)),"")</f>
        <v>1.5</v>
      </c>
      <c r="N56" s="424">
        <f>IFERROR(INDEX(WRallowed[DVP],MATCH(WRmatchups[[#This Row],[Opp]],WRallowed[Team],0)),IFERROR(INDEX(WRallowed[DVP],MATCH(WRmatchups[[#This Row],[Opp]],WRallowed[Opp],0)),""))</f>
        <v>3</v>
      </c>
      <c r="O56" s="17">
        <f>IFERROR(INDEX(YAtCData[YAtC],MATCH(WRmatchups[[#This Row],[Name]],YAtCData[Player],0)),"0")</f>
        <v>114</v>
      </c>
      <c r="P56" s="497">
        <f>IFERROR(INDEX(YAtCData[YAtC/Rec],MATCH(WRmatchups[[#This Row],[Name]],YAtCData[Player],0)),"0")</f>
        <v>6.71</v>
      </c>
      <c r="Q56" s="17">
        <f>IFERROR(INDEX(YAtCData[YAC],MATCH(WRmatchups[[#This Row],[Name]],YAtCData[Player],0)),"0")</f>
        <v>69</v>
      </c>
      <c r="R56" s="497">
        <f>IFERROR(INDEX(YACDATA[YAC per Reception],MATCH(WRmatchups[[#This Row],[Name]],YACDATA[Player],0)),"0")</f>
        <v>4.0999999999999996</v>
      </c>
      <c r="S56" s="418">
        <f>AVERAGE(WRmatchups[[#This Row],[Tar1]:[Tar3]])</f>
        <v>6.1</v>
      </c>
      <c r="T56" s="464">
        <f>AVERAGE(WRmatchups[[#This Row],[Rec1]:[Rec3]])</f>
        <v>4.003333333333333</v>
      </c>
      <c r="U56" s="468">
        <f>SUM(WRmatchups[[#This Row],[Rec4]]/WRmatchups[[#This Row],[Targets2]])</f>
        <v>0.6562841530054645</v>
      </c>
      <c r="V56" s="417">
        <f>AVERAGE(WRmatchups[[#This Row],[Yards1]:[Yards3]])</f>
        <v>43.689</v>
      </c>
      <c r="W56" s="461">
        <f>SUM(WRmatchups[[#This Row],[Yards]]/WRmatchups[[#This Row],[Targets2]])</f>
        <v>7.1621311475409843</v>
      </c>
      <c r="X56" s="32">
        <f>AVERAGE(WRmatchups[[#This Row],[TD1]:[TD3]])</f>
        <v>0.29099999999999998</v>
      </c>
      <c r="Y56" s="14">
        <f>_xlfn.RANK.EQ(WRmatchups[[#This Row],[Projection]],WRmatchups[Projection],0)</f>
        <v>46</v>
      </c>
      <c r="Z56" s="19">
        <f>SUM(WRmatchups[[#This Row],[Yards]]*0.1)+(WRmatchups[[#This Row],[RecTD5]]*6)+(WRmatchups[[#This Row],[Rec4]]*1)+(WRmatchups[[#This Row],[100+]])</f>
        <v>10.118233333333333</v>
      </c>
      <c r="AA56" s="8">
        <f>_xlfn.RANK.EQ(WRmatchups[[#This Row],[$/FP]],WRmatchups[$/FP],1)</f>
        <v>51</v>
      </c>
      <c r="AB56" s="23">
        <f>SUM(WRmatchups[[#This Row],[Salary]]/WRmatchups[[#This Row],[Projection]])</f>
        <v>434.85852273288816</v>
      </c>
      <c r="AC56" s="241">
        <f>_xlfn.RANK.EQ(WRmatchups[[#This Row],[Average]],WRmatchups[Average],1)</f>
        <v>50</v>
      </c>
      <c r="AD56" s="241">
        <f>AVERAGE(WRmatchups[[#This Row],[Proj Rank]],WRmatchups[[#This Row],[Value Rank]])</f>
        <v>48.5</v>
      </c>
      <c r="AE56" s="210">
        <f>WRmatchups[[#This Row],[Salary]]/50000</f>
        <v>8.7999999999999995E-2</v>
      </c>
      <c r="AF56" s="214"/>
      <c r="AG56" s="14">
        <f>IFERROR(INDEX(WRstats3[Targets],MATCH(WRmatchups[[#This Row],[Name]],WRstats3[Player],0)),"0")</f>
        <v>6.1</v>
      </c>
      <c r="AH56" s="14" t="str">
        <f>IFERROR(INDEX(WRstats2[Targets],MATCH(WRmatchups[[#This Row],[Name]],WRstats2[Player],0)),"0")</f>
        <v>0</v>
      </c>
      <c r="AI56" s="14">
        <f>IFERROR(INDEX(WRstats3[Targets],MATCH(WRmatchups[[#This Row],[Name]],WRstats3[Player],0)),"0")</f>
        <v>6.1</v>
      </c>
      <c r="AJ56" s="14">
        <f>IFERROR(INDEX(WRstats1[Rec],MATCH(WRmatchups[[#This Row],[Name]],WRstats1[Player],0)),"0")</f>
        <v>4.91</v>
      </c>
      <c r="AK56" s="14">
        <f>IFERROR(INDEX(WRstats2[Rec],MATCH(WRmatchups[[#This Row],[Name]],WRstats2[Player],0)),"0")</f>
        <v>4</v>
      </c>
      <c r="AL56" s="14">
        <f>IFERROR(INDEX(WRstats3[Rec],MATCH(WRmatchups[[#This Row],[Name]],WRstats3[Player],0)),"0")</f>
        <v>3.1</v>
      </c>
      <c r="AM56" s="32">
        <f>IFERROR(INDEX(WRallowed[Rec],MATCH(WRmatchups[[#This Row],[Opp]],WRallowed[Team],0)),"0")</f>
        <v>13</v>
      </c>
      <c r="AN56" s="14">
        <f>IFERROR(INDEX(WRstats1[Rec Yds],MATCH(WRmatchups[[#This Row],[Name]],WRstats1[Player],0)),"0")</f>
        <v>50.866999999999997</v>
      </c>
      <c r="AO56" s="14">
        <f>IFERROR(INDEX(WRstats2[RecYards],MATCH(WRmatchups[[#This Row],[Name]],WRstats2[Player],0)),"0")</f>
        <v>45.3</v>
      </c>
      <c r="AP56" s="14">
        <f>IFERROR(INDEX(WRstats3[RecYards],MATCH(WRmatchups[[#This Row],[Name]],WRstats3[Player],0)),"0")</f>
        <v>34.9</v>
      </c>
      <c r="AQ56" s="32">
        <f>IFERROR(INDEX(WRallowed[Yard],MATCH(WRmatchups[[#This Row],[Opp]],WRallowed[Team],0)),"0")</f>
        <v>148.5625</v>
      </c>
      <c r="AR56" s="14">
        <f>IFERROR(INDEX(WRstats1[Rec TD],MATCH(WRmatchups[[#This Row],[Name]],WRstats1[Player],0)),"0")</f>
        <v>0.28199999999999997</v>
      </c>
      <c r="AS56" s="14" t="str">
        <f>IFERROR(INDEX(WRstats2[RecTD],MATCH(WRmatchups[[#This Row],[Name]],WRstats2[Player],0)),"0")</f>
        <v>0.2</v>
      </c>
      <c r="AT56" s="14">
        <f>IFERROR(INDEX(WRstats3[RecTD],MATCH(WRmatchups[[#This Row],[Name]],WRstats3[Player],0)),"0")</f>
        <v>0.3</v>
      </c>
      <c r="AU56" s="32">
        <f>IFERROR(INDEX(WRallowed[TD],MATCH(WRmatchups[[#This Row],[Opp]],WRallowed[Team],0)),"0")*0.5</f>
        <v>0.375</v>
      </c>
      <c r="AV56" s="14" t="str">
        <f>IFERROR(INDEX(WRstats2[RushAtt],MATCH(WRmatchups[[#This Row],[Name]],WRstats2[Player],0)),"0")</f>
        <v>0.2</v>
      </c>
      <c r="AW56" s="14">
        <f>IFERROR(INDEX(WRstats3[RushATT],MATCH(WRmatchups[[#This Row],[Name]],WRstats3[Player],0)),"0")</f>
        <v>0</v>
      </c>
      <c r="AX56" s="14" t="str">
        <f>IFERROR(INDEX(WRstats2[RushYards],MATCH(WRmatchups[[#This Row],[Name]],WRstats2[Player],0)),"0")</f>
        <v>0</v>
      </c>
      <c r="AY56" s="14">
        <f>IFERROR(INDEX(WRstats3[RushYards],MATCH(WRmatchups[[#This Row],[Name]],WRstats3[Player],0)),"0")</f>
        <v>0</v>
      </c>
      <c r="AZ56" s="14" t="str">
        <f>IFERROR(INDEX(WRstats2[RushTD],MATCH(WRmatchups[[#This Row],[Name]],WRstats2[Player],0)),"0")</f>
        <v>0</v>
      </c>
      <c r="BA56" s="14">
        <f>IFERROR(INDEX(WRstats3[RushTD],MATCH(WRmatchups[[#This Row],[Name]],WRstats3[Player],0)),"0")</f>
        <v>0</v>
      </c>
      <c r="BB56" s="264">
        <f>IF(WRmatchups[[#This Row],[Yards]]&gt;=100,3,0)</f>
        <v>0</v>
      </c>
      <c r="BC56" s="191" t="str">
        <f>IFERROR(INDEX(#REF!,MATCH(WRmatchups[Name],#REF!,0)),"0")</f>
        <v>0</v>
      </c>
      <c r="BD56" s="494">
        <f>WRmatchups[[#This Row],[Targets]]/WRmatchups[[#This Row],[Salary]]*100</f>
        <v>0.56818181818181823</v>
      </c>
    </row>
    <row r="57" spans="1:56" ht="15" thickBot="1" x14ac:dyDescent="0.35">
      <c r="A57" s="37">
        <f>WRstats1!AL48</f>
        <v>8.3000000000000007</v>
      </c>
      <c r="B57" s="5" t="str">
        <f>WRstats1!D48</f>
        <v>Torrey Smith</v>
      </c>
      <c r="C57" s="172">
        <f>IFERROR(INDEX(Salaries[DraftKings (Price)],MATCH(WRmatchups[[#This Row],[Name]],Salaries[Player],0)),"")</f>
        <v>3900</v>
      </c>
      <c r="D57" s="172">
        <f>IFERROR(INDEX(DK_Salary_Changes[WeekChange],MATCH(WRmatchups[[#This Row],[Name]],DK_Salary_Changes[Player],0)),"")</f>
        <v>-400</v>
      </c>
      <c r="E57" s="14" t="str">
        <f>IFERROR(INDEX(Salaries[Team],MATCH(WRmatchups[[#This Row],[Name]],Salaries[Player],0)),"")</f>
        <v>SF</v>
      </c>
      <c r="F57" s="460" t="str">
        <f>IFERROR(INDEX(Salaries[Opp],MATCH(WRmatchups[[#This Row],[Team]],Salaries[Team],0)),"")</f>
        <v>DAL</v>
      </c>
      <c r="G57" s="476">
        <f>IFERROR(INDEX(WRYTD[Rec],MATCH(WRmatchups[Name],WRYTD[Player],0)),"0")</f>
        <v>8</v>
      </c>
      <c r="H57" s="458">
        <f>IFERROR(INDEX(targettracker54[TTL],MATCH(WRmatchups[Name],targettracker54[Name],0)),"")</f>
        <v>20</v>
      </c>
      <c r="I57" s="475">
        <f>IFERROR(INDEX(WRYTD[Rec Yds],MATCH(WRmatchups[Name],WRYTD[Player],0)),"0")</f>
        <v>103</v>
      </c>
      <c r="J57" s="477">
        <f>IFERROR(INDEX(WRYTD[Rec TD],MATCH(WRmatchups[Name],WRYTD[Player],0)),"0")</f>
        <v>1</v>
      </c>
      <c r="K57" s="473">
        <f>IFERROR(INDEX(Salaries[O/U],MATCH(WRmatchups[[#This Row],[Team]],Salaries[Team],0)),"")</f>
        <v>46</v>
      </c>
      <c r="L57" s="32">
        <f>IFERROR(INDEX(Salaries[Team O/U],MATCH(WRmatchups[[#This Row],[Team]],Salaries[Team],0)),"")</f>
        <v>21.5</v>
      </c>
      <c r="M57" s="417">
        <f>IFERROR(INDEX(Salaries[Spread],MATCH(WRmatchups[[#This Row],[Team]],Salaries[Team],0)),"")</f>
        <v>3</v>
      </c>
      <c r="N57" s="424">
        <f>IFERROR(INDEX(WRallowed[DVP],MATCH(WRmatchups[[#This Row],[Opp]],WRallowed[Team],0)),IFERROR(INDEX(WRallowed[DVP],MATCH(WRmatchups[[#This Row],[Opp]],WRallowed[Opp],0)),""))</f>
        <v>7</v>
      </c>
      <c r="O57" s="17">
        <f>IFERROR(INDEX(YAtCData[YAtC],MATCH(WRmatchups[[#This Row],[Name]],YAtCData[Player],0)),"0")</f>
        <v>87</v>
      </c>
      <c r="P57" s="497">
        <f>IFERROR(INDEX(YAtCData[YAtC/Rec],MATCH(WRmatchups[[#This Row],[Name]],YAtCData[Player],0)),"0")</f>
        <v>10.88</v>
      </c>
      <c r="Q57" s="17">
        <f>IFERROR(INDEX(YAtCData[YAC],MATCH(WRmatchups[[#This Row],[Name]],YAtCData[Player],0)),"0")</f>
        <v>16</v>
      </c>
      <c r="R57" s="497">
        <f>IFERROR(INDEX(YACDATA[YAC per Reception],MATCH(WRmatchups[[#This Row],[Name]],YACDATA[Player],0)),"0")</f>
        <v>2</v>
      </c>
      <c r="S57" s="418">
        <f>AVERAGE(WRmatchups[[#This Row],[Tar1]:[Tar3]])</f>
        <v>6</v>
      </c>
      <c r="T57" s="464">
        <f>AVERAGE(WRmatchups[[#This Row],[Rec1]:[Rec3]])</f>
        <v>3.0569999999999999</v>
      </c>
      <c r="U57" s="468">
        <f>SUM(WRmatchups[[#This Row],[Rec4]]/WRmatchups[[#This Row],[Targets2]])</f>
        <v>0.50949999999999995</v>
      </c>
      <c r="V57" s="417">
        <f>AVERAGE(WRmatchups[[#This Row],[Yards1]:[Yards3]])</f>
        <v>47.806666666666672</v>
      </c>
      <c r="W57" s="461">
        <f>SUM(WRmatchups[[#This Row],[Yards]]/WRmatchups[[#This Row],[Targets2]])</f>
        <v>7.967777777777779</v>
      </c>
      <c r="X57" s="32">
        <f>AVERAGE(WRmatchups[[#This Row],[TD1]:[TD3]])</f>
        <v>0.376</v>
      </c>
      <c r="Y57" s="14">
        <f>_xlfn.RANK.EQ(WRmatchups[[#This Row],[Projection]],WRmatchups[Projection],0)</f>
        <v>47</v>
      </c>
      <c r="Z57" s="19">
        <f>SUM(WRmatchups[[#This Row],[Yards]]*0.1)+(WRmatchups[[#This Row],[RecTD5]]*6)+(WRmatchups[[#This Row],[Rec4]]*1)+(WRmatchups[[#This Row],[100+]])</f>
        <v>10.093666666666667</v>
      </c>
      <c r="AA57" s="8">
        <f>_xlfn.RANK.EQ(WRmatchups[[#This Row],[$/FP]],WRmatchups[$/FP],1)</f>
        <v>20</v>
      </c>
      <c r="AB57" s="23">
        <f>SUM(WRmatchups[[#This Row],[Salary]]/WRmatchups[[#This Row],[Projection]])</f>
        <v>386.38089891351007</v>
      </c>
      <c r="AC57" s="241">
        <f>_xlfn.RANK.EQ(WRmatchups[[#This Row],[Average]],WRmatchups[Average],1)</f>
        <v>33</v>
      </c>
      <c r="AD57" s="241">
        <f>AVERAGE(WRmatchups[[#This Row],[Proj Rank]],WRmatchups[[#This Row],[Value Rank]])</f>
        <v>33.5</v>
      </c>
      <c r="AE57" s="210">
        <f>WRmatchups[[#This Row],[Salary]]/50000</f>
        <v>7.8E-2</v>
      </c>
      <c r="AF57" s="214"/>
      <c r="AG57" s="14">
        <f>IFERROR(INDEX(WRstats3[Targets],MATCH(WRmatchups[[#This Row],[Name]],WRstats3[Player],0)),"0")</f>
        <v>6</v>
      </c>
      <c r="AH57" s="14" t="str">
        <f>IFERROR(INDEX(WRstats2[Targets],MATCH(WRmatchups[[#This Row],[Name]],WRstats2[Player],0)),"0")</f>
        <v>0</v>
      </c>
      <c r="AI57" s="14">
        <f>IFERROR(INDEX(WRstats3[Targets],MATCH(WRmatchups[[#This Row],[Name]],WRstats3[Player],0)),"0")</f>
        <v>6</v>
      </c>
      <c r="AJ57" s="14">
        <f>IFERROR(INDEX(WRstats1[Rec],MATCH(WRmatchups[[#This Row],[Name]],WRstats1[Player],0)),"0")</f>
        <v>2.9710000000000001</v>
      </c>
      <c r="AK57" s="14">
        <f>IFERROR(INDEX(WRstats2[Rec],MATCH(WRmatchups[[#This Row],[Name]],WRstats2[Player],0)),"0")</f>
        <v>2.7</v>
      </c>
      <c r="AL57" s="14">
        <f>IFERROR(INDEX(WRstats3[Rec],MATCH(WRmatchups[[#This Row],[Name]],WRstats3[Player],0)),"0")</f>
        <v>3.5</v>
      </c>
      <c r="AM57" s="32">
        <f>IFERROR(INDEX(WRallowed[Rec],MATCH(WRmatchups[[#This Row],[Opp]],WRallowed[Team],0)),"0")</f>
        <v>13.25</v>
      </c>
      <c r="AN57" s="14">
        <f>IFERROR(INDEX(WRstats1[Rec Yds],MATCH(WRmatchups[[#This Row],[Name]],WRstats1[Player],0)),"0")</f>
        <v>41.22</v>
      </c>
      <c r="AO57" s="14">
        <f>IFERROR(INDEX(WRstats2[RecYards],MATCH(WRmatchups[[#This Row],[Name]],WRstats2[Player],0)),"0")</f>
        <v>39.4</v>
      </c>
      <c r="AP57" s="14">
        <f>IFERROR(INDEX(WRstats3[RecYards],MATCH(WRmatchups[[#This Row],[Name]],WRstats3[Player],0)),"0")</f>
        <v>62.8</v>
      </c>
      <c r="AQ57" s="32">
        <f>IFERROR(INDEX(WRallowed[Yard],MATCH(WRmatchups[[#This Row],[Opp]],WRallowed[Team],0)),"0")</f>
        <v>177.75</v>
      </c>
      <c r="AR57" s="14">
        <f>IFERROR(INDEX(WRstats1[Rec TD],MATCH(WRmatchups[[#This Row],[Name]],WRstats1[Player],0)),"0")</f>
        <v>0.45200000000000001</v>
      </c>
      <c r="AS57" s="14" t="str">
        <f>IFERROR(INDEX(WRstats2[RecTD],MATCH(WRmatchups[[#This Row],[Name]],WRstats2[Player],0)),"0")</f>
        <v>0.3</v>
      </c>
      <c r="AT57" s="14">
        <f>IFERROR(INDEX(WRstats3[RecTD],MATCH(WRmatchups[[#This Row],[Name]],WRstats3[Player],0)),"0")</f>
        <v>0.3</v>
      </c>
      <c r="AU57" s="32">
        <f>IFERROR(INDEX(WRallowed[TD],MATCH(WRmatchups[[#This Row],[Opp]],WRallowed[Team],0)),"0")*0.5</f>
        <v>0.59375</v>
      </c>
      <c r="AV57" s="14" t="str">
        <f>IFERROR(INDEX(WRstats2[RushAtt],MATCH(WRmatchups[[#This Row],[Name]],WRstats2[Player],0)),"0")</f>
        <v>0.3</v>
      </c>
      <c r="AW57" s="14">
        <f>IFERROR(INDEX(WRstats3[RushATT],MATCH(WRmatchups[[#This Row],[Name]],WRstats3[Player],0)),"0")</f>
        <v>0</v>
      </c>
      <c r="AX57" s="14" t="str">
        <f>IFERROR(INDEX(WRstats2[RushYards],MATCH(WRmatchups[[#This Row],[Name]],WRstats2[Player],0)),"0")</f>
        <v>0</v>
      </c>
      <c r="AY57" s="14">
        <f>IFERROR(INDEX(WRstats3[RushYards],MATCH(WRmatchups[[#This Row],[Name]],WRstats3[Player],0)),"0")</f>
        <v>0</v>
      </c>
      <c r="AZ57" s="14" t="str">
        <f>IFERROR(INDEX(WRstats2[RushTD],MATCH(WRmatchups[[#This Row],[Name]],WRstats2[Player],0)),"0")</f>
        <v>0</v>
      </c>
      <c r="BA57" s="14">
        <f>IFERROR(INDEX(WRstats3[RushTD],MATCH(WRmatchups[[#This Row],[Name]],WRstats3[Player],0)),"0")</f>
        <v>0</v>
      </c>
      <c r="BB57" s="264">
        <f>IF(WRmatchups[[#This Row],[Yards]]&gt;=100,3,0)</f>
        <v>0</v>
      </c>
      <c r="BC57" s="191" t="str">
        <f>IFERROR(INDEX(#REF!,MATCH(WRmatchups[Name],#REF!,0)),"0")</f>
        <v>0</v>
      </c>
      <c r="BD57" s="494">
        <f>WRmatchups[[#This Row],[Targets]]/WRmatchups[[#This Row],[Salary]]*100</f>
        <v>0.51282051282051277</v>
      </c>
    </row>
    <row r="58" spans="1:56" ht="15" thickBot="1" x14ac:dyDescent="0.35">
      <c r="A58" s="37">
        <f>WRstats1!AL45</f>
        <v>9.6999999999999993</v>
      </c>
      <c r="B58" s="5" t="str">
        <f>WRstats1!D45</f>
        <v>Michael Thomas</v>
      </c>
      <c r="C58" s="172">
        <f>IFERROR(INDEX(Salaries[DraftKings (Price)],MATCH(WRmatchups[[#This Row],[Name]],Salaries[Player],0)),"")</f>
        <v>3800</v>
      </c>
      <c r="D58" s="172">
        <f>IFERROR(INDEX(DK_Salary_Changes[WeekChange],MATCH(WRmatchups[[#This Row],[Name]],DK_Salary_Changes[Player],0)),"")</f>
        <v>-400</v>
      </c>
      <c r="E58" s="14" t="str">
        <f>IFERROR(INDEX(Salaries[Team],MATCH(WRmatchups[[#This Row],[Name]],Salaries[Player],0)),"")</f>
        <v>NO</v>
      </c>
      <c r="F58" s="460" t="str">
        <f>IFERROR(INDEX(Salaries[Opp],MATCH(WRmatchups[[#This Row],[Team]],Salaries[Team],0)),"")</f>
        <v>@SD</v>
      </c>
      <c r="G58" s="476">
        <f>IFERROR(INDEX(WRYTD[Rec],MATCH(WRmatchups[Name],WRYTD[Player],0)),"0")</f>
        <v>17</v>
      </c>
      <c r="H58" s="458">
        <f>IFERROR(INDEX(targettracker54[TTL],MATCH(WRmatchups[Name],targettracker54[Name],0)),"")</f>
        <v>22</v>
      </c>
      <c r="I58" s="475">
        <f>IFERROR(INDEX(WRYTD[Rec Yds],MATCH(WRmatchups[Name],WRYTD[Player],0)),"0")</f>
        <v>185</v>
      </c>
      <c r="J58" s="477">
        <f>IFERROR(INDEX(WRYTD[Rec TD],MATCH(WRmatchups[Name],WRYTD[Player],0)),"0")</f>
        <v>1</v>
      </c>
      <c r="K58" s="473">
        <f>IFERROR(INDEX(Salaries[O/U],MATCH(WRmatchups[[#This Row],[Team]],Salaries[Team],0)),"")</f>
        <v>53.5</v>
      </c>
      <c r="L58" s="32">
        <f>IFERROR(INDEX(Salaries[Team O/U],MATCH(WRmatchups[[#This Row],[Team]],Salaries[Team],0)),"")</f>
        <v>24.75</v>
      </c>
      <c r="M58" s="417">
        <f>IFERROR(INDEX(Salaries[Spread],MATCH(WRmatchups[[#This Row],[Team]],Salaries[Team],0)),"")</f>
        <v>4</v>
      </c>
      <c r="N58" s="424">
        <f>IFERROR(INDEX(WRallowed[DVP],MATCH(WRmatchups[[#This Row],[Opp]],WRallowed[Team],0)),IFERROR(INDEX(WRallowed[DVP],MATCH(WRmatchups[[#This Row],[Opp]],WRallowed[Opp],0)),""))</f>
        <v>4</v>
      </c>
      <c r="O58" s="17">
        <f>IFERROR(INDEX(YAtCData[YAtC],MATCH(WRmatchups[[#This Row],[Name]],YAtCData[Player],0)),"0")</f>
        <v>127</v>
      </c>
      <c r="P58" s="497">
        <f>IFERROR(INDEX(YAtCData[YAtC/Rec],MATCH(WRmatchups[[#This Row],[Name]],YAtCData[Player],0)),"0")</f>
        <v>7.47</v>
      </c>
      <c r="Q58" s="17">
        <f>IFERROR(INDEX(YAtCData[YAC],MATCH(WRmatchups[[#This Row],[Name]],YAtCData[Player],0)),"0")</f>
        <v>58</v>
      </c>
      <c r="R58" s="497">
        <f>IFERROR(INDEX(YACDATA[YAC per Reception],MATCH(WRmatchups[[#This Row],[Name]],YACDATA[Player],0)),"0")</f>
        <v>3.4</v>
      </c>
      <c r="S58" s="418" t="e">
        <f>AVERAGE(WRmatchups[[#This Row],[Tar1]:[Tar3]])</f>
        <v>#DIV/0!</v>
      </c>
      <c r="T58" s="464">
        <f>AVERAGE(WRmatchups[[#This Row],[Rec1]:[Rec3]])</f>
        <v>3.9580000000000002</v>
      </c>
      <c r="U58" s="468" t="e">
        <f>SUM(WRmatchups[[#This Row],[Rec4]]/WRmatchups[[#This Row],[Targets2]])</f>
        <v>#DIV/0!</v>
      </c>
      <c r="V58" s="417">
        <f>AVERAGE(WRmatchups[[#This Row],[Yards1]:[Yards3]])</f>
        <v>45.705500000000001</v>
      </c>
      <c r="W58" s="461" t="e">
        <f>SUM(WRmatchups[[#This Row],[Yards]]/WRmatchups[[#This Row],[Targets2]])</f>
        <v>#DIV/0!</v>
      </c>
      <c r="X58" s="32">
        <f>AVERAGE(WRmatchups[[#This Row],[TD1]:[TD3]])</f>
        <v>0.254</v>
      </c>
      <c r="Y58" s="14">
        <f>_xlfn.RANK.EQ(WRmatchups[[#This Row],[Projection]],WRmatchups[Projection],0)</f>
        <v>48</v>
      </c>
      <c r="Z58" s="19">
        <f>SUM(WRmatchups[[#This Row],[Yards]]*0.1)+(WRmatchups[[#This Row],[RecTD5]]*6)+(WRmatchups[[#This Row],[Rec4]]*1)+(WRmatchups[[#This Row],[100+]])</f>
        <v>10.05255</v>
      </c>
      <c r="AA58" s="8">
        <f>_xlfn.RANK.EQ(WRmatchups[[#This Row],[$/FP]],WRmatchups[$/FP],1)</f>
        <v>13</v>
      </c>
      <c r="AB58" s="23">
        <f>SUM(WRmatchups[[#This Row],[Salary]]/WRmatchups[[#This Row],[Projection]])</f>
        <v>378.01353885332577</v>
      </c>
      <c r="AC58" s="241">
        <f>_xlfn.RANK.EQ(WRmatchups[[#This Row],[Average]],WRmatchups[Average],1)</f>
        <v>29</v>
      </c>
      <c r="AD58" s="241">
        <f>AVERAGE(WRmatchups[[#This Row],[Proj Rank]],WRmatchups[[#This Row],[Value Rank]])</f>
        <v>30.5</v>
      </c>
      <c r="AE58" s="210">
        <f>WRmatchups[[#This Row],[Salary]]/50000</f>
        <v>7.5999999999999998E-2</v>
      </c>
      <c r="AF58" s="214"/>
      <c r="AG58" s="14" t="str">
        <f>IFERROR(INDEX(WRstats3[Targets],MATCH(WRmatchups[[#This Row],[Name]],WRstats3[Player],0)),"0")</f>
        <v>0</v>
      </c>
      <c r="AH58" s="14" t="str">
        <f>IFERROR(INDEX(WRstats2[Targets],MATCH(WRmatchups[[#This Row],[Name]],WRstats2[Player],0)),"0")</f>
        <v>0</v>
      </c>
      <c r="AI58" s="14" t="str">
        <f>IFERROR(INDEX(WRstats3[Targets],MATCH(WRmatchups[[#This Row],[Name]],WRstats3[Player],0)),"0")</f>
        <v>0</v>
      </c>
      <c r="AJ58" s="14">
        <f>IFERROR(INDEX(WRstats1[Rec],MATCH(WRmatchups[[#This Row],[Name]],WRstats1[Player],0)),"0")</f>
        <v>5.2160000000000002</v>
      </c>
      <c r="AK58" s="14">
        <f>IFERROR(INDEX(WRstats2[Rec],MATCH(WRmatchups[[#This Row],[Name]],WRstats2[Player],0)),"0")</f>
        <v>2.7</v>
      </c>
      <c r="AL58" s="14" t="str">
        <f>IFERROR(INDEX(WRstats3[Rec],MATCH(WRmatchups[[#This Row],[Name]],WRstats3[Player],0)),"0")</f>
        <v>0</v>
      </c>
      <c r="AM58" s="32" t="str">
        <f>IFERROR(INDEX(WRallowed[Rec],MATCH(WRmatchups[[#This Row],[Opp]],WRallowed[Team],0)),"0")</f>
        <v>0</v>
      </c>
      <c r="AN58" s="14">
        <f>IFERROR(INDEX(WRstats1[Rec Yds],MATCH(WRmatchups[[#This Row],[Name]],WRstats1[Player],0)),"0")</f>
        <v>56.511000000000003</v>
      </c>
      <c r="AO58" s="14">
        <f>IFERROR(INDEX(WRstats2[RecYards],MATCH(WRmatchups[[#This Row],[Name]],WRstats2[Player],0)),"0")</f>
        <v>34.9</v>
      </c>
      <c r="AP58" s="14" t="str">
        <f>IFERROR(INDEX(WRstats3[RecYards],MATCH(WRmatchups[[#This Row],[Name]],WRstats3[Player],0)),"0")</f>
        <v>0</v>
      </c>
      <c r="AQ58" s="32" t="str">
        <f>IFERROR(INDEX(WRallowed[Yard],MATCH(WRmatchups[[#This Row],[Opp]],WRallowed[Team],0)),"0")</f>
        <v>0</v>
      </c>
      <c r="AR58" s="14">
        <f>IFERROR(INDEX(WRstats1[Rec TD],MATCH(WRmatchups[[#This Row],[Name]],WRstats1[Player],0)),"0")</f>
        <v>0.254</v>
      </c>
      <c r="AS58" s="14" t="str">
        <f>IFERROR(INDEX(WRstats2[RecTD],MATCH(WRmatchups[[#This Row],[Name]],WRstats2[Player],0)),"0")</f>
        <v>0.2</v>
      </c>
      <c r="AT58" s="14" t="str">
        <f>IFERROR(INDEX(WRstats3[RecTD],MATCH(WRmatchups[[#This Row],[Name]],WRstats3[Player],0)),"0")</f>
        <v>0</v>
      </c>
      <c r="AU58" s="32">
        <f>IFERROR(INDEX(WRallowed[TD],MATCH(WRmatchups[[#This Row],[Opp]],WRallowed[Team],0)),"0")*0.5</f>
        <v>0</v>
      </c>
      <c r="AV58" s="14" t="str">
        <f>IFERROR(INDEX(WRstats2[RushAtt],MATCH(WRmatchups[[#This Row],[Name]],WRstats2[Player],0)),"0")</f>
        <v>0.2</v>
      </c>
      <c r="AW58" s="14" t="str">
        <f>IFERROR(INDEX(WRstats3[RushATT],MATCH(WRmatchups[[#This Row],[Name]],WRstats3[Player],0)),"0")</f>
        <v>0</v>
      </c>
      <c r="AX58" s="14" t="str">
        <f>IFERROR(INDEX(WRstats2[RushYards],MATCH(WRmatchups[[#This Row],[Name]],WRstats2[Player],0)),"0")</f>
        <v>0</v>
      </c>
      <c r="AY58" s="14" t="str">
        <f>IFERROR(INDEX(WRstats3[RushYards],MATCH(WRmatchups[[#This Row],[Name]],WRstats3[Player],0)),"0")</f>
        <v>0</v>
      </c>
      <c r="AZ58" s="14" t="str">
        <f>IFERROR(INDEX(WRstats2[RushTD],MATCH(WRmatchups[[#This Row],[Name]],WRstats2[Player],0)),"0")</f>
        <v>0</v>
      </c>
      <c r="BA58" s="14" t="str">
        <f>IFERROR(INDEX(WRstats3[RushTD],MATCH(WRmatchups[[#This Row],[Name]],WRstats3[Player],0)),"0")</f>
        <v>0</v>
      </c>
      <c r="BB58" s="264">
        <f>IF(WRmatchups[[#This Row],[Yards]]&gt;=100,3,0)</f>
        <v>0</v>
      </c>
      <c r="BC58" s="191" t="str">
        <f>IFERROR(INDEX(#REF!,MATCH(WRmatchups[Name],#REF!,0)),"0")</f>
        <v>0</v>
      </c>
      <c r="BD58" s="494">
        <f>WRmatchups[[#This Row],[Targets]]/WRmatchups[[#This Row],[Salary]]*100</f>
        <v>0.57894736842105265</v>
      </c>
    </row>
    <row r="59" spans="1:56" ht="15" thickBot="1" x14ac:dyDescent="0.35">
      <c r="A59" s="37">
        <f>WRstats1!AL55</f>
        <v>7.9</v>
      </c>
      <c r="B59" s="5" t="str">
        <f>WRstats1!D55</f>
        <v>Mohamed Sanu</v>
      </c>
      <c r="C59" s="172">
        <f>IFERROR(INDEX(Salaries[DraftKings (Price)],MATCH(WRmatchups[[#This Row],[Name]],Salaries[Player],0)),"")</f>
        <v>5700</v>
      </c>
      <c r="D59" s="172">
        <f>IFERROR(INDEX(DK_Salary_Changes[WeekChange],MATCH(WRmatchups[[#This Row],[Name]],DK_Salary_Changes[Player],0)),"")</f>
        <v>0</v>
      </c>
      <c r="E59" s="14" t="str">
        <f>IFERROR(INDEX(Salaries[Team],MATCH(WRmatchups[[#This Row],[Name]],Salaries[Player],0)),"")</f>
        <v>ATL</v>
      </c>
      <c r="F59" s="460" t="str">
        <f>IFERROR(INDEX(Salaries[Opp],MATCH(WRmatchups[[#This Row],[Team]],Salaries[Team],0)),"")</f>
        <v>CAR</v>
      </c>
      <c r="G59" s="476">
        <f>IFERROR(INDEX(WRYTD[Rec],MATCH(WRmatchups[Name],WRYTD[Player],0)),"0")</f>
        <v>11</v>
      </c>
      <c r="H59" s="458">
        <f>IFERROR(INDEX(targettracker54[TTL],MATCH(WRmatchups[Name],targettracker54[Name],0)),"")</f>
        <v>17</v>
      </c>
      <c r="I59" s="475">
        <f>IFERROR(INDEX(WRYTD[Rec Yds],MATCH(WRmatchups[Name],WRYTD[Player],0)),"0")</f>
        <v>130</v>
      </c>
      <c r="J59" s="477">
        <f>IFERROR(INDEX(WRYTD[Rec TD],MATCH(WRmatchups[Name],WRYTD[Player],0)),"0")</f>
        <v>1</v>
      </c>
      <c r="K59" s="473">
        <f>IFERROR(INDEX(Salaries[O/U],MATCH(WRmatchups[[#This Row],[Team]],Salaries[Team],0)),"")</f>
        <v>50</v>
      </c>
      <c r="L59" s="32">
        <f>IFERROR(INDEX(Salaries[Team O/U],MATCH(WRmatchups[[#This Row],[Team]],Salaries[Team],0)),"")</f>
        <v>23.5</v>
      </c>
      <c r="M59" s="417">
        <f>IFERROR(INDEX(Salaries[Spread],MATCH(WRmatchups[[#This Row],[Team]],Salaries[Team],0)),"")</f>
        <v>3</v>
      </c>
      <c r="N59" s="424">
        <f>IFERROR(INDEX(WRallowed[DVP],MATCH(WRmatchups[[#This Row],[Opp]],WRallowed[Team],0)),IFERROR(INDEX(WRallowed[DVP],MATCH(WRmatchups[[#This Row],[Opp]],WRallowed[Opp],0)),""))</f>
        <v>8</v>
      </c>
      <c r="O59" s="17">
        <f>IFERROR(INDEX(YAtCData[YAtC],MATCH(WRmatchups[[#This Row],[Name]],YAtCData[Player],0)),"0")</f>
        <v>75</v>
      </c>
      <c r="P59" s="497">
        <f>IFERROR(INDEX(YAtCData[YAtC/Rec],MATCH(WRmatchups[[#This Row],[Name]],YAtCData[Player],0)),"0")</f>
        <v>6.82</v>
      </c>
      <c r="Q59" s="17">
        <f>IFERROR(INDEX(YAtCData[YAC],MATCH(WRmatchups[[#This Row],[Name]],YAtCData[Player],0)),"0")</f>
        <v>55</v>
      </c>
      <c r="R59" s="497">
        <f>IFERROR(INDEX(YACDATA[YAC per Reception],MATCH(WRmatchups[[#This Row],[Name]],YACDATA[Player],0)),"0")</f>
        <v>5</v>
      </c>
      <c r="S59" s="418">
        <f>AVERAGE(WRmatchups[[#This Row],[Tar1]:[Tar3]])</f>
        <v>6.8</v>
      </c>
      <c r="T59" s="464">
        <f>AVERAGE(WRmatchups[[#This Row],[Rec1]:[Rec3]])</f>
        <v>3.6189999999999998</v>
      </c>
      <c r="U59" s="468">
        <f>SUM(WRmatchups[[#This Row],[Rec4]]/WRmatchups[[#This Row],[Targets2]])</f>
        <v>0.5322058823529412</v>
      </c>
      <c r="V59" s="417">
        <f>AVERAGE(WRmatchups[[#This Row],[Yards1]:[Yards3]])</f>
        <v>41.386666666666663</v>
      </c>
      <c r="W59" s="461">
        <f>SUM(WRmatchups[[#This Row],[Yards]]/WRmatchups[[#This Row],[Targets2]])</f>
        <v>6.0862745098039213</v>
      </c>
      <c r="X59" s="32">
        <f>AVERAGE(WRmatchups[[#This Row],[TD1]:[TD3]])</f>
        <v>0.36449999999999999</v>
      </c>
      <c r="Y59" s="14">
        <f>_xlfn.RANK.EQ(WRmatchups[[#This Row],[Projection]],WRmatchups[Projection],0)</f>
        <v>49</v>
      </c>
      <c r="Z59" s="19">
        <f>SUM(WRmatchups[[#This Row],[Yards]]*0.1)+(WRmatchups[[#This Row],[RecTD5]]*6)+(WRmatchups[[#This Row],[Rec4]]*1)+(WRmatchups[[#This Row],[100+]])</f>
        <v>9.9446666666666665</v>
      </c>
      <c r="AA59" s="8">
        <f>_xlfn.RANK.EQ(WRmatchups[[#This Row],[$/FP]],WRmatchups[$/FP],1)</f>
        <v>81</v>
      </c>
      <c r="AB59" s="23">
        <f>SUM(WRmatchups[[#This Row],[Salary]]/WRmatchups[[#This Row],[Projection]])</f>
        <v>573.17154923912312</v>
      </c>
      <c r="AC59" s="241">
        <f>_xlfn.RANK.EQ(WRmatchups[[#This Row],[Average]],WRmatchups[Average],1)</f>
        <v>71</v>
      </c>
      <c r="AD59" s="241">
        <f>AVERAGE(WRmatchups[[#This Row],[Proj Rank]],WRmatchups[[#This Row],[Value Rank]])</f>
        <v>65</v>
      </c>
      <c r="AE59" s="210">
        <f>WRmatchups[[#This Row],[Salary]]/50000</f>
        <v>0.114</v>
      </c>
      <c r="AF59" s="214"/>
      <c r="AG59" s="14">
        <f>IFERROR(INDEX(WRstats3[Targets],MATCH(WRmatchups[[#This Row],[Name]],WRstats3[Player],0)),"0")</f>
        <v>6.8</v>
      </c>
      <c r="AH59" s="14" t="str">
        <f>IFERROR(INDEX(WRstats2[Targets],MATCH(WRmatchups[[#This Row],[Name]],WRstats2[Player],0)),"0")</f>
        <v>0</v>
      </c>
      <c r="AI59" s="14">
        <f>IFERROR(INDEX(WRstats3[Targets],MATCH(WRmatchups[[#This Row],[Name]],WRstats3[Player],0)),"0")</f>
        <v>6.8</v>
      </c>
      <c r="AJ59" s="14">
        <f>IFERROR(INDEX(WRstats1[Rec],MATCH(WRmatchups[[#This Row],[Name]],WRstats1[Player],0)),"0")</f>
        <v>3.4569999999999999</v>
      </c>
      <c r="AK59" s="14">
        <f>IFERROR(INDEX(WRstats2[Rec],MATCH(WRmatchups[[#This Row],[Name]],WRstats2[Player],0)),"0")</f>
        <v>2.7</v>
      </c>
      <c r="AL59" s="14">
        <f>IFERROR(INDEX(WRstats3[Rec],MATCH(WRmatchups[[#This Row],[Name]],WRstats3[Player],0)),"0")</f>
        <v>4.7</v>
      </c>
      <c r="AM59" s="32">
        <f>IFERROR(INDEX(WRallowed[Rec],MATCH(WRmatchups[[#This Row],[Opp]],WRallowed[Team],0)),"0")</f>
        <v>13.1875</v>
      </c>
      <c r="AN59" s="14">
        <f>IFERROR(INDEX(WRstats1[Rec Yds],MATCH(WRmatchups[[#This Row],[Name]],WRstats1[Player],0)),"0")</f>
        <v>36.76</v>
      </c>
      <c r="AO59" s="14">
        <f>IFERROR(INDEX(WRstats2[RecYards],MATCH(WRmatchups[[#This Row],[Name]],WRstats2[Player],0)),"0")</f>
        <v>33.299999999999997</v>
      </c>
      <c r="AP59" s="14">
        <f>IFERROR(INDEX(WRstats3[RecYards],MATCH(WRmatchups[[#This Row],[Name]],WRstats3[Player],0)),"0")</f>
        <v>54.1</v>
      </c>
      <c r="AQ59" s="32">
        <f>IFERROR(INDEX(WRallowed[Yard],MATCH(WRmatchups[[#This Row],[Opp]],WRallowed[Team],0)),"0")</f>
        <v>165.4375</v>
      </c>
      <c r="AR59" s="14">
        <f>IFERROR(INDEX(WRstats1[Rec TD],MATCH(WRmatchups[[#This Row],[Name]],WRstats1[Player],0)),"0")</f>
        <v>0.42899999999999999</v>
      </c>
      <c r="AS59" s="14" t="str">
        <f>IFERROR(INDEX(WRstats2[RecTD],MATCH(WRmatchups[[#This Row],[Name]],WRstats2[Player],0)),"0")</f>
        <v>0.2</v>
      </c>
      <c r="AT59" s="14">
        <f>IFERROR(INDEX(WRstats3[RecTD],MATCH(WRmatchups[[#This Row],[Name]],WRstats3[Player],0)),"0")</f>
        <v>0.3</v>
      </c>
      <c r="AU59" s="32">
        <f>IFERROR(INDEX(WRallowed[TD],MATCH(WRmatchups[[#This Row],[Opp]],WRallowed[Team],0)),"0")*0.5</f>
        <v>0.8125</v>
      </c>
      <c r="AV59" s="14" t="str">
        <f>IFERROR(INDEX(WRstats2[RushAtt],MATCH(WRmatchups[[#This Row],[Name]],WRstats2[Player],0)),"0")</f>
        <v>0.2</v>
      </c>
      <c r="AW59" s="14">
        <f>IFERROR(INDEX(WRstats3[RushATT],MATCH(WRmatchups[[#This Row],[Name]],WRstats3[Player],0)),"0")</f>
        <v>0</v>
      </c>
      <c r="AX59" s="14" t="str">
        <f>IFERROR(INDEX(WRstats2[RushYards],MATCH(WRmatchups[[#This Row],[Name]],WRstats2[Player],0)),"0")</f>
        <v>0.8</v>
      </c>
      <c r="AY59" s="14">
        <f>IFERROR(INDEX(WRstats3[RushYards],MATCH(WRmatchups[[#This Row],[Name]],WRstats3[Player],0)),"0")</f>
        <v>0</v>
      </c>
      <c r="AZ59" s="14" t="str">
        <f>IFERROR(INDEX(WRstats2[RushTD],MATCH(WRmatchups[[#This Row],[Name]],WRstats2[Player],0)),"0")</f>
        <v>0</v>
      </c>
      <c r="BA59" s="14">
        <f>IFERROR(INDEX(WRstats3[RushTD],MATCH(WRmatchups[[#This Row],[Name]],WRstats3[Player],0)),"0")</f>
        <v>0</v>
      </c>
      <c r="BB59" s="264">
        <f>IF(WRmatchups[[#This Row],[Yards]]&gt;=100,3,0)</f>
        <v>0</v>
      </c>
      <c r="BC59" s="191" t="str">
        <f>IFERROR(INDEX(#REF!,MATCH(WRmatchups[Name],#REF!,0)),"0")</f>
        <v>0</v>
      </c>
      <c r="BD59" s="494">
        <f>WRmatchups[[#This Row],[Targets]]/WRmatchups[[#This Row],[Salary]]*100</f>
        <v>0.2982456140350877</v>
      </c>
    </row>
    <row r="60" spans="1:56" ht="15" thickBot="1" x14ac:dyDescent="0.35">
      <c r="A60" s="37">
        <f>WRstats1!AL64</f>
        <v>7.2</v>
      </c>
      <c r="B60" s="5" t="str">
        <f>WRstats1!D64</f>
        <v>Pierre Garcon</v>
      </c>
      <c r="C60" s="172">
        <f>IFERROR(INDEX(Salaries[DraftKings (Price)],MATCH(WRmatchups[[#This Row],[Name]],Salaries[Player],0)),"")</f>
        <v>4000</v>
      </c>
      <c r="D60" s="172">
        <f>IFERROR(INDEX(DK_Salary_Changes[WeekChange],MATCH(WRmatchups[[#This Row],[Name]],DK_Salary_Changes[Player],0)),"")</f>
        <v>100</v>
      </c>
      <c r="E60" s="14" t="str">
        <f>IFERROR(INDEX(Salaries[Team],MATCH(WRmatchups[[#This Row],[Name]],Salaries[Player],0)),"")</f>
        <v>WAS</v>
      </c>
      <c r="F60" s="460" t="str">
        <f>IFERROR(INDEX(Salaries[Opp],MATCH(WRmatchups[[#This Row],[Team]],Salaries[Team],0)),"")</f>
        <v>CLE</v>
      </c>
      <c r="G60" s="476">
        <f>IFERROR(INDEX(WRYTD[Rec],MATCH(WRmatchups[Name],WRYTD[Player],0)),"0")</f>
        <v>13</v>
      </c>
      <c r="H60" s="458">
        <f>IFERROR(INDEX(targettracker54[TTL],MATCH(WRmatchups[Name],targettracker54[Name],0)),"")</f>
        <v>20</v>
      </c>
      <c r="I60" s="475">
        <f>IFERROR(INDEX(WRYTD[Rec Yds],MATCH(WRmatchups[Name],WRYTD[Player],0)),"0")</f>
        <v>135</v>
      </c>
      <c r="J60" s="477">
        <f>IFERROR(INDEX(WRYTD[Rec TD],MATCH(WRmatchups[Name],WRYTD[Player],0)),"0")</f>
        <v>0</v>
      </c>
      <c r="K60" s="473">
        <f>IFERROR(INDEX(Salaries[O/U],MATCH(WRmatchups[[#This Row],[Team]],Salaries[Team],0)),"")</f>
        <v>45.5</v>
      </c>
      <c r="L60" s="32">
        <f>IFERROR(INDEX(Salaries[Team O/U],MATCH(WRmatchups[[#This Row],[Team]],Salaries[Team],0)),"")</f>
        <v>26.75</v>
      </c>
      <c r="M60" s="417">
        <f>IFERROR(INDEX(Salaries[Spread],MATCH(WRmatchups[[#This Row],[Team]],Salaries[Team],0)),"")</f>
        <v>-8</v>
      </c>
      <c r="N60" s="424">
        <f>IFERROR(INDEX(WRallowed[DVP],MATCH(WRmatchups[[#This Row],[Opp]],WRallowed[Team],0)),IFERROR(INDEX(WRallowed[DVP],MATCH(WRmatchups[[#This Row],[Opp]],WRallowed[Opp],0)),""))</f>
        <v>32</v>
      </c>
      <c r="O60" s="17">
        <f>IFERROR(INDEX(YAtCData[YAtC],MATCH(WRmatchups[[#This Row],[Name]],YAtCData[Player],0)),"0")</f>
        <v>97</v>
      </c>
      <c r="P60" s="497">
        <f>IFERROR(INDEX(YAtCData[YAtC/Rec],MATCH(WRmatchups[[#This Row],[Name]],YAtCData[Player],0)),"0")</f>
        <v>7.46</v>
      </c>
      <c r="Q60" s="17">
        <f>IFERROR(INDEX(YAtCData[YAC],MATCH(WRmatchups[[#This Row],[Name]],YAtCData[Player],0)),"0")</f>
        <v>38</v>
      </c>
      <c r="R60" s="497">
        <f>IFERROR(INDEX(YACDATA[YAC per Reception],MATCH(WRmatchups[[#This Row],[Name]],YACDATA[Player],0)),"0")</f>
        <v>2.9</v>
      </c>
      <c r="S60" s="418">
        <f>AVERAGE(WRmatchups[[#This Row],[Tar1]:[Tar3]])</f>
        <v>4.7</v>
      </c>
      <c r="T60" s="464">
        <f>AVERAGE(WRmatchups[[#This Row],[Rec1]:[Rec3]])</f>
        <v>3.7033333333333331</v>
      </c>
      <c r="U60" s="468">
        <f>SUM(WRmatchups[[#This Row],[Rec4]]/WRmatchups[[#This Row],[Targets2]])</f>
        <v>0.78794326241134749</v>
      </c>
      <c r="V60" s="417">
        <f>AVERAGE(WRmatchups[[#This Row],[Yards1]:[Yards3]])</f>
        <v>46.689333333333337</v>
      </c>
      <c r="W60" s="461">
        <f>SUM(WRmatchups[[#This Row],[Yards]]/WRmatchups[[#This Row],[Targets2]])</f>
        <v>9.9339007092198592</v>
      </c>
      <c r="X60" s="32">
        <f>AVERAGE(WRmatchups[[#This Row],[TD1]:[TD3]])</f>
        <v>0.22799999999999998</v>
      </c>
      <c r="Y60" s="14">
        <f>_xlfn.RANK.EQ(WRmatchups[[#This Row],[Projection]],WRmatchups[Projection],0)</f>
        <v>50</v>
      </c>
      <c r="Z60" s="19">
        <f>SUM(WRmatchups[[#This Row],[Yards]]*0.1)+(WRmatchups[[#This Row],[RecTD5]]*6)+(WRmatchups[[#This Row],[Rec4]]*1)+(WRmatchups[[#This Row],[100+]])</f>
        <v>9.7402666666666669</v>
      </c>
      <c r="AA60" s="8">
        <f>_xlfn.RANK.EQ(WRmatchups[[#This Row],[$/FP]],WRmatchups[$/FP],1)</f>
        <v>30</v>
      </c>
      <c r="AB60" s="23">
        <f>SUM(WRmatchups[[#This Row],[Salary]]/WRmatchups[[#This Row],[Projection]])</f>
        <v>410.6663746372447</v>
      </c>
      <c r="AC60" s="241">
        <f>_xlfn.RANK.EQ(WRmatchups[[#This Row],[Average]],WRmatchups[Average],1)</f>
        <v>39</v>
      </c>
      <c r="AD60" s="241">
        <f>AVERAGE(WRmatchups[[#This Row],[Proj Rank]],WRmatchups[[#This Row],[Value Rank]])</f>
        <v>40</v>
      </c>
      <c r="AE60" s="210">
        <f>WRmatchups[[#This Row],[Salary]]/50000</f>
        <v>0.08</v>
      </c>
      <c r="AF60" s="214"/>
      <c r="AG60" s="14">
        <f>IFERROR(INDEX(WRstats3[Targets],MATCH(WRmatchups[[#This Row],[Name]],WRstats3[Player],0)),"0")</f>
        <v>4.7</v>
      </c>
      <c r="AH60" s="14" t="str">
        <f>IFERROR(INDEX(WRstats2[Targets],MATCH(WRmatchups[[#This Row],[Name]],WRstats2[Player],0)),"0")</f>
        <v>0</v>
      </c>
      <c r="AI60" s="14">
        <f>IFERROR(INDEX(WRstats3[Targets],MATCH(WRmatchups[[#This Row],[Name]],WRstats3[Player],0)),"0")</f>
        <v>4.7</v>
      </c>
      <c r="AJ60" s="14">
        <f>IFERROR(INDEX(WRstats1[Rec],MATCH(WRmatchups[[#This Row],[Name]],WRstats1[Player],0)),"0")</f>
        <v>4.01</v>
      </c>
      <c r="AK60" s="14">
        <f>IFERROR(INDEX(WRstats2[Rec],MATCH(WRmatchups[[#This Row],[Name]],WRstats2[Player],0)),"0")</f>
        <v>4</v>
      </c>
      <c r="AL60" s="14">
        <f>IFERROR(INDEX(WRstats3[Rec],MATCH(WRmatchups[[#This Row],[Name]],WRstats3[Player],0)),"0")</f>
        <v>3.1</v>
      </c>
      <c r="AM60" s="32">
        <f>IFERROR(INDEX(WRallowed[Rec],MATCH(WRmatchups[[#This Row],[Opp]],WRallowed[Team],0)),"0")</f>
        <v>12.375</v>
      </c>
      <c r="AN60" s="14">
        <f>IFERROR(INDEX(WRstats1[Rec Yds],MATCH(WRmatchups[[#This Row],[Name]],WRstats1[Player],0)),"0")</f>
        <v>43.368000000000002</v>
      </c>
      <c r="AO60" s="14">
        <f>IFERROR(INDEX(WRstats2[RecYards],MATCH(WRmatchups[[#This Row],[Name]],WRstats2[Player],0)),"0")</f>
        <v>54.3</v>
      </c>
      <c r="AP60" s="14">
        <f>IFERROR(INDEX(WRstats3[RecYards],MATCH(WRmatchups[[#This Row],[Name]],WRstats3[Player],0)),"0")</f>
        <v>42.4</v>
      </c>
      <c r="AQ60" s="32">
        <f>IFERROR(INDEX(WRallowed[Yard],MATCH(WRmatchups[[#This Row],[Opp]],WRallowed[Team],0)),"0")</f>
        <v>176.875</v>
      </c>
      <c r="AR60" s="14">
        <f>IFERROR(INDEX(WRstats1[Rec TD],MATCH(WRmatchups[[#This Row],[Name]],WRstats1[Player],0)),"0")</f>
        <v>0.156</v>
      </c>
      <c r="AS60" s="14" t="str">
        <f>IFERROR(INDEX(WRstats2[RecTD],MATCH(WRmatchups[[#This Row],[Name]],WRstats2[Player],0)),"0")</f>
        <v>0.4</v>
      </c>
      <c r="AT60" s="14">
        <f>IFERROR(INDEX(WRstats3[RecTD],MATCH(WRmatchups[[#This Row],[Name]],WRstats3[Player],0)),"0")</f>
        <v>0.3</v>
      </c>
      <c r="AU60" s="32">
        <f>IFERROR(INDEX(WRallowed[TD],MATCH(WRmatchups[[#This Row],[Opp]],WRallowed[Team],0)),"0")*0.5</f>
        <v>0.625</v>
      </c>
      <c r="AV60" s="14" t="str">
        <f>IFERROR(INDEX(WRstats2[RushAtt],MATCH(WRmatchups[[#This Row],[Name]],WRstats2[Player],0)),"0")</f>
        <v>0.4</v>
      </c>
      <c r="AW60" s="14">
        <f>IFERROR(INDEX(WRstats3[RushATT],MATCH(WRmatchups[[#This Row],[Name]],WRstats3[Player],0)),"0")</f>
        <v>0</v>
      </c>
      <c r="AX60" s="14" t="str">
        <f>IFERROR(INDEX(WRstats2[RushYards],MATCH(WRmatchups[[#This Row],[Name]],WRstats2[Player],0)),"0")</f>
        <v>0</v>
      </c>
      <c r="AY60" s="14">
        <f>IFERROR(INDEX(WRstats3[RushYards],MATCH(WRmatchups[[#This Row],[Name]],WRstats3[Player],0)),"0")</f>
        <v>0</v>
      </c>
      <c r="AZ60" s="14" t="str">
        <f>IFERROR(INDEX(WRstats2[RushTD],MATCH(WRmatchups[[#This Row],[Name]],WRstats2[Player],0)),"0")</f>
        <v>0</v>
      </c>
      <c r="BA60" s="14">
        <f>IFERROR(INDEX(WRstats3[RushTD],MATCH(WRmatchups[[#This Row],[Name]],WRstats3[Player],0)),"0")</f>
        <v>0</v>
      </c>
      <c r="BB60" s="264">
        <f>IF(WRmatchups[[#This Row],[Yards]]&gt;=100,3,0)</f>
        <v>0</v>
      </c>
      <c r="BC60" s="191" t="str">
        <f>IFERROR(INDEX(#REF!,MATCH(WRmatchups[Name],#REF!,0)),"0")</f>
        <v>0</v>
      </c>
      <c r="BD60" s="494">
        <f>WRmatchups[[#This Row],[Targets]]/WRmatchups[[#This Row],[Salary]]*100</f>
        <v>0.5</v>
      </c>
    </row>
    <row r="61" spans="1:56" ht="15" thickBot="1" x14ac:dyDescent="0.35">
      <c r="A61" s="37">
        <f>WRstats1!AL53</f>
        <v>8.3000000000000007</v>
      </c>
      <c r="B61" s="5" t="str">
        <f>WRstats1!D53</f>
        <v>Victor Cruz</v>
      </c>
      <c r="C61" s="172">
        <f>IFERROR(INDEX(Salaries[DraftKings (Price)],MATCH(WRmatchups[[#This Row],[Name]],Salaries[Player],0)),"")</f>
        <v>4600</v>
      </c>
      <c r="D61" s="172">
        <f>IFERROR(INDEX(DK_Salary_Changes[WeekChange],MATCH(WRmatchups[[#This Row],[Name]],DK_Salary_Changes[Player],0)),"")</f>
        <v>-100</v>
      </c>
      <c r="E61" s="14" t="str">
        <f>IFERROR(INDEX(Salaries[Team],MATCH(WRmatchups[[#This Row],[Name]],Salaries[Player],0)),"")</f>
        <v>NYG</v>
      </c>
      <c r="F61" s="460" t="str">
        <f>IFERROR(INDEX(Salaries[Opp],MATCH(WRmatchups[[#This Row],[Team]],Salaries[Team],0)),"")</f>
        <v>@MIN</v>
      </c>
      <c r="G61" s="476">
        <f>IFERROR(INDEX(WRYTD[Rec],MATCH(WRmatchups[Name],WRYTD[Player],0)),"0")</f>
        <v>11</v>
      </c>
      <c r="H61" s="458">
        <f>IFERROR(INDEX(targettracker54[TTL],MATCH(WRmatchups[Name],targettracker54[Name],0)),"")</f>
        <v>15</v>
      </c>
      <c r="I61" s="475">
        <f>IFERROR(INDEX(WRYTD[Rec Yds],MATCH(WRmatchups[Name],WRYTD[Player],0)),"0")</f>
        <v>195</v>
      </c>
      <c r="J61" s="477">
        <f>IFERROR(INDEX(WRYTD[Rec TD],MATCH(WRmatchups[Name],WRYTD[Player],0)),"0")</f>
        <v>1</v>
      </c>
      <c r="K61" s="473">
        <f>IFERROR(INDEX(Salaries[O/U],MATCH(WRmatchups[[#This Row],[Team]],Salaries[Team],0)),"")</f>
        <v>43.5</v>
      </c>
      <c r="L61" s="32">
        <f>IFERROR(INDEX(Salaries[Team O/U],MATCH(WRmatchups[[#This Row],[Team]],Salaries[Team],0)),"")</f>
        <v>19.75</v>
      </c>
      <c r="M61" s="417">
        <f>IFERROR(INDEX(Salaries[Spread],MATCH(WRmatchups[[#This Row],[Team]],Salaries[Team],0)),"")</f>
        <v>4</v>
      </c>
      <c r="N61" s="424">
        <f>IFERROR(INDEX(WRallowed[DVP],MATCH(WRmatchups[[#This Row],[Opp]],WRallowed[Team],0)),IFERROR(INDEX(WRallowed[DVP],MATCH(WRmatchups[[#This Row],[Opp]],WRallowed[Opp],0)),""))</f>
        <v>14</v>
      </c>
      <c r="O61" s="17">
        <f>IFERROR(INDEX(YAtCData[YAtC],MATCH(WRmatchups[[#This Row],[Name]],YAtCData[Player],0)),"0")</f>
        <v>115</v>
      </c>
      <c r="P61" s="497">
        <f>IFERROR(INDEX(YAtCData[YAtC/Rec],MATCH(WRmatchups[[#This Row],[Name]],YAtCData[Player],0)),"0")</f>
        <v>10.45</v>
      </c>
      <c r="Q61" s="17">
        <f>IFERROR(INDEX(YAtCData[YAC],MATCH(WRmatchups[[#This Row],[Name]],YAtCData[Player],0)),"0")</f>
        <v>80</v>
      </c>
      <c r="R61" s="497">
        <f>IFERROR(INDEX(YACDATA[YAC per Reception],MATCH(WRmatchups[[#This Row],[Name]],YACDATA[Player],0)),"0")</f>
        <v>7.3</v>
      </c>
      <c r="S61" s="418">
        <f>AVERAGE(WRmatchups[[#This Row],[Tar1]:[Tar3]])</f>
        <v>5</v>
      </c>
      <c r="T61" s="464">
        <f>AVERAGE(WRmatchups[[#This Row],[Rec1]:[Rec3]])</f>
        <v>3.5436666666666667</v>
      </c>
      <c r="U61" s="468">
        <f>SUM(WRmatchups[[#This Row],[Rec4]]/WRmatchups[[#This Row],[Targets2]])</f>
        <v>0.70873333333333333</v>
      </c>
      <c r="V61" s="417">
        <f>AVERAGE(WRmatchups[[#This Row],[Yards1]:[Yards3]])</f>
        <v>44.145999999999994</v>
      </c>
      <c r="W61" s="461">
        <f>SUM(WRmatchups[[#This Row],[Yards]]/WRmatchups[[#This Row],[Targets2]])</f>
        <v>8.8291999999999984</v>
      </c>
      <c r="X61" s="32">
        <f>AVERAGE(WRmatchups[[#This Row],[TD1]:[TD3]])</f>
        <v>0.28949999999999998</v>
      </c>
      <c r="Y61" s="14">
        <f>_xlfn.RANK.EQ(WRmatchups[[#This Row],[Projection]],WRmatchups[Projection],0)</f>
        <v>51</v>
      </c>
      <c r="Z61" s="19">
        <f>SUM(WRmatchups[[#This Row],[Yards]]*0.1)+(WRmatchups[[#This Row],[RecTD5]]*6)+(WRmatchups[[#This Row],[Rec4]]*1)+(WRmatchups[[#This Row],[100+]])</f>
        <v>9.6952666666666651</v>
      </c>
      <c r="AA61" s="8">
        <f>_xlfn.RANK.EQ(WRmatchups[[#This Row],[$/FP]],WRmatchups[$/FP],1)</f>
        <v>66</v>
      </c>
      <c r="AB61" s="23">
        <f>SUM(WRmatchups[[#This Row],[Salary]]/WRmatchups[[#This Row],[Projection]])</f>
        <v>474.45832674363442</v>
      </c>
      <c r="AC61" s="241">
        <f>_xlfn.RANK.EQ(WRmatchups[[#This Row],[Average]],WRmatchups[Average],1)</f>
        <v>66</v>
      </c>
      <c r="AD61" s="241">
        <f>AVERAGE(WRmatchups[[#This Row],[Proj Rank]],WRmatchups[[#This Row],[Value Rank]])</f>
        <v>58.5</v>
      </c>
      <c r="AE61" s="210">
        <f>WRmatchups[[#This Row],[Salary]]/50000</f>
        <v>9.1999999999999998E-2</v>
      </c>
      <c r="AF61" s="214"/>
      <c r="AG61" s="14">
        <f>IFERROR(INDEX(WRstats3[Targets],MATCH(WRmatchups[[#This Row],[Name]],WRstats3[Player],0)),"0")</f>
        <v>5</v>
      </c>
      <c r="AH61" s="14" t="str">
        <f>IFERROR(INDEX(WRstats2[Targets],MATCH(WRmatchups[[#This Row],[Name]],WRstats2[Player],0)),"0")</f>
        <v>0</v>
      </c>
      <c r="AI61" s="14">
        <f>IFERROR(INDEX(WRstats3[Targets],MATCH(WRmatchups[[#This Row],[Name]],WRstats3[Player],0)),"0")</f>
        <v>5</v>
      </c>
      <c r="AJ61" s="14">
        <f>IFERROR(INDEX(WRstats1[Rec],MATCH(WRmatchups[[#This Row],[Name]],WRstats1[Player],0)),"0")</f>
        <v>4.0309999999999997</v>
      </c>
      <c r="AK61" s="14">
        <f>IFERROR(INDEX(WRstats2[Rec],MATCH(WRmatchups[[#This Row],[Name]],WRstats2[Player],0)),"0")</f>
        <v>3.5</v>
      </c>
      <c r="AL61" s="14">
        <f>IFERROR(INDEX(WRstats3[Rec],MATCH(WRmatchups[[#This Row],[Name]],WRstats3[Player],0)),"0")</f>
        <v>3.1</v>
      </c>
      <c r="AM61" s="32" t="str">
        <f>IFERROR(INDEX(WRallowed[Rec],MATCH(WRmatchups[[#This Row],[Opp]],WRallowed[Team],0)),"0")</f>
        <v>0</v>
      </c>
      <c r="AN61" s="14">
        <f>IFERROR(INDEX(WRstats1[Rec Yds],MATCH(WRmatchups[[#This Row],[Name]],WRstats1[Player],0)),"0")</f>
        <v>46.838000000000001</v>
      </c>
      <c r="AO61" s="14">
        <f>IFERROR(INDEX(WRstats2[RecYards],MATCH(WRmatchups[[#This Row],[Name]],WRstats2[Player],0)),"0")</f>
        <v>45.4</v>
      </c>
      <c r="AP61" s="14">
        <f>IFERROR(INDEX(WRstats3[RecYards],MATCH(WRmatchups[[#This Row],[Name]],WRstats3[Player],0)),"0")</f>
        <v>40.200000000000003</v>
      </c>
      <c r="AQ61" s="32" t="str">
        <f>IFERROR(INDEX(WRallowed[Yard],MATCH(WRmatchups[[#This Row],[Opp]],WRallowed[Team],0)),"0")</f>
        <v>0</v>
      </c>
      <c r="AR61" s="14">
        <f>IFERROR(INDEX(WRstats1[Rec TD],MATCH(WRmatchups[[#This Row],[Name]],WRstats1[Player],0)),"0")</f>
        <v>0.27900000000000003</v>
      </c>
      <c r="AS61" s="14" t="str">
        <f>IFERROR(INDEX(WRstats2[RecTD],MATCH(WRmatchups[[#This Row],[Name]],WRstats2[Player],0)),"0")</f>
        <v>0.2</v>
      </c>
      <c r="AT61" s="14">
        <f>IFERROR(INDEX(WRstats3[RecTD],MATCH(WRmatchups[[#This Row],[Name]],WRstats3[Player],0)),"0")</f>
        <v>0.3</v>
      </c>
      <c r="AU61" s="32">
        <f>IFERROR(INDEX(WRallowed[TD],MATCH(WRmatchups[[#This Row],[Opp]],WRallowed[Team],0)),"0")*0.5</f>
        <v>0</v>
      </c>
      <c r="AV61" s="14" t="str">
        <f>IFERROR(INDEX(WRstats2[RushAtt],MATCH(WRmatchups[[#This Row],[Name]],WRstats2[Player],0)),"0")</f>
        <v>0.2</v>
      </c>
      <c r="AW61" s="14">
        <f>IFERROR(INDEX(WRstats3[RushATT],MATCH(WRmatchups[[#This Row],[Name]],WRstats3[Player],0)),"0")</f>
        <v>0</v>
      </c>
      <c r="AX61" s="14" t="str">
        <f>IFERROR(INDEX(WRstats2[RushYards],MATCH(WRmatchups[[#This Row],[Name]],WRstats2[Player],0)),"0")</f>
        <v>0</v>
      </c>
      <c r="AY61" s="14">
        <f>IFERROR(INDEX(WRstats3[RushYards],MATCH(WRmatchups[[#This Row],[Name]],WRstats3[Player],0)),"0")</f>
        <v>0</v>
      </c>
      <c r="AZ61" s="14" t="str">
        <f>IFERROR(INDEX(WRstats2[RushTD],MATCH(WRmatchups[[#This Row],[Name]],WRstats2[Player],0)),"0")</f>
        <v>0</v>
      </c>
      <c r="BA61" s="14">
        <f>IFERROR(INDEX(WRstats3[RushTD],MATCH(WRmatchups[[#This Row],[Name]],WRstats3[Player],0)),"0")</f>
        <v>0</v>
      </c>
      <c r="BB61" s="264">
        <f>IF(WRmatchups[[#This Row],[Yards]]&gt;=100,3,0)</f>
        <v>0</v>
      </c>
      <c r="BC61" s="191" t="str">
        <f>IFERROR(INDEX(#REF!,MATCH(WRmatchups[Name],#REF!,0)),"0")</f>
        <v>0</v>
      </c>
      <c r="BD61" s="494">
        <f>WRmatchups[[#This Row],[Targets]]/WRmatchups[[#This Row],[Salary]]*100</f>
        <v>0.32608695652173914</v>
      </c>
    </row>
    <row r="62" spans="1:56" ht="15" thickBot="1" x14ac:dyDescent="0.35">
      <c r="A62" s="37">
        <f>WRstats1!AL38</f>
        <v>10.9</v>
      </c>
      <c r="B62" s="5" t="str">
        <f>WRstats1!D38</f>
        <v>Tavon Austin</v>
      </c>
      <c r="C62" s="172">
        <f>IFERROR(INDEX(Salaries[DraftKings (Price)],MATCH(WRmatchups[[#This Row],[Name]],Salaries[Player],0)),"")</f>
        <v>4000</v>
      </c>
      <c r="D62" s="172">
        <f>IFERROR(INDEX(DK_Salary_Changes[WeekChange],MATCH(WRmatchups[[#This Row],[Name]],DK_Salary_Changes[Player],0)),"")</f>
        <v>-100</v>
      </c>
      <c r="E62" s="14" t="str">
        <f>IFERROR(INDEX(Salaries[Team],MATCH(WRmatchups[[#This Row],[Name]],Salaries[Player],0)),"")</f>
        <v>LA</v>
      </c>
      <c r="F62" s="460" t="str">
        <f>IFERROR(INDEX(Salaries[Opp],MATCH(WRmatchups[[#This Row],[Team]],Salaries[Team],0)),"")</f>
        <v>@ARI</v>
      </c>
      <c r="G62" s="476">
        <f>IFERROR(INDEX(WRYTD[Rec],MATCH(WRmatchups[Name],WRYTD[Player],0)),"0")</f>
        <v>14</v>
      </c>
      <c r="H62" s="458">
        <f>IFERROR(INDEX(targettracker54[TTL],MATCH(WRmatchups[Name],targettracker54[Name],0)),"")</f>
        <v>29</v>
      </c>
      <c r="I62" s="475">
        <f>IFERROR(INDEX(WRYTD[Rec Yds],MATCH(WRmatchups[Name],WRYTD[Player],0)),"0")</f>
        <v>145</v>
      </c>
      <c r="J62" s="477">
        <f>IFERROR(INDEX(WRYTD[Rec TD],MATCH(WRmatchups[Name],WRYTD[Player],0)),"0")</f>
        <v>1</v>
      </c>
      <c r="K62" s="473">
        <f>IFERROR(INDEX(Salaries[O/U],MATCH(WRmatchups[[#This Row],[Team]],Salaries[Team],0)),"")</f>
        <v>43</v>
      </c>
      <c r="L62" s="32">
        <f>IFERROR(INDEX(Salaries[Team O/U],MATCH(WRmatchups[[#This Row],[Team]],Salaries[Team],0)),"")</f>
        <v>17.5</v>
      </c>
      <c r="M62" s="417">
        <f>IFERROR(INDEX(Salaries[Spread],MATCH(WRmatchups[[#This Row],[Team]],Salaries[Team],0)),"")</f>
        <v>8</v>
      </c>
      <c r="N62" s="424">
        <f>IFERROR(INDEX(WRallowed[DVP],MATCH(WRmatchups[[#This Row],[Opp]],WRallowed[Team],0)),IFERROR(INDEX(WRallowed[DVP],MATCH(WRmatchups[[#This Row],[Opp]],WRallowed[Opp],0)),""))</f>
        <v>9</v>
      </c>
      <c r="O62" s="17">
        <f>IFERROR(INDEX(YAtCData[YAtC],MATCH(WRmatchups[[#This Row],[Name]],YAtCData[Player],0)),"0")</f>
        <v>83</v>
      </c>
      <c r="P62" s="497">
        <f>IFERROR(INDEX(YAtCData[YAtC/Rec],MATCH(WRmatchups[[#This Row],[Name]],YAtCData[Player],0)),"0")</f>
        <v>5.93</v>
      </c>
      <c r="Q62" s="17">
        <f>IFERROR(INDEX(YAtCData[YAC],MATCH(WRmatchups[[#This Row],[Name]],YAtCData[Player],0)),"0")</f>
        <v>62</v>
      </c>
      <c r="R62" s="497">
        <f>IFERROR(INDEX(YACDATA[YAC per Reception],MATCH(WRmatchups[[#This Row],[Name]],YACDATA[Player],0)),"0")</f>
        <v>4.4000000000000004</v>
      </c>
      <c r="S62" s="418">
        <f>AVERAGE(WRmatchups[[#This Row],[Tar1]:[Tar3]])</f>
        <v>5.9</v>
      </c>
      <c r="T62" s="464">
        <f>AVERAGE(WRmatchups[[#This Row],[Rec1]:[Rec3]])</f>
        <v>3.9390000000000001</v>
      </c>
      <c r="U62" s="468">
        <f>SUM(WRmatchups[[#This Row],[Rec4]]/WRmatchups[[#This Row],[Targets2]])</f>
        <v>0.66762711864406776</v>
      </c>
      <c r="V62" s="417">
        <f>AVERAGE(WRmatchups[[#This Row],[Yards1]:[Yards3]])</f>
        <v>42.423999999999999</v>
      </c>
      <c r="W62" s="461">
        <f>SUM(WRmatchups[[#This Row],[Yards]]/WRmatchups[[#This Row],[Targets2]])</f>
        <v>7.1905084745762711</v>
      </c>
      <c r="X62" s="32">
        <f>AVERAGE(WRmatchups[[#This Row],[TD1]:[TD3]])</f>
        <v>0.23600000000000002</v>
      </c>
      <c r="Y62" s="14">
        <f>_xlfn.RANK.EQ(WRmatchups[[#This Row],[Projection]],WRmatchups[Projection],0)</f>
        <v>52</v>
      </c>
      <c r="Z62" s="19">
        <f>SUM(WRmatchups[[#This Row],[Yards]]*0.1)+(WRmatchups[[#This Row],[RecTD5]]*6)+(WRmatchups[[#This Row],[Rec4]]*1)+(WRmatchups[[#This Row],[100+]])</f>
        <v>9.5974000000000004</v>
      </c>
      <c r="AA62" s="8">
        <f>_xlfn.RANK.EQ(WRmatchups[[#This Row],[$/FP]],WRmatchups[$/FP],1)</f>
        <v>34</v>
      </c>
      <c r="AB62" s="23">
        <f>SUM(WRmatchups[[#This Row],[Salary]]/WRmatchups[[#This Row],[Projection]])</f>
        <v>416.77954445995789</v>
      </c>
      <c r="AC62" s="241">
        <f>_xlfn.RANK.EQ(WRmatchups[[#This Row],[Average]],WRmatchups[Average],1)</f>
        <v>42</v>
      </c>
      <c r="AD62" s="241">
        <f>AVERAGE(WRmatchups[[#This Row],[Proj Rank]],WRmatchups[[#This Row],[Value Rank]])</f>
        <v>43</v>
      </c>
      <c r="AE62" s="210">
        <f>WRmatchups[[#This Row],[Salary]]/50000</f>
        <v>0.08</v>
      </c>
      <c r="AF62" s="214"/>
      <c r="AG62" s="14">
        <f>IFERROR(INDEX(WRstats3[Targets],MATCH(WRmatchups[[#This Row],[Name]],WRstats3[Player],0)),"0")</f>
        <v>5.9</v>
      </c>
      <c r="AH62" s="14" t="str">
        <f>IFERROR(INDEX(WRstats2[Targets],MATCH(WRmatchups[[#This Row],[Name]],WRstats2[Player],0)),"0")</f>
        <v>0</v>
      </c>
      <c r="AI62" s="14">
        <f>IFERROR(INDEX(WRstats3[Targets],MATCH(WRmatchups[[#This Row],[Name]],WRstats3[Player],0)),"0")</f>
        <v>5.9</v>
      </c>
      <c r="AJ62" s="14">
        <f>IFERROR(INDEX(WRstats1[Rec],MATCH(WRmatchups[[#This Row],[Name]],WRstats1[Player],0)),"0")</f>
        <v>5.2169999999999996</v>
      </c>
      <c r="AK62" s="14">
        <f>IFERROR(INDEX(WRstats2[Rec],MATCH(WRmatchups[[#This Row],[Name]],WRstats2[Player],0)),"0")</f>
        <v>2.8</v>
      </c>
      <c r="AL62" s="14">
        <f>IFERROR(INDEX(WRstats3[Rec],MATCH(WRmatchups[[#This Row],[Name]],WRstats3[Player],0)),"0")</f>
        <v>3.8</v>
      </c>
      <c r="AM62" s="32" t="str">
        <f>IFERROR(INDEX(WRallowed[Rec],MATCH(WRmatchups[[#This Row],[Opp]],WRallowed[Team],0)),"0")</f>
        <v>0</v>
      </c>
      <c r="AN62" s="14">
        <f>IFERROR(INDEX(WRstats1[Rec Yds],MATCH(WRmatchups[[#This Row],[Name]],WRstats1[Player],0)),"0")</f>
        <v>52.572000000000003</v>
      </c>
      <c r="AO62" s="14">
        <f>IFERROR(INDEX(WRstats2[RecYards],MATCH(WRmatchups[[#This Row],[Name]],WRstats2[Player],0)),"0")</f>
        <v>29.5</v>
      </c>
      <c r="AP62" s="14">
        <f>IFERROR(INDEX(WRstats3[RecYards],MATCH(WRmatchups[[#This Row],[Name]],WRstats3[Player],0)),"0")</f>
        <v>45.2</v>
      </c>
      <c r="AQ62" s="32" t="str">
        <f>IFERROR(INDEX(WRallowed[Yard],MATCH(WRmatchups[[#This Row],[Opp]],WRallowed[Team],0)),"0")</f>
        <v>0</v>
      </c>
      <c r="AR62" s="14">
        <f>IFERROR(INDEX(WRstats1[Rec TD],MATCH(WRmatchups[[#This Row],[Name]],WRstats1[Player],0)),"0")</f>
        <v>0.27200000000000002</v>
      </c>
      <c r="AS62" s="14" t="str">
        <f>IFERROR(INDEX(WRstats2[RecTD],MATCH(WRmatchups[[#This Row],[Name]],WRstats2[Player],0)),"0")</f>
        <v>0.1</v>
      </c>
      <c r="AT62" s="14">
        <f>IFERROR(INDEX(WRstats3[RecTD],MATCH(WRmatchups[[#This Row],[Name]],WRstats3[Player],0)),"0")</f>
        <v>0.2</v>
      </c>
      <c r="AU62" s="32">
        <f>IFERROR(INDEX(WRallowed[TD],MATCH(WRmatchups[[#This Row],[Opp]],WRallowed[Team],0)),"0")*0.5</f>
        <v>0</v>
      </c>
      <c r="AV62" s="14" t="str">
        <f>IFERROR(INDEX(WRstats2[RushAtt],MATCH(WRmatchups[[#This Row],[Name]],WRstats2[Player],0)),"0")</f>
        <v>0.1</v>
      </c>
      <c r="AW62" s="14">
        <f>IFERROR(INDEX(WRstats3[RushATT],MATCH(WRmatchups[[#This Row],[Name]],WRstats3[Player],0)),"0")</f>
        <v>2</v>
      </c>
      <c r="AX62" s="14">
        <f>IFERROR(INDEX(WRstats2[RushYards],MATCH(WRmatchups[[#This Row],[Name]],WRstats2[Player],0)),"0")</f>
        <v>7.5</v>
      </c>
      <c r="AY62" s="14">
        <f>IFERROR(INDEX(WRstats3[RushYards],MATCH(WRmatchups[[#This Row],[Name]],WRstats3[Player],0)),"0")</f>
        <v>11.4</v>
      </c>
      <c r="AZ62" s="14" t="str">
        <f>IFERROR(INDEX(WRstats2[RushTD],MATCH(WRmatchups[[#This Row],[Name]],WRstats2[Player],0)),"0")</f>
        <v>0</v>
      </c>
      <c r="BA62" s="14">
        <f>IFERROR(INDEX(WRstats3[RushTD],MATCH(WRmatchups[[#This Row],[Name]],WRstats3[Player],0)),"0")</f>
        <v>0.1</v>
      </c>
      <c r="BB62" s="264">
        <f>IF(WRmatchups[[#This Row],[Yards]]&gt;=100,3,0)</f>
        <v>0</v>
      </c>
      <c r="BC62" s="191" t="str">
        <f>IFERROR(INDEX(#REF!,MATCH(WRmatchups[Name],#REF!,0)),"0")</f>
        <v>0</v>
      </c>
      <c r="BD62" s="494">
        <f>WRmatchups[[#This Row],[Targets]]/WRmatchups[[#This Row],[Salary]]*100</f>
        <v>0.72500000000000009</v>
      </c>
    </row>
    <row r="63" spans="1:56" ht="15" thickBot="1" x14ac:dyDescent="0.35">
      <c r="A63" s="37">
        <f>WRstats1!AL62</f>
        <v>7</v>
      </c>
      <c r="B63" s="5" t="str">
        <f>WRstats1!D62</f>
        <v>Anquan Boldin</v>
      </c>
      <c r="C63" s="172">
        <f>IFERROR(INDEX(Salaries[DraftKings (Price)],MATCH(WRmatchups[[#This Row],[Name]],Salaries[Player],0)),"")</f>
        <v>4200</v>
      </c>
      <c r="D63" s="172">
        <f>IFERROR(INDEX(DK_Salary_Changes[WeekChange],MATCH(WRmatchups[[#This Row],[Name]],DK_Salary_Changes[Player],0)),"")</f>
        <v>0</v>
      </c>
      <c r="E63" s="14" t="str">
        <f>IFERROR(INDEX(Salaries[Team],MATCH(WRmatchups[[#This Row],[Name]],Salaries[Player],0)),"")</f>
        <v>DET</v>
      </c>
      <c r="F63" s="460" t="str">
        <f>IFERROR(INDEX(Salaries[Opp],MATCH(WRmatchups[[#This Row],[Team]],Salaries[Team],0)),"")</f>
        <v>@CHI</v>
      </c>
      <c r="G63" s="476">
        <f>IFERROR(INDEX(WRYTD[Rec],MATCH(WRmatchups[Name],WRYTD[Player],0)),"0")</f>
        <v>11</v>
      </c>
      <c r="H63" s="458">
        <f>IFERROR(INDEX(targettracker54[TTL],MATCH(WRmatchups[Name],targettracker54[Name],0)),"")</f>
        <v>16</v>
      </c>
      <c r="I63" s="475">
        <f>IFERROR(INDEX(WRYTD[Rec Yds],MATCH(WRmatchups[Name],WRYTD[Player],0)),"0")</f>
        <v>105</v>
      </c>
      <c r="J63" s="477">
        <f>IFERROR(INDEX(WRYTD[Rec TD],MATCH(WRmatchups[Name],WRYTD[Player],0)),"0")</f>
        <v>2</v>
      </c>
      <c r="K63" s="473">
        <f>IFERROR(INDEX(Salaries[O/U],MATCH(WRmatchups[[#This Row],[Team]],Salaries[Team],0)),"")</f>
        <v>46.5</v>
      </c>
      <c r="L63" s="32">
        <f>IFERROR(INDEX(Salaries[Team O/U],MATCH(WRmatchups[[#This Row],[Team]],Salaries[Team],0)),"")</f>
        <v>24.75</v>
      </c>
      <c r="M63" s="417">
        <f>IFERROR(INDEX(Salaries[Spread],MATCH(WRmatchups[[#This Row],[Team]],Salaries[Team],0)),"")</f>
        <v>-3</v>
      </c>
      <c r="N63" s="424">
        <f>IFERROR(INDEX(WRallowed[DVP],MATCH(WRmatchups[[#This Row],[Opp]],WRallowed[Team],0)),IFERROR(INDEX(WRallowed[DVP],MATCH(WRmatchups[[#This Row],[Opp]],WRallowed[Opp],0)),""))</f>
        <v>10</v>
      </c>
      <c r="O63" s="17">
        <f>IFERROR(INDEX(YAtCData[YAtC],MATCH(WRmatchups[[#This Row],[Name]],YAtCData[Player],0)),"0")</f>
        <v>62</v>
      </c>
      <c r="P63" s="497">
        <f>IFERROR(INDEX(YAtCData[YAtC/Rec],MATCH(WRmatchups[[#This Row],[Name]],YAtCData[Player],0)),"0")</f>
        <v>5.64</v>
      </c>
      <c r="Q63" s="17">
        <f>IFERROR(INDEX(YAtCData[YAC],MATCH(WRmatchups[[#This Row],[Name]],YAtCData[Player],0)),"0")</f>
        <v>43</v>
      </c>
      <c r="R63" s="497">
        <f>IFERROR(INDEX(YACDATA[YAC per Reception],MATCH(WRmatchups[[#This Row],[Name]],YACDATA[Player],0)),"0")</f>
        <v>3.9</v>
      </c>
      <c r="S63" s="418">
        <f>AVERAGE(WRmatchups[[#This Row],[Tar1]:[Tar3]])</f>
        <v>4.7</v>
      </c>
      <c r="T63" s="464">
        <f>AVERAGE(WRmatchups[[#This Row],[Rec1]:[Rec3]])</f>
        <v>3.200333333333333</v>
      </c>
      <c r="U63" s="468">
        <f>SUM(WRmatchups[[#This Row],[Rec4]]/WRmatchups[[#This Row],[Targets2]])</f>
        <v>0.6809219858156027</v>
      </c>
      <c r="V63" s="417">
        <f>AVERAGE(WRmatchups[[#This Row],[Yards1]:[Yards3]])</f>
        <v>39.833000000000006</v>
      </c>
      <c r="W63" s="461">
        <f>SUM(WRmatchups[[#This Row],[Yards]]/WRmatchups[[#This Row],[Targets2]])</f>
        <v>8.4751063829787245</v>
      </c>
      <c r="X63" s="32">
        <f>AVERAGE(WRmatchups[[#This Row],[TD1]:[TD3]])</f>
        <v>0.29399999999999998</v>
      </c>
      <c r="Y63" s="14">
        <f>_xlfn.RANK.EQ(WRmatchups[[#This Row],[Projection]],WRmatchups[Projection],0)</f>
        <v>53</v>
      </c>
      <c r="Z63" s="19">
        <f>SUM(WRmatchups[[#This Row],[Yards]]*0.1)+(WRmatchups[[#This Row],[RecTD5]]*6)+(WRmatchups[[#This Row],[Rec4]]*1)+(WRmatchups[[#This Row],[100+]])</f>
        <v>8.947633333333334</v>
      </c>
      <c r="AA63" s="8">
        <f>_xlfn.RANK.EQ(WRmatchups[[#This Row],[$/FP]],WRmatchups[$/FP],1)</f>
        <v>64</v>
      </c>
      <c r="AB63" s="23">
        <f>SUM(WRmatchups[[#This Row],[Salary]]/WRmatchups[[#This Row],[Projection]])</f>
        <v>469.39786684747173</v>
      </c>
      <c r="AC63" s="241">
        <f>_xlfn.RANK.EQ(WRmatchups[[#This Row],[Average]],WRmatchups[Average],1)</f>
        <v>66</v>
      </c>
      <c r="AD63" s="241">
        <f>AVERAGE(WRmatchups[[#This Row],[Proj Rank]],WRmatchups[[#This Row],[Value Rank]])</f>
        <v>58.5</v>
      </c>
      <c r="AE63" s="210">
        <f>WRmatchups[[#This Row],[Salary]]/50000</f>
        <v>8.4000000000000005E-2</v>
      </c>
      <c r="AF63" s="214"/>
      <c r="AG63" s="14">
        <f>IFERROR(INDEX(WRstats3[Targets],MATCH(WRmatchups[[#This Row],[Name]],WRstats3[Player],0)),"0")</f>
        <v>4.7</v>
      </c>
      <c r="AH63" s="14" t="str">
        <f>IFERROR(INDEX(WRstats2[Targets],MATCH(WRmatchups[[#This Row],[Name]],WRstats2[Player],0)),"0")</f>
        <v>0</v>
      </c>
      <c r="AI63" s="14">
        <f>IFERROR(INDEX(WRstats3[Targets],MATCH(WRmatchups[[#This Row],[Name]],WRstats3[Player],0)),"0")</f>
        <v>4.7</v>
      </c>
      <c r="AJ63" s="14">
        <f>IFERROR(INDEX(WRstats1[Rec],MATCH(WRmatchups[[#This Row],[Name]],WRstats1[Player],0)),"0")</f>
        <v>3.3010000000000002</v>
      </c>
      <c r="AK63" s="14">
        <f>IFERROR(INDEX(WRstats2[Rec],MATCH(WRmatchups[[#This Row],[Name]],WRstats2[Player],0)),"0")</f>
        <v>3.3</v>
      </c>
      <c r="AL63" s="14">
        <f>IFERROR(INDEX(WRstats3[Rec],MATCH(WRmatchups[[#This Row],[Name]],WRstats3[Player],0)),"0")</f>
        <v>3</v>
      </c>
      <c r="AM63" s="32" t="str">
        <f>IFERROR(INDEX(WRallowed[Rec],MATCH(WRmatchups[[#This Row],[Opp]],WRallowed[Team],0)),"0")</f>
        <v>0</v>
      </c>
      <c r="AN63" s="14">
        <f>IFERROR(INDEX(WRstats1[Rec Yds],MATCH(WRmatchups[[#This Row],[Name]],WRstats1[Player],0)),"0")</f>
        <v>36.499000000000002</v>
      </c>
      <c r="AO63" s="14">
        <f>IFERROR(INDEX(WRstats2[RecYards],MATCH(WRmatchups[[#This Row],[Name]],WRstats2[Player],0)),"0")</f>
        <v>40.299999999999997</v>
      </c>
      <c r="AP63" s="14">
        <f>IFERROR(INDEX(WRstats3[RecYards],MATCH(WRmatchups[[#This Row],[Name]],WRstats3[Player],0)),"0")</f>
        <v>42.7</v>
      </c>
      <c r="AQ63" s="32" t="str">
        <f>IFERROR(INDEX(WRallowed[Yard],MATCH(WRmatchups[[#This Row],[Opp]],WRallowed[Team],0)),"0")</f>
        <v>0</v>
      </c>
      <c r="AR63" s="14">
        <f>IFERROR(INDEX(WRstats1[Rec TD],MATCH(WRmatchups[[#This Row],[Name]],WRstats1[Player],0)),"0")</f>
        <v>0.28799999999999998</v>
      </c>
      <c r="AS63" s="14" t="str">
        <f>IFERROR(INDEX(WRstats2[RecTD],MATCH(WRmatchups[[#This Row],[Name]],WRstats2[Player],0)),"0")</f>
        <v>0.2</v>
      </c>
      <c r="AT63" s="14">
        <f>IFERROR(INDEX(WRstats3[RecTD],MATCH(WRmatchups[[#This Row],[Name]],WRstats3[Player],0)),"0")</f>
        <v>0.3</v>
      </c>
      <c r="AU63" s="32">
        <f>IFERROR(INDEX(WRallowed[TD],MATCH(WRmatchups[[#This Row],[Opp]],WRallowed[Team],0)),"0")*0.5</f>
        <v>0</v>
      </c>
      <c r="AV63" s="14" t="str">
        <f>IFERROR(INDEX(WRstats2[RushAtt],MATCH(WRmatchups[[#This Row],[Name]],WRstats2[Player],0)),"0")</f>
        <v>0.2</v>
      </c>
      <c r="AW63" s="14">
        <f>IFERROR(INDEX(WRstats3[RushATT],MATCH(WRmatchups[[#This Row],[Name]],WRstats3[Player],0)),"0")</f>
        <v>0</v>
      </c>
      <c r="AX63" s="14" t="str">
        <f>IFERROR(INDEX(WRstats2[RushYards],MATCH(WRmatchups[[#This Row],[Name]],WRstats2[Player],0)),"0")</f>
        <v>0</v>
      </c>
      <c r="AY63" s="14">
        <f>IFERROR(INDEX(WRstats3[RushYards],MATCH(WRmatchups[[#This Row],[Name]],WRstats3[Player],0)),"0")</f>
        <v>0</v>
      </c>
      <c r="AZ63" s="14" t="str">
        <f>IFERROR(INDEX(WRstats2[RushTD],MATCH(WRmatchups[[#This Row],[Name]],WRstats2[Player],0)),"0")</f>
        <v>0</v>
      </c>
      <c r="BA63" s="14">
        <f>IFERROR(INDEX(WRstats3[RushTD],MATCH(WRmatchups[[#This Row],[Name]],WRstats3[Player],0)),"0")</f>
        <v>0</v>
      </c>
      <c r="BB63" s="264">
        <f>IF(WRmatchups[[#This Row],[Yards]]&gt;=100,3,0)</f>
        <v>0</v>
      </c>
      <c r="BC63" s="191" t="str">
        <f>IFERROR(INDEX(#REF!,MATCH(WRmatchups[Name],#REF!,0)),"0")</f>
        <v>0</v>
      </c>
      <c r="BD63" s="494">
        <f>WRmatchups[[#This Row],[Targets]]/WRmatchups[[#This Row],[Salary]]*100</f>
        <v>0.38095238095238093</v>
      </c>
    </row>
    <row r="64" spans="1:56" ht="15" thickBot="1" x14ac:dyDescent="0.35">
      <c r="A64" s="37">
        <f>WRstats1!AL54</f>
        <v>8.1999999999999993</v>
      </c>
      <c r="B64" s="5" t="str">
        <f>WRstats1!D54</f>
        <v>Kenny Britt</v>
      </c>
      <c r="C64" s="172">
        <f>IFERROR(INDEX(Salaries[DraftKings (Price)],MATCH(WRmatchups[[#This Row],[Name]],Salaries[Player],0)),"")</f>
        <v>3900</v>
      </c>
      <c r="D64" s="172">
        <f>IFERROR(INDEX(DK_Salary_Changes[WeekChange],MATCH(WRmatchups[[#This Row],[Name]],DK_Salary_Changes[Player],0)),"")</f>
        <v>0</v>
      </c>
      <c r="E64" s="14" t="str">
        <f>IFERROR(INDEX(Salaries[Team],MATCH(WRmatchups[[#This Row],[Name]],Salaries[Player],0)),"")</f>
        <v>LA</v>
      </c>
      <c r="F64" s="460" t="str">
        <f>IFERROR(INDEX(Salaries[Opp],MATCH(WRmatchups[[#This Row],[Team]],Salaries[Team],0)),"")</f>
        <v>@ARI</v>
      </c>
      <c r="G64" s="476">
        <f>IFERROR(INDEX(WRYTD[Rec],MATCH(WRmatchups[Name],WRYTD[Player],0)),"0")</f>
        <v>14</v>
      </c>
      <c r="H64" s="458">
        <f>IFERROR(INDEX(targettracker54[TTL],MATCH(WRmatchups[Name],targettracker54[Name],0)),"")</f>
        <v>22</v>
      </c>
      <c r="I64" s="475">
        <f>IFERROR(INDEX(WRYTD[Rec Yds],MATCH(WRmatchups[Name],WRYTD[Player],0)),"0")</f>
        <v>199</v>
      </c>
      <c r="J64" s="477">
        <f>IFERROR(INDEX(WRYTD[Rec TD],MATCH(WRmatchups[Name],WRYTD[Player],0)),"0")</f>
        <v>0</v>
      </c>
      <c r="K64" s="473">
        <f>IFERROR(INDEX(Salaries[O/U],MATCH(WRmatchups[[#This Row],[Team]],Salaries[Team],0)),"")</f>
        <v>43</v>
      </c>
      <c r="L64" s="32">
        <f>IFERROR(INDEX(Salaries[Team O/U],MATCH(WRmatchups[[#This Row],[Team]],Salaries[Team],0)),"")</f>
        <v>17.5</v>
      </c>
      <c r="M64" s="417">
        <f>IFERROR(INDEX(Salaries[Spread],MATCH(WRmatchups[[#This Row],[Team]],Salaries[Team],0)),"")</f>
        <v>8</v>
      </c>
      <c r="N64" s="424">
        <f>IFERROR(INDEX(WRallowed[DVP],MATCH(WRmatchups[[#This Row],[Opp]],WRallowed[Team],0)),IFERROR(INDEX(WRallowed[DVP],MATCH(WRmatchups[[#This Row],[Opp]],WRallowed[Opp],0)),""))</f>
        <v>9</v>
      </c>
      <c r="O64" s="17">
        <f>IFERROR(INDEX(YAtCData[YAtC],MATCH(WRmatchups[[#This Row],[Name]],YAtCData[Player],0)),"0")</f>
        <v>138</v>
      </c>
      <c r="P64" s="497">
        <f>IFERROR(INDEX(YAtCData[YAtC/Rec],MATCH(WRmatchups[[#This Row],[Name]],YAtCData[Player],0)),"0")</f>
        <v>9.86</v>
      </c>
      <c r="Q64" s="17">
        <f>IFERROR(INDEX(YAtCData[YAC],MATCH(WRmatchups[[#This Row],[Name]],YAtCData[Player],0)),"0")</f>
        <v>61</v>
      </c>
      <c r="R64" s="497">
        <f>IFERROR(INDEX(YACDATA[YAC per Reception],MATCH(WRmatchups[[#This Row],[Name]],YACDATA[Player],0)),"0")</f>
        <v>4.4000000000000004</v>
      </c>
      <c r="S64" s="418">
        <f>AVERAGE(WRmatchups[[#This Row],[Tar1]:[Tar3]])</f>
        <v>5.3</v>
      </c>
      <c r="T64" s="464">
        <f>AVERAGE(WRmatchups[[#This Row],[Rec1]:[Rec3]])</f>
        <v>3.2946666666666666</v>
      </c>
      <c r="U64" s="468">
        <f>SUM(WRmatchups[[#This Row],[Rec4]]/WRmatchups[[#This Row],[Targets2]])</f>
        <v>0.6216352201257862</v>
      </c>
      <c r="V64" s="417">
        <f>AVERAGE(WRmatchups[[#This Row],[Yards1]:[Yards3]])</f>
        <v>44.272666666666673</v>
      </c>
      <c r="W64" s="461">
        <f>SUM(WRmatchups[[#This Row],[Yards]]/WRmatchups[[#This Row],[Targets2]])</f>
        <v>8.3533333333333353</v>
      </c>
      <c r="X64" s="32">
        <f>AVERAGE(WRmatchups[[#This Row],[TD1]:[TD3]])</f>
        <v>0.1605</v>
      </c>
      <c r="Y64" s="14">
        <f>_xlfn.RANK.EQ(WRmatchups[[#This Row],[Projection]],WRmatchups[Projection],0)</f>
        <v>54</v>
      </c>
      <c r="Z64" s="19">
        <f>SUM(WRmatchups[[#This Row],[Yards]]*0.1)+(WRmatchups[[#This Row],[RecTD5]]*6)+(WRmatchups[[#This Row],[Rec4]]*1)+(WRmatchups[[#This Row],[100+]])</f>
        <v>8.6849333333333334</v>
      </c>
      <c r="AA64" s="8">
        <f>_xlfn.RANK.EQ(WRmatchups[[#This Row],[$/FP]],WRmatchups[$/FP],1)</f>
        <v>54</v>
      </c>
      <c r="AB64" s="23">
        <f>SUM(WRmatchups[[#This Row],[Salary]]/WRmatchups[[#This Row],[Projection]])</f>
        <v>449.053533322075</v>
      </c>
      <c r="AC64" s="241">
        <f>_xlfn.RANK.EQ(WRmatchups[[#This Row],[Average]],WRmatchups[Average],1)</f>
        <v>60</v>
      </c>
      <c r="AD64" s="241">
        <f>AVERAGE(WRmatchups[[#This Row],[Proj Rank]],WRmatchups[[#This Row],[Value Rank]])</f>
        <v>54</v>
      </c>
      <c r="AE64" s="210">
        <f>WRmatchups[[#This Row],[Salary]]/50000</f>
        <v>7.8E-2</v>
      </c>
      <c r="AF64" s="214"/>
      <c r="AG64" s="14">
        <f>IFERROR(INDEX(WRstats3[Targets],MATCH(WRmatchups[[#This Row],[Name]],WRstats3[Player],0)),"0")</f>
        <v>5.3</v>
      </c>
      <c r="AH64" s="14" t="str">
        <f>IFERROR(INDEX(WRstats2[Targets],MATCH(WRmatchups[[#This Row],[Name]],WRstats2[Player],0)),"0")</f>
        <v>0</v>
      </c>
      <c r="AI64" s="14">
        <f>IFERROR(INDEX(WRstats3[Targets],MATCH(WRmatchups[[#This Row],[Name]],WRstats3[Player],0)),"0")</f>
        <v>5.3</v>
      </c>
      <c r="AJ64" s="14">
        <f>IFERROR(INDEX(WRstats1[Rec],MATCH(WRmatchups[[#This Row],[Name]],WRstats1[Player],0)),"0")</f>
        <v>3.984</v>
      </c>
      <c r="AK64" s="14">
        <f>IFERROR(INDEX(WRstats2[Rec],MATCH(WRmatchups[[#This Row],[Name]],WRstats2[Player],0)),"0")</f>
        <v>3.1</v>
      </c>
      <c r="AL64" s="14">
        <f>IFERROR(INDEX(WRstats3[Rec],MATCH(WRmatchups[[#This Row],[Name]],WRstats3[Player],0)),"0")</f>
        <v>2.8</v>
      </c>
      <c r="AM64" s="32" t="str">
        <f>IFERROR(INDEX(WRallowed[Rec],MATCH(WRmatchups[[#This Row],[Opp]],WRallowed[Team],0)),"0")</f>
        <v>0</v>
      </c>
      <c r="AN64" s="14">
        <f>IFERROR(INDEX(WRstats1[Rec Yds],MATCH(WRmatchups[[#This Row],[Name]],WRstats1[Player],0)),"0")</f>
        <v>49.417999999999999</v>
      </c>
      <c r="AO64" s="14">
        <f>IFERROR(INDEX(WRstats2[RecYards],MATCH(WRmatchups[[#This Row],[Name]],WRstats2[Player],0)),"0")</f>
        <v>47.5</v>
      </c>
      <c r="AP64" s="14">
        <f>IFERROR(INDEX(WRstats3[RecYards],MATCH(WRmatchups[[#This Row],[Name]],WRstats3[Player],0)),"0")</f>
        <v>35.9</v>
      </c>
      <c r="AQ64" s="32" t="str">
        <f>IFERROR(INDEX(WRallowed[Yard],MATCH(WRmatchups[[#This Row],[Opp]],WRallowed[Team],0)),"0")</f>
        <v>0</v>
      </c>
      <c r="AR64" s="14">
        <f>IFERROR(INDEX(WRstats1[Rec TD],MATCH(WRmatchups[[#This Row],[Name]],WRstats1[Player],0)),"0")</f>
        <v>0.221</v>
      </c>
      <c r="AS64" s="14" t="str">
        <f>IFERROR(INDEX(WRstats2[RecTD],MATCH(WRmatchups[[#This Row],[Name]],WRstats2[Player],0)),"0")</f>
        <v>0.3</v>
      </c>
      <c r="AT64" s="14">
        <f>IFERROR(INDEX(WRstats3[RecTD],MATCH(WRmatchups[[#This Row],[Name]],WRstats3[Player],0)),"0")</f>
        <v>0.1</v>
      </c>
      <c r="AU64" s="32">
        <f>IFERROR(INDEX(WRallowed[TD],MATCH(WRmatchups[[#This Row],[Opp]],WRallowed[Team],0)),"0")*0.5</f>
        <v>0</v>
      </c>
      <c r="AV64" s="14" t="str">
        <f>IFERROR(INDEX(WRstats2[RushAtt],MATCH(WRmatchups[[#This Row],[Name]],WRstats2[Player],0)),"0")</f>
        <v>0.3</v>
      </c>
      <c r="AW64" s="14">
        <f>IFERROR(INDEX(WRstats3[RushATT],MATCH(WRmatchups[[#This Row],[Name]],WRstats3[Player],0)),"0")</f>
        <v>0</v>
      </c>
      <c r="AX64" s="14">
        <f>IFERROR(INDEX(WRstats2[RushYards],MATCH(WRmatchups[[#This Row],[Name]],WRstats2[Player],0)),"0")</f>
        <v>-0.1</v>
      </c>
      <c r="AY64" s="14">
        <f>IFERROR(INDEX(WRstats3[RushYards],MATCH(WRmatchups[[#This Row],[Name]],WRstats3[Player],0)),"0")</f>
        <v>0</v>
      </c>
      <c r="AZ64" s="14" t="str">
        <f>IFERROR(INDEX(WRstats2[RushTD],MATCH(WRmatchups[[#This Row],[Name]],WRstats2[Player],0)),"0")</f>
        <v>0</v>
      </c>
      <c r="BA64" s="14">
        <f>IFERROR(INDEX(WRstats3[RushTD],MATCH(WRmatchups[[#This Row],[Name]],WRstats3[Player],0)),"0")</f>
        <v>0</v>
      </c>
      <c r="BB64" s="264">
        <f>IF(WRmatchups[[#This Row],[Yards]]&gt;=100,3,0)</f>
        <v>0</v>
      </c>
      <c r="BC64" s="191" t="str">
        <f>IFERROR(INDEX(#REF!,MATCH(WRmatchups[Name],#REF!,0)),"0")</f>
        <v>0</v>
      </c>
      <c r="BD64" s="494">
        <f>WRmatchups[[#This Row],[Targets]]/WRmatchups[[#This Row],[Salary]]*100</f>
        <v>0.5641025641025641</v>
      </c>
    </row>
    <row r="65" spans="1:56" ht="15" thickBot="1" x14ac:dyDescent="0.35">
      <c r="A65" s="37">
        <f>WRstats1!AL50</f>
        <v>7.8</v>
      </c>
      <c r="B65" s="5" t="str">
        <f>WRstats1!D50</f>
        <v>Brandon LaFell</v>
      </c>
      <c r="C65" s="172">
        <f>IFERROR(INDEX(Salaries[DraftKings (Price)],MATCH(WRmatchups[[#This Row],[Name]],Salaries[Player],0)),"")</f>
        <v>3200</v>
      </c>
      <c r="D65" s="172">
        <f>IFERROR(INDEX(DK_Salary_Changes[WeekChange],MATCH(WRmatchups[[#This Row],[Name]],DK_Salary_Changes[Player],0)),"")</f>
        <v>-200</v>
      </c>
      <c r="E65" s="14" t="str">
        <f>IFERROR(INDEX(Salaries[Team],MATCH(WRmatchups[[#This Row],[Name]],Salaries[Player],0)),"")</f>
        <v>CIN</v>
      </c>
      <c r="F65" s="460" t="str">
        <f>IFERROR(INDEX(Salaries[Opp],MATCH(WRmatchups[[#This Row],[Team]],Salaries[Team],0)),"")</f>
        <v>MIA</v>
      </c>
      <c r="G65" s="476">
        <f>IFERROR(INDEX(WRYTD[Rec],MATCH(WRmatchups[Name],WRYTD[Player],0)),"0")</f>
        <v>9</v>
      </c>
      <c r="H65" s="458">
        <f>IFERROR(INDEX(targettracker54[TTL],MATCH(WRmatchups[Name],targettracker54[Name],0)),"")</f>
        <v>15</v>
      </c>
      <c r="I65" s="475">
        <f>IFERROR(INDEX(WRYTD[Rec Yds],MATCH(WRmatchups[Name],WRYTD[Player],0)),"0")</f>
        <v>164</v>
      </c>
      <c r="J65" s="477">
        <f>IFERROR(INDEX(WRYTD[Rec TD],MATCH(WRmatchups[Name],WRYTD[Player],0)),"0")</f>
        <v>0</v>
      </c>
      <c r="K65" s="473">
        <f>IFERROR(INDEX(Salaries[O/U],MATCH(WRmatchups[[#This Row],[Team]],Salaries[Team],0)),"")</f>
        <v>44.5</v>
      </c>
      <c r="L65" s="32">
        <f>IFERROR(INDEX(Salaries[Team O/U],MATCH(WRmatchups[[#This Row],[Team]],Salaries[Team],0)),"")</f>
        <v>25.75</v>
      </c>
      <c r="M65" s="417">
        <f>IFERROR(INDEX(Salaries[Spread],MATCH(WRmatchups[[#This Row],[Team]],Salaries[Team],0)),"")</f>
        <v>-7</v>
      </c>
      <c r="N65" s="424">
        <f>IFERROR(INDEX(WRallowed[DVP],MATCH(WRmatchups[[#This Row],[Opp]],WRallowed[Team],0)),IFERROR(INDEX(WRallowed[DVP],MATCH(WRmatchups[[#This Row],[Opp]],WRallowed[Opp],0)),""))</f>
        <v>19</v>
      </c>
      <c r="O65" s="17">
        <f>IFERROR(INDEX(YAtCData[YAtC],MATCH(WRmatchups[[#This Row],[Name]],YAtCData[Player],0)),"0")</f>
        <v>93</v>
      </c>
      <c r="P65" s="497">
        <f>IFERROR(INDEX(YAtCData[YAtC/Rec],MATCH(WRmatchups[[#This Row],[Name]],YAtCData[Player],0)),"0")</f>
        <v>10.33</v>
      </c>
      <c r="Q65" s="17">
        <f>IFERROR(INDEX(YAtCData[YAC],MATCH(WRmatchups[[#This Row],[Name]],YAtCData[Player],0)),"0")</f>
        <v>71</v>
      </c>
      <c r="R65" s="497">
        <f>IFERROR(INDEX(YACDATA[YAC per Reception],MATCH(WRmatchups[[#This Row],[Name]],YACDATA[Player],0)),"0")</f>
        <v>7.9</v>
      </c>
      <c r="S65" s="418">
        <f>AVERAGE(WRmatchups[[#This Row],[Tar1]:[Tar3]])</f>
        <v>4.3</v>
      </c>
      <c r="T65" s="464">
        <f>AVERAGE(WRmatchups[[#This Row],[Rec1]:[Rec3]])</f>
        <v>2.5823333333333331</v>
      </c>
      <c r="U65" s="468">
        <f>SUM(WRmatchups[[#This Row],[Rec4]]/WRmatchups[[#This Row],[Targets2]])</f>
        <v>0.60054263565891475</v>
      </c>
      <c r="V65" s="417">
        <f>AVERAGE(WRmatchups[[#This Row],[Yards1]:[Yards3]])</f>
        <v>41.719000000000001</v>
      </c>
      <c r="W65" s="461">
        <f>SUM(WRmatchups[[#This Row],[Yards]]/WRmatchups[[#This Row],[Targets2]])</f>
        <v>9.7020930232558147</v>
      </c>
      <c r="X65" s="32">
        <f>AVERAGE(WRmatchups[[#This Row],[TD1]:[TD3]])</f>
        <v>0.3115</v>
      </c>
      <c r="Y65" s="14">
        <f>_xlfn.RANK.EQ(WRmatchups[[#This Row],[Projection]],WRmatchups[Projection],0)</f>
        <v>55</v>
      </c>
      <c r="Z65" s="19">
        <f>SUM(WRmatchups[[#This Row],[Yards]]*0.1)+(WRmatchups[[#This Row],[RecTD5]]*6)+(WRmatchups[[#This Row],[Rec4]]*1)+(WRmatchups[[#This Row],[100+]])</f>
        <v>8.6232333333333333</v>
      </c>
      <c r="AA65" s="8">
        <f>_xlfn.RANK.EQ(WRmatchups[[#This Row],[$/FP]],WRmatchups[$/FP],1)</f>
        <v>10</v>
      </c>
      <c r="AB65" s="23">
        <f>SUM(WRmatchups[[#This Row],[Salary]]/WRmatchups[[#This Row],[Projection]])</f>
        <v>371.09050356208229</v>
      </c>
      <c r="AC65" s="241">
        <f>_xlfn.RANK.EQ(WRmatchups[[#This Row],[Average]],WRmatchups[Average],1)</f>
        <v>31</v>
      </c>
      <c r="AD65" s="241">
        <f>AVERAGE(WRmatchups[[#This Row],[Proj Rank]],WRmatchups[[#This Row],[Value Rank]])</f>
        <v>32.5</v>
      </c>
      <c r="AE65" s="210">
        <f>WRmatchups[[#This Row],[Salary]]/50000</f>
        <v>6.4000000000000001E-2</v>
      </c>
      <c r="AF65" s="214"/>
      <c r="AG65" s="14">
        <f>IFERROR(INDEX(WRstats3[Targets],MATCH(WRmatchups[[#This Row],[Name]],WRstats3[Player],0)),"0")</f>
        <v>4.3</v>
      </c>
      <c r="AH65" s="14" t="str">
        <f>IFERROR(INDEX(WRstats2[Targets],MATCH(WRmatchups[[#This Row],[Name]],WRstats2[Player],0)),"0")</f>
        <v>0</v>
      </c>
      <c r="AI65" s="14">
        <f>IFERROR(INDEX(WRstats3[Targets],MATCH(WRmatchups[[#This Row],[Name]],WRstats3[Player],0)),"0")</f>
        <v>4.3</v>
      </c>
      <c r="AJ65" s="14">
        <f>IFERROR(INDEX(WRstats1[Rec],MATCH(WRmatchups[[#This Row],[Name]],WRstats1[Player],0)),"0")</f>
        <v>2.6469999999999998</v>
      </c>
      <c r="AK65" s="14">
        <f>IFERROR(INDEX(WRstats2[Rec],MATCH(WRmatchups[[#This Row],[Name]],WRstats2[Player],0)),"0")</f>
        <v>2.8</v>
      </c>
      <c r="AL65" s="14">
        <f>IFERROR(INDEX(WRstats3[Rec],MATCH(WRmatchups[[#This Row],[Name]],WRstats3[Player],0)),"0")</f>
        <v>2.2999999999999998</v>
      </c>
      <c r="AM65" s="32">
        <f>IFERROR(INDEX(WRallowed[Rec],MATCH(WRmatchups[[#This Row],[Opp]],WRallowed[Team],0)),"0")</f>
        <v>13.25</v>
      </c>
      <c r="AN65" s="14">
        <f>IFERROR(INDEX(WRstats1[Rec Yds],MATCH(WRmatchups[[#This Row],[Name]],WRstats1[Player],0)),"0")</f>
        <v>46.057000000000002</v>
      </c>
      <c r="AO65" s="14">
        <f>IFERROR(INDEX(WRstats2[RecYards],MATCH(WRmatchups[[#This Row],[Name]],WRstats2[Player],0)),"0")</f>
        <v>46.3</v>
      </c>
      <c r="AP65" s="14">
        <f>IFERROR(INDEX(WRstats3[RecYards],MATCH(WRmatchups[[#This Row],[Name]],WRstats3[Player],0)),"0")</f>
        <v>32.799999999999997</v>
      </c>
      <c r="AQ65" s="32">
        <f>IFERROR(INDEX(WRallowed[Yard],MATCH(WRmatchups[[#This Row],[Opp]],WRallowed[Team],0)),"0")</f>
        <v>165.1875</v>
      </c>
      <c r="AR65" s="14">
        <f>IFERROR(INDEX(WRstats1[Rec TD],MATCH(WRmatchups[[#This Row],[Name]],WRstats1[Player],0)),"0")</f>
        <v>0.32300000000000001</v>
      </c>
      <c r="AS65" s="14" t="str">
        <f>IFERROR(INDEX(WRstats2[RecTD],MATCH(WRmatchups[[#This Row],[Name]],WRstats2[Player],0)),"0")</f>
        <v>0.4</v>
      </c>
      <c r="AT65" s="14">
        <f>IFERROR(INDEX(WRstats3[RecTD],MATCH(WRmatchups[[#This Row],[Name]],WRstats3[Player],0)),"0")</f>
        <v>0.3</v>
      </c>
      <c r="AU65" s="32">
        <f>IFERROR(INDEX(WRallowed[TD],MATCH(WRmatchups[[#This Row],[Opp]],WRallowed[Team],0)),"0")*0.5</f>
        <v>0.4375</v>
      </c>
      <c r="AV65" s="14" t="str">
        <f>IFERROR(INDEX(WRstats2[RushAtt],MATCH(WRmatchups[[#This Row],[Name]],WRstats2[Player],0)),"0")</f>
        <v>0.4</v>
      </c>
      <c r="AW65" s="14">
        <f>IFERROR(INDEX(WRstats3[RushATT],MATCH(WRmatchups[[#This Row],[Name]],WRstats3[Player],0)),"0")</f>
        <v>0</v>
      </c>
      <c r="AX65" s="14" t="str">
        <f>IFERROR(INDEX(WRstats2[RushYards],MATCH(WRmatchups[[#This Row],[Name]],WRstats2[Player],0)),"0")</f>
        <v>0</v>
      </c>
      <c r="AY65" s="14">
        <f>IFERROR(INDEX(WRstats3[RushYards],MATCH(WRmatchups[[#This Row],[Name]],WRstats3[Player],0)),"0")</f>
        <v>0</v>
      </c>
      <c r="AZ65" s="14" t="str">
        <f>IFERROR(INDEX(WRstats2[RushTD],MATCH(WRmatchups[[#This Row],[Name]],WRstats2[Player],0)),"0")</f>
        <v>0</v>
      </c>
      <c r="BA65" s="14">
        <f>IFERROR(INDEX(WRstats3[RushTD],MATCH(WRmatchups[[#This Row],[Name]],WRstats3[Player],0)),"0")</f>
        <v>0</v>
      </c>
      <c r="BB65" s="264">
        <f>IF(WRmatchups[[#This Row],[Yards]]&gt;=100,3,0)</f>
        <v>0</v>
      </c>
      <c r="BC65" s="191" t="str">
        <f>IFERROR(INDEX(#REF!,MATCH(WRmatchups[Name],#REF!,0)),"0")</f>
        <v>0</v>
      </c>
      <c r="BD65" s="494">
        <f>WRmatchups[[#This Row],[Targets]]/WRmatchups[[#This Row],[Salary]]*100</f>
        <v>0.46875</v>
      </c>
    </row>
    <row r="66" spans="1:56" ht="15" thickBot="1" x14ac:dyDescent="0.35">
      <c r="A66" s="37">
        <f>WRstats1!AL66</f>
        <v>6.3</v>
      </c>
      <c r="B66" s="5" t="str">
        <f>WRstats1!D66</f>
        <v>Vincent Jackson</v>
      </c>
      <c r="C66" s="172">
        <f>IFERROR(INDEX(Salaries[DraftKings (Price)],MATCH(WRmatchups[[#This Row],[Name]],Salaries[Player],0)),"")</f>
        <v>3400</v>
      </c>
      <c r="D66" s="172">
        <f>IFERROR(INDEX(DK_Salary_Changes[WeekChange],MATCH(WRmatchups[[#This Row],[Name]],DK_Salary_Changes[Player],0)),"")</f>
        <v>-500</v>
      </c>
      <c r="E66" s="14" t="str">
        <f>IFERROR(INDEX(Salaries[Team],MATCH(WRmatchups[[#This Row],[Name]],Salaries[Player],0)),"")</f>
        <v>TB</v>
      </c>
      <c r="F66" s="460" t="str">
        <f>IFERROR(INDEX(Salaries[Opp],MATCH(WRmatchups[[#This Row],[Team]],Salaries[Team],0)),"")</f>
        <v>DEN</v>
      </c>
      <c r="G66" s="476" t="str">
        <f>IFERROR(INDEX(WRYTD[Rec],MATCH(WRmatchups[Name],WRYTD[Player],0)),"0")</f>
        <v>0</v>
      </c>
      <c r="H66" s="458">
        <f>IFERROR(INDEX(targettracker54[TTL],MATCH(WRmatchups[Name],targettracker54[Name],0)),"")</f>
        <v>22</v>
      </c>
      <c r="I66" s="475" t="str">
        <f>IFERROR(INDEX(WRYTD[Rec Yds],MATCH(WRmatchups[Name],WRYTD[Player],0)),"0")</f>
        <v>0</v>
      </c>
      <c r="J66" s="477" t="str">
        <f>IFERROR(INDEX(WRYTD[Rec TD],MATCH(WRmatchups[Name],WRYTD[Player],0)),"0")</f>
        <v>0</v>
      </c>
      <c r="K66" s="473">
        <f>IFERROR(INDEX(Salaries[O/U],MATCH(WRmatchups[[#This Row],[Team]],Salaries[Team],0)),"")</f>
        <v>44</v>
      </c>
      <c r="L66" s="32">
        <f>IFERROR(INDEX(Salaries[Team O/U],MATCH(WRmatchups[[#This Row],[Team]],Salaries[Team],0)),"")</f>
        <v>20.5</v>
      </c>
      <c r="M66" s="417">
        <f>IFERROR(INDEX(Salaries[Spread],MATCH(WRmatchups[[#This Row],[Team]],Salaries[Team],0)),"")</f>
        <v>3</v>
      </c>
      <c r="N66" s="424">
        <f>IFERROR(INDEX(WRallowed[DVP],MATCH(WRmatchups[[#This Row],[Opp]],WRallowed[Team],0)),IFERROR(INDEX(WRallowed[DVP],MATCH(WRmatchups[[#This Row],[Opp]],WRallowed[Opp],0)),""))</f>
        <v>1</v>
      </c>
      <c r="O66" s="17">
        <f>IFERROR(INDEX(YAtCData[YAtC],MATCH(WRmatchups[[#This Row],[Name]],YAtCData[Player],0)),"0")</f>
        <v>86</v>
      </c>
      <c r="P66" s="497">
        <f>IFERROR(INDEX(YAtCData[YAtC/Rec],MATCH(WRmatchups[[#This Row],[Name]],YAtCData[Player],0)),"0")</f>
        <v>9.56</v>
      </c>
      <c r="Q66" s="17">
        <f>IFERROR(INDEX(YAtCData[YAC],MATCH(WRmatchups[[#This Row],[Name]],YAtCData[Player],0)),"0")</f>
        <v>13</v>
      </c>
      <c r="R66" s="497">
        <f>IFERROR(INDEX(YACDATA[YAC per Reception],MATCH(WRmatchups[[#This Row],[Name]],YACDATA[Player],0)),"0")</f>
        <v>1.4</v>
      </c>
      <c r="S66" s="418">
        <f>AVERAGE(WRmatchups[[#This Row],[Tar1]:[Tar3]])</f>
        <v>6.1</v>
      </c>
      <c r="T66" s="464">
        <f>AVERAGE(WRmatchups[[#This Row],[Rec1]:[Rec3]])</f>
        <v>2.7053333333333334</v>
      </c>
      <c r="U66" s="468">
        <f>SUM(WRmatchups[[#This Row],[Rec4]]/WRmatchups[[#This Row],[Targets2]])</f>
        <v>0.44349726775956289</v>
      </c>
      <c r="V66" s="417">
        <f>AVERAGE(WRmatchups[[#This Row],[Yards1]:[Yards3]])</f>
        <v>39.386666666666663</v>
      </c>
      <c r="W66" s="461">
        <f>SUM(WRmatchups[[#This Row],[Yards]]/WRmatchups[[#This Row],[Targets2]])</f>
        <v>6.4568306010928964</v>
      </c>
      <c r="X66" s="32">
        <f>AVERAGE(WRmatchups[[#This Row],[TD1]:[TD3]])</f>
        <v>0.26749999999999996</v>
      </c>
      <c r="Y66" s="14">
        <f>_xlfn.RANK.EQ(WRmatchups[[#This Row],[Projection]],WRmatchups[Projection],0)</f>
        <v>56</v>
      </c>
      <c r="Z66" s="19">
        <f>SUM(WRmatchups[[#This Row],[Yards]]*0.1)+(WRmatchups[[#This Row],[RecTD5]]*6)+(WRmatchups[[#This Row],[Rec4]]*1)+(WRmatchups[[#This Row],[100+]])</f>
        <v>8.2489999999999988</v>
      </c>
      <c r="AA66" s="8">
        <f>_xlfn.RANK.EQ(WRmatchups[[#This Row],[$/FP]],WRmatchups[$/FP],1)</f>
        <v>31</v>
      </c>
      <c r="AB66" s="23">
        <f>SUM(WRmatchups[[#This Row],[Salary]]/WRmatchups[[#This Row],[Projection]])</f>
        <v>412.1711722633047</v>
      </c>
      <c r="AC66" s="241">
        <f>_xlfn.RANK.EQ(WRmatchups[[#This Row],[Average]],WRmatchups[Average],1)</f>
        <v>43</v>
      </c>
      <c r="AD66" s="241">
        <f>AVERAGE(WRmatchups[[#This Row],[Proj Rank]],WRmatchups[[#This Row],[Value Rank]])</f>
        <v>43.5</v>
      </c>
      <c r="AE66" s="210">
        <f>WRmatchups[[#This Row],[Salary]]/50000</f>
        <v>6.8000000000000005E-2</v>
      </c>
      <c r="AF66" s="214"/>
      <c r="AG66" s="14">
        <f>IFERROR(INDEX(WRstats3[Targets],MATCH(WRmatchups[[#This Row],[Name]],WRstats3[Player],0)),"0")</f>
        <v>6.1</v>
      </c>
      <c r="AH66" s="14" t="str">
        <f>IFERROR(INDEX(WRstats2[Targets],MATCH(WRmatchups[[#This Row],[Name]],WRstats2[Player],0)),"0")</f>
        <v>0</v>
      </c>
      <c r="AI66" s="14">
        <f>IFERROR(INDEX(WRstats3[Targets],MATCH(WRmatchups[[#This Row],[Name]],WRstats3[Player],0)),"0")</f>
        <v>6.1</v>
      </c>
      <c r="AJ66" s="14">
        <f>IFERROR(INDEX(WRstats1[Rec],MATCH(WRmatchups[[#This Row],[Name]],WRstats1[Player],0)),"0")</f>
        <v>2.4159999999999999</v>
      </c>
      <c r="AK66" s="14">
        <f>IFERROR(INDEX(WRstats2[Rec],MATCH(WRmatchups[[#This Row],[Name]],WRstats2[Player],0)),"0")</f>
        <v>2.2000000000000002</v>
      </c>
      <c r="AL66" s="14">
        <f>IFERROR(INDEX(WRstats3[Rec],MATCH(WRmatchups[[#This Row],[Name]],WRstats3[Player],0)),"0")</f>
        <v>3.5</v>
      </c>
      <c r="AM66" s="32">
        <f>IFERROR(INDEX(WRallowed[Rec],MATCH(WRmatchups[[#This Row],[Opp]],WRallowed[Team],0)),"0")</f>
        <v>13.9375</v>
      </c>
      <c r="AN66" s="14">
        <f>IFERROR(INDEX(WRstats1[Rec Yds],MATCH(WRmatchups[[#This Row],[Name]],WRstats1[Player],0)),"0")</f>
        <v>36.86</v>
      </c>
      <c r="AO66" s="14">
        <f>IFERROR(INDEX(WRstats2[RecYards],MATCH(WRmatchups[[#This Row],[Name]],WRstats2[Player],0)),"0")</f>
        <v>33.9</v>
      </c>
      <c r="AP66" s="14">
        <f>IFERROR(INDEX(WRstats3[RecYards],MATCH(WRmatchups[[#This Row],[Name]],WRstats3[Player],0)),"0")</f>
        <v>47.4</v>
      </c>
      <c r="AQ66" s="32">
        <f>IFERROR(INDEX(WRallowed[Yard],MATCH(WRmatchups[[#This Row],[Opp]],WRallowed[Team],0)),"0")</f>
        <v>176.3125</v>
      </c>
      <c r="AR66" s="14">
        <f>IFERROR(INDEX(WRstats1[Rec TD],MATCH(WRmatchups[[#This Row],[Name]],WRstats1[Player],0)),"0")</f>
        <v>0.23499999999999999</v>
      </c>
      <c r="AS66" s="14" t="str">
        <f>IFERROR(INDEX(WRstats2[RecTD],MATCH(WRmatchups[[#This Row],[Name]],WRstats2[Player],0)),"0")</f>
        <v>0.3</v>
      </c>
      <c r="AT66" s="14">
        <f>IFERROR(INDEX(WRstats3[RecTD],MATCH(WRmatchups[[#This Row],[Name]],WRstats3[Player],0)),"0")</f>
        <v>0.3</v>
      </c>
      <c r="AU66" s="32">
        <f>IFERROR(INDEX(WRallowed[TD],MATCH(WRmatchups[[#This Row],[Opp]],WRallowed[Team],0)),"0")*0.5</f>
        <v>0.59375</v>
      </c>
      <c r="AV66" s="14" t="str">
        <f>IFERROR(INDEX(WRstats2[RushAtt],MATCH(WRmatchups[[#This Row],[Name]],WRstats2[Player],0)),"0")</f>
        <v>0.3</v>
      </c>
      <c r="AW66" s="14">
        <f>IFERROR(INDEX(WRstats3[RushATT],MATCH(WRmatchups[[#This Row],[Name]],WRstats3[Player],0)),"0")</f>
        <v>0</v>
      </c>
      <c r="AX66" s="14" t="str">
        <f>IFERROR(INDEX(WRstats2[RushYards],MATCH(WRmatchups[[#This Row],[Name]],WRstats2[Player],0)),"0")</f>
        <v>0</v>
      </c>
      <c r="AY66" s="14">
        <f>IFERROR(INDEX(WRstats3[RushYards],MATCH(WRmatchups[[#This Row],[Name]],WRstats3[Player],0)),"0")</f>
        <v>0</v>
      </c>
      <c r="AZ66" s="14" t="str">
        <f>IFERROR(INDEX(WRstats2[RushTD],MATCH(WRmatchups[[#This Row],[Name]],WRstats2[Player],0)),"0")</f>
        <v>0</v>
      </c>
      <c r="BA66" s="14">
        <f>IFERROR(INDEX(WRstats3[RushTD],MATCH(WRmatchups[[#This Row],[Name]],WRstats3[Player],0)),"0")</f>
        <v>0</v>
      </c>
      <c r="BB66" s="264">
        <f>IF(WRmatchups[[#This Row],[Yards]]&gt;=100,3,0)</f>
        <v>0</v>
      </c>
      <c r="BC66" s="191" t="str">
        <f>IFERROR(INDEX(#REF!,MATCH(WRmatchups[Name],#REF!,0)),"0")</f>
        <v>0</v>
      </c>
      <c r="BD66" s="494">
        <f>WRmatchups[[#This Row],[Targets]]/WRmatchups[[#This Row],[Salary]]*100</f>
        <v>0.6470588235294118</v>
      </c>
    </row>
    <row r="67" spans="1:56" ht="15" thickBot="1" x14ac:dyDescent="0.35">
      <c r="A67" s="37">
        <f>WRstats1!AL59</f>
        <v>7.7</v>
      </c>
      <c r="B67" s="5" t="str">
        <f>WRstats1!D59</f>
        <v>Eddie Royal</v>
      </c>
      <c r="C67" s="172">
        <f>IFERROR(INDEX(Salaries[DraftKings (Price)],MATCH(WRmatchups[[#This Row],[Name]],Salaries[Player],0)),"")</f>
        <v>3500</v>
      </c>
      <c r="D67" s="172">
        <f>IFERROR(INDEX(DK_Salary_Changes[WeekChange],MATCH(WRmatchups[[#This Row],[Name]],DK_Salary_Changes[Player],0)),"")</f>
        <v>0</v>
      </c>
      <c r="E67" s="14" t="str">
        <f>IFERROR(INDEX(Salaries[Team],MATCH(WRmatchups[[#This Row],[Name]],Salaries[Player],0)),"")</f>
        <v>CHI</v>
      </c>
      <c r="F67" s="460" t="str">
        <f>IFERROR(INDEX(Salaries[Opp],MATCH(WRmatchups[[#This Row],[Team]],Salaries[Team],0)),"")</f>
        <v>DET</v>
      </c>
      <c r="G67" s="476">
        <f>IFERROR(INDEX(WRYTD[Rec],MATCH(WRmatchups[Name],WRYTD[Player],0)),"0")</f>
        <v>11</v>
      </c>
      <c r="H67" s="458">
        <f>IFERROR(INDEX(targettracker54[TTL],MATCH(WRmatchups[Name],targettracker54[Name],0)),"")</f>
        <v>15</v>
      </c>
      <c r="I67" s="475">
        <f>IFERROR(INDEX(WRYTD[Rec Yds],MATCH(WRmatchups[Name],WRYTD[Player],0)),"0")</f>
        <v>130</v>
      </c>
      <c r="J67" s="477">
        <f>IFERROR(INDEX(WRYTD[Rec TD],MATCH(WRmatchups[Name],WRYTD[Player],0)),"0")</f>
        <v>1</v>
      </c>
      <c r="K67" s="473">
        <f>IFERROR(INDEX(Salaries[O/U],MATCH(WRmatchups[[#This Row],[Team]],Salaries[Team],0)),"")</f>
        <v>46.5</v>
      </c>
      <c r="L67" s="32">
        <f>IFERROR(INDEX(Salaries[Team O/U],MATCH(WRmatchups[[#This Row],[Team]],Salaries[Team],0)),"")</f>
        <v>21.75</v>
      </c>
      <c r="M67" s="417">
        <f>IFERROR(INDEX(Salaries[Spread],MATCH(WRmatchups[[#This Row],[Team]],Salaries[Team],0)),"")</f>
        <v>3</v>
      </c>
      <c r="N67" s="424">
        <f>IFERROR(INDEX(WRallowed[DVP],MATCH(WRmatchups[[#This Row],[Opp]],WRallowed[Team],0)),IFERROR(INDEX(WRallowed[DVP],MATCH(WRmatchups[[#This Row],[Opp]],WRallowed[Opp],0)),""))</f>
        <v>15</v>
      </c>
      <c r="O67" s="17">
        <f>IFERROR(INDEX(YAtCData[YAtC],MATCH(WRmatchups[[#This Row],[Name]],YAtCData[Player],0)),"0")</f>
        <v>75</v>
      </c>
      <c r="P67" s="497">
        <f>IFERROR(INDEX(YAtCData[YAtC/Rec],MATCH(WRmatchups[[#This Row],[Name]],YAtCData[Player],0)),"0")</f>
        <v>6.82</v>
      </c>
      <c r="Q67" s="17">
        <f>IFERROR(INDEX(YAtCData[YAC],MATCH(WRmatchups[[#This Row],[Name]],YAtCData[Player],0)),"0")</f>
        <v>55</v>
      </c>
      <c r="R67" s="497">
        <f>IFERROR(INDEX(YACDATA[YAC per Reception],MATCH(WRmatchups[[#This Row],[Name]],YACDATA[Player],0)),"0")</f>
        <v>5</v>
      </c>
      <c r="S67" s="418">
        <f>AVERAGE(WRmatchups[[#This Row],[Tar1]:[Tar3]])</f>
        <v>4.7</v>
      </c>
      <c r="T67" s="464">
        <f>AVERAGE(WRmatchups[[#This Row],[Rec1]:[Rec3]])</f>
        <v>2.9550000000000001</v>
      </c>
      <c r="U67" s="468">
        <f>SUM(WRmatchups[[#This Row],[Rec4]]/WRmatchups[[#This Row],[Targets2]])</f>
        <v>0.62872340425531914</v>
      </c>
      <c r="V67" s="417">
        <f>AVERAGE(WRmatchups[[#This Row],[Yards1]:[Yards3]])</f>
        <v>35.219333333333331</v>
      </c>
      <c r="W67" s="461">
        <f>SUM(WRmatchups[[#This Row],[Yards]]/WRmatchups[[#This Row],[Targets2]])</f>
        <v>7.4934751773049637</v>
      </c>
      <c r="X67" s="32">
        <f>AVERAGE(WRmatchups[[#This Row],[TD1]:[TD3]])</f>
        <v>0.28500000000000003</v>
      </c>
      <c r="Y67" s="14">
        <f>_xlfn.RANK.EQ(WRmatchups[[#This Row],[Projection]],WRmatchups[Projection],0)</f>
        <v>57</v>
      </c>
      <c r="Z67" s="19">
        <f>SUM(WRmatchups[[#This Row],[Yards]]*0.1)+(WRmatchups[[#This Row],[RecTD5]]*6)+(WRmatchups[[#This Row],[Rec4]]*1)+(WRmatchups[[#This Row],[100+]])</f>
        <v>8.1869333333333323</v>
      </c>
      <c r="AA67" s="8">
        <f>_xlfn.RANK.EQ(WRmatchups[[#This Row],[$/FP]],WRmatchups[$/FP],1)</f>
        <v>43</v>
      </c>
      <c r="AB67" s="23">
        <f>SUM(WRmatchups[[#This Row],[Salary]]/WRmatchups[[#This Row],[Projection]])</f>
        <v>427.51050454382602</v>
      </c>
      <c r="AC67" s="241">
        <f>_xlfn.RANK.EQ(WRmatchups[[#This Row],[Average]],WRmatchups[Average],1)</f>
        <v>55</v>
      </c>
      <c r="AD67" s="241">
        <f>AVERAGE(WRmatchups[[#This Row],[Proj Rank]],WRmatchups[[#This Row],[Value Rank]])</f>
        <v>50</v>
      </c>
      <c r="AE67" s="210">
        <f>WRmatchups[[#This Row],[Salary]]/50000</f>
        <v>7.0000000000000007E-2</v>
      </c>
      <c r="AF67" s="214"/>
      <c r="AG67" s="14">
        <f>IFERROR(INDEX(WRstats3[Targets],MATCH(WRmatchups[[#This Row],[Name]],WRstats3[Player],0)),"0")</f>
        <v>4.7</v>
      </c>
      <c r="AH67" s="14" t="str">
        <f>IFERROR(INDEX(WRstats2[Targets],MATCH(WRmatchups[[#This Row],[Name]],WRstats2[Player],0)),"0")</f>
        <v>0</v>
      </c>
      <c r="AI67" s="14">
        <f>IFERROR(INDEX(WRstats3[Targets],MATCH(WRmatchups[[#This Row],[Name]],WRstats3[Player],0)),"0")</f>
        <v>4.7</v>
      </c>
      <c r="AJ67" s="14">
        <f>IFERROR(INDEX(WRstats1[Rec],MATCH(WRmatchups[[#This Row],[Name]],WRstats1[Player],0)),"0")</f>
        <v>3.4649999999999999</v>
      </c>
      <c r="AK67" s="14">
        <f>IFERROR(INDEX(WRstats2[Rec],MATCH(WRmatchups[[#This Row],[Name]],WRstats2[Player],0)),"0")</f>
        <v>1.9</v>
      </c>
      <c r="AL67" s="14">
        <f>IFERROR(INDEX(WRstats3[Rec],MATCH(WRmatchups[[#This Row],[Name]],WRstats3[Player],0)),"0")</f>
        <v>3.5</v>
      </c>
      <c r="AM67" s="32">
        <f>IFERROR(INDEX(WRallowed[Rec],MATCH(WRmatchups[[#This Row],[Opp]],WRallowed[Team],0)),"0")</f>
        <v>11.5625</v>
      </c>
      <c r="AN67" s="14">
        <f>IFERROR(INDEX(WRstats1[Rec Yds],MATCH(WRmatchups[[#This Row],[Name]],WRstats1[Player],0)),"0")</f>
        <v>43.758000000000003</v>
      </c>
      <c r="AO67" s="14">
        <f>IFERROR(INDEX(WRstats2[RecYards],MATCH(WRmatchups[[#This Row],[Name]],WRstats2[Player],0)),"0")</f>
        <v>21.1</v>
      </c>
      <c r="AP67" s="14">
        <f>IFERROR(INDEX(WRstats3[RecYards],MATCH(WRmatchups[[#This Row],[Name]],WRstats3[Player],0)),"0")</f>
        <v>40.799999999999997</v>
      </c>
      <c r="AQ67" s="32">
        <f>IFERROR(INDEX(WRallowed[Yard],MATCH(WRmatchups[[#This Row],[Opp]],WRallowed[Team],0)),"0")</f>
        <v>164.1875</v>
      </c>
      <c r="AR67" s="14">
        <f>IFERROR(INDEX(WRstats1[Rec TD],MATCH(WRmatchups[[#This Row],[Name]],WRstats1[Player],0)),"0")</f>
        <v>0.27</v>
      </c>
      <c r="AS67" s="14" t="str">
        <f>IFERROR(INDEX(WRstats2[RecTD],MATCH(WRmatchups[[#This Row],[Name]],WRstats2[Player],0)),"0")</f>
        <v>0.1</v>
      </c>
      <c r="AT67" s="14">
        <f>IFERROR(INDEX(WRstats3[RecTD],MATCH(WRmatchups[[#This Row],[Name]],WRstats3[Player],0)),"0")</f>
        <v>0.3</v>
      </c>
      <c r="AU67" s="32">
        <f>IFERROR(INDEX(WRallowed[TD],MATCH(WRmatchups[[#This Row],[Opp]],WRallowed[Team],0)),"0")*0.5</f>
        <v>0.65625</v>
      </c>
      <c r="AV67" s="14" t="str">
        <f>IFERROR(INDEX(WRstats2[RushAtt],MATCH(WRmatchups[[#This Row],[Name]],WRstats2[Player],0)),"0")</f>
        <v>0.1</v>
      </c>
      <c r="AW67" s="14">
        <f>IFERROR(INDEX(WRstats3[RushATT],MATCH(WRmatchups[[#This Row],[Name]],WRstats3[Player],0)),"0")</f>
        <v>0.2</v>
      </c>
      <c r="AX67" s="14" t="str">
        <f>IFERROR(INDEX(WRstats2[RushYards],MATCH(WRmatchups[[#This Row],[Name]],WRstats2[Player],0)),"0")</f>
        <v>0.4</v>
      </c>
      <c r="AY67" s="14">
        <f>IFERROR(INDEX(WRstats3[RushYards],MATCH(WRmatchups[[#This Row],[Name]],WRstats3[Player],0)),"0")</f>
        <v>0.7</v>
      </c>
      <c r="AZ67" s="14" t="str">
        <f>IFERROR(INDEX(WRstats2[RushTD],MATCH(WRmatchups[[#This Row],[Name]],WRstats2[Player],0)),"0")</f>
        <v>0</v>
      </c>
      <c r="BA67" s="14">
        <f>IFERROR(INDEX(WRstats3[RushTD],MATCH(WRmatchups[[#This Row],[Name]],WRstats3[Player],0)),"0")</f>
        <v>0</v>
      </c>
      <c r="BB67" s="264">
        <f>IF(WRmatchups[[#This Row],[Yards]]&gt;=100,3,0)</f>
        <v>0</v>
      </c>
      <c r="BC67" s="191" t="str">
        <f>IFERROR(INDEX(#REF!,MATCH(WRmatchups[Name],#REF!,0)),"0")</f>
        <v>0</v>
      </c>
      <c r="BD67" s="494">
        <f>WRmatchups[[#This Row],[Targets]]/WRmatchups[[#This Row],[Salary]]*100</f>
        <v>0.4285714285714286</v>
      </c>
    </row>
    <row r="68" spans="1:56" ht="15" thickBot="1" x14ac:dyDescent="0.35">
      <c r="A68" s="37">
        <f>WRstats1!AL68</f>
        <v>7.2</v>
      </c>
      <c r="B68" s="5" t="str">
        <f>WRstats1!D68</f>
        <v>Robert Woods</v>
      </c>
      <c r="C68" s="172">
        <f>IFERROR(INDEX(Salaries[DraftKings (Price)],MATCH(WRmatchups[[#This Row],[Name]],Salaries[Player],0)),"")</f>
        <v>3400</v>
      </c>
      <c r="D68" s="172">
        <f>IFERROR(INDEX(DK_Salary_Changes[WeekChange],MATCH(WRmatchups[[#This Row],[Name]],DK_Salary_Changes[Player],0)),"")</f>
        <v>200</v>
      </c>
      <c r="E68" s="14" t="str">
        <f>IFERROR(INDEX(Salaries[Team],MATCH(WRmatchups[[#This Row],[Name]],Salaries[Player],0)),"")</f>
        <v>BUF</v>
      </c>
      <c r="F68" s="460" t="str">
        <f>IFERROR(INDEX(Salaries[Opp],MATCH(WRmatchups[[#This Row],[Team]],Salaries[Team],0)),"")</f>
        <v>@NE</v>
      </c>
      <c r="G68" s="476" t="str">
        <f>IFERROR(INDEX(WRYTD[Rec],MATCH(WRmatchups[Name],WRYTD[Player],0)),"0")</f>
        <v>0</v>
      </c>
      <c r="H68" s="458">
        <f>IFERROR(INDEX(targettracker54[TTL],MATCH(WRmatchups[Name],targettracker54[Name],0)),"")</f>
        <v>15</v>
      </c>
      <c r="I68" s="475" t="str">
        <f>IFERROR(INDEX(WRYTD[Rec Yds],MATCH(WRmatchups[Name],WRYTD[Player],0)),"0")</f>
        <v>0</v>
      </c>
      <c r="J68" s="477" t="str">
        <f>IFERROR(INDEX(WRYTD[Rec TD],MATCH(WRmatchups[Name],WRYTD[Player],0)),"0")</f>
        <v>0</v>
      </c>
      <c r="K68" s="473">
        <f>IFERROR(INDEX(Salaries[O/U],MATCH(WRmatchups[[#This Row],[Team]],Salaries[Team],0)),"")</f>
        <v>44</v>
      </c>
      <c r="L68" s="32">
        <f>IFERROR(INDEX(Salaries[Team O/U],MATCH(WRmatchups[[#This Row],[Team]],Salaries[Team],0)),"")</f>
        <v>19.75</v>
      </c>
      <c r="M68" s="417">
        <f>IFERROR(INDEX(Salaries[Spread],MATCH(WRmatchups[[#This Row],[Team]],Salaries[Team],0)),"")</f>
        <v>4.5</v>
      </c>
      <c r="N68" s="424">
        <f>IFERROR(INDEX(WRallowed[DVP],MATCH(WRmatchups[[#This Row],[Opp]],WRallowed[Team],0)),IFERROR(INDEX(WRallowed[DVP],MATCH(WRmatchups[[#This Row],[Opp]],WRallowed[Opp],0)),""))</f>
        <v>20</v>
      </c>
      <c r="O68" s="17">
        <f>IFERROR(INDEX(YAtCData[YAtC],MATCH(WRmatchups[[#This Row],[Name]],YAtCData[Player],0)),"0")</f>
        <v>69</v>
      </c>
      <c r="P68" s="497">
        <f>IFERROR(INDEX(YAtCData[YAtC/Rec],MATCH(WRmatchups[[#This Row],[Name]],YAtCData[Player],0)),"0")</f>
        <v>6.27</v>
      </c>
      <c r="Q68" s="17">
        <f>IFERROR(INDEX(YAtCData[YAC],MATCH(WRmatchups[[#This Row],[Name]],YAtCData[Player],0)),"0")</f>
        <v>12</v>
      </c>
      <c r="R68" s="497">
        <f>IFERROR(INDEX(YACDATA[YAC per Reception],MATCH(WRmatchups[[#This Row],[Name]],YACDATA[Player],0)),"0")</f>
        <v>1.1000000000000001</v>
      </c>
      <c r="S68" s="418">
        <f>AVERAGE(WRmatchups[[#This Row],[Tar1]:[Tar3]])</f>
        <v>4.5999999999999996</v>
      </c>
      <c r="T68" s="464">
        <f>AVERAGE(WRmatchups[[#This Row],[Rec1]:[Rec3]])</f>
        <v>3.4649999999999999</v>
      </c>
      <c r="U68" s="468">
        <f>SUM(WRmatchups[[#This Row],[Rec4]]/WRmatchups[[#This Row],[Targets2]])</f>
        <v>0.75326086956521743</v>
      </c>
      <c r="V68" s="417">
        <f>AVERAGE(WRmatchups[[#This Row],[Yards1]:[Yards3]])</f>
        <v>33.365666666666669</v>
      </c>
      <c r="W68" s="461">
        <f>SUM(WRmatchups[[#This Row],[Yards]]/WRmatchups[[#This Row],[Targets2]])</f>
        <v>7.2534057971014505</v>
      </c>
      <c r="X68" s="32">
        <f>AVERAGE(WRmatchups[[#This Row],[TD1]:[TD3]])</f>
        <v>0.22800000000000001</v>
      </c>
      <c r="Y68" s="14">
        <f>_xlfn.RANK.EQ(WRmatchups[[#This Row],[Projection]],WRmatchups[Projection],0)</f>
        <v>58</v>
      </c>
      <c r="Z68" s="19">
        <f>SUM(WRmatchups[[#This Row],[Yards]]*0.1)+(WRmatchups[[#This Row],[RecTD5]]*6)+(WRmatchups[[#This Row],[Rec4]]*1)+(WRmatchups[[#This Row],[100+]])</f>
        <v>8.1695666666666682</v>
      </c>
      <c r="AA68" s="8">
        <f>_xlfn.RANK.EQ(WRmatchups[[#This Row],[$/FP]],WRmatchups[$/FP],1)</f>
        <v>33</v>
      </c>
      <c r="AB68" s="23">
        <f>SUM(WRmatchups[[#This Row],[Salary]]/WRmatchups[[#This Row],[Projection]])</f>
        <v>416.17874469066078</v>
      </c>
      <c r="AC68" s="241">
        <f>_xlfn.RANK.EQ(WRmatchups[[#This Row],[Average]],WRmatchups[Average],1)</f>
        <v>47</v>
      </c>
      <c r="AD68" s="241">
        <f>AVERAGE(WRmatchups[[#This Row],[Proj Rank]],WRmatchups[[#This Row],[Value Rank]])</f>
        <v>45.5</v>
      </c>
      <c r="AE68" s="210">
        <f>WRmatchups[[#This Row],[Salary]]/50000</f>
        <v>6.8000000000000005E-2</v>
      </c>
      <c r="AF68" s="214"/>
      <c r="AG68" s="14">
        <f>IFERROR(INDEX(WRstats3[Targets],MATCH(WRmatchups[[#This Row],[Name]],WRstats3[Player],0)),"0")</f>
        <v>4.5999999999999996</v>
      </c>
      <c r="AH68" s="14" t="str">
        <f>IFERROR(INDEX(WRstats2[Targets],MATCH(WRmatchups[[#This Row],[Name]],WRstats2[Player],0)),"0")</f>
        <v>0</v>
      </c>
      <c r="AI68" s="14">
        <f>IFERROR(INDEX(WRstats3[Targets],MATCH(WRmatchups[[#This Row],[Name]],WRstats3[Player],0)),"0")</f>
        <v>4.5999999999999996</v>
      </c>
      <c r="AJ68" s="14">
        <f>IFERROR(INDEX(WRstats1[Rec],MATCH(WRmatchups[[#This Row],[Name]],WRstats1[Player],0)),"0")</f>
        <v>4.5949999999999998</v>
      </c>
      <c r="AK68" s="14">
        <f>IFERROR(INDEX(WRstats2[Rec],MATCH(WRmatchups[[#This Row],[Name]],WRstats2[Player],0)),"0")</f>
        <v>3.1</v>
      </c>
      <c r="AL68" s="14">
        <f>IFERROR(INDEX(WRstats3[Rec],MATCH(WRmatchups[[#This Row],[Name]],WRstats3[Player],0)),"0")</f>
        <v>2.7</v>
      </c>
      <c r="AM68" s="32" t="str">
        <f>IFERROR(INDEX(WRallowed[Rec],MATCH(WRmatchups[[#This Row],[Opp]],WRallowed[Team],0)),"0")</f>
        <v>0</v>
      </c>
      <c r="AN68" s="14">
        <f>IFERROR(INDEX(WRstats1[Rec Yds],MATCH(WRmatchups[[#This Row],[Name]],WRstats1[Player],0)),"0")</f>
        <v>35.097000000000001</v>
      </c>
      <c r="AO68" s="14">
        <f>IFERROR(INDEX(WRstats2[RecYards],MATCH(WRmatchups[[#This Row],[Name]],WRstats2[Player],0)),"0")</f>
        <v>31.9</v>
      </c>
      <c r="AP68" s="14">
        <f>IFERROR(INDEX(WRstats3[RecYards],MATCH(WRmatchups[[#This Row],[Name]],WRstats3[Player],0)),"0")</f>
        <v>33.1</v>
      </c>
      <c r="AQ68" s="32" t="str">
        <f>IFERROR(INDEX(WRallowed[Yard],MATCH(WRmatchups[[#This Row],[Opp]],WRallowed[Team],0)),"0")</f>
        <v>0</v>
      </c>
      <c r="AR68" s="14">
        <f>IFERROR(INDEX(WRstats1[Rec TD],MATCH(WRmatchups[[#This Row],[Name]],WRstats1[Player],0)),"0")</f>
        <v>0.25600000000000001</v>
      </c>
      <c r="AS68" s="14" t="str">
        <f>IFERROR(INDEX(WRstats2[RecTD],MATCH(WRmatchups[[#This Row],[Name]],WRstats2[Player],0)),"0")</f>
        <v>0.2</v>
      </c>
      <c r="AT68" s="14">
        <f>IFERROR(INDEX(WRstats3[RecTD],MATCH(WRmatchups[[#This Row],[Name]],WRstats3[Player],0)),"0")</f>
        <v>0.2</v>
      </c>
      <c r="AU68" s="32">
        <f>IFERROR(INDEX(WRallowed[TD],MATCH(WRmatchups[[#This Row],[Opp]],WRallowed[Team],0)),"0")*0.5</f>
        <v>0</v>
      </c>
      <c r="AV68" s="14" t="str">
        <f>IFERROR(INDEX(WRstats2[RushAtt],MATCH(WRmatchups[[#This Row],[Name]],WRstats2[Player],0)),"0")</f>
        <v>0.2</v>
      </c>
      <c r="AW68" s="14">
        <f>IFERROR(INDEX(WRstats3[RushATT],MATCH(WRmatchups[[#This Row],[Name]],WRstats3[Player],0)),"0")</f>
        <v>0</v>
      </c>
      <c r="AX68" s="14">
        <f>IFERROR(INDEX(WRstats2[RushYards],MATCH(WRmatchups[[#This Row],[Name]],WRstats2[Player],0)),"0")</f>
        <v>-0.1</v>
      </c>
      <c r="AY68" s="14">
        <f>IFERROR(INDEX(WRstats3[RushYards],MATCH(WRmatchups[[#This Row],[Name]],WRstats3[Player],0)),"0")</f>
        <v>0</v>
      </c>
      <c r="AZ68" s="14" t="str">
        <f>IFERROR(INDEX(WRstats2[RushTD],MATCH(WRmatchups[[#This Row],[Name]],WRstats2[Player],0)),"0")</f>
        <v>0</v>
      </c>
      <c r="BA68" s="14">
        <f>IFERROR(INDEX(WRstats3[RushTD],MATCH(WRmatchups[[#This Row],[Name]],WRstats3[Player],0)),"0")</f>
        <v>0</v>
      </c>
      <c r="BB68" s="264">
        <f>IF(WRmatchups[[#This Row],[Yards]]&gt;=100,3,0)</f>
        <v>0</v>
      </c>
      <c r="BC68" s="191" t="str">
        <f>IFERROR(INDEX(#REF!,MATCH(WRmatchups[Name],#REF!,0)),"0")</f>
        <v>0</v>
      </c>
      <c r="BD68" s="494">
        <f>WRmatchups[[#This Row],[Targets]]/WRmatchups[[#This Row],[Salary]]*100</f>
        <v>0.44117647058823528</v>
      </c>
    </row>
    <row r="69" spans="1:56" ht="15" thickBot="1" x14ac:dyDescent="0.35">
      <c r="A69" s="37">
        <f>WRstats1!AL60</f>
        <v>7.1</v>
      </c>
      <c r="B69" s="5" t="str">
        <f>WRstats1!D60</f>
        <v>Kenny Stills</v>
      </c>
      <c r="C69" s="172">
        <f>IFERROR(INDEX(Salaries[DraftKings (Price)],MATCH(WRmatchups[[#This Row],[Name]],Salaries[Player],0)),"")</f>
        <v>3500</v>
      </c>
      <c r="D69" s="172">
        <f>IFERROR(INDEX(DK_Salary_Changes[WeekChange],MATCH(WRmatchups[[#This Row],[Name]],DK_Salary_Changes[Player],0)),"")</f>
        <v>-100</v>
      </c>
      <c r="E69" s="14" t="str">
        <f>IFERROR(INDEX(Salaries[Team],MATCH(WRmatchups[[#This Row],[Name]],Salaries[Player],0)),"")</f>
        <v>MIA</v>
      </c>
      <c r="F69" s="460" t="str">
        <f>IFERROR(INDEX(Salaries[Opp],MATCH(WRmatchups[[#This Row],[Team]],Salaries[Team],0)),"")</f>
        <v>@CIN</v>
      </c>
      <c r="G69" s="476">
        <f>IFERROR(INDEX(WRYTD[Rec],MATCH(WRmatchups[Name],WRYTD[Player],0)),"0")</f>
        <v>8</v>
      </c>
      <c r="H69" s="458">
        <f>IFERROR(INDEX(targettracker54[TTL],MATCH(WRmatchups[Name],targettracker54[Name],0)),"")</f>
        <v>17</v>
      </c>
      <c r="I69" s="475">
        <f>IFERROR(INDEX(WRYTD[Rec Yds],MATCH(WRmatchups[Name],WRYTD[Player],0)),"0")</f>
        <v>131</v>
      </c>
      <c r="J69" s="477">
        <f>IFERROR(INDEX(WRYTD[Rec TD],MATCH(WRmatchups[Name],WRYTD[Player],0)),"0")</f>
        <v>1</v>
      </c>
      <c r="K69" s="473">
        <f>IFERROR(INDEX(Salaries[O/U],MATCH(WRmatchups[[#This Row],[Team]],Salaries[Team],0)),"")</f>
        <v>44.5</v>
      </c>
      <c r="L69" s="32">
        <f>IFERROR(INDEX(Salaries[Team O/U],MATCH(WRmatchups[[#This Row],[Team]],Salaries[Team],0)),"")</f>
        <v>18.75</v>
      </c>
      <c r="M69" s="417">
        <f>IFERROR(INDEX(Salaries[Spread],MATCH(WRmatchups[[#This Row],[Team]],Salaries[Team],0)),"")</f>
        <v>7</v>
      </c>
      <c r="N69" s="424">
        <f>IFERROR(INDEX(WRallowed[DVP],MATCH(WRmatchups[[#This Row],[Opp]],WRallowed[Team],0)),IFERROR(INDEX(WRallowed[DVP],MATCH(WRmatchups[[#This Row],[Opp]],WRallowed[Opp],0)),""))</f>
        <v>12</v>
      </c>
      <c r="O69" s="17">
        <f>IFERROR(INDEX(YAtCData[YAtC],MATCH(WRmatchups[[#This Row],[Name]],YAtCData[Player],0)),"0")</f>
        <v>105</v>
      </c>
      <c r="P69" s="497">
        <f>IFERROR(INDEX(YAtCData[YAtC/Rec],MATCH(WRmatchups[[#This Row],[Name]],YAtCData[Player],0)),"0")</f>
        <v>13.13</v>
      </c>
      <c r="Q69" s="17">
        <f>IFERROR(INDEX(YAtCData[YAC],MATCH(WRmatchups[[#This Row],[Name]],YAtCData[Player],0)),"0")</f>
        <v>26</v>
      </c>
      <c r="R69" s="497">
        <f>IFERROR(INDEX(YACDATA[YAC per Reception],MATCH(WRmatchups[[#This Row],[Name]],YACDATA[Player],0)),"0")</f>
        <v>3.3</v>
      </c>
      <c r="S69" s="431">
        <f>AVERAGE(WRmatchups[[#This Row],[Tar1]:[Tar3]])</f>
        <v>5.6</v>
      </c>
      <c r="T69" s="465">
        <f>AVERAGE(WRmatchups[[#This Row],[Rec1]:[Rec3]])</f>
        <v>2.5556666666666668</v>
      </c>
      <c r="U69" s="468">
        <f>SUM(WRmatchups[[#This Row],[Rec4]]/WRmatchups[[#This Row],[Targets2]])</f>
        <v>0.45636904761904767</v>
      </c>
      <c r="V69" s="417">
        <f>AVERAGE(WRmatchups[[#This Row],[Yards1]:[Yards3]])</f>
        <v>36.773333333333333</v>
      </c>
      <c r="W69" s="461">
        <f>SUM(WRmatchups[[#This Row],[Yards]]/WRmatchups[[#This Row],[Targets2]])</f>
        <v>6.5666666666666673</v>
      </c>
      <c r="X69" s="32">
        <f>AVERAGE(WRmatchups[[#This Row],[TD1]:[TD3]])</f>
        <v>0.31</v>
      </c>
      <c r="Y69" s="14">
        <f>_xlfn.RANK.EQ(WRmatchups[[#This Row],[Projection]],WRmatchups[Projection],0)</f>
        <v>59</v>
      </c>
      <c r="Z69" s="45">
        <f>SUM(WRmatchups[[#This Row],[Yards]]*0.1)+(WRmatchups[[#This Row],[RecTD5]]*6)+(WRmatchups[[#This Row],[Rec4]]*1)+(WRmatchups[[#This Row],[100+]])</f>
        <v>8.093</v>
      </c>
      <c r="AA69" s="346">
        <f>_xlfn.RANK.EQ(WRmatchups[[#This Row],[$/FP]],WRmatchups[$/FP],1)</f>
        <v>47</v>
      </c>
      <c r="AB69" s="199">
        <f>SUM(WRmatchups[[#This Row],[Salary]]/WRmatchups[[#This Row],[Projection]])</f>
        <v>432.4725071049055</v>
      </c>
      <c r="AC69" s="316">
        <f>_xlfn.RANK.EQ(WRmatchups[[#This Row],[Average]],WRmatchups[Average],1)</f>
        <v>59</v>
      </c>
      <c r="AD69" s="316">
        <f>AVERAGE(WRmatchups[[#This Row],[Proj Rank]],WRmatchups[[#This Row],[Value Rank]])</f>
        <v>53</v>
      </c>
      <c r="AE69" s="214">
        <f>WRmatchups[[#This Row],[Salary]]/50000</f>
        <v>7.0000000000000007E-2</v>
      </c>
      <c r="AF69" s="214"/>
      <c r="AG69" s="14">
        <f>IFERROR(INDEX(WRstats3[Targets],MATCH(WRmatchups[[#This Row],[Name]],WRstats3[Player],0)),"0")</f>
        <v>5.6</v>
      </c>
      <c r="AH69" s="14" t="str">
        <f>IFERROR(INDEX(WRstats2[Targets],MATCH(WRmatchups[[#This Row],[Name]],WRstats2[Player],0)),"0")</f>
        <v>0</v>
      </c>
      <c r="AI69" s="14">
        <f>IFERROR(INDEX(WRstats3[Targets],MATCH(WRmatchups[[#This Row],[Name]],WRstats3[Player],0)),"0")</f>
        <v>5.6</v>
      </c>
      <c r="AJ69" s="14">
        <f>IFERROR(INDEX(WRstats1[Rec],MATCH(WRmatchups[[#This Row],[Name]],WRstats1[Player],0)),"0")</f>
        <v>2.367</v>
      </c>
      <c r="AK69" s="14">
        <f>IFERROR(INDEX(WRstats2[Rec],MATCH(WRmatchups[[#This Row],[Name]],WRstats2[Player],0)),"0")</f>
        <v>1.9</v>
      </c>
      <c r="AL69" s="14">
        <f>IFERROR(INDEX(WRstats3[Rec],MATCH(WRmatchups[[#This Row],[Name]],WRstats3[Player],0)),"0")</f>
        <v>3.4</v>
      </c>
      <c r="AM69" s="32" t="str">
        <f>IFERROR(INDEX(WRallowed[Rec],MATCH(WRmatchups[[#This Row],[Opp]],WRallowed[Team],0)),"0")</f>
        <v>0</v>
      </c>
      <c r="AN69" s="14">
        <f>IFERROR(INDEX(WRstats1[Rec Yds],MATCH(WRmatchups[[#This Row],[Name]],WRstats1[Player],0)),"0")</f>
        <v>40.22</v>
      </c>
      <c r="AO69" s="14">
        <f>IFERROR(INDEX(WRstats2[RecYards],MATCH(WRmatchups[[#This Row],[Name]],WRstats2[Player],0)),"0")</f>
        <v>27.3</v>
      </c>
      <c r="AP69" s="14">
        <f>IFERROR(INDEX(WRstats3[RecYards],MATCH(WRmatchups[[#This Row],[Name]],WRstats3[Player],0)),"0")</f>
        <v>42.8</v>
      </c>
      <c r="AQ69" s="32" t="str">
        <f>IFERROR(INDEX(WRallowed[Yard],MATCH(WRmatchups[[#This Row],[Opp]],WRallowed[Team],0)),"0")</f>
        <v>0</v>
      </c>
      <c r="AR69" s="14">
        <f>IFERROR(INDEX(WRstats1[Rec TD],MATCH(WRmatchups[[#This Row],[Name]],WRstats1[Player],0)),"0")</f>
        <v>0.32</v>
      </c>
      <c r="AS69" s="14" t="str">
        <f>IFERROR(INDEX(WRstats2[RecTD],MATCH(WRmatchups[[#This Row],[Name]],WRstats2[Player],0)),"0")</f>
        <v>0.2</v>
      </c>
      <c r="AT69" s="14">
        <f>IFERROR(INDEX(WRstats3[RecTD],MATCH(WRmatchups[[#This Row],[Name]],WRstats3[Player],0)),"0")</f>
        <v>0.3</v>
      </c>
      <c r="AU69" s="32">
        <f>IFERROR(INDEX(WRallowed[TD],MATCH(WRmatchups[[#This Row],[Opp]],WRallowed[Team],0)),"0")*0.5</f>
        <v>0</v>
      </c>
      <c r="AV69" s="14" t="str">
        <f>IFERROR(INDEX(WRstats2[RushAtt],MATCH(WRmatchups[[#This Row],[Name]],WRstats2[Player],0)),"0")</f>
        <v>0.2</v>
      </c>
      <c r="AW69" s="14">
        <f>IFERROR(INDEX(WRstats3[RushATT],MATCH(WRmatchups[[#This Row],[Name]],WRstats3[Player],0)),"0")</f>
        <v>0</v>
      </c>
      <c r="AX69" s="14" t="str">
        <f>IFERROR(INDEX(WRstats2[RushYards],MATCH(WRmatchups[[#This Row],[Name]],WRstats2[Player],0)),"0")</f>
        <v>0</v>
      </c>
      <c r="AY69" s="14">
        <f>IFERROR(INDEX(WRstats3[RushYards],MATCH(WRmatchups[[#This Row],[Name]],WRstats3[Player],0)),"0")</f>
        <v>0</v>
      </c>
      <c r="AZ69" s="14" t="str">
        <f>IFERROR(INDEX(WRstats2[RushTD],MATCH(WRmatchups[[#This Row],[Name]],WRstats2[Player],0)),"0")</f>
        <v>0</v>
      </c>
      <c r="BA69" s="14">
        <f>IFERROR(INDEX(WRstats3[RushTD],MATCH(WRmatchups[[#This Row],[Name]],WRstats3[Player],0)),"0")</f>
        <v>0</v>
      </c>
      <c r="BB69" s="264">
        <f>IF(WRmatchups[[#This Row],[Yards]]&gt;=100,3,0)</f>
        <v>0</v>
      </c>
      <c r="BC69" s="191" t="str">
        <f>IFERROR(INDEX(#REF!,MATCH(WRmatchups[Name],#REF!,0)),"0")</f>
        <v>0</v>
      </c>
      <c r="BD69" s="494">
        <f>WRmatchups[[#This Row],[Targets]]/WRmatchups[[#This Row],[Salary]]*100</f>
        <v>0.48571428571428565</v>
      </c>
    </row>
    <row r="70" spans="1:56" ht="15" thickBot="1" x14ac:dyDescent="0.35">
      <c r="A70" s="37">
        <f>WRstats1!AL81</f>
        <v>5</v>
      </c>
      <c r="B70" s="5" t="str">
        <f>WRstats1!D81</f>
        <v>Rishard Matthews</v>
      </c>
      <c r="C70" s="172">
        <f>IFERROR(INDEX(Salaries[DraftKings (Price)],MATCH(WRmatchups[[#This Row],[Name]],Salaries[Player],0)),"")</f>
        <v>3100</v>
      </c>
      <c r="D70" s="172">
        <f>IFERROR(INDEX(DK_Salary_Changes[WeekChange],MATCH(WRmatchups[[#This Row],[Name]],DK_Salary_Changes[Player],0)),"")</f>
        <v>-200</v>
      </c>
      <c r="E70" s="14" t="str">
        <f>IFERROR(INDEX(Salaries[Team],MATCH(WRmatchups[[#This Row],[Name]],Salaries[Player],0)),"")</f>
        <v>TEN</v>
      </c>
      <c r="F70" s="460" t="str">
        <f>IFERROR(INDEX(Salaries[Opp],MATCH(WRmatchups[[#This Row],[Team]],Salaries[Team],0)),"")</f>
        <v>@HOU</v>
      </c>
      <c r="G70" s="476" t="str">
        <f>IFERROR(INDEX(WRYTD[Rec],MATCH(WRmatchups[Name],WRYTD[Player],0)),"0")</f>
        <v>0</v>
      </c>
      <c r="H70" s="458">
        <f>IFERROR(INDEX(targettracker54[TTL],MATCH(WRmatchups[Name],targettracker54[Name],0)),"")</f>
        <v>18</v>
      </c>
      <c r="I70" s="475" t="str">
        <f>IFERROR(INDEX(WRYTD[Rec Yds],MATCH(WRmatchups[Name],WRYTD[Player],0)),"0")</f>
        <v>0</v>
      </c>
      <c r="J70" s="477" t="str">
        <f>IFERROR(INDEX(WRYTD[Rec TD],MATCH(WRmatchups[Name],WRYTD[Player],0)),"0")</f>
        <v>0</v>
      </c>
      <c r="K70" s="473">
        <f>IFERROR(INDEX(Salaries[O/U],MATCH(WRmatchups[[#This Row],[Team]],Salaries[Team],0)),"")</f>
        <v>40.5</v>
      </c>
      <c r="L70" s="32">
        <f>IFERROR(INDEX(Salaries[Team O/U],MATCH(WRmatchups[[#This Row],[Team]],Salaries[Team],0)),"")</f>
        <v>17</v>
      </c>
      <c r="M70" s="417">
        <f>IFERROR(INDEX(Salaries[Spread],MATCH(WRmatchups[[#This Row],[Team]],Salaries[Team],0)),"")</f>
        <v>6.5</v>
      </c>
      <c r="N70" s="424">
        <f>IFERROR(INDEX(WRallowed[DVP],MATCH(WRmatchups[[#This Row],[Opp]],WRallowed[Team],0)),IFERROR(INDEX(WRallowed[DVP],MATCH(WRmatchups[[#This Row],[Opp]],WRallowed[Opp],0)),""))</f>
        <v>6</v>
      </c>
      <c r="O70" s="17">
        <f>IFERROR(INDEX(YAtCData[YAtC],MATCH(WRmatchups[[#This Row],[Name]],YAtCData[Player],0)),"0")</f>
        <v>82</v>
      </c>
      <c r="P70" s="497">
        <f>IFERROR(INDEX(YAtCData[YAtC/Rec],MATCH(WRmatchups[[#This Row],[Name]],YAtCData[Player],0)),"0")</f>
        <v>8.1999999999999993</v>
      </c>
      <c r="Q70" s="17">
        <f>IFERROR(INDEX(YAtCData[YAC],MATCH(WRmatchups[[#This Row],[Name]],YAtCData[Player],0)),"0")</f>
        <v>16</v>
      </c>
      <c r="R70" s="497">
        <f>IFERROR(INDEX(YACDATA[YAC per Reception],MATCH(WRmatchups[[#This Row],[Name]],YACDATA[Player],0)),"0")</f>
        <v>1.6</v>
      </c>
      <c r="S70" s="431">
        <f>AVERAGE(WRmatchups[[#This Row],[Tar1]:[Tar3]])</f>
        <v>5.7</v>
      </c>
      <c r="T70" s="465">
        <f>AVERAGE(WRmatchups[[#This Row],[Rec1]:[Rec3]])</f>
        <v>3.0876666666666668</v>
      </c>
      <c r="U70" s="468">
        <f>SUM(WRmatchups[[#This Row],[Rec4]]/WRmatchups[[#This Row],[Targets2]])</f>
        <v>0.54169590643274856</v>
      </c>
      <c r="V70" s="417">
        <f>AVERAGE(WRmatchups[[#This Row],[Yards1]:[Yards3]])</f>
        <v>36.401999999999994</v>
      </c>
      <c r="W70" s="461">
        <f>SUM(WRmatchups[[#This Row],[Yards]]/WRmatchups[[#This Row],[Targets2]])</f>
        <v>6.3863157894736826</v>
      </c>
      <c r="X70" s="32">
        <f>AVERAGE(WRmatchups[[#This Row],[TD1]:[TD3]])</f>
        <v>0.22349999999999998</v>
      </c>
      <c r="Y70" s="14">
        <f>_xlfn.RANK.EQ(WRmatchups[[#This Row],[Projection]],WRmatchups[Projection],0)</f>
        <v>60</v>
      </c>
      <c r="Z70" s="45">
        <f>SUM(WRmatchups[[#This Row],[Yards]]*0.1)+(WRmatchups[[#This Row],[RecTD5]]*6)+(WRmatchups[[#This Row],[Rec4]]*1)+(WRmatchups[[#This Row],[100+]])</f>
        <v>8.0688666666666666</v>
      </c>
      <c r="AA70" s="346">
        <f>_xlfn.RANK.EQ(WRmatchups[[#This Row],[$/FP]],WRmatchups[$/FP],1)</f>
        <v>17</v>
      </c>
      <c r="AB70" s="199">
        <f>SUM(WRmatchups[[#This Row],[Salary]]/WRmatchups[[#This Row],[Projection]])</f>
        <v>384.19274082275081</v>
      </c>
      <c r="AC70" s="316">
        <f>_xlfn.RANK.EQ(WRmatchups[[#This Row],[Average]],WRmatchups[Average],1)</f>
        <v>37</v>
      </c>
      <c r="AD70" s="316">
        <f>AVERAGE(WRmatchups[[#This Row],[Proj Rank]],WRmatchups[[#This Row],[Value Rank]])</f>
        <v>38.5</v>
      </c>
      <c r="AE70" s="214">
        <f>WRmatchups[[#This Row],[Salary]]/50000</f>
        <v>6.2E-2</v>
      </c>
      <c r="AF70" s="214"/>
      <c r="AG70" s="14">
        <f>IFERROR(INDEX(WRstats3[Targets],MATCH(WRmatchups[[#This Row],[Name]],WRstats3[Player],0)),"0")</f>
        <v>5.7</v>
      </c>
      <c r="AH70" s="14" t="str">
        <f>IFERROR(INDEX(WRstats2[Targets],MATCH(WRmatchups[[#This Row],[Name]],WRstats2[Player],0)),"0")</f>
        <v>0</v>
      </c>
      <c r="AI70" s="14">
        <f>IFERROR(INDEX(WRstats3[Targets],MATCH(WRmatchups[[#This Row],[Name]],WRstats3[Player],0)),"0")</f>
        <v>5.7</v>
      </c>
      <c r="AJ70" s="14">
        <f>IFERROR(INDEX(WRstats1[Rec],MATCH(WRmatchups[[#This Row],[Name]],WRstats1[Player],0)),"0")</f>
        <v>2.6629999999999998</v>
      </c>
      <c r="AK70" s="14">
        <f>IFERROR(INDEX(WRstats2[Rec],MATCH(WRmatchups[[#This Row],[Name]],WRstats2[Player],0)),"0")</f>
        <v>2.4</v>
      </c>
      <c r="AL70" s="14">
        <f>IFERROR(INDEX(WRstats3[Rec],MATCH(WRmatchups[[#This Row],[Name]],WRstats3[Player],0)),"0")</f>
        <v>4.2</v>
      </c>
      <c r="AM70" s="32" t="str">
        <f>IFERROR(INDEX(WRallowed[Rec],MATCH(WRmatchups[[#This Row],[Opp]],WRallowed[Team],0)),"0")</f>
        <v>0</v>
      </c>
      <c r="AN70" s="14">
        <f>IFERROR(INDEX(WRstats1[Rec Yds],MATCH(WRmatchups[[#This Row],[Name]],WRstats1[Player],0)),"0")</f>
        <v>28.006</v>
      </c>
      <c r="AO70" s="14">
        <f>IFERROR(INDEX(WRstats2[RecYards],MATCH(WRmatchups[[#This Row],[Name]],WRstats2[Player],0)),"0")</f>
        <v>27.8</v>
      </c>
      <c r="AP70" s="14">
        <f>IFERROR(INDEX(WRstats3[RecYards],MATCH(WRmatchups[[#This Row],[Name]],WRstats3[Player],0)),"0")</f>
        <v>53.4</v>
      </c>
      <c r="AQ70" s="32" t="str">
        <f>IFERROR(INDEX(WRallowed[Yard],MATCH(WRmatchups[[#This Row],[Opp]],WRallowed[Team],0)),"0")</f>
        <v>0</v>
      </c>
      <c r="AR70" s="14">
        <f>IFERROR(INDEX(WRstats1[Rec TD],MATCH(WRmatchups[[#This Row],[Name]],WRstats1[Player],0)),"0")</f>
        <v>0.14699999999999999</v>
      </c>
      <c r="AS70" s="14" t="str">
        <f>IFERROR(INDEX(WRstats2[RecTD],MATCH(WRmatchups[[#This Row],[Name]],WRstats2[Player],0)),"0")</f>
        <v>0.1</v>
      </c>
      <c r="AT70" s="14">
        <f>IFERROR(INDEX(WRstats3[RecTD],MATCH(WRmatchups[[#This Row],[Name]],WRstats3[Player],0)),"0")</f>
        <v>0.3</v>
      </c>
      <c r="AU70" s="32">
        <f>IFERROR(INDEX(WRallowed[TD],MATCH(WRmatchups[[#This Row],[Opp]],WRallowed[Team],0)),"0")*0.5</f>
        <v>0</v>
      </c>
      <c r="AV70" s="14" t="str">
        <f>IFERROR(INDEX(WRstats2[RushAtt],MATCH(WRmatchups[[#This Row],[Name]],WRstats2[Player],0)),"0")</f>
        <v>0.1</v>
      </c>
      <c r="AW70" s="14">
        <f>IFERROR(INDEX(WRstats3[RushATT],MATCH(WRmatchups[[#This Row],[Name]],WRstats3[Player],0)),"0")</f>
        <v>0</v>
      </c>
      <c r="AX70" s="14">
        <f>IFERROR(INDEX(WRstats2[RushYards],MATCH(WRmatchups[[#This Row],[Name]],WRstats2[Player],0)),"0")</f>
        <v>0</v>
      </c>
      <c r="AY70" s="14">
        <f>IFERROR(INDEX(WRstats3[RushYards],MATCH(WRmatchups[[#This Row],[Name]],WRstats3[Player],0)),"0")</f>
        <v>0</v>
      </c>
      <c r="AZ70" s="14" t="str">
        <f>IFERROR(INDEX(WRstats2[RushTD],MATCH(WRmatchups[[#This Row],[Name]],WRstats2[Player],0)),"0")</f>
        <v>0</v>
      </c>
      <c r="BA70" s="14">
        <f>IFERROR(INDEX(WRstats3[RushTD],MATCH(WRmatchups[[#This Row],[Name]],WRstats3[Player],0)),"0")</f>
        <v>0</v>
      </c>
      <c r="BB70" s="264">
        <f>IF(WRmatchups[[#This Row],[Yards]]&gt;=100,3,0)</f>
        <v>0</v>
      </c>
      <c r="BC70" s="191" t="str">
        <f>IFERROR(INDEX(#REF!,MATCH(WRmatchups[Name],#REF!,0)),"0")</f>
        <v>0</v>
      </c>
      <c r="BD70" s="494">
        <f>WRmatchups[[#This Row],[Targets]]/WRmatchups[[#This Row],[Salary]]*100</f>
        <v>0.58064516129032262</v>
      </c>
    </row>
    <row r="71" spans="1:56" ht="15" thickBot="1" x14ac:dyDescent="0.35">
      <c r="A71" s="37">
        <f>WRstats1!AL74</f>
        <v>6.3</v>
      </c>
      <c r="B71" s="5" t="str">
        <f>WRstats1!D74</f>
        <v>Tyler Boyd</v>
      </c>
      <c r="C71" s="172">
        <f>IFERROR(INDEX(Salaries[DraftKings (Price)],MATCH(WRmatchups[[#This Row],[Name]],Salaries[Player],0)),"")</f>
        <v>3400</v>
      </c>
      <c r="D71" s="172">
        <f>IFERROR(INDEX(DK_Salary_Changes[WeekChange],MATCH(WRmatchups[[#This Row],[Name]],DK_Salary_Changes[Player],0)),"")</f>
        <v>-100</v>
      </c>
      <c r="E71" s="14" t="str">
        <f>IFERROR(INDEX(Salaries[Team],MATCH(WRmatchups[[#This Row],[Name]],Salaries[Player],0)),"")</f>
        <v>CIN</v>
      </c>
      <c r="F71" s="460" t="str">
        <f>IFERROR(INDEX(Salaries[Opp],MATCH(WRmatchups[[#This Row],[Team]],Salaries[Team],0)),"")</f>
        <v>MIA</v>
      </c>
      <c r="G71" s="476">
        <f>IFERROR(INDEX(WRYTD[Rec],MATCH(WRmatchups[Name],WRYTD[Player],0)),"0")</f>
        <v>11</v>
      </c>
      <c r="H71" s="458">
        <f>IFERROR(INDEX(targettracker54[TTL],MATCH(WRmatchups[Name],targettracker54[Name],0)),"")</f>
        <v>15</v>
      </c>
      <c r="I71" s="475">
        <f>IFERROR(INDEX(WRYTD[Rec Yds],MATCH(WRmatchups[Name],WRYTD[Player],0)),"0")</f>
        <v>120</v>
      </c>
      <c r="J71" s="477">
        <f>IFERROR(INDEX(WRYTD[Rec TD],MATCH(WRmatchups[Name],WRYTD[Player],0)),"0")</f>
        <v>0</v>
      </c>
      <c r="K71" s="473">
        <f>IFERROR(INDEX(Salaries[O/U],MATCH(WRmatchups[[#This Row],[Team]],Salaries[Team],0)),"")</f>
        <v>44.5</v>
      </c>
      <c r="L71" s="32">
        <f>IFERROR(INDEX(Salaries[Team O/U],MATCH(WRmatchups[[#This Row],[Team]],Salaries[Team],0)),"")</f>
        <v>25.75</v>
      </c>
      <c r="M71" s="417">
        <f>IFERROR(INDEX(Salaries[Spread],MATCH(WRmatchups[[#This Row],[Team]],Salaries[Team],0)),"")</f>
        <v>-7</v>
      </c>
      <c r="N71" s="424">
        <f>IFERROR(INDEX(WRallowed[DVP],MATCH(WRmatchups[[#This Row],[Opp]],WRallowed[Team],0)),IFERROR(INDEX(WRallowed[DVP],MATCH(WRmatchups[[#This Row],[Opp]],WRallowed[Opp],0)),""))</f>
        <v>19</v>
      </c>
      <c r="O71" s="17">
        <f>IFERROR(INDEX(YAtCData[YAtC],MATCH(WRmatchups[[#This Row],[Name]],YAtCData[Player],0)),"0")</f>
        <v>82</v>
      </c>
      <c r="P71" s="497">
        <f>IFERROR(INDEX(YAtCData[YAtC/Rec],MATCH(WRmatchups[[#This Row],[Name]],YAtCData[Player],0)),"0")</f>
        <v>7.45</v>
      </c>
      <c r="Q71" s="17">
        <f>IFERROR(INDEX(YAtCData[YAC],MATCH(WRmatchups[[#This Row],[Name]],YAtCData[Player],0)),"0")</f>
        <v>38</v>
      </c>
      <c r="R71" s="497">
        <f>IFERROR(INDEX(YACDATA[YAC per Reception],MATCH(WRmatchups[[#This Row],[Name]],YACDATA[Player],0)),"0")</f>
        <v>3.5</v>
      </c>
      <c r="S71" s="431">
        <f>AVERAGE(WRmatchups[[#This Row],[Tar1]:[Tar3]])</f>
        <v>4.3</v>
      </c>
      <c r="T71" s="465">
        <f>AVERAGE(WRmatchups[[#This Row],[Rec1]:[Rec3]])</f>
        <v>2.9629999999999996</v>
      </c>
      <c r="U71" s="468">
        <f>SUM(WRmatchups[[#This Row],[Rec4]]/WRmatchups[[#This Row],[Targets2]])</f>
        <v>0.68906976744186044</v>
      </c>
      <c r="V71" s="417">
        <f>AVERAGE(WRmatchups[[#This Row],[Yards1]:[Yards3]])</f>
        <v>36.128999999999998</v>
      </c>
      <c r="W71" s="461">
        <f>SUM(WRmatchups[[#This Row],[Yards]]/WRmatchups[[#This Row],[Targets2]])</f>
        <v>8.402093023255814</v>
      </c>
      <c r="X71" s="32">
        <f>AVERAGE(WRmatchups[[#This Row],[TD1]:[TD3]])</f>
        <v>0.23099999999999998</v>
      </c>
      <c r="Y71" s="14">
        <f>_xlfn.RANK.EQ(WRmatchups[[#This Row],[Projection]],WRmatchups[Projection],0)</f>
        <v>61</v>
      </c>
      <c r="Z71" s="45">
        <f>SUM(WRmatchups[[#This Row],[Yards]]*0.1)+(WRmatchups[[#This Row],[RecTD5]]*6)+(WRmatchups[[#This Row],[Rec4]]*1)+(WRmatchups[[#This Row],[100+]])</f>
        <v>7.9619</v>
      </c>
      <c r="AA71" s="346">
        <f>_xlfn.RANK.EQ(WRmatchups[[#This Row],[$/FP]],WRmatchups[$/FP],1)</f>
        <v>42</v>
      </c>
      <c r="AB71" s="199">
        <f>SUM(WRmatchups[[#This Row],[Salary]]/WRmatchups[[#This Row],[Projection]])</f>
        <v>427.03374822592599</v>
      </c>
      <c r="AC71" s="316">
        <f>_xlfn.RANK.EQ(WRmatchups[[#This Row],[Average]],WRmatchups[Average],1)</f>
        <v>57</v>
      </c>
      <c r="AD71" s="316">
        <f>AVERAGE(WRmatchups[[#This Row],[Proj Rank]],WRmatchups[[#This Row],[Value Rank]])</f>
        <v>51.5</v>
      </c>
      <c r="AE71" s="214">
        <f>WRmatchups[[#This Row],[Salary]]/50000</f>
        <v>6.8000000000000005E-2</v>
      </c>
      <c r="AF71" s="214"/>
      <c r="AG71" s="14">
        <f>IFERROR(INDEX(WRstats3[Targets],MATCH(WRmatchups[[#This Row],[Name]],WRstats3[Player],0)),"0")</f>
        <v>4.3</v>
      </c>
      <c r="AH71" s="14" t="str">
        <f>IFERROR(INDEX(WRstats2[Targets],MATCH(WRmatchups[[#This Row],[Name]],WRstats2[Player],0)),"0")</f>
        <v>0</v>
      </c>
      <c r="AI71" s="14">
        <f>IFERROR(INDEX(WRstats3[Targets],MATCH(WRmatchups[[#This Row],[Name]],WRstats3[Player],0)),"0")</f>
        <v>4.3</v>
      </c>
      <c r="AJ71" s="14">
        <f>IFERROR(INDEX(WRstats1[Rec],MATCH(WRmatchups[[#This Row],[Name]],WRstats1[Player],0)),"0")</f>
        <v>3.4889999999999999</v>
      </c>
      <c r="AK71" s="14">
        <f>IFERROR(INDEX(WRstats2[Rec],MATCH(WRmatchups[[#This Row],[Name]],WRstats2[Player],0)),"0")</f>
        <v>2.8</v>
      </c>
      <c r="AL71" s="14">
        <f>IFERROR(INDEX(WRstats3[Rec],MATCH(WRmatchups[[#This Row],[Name]],WRstats3[Player],0)),"0")</f>
        <v>2.6</v>
      </c>
      <c r="AM71" s="32">
        <f>IFERROR(INDEX(WRallowed[Rec],MATCH(WRmatchups[[#This Row],[Opp]],WRallowed[Team],0)),"0")</f>
        <v>13.25</v>
      </c>
      <c r="AN71" s="14">
        <f>IFERROR(INDEX(WRstats1[Rec Yds],MATCH(WRmatchups[[#This Row],[Name]],WRstats1[Player],0)),"0")</f>
        <v>36.286999999999999</v>
      </c>
      <c r="AO71" s="14">
        <f>IFERROR(INDEX(WRstats2[RecYards],MATCH(WRmatchups[[#This Row],[Name]],WRstats2[Player],0)),"0")</f>
        <v>35.4</v>
      </c>
      <c r="AP71" s="14">
        <f>IFERROR(INDEX(WRstats3[RecYards],MATCH(WRmatchups[[#This Row],[Name]],WRstats3[Player],0)),"0")</f>
        <v>36.700000000000003</v>
      </c>
      <c r="AQ71" s="32">
        <f>IFERROR(INDEX(WRallowed[Yard],MATCH(WRmatchups[[#This Row],[Opp]],WRallowed[Team],0)),"0")</f>
        <v>165.1875</v>
      </c>
      <c r="AR71" s="14">
        <f>IFERROR(INDEX(WRstats1[Rec TD],MATCH(WRmatchups[[#This Row],[Name]],WRstats1[Player],0)),"0")</f>
        <v>0.16200000000000001</v>
      </c>
      <c r="AS71" s="14" t="str">
        <f>IFERROR(INDEX(WRstats2[RecTD],MATCH(WRmatchups[[#This Row],[Name]],WRstats2[Player],0)),"0")</f>
        <v>0.1</v>
      </c>
      <c r="AT71" s="14">
        <f>IFERROR(INDEX(WRstats3[RecTD],MATCH(WRmatchups[[#This Row],[Name]],WRstats3[Player],0)),"0")</f>
        <v>0.3</v>
      </c>
      <c r="AU71" s="32">
        <f>IFERROR(INDEX(WRallowed[TD],MATCH(WRmatchups[[#This Row],[Opp]],WRallowed[Team],0)),"0")*0.5</f>
        <v>0.4375</v>
      </c>
      <c r="AV71" s="14" t="str">
        <f>IFERROR(INDEX(WRstats2[RushAtt],MATCH(WRmatchups[[#This Row],[Name]],WRstats2[Player],0)),"0")</f>
        <v>0.1</v>
      </c>
      <c r="AW71" s="14">
        <f>IFERROR(INDEX(WRstats3[RushATT],MATCH(WRmatchups[[#This Row],[Name]],WRstats3[Player],0)),"0")</f>
        <v>0.3</v>
      </c>
      <c r="AX71" s="14" t="str">
        <f>IFERROR(INDEX(WRstats2[RushYards],MATCH(WRmatchups[[#This Row],[Name]],WRstats2[Player],0)),"0")</f>
        <v>0</v>
      </c>
      <c r="AY71" s="14">
        <f>IFERROR(INDEX(WRstats3[RushYards],MATCH(WRmatchups[[#This Row],[Name]],WRstats3[Player],0)),"0")</f>
        <v>2.1</v>
      </c>
      <c r="AZ71" s="14" t="str">
        <f>IFERROR(INDEX(WRstats2[RushTD],MATCH(WRmatchups[[#This Row],[Name]],WRstats2[Player],0)),"0")</f>
        <v>0</v>
      </c>
      <c r="BA71" s="14">
        <f>IFERROR(INDEX(WRstats3[RushTD],MATCH(WRmatchups[[#This Row],[Name]],WRstats3[Player],0)),"0")</f>
        <v>0</v>
      </c>
      <c r="BB71" s="264">
        <f>IF(WRmatchups[[#This Row],[Yards]]&gt;=100,3,0)</f>
        <v>0</v>
      </c>
      <c r="BC71" s="191" t="str">
        <f>IFERROR(INDEX(#REF!,MATCH(WRmatchups[Name],#REF!,0)),"0")</f>
        <v>0</v>
      </c>
      <c r="BD71" s="494">
        <f>WRmatchups[[#This Row],[Targets]]/WRmatchups[[#This Row],[Salary]]*100</f>
        <v>0.44117647058823528</v>
      </c>
    </row>
    <row r="72" spans="1:56" ht="15" thickBot="1" x14ac:dyDescent="0.35">
      <c r="A72" s="37">
        <f>WRstats1!AL69</f>
        <v>6.4</v>
      </c>
      <c r="B72" s="5" t="str">
        <f>WRstats1!D69</f>
        <v>Dontrelle Inman</v>
      </c>
      <c r="C72" s="172">
        <f>IFERROR(INDEX(Salaries[DraftKings (Price)],MATCH(WRmatchups[[#This Row],[Name]],Salaries[Player],0)),"")</f>
        <v>3300</v>
      </c>
      <c r="D72" s="172">
        <f>IFERROR(INDEX(DK_Salary_Changes[WeekChange],MATCH(WRmatchups[[#This Row],[Name]],DK_Salary_Changes[Player],0)),"")</f>
        <v>-300</v>
      </c>
      <c r="E72" s="14" t="str">
        <f>IFERROR(INDEX(Salaries[Team],MATCH(WRmatchups[[#This Row],[Name]],Salaries[Player],0)),"")</f>
        <v>SD</v>
      </c>
      <c r="F72" s="460" t="str">
        <f>IFERROR(INDEX(Salaries[Opp],MATCH(WRmatchups[[#This Row],[Team]],Salaries[Team],0)),"")</f>
        <v>NO</v>
      </c>
      <c r="G72" s="476" t="str">
        <f>IFERROR(INDEX(WRYTD[Rec],MATCH(WRmatchups[Name],WRYTD[Player],0)),"0")</f>
        <v>0</v>
      </c>
      <c r="H72" s="458">
        <f>IFERROR(INDEX(targettracker54[TTL],MATCH(WRmatchups[Name],targettracker54[Name],0)),"")</f>
        <v>10</v>
      </c>
      <c r="I72" s="475" t="str">
        <f>IFERROR(INDEX(WRYTD[Rec Yds],MATCH(WRmatchups[Name],WRYTD[Player],0)),"0")</f>
        <v>0</v>
      </c>
      <c r="J72" s="477" t="str">
        <f>IFERROR(INDEX(WRYTD[Rec TD],MATCH(WRmatchups[Name],WRYTD[Player],0)),"0")</f>
        <v>0</v>
      </c>
      <c r="K72" s="473">
        <f>IFERROR(INDEX(Salaries[O/U],MATCH(WRmatchups[[#This Row],[Team]],Salaries[Team],0)),"")</f>
        <v>53.5</v>
      </c>
      <c r="L72" s="32">
        <f>IFERROR(INDEX(Salaries[Team O/U],MATCH(WRmatchups[[#This Row],[Team]],Salaries[Team],0)),"")</f>
        <v>28.75</v>
      </c>
      <c r="M72" s="417">
        <f>IFERROR(INDEX(Salaries[Spread],MATCH(WRmatchups[[#This Row],[Team]],Salaries[Team],0)),"")</f>
        <v>-4</v>
      </c>
      <c r="N72" s="424">
        <f>IFERROR(INDEX(WRallowed[DVP],MATCH(WRmatchups[[#This Row],[Opp]],WRallowed[Team],0)),IFERROR(INDEX(WRallowed[DVP],MATCH(WRmatchups[[#This Row],[Opp]],WRallowed[Opp],0)),""))</f>
        <v>27</v>
      </c>
      <c r="O72" s="17">
        <f>IFERROR(INDEX(YAtCData[YAtC],MATCH(WRmatchups[[#This Row],[Name]],YAtCData[Player],0)),"0")</f>
        <v>31</v>
      </c>
      <c r="P72" s="497">
        <f>IFERROR(INDEX(YAtCData[YAtC/Rec],MATCH(WRmatchups[[#This Row],[Name]],YAtCData[Player],0)),"0")</f>
        <v>6.2</v>
      </c>
      <c r="Q72" s="17">
        <f>IFERROR(INDEX(YAtCData[YAC],MATCH(WRmatchups[[#This Row],[Name]],YAtCData[Player],0)),"0")</f>
        <v>14</v>
      </c>
      <c r="R72" s="497">
        <f>IFERROR(INDEX(YACDATA[YAC per Reception],MATCH(WRmatchups[[#This Row],[Name]],YACDATA[Player],0)),"0")</f>
        <v>2.8</v>
      </c>
      <c r="S72" s="418">
        <f>AVERAGE(WRmatchups[[#This Row],[Tar1]:[Tar3]])</f>
        <v>5.0999999999999996</v>
      </c>
      <c r="T72" s="464">
        <f>AVERAGE(WRmatchups[[#This Row],[Rec1]:[Rec3]])</f>
        <v>2.64</v>
      </c>
      <c r="U72" s="468">
        <f>SUM(WRmatchups[[#This Row],[Rec4]]/WRmatchups[[#This Row],[Targets2]])</f>
        <v>0.51764705882352946</v>
      </c>
      <c r="V72" s="417">
        <f>AVERAGE(WRmatchups[[#This Row],[Yards1]:[Yards3]])</f>
        <v>36.25266666666667</v>
      </c>
      <c r="W72" s="461">
        <f>SUM(WRmatchups[[#This Row],[Yards]]/WRmatchups[[#This Row],[Targets2]])</f>
        <v>7.1083660130718966</v>
      </c>
      <c r="X72" s="32">
        <f>AVERAGE(WRmatchups[[#This Row],[TD1]:[TD3]])</f>
        <v>0.26650000000000001</v>
      </c>
      <c r="Y72" s="14">
        <f>_xlfn.RANK.EQ(WRmatchups[[#This Row],[Projection]],WRmatchups[Projection],0)</f>
        <v>62</v>
      </c>
      <c r="Z72" s="19">
        <f>SUM(WRmatchups[[#This Row],[Yards]]*0.1)+(WRmatchups[[#This Row],[RecTD5]]*6)+(WRmatchups[[#This Row],[Rec4]]*1)+(WRmatchups[[#This Row],[100+]])</f>
        <v>7.8642666666666674</v>
      </c>
      <c r="AA72" s="8">
        <f>_xlfn.RANK.EQ(WRmatchups[[#This Row],[$/FP]],WRmatchups[$/FP],1)</f>
        <v>36</v>
      </c>
      <c r="AB72" s="23">
        <f>SUM(WRmatchups[[#This Row],[Salary]]/WRmatchups[[#This Row],[Projection]])</f>
        <v>419.61954494591566</v>
      </c>
      <c r="AC72" s="241">
        <f>_xlfn.RANK.EQ(WRmatchups[[#This Row],[Average]],WRmatchups[Average],1)</f>
        <v>51</v>
      </c>
      <c r="AD72" s="241">
        <f>AVERAGE(WRmatchups[[#This Row],[Proj Rank]],WRmatchups[[#This Row],[Value Rank]])</f>
        <v>49</v>
      </c>
      <c r="AE72" s="210">
        <f>WRmatchups[[#This Row],[Salary]]/50000</f>
        <v>6.6000000000000003E-2</v>
      </c>
      <c r="AF72" s="214"/>
      <c r="AG72" s="14">
        <f>IFERROR(INDEX(WRstats3[Targets],MATCH(WRmatchups[[#This Row],[Name]],WRstats3[Player],0)),"0")</f>
        <v>5.0999999999999996</v>
      </c>
      <c r="AH72" s="14" t="str">
        <f>IFERROR(INDEX(WRstats2[Targets],MATCH(WRmatchups[[#This Row],[Name]],WRstats2[Player],0)),"0")</f>
        <v>0</v>
      </c>
      <c r="AI72" s="14">
        <f>IFERROR(INDEX(WRstats3[Targets],MATCH(WRmatchups[[#This Row],[Name]],WRstats3[Player],0)),"0")</f>
        <v>5.0999999999999996</v>
      </c>
      <c r="AJ72" s="14">
        <f>IFERROR(INDEX(WRstats1[Rec],MATCH(WRmatchups[[#This Row],[Name]],WRstats1[Player],0)),"0")</f>
        <v>3.02</v>
      </c>
      <c r="AK72" s="14">
        <f>IFERROR(INDEX(WRstats2[Rec],MATCH(WRmatchups[[#This Row],[Name]],WRstats2[Player],0)),"0")</f>
        <v>2</v>
      </c>
      <c r="AL72" s="14">
        <f>IFERROR(INDEX(WRstats3[Rec],MATCH(WRmatchups[[#This Row],[Name]],WRstats3[Player],0)),"0")</f>
        <v>2.9</v>
      </c>
      <c r="AM72" s="32">
        <f>IFERROR(INDEX(WRallowed[Rec],MATCH(WRmatchups[[#This Row],[Opp]],WRallowed[Team],0)),"0")</f>
        <v>13.25</v>
      </c>
      <c r="AN72" s="14">
        <f>IFERROR(INDEX(WRstats1[Rec Yds],MATCH(WRmatchups[[#This Row],[Name]],WRstats1[Player],0)),"0")</f>
        <v>34.857999999999997</v>
      </c>
      <c r="AO72" s="14">
        <f>IFERROR(INDEX(WRstats2[RecYards],MATCH(WRmatchups[[#This Row],[Name]],WRstats2[Player],0)),"0")</f>
        <v>30.3</v>
      </c>
      <c r="AP72" s="14">
        <f>IFERROR(INDEX(WRstats3[RecYards],MATCH(WRmatchups[[#This Row],[Name]],WRstats3[Player],0)),"0")</f>
        <v>43.6</v>
      </c>
      <c r="AQ72" s="32">
        <f>IFERROR(INDEX(WRallowed[Yard],MATCH(WRmatchups[[#This Row],[Opp]],WRallowed[Team],0)),"0")</f>
        <v>153.5</v>
      </c>
      <c r="AR72" s="14">
        <f>IFERROR(INDEX(WRstats1[Rec TD],MATCH(WRmatchups[[#This Row],[Name]],WRstats1[Player],0)),"0")</f>
        <v>0.23300000000000001</v>
      </c>
      <c r="AS72" s="14" t="str">
        <f>IFERROR(INDEX(WRstats2[RecTD],MATCH(WRmatchups[[#This Row],[Name]],WRstats2[Player],0)),"0")</f>
        <v>0.2</v>
      </c>
      <c r="AT72" s="14">
        <f>IFERROR(INDEX(WRstats3[RecTD],MATCH(WRmatchups[[#This Row],[Name]],WRstats3[Player],0)),"0")</f>
        <v>0.3</v>
      </c>
      <c r="AU72" s="32">
        <f>IFERROR(INDEX(WRallowed[TD],MATCH(WRmatchups[[#This Row],[Opp]],WRallowed[Team],0)),"0")*0.5</f>
        <v>0.375</v>
      </c>
      <c r="AV72" s="14" t="str">
        <f>IFERROR(INDEX(WRstats2[RushAtt],MATCH(WRmatchups[[#This Row],[Name]],WRstats2[Player],0)),"0")</f>
        <v>0.2</v>
      </c>
      <c r="AW72" s="14">
        <f>IFERROR(INDEX(WRstats3[RushATT],MATCH(WRmatchups[[#This Row],[Name]],WRstats3[Player],0)),"0")</f>
        <v>0</v>
      </c>
      <c r="AX72" s="14">
        <f>IFERROR(INDEX(WRstats2[RushYards],MATCH(WRmatchups[[#This Row],[Name]],WRstats2[Player],0)),"0")</f>
        <v>0</v>
      </c>
      <c r="AY72" s="14">
        <f>IFERROR(INDEX(WRstats3[RushYards],MATCH(WRmatchups[[#This Row],[Name]],WRstats3[Player],0)),"0")</f>
        <v>0</v>
      </c>
      <c r="AZ72" s="14" t="str">
        <f>IFERROR(INDEX(WRstats2[RushTD],MATCH(WRmatchups[[#This Row],[Name]],WRstats2[Player],0)),"0")</f>
        <v>0</v>
      </c>
      <c r="BA72" s="14">
        <f>IFERROR(INDEX(WRstats3[RushTD],MATCH(WRmatchups[[#This Row],[Name]],WRstats3[Player],0)),"0")</f>
        <v>0</v>
      </c>
      <c r="BB72" s="264">
        <f>IF(WRmatchups[[#This Row],[Yards]]&gt;=100,3,0)</f>
        <v>0</v>
      </c>
      <c r="BC72" s="191" t="str">
        <f>IFERROR(INDEX(#REF!,MATCH(WRmatchups[Name],#REF!,0)),"0")</f>
        <v>0</v>
      </c>
      <c r="BD72" s="494">
        <f>WRmatchups[[#This Row],[Targets]]/WRmatchups[[#This Row],[Salary]]*100</f>
        <v>0.30303030303030304</v>
      </c>
    </row>
    <row r="73" spans="1:56" ht="15" thickBot="1" x14ac:dyDescent="0.35">
      <c r="A73" s="37">
        <f>WRstats1!AL57</f>
        <v>8.1</v>
      </c>
      <c r="B73" s="5" t="str">
        <f>WRstats1!D57</f>
        <v>Adam Thielen</v>
      </c>
      <c r="C73" s="172">
        <f>IFERROR(INDEX(Salaries[DraftKings (Price)],MATCH(WRmatchups[[#This Row],[Name]],Salaries[Player],0)),"")</f>
        <v>3100</v>
      </c>
      <c r="D73" s="172">
        <f>IFERROR(INDEX(DK_Salary_Changes[WeekChange],MATCH(WRmatchups[[#This Row],[Name]],DK_Salary_Changes[Player],0)),"")</f>
        <v>-100</v>
      </c>
      <c r="E73" s="14" t="str">
        <f>IFERROR(INDEX(Salaries[Team],MATCH(WRmatchups[[#This Row],[Name]],Salaries[Player],0)),"")</f>
        <v>MIN</v>
      </c>
      <c r="F73" s="460" t="str">
        <f>IFERROR(INDEX(Salaries[Opp],MATCH(WRmatchups[[#This Row],[Team]],Salaries[Team],0)),"")</f>
        <v>NYG</v>
      </c>
      <c r="G73" s="476">
        <f>IFERROR(INDEX(WRYTD[Rec],MATCH(WRmatchups[Name],WRYTD[Player],0)),"0")</f>
        <v>11</v>
      </c>
      <c r="H73" s="458">
        <f>IFERROR(INDEX(targettracker54[TTL],MATCH(WRmatchups[Name],targettracker54[Name],0)),"")</f>
        <v>14</v>
      </c>
      <c r="I73" s="475">
        <f>IFERROR(INDEX(WRYTD[Rec Yds],MATCH(WRmatchups[Name],WRYTD[Player],0)),"0")</f>
        <v>124</v>
      </c>
      <c r="J73" s="477">
        <f>IFERROR(INDEX(WRYTD[Rec TD],MATCH(WRmatchups[Name],WRYTD[Player],0)),"0")</f>
        <v>0</v>
      </c>
      <c r="K73" s="473">
        <f>IFERROR(INDEX(Salaries[O/U],MATCH(WRmatchups[[#This Row],[Team]],Salaries[Team],0)),"")</f>
        <v>43.5</v>
      </c>
      <c r="L73" s="32">
        <f>IFERROR(INDEX(Salaries[Team O/U],MATCH(WRmatchups[[#This Row],[Team]],Salaries[Team],0)),"")</f>
        <v>23.75</v>
      </c>
      <c r="M73" s="417">
        <f>IFERROR(INDEX(Salaries[Spread],MATCH(WRmatchups[[#This Row],[Team]],Salaries[Team],0)),"")</f>
        <v>-4</v>
      </c>
      <c r="N73" s="424">
        <f>IFERROR(INDEX(WRallowed[DVP],MATCH(WRmatchups[[#This Row],[Opp]],WRallowed[Team],0)),IFERROR(INDEX(WRallowed[DVP],MATCH(WRmatchups[[#This Row],[Opp]],WRallowed[Opp],0)),""))</f>
        <v>21</v>
      </c>
      <c r="O73" s="17">
        <f>IFERROR(INDEX(YAtCData[YAtC],MATCH(WRmatchups[[#This Row],[Name]],YAtCData[Player],0)),"0")</f>
        <v>109</v>
      </c>
      <c r="P73" s="497">
        <f>IFERROR(INDEX(YAtCData[YAtC/Rec],MATCH(WRmatchups[[#This Row],[Name]],YAtCData[Player],0)),"0")</f>
        <v>9.91</v>
      </c>
      <c r="Q73" s="17">
        <f>IFERROR(INDEX(YAtCData[YAC],MATCH(WRmatchups[[#This Row],[Name]],YAtCData[Player],0)),"0")</f>
        <v>15</v>
      </c>
      <c r="R73" s="497">
        <f>IFERROR(INDEX(YACDATA[YAC per Reception],MATCH(WRmatchups[[#This Row],[Name]],YACDATA[Player],0)),"0")</f>
        <v>1.4</v>
      </c>
      <c r="S73" s="418">
        <f>AVERAGE(WRmatchups[[#This Row],[Tar1]:[Tar3]])</f>
        <v>3.1</v>
      </c>
      <c r="T73" s="464">
        <f>AVERAGE(WRmatchups[[#This Row],[Rec1]:[Rec3]])</f>
        <v>3.1163333333333334</v>
      </c>
      <c r="U73" s="468">
        <f>SUM(WRmatchups[[#This Row],[Rec4]]/WRmatchups[[#This Row],[Targets2]])</f>
        <v>1.0052688172043012</v>
      </c>
      <c r="V73" s="417">
        <f>AVERAGE(WRmatchups[[#This Row],[Yards1]:[Yards3]])</f>
        <v>36.19766666666667</v>
      </c>
      <c r="W73" s="461">
        <f>SUM(WRmatchups[[#This Row],[Yards]]/WRmatchups[[#This Row],[Targets2]])</f>
        <v>11.676666666666668</v>
      </c>
      <c r="X73" s="32">
        <f>AVERAGE(WRmatchups[[#This Row],[TD1]:[TD3]])</f>
        <v>0.18049999999999999</v>
      </c>
      <c r="Y73" s="14">
        <f>_xlfn.RANK.EQ(WRmatchups[[#This Row],[Projection]],WRmatchups[Projection],0)</f>
        <v>63</v>
      </c>
      <c r="Z73" s="19">
        <f>SUM(WRmatchups[[#This Row],[Yards]]*0.1)+(WRmatchups[[#This Row],[RecTD5]]*6)+(WRmatchups[[#This Row],[Rec4]]*1)+(WRmatchups[[#This Row],[100+]])</f>
        <v>7.8191000000000006</v>
      </c>
      <c r="AA73" s="8">
        <f>_xlfn.RANK.EQ(WRmatchups[[#This Row],[$/FP]],WRmatchups[$/FP],1)</f>
        <v>21</v>
      </c>
      <c r="AB73" s="23">
        <f>SUM(WRmatchups[[#This Row],[Salary]]/WRmatchups[[#This Row],[Projection]])</f>
        <v>396.46506631197963</v>
      </c>
      <c r="AC73" s="241">
        <f>_xlfn.RANK.EQ(WRmatchups[[#This Row],[Average]],WRmatchups[Average],1)</f>
        <v>41</v>
      </c>
      <c r="AD73" s="241">
        <f>AVERAGE(WRmatchups[[#This Row],[Proj Rank]],WRmatchups[[#This Row],[Value Rank]])</f>
        <v>42</v>
      </c>
      <c r="AE73" s="210">
        <f>WRmatchups[[#This Row],[Salary]]/50000</f>
        <v>6.2E-2</v>
      </c>
      <c r="AF73" s="214"/>
      <c r="AG73" s="14">
        <f>IFERROR(INDEX(WRstats3[Targets],MATCH(WRmatchups[[#This Row],[Name]],WRstats3[Player],0)),"0")</f>
        <v>3.1</v>
      </c>
      <c r="AH73" s="14" t="str">
        <f>IFERROR(INDEX(WRstats2[Targets],MATCH(WRmatchups[[#This Row],[Name]],WRstats2[Player],0)),"0")</f>
        <v>0</v>
      </c>
      <c r="AI73" s="14">
        <f>IFERROR(INDEX(WRstats3[Targets],MATCH(WRmatchups[[#This Row],[Name]],WRstats3[Player],0)),"0")</f>
        <v>3.1</v>
      </c>
      <c r="AJ73" s="14">
        <f>IFERROR(INDEX(WRstats1[Rec],MATCH(WRmatchups[[#This Row],[Name]],WRstats1[Player],0)),"0")</f>
        <v>4.0490000000000004</v>
      </c>
      <c r="AK73" s="14">
        <f>IFERROR(INDEX(WRstats2[Rec],MATCH(WRmatchups[[#This Row],[Name]],WRstats2[Player],0)),"0")</f>
        <v>2.8</v>
      </c>
      <c r="AL73" s="14">
        <f>IFERROR(INDEX(WRstats3[Rec],MATCH(WRmatchups[[#This Row],[Name]],WRstats3[Player],0)),"0")</f>
        <v>2.5</v>
      </c>
      <c r="AM73" s="32">
        <f>IFERROR(INDEX(WRallowed[Rec],MATCH(WRmatchups[[#This Row],[Opp]],WRallowed[Team],0)),"0")</f>
        <v>11.0625</v>
      </c>
      <c r="AN73" s="14">
        <f>IFERROR(INDEX(WRstats1[Rec Yds],MATCH(WRmatchups[[#This Row],[Name]],WRstats1[Player],0)),"0")</f>
        <v>46.093000000000004</v>
      </c>
      <c r="AO73" s="14">
        <f>IFERROR(INDEX(WRstats2[RecYards],MATCH(WRmatchups[[#This Row],[Name]],WRstats2[Player],0)),"0")</f>
        <v>30</v>
      </c>
      <c r="AP73" s="14">
        <f>IFERROR(INDEX(WRstats3[RecYards],MATCH(WRmatchups[[#This Row],[Name]],WRstats3[Player],0)),"0")</f>
        <v>32.5</v>
      </c>
      <c r="AQ73" s="32">
        <f>IFERROR(INDEX(WRallowed[Yard],MATCH(WRmatchups[[#This Row],[Opp]],WRallowed[Team],0)),"0")</f>
        <v>155.4375</v>
      </c>
      <c r="AR73" s="14">
        <f>IFERROR(INDEX(WRstats1[Rec TD],MATCH(WRmatchups[[#This Row],[Name]],WRstats1[Player],0)),"0")</f>
        <v>0.26100000000000001</v>
      </c>
      <c r="AS73" s="14" t="str">
        <f>IFERROR(INDEX(WRstats2[RecTD],MATCH(WRmatchups[[#This Row],[Name]],WRstats2[Player],0)),"0")</f>
        <v>0.2</v>
      </c>
      <c r="AT73" s="14">
        <f>IFERROR(INDEX(WRstats3[RecTD],MATCH(WRmatchups[[#This Row],[Name]],WRstats3[Player],0)),"0")</f>
        <v>0.1</v>
      </c>
      <c r="AU73" s="32">
        <f>IFERROR(INDEX(WRallowed[TD],MATCH(WRmatchups[[#This Row],[Opp]],WRallowed[Team],0)),"0")*0.5</f>
        <v>0.375</v>
      </c>
      <c r="AV73" s="14" t="str">
        <f>IFERROR(INDEX(WRstats2[RushAtt],MATCH(WRmatchups[[#This Row],[Name]],WRstats2[Player],0)),"0")</f>
        <v>0.2</v>
      </c>
      <c r="AW73" s="14">
        <f>IFERROR(INDEX(WRstats3[RushATT],MATCH(WRmatchups[[#This Row],[Name]],WRstats3[Player],0)),"0")</f>
        <v>0</v>
      </c>
      <c r="AX73" s="14">
        <f>IFERROR(INDEX(WRstats2[RushYards],MATCH(WRmatchups[[#This Row],[Name]],WRstats2[Player],0)),"0")</f>
        <v>1.5</v>
      </c>
      <c r="AY73" s="14">
        <f>IFERROR(INDEX(WRstats3[RushYards],MATCH(WRmatchups[[#This Row],[Name]],WRstats3[Player],0)),"0")</f>
        <v>0</v>
      </c>
      <c r="AZ73" s="14" t="str">
        <f>IFERROR(INDEX(WRstats2[RushTD],MATCH(WRmatchups[[#This Row],[Name]],WRstats2[Player],0)),"0")</f>
        <v>0</v>
      </c>
      <c r="BA73" s="14">
        <f>IFERROR(INDEX(WRstats3[RushTD],MATCH(WRmatchups[[#This Row],[Name]],WRstats3[Player],0)),"0")</f>
        <v>0</v>
      </c>
      <c r="BB73" s="264">
        <f>IF(WRmatchups[[#This Row],[Yards]]&gt;=100,3,0)</f>
        <v>0</v>
      </c>
      <c r="BC73" s="191" t="str">
        <f>IFERROR(INDEX(#REF!,MATCH(WRmatchups[Name],#REF!,0)),"0")</f>
        <v>0</v>
      </c>
      <c r="BD73" s="494">
        <f>WRmatchups[[#This Row],[Targets]]/WRmatchups[[#This Row],[Salary]]*100</f>
        <v>0.45161290322580649</v>
      </c>
    </row>
    <row r="74" spans="1:56" ht="15" thickBot="1" x14ac:dyDescent="0.35">
      <c r="A74" s="37">
        <f>WRstats1!AL70</f>
        <v>6.2</v>
      </c>
      <c r="B74" s="5" t="str">
        <f>WRstats1!D70</f>
        <v>Markus Wheaton</v>
      </c>
      <c r="C74" s="172">
        <f>IFERROR(INDEX(Salaries[DraftKings (Price)],MATCH(WRmatchups[[#This Row],[Name]],Salaries[Player],0)),"")</f>
        <v>4100</v>
      </c>
      <c r="D74" s="172">
        <f>IFERROR(INDEX(DK_Salary_Changes[WeekChange],MATCH(WRmatchups[[#This Row],[Name]],DK_Salary_Changes[Player],0)),"")</f>
        <v>-500</v>
      </c>
      <c r="E74" s="14" t="str">
        <f>IFERROR(INDEX(Salaries[Team],MATCH(WRmatchups[[#This Row],[Name]],Salaries[Player],0)),"")</f>
        <v>PIT</v>
      </c>
      <c r="F74" s="460" t="str">
        <f>IFERROR(INDEX(Salaries[Opp],MATCH(WRmatchups[[#This Row],[Team]],Salaries[Team],0)),"")</f>
        <v>KC</v>
      </c>
      <c r="G74" s="476" t="str">
        <f>IFERROR(INDEX(WRYTD[Rec],MATCH(WRmatchups[Name],WRYTD[Player],0)),"0")</f>
        <v>0</v>
      </c>
      <c r="H74" s="458">
        <f>IFERROR(INDEX(targettracker54[TTL],MATCH(WRmatchups[Name],targettracker54[Name],0)),"")</f>
        <v>5</v>
      </c>
      <c r="I74" s="475" t="str">
        <f>IFERROR(INDEX(WRYTD[Rec Yds],MATCH(WRmatchups[Name],WRYTD[Player],0)),"0")</f>
        <v>0</v>
      </c>
      <c r="J74" s="477" t="str">
        <f>IFERROR(INDEX(WRYTD[Rec TD],MATCH(WRmatchups[Name],WRYTD[Player],0)),"0")</f>
        <v>0</v>
      </c>
      <c r="K74" s="473">
        <f>IFERROR(INDEX(Salaries[O/U],MATCH(WRmatchups[[#This Row],[Team]],Salaries[Team],0)),"")</f>
        <v>47.5</v>
      </c>
      <c r="L74" s="32">
        <f>IFERROR(INDEX(Salaries[Team O/U],MATCH(WRmatchups[[#This Row],[Team]],Salaries[Team],0)),"")</f>
        <v>26.5</v>
      </c>
      <c r="M74" s="417">
        <f>IFERROR(INDEX(Salaries[Spread],MATCH(WRmatchups[[#This Row],[Team]],Salaries[Team],0)),"")</f>
        <v>-5.5</v>
      </c>
      <c r="N74" s="424">
        <f>IFERROR(INDEX(WRallowed[DVP],MATCH(WRmatchups[[#This Row],[Opp]],WRallowed[Team],0)),IFERROR(INDEX(WRallowed[DVP],MATCH(WRmatchups[[#This Row],[Opp]],WRallowed[Opp],0)),""))</f>
        <v>24</v>
      </c>
      <c r="O74" s="17" t="str">
        <f>IFERROR(INDEX(YAtCData[YAtC],MATCH(WRmatchups[[#This Row],[Name]],YAtCData[Player],0)),"0")</f>
        <v>0</v>
      </c>
      <c r="P74" s="497" t="str">
        <f>IFERROR(INDEX(YAtCData[YAtC/Rec],MATCH(WRmatchups[[#This Row],[Name]],YAtCData[Player],0)),"0")</f>
        <v>0</v>
      </c>
      <c r="Q74" s="17" t="str">
        <f>IFERROR(INDEX(YAtCData[YAC],MATCH(WRmatchups[[#This Row],[Name]],YAtCData[Player],0)),"0")</f>
        <v>0</v>
      </c>
      <c r="R74" s="497" t="str">
        <f>IFERROR(INDEX(YACDATA[YAC per Reception],MATCH(WRmatchups[[#This Row],[Name]],YACDATA[Player],0)),"0")</f>
        <v>0</v>
      </c>
      <c r="S74" s="418">
        <f>AVERAGE(WRmatchups[[#This Row],[Tar1]:[Tar3]])</f>
        <v>5.4</v>
      </c>
      <c r="T74" s="464">
        <f>AVERAGE(WRmatchups[[#This Row],[Rec1]:[Rec3]])</f>
        <v>2.5079999999999996</v>
      </c>
      <c r="U74" s="468">
        <f>SUM(WRmatchups[[#This Row],[Rec4]]/WRmatchups[[#This Row],[Targets2]])</f>
        <v>0.46444444444444433</v>
      </c>
      <c r="V74" s="417">
        <f>AVERAGE(WRmatchups[[#This Row],[Yards1]:[Yards3]])</f>
        <v>34.112666666666662</v>
      </c>
      <c r="W74" s="461">
        <f>SUM(WRmatchups[[#This Row],[Yards]]/WRmatchups[[#This Row],[Targets2]])</f>
        <v>6.3171604938271591</v>
      </c>
      <c r="X74" s="32">
        <f>AVERAGE(WRmatchups[[#This Row],[TD1]:[TD3]])</f>
        <v>0.28949999999999998</v>
      </c>
      <c r="Y74" s="14">
        <f>_xlfn.RANK.EQ(WRmatchups[[#This Row],[Projection]],WRmatchups[Projection],0)</f>
        <v>64</v>
      </c>
      <c r="Z74" s="19">
        <f>SUM(WRmatchups[[#This Row],[Yards]]*0.1)+(WRmatchups[[#This Row],[RecTD5]]*6)+(WRmatchups[[#This Row],[Rec4]]*1)+(WRmatchups[[#This Row],[100+]])</f>
        <v>7.6562666666666654</v>
      </c>
      <c r="AA74" s="8">
        <f>_xlfn.RANK.EQ(WRmatchups[[#This Row],[$/FP]],WRmatchups[$/FP],1)</f>
        <v>77</v>
      </c>
      <c r="AB74" s="23">
        <f>SUM(WRmatchups[[#This Row],[Salary]]/WRmatchups[[#This Row],[Projection]])</f>
        <v>535.50903834767166</v>
      </c>
      <c r="AC74" s="241">
        <f>_xlfn.RANK.EQ(WRmatchups[[#This Row],[Average]],WRmatchups[Average],1)</f>
        <v>74</v>
      </c>
      <c r="AD74" s="241">
        <f>AVERAGE(WRmatchups[[#This Row],[Proj Rank]],WRmatchups[[#This Row],[Value Rank]])</f>
        <v>70.5</v>
      </c>
      <c r="AE74" s="210">
        <f>WRmatchups[[#This Row],[Salary]]/50000</f>
        <v>8.2000000000000003E-2</v>
      </c>
      <c r="AF74" s="214"/>
      <c r="AG74" s="14">
        <f>IFERROR(INDEX(WRstats3[Targets],MATCH(WRmatchups[[#This Row],[Name]],WRstats3[Player],0)),"0")</f>
        <v>5.4</v>
      </c>
      <c r="AH74" s="14" t="str">
        <f>IFERROR(INDEX(WRstats2[Targets],MATCH(WRmatchups[[#This Row],[Name]],WRstats2[Player],0)),"0")</f>
        <v>0</v>
      </c>
      <c r="AI74" s="14">
        <f>IFERROR(INDEX(WRstats3[Targets],MATCH(WRmatchups[[#This Row],[Name]],WRstats3[Player],0)),"0")</f>
        <v>5.4</v>
      </c>
      <c r="AJ74" s="14">
        <f>IFERROR(INDEX(WRstats1[Rec],MATCH(WRmatchups[[#This Row],[Name]],WRstats1[Player],0)),"0")</f>
        <v>2.8239999999999998</v>
      </c>
      <c r="AK74" s="14">
        <f>IFERROR(INDEX(WRstats2[Rec],MATCH(WRmatchups[[#This Row],[Name]],WRstats2[Player],0)),"0")</f>
        <v>1.6</v>
      </c>
      <c r="AL74" s="14">
        <f>IFERROR(INDEX(WRstats3[Rec],MATCH(WRmatchups[[#This Row],[Name]],WRstats3[Player],0)),"0")</f>
        <v>3.1</v>
      </c>
      <c r="AM74" s="32">
        <f>IFERROR(INDEX(WRallowed[Rec],MATCH(WRmatchups[[#This Row],[Opp]],WRallowed[Team],0)),"0")</f>
        <v>12.0625</v>
      </c>
      <c r="AN74" s="14">
        <f>IFERROR(INDEX(WRstats1[Rec Yds],MATCH(WRmatchups[[#This Row],[Name]],WRstats1[Player],0)),"0")</f>
        <v>31.838000000000001</v>
      </c>
      <c r="AO74" s="14">
        <f>IFERROR(INDEX(WRstats2[RecYards],MATCH(WRmatchups[[#This Row],[Name]],WRstats2[Player],0)),"0")</f>
        <v>26.6</v>
      </c>
      <c r="AP74" s="14">
        <f>IFERROR(INDEX(WRstats3[RecYards],MATCH(WRmatchups[[#This Row],[Name]],WRstats3[Player],0)),"0")</f>
        <v>43.9</v>
      </c>
      <c r="AQ74" s="32">
        <f>IFERROR(INDEX(WRallowed[Yard],MATCH(WRmatchups[[#This Row],[Opp]],WRallowed[Team],0)),"0")</f>
        <v>161.5625</v>
      </c>
      <c r="AR74" s="14">
        <f>IFERROR(INDEX(WRstats1[Rec TD],MATCH(WRmatchups[[#This Row],[Name]],WRstats1[Player],0)),"0")</f>
        <v>0.27900000000000003</v>
      </c>
      <c r="AS74" s="14" t="str">
        <f>IFERROR(INDEX(WRstats2[RecTD],MATCH(WRmatchups[[#This Row],[Name]],WRstats2[Player],0)),"0")</f>
        <v>0.2</v>
      </c>
      <c r="AT74" s="14">
        <f>IFERROR(INDEX(WRstats3[RecTD],MATCH(WRmatchups[[#This Row],[Name]],WRstats3[Player],0)),"0")</f>
        <v>0.3</v>
      </c>
      <c r="AU74" s="32">
        <f>IFERROR(INDEX(WRallowed[TD],MATCH(WRmatchups[[#This Row],[Opp]],WRallowed[Team],0)),"0")*0.5</f>
        <v>0.53125</v>
      </c>
      <c r="AV74" s="14" t="str">
        <f>IFERROR(INDEX(WRstats2[RushAtt],MATCH(WRmatchups[[#This Row],[Name]],WRstats2[Player],0)),"0")</f>
        <v>0.2</v>
      </c>
      <c r="AW74" s="14">
        <f>IFERROR(INDEX(WRstats3[RushATT],MATCH(WRmatchups[[#This Row],[Name]],WRstats3[Player],0)),"0")</f>
        <v>0.2</v>
      </c>
      <c r="AX74" s="14" t="str">
        <f>IFERROR(INDEX(WRstats2[RushYards],MATCH(WRmatchups[[#This Row],[Name]],WRstats2[Player],0)),"0")</f>
        <v>0</v>
      </c>
      <c r="AY74" s="14">
        <f>IFERROR(INDEX(WRstats3[RushYards],MATCH(WRmatchups[[#This Row],[Name]],WRstats3[Player],0)),"0")</f>
        <v>1.5</v>
      </c>
      <c r="AZ74" s="14" t="str">
        <f>IFERROR(INDEX(WRstats2[RushTD],MATCH(WRmatchups[[#This Row],[Name]],WRstats2[Player],0)),"0")</f>
        <v>0</v>
      </c>
      <c r="BA74" s="14">
        <f>IFERROR(INDEX(WRstats3[RushTD],MATCH(WRmatchups[[#This Row],[Name]],WRstats3[Player],0)),"0")</f>
        <v>0</v>
      </c>
      <c r="BB74" s="264">
        <f>IF(WRmatchups[[#This Row],[Yards]]&gt;=100,3,0)</f>
        <v>0</v>
      </c>
      <c r="BC74" s="191" t="str">
        <f>IFERROR(INDEX(#REF!,MATCH(WRmatchups[Name],#REF!,0)),"0")</f>
        <v>0</v>
      </c>
      <c r="BD74" s="494">
        <f>WRmatchups[[#This Row],[Targets]]/WRmatchups[[#This Row],[Salary]]*100</f>
        <v>0.12195121951219512</v>
      </c>
    </row>
    <row r="75" spans="1:56" ht="15" thickBot="1" x14ac:dyDescent="0.35">
      <c r="A75" s="37">
        <f>WRstats1!AL61</f>
        <v>7.9</v>
      </c>
      <c r="B75" s="5" t="str">
        <f>WRstats1!D61</f>
        <v>Jeremy Kerley</v>
      </c>
      <c r="C75" s="172">
        <f>IFERROR(INDEX(Salaries[DraftKings (Price)],MATCH(WRmatchups[[#This Row],[Name]],Salaries[Player],0)),"")</f>
        <v>3400</v>
      </c>
      <c r="D75" s="172">
        <f>IFERROR(INDEX(DK_Salary_Changes[WeekChange],MATCH(WRmatchups[[#This Row],[Name]],DK_Salary_Changes[Player],0)),"")</f>
        <v>0</v>
      </c>
      <c r="E75" s="14" t="str">
        <f>IFERROR(INDEX(Salaries[Team],MATCH(WRmatchups[[#This Row],[Name]],Salaries[Player],0)),"")</f>
        <v>SF</v>
      </c>
      <c r="F75" s="460" t="str">
        <f>IFERROR(INDEX(Salaries[Opp],MATCH(WRmatchups[[#This Row],[Team]],Salaries[Team],0)),"")</f>
        <v>DAL</v>
      </c>
      <c r="G75" s="476">
        <f>IFERROR(INDEX(WRYTD[Rec],MATCH(WRmatchups[Name],WRYTD[Player],0)),"0")</f>
        <v>12</v>
      </c>
      <c r="H75" s="458">
        <f>IFERROR(INDEX(targettracker54[TTL],MATCH(WRmatchups[Name],targettracker54[Name],0)),"")</f>
        <v>23</v>
      </c>
      <c r="I75" s="475">
        <f>IFERROR(INDEX(WRYTD[Rec Yds],MATCH(WRmatchups[Name],WRYTD[Player],0)),"0")</f>
        <v>114</v>
      </c>
      <c r="J75" s="477">
        <f>IFERROR(INDEX(WRYTD[Rec TD],MATCH(WRmatchups[Name],WRYTD[Player],0)),"0")</f>
        <v>0</v>
      </c>
      <c r="K75" s="473">
        <f>IFERROR(INDEX(Salaries[O/U],MATCH(WRmatchups[[#This Row],[Team]],Salaries[Team],0)),"")</f>
        <v>46</v>
      </c>
      <c r="L75" s="32">
        <f>IFERROR(INDEX(Salaries[Team O/U],MATCH(WRmatchups[[#This Row],[Team]],Salaries[Team],0)),"")</f>
        <v>21.5</v>
      </c>
      <c r="M75" s="417">
        <f>IFERROR(INDEX(Salaries[Spread],MATCH(WRmatchups[[#This Row],[Team]],Salaries[Team],0)),"")</f>
        <v>3</v>
      </c>
      <c r="N75" s="424">
        <f>IFERROR(INDEX(WRallowed[DVP],MATCH(WRmatchups[[#This Row],[Opp]],WRallowed[Team],0)),IFERROR(INDEX(WRallowed[DVP],MATCH(WRmatchups[[#This Row],[Opp]],WRallowed[Opp],0)),""))</f>
        <v>7</v>
      </c>
      <c r="O75" s="17">
        <f>IFERROR(INDEX(YAtCData[YAtC],MATCH(WRmatchups[[#This Row],[Name]],YAtCData[Player],0)),"0")</f>
        <v>80</v>
      </c>
      <c r="P75" s="497">
        <f>IFERROR(INDEX(YAtCData[YAtC/Rec],MATCH(WRmatchups[[#This Row],[Name]],YAtCData[Player],0)),"0")</f>
        <v>6.67</v>
      </c>
      <c r="Q75" s="17">
        <f>IFERROR(INDEX(YAtCData[YAC],MATCH(WRmatchups[[#This Row],[Name]],YAtCData[Player],0)),"0")</f>
        <v>34</v>
      </c>
      <c r="R75" s="497">
        <f>IFERROR(INDEX(YACDATA[YAC per Reception],MATCH(WRmatchups[[#This Row],[Name]],YACDATA[Player],0)),"0")</f>
        <v>2.8</v>
      </c>
      <c r="S75" s="418">
        <f>AVERAGE(WRmatchups[[#This Row],[Tar1]:[Tar3]])</f>
        <v>4.9000000000000004</v>
      </c>
      <c r="T75" s="464">
        <f>AVERAGE(WRmatchups[[#This Row],[Rec1]:[Rec3]])</f>
        <v>2.9523333333333333</v>
      </c>
      <c r="U75" s="468">
        <f>SUM(WRmatchups[[#This Row],[Rec4]]/WRmatchups[[#This Row],[Targets2]])</f>
        <v>0.60251700680272102</v>
      </c>
      <c r="V75" s="417">
        <f>AVERAGE(WRmatchups[[#This Row],[Yards1]:[Yards3]])</f>
        <v>33.280666666666669</v>
      </c>
      <c r="W75" s="461">
        <f>SUM(WRmatchups[[#This Row],[Yards]]/WRmatchups[[#This Row],[Targets2]])</f>
        <v>6.7919727891156461</v>
      </c>
      <c r="X75" s="32">
        <f>AVERAGE(WRmatchups[[#This Row],[TD1]:[TD3]])</f>
        <v>0.20250000000000001</v>
      </c>
      <c r="Y75" s="14">
        <f>_xlfn.RANK.EQ(WRmatchups[[#This Row],[Projection]],WRmatchups[Projection],0)</f>
        <v>65</v>
      </c>
      <c r="Z75" s="19">
        <f>SUM(WRmatchups[[#This Row],[Yards]]*0.1)+(WRmatchups[[#This Row],[RecTD5]]*6)+(WRmatchups[[#This Row],[Rec4]]*1)+(WRmatchups[[#This Row],[100+]])</f>
        <v>7.4954000000000001</v>
      </c>
      <c r="AA75" s="8">
        <f>_xlfn.RANK.EQ(WRmatchups[[#This Row],[$/FP]],WRmatchups[$/FP],1)</f>
        <v>55</v>
      </c>
      <c r="AB75" s="23">
        <f>SUM(WRmatchups[[#This Row],[Salary]]/WRmatchups[[#This Row],[Projection]])</f>
        <v>453.61154841636204</v>
      </c>
      <c r="AC75" s="241">
        <f>_xlfn.RANK.EQ(WRmatchups[[#This Row],[Average]],WRmatchups[Average],1)</f>
        <v>68</v>
      </c>
      <c r="AD75" s="241">
        <f>AVERAGE(WRmatchups[[#This Row],[Proj Rank]],WRmatchups[[#This Row],[Value Rank]])</f>
        <v>60</v>
      </c>
      <c r="AE75" s="210">
        <f>WRmatchups[[#This Row],[Salary]]/50000</f>
        <v>6.8000000000000005E-2</v>
      </c>
      <c r="AF75" s="214"/>
      <c r="AG75" s="14">
        <f>IFERROR(INDEX(WRstats3[Targets],MATCH(WRmatchups[[#This Row],[Name]],WRstats3[Player],0)),"0")</f>
        <v>4.9000000000000004</v>
      </c>
      <c r="AH75" s="14" t="str">
        <f>IFERROR(INDEX(WRstats2[Targets],MATCH(WRmatchups[[#This Row],[Name]],WRstats2[Player],0)),"0")</f>
        <v>0</v>
      </c>
      <c r="AI75" s="14">
        <f>IFERROR(INDEX(WRstats3[Targets],MATCH(WRmatchups[[#This Row],[Name]],WRstats3[Player],0)),"0")</f>
        <v>4.9000000000000004</v>
      </c>
      <c r="AJ75" s="14">
        <f>IFERROR(INDEX(WRstats1[Rec],MATCH(WRmatchups[[#This Row],[Name]],WRstats1[Player],0)),"0")</f>
        <v>4.4569999999999999</v>
      </c>
      <c r="AK75" s="14">
        <f>IFERROR(INDEX(WRstats2[Rec],MATCH(WRmatchups[[#This Row],[Name]],WRstats2[Player],0)),"0")</f>
        <v>1.5</v>
      </c>
      <c r="AL75" s="14">
        <f>IFERROR(INDEX(WRstats3[Rec],MATCH(WRmatchups[[#This Row],[Name]],WRstats3[Player],0)),"0")</f>
        <v>2.9</v>
      </c>
      <c r="AM75" s="32">
        <f>IFERROR(INDEX(WRallowed[Rec],MATCH(WRmatchups[[#This Row],[Opp]],WRallowed[Team],0)),"0")</f>
        <v>13.25</v>
      </c>
      <c r="AN75" s="14">
        <f>IFERROR(INDEX(WRstats1[Rec Yds],MATCH(WRmatchups[[#This Row],[Name]],WRstats1[Player],0)),"0")</f>
        <v>45.341999999999999</v>
      </c>
      <c r="AO75" s="14">
        <f>IFERROR(INDEX(WRstats2[RecYards],MATCH(WRmatchups[[#This Row],[Name]],WRstats2[Player],0)),"0")</f>
        <v>17.3</v>
      </c>
      <c r="AP75" s="14">
        <f>IFERROR(INDEX(WRstats3[RecYards],MATCH(WRmatchups[[#This Row],[Name]],WRstats3[Player],0)),"0")</f>
        <v>37.200000000000003</v>
      </c>
      <c r="AQ75" s="32">
        <f>IFERROR(INDEX(WRallowed[Yard],MATCH(WRmatchups[[#This Row],[Opp]],WRallowed[Team],0)),"0")</f>
        <v>177.75</v>
      </c>
      <c r="AR75" s="14">
        <f>IFERROR(INDEX(WRstats1[Rec TD],MATCH(WRmatchups[[#This Row],[Name]],WRstats1[Player],0)),"0")</f>
        <v>0.20499999999999999</v>
      </c>
      <c r="AS75" s="14" t="str">
        <f>IFERROR(INDEX(WRstats2[RecTD],MATCH(WRmatchups[[#This Row],[Name]],WRstats2[Player],0)),"0")</f>
        <v>0.1</v>
      </c>
      <c r="AT75" s="14">
        <f>IFERROR(INDEX(WRstats3[RecTD],MATCH(WRmatchups[[#This Row],[Name]],WRstats3[Player],0)),"0")</f>
        <v>0.2</v>
      </c>
      <c r="AU75" s="32">
        <f>IFERROR(INDEX(WRallowed[TD],MATCH(WRmatchups[[#This Row],[Opp]],WRallowed[Team],0)),"0")*0.5</f>
        <v>0.59375</v>
      </c>
      <c r="AV75" s="14" t="str">
        <f>IFERROR(INDEX(WRstats2[RushAtt],MATCH(WRmatchups[[#This Row],[Name]],WRstats2[Player],0)),"0")</f>
        <v>0.1</v>
      </c>
      <c r="AW75" s="14">
        <f>IFERROR(INDEX(WRstats3[RushATT],MATCH(WRmatchups[[#This Row],[Name]],WRstats3[Player],0)),"0")</f>
        <v>0</v>
      </c>
      <c r="AX75" s="14" t="str">
        <f>IFERROR(INDEX(WRstats2[RushYards],MATCH(WRmatchups[[#This Row],[Name]],WRstats2[Player],0)),"0")</f>
        <v>0</v>
      </c>
      <c r="AY75" s="14">
        <f>IFERROR(INDEX(WRstats3[RushYards],MATCH(WRmatchups[[#This Row],[Name]],WRstats3[Player],0)),"0")</f>
        <v>0</v>
      </c>
      <c r="AZ75" s="14" t="str">
        <f>IFERROR(INDEX(WRstats2[RushTD],MATCH(WRmatchups[[#This Row],[Name]],WRstats2[Player],0)),"0")</f>
        <v>0</v>
      </c>
      <c r="BA75" s="14">
        <f>IFERROR(INDEX(WRstats3[RushTD],MATCH(WRmatchups[[#This Row],[Name]],WRstats3[Player],0)),"0")</f>
        <v>0</v>
      </c>
      <c r="BB75" s="264">
        <f>IF(WRmatchups[[#This Row],[Yards]]&gt;=100,3,0)</f>
        <v>0</v>
      </c>
      <c r="BC75" s="191" t="str">
        <f>IFERROR(INDEX(#REF!,MATCH(WRmatchups[Name],#REF!,0)),"0")</f>
        <v>0</v>
      </c>
      <c r="BD75" s="494">
        <f>WRmatchups[[#This Row],[Targets]]/WRmatchups[[#This Row],[Salary]]*100</f>
        <v>0.67647058823529405</v>
      </c>
    </row>
    <row r="76" spans="1:56" ht="15" thickBot="1" x14ac:dyDescent="0.35">
      <c r="A76" s="37">
        <f>WRstats1!AL67</f>
        <v>6.8</v>
      </c>
      <c r="B76" s="5" t="str">
        <f>WRstats1!D67</f>
        <v>Jermaine Kearse</v>
      </c>
      <c r="C76" s="172">
        <f>IFERROR(INDEX(Salaries[DraftKings (Price)],MATCH(WRmatchups[[#This Row],[Name]],Salaries[Player],0)),"")</f>
        <v>3200</v>
      </c>
      <c r="D76" s="172">
        <f>IFERROR(INDEX(DK_Salary_Changes[WeekChange],MATCH(WRmatchups[[#This Row],[Name]],DK_Salary_Changes[Player],0)),"")</f>
        <v>-200</v>
      </c>
      <c r="E76" s="14" t="str">
        <f>IFERROR(INDEX(Salaries[Team],MATCH(WRmatchups[[#This Row],[Name]],Salaries[Player],0)),"")</f>
        <v>SEA</v>
      </c>
      <c r="F76" s="460" t="str">
        <f>IFERROR(INDEX(Salaries[Opp],MATCH(WRmatchups[[#This Row],[Team]],Salaries[Team],0)),"")</f>
        <v>@NYJ</v>
      </c>
      <c r="G76" s="476" t="str">
        <f>IFERROR(INDEX(WRYTD[Rec],MATCH(WRmatchups[Name],WRYTD[Player],0)),"0")</f>
        <v>0</v>
      </c>
      <c r="H76" s="458">
        <f>IFERROR(INDEX(targettracker54[TTL],MATCH(WRmatchups[Name],targettracker54[Name],0)),"")</f>
        <v>15</v>
      </c>
      <c r="I76" s="475" t="str">
        <f>IFERROR(INDEX(WRYTD[Rec Yds],MATCH(WRmatchups[Name],WRYTD[Player],0)),"0")</f>
        <v>0</v>
      </c>
      <c r="J76" s="477" t="str">
        <f>IFERROR(INDEX(WRYTD[Rec TD],MATCH(WRmatchups[Name],WRYTD[Player],0)),"0")</f>
        <v>0</v>
      </c>
      <c r="K76" s="473">
        <f>IFERROR(INDEX(Salaries[O/U],MATCH(WRmatchups[[#This Row],[Team]],Salaries[Team],0)),"")</f>
        <v>40.5</v>
      </c>
      <c r="L76" s="32">
        <f>IFERROR(INDEX(Salaries[Team O/U],MATCH(WRmatchups[[#This Row],[Team]],Salaries[Team],0)),"")</f>
        <v>21</v>
      </c>
      <c r="M76" s="417">
        <f>IFERROR(INDEX(Salaries[Spread],MATCH(WRmatchups[[#This Row],[Team]],Salaries[Team],0)),"")</f>
        <v>-1.5</v>
      </c>
      <c r="N76" s="424">
        <f>IFERROR(INDEX(WRallowed[DVP],MATCH(WRmatchups[[#This Row],[Opp]],WRallowed[Team],0)),IFERROR(INDEX(WRallowed[DVP],MATCH(WRmatchups[[#This Row],[Opp]],WRallowed[Opp],0)),""))</f>
        <v>17</v>
      </c>
      <c r="O76" s="17">
        <f>IFERROR(INDEX(YAtCData[YAtC],MATCH(WRmatchups[[#This Row],[Name]],YAtCData[Player],0)),"0")</f>
        <v>39</v>
      </c>
      <c r="P76" s="497">
        <f>IFERROR(INDEX(YAtCData[YAtC/Rec],MATCH(WRmatchups[[#This Row],[Name]],YAtCData[Player],0)),"0")</f>
        <v>4.33</v>
      </c>
      <c r="Q76" s="17">
        <f>IFERROR(INDEX(YAtCData[YAC],MATCH(WRmatchups[[#This Row],[Name]],YAtCData[Player],0)),"0")</f>
        <v>40</v>
      </c>
      <c r="R76" s="497">
        <f>IFERROR(INDEX(YACDATA[YAC per Reception],MATCH(WRmatchups[[#This Row],[Name]],YACDATA[Player],0)),"0")</f>
        <v>4.4000000000000004</v>
      </c>
      <c r="S76" s="418">
        <f>AVERAGE(WRmatchups[[#This Row],[Tar1]:[Tar3]])</f>
        <v>3.8</v>
      </c>
      <c r="T76" s="464">
        <f>AVERAGE(WRmatchups[[#This Row],[Rec1]:[Rec3]])</f>
        <v>2.9026666666666667</v>
      </c>
      <c r="U76" s="468">
        <f>SUM(WRmatchups[[#This Row],[Rec4]]/WRmatchups[[#This Row],[Targets2]])</f>
        <v>0.76385964912280702</v>
      </c>
      <c r="V76" s="417">
        <f>AVERAGE(WRmatchups[[#This Row],[Yards1]:[Yards3]])</f>
        <v>35.185333333333332</v>
      </c>
      <c r="W76" s="461">
        <f>SUM(WRmatchups[[#This Row],[Yards]]/WRmatchups[[#This Row],[Targets2]])</f>
        <v>9.2592982456140351</v>
      </c>
      <c r="X76" s="32">
        <f>AVERAGE(WRmatchups[[#This Row],[TD1]:[TD3]])</f>
        <v>0.1575</v>
      </c>
      <c r="Y76" s="14">
        <f>_xlfn.RANK.EQ(WRmatchups[[#This Row],[Projection]],WRmatchups[Projection],0)</f>
        <v>66</v>
      </c>
      <c r="Z76" s="19">
        <f>SUM(WRmatchups[[#This Row],[Yards]]*0.1)+(WRmatchups[[#This Row],[RecTD5]]*6)+(WRmatchups[[#This Row],[Rec4]]*1)+(WRmatchups[[#This Row],[100+]])</f>
        <v>7.3662000000000001</v>
      </c>
      <c r="AA76" s="8">
        <f>_xlfn.RANK.EQ(WRmatchups[[#This Row],[$/FP]],WRmatchups[$/FP],1)</f>
        <v>50</v>
      </c>
      <c r="AB76" s="23">
        <f>SUM(WRmatchups[[#This Row],[Salary]]/WRmatchups[[#This Row],[Projection]])</f>
        <v>434.41665987890633</v>
      </c>
      <c r="AC76" s="241">
        <f>_xlfn.RANK.EQ(WRmatchups[[#This Row],[Average]],WRmatchups[Average],1)</f>
        <v>65</v>
      </c>
      <c r="AD76" s="241">
        <f>AVERAGE(WRmatchups[[#This Row],[Proj Rank]],WRmatchups[[#This Row],[Value Rank]])</f>
        <v>58</v>
      </c>
      <c r="AE76" s="210">
        <f>WRmatchups[[#This Row],[Salary]]/50000</f>
        <v>6.4000000000000001E-2</v>
      </c>
      <c r="AF76" s="214"/>
      <c r="AG76" s="14">
        <f>IFERROR(INDEX(WRstats3[Targets],MATCH(WRmatchups[[#This Row],[Name]],WRstats3[Player],0)),"0")</f>
        <v>3.8</v>
      </c>
      <c r="AH76" s="14" t="str">
        <f>IFERROR(INDEX(WRstats2[Targets],MATCH(WRmatchups[[#This Row],[Name]],WRstats2[Player],0)),"0")</f>
        <v>0</v>
      </c>
      <c r="AI76" s="14">
        <f>IFERROR(INDEX(WRstats3[Targets],MATCH(WRmatchups[[#This Row],[Name]],WRstats3[Player],0)),"0")</f>
        <v>3.8</v>
      </c>
      <c r="AJ76" s="14">
        <f>IFERROR(INDEX(WRstats1[Rec],MATCH(WRmatchups[[#This Row],[Name]],WRstats1[Player],0)),"0")</f>
        <v>3.7080000000000002</v>
      </c>
      <c r="AK76" s="14">
        <f>IFERROR(INDEX(WRstats2[Rec],MATCH(WRmatchups[[#This Row],[Name]],WRstats2[Player],0)),"0")</f>
        <v>2.2000000000000002</v>
      </c>
      <c r="AL76" s="14">
        <f>IFERROR(INDEX(WRstats3[Rec],MATCH(WRmatchups[[#This Row],[Name]],WRstats3[Player],0)),"0")</f>
        <v>2.8</v>
      </c>
      <c r="AM76" s="32" t="str">
        <f>IFERROR(INDEX(WRallowed[Rec],MATCH(WRmatchups[[#This Row],[Opp]],WRallowed[Team],0)),"0")</f>
        <v>0</v>
      </c>
      <c r="AN76" s="14">
        <f>IFERROR(INDEX(WRstats1[Rec Yds],MATCH(WRmatchups[[#This Row],[Name]],WRstats1[Player],0)),"0")</f>
        <v>43.856000000000002</v>
      </c>
      <c r="AO76" s="14">
        <f>IFERROR(INDEX(WRstats2[RecYards],MATCH(WRmatchups[[#This Row],[Name]],WRstats2[Player],0)),"0")</f>
        <v>26.5</v>
      </c>
      <c r="AP76" s="14">
        <f>IFERROR(INDEX(WRstats3[RecYards],MATCH(WRmatchups[[#This Row],[Name]],WRstats3[Player],0)),"0")</f>
        <v>35.200000000000003</v>
      </c>
      <c r="AQ76" s="32" t="str">
        <f>IFERROR(INDEX(WRallowed[Yard],MATCH(WRmatchups[[#This Row],[Opp]],WRallowed[Team],0)),"0")</f>
        <v>0</v>
      </c>
      <c r="AR76" s="14">
        <f>IFERROR(INDEX(WRstats1[Rec TD],MATCH(WRmatchups[[#This Row],[Name]],WRstats1[Player],0)),"0")</f>
        <v>0.115</v>
      </c>
      <c r="AS76" s="14" t="str">
        <f>IFERROR(INDEX(WRstats2[RecTD],MATCH(WRmatchups[[#This Row],[Name]],WRstats2[Player],0)),"0")</f>
        <v>0.2</v>
      </c>
      <c r="AT76" s="14">
        <f>IFERROR(INDEX(WRstats3[RecTD],MATCH(WRmatchups[[#This Row],[Name]],WRstats3[Player],0)),"0")</f>
        <v>0.2</v>
      </c>
      <c r="AU76" s="32">
        <f>IFERROR(INDEX(WRallowed[TD],MATCH(WRmatchups[[#This Row],[Opp]],WRallowed[Team],0)),"0")*0.5</f>
        <v>0</v>
      </c>
      <c r="AV76" s="14" t="str">
        <f>IFERROR(INDEX(WRstats2[RushAtt],MATCH(WRmatchups[[#This Row],[Name]],WRstats2[Player],0)),"0")</f>
        <v>0.2</v>
      </c>
      <c r="AW76" s="14">
        <f>IFERROR(INDEX(WRstats3[RushATT],MATCH(WRmatchups[[#This Row],[Name]],WRstats3[Player],0)),"0")</f>
        <v>0</v>
      </c>
      <c r="AX76" s="14" t="str">
        <f>IFERROR(INDEX(WRstats2[RushYards],MATCH(WRmatchups[[#This Row],[Name]],WRstats2[Player],0)),"0")</f>
        <v>0</v>
      </c>
      <c r="AY76" s="14">
        <f>IFERROR(INDEX(WRstats3[RushYards],MATCH(WRmatchups[[#This Row],[Name]],WRstats3[Player],0)),"0")</f>
        <v>0</v>
      </c>
      <c r="AZ76" s="14" t="str">
        <f>IFERROR(INDEX(WRstats2[RushTD],MATCH(WRmatchups[[#This Row],[Name]],WRstats2[Player],0)),"0")</f>
        <v>0</v>
      </c>
      <c r="BA76" s="14">
        <f>IFERROR(INDEX(WRstats3[RushTD],MATCH(WRmatchups[[#This Row],[Name]],WRstats3[Player],0)),"0")</f>
        <v>0</v>
      </c>
      <c r="BB76" s="264">
        <f>IF(WRmatchups[[#This Row],[Yards]]&gt;=100,3,0)</f>
        <v>0</v>
      </c>
      <c r="BC76" s="191" t="str">
        <f>IFERROR(INDEX(#REF!,MATCH(WRmatchups[Name],#REF!,0)),"0")</f>
        <v>0</v>
      </c>
      <c r="BD76" s="494">
        <f>WRmatchups[[#This Row],[Targets]]/WRmatchups[[#This Row],[Salary]]*100</f>
        <v>0.46875</v>
      </c>
    </row>
    <row r="77" spans="1:56" ht="15" thickBot="1" x14ac:dyDescent="0.35">
      <c r="A77" s="37">
        <f>WRstats1!AL71</f>
        <v>7</v>
      </c>
      <c r="B77" s="5" t="str">
        <f>WRstats1!D71</f>
        <v>Marqise Lee</v>
      </c>
      <c r="C77" s="172">
        <f>IFERROR(INDEX(Salaries[DraftKings (Price)],MATCH(WRmatchups[[#This Row],[Name]],Salaries[Player],0)),"")</f>
        <v>3100</v>
      </c>
      <c r="D77" s="172">
        <f>IFERROR(INDEX(DK_Salary_Changes[WeekChange],MATCH(WRmatchups[[#This Row],[Name]],DK_Salary_Changes[Player],0)),"")</f>
        <v>100</v>
      </c>
      <c r="E77" s="14" t="str">
        <f>IFERROR(INDEX(Salaries[Team],MATCH(WRmatchups[[#This Row],[Name]],Salaries[Player],0)),"")</f>
        <v>JAX</v>
      </c>
      <c r="F77" s="460" t="str">
        <f>IFERROR(INDEX(Salaries[Opp],MATCH(WRmatchups[[#This Row],[Team]],Salaries[Team],0)),"")</f>
        <v>IND</v>
      </c>
      <c r="G77" s="476">
        <f>IFERROR(INDEX(WRYTD[Rec],MATCH(WRmatchups[Name],WRYTD[Player],0)),"0")</f>
        <v>12</v>
      </c>
      <c r="H77" s="458">
        <f>IFERROR(INDEX(targettracker54[TTL],MATCH(WRmatchups[Name],targettracker54[Name],0)),"")</f>
        <v>18</v>
      </c>
      <c r="I77" s="475">
        <f>IFERROR(INDEX(WRYTD[Rec Yds],MATCH(WRmatchups[Name],WRYTD[Player],0)),"0")</f>
        <v>141</v>
      </c>
      <c r="J77" s="477">
        <f>IFERROR(INDEX(WRYTD[Rec TD],MATCH(WRmatchups[Name],WRYTD[Player],0)),"0")</f>
        <v>0</v>
      </c>
      <c r="K77" s="473">
        <f>IFERROR(INDEX(Salaries[O/U],MATCH(WRmatchups[[#This Row],[Team]],Salaries[Team],0)),"")</f>
        <v>49.5</v>
      </c>
      <c r="L77" s="32">
        <f>IFERROR(INDEX(Salaries[Team O/U],MATCH(WRmatchups[[#This Row],[Team]],Salaries[Team],0)),"")</f>
        <v>23.5</v>
      </c>
      <c r="M77" s="417">
        <f>IFERROR(INDEX(Salaries[Spread],MATCH(WRmatchups[[#This Row],[Team]],Salaries[Team],0)),"")</f>
        <v>2.5</v>
      </c>
      <c r="N77" s="424">
        <f>IFERROR(INDEX(WRallowed[DVP],MATCH(WRmatchups[[#This Row],[Opp]],WRallowed[Team],0)),IFERROR(INDEX(WRallowed[DVP],MATCH(WRmatchups[[#This Row],[Opp]],WRallowed[Opp],0)),""))</f>
        <v>25</v>
      </c>
      <c r="O77" s="17">
        <f>IFERROR(INDEX(YAtCData[YAtC],MATCH(WRmatchups[[#This Row],[Name]],YAtCData[Player],0)),"0")</f>
        <v>42</v>
      </c>
      <c r="P77" s="497">
        <f>IFERROR(INDEX(YAtCData[YAtC/Rec],MATCH(WRmatchups[[#This Row],[Name]],YAtCData[Player],0)),"0")</f>
        <v>3.5</v>
      </c>
      <c r="Q77" s="17">
        <f>IFERROR(INDEX(YAtCData[YAC],MATCH(WRmatchups[[#This Row],[Name]],YAtCData[Player],0)),"0")</f>
        <v>99</v>
      </c>
      <c r="R77" s="497">
        <f>IFERROR(INDEX(YACDATA[YAC per Reception],MATCH(WRmatchups[[#This Row],[Name]],YACDATA[Player],0)),"0")</f>
        <v>8.3000000000000007</v>
      </c>
      <c r="S77" s="418">
        <f>AVERAGE(WRmatchups[[#This Row],[Tar1]:[Tar3]])</f>
        <v>4.8</v>
      </c>
      <c r="T77" s="464">
        <f>AVERAGE(WRmatchups[[#This Row],[Rec1]:[Rec3]])</f>
        <v>2.8306666666666671</v>
      </c>
      <c r="U77" s="468">
        <f>SUM(WRmatchups[[#This Row],[Rec4]]/WRmatchups[[#This Row],[Targets2]])</f>
        <v>0.58972222222222237</v>
      </c>
      <c r="V77" s="417">
        <f>AVERAGE(WRmatchups[[#This Row],[Yards1]:[Yards3]])</f>
        <v>31.207333333333334</v>
      </c>
      <c r="W77" s="461">
        <f>SUM(WRmatchups[[#This Row],[Yards]]/WRmatchups[[#This Row],[Targets2]])</f>
        <v>6.5015277777777785</v>
      </c>
      <c r="X77" s="32">
        <f>AVERAGE(WRmatchups[[#This Row],[TD1]:[TD3]])</f>
        <v>0.215</v>
      </c>
      <c r="Y77" s="14">
        <f>_xlfn.RANK.EQ(WRmatchups[[#This Row],[Projection]],WRmatchups[Projection],0)</f>
        <v>67</v>
      </c>
      <c r="Z77" s="19">
        <f>SUM(WRmatchups[[#This Row],[Yards]]*0.1)+(WRmatchups[[#This Row],[RecTD5]]*6)+(WRmatchups[[#This Row],[Rec4]]*1)+(WRmatchups[[#This Row],[100+]])</f>
        <v>7.2414000000000005</v>
      </c>
      <c r="AA77" s="8">
        <f>_xlfn.RANK.EQ(WRmatchups[[#This Row],[$/FP]],WRmatchups[$/FP],1)</f>
        <v>44</v>
      </c>
      <c r="AB77" s="23">
        <f>SUM(WRmatchups[[#This Row],[Salary]]/WRmatchups[[#This Row],[Projection]])</f>
        <v>428.09401496948101</v>
      </c>
      <c r="AC77" s="241">
        <f>_xlfn.RANK.EQ(WRmatchups[[#This Row],[Average]],WRmatchups[Average],1)</f>
        <v>62</v>
      </c>
      <c r="AD77" s="241">
        <f>AVERAGE(WRmatchups[[#This Row],[Proj Rank]],WRmatchups[[#This Row],[Value Rank]])</f>
        <v>55.5</v>
      </c>
      <c r="AE77" s="210">
        <f>WRmatchups[[#This Row],[Salary]]/50000</f>
        <v>6.2E-2</v>
      </c>
      <c r="AF77" s="214"/>
      <c r="AG77" s="14">
        <f>IFERROR(INDEX(WRstats3[Targets],MATCH(WRmatchups[[#This Row],[Name]],WRstats3[Player],0)),"0")</f>
        <v>4.8</v>
      </c>
      <c r="AH77" s="14" t="str">
        <f>IFERROR(INDEX(WRstats2[Targets],MATCH(WRmatchups[[#This Row],[Name]],WRstats2[Player],0)),"0")</f>
        <v>0</v>
      </c>
      <c r="AI77" s="14">
        <f>IFERROR(INDEX(WRstats3[Targets],MATCH(WRmatchups[[#This Row],[Name]],WRstats3[Player],0)),"0")</f>
        <v>4.8</v>
      </c>
      <c r="AJ77" s="14">
        <f>IFERROR(INDEX(WRstats1[Rec],MATCH(WRmatchups[[#This Row],[Name]],WRstats1[Player],0)),"0")</f>
        <v>4.492</v>
      </c>
      <c r="AK77" s="14">
        <f>IFERROR(INDEX(WRstats2[Rec],MATCH(WRmatchups[[#This Row],[Name]],WRstats2[Player],0)),"0")</f>
        <v>1.5</v>
      </c>
      <c r="AL77" s="14">
        <f>IFERROR(INDEX(WRstats3[Rec],MATCH(WRmatchups[[#This Row],[Name]],WRstats3[Player],0)),"0")</f>
        <v>2.5</v>
      </c>
      <c r="AM77" s="32">
        <f>IFERROR(INDEX(WRallowed[Rec],MATCH(WRmatchups[[#This Row],[Opp]],WRallowed[Team],0)),"0")</f>
        <v>12.1875</v>
      </c>
      <c r="AN77" s="14">
        <f>IFERROR(INDEX(WRstats1[Rec Yds],MATCH(WRmatchups[[#This Row],[Name]],WRstats1[Player],0)),"0")</f>
        <v>40.722000000000001</v>
      </c>
      <c r="AO77" s="14">
        <f>IFERROR(INDEX(WRstats2[RecYards],MATCH(WRmatchups[[#This Row],[Name]],WRstats2[Player],0)),"0")</f>
        <v>17.100000000000001</v>
      </c>
      <c r="AP77" s="14">
        <f>IFERROR(INDEX(WRstats3[RecYards],MATCH(WRmatchups[[#This Row],[Name]],WRstats3[Player],0)),"0")</f>
        <v>35.799999999999997</v>
      </c>
      <c r="AQ77" s="32">
        <f>IFERROR(INDEX(WRallowed[Yard],MATCH(WRmatchups[[#This Row],[Opp]],WRallowed[Team],0)),"0")</f>
        <v>166.625</v>
      </c>
      <c r="AR77" s="14">
        <f>IFERROR(INDEX(WRstats1[Rec TD],MATCH(WRmatchups[[#This Row],[Name]],WRstats1[Player],0)),"0")</f>
        <v>0.13</v>
      </c>
      <c r="AS77" s="14" t="str">
        <f>IFERROR(INDEX(WRstats2[RecTD],MATCH(WRmatchups[[#This Row],[Name]],WRstats2[Player],0)),"0")</f>
        <v>0.1</v>
      </c>
      <c r="AT77" s="14">
        <f>IFERROR(INDEX(WRstats3[RecTD],MATCH(WRmatchups[[#This Row],[Name]],WRstats3[Player],0)),"0")</f>
        <v>0.3</v>
      </c>
      <c r="AU77" s="32">
        <f>IFERROR(INDEX(WRallowed[TD],MATCH(WRmatchups[[#This Row],[Opp]],WRallowed[Team],0)),"0")*0.5</f>
        <v>0.59375</v>
      </c>
      <c r="AV77" s="14" t="str">
        <f>IFERROR(INDEX(WRstats2[RushAtt],MATCH(WRmatchups[[#This Row],[Name]],WRstats2[Player],0)),"0")</f>
        <v>0.1</v>
      </c>
      <c r="AW77" s="14">
        <f>IFERROR(INDEX(WRstats3[RushATT],MATCH(WRmatchups[[#This Row],[Name]],WRstats3[Player],0)),"0")</f>
        <v>0.2</v>
      </c>
      <c r="AX77" s="14" t="str">
        <f>IFERROR(INDEX(WRstats2[RushYards],MATCH(WRmatchups[[#This Row],[Name]],WRstats2[Player],0)),"0")</f>
        <v>0.2</v>
      </c>
      <c r="AY77" s="14">
        <f>IFERROR(INDEX(WRstats3[RushYards],MATCH(WRmatchups[[#This Row],[Name]],WRstats3[Player],0)),"0")</f>
        <v>1.5</v>
      </c>
      <c r="AZ77" s="14" t="str">
        <f>IFERROR(INDEX(WRstats2[RushTD],MATCH(WRmatchups[[#This Row],[Name]],WRstats2[Player],0)),"0")</f>
        <v>0</v>
      </c>
      <c r="BA77" s="14">
        <f>IFERROR(INDEX(WRstats3[RushTD],MATCH(WRmatchups[[#This Row],[Name]],WRstats3[Player],0)),"0")</f>
        <v>0</v>
      </c>
      <c r="BB77" s="264">
        <f>IF(WRmatchups[[#This Row],[Yards]]&gt;=100,3,0)</f>
        <v>0</v>
      </c>
      <c r="BC77" s="191" t="str">
        <f>IFERROR(INDEX(#REF!,MATCH(WRmatchups[Name],#REF!,0)),"0")</f>
        <v>0</v>
      </c>
      <c r="BD77" s="494">
        <f>WRmatchups[[#This Row],[Targets]]/WRmatchups[[#This Row],[Salary]]*100</f>
        <v>0.58064516129032262</v>
      </c>
    </row>
    <row r="78" spans="1:56" ht="15" thickBot="1" x14ac:dyDescent="0.35">
      <c r="A78" s="37">
        <f>WRstats1!AL78</f>
        <v>5.0999999999999996</v>
      </c>
      <c r="B78" s="5" t="str">
        <f>WRstats1!D78</f>
        <v>Ted Ginn</v>
      </c>
      <c r="C78" s="172">
        <f>IFERROR(INDEX(Salaries[DraftKings (Price)],MATCH(WRmatchups[[#This Row],[Name]],Salaries[Player],0)),"")</f>
        <v>3700</v>
      </c>
      <c r="D78" s="172">
        <f>IFERROR(INDEX(DK_Salary_Changes[WeekChange],MATCH(WRmatchups[[#This Row],[Name]],DK_Salary_Changes[Player],0)),"")</f>
        <v>0</v>
      </c>
      <c r="E78" s="14" t="str">
        <f>IFERROR(INDEX(Salaries[Team],MATCH(WRmatchups[[#This Row],[Name]],Salaries[Player],0)),"")</f>
        <v>CAR</v>
      </c>
      <c r="F78" s="460" t="str">
        <f>IFERROR(INDEX(Salaries[Opp],MATCH(WRmatchups[[#This Row],[Team]],Salaries[Team],0)),"")</f>
        <v>@ATL</v>
      </c>
      <c r="G78" s="476">
        <f>IFERROR(INDEX(WRYTD[Rec],MATCH(WRmatchups[Name],WRYTD[Player],0)),"0")</f>
        <v>6</v>
      </c>
      <c r="H78" s="458">
        <f>IFERROR(INDEX(targettracker54[TTL],MATCH(WRmatchups[Name],targettracker54[Name],0)),"")</f>
        <v>12</v>
      </c>
      <c r="I78" s="475">
        <f>IFERROR(INDEX(WRYTD[Rec Yds],MATCH(WRmatchups[Name],WRYTD[Player],0)),"0")</f>
        <v>118</v>
      </c>
      <c r="J78" s="477">
        <f>IFERROR(INDEX(WRYTD[Rec TD],MATCH(WRmatchups[Name],WRYTD[Player],0)),"0")</f>
        <v>0</v>
      </c>
      <c r="K78" s="473">
        <f>IFERROR(INDEX(Salaries[O/U],MATCH(WRmatchups[[#This Row],[Team]],Salaries[Team],0)),"")</f>
        <v>50</v>
      </c>
      <c r="L78" s="32">
        <f>IFERROR(INDEX(Salaries[Team O/U],MATCH(WRmatchups[[#This Row],[Team]],Salaries[Team],0)),"")</f>
        <v>26.5</v>
      </c>
      <c r="M78" s="417">
        <f>IFERROR(INDEX(Salaries[Spread],MATCH(WRmatchups[[#This Row],[Team]],Salaries[Team],0)),"")</f>
        <v>-3</v>
      </c>
      <c r="N78" s="424">
        <f>IFERROR(INDEX(WRallowed[DVP],MATCH(WRmatchups[[#This Row],[Opp]],WRallowed[Team],0)),IFERROR(INDEX(WRallowed[DVP],MATCH(WRmatchups[[#This Row],[Opp]],WRallowed[Opp],0)),""))</f>
        <v>2</v>
      </c>
      <c r="O78" s="17" t="str">
        <f>IFERROR(INDEX(YAtCData[YAtC],MATCH(WRmatchups[[#This Row],[Name]],YAtCData[Player],0)),"0")</f>
        <v>0</v>
      </c>
      <c r="P78" s="497" t="str">
        <f>IFERROR(INDEX(YAtCData[YAtC/Rec],MATCH(WRmatchups[[#This Row],[Name]],YAtCData[Player],0)),"0")</f>
        <v>0</v>
      </c>
      <c r="Q78" s="17" t="str">
        <f>IFERROR(INDEX(YAtCData[YAC],MATCH(WRmatchups[[#This Row],[Name]],YAtCData[Player],0)),"0")</f>
        <v>0</v>
      </c>
      <c r="R78" s="497" t="str">
        <f>IFERROR(INDEX(YACDATA[YAC per Reception],MATCH(WRmatchups[[#This Row],[Name]],YACDATA[Player],0)),"0")</f>
        <v>0</v>
      </c>
      <c r="S78" s="418">
        <f>AVERAGE(WRmatchups[[#This Row],[Tar1]:[Tar3]])</f>
        <v>4.5999999999999996</v>
      </c>
      <c r="T78" s="464">
        <f>AVERAGE(WRmatchups[[#This Row],[Rec1]:[Rec3]])</f>
        <v>2.16</v>
      </c>
      <c r="U78" s="468">
        <f>SUM(WRmatchups[[#This Row],[Rec4]]/WRmatchups[[#This Row],[Targets2]])</f>
        <v>0.46956521739130441</v>
      </c>
      <c r="V78" s="417">
        <f>AVERAGE(WRmatchups[[#This Row],[Yards1]:[Yards3]])</f>
        <v>35.515333333333338</v>
      </c>
      <c r="W78" s="461">
        <f>SUM(WRmatchups[[#This Row],[Yards]]/WRmatchups[[#This Row],[Targets2]])</f>
        <v>7.7207246376811609</v>
      </c>
      <c r="X78" s="32">
        <f>AVERAGE(WRmatchups[[#This Row],[TD1]:[TD3]])</f>
        <v>0.2465</v>
      </c>
      <c r="Y78" s="14">
        <f>_xlfn.RANK.EQ(WRmatchups[[#This Row],[Projection]],WRmatchups[Projection],0)</f>
        <v>68</v>
      </c>
      <c r="Z78" s="19">
        <f>SUM(WRmatchups[[#This Row],[Yards]]*0.1)+(WRmatchups[[#This Row],[RecTD5]]*6)+(WRmatchups[[#This Row],[Rec4]]*1)+(WRmatchups[[#This Row],[100+]])</f>
        <v>7.1905333333333346</v>
      </c>
      <c r="AA78" s="8">
        <f>_xlfn.RANK.EQ(WRmatchups[[#This Row],[$/FP]],WRmatchups[$/FP],1)</f>
        <v>75</v>
      </c>
      <c r="AB78" s="23">
        <f>SUM(WRmatchups[[#This Row],[Salary]]/WRmatchups[[#This Row],[Projection]])</f>
        <v>514.56544716200926</v>
      </c>
      <c r="AC78" s="241">
        <f>_xlfn.RANK.EQ(WRmatchups[[#This Row],[Average]],WRmatchups[Average],1)</f>
        <v>75</v>
      </c>
      <c r="AD78" s="241">
        <f>AVERAGE(WRmatchups[[#This Row],[Proj Rank]],WRmatchups[[#This Row],[Value Rank]])</f>
        <v>71.5</v>
      </c>
      <c r="AE78" s="210">
        <f>WRmatchups[[#This Row],[Salary]]/50000</f>
        <v>7.3999999999999996E-2</v>
      </c>
      <c r="AF78" s="214"/>
      <c r="AG78" s="14">
        <f>IFERROR(INDEX(WRstats3[Targets],MATCH(WRmatchups[[#This Row],[Name]],WRstats3[Player],0)),"0")</f>
        <v>4.5999999999999996</v>
      </c>
      <c r="AH78" s="14" t="str">
        <f>IFERROR(INDEX(WRstats2[Targets],MATCH(WRmatchups[[#This Row],[Name]],WRstats2[Player],0)),"0")</f>
        <v>0</v>
      </c>
      <c r="AI78" s="14">
        <f>IFERROR(INDEX(WRstats3[Targets],MATCH(WRmatchups[[#This Row],[Name]],WRstats3[Player],0)),"0")</f>
        <v>4.5999999999999996</v>
      </c>
      <c r="AJ78" s="14">
        <f>IFERROR(INDEX(WRstats1[Rec],MATCH(WRmatchups[[#This Row],[Name]],WRstats1[Player],0)),"0")</f>
        <v>1.68</v>
      </c>
      <c r="AK78" s="14">
        <f>IFERROR(INDEX(WRstats2[Rec],MATCH(WRmatchups[[#This Row],[Name]],WRstats2[Player],0)),"0")</f>
        <v>1.9</v>
      </c>
      <c r="AL78" s="14">
        <f>IFERROR(INDEX(WRstats3[Rec],MATCH(WRmatchups[[#This Row],[Name]],WRstats3[Player],0)),"0")</f>
        <v>2.9</v>
      </c>
      <c r="AM78" s="32" t="str">
        <f>IFERROR(INDEX(WRallowed[Rec],MATCH(WRmatchups[[#This Row],[Opp]],WRallowed[Team],0)),"0")</f>
        <v>0</v>
      </c>
      <c r="AN78" s="14">
        <f>IFERROR(INDEX(WRstats1[Rec Yds],MATCH(WRmatchups[[#This Row],[Name]],WRstats1[Player],0)),"0")</f>
        <v>29.045999999999999</v>
      </c>
      <c r="AO78" s="14">
        <f>IFERROR(INDEX(WRstats2[RecYards],MATCH(WRmatchups[[#This Row],[Name]],WRstats2[Player],0)),"0")</f>
        <v>36.799999999999997</v>
      </c>
      <c r="AP78" s="14">
        <f>IFERROR(INDEX(WRstats3[RecYards],MATCH(WRmatchups[[#This Row],[Name]],WRstats3[Player],0)),"0")</f>
        <v>40.700000000000003</v>
      </c>
      <c r="AQ78" s="32" t="str">
        <f>IFERROR(INDEX(WRallowed[Yard],MATCH(WRmatchups[[#This Row],[Opp]],WRallowed[Team],0)),"0")</f>
        <v>0</v>
      </c>
      <c r="AR78" s="14">
        <f>IFERROR(INDEX(WRstats1[Rec TD],MATCH(WRmatchups[[#This Row],[Name]],WRstats1[Player],0)),"0")</f>
        <v>0.193</v>
      </c>
      <c r="AS78" s="14" t="str">
        <f>IFERROR(INDEX(WRstats2[RecTD],MATCH(WRmatchups[[#This Row],[Name]],WRstats2[Player],0)),"0")</f>
        <v>0.1</v>
      </c>
      <c r="AT78" s="14">
        <f>IFERROR(INDEX(WRstats3[RecTD],MATCH(WRmatchups[[#This Row],[Name]],WRstats3[Player],0)),"0")</f>
        <v>0.3</v>
      </c>
      <c r="AU78" s="32">
        <f>IFERROR(INDEX(WRallowed[TD],MATCH(WRmatchups[[#This Row],[Opp]],WRallowed[Team],0)),"0")*0.5</f>
        <v>0</v>
      </c>
      <c r="AV78" s="14" t="str">
        <f>IFERROR(INDEX(WRstats2[RushAtt],MATCH(WRmatchups[[#This Row],[Name]],WRstats2[Player],0)),"0")</f>
        <v>0.1</v>
      </c>
      <c r="AW78" s="14">
        <f>IFERROR(INDEX(WRstats3[RushATT],MATCH(WRmatchups[[#This Row],[Name]],WRstats3[Player],0)),"0")</f>
        <v>0</v>
      </c>
      <c r="AX78" s="14">
        <f>IFERROR(INDEX(WRstats2[RushYards],MATCH(WRmatchups[[#This Row],[Name]],WRstats2[Player],0)),"0")</f>
        <v>1.7</v>
      </c>
      <c r="AY78" s="14">
        <f>IFERROR(INDEX(WRstats3[RushYards],MATCH(WRmatchups[[#This Row],[Name]],WRstats3[Player],0)),"0")</f>
        <v>0</v>
      </c>
      <c r="AZ78" s="14" t="str">
        <f>IFERROR(INDEX(WRstats2[RushTD],MATCH(WRmatchups[[#This Row],[Name]],WRstats2[Player],0)),"0")</f>
        <v>0</v>
      </c>
      <c r="BA78" s="14">
        <f>IFERROR(INDEX(WRstats3[RushTD],MATCH(WRmatchups[[#This Row],[Name]],WRstats3[Player],0)),"0")</f>
        <v>0</v>
      </c>
      <c r="BB78" s="264">
        <f>IF(WRmatchups[[#This Row],[Yards]]&gt;=100,3,0)</f>
        <v>0</v>
      </c>
      <c r="BC78" s="191" t="str">
        <f>IFERROR(INDEX(#REF!,MATCH(WRmatchups[Name],#REF!,0)),"0")</f>
        <v>0</v>
      </c>
      <c r="BD78" s="494">
        <f>WRmatchups[[#This Row],[Targets]]/WRmatchups[[#This Row],[Salary]]*100</f>
        <v>0.32432432432432429</v>
      </c>
    </row>
    <row r="79" spans="1:56" ht="15" thickBot="1" x14ac:dyDescent="0.35">
      <c r="A79" s="37">
        <f>WRstats1!AL63</f>
        <v>7</v>
      </c>
      <c r="B79" s="5" t="str">
        <f>WRstats1!D63</f>
        <v>Quinton Patton</v>
      </c>
      <c r="C79" s="172">
        <f>IFERROR(INDEX(Salaries[DraftKings (Price)],MATCH(WRmatchups[[#This Row],[Name]],Salaries[Player],0)),"")</f>
        <v>3000</v>
      </c>
      <c r="D79" s="172">
        <f>IFERROR(INDEX(DK_Salary_Changes[WeekChange],MATCH(WRmatchups[[#This Row],[Name]],DK_Salary_Changes[Player],0)),"")</f>
        <v>-100</v>
      </c>
      <c r="E79" s="14" t="str">
        <f>IFERROR(INDEX(Salaries[Team],MATCH(WRmatchups[[#This Row],[Name]],Salaries[Player],0)),"")</f>
        <v>SF</v>
      </c>
      <c r="F79" s="460" t="str">
        <f>IFERROR(INDEX(Salaries[Opp],MATCH(WRmatchups[[#This Row],[Team]],Salaries[Team],0)),"")</f>
        <v>DAL</v>
      </c>
      <c r="G79" s="476" t="str">
        <f>IFERROR(INDEX(WRYTD[Rec],MATCH(WRmatchups[Name],WRYTD[Player],0)),"0")</f>
        <v>0</v>
      </c>
      <c r="H79" s="458">
        <f>IFERROR(INDEX(targettracker54[TTL],MATCH(WRmatchups[Name],targettracker54[Name],0)),"")</f>
        <v>15</v>
      </c>
      <c r="I79" s="475" t="str">
        <f>IFERROR(INDEX(WRYTD[Rec Yds],MATCH(WRmatchups[Name],WRYTD[Player],0)),"0")</f>
        <v>0</v>
      </c>
      <c r="J79" s="477" t="str">
        <f>IFERROR(INDEX(WRYTD[Rec TD],MATCH(WRmatchups[Name],WRYTD[Player],0)),"0")</f>
        <v>0</v>
      </c>
      <c r="K79" s="473">
        <f>IFERROR(INDEX(Salaries[O/U],MATCH(WRmatchups[[#This Row],[Team]],Salaries[Team],0)),"")</f>
        <v>46</v>
      </c>
      <c r="L79" s="32">
        <f>IFERROR(INDEX(Salaries[Team O/U],MATCH(WRmatchups[[#This Row],[Team]],Salaries[Team],0)),"")</f>
        <v>21.5</v>
      </c>
      <c r="M79" s="417">
        <f>IFERROR(INDEX(Salaries[Spread],MATCH(WRmatchups[[#This Row],[Team]],Salaries[Team],0)),"")</f>
        <v>3</v>
      </c>
      <c r="N79" s="424">
        <f>IFERROR(INDEX(WRallowed[DVP],MATCH(WRmatchups[[#This Row],[Opp]],WRallowed[Team],0)),IFERROR(INDEX(WRallowed[DVP],MATCH(WRmatchups[[#This Row],[Opp]],WRallowed[Opp],0)),""))</f>
        <v>7</v>
      </c>
      <c r="O79" s="17">
        <f>IFERROR(INDEX(YAtCData[YAtC],MATCH(WRmatchups[[#This Row],[Name]],YAtCData[Player],0)),"0")</f>
        <v>58</v>
      </c>
      <c r="P79" s="497">
        <f>IFERROR(INDEX(YAtCData[YAtC/Rec],MATCH(WRmatchups[[#This Row],[Name]],YAtCData[Player],0)),"0")</f>
        <v>6.44</v>
      </c>
      <c r="Q79" s="17">
        <f>IFERROR(INDEX(YAtCData[YAC],MATCH(WRmatchups[[#This Row],[Name]],YAtCData[Player],0)),"0")</f>
        <v>35</v>
      </c>
      <c r="R79" s="497">
        <f>IFERROR(INDEX(YACDATA[YAC per Reception],MATCH(WRmatchups[[#This Row],[Name]],YACDATA[Player],0)),"0")</f>
        <v>3.9</v>
      </c>
      <c r="S79" s="418">
        <f>AVERAGE(WRmatchups[[#This Row],[Tar1]:[Tar3]])</f>
        <v>4.3</v>
      </c>
      <c r="T79" s="464">
        <f>AVERAGE(WRmatchups[[#This Row],[Rec1]:[Rec3]])</f>
        <v>2.5559999999999996</v>
      </c>
      <c r="U79" s="468">
        <f>SUM(WRmatchups[[#This Row],[Rec4]]/WRmatchups[[#This Row],[Targets2]])</f>
        <v>0.5944186046511627</v>
      </c>
      <c r="V79" s="417">
        <f>AVERAGE(WRmatchups[[#This Row],[Yards1]:[Yards3]])</f>
        <v>31.23266666666667</v>
      </c>
      <c r="W79" s="461">
        <f>SUM(WRmatchups[[#This Row],[Yards]]/WRmatchups[[#This Row],[Targets2]])</f>
        <v>7.2634108527131795</v>
      </c>
      <c r="X79" s="32">
        <f>AVERAGE(WRmatchups[[#This Row],[TD1]:[TD3]])</f>
        <v>0.23700000000000002</v>
      </c>
      <c r="Y79" s="14">
        <f>_xlfn.RANK.EQ(WRmatchups[[#This Row],[Projection]],WRmatchups[Projection],0)</f>
        <v>69</v>
      </c>
      <c r="Z79" s="19">
        <f>SUM(WRmatchups[[#This Row],[Yards]]*0.1)+(WRmatchups[[#This Row],[RecTD5]]*6)+(WRmatchups[[#This Row],[Rec4]]*1)+(WRmatchups[[#This Row],[100+]])</f>
        <v>7.1012666666666675</v>
      </c>
      <c r="AA79" s="8">
        <f>_xlfn.RANK.EQ(WRmatchups[[#This Row],[$/FP]],WRmatchups[$/FP],1)</f>
        <v>39</v>
      </c>
      <c r="AB79" s="23">
        <f>SUM(WRmatchups[[#This Row],[Salary]]/WRmatchups[[#This Row],[Projection]])</f>
        <v>422.45984284493841</v>
      </c>
      <c r="AC79" s="241">
        <f>_xlfn.RANK.EQ(WRmatchups[[#This Row],[Average]],WRmatchups[Average],1)</f>
        <v>60</v>
      </c>
      <c r="AD79" s="241">
        <f>AVERAGE(WRmatchups[[#This Row],[Proj Rank]],WRmatchups[[#This Row],[Value Rank]])</f>
        <v>54</v>
      </c>
      <c r="AE79" s="210">
        <f>WRmatchups[[#This Row],[Salary]]/50000</f>
        <v>0.06</v>
      </c>
      <c r="AF79" s="214"/>
      <c r="AG79" s="14">
        <f>IFERROR(INDEX(WRstats3[Targets],MATCH(WRmatchups[[#This Row],[Name]],WRstats3[Player],0)),"0")</f>
        <v>4.3</v>
      </c>
      <c r="AH79" s="14" t="str">
        <f>IFERROR(INDEX(WRstats2[Targets],MATCH(WRmatchups[[#This Row],[Name]],WRstats2[Player],0)),"0")</f>
        <v>0</v>
      </c>
      <c r="AI79" s="14">
        <f>IFERROR(INDEX(WRstats3[Targets],MATCH(WRmatchups[[#This Row],[Name]],WRstats3[Player],0)),"0")</f>
        <v>4.3</v>
      </c>
      <c r="AJ79" s="14">
        <f>IFERROR(INDEX(WRstats1[Rec],MATCH(WRmatchups[[#This Row],[Name]],WRstats1[Player],0)),"0")</f>
        <v>3.3679999999999999</v>
      </c>
      <c r="AK79" s="14">
        <f>IFERROR(INDEX(WRstats2[Rec],MATCH(WRmatchups[[#This Row],[Name]],WRstats2[Player],0)),"0")</f>
        <v>1.9</v>
      </c>
      <c r="AL79" s="14">
        <f>IFERROR(INDEX(WRstats3[Rec],MATCH(WRmatchups[[#This Row],[Name]],WRstats3[Player],0)),"0")</f>
        <v>2.4</v>
      </c>
      <c r="AM79" s="32">
        <f>IFERROR(INDEX(WRallowed[Rec],MATCH(WRmatchups[[#This Row],[Opp]],WRallowed[Team],0)),"0")</f>
        <v>13.25</v>
      </c>
      <c r="AN79" s="14">
        <f>IFERROR(INDEX(WRstats1[Rec Yds],MATCH(WRmatchups[[#This Row],[Name]],WRstats1[Player],0)),"0")</f>
        <v>37.097999999999999</v>
      </c>
      <c r="AO79" s="14">
        <f>IFERROR(INDEX(WRstats2[RecYards],MATCH(WRmatchups[[#This Row],[Name]],WRstats2[Player],0)),"0")</f>
        <v>23.2</v>
      </c>
      <c r="AP79" s="14">
        <f>IFERROR(INDEX(WRstats3[RecYards],MATCH(WRmatchups[[#This Row],[Name]],WRstats3[Player],0)),"0")</f>
        <v>33.4</v>
      </c>
      <c r="AQ79" s="32">
        <f>IFERROR(INDEX(WRallowed[Yard],MATCH(WRmatchups[[#This Row],[Opp]],WRallowed[Team],0)),"0")</f>
        <v>177.75</v>
      </c>
      <c r="AR79" s="14">
        <f>IFERROR(INDEX(WRstats1[Rec TD],MATCH(WRmatchups[[#This Row],[Name]],WRstats1[Player],0)),"0")</f>
        <v>0.27400000000000002</v>
      </c>
      <c r="AS79" s="14" t="str">
        <f>IFERROR(INDEX(WRstats2[RecTD],MATCH(WRmatchups[[#This Row],[Name]],WRstats2[Player],0)),"0")</f>
        <v>0</v>
      </c>
      <c r="AT79" s="14">
        <f>IFERROR(INDEX(WRstats3[RecTD],MATCH(WRmatchups[[#This Row],[Name]],WRstats3[Player],0)),"0")</f>
        <v>0.2</v>
      </c>
      <c r="AU79" s="32">
        <f>IFERROR(INDEX(WRallowed[TD],MATCH(WRmatchups[[#This Row],[Opp]],WRallowed[Team],0)),"0")*0.5</f>
        <v>0.59375</v>
      </c>
      <c r="AV79" s="14" t="str">
        <f>IFERROR(INDEX(WRstats2[RushAtt],MATCH(WRmatchups[[#This Row],[Name]],WRstats2[Player],0)),"0")</f>
        <v>0</v>
      </c>
      <c r="AW79" s="14">
        <f>IFERROR(INDEX(WRstats3[RushATT],MATCH(WRmatchups[[#This Row],[Name]],WRstats3[Player],0)),"0")</f>
        <v>0</v>
      </c>
      <c r="AX79" s="14" t="str">
        <f>IFERROR(INDEX(WRstats2[RushYards],MATCH(WRmatchups[[#This Row],[Name]],WRstats2[Player],0)),"0")</f>
        <v>0.2</v>
      </c>
      <c r="AY79" s="14">
        <f>IFERROR(INDEX(WRstats3[RushYards],MATCH(WRmatchups[[#This Row],[Name]],WRstats3[Player],0)),"0")</f>
        <v>0</v>
      </c>
      <c r="AZ79" s="14" t="str">
        <f>IFERROR(INDEX(WRstats2[RushTD],MATCH(WRmatchups[[#This Row],[Name]],WRstats2[Player],0)),"0")</f>
        <v>0</v>
      </c>
      <c r="BA79" s="14">
        <f>IFERROR(INDEX(WRstats3[RushTD],MATCH(WRmatchups[[#This Row],[Name]],WRstats3[Player],0)),"0")</f>
        <v>0</v>
      </c>
      <c r="BB79" s="264">
        <f>IF(WRmatchups[[#This Row],[Yards]]&gt;=100,3,0)</f>
        <v>0</v>
      </c>
      <c r="BC79" s="191" t="str">
        <f>IFERROR(INDEX(#REF!,MATCH(WRmatchups[Name],#REF!,0)),"0")</f>
        <v>0</v>
      </c>
      <c r="BD79" s="494">
        <f>WRmatchups[[#This Row],[Targets]]/WRmatchups[[#This Row],[Salary]]*100</f>
        <v>0.5</v>
      </c>
    </row>
    <row r="80" spans="1:56" ht="15" thickBot="1" x14ac:dyDescent="0.35">
      <c r="A80" s="37">
        <f>WRstats1!AL56</f>
        <v>8.5</v>
      </c>
      <c r="B80" s="5" t="str">
        <f>WRstats1!D56</f>
        <v>Adam Humphries</v>
      </c>
      <c r="C80" s="172">
        <f>IFERROR(INDEX(Salaries[DraftKings (Price)],MATCH(WRmatchups[[#This Row],[Name]],Salaries[Player],0)),"")</f>
        <v>3000</v>
      </c>
      <c r="D80" s="172">
        <f>IFERROR(INDEX(DK_Salary_Changes[WeekChange],MATCH(WRmatchups[[#This Row],[Name]],DK_Salary_Changes[Player],0)),"")</f>
        <v>0</v>
      </c>
      <c r="E80" s="14" t="str">
        <f>IFERROR(INDEX(Salaries[Team],MATCH(WRmatchups[[#This Row],[Name]],Salaries[Player],0)),"")</f>
        <v>TB</v>
      </c>
      <c r="F80" s="460" t="str">
        <f>IFERROR(INDEX(Salaries[Opp],MATCH(WRmatchups[[#This Row],[Team]],Salaries[Team],0)),"")</f>
        <v>DEN</v>
      </c>
      <c r="G80" s="476">
        <f>IFERROR(INDEX(WRYTD[Rec],MATCH(WRmatchups[Name],WRYTD[Player],0)),"0")</f>
        <v>18</v>
      </c>
      <c r="H80" s="458">
        <f>IFERROR(INDEX(targettracker54[TTL],MATCH(WRmatchups[Name],targettracker54[Name],0)),"")</f>
        <v>25</v>
      </c>
      <c r="I80" s="475">
        <f>IFERROR(INDEX(WRYTD[Rec Yds],MATCH(WRmatchups[Name],WRYTD[Player],0)),"0")</f>
        <v>201</v>
      </c>
      <c r="J80" s="477">
        <f>IFERROR(INDEX(WRYTD[Rec TD],MATCH(WRmatchups[Name],WRYTD[Player],0)),"0")</f>
        <v>0</v>
      </c>
      <c r="K80" s="473">
        <f>IFERROR(INDEX(Salaries[O/U],MATCH(WRmatchups[[#This Row],[Team]],Salaries[Team],0)),"")</f>
        <v>44</v>
      </c>
      <c r="L80" s="32">
        <f>IFERROR(INDEX(Salaries[Team O/U],MATCH(WRmatchups[[#This Row],[Team]],Salaries[Team],0)),"")</f>
        <v>20.5</v>
      </c>
      <c r="M80" s="417">
        <f>IFERROR(INDEX(Salaries[Spread],MATCH(WRmatchups[[#This Row],[Team]],Salaries[Team],0)),"")</f>
        <v>3</v>
      </c>
      <c r="N80" s="424">
        <f>IFERROR(INDEX(WRallowed[DVP],MATCH(WRmatchups[[#This Row],[Opp]],WRallowed[Team],0)),IFERROR(INDEX(WRallowed[DVP],MATCH(WRmatchups[[#This Row],[Opp]],WRallowed[Opp],0)),""))</f>
        <v>1</v>
      </c>
      <c r="O80" s="17">
        <f>IFERROR(INDEX(YAtCData[YAtC],MATCH(WRmatchups[[#This Row],[Name]],YAtCData[Player],0)),"0")</f>
        <v>52</v>
      </c>
      <c r="P80" s="497">
        <f>IFERROR(INDEX(YAtCData[YAtC/Rec],MATCH(WRmatchups[[#This Row],[Name]],YAtCData[Player],0)),"0")</f>
        <v>2.89</v>
      </c>
      <c r="Q80" s="17">
        <f>IFERROR(INDEX(YAtCData[YAC],MATCH(WRmatchups[[#This Row],[Name]],YAtCData[Player],0)),"0")</f>
        <v>149</v>
      </c>
      <c r="R80" s="497">
        <f>IFERROR(INDEX(YACDATA[YAC per Reception],MATCH(WRmatchups[[#This Row],[Name]],YACDATA[Player],0)),"0")</f>
        <v>8.3000000000000007</v>
      </c>
      <c r="S80" s="418">
        <f>AVERAGE(WRmatchups[[#This Row],[Tar1]:[Tar3]])</f>
        <v>2.6</v>
      </c>
      <c r="T80" s="464">
        <f>AVERAGE(WRmatchups[[#This Row],[Rec1]:[Rec3]])</f>
        <v>2.9439999999999995</v>
      </c>
      <c r="U80" s="468">
        <f>SUM(WRmatchups[[#This Row],[Rec4]]/WRmatchups[[#This Row],[Targets2]])</f>
        <v>1.132307692307692</v>
      </c>
      <c r="V80" s="417">
        <f>AVERAGE(WRmatchups[[#This Row],[Yards1]:[Yards3]])</f>
        <v>32.984666666666669</v>
      </c>
      <c r="W80" s="461">
        <f>SUM(WRmatchups[[#This Row],[Yards]]/WRmatchups[[#This Row],[Targets2]])</f>
        <v>12.686410256410257</v>
      </c>
      <c r="X80" s="32">
        <f>AVERAGE(WRmatchups[[#This Row],[TD1]:[TD3]])</f>
        <v>8.8999999999999996E-2</v>
      </c>
      <c r="Y80" s="14">
        <f>_xlfn.RANK.EQ(WRmatchups[[#This Row],[Projection]],WRmatchups[Projection],0)</f>
        <v>70</v>
      </c>
      <c r="Z80" s="19">
        <f>SUM(WRmatchups[[#This Row],[Yards]]*0.1)+(WRmatchups[[#This Row],[RecTD5]]*6)+(WRmatchups[[#This Row],[Rec4]]*1)+(WRmatchups[[#This Row],[100+]])</f>
        <v>6.776466666666666</v>
      </c>
      <c r="AA80" s="8">
        <f>_xlfn.RANK.EQ(WRmatchups[[#This Row],[$/FP]],WRmatchups[$/FP],1)</f>
        <v>52</v>
      </c>
      <c r="AB80" s="23">
        <f>SUM(WRmatchups[[#This Row],[Salary]]/WRmatchups[[#This Row],[Projection]])</f>
        <v>442.70858953043381</v>
      </c>
      <c r="AC80" s="241">
        <f>_xlfn.RANK.EQ(WRmatchups[[#This Row],[Average]],WRmatchups[Average],1)</f>
        <v>69</v>
      </c>
      <c r="AD80" s="241">
        <f>AVERAGE(WRmatchups[[#This Row],[Proj Rank]],WRmatchups[[#This Row],[Value Rank]])</f>
        <v>61</v>
      </c>
      <c r="AE80" s="210">
        <f>WRmatchups[[#This Row],[Salary]]/50000</f>
        <v>0.06</v>
      </c>
      <c r="AF80" s="214"/>
      <c r="AG80" s="14">
        <f>IFERROR(INDEX(WRstats3[Targets],MATCH(WRmatchups[[#This Row],[Name]],WRstats3[Player],0)),"0")</f>
        <v>2.6</v>
      </c>
      <c r="AH80" s="14" t="str">
        <f>IFERROR(INDEX(WRstats2[Targets],MATCH(WRmatchups[[#This Row],[Name]],WRstats2[Player],0)),"0")</f>
        <v>0</v>
      </c>
      <c r="AI80" s="14">
        <f>IFERROR(INDEX(WRstats3[Targets],MATCH(WRmatchups[[#This Row],[Name]],WRstats3[Player],0)),"0")</f>
        <v>2.6</v>
      </c>
      <c r="AJ80" s="14">
        <f>IFERROR(INDEX(WRstats1[Rec],MATCH(WRmatchups[[#This Row],[Name]],WRstats1[Player],0)),"0")</f>
        <v>4.8319999999999999</v>
      </c>
      <c r="AK80" s="14">
        <f>IFERROR(INDEX(WRstats2[Rec],MATCH(WRmatchups[[#This Row],[Name]],WRstats2[Player],0)),"0")</f>
        <v>2.2999999999999998</v>
      </c>
      <c r="AL80" s="14">
        <f>IFERROR(INDEX(WRstats3[Rec],MATCH(WRmatchups[[#This Row],[Name]],WRstats3[Player],0)),"0")</f>
        <v>1.7</v>
      </c>
      <c r="AM80" s="32">
        <f>IFERROR(INDEX(WRallowed[Rec],MATCH(WRmatchups[[#This Row],[Opp]],WRallowed[Team],0)),"0")</f>
        <v>13.9375</v>
      </c>
      <c r="AN80" s="14">
        <f>IFERROR(INDEX(WRstats1[Rec Yds],MATCH(WRmatchups[[#This Row],[Name]],WRstats1[Player],0)),"0")</f>
        <v>54.654000000000003</v>
      </c>
      <c r="AO80" s="14">
        <f>IFERROR(INDEX(WRstats2[RecYards],MATCH(WRmatchups[[#This Row],[Name]],WRstats2[Player],0)),"0")</f>
        <v>24.4</v>
      </c>
      <c r="AP80" s="14">
        <f>IFERROR(INDEX(WRstats3[RecYards],MATCH(WRmatchups[[#This Row],[Name]],WRstats3[Player],0)),"0")</f>
        <v>19.899999999999999</v>
      </c>
      <c r="AQ80" s="32">
        <f>IFERROR(INDEX(WRallowed[Yard],MATCH(WRmatchups[[#This Row],[Opp]],WRallowed[Team],0)),"0")</f>
        <v>176.3125</v>
      </c>
      <c r="AR80" s="14">
        <f>IFERROR(INDEX(WRstats1[Rec TD],MATCH(WRmatchups[[#This Row],[Name]],WRstats1[Player],0)),"0")</f>
        <v>7.8E-2</v>
      </c>
      <c r="AS80" s="14" t="str">
        <f>IFERROR(INDEX(WRstats2[RecTD],MATCH(WRmatchups[[#This Row],[Name]],WRstats2[Player],0)),"0")</f>
        <v>0.1</v>
      </c>
      <c r="AT80" s="14">
        <f>IFERROR(INDEX(WRstats3[RecTD],MATCH(WRmatchups[[#This Row],[Name]],WRstats3[Player],0)),"0")</f>
        <v>0.1</v>
      </c>
      <c r="AU80" s="32">
        <f>IFERROR(INDEX(WRallowed[TD],MATCH(WRmatchups[[#This Row],[Opp]],WRallowed[Team],0)),"0")*0.5</f>
        <v>0.59375</v>
      </c>
      <c r="AV80" s="14" t="str">
        <f>IFERROR(INDEX(WRstats2[RushAtt],MATCH(WRmatchups[[#This Row],[Name]],WRstats2[Player],0)),"0")</f>
        <v>0.1</v>
      </c>
      <c r="AW80" s="14">
        <f>IFERROR(INDEX(WRstats3[RushATT],MATCH(WRmatchups[[#This Row],[Name]],WRstats3[Player],0)),"0")</f>
        <v>0</v>
      </c>
      <c r="AX80" s="14">
        <f>IFERROR(INDEX(WRstats2[RushYards],MATCH(WRmatchups[[#This Row],[Name]],WRstats2[Player],0)),"0")</f>
        <v>-0.1</v>
      </c>
      <c r="AY80" s="14">
        <f>IFERROR(INDEX(WRstats3[RushYards],MATCH(WRmatchups[[#This Row],[Name]],WRstats3[Player],0)),"0")</f>
        <v>0</v>
      </c>
      <c r="AZ80" s="14" t="str">
        <f>IFERROR(INDEX(WRstats2[RushTD],MATCH(WRmatchups[[#This Row],[Name]],WRstats2[Player],0)),"0")</f>
        <v>0</v>
      </c>
      <c r="BA80" s="14">
        <f>IFERROR(INDEX(WRstats3[RushTD],MATCH(WRmatchups[[#This Row],[Name]],WRstats3[Player],0)),"0")</f>
        <v>0</v>
      </c>
      <c r="BB80" s="264">
        <f>IF(WRmatchups[[#This Row],[Yards]]&gt;=100,3,0)</f>
        <v>0</v>
      </c>
      <c r="BC80" s="191" t="str">
        <f>IFERROR(INDEX(#REF!,MATCH(WRmatchups[Name],#REF!,0)),"0")</f>
        <v>0</v>
      </c>
      <c r="BD80" s="494">
        <f>WRmatchups[[#This Row],[Targets]]/WRmatchups[[#This Row],[Salary]]*100</f>
        <v>0.83333333333333337</v>
      </c>
    </row>
    <row r="81" spans="1:56" ht="15" thickBot="1" x14ac:dyDescent="0.35">
      <c r="A81" s="37">
        <f>WRstats1!AL76</f>
        <v>5.3</v>
      </c>
      <c r="B81" s="5" t="str">
        <f>WRstats1!D76</f>
        <v>Breshad Perriman</v>
      </c>
      <c r="C81" s="172">
        <f>IFERROR(INDEX(Salaries[DraftKings (Price)],MATCH(WRmatchups[[#This Row],[Name]],Salaries[Player],0)),"")</f>
        <v>3000</v>
      </c>
      <c r="D81" s="172">
        <f>IFERROR(INDEX(DK_Salary_Changes[WeekChange],MATCH(WRmatchups[[#This Row],[Name]],DK_Salary_Changes[Player],0)),"")</f>
        <v>0</v>
      </c>
      <c r="E81" s="14" t="str">
        <f>IFERROR(INDEX(Salaries[Team],MATCH(WRmatchups[[#This Row],[Name]],Salaries[Player],0)),"")</f>
        <v>BAL</v>
      </c>
      <c r="F81" s="460" t="str">
        <f>IFERROR(INDEX(Salaries[Opp],MATCH(WRmatchups[[#This Row],[Team]],Salaries[Team],0)),"")</f>
        <v>OAK</v>
      </c>
      <c r="G81" s="476" t="str">
        <f>IFERROR(INDEX(WRYTD[Rec],MATCH(WRmatchups[Name],WRYTD[Player],0)),"0")</f>
        <v>0</v>
      </c>
      <c r="H81" s="458">
        <f>IFERROR(INDEX(targettracker54[TTL],MATCH(WRmatchups[Name],targettracker54[Name],0)),"")</f>
        <v>11</v>
      </c>
      <c r="I81" s="475" t="str">
        <f>IFERROR(INDEX(WRYTD[Rec Yds],MATCH(WRmatchups[Name],WRYTD[Player],0)),"0")</f>
        <v>0</v>
      </c>
      <c r="J81" s="477" t="str">
        <f>IFERROR(INDEX(WRYTD[Rec TD],MATCH(WRmatchups[Name],WRYTD[Player],0)),"0")</f>
        <v>0</v>
      </c>
      <c r="K81" s="473">
        <f>IFERROR(INDEX(Salaries[O/U],MATCH(WRmatchups[[#This Row],[Team]],Salaries[Team],0)),"")</f>
        <v>46.5</v>
      </c>
      <c r="L81" s="32">
        <f>IFERROR(INDEX(Salaries[Team O/U],MATCH(WRmatchups[[#This Row],[Team]],Salaries[Team],0)),"")</f>
        <v>25</v>
      </c>
      <c r="M81" s="417">
        <f>IFERROR(INDEX(Salaries[Spread],MATCH(WRmatchups[[#This Row],[Team]],Salaries[Team],0)),"")</f>
        <v>-3.5</v>
      </c>
      <c r="N81" s="424">
        <f>IFERROR(INDEX(WRallowed[DVP],MATCH(WRmatchups[[#This Row],[Opp]],WRallowed[Team],0)),IFERROR(INDEX(WRallowed[DVP],MATCH(WRmatchups[[#This Row],[Opp]],WRallowed[Opp],0)),""))</f>
        <v>13</v>
      </c>
      <c r="O81" s="17">
        <f>IFERROR(INDEX(YAtCData[YAtC],MATCH(WRmatchups[[#This Row],[Name]],YAtCData[Player],0)),"0")</f>
        <v>79</v>
      </c>
      <c r="P81" s="497">
        <f>IFERROR(INDEX(YAtCData[YAtC/Rec],MATCH(WRmatchups[[#This Row],[Name]],YAtCData[Player],0)),"0")</f>
        <v>15.8</v>
      </c>
      <c r="Q81" s="17">
        <f>IFERROR(INDEX(YAtCData[YAC],MATCH(WRmatchups[[#This Row],[Name]],YAtCData[Player],0)),"0")</f>
        <v>10</v>
      </c>
      <c r="R81" s="497">
        <f>IFERROR(INDEX(YACDATA[YAC per Reception],MATCH(WRmatchups[[#This Row],[Name]],YACDATA[Player],0)),"0")</f>
        <v>2</v>
      </c>
      <c r="S81" s="418">
        <f>AVERAGE(WRmatchups[[#This Row],[Tar1]:[Tar3]])</f>
        <v>4.9000000000000004</v>
      </c>
      <c r="T81" s="464">
        <f>AVERAGE(WRmatchups[[#This Row],[Rec1]:[Rec3]])</f>
        <v>2.1396666666666668</v>
      </c>
      <c r="U81" s="468">
        <f>SUM(WRmatchups[[#This Row],[Rec4]]/WRmatchups[[#This Row],[Targets2]])</f>
        <v>0.43666666666666665</v>
      </c>
      <c r="V81" s="417">
        <f>AVERAGE(WRmatchups[[#This Row],[Yards1]:[Yards3]])</f>
        <v>32.193000000000005</v>
      </c>
      <c r="W81" s="461">
        <f>SUM(WRmatchups[[#This Row],[Yards]]/WRmatchups[[#This Row],[Targets2]])</f>
        <v>6.57</v>
      </c>
      <c r="X81" s="32">
        <f>AVERAGE(WRmatchups[[#This Row],[TD1]:[TD3]])</f>
        <v>0.20600000000000002</v>
      </c>
      <c r="Y81" s="14">
        <f>_xlfn.RANK.EQ(WRmatchups[[#This Row],[Projection]],WRmatchups[Projection],0)</f>
        <v>71</v>
      </c>
      <c r="Z81" s="19">
        <f>SUM(WRmatchups[[#This Row],[Yards]]*0.1)+(WRmatchups[[#This Row],[RecTD5]]*6)+(WRmatchups[[#This Row],[Rec4]]*1)+(WRmatchups[[#This Row],[100+]])</f>
        <v>6.594966666666668</v>
      </c>
      <c r="AA81" s="8">
        <f>_xlfn.RANK.EQ(WRmatchups[[#This Row],[$/FP]],WRmatchups[$/FP],1)</f>
        <v>56</v>
      </c>
      <c r="AB81" s="23">
        <f>SUM(WRmatchups[[#This Row],[Salary]]/WRmatchups[[#This Row],[Projection]])</f>
        <v>454.89236741151069</v>
      </c>
      <c r="AC81" s="241">
        <f>_xlfn.RANK.EQ(WRmatchups[[#This Row],[Average]],WRmatchups[Average],1)</f>
        <v>70</v>
      </c>
      <c r="AD81" s="241">
        <f>AVERAGE(WRmatchups[[#This Row],[Proj Rank]],WRmatchups[[#This Row],[Value Rank]])</f>
        <v>63.5</v>
      </c>
      <c r="AE81" s="210">
        <f>WRmatchups[[#This Row],[Salary]]/50000</f>
        <v>0.06</v>
      </c>
      <c r="AF81" s="214"/>
      <c r="AG81" s="14">
        <f>IFERROR(INDEX(WRstats3[Targets],MATCH(WRmatchups[[#This Row],[Name]],WRstats3[Player],0)),"0")</f>
        <v>4.9000000000000004</v>
      </c>
      <c r="AH81" s="14" t="str">
        <f>IFERROR(INDEX(WRstats2[Targets],MATCH(WRmatchups[[#This Row],[Name]],WRstats2[Player],0)),"0")</f>
        <v>0</v>
      </c>
      <c r="AI81" s="14">
        <f>IFERROR(INDEX(WRstats3[Targets],MATCH(WRmatchups[[#This Row],[Name]],WRstats3[Player],0)),"0")</f>
        <v>4.9000000000000004</v>
      </c>
      <c r="AJ81" s="14">
        <f>IFERROR(INDEX(WRstats1[Rec],MATCH(WRmatchups[[#This Row],[Name]],WRstats1[Player],0)),"0")</f>
        <v>1.619</v>
      </c>
      <c r="AK81" s="14">
        <f>IFERROR(INDEX(WRstats2[Rec],MATCH(WRmatchups[[#This Row],[Name]],WRstats2[Player],0)),"0")</f>
        <v>1.8</v>
      </c>
      <c r="AL81" s="14">
        <f>IFERROR(INDEX(WRstats3[Rec],MATCH(WRmatchups[[#This Row],[Name]],WRstats3[Player],0)),"0")</f>
        <v>3</v>
      </c>
      <c r="AM81" s="32">
        <f>IFERROR(INDEX(WRallowed[Rec],MATCH(WRmatchups[[#This Row],[Opp]],WRallowed[Team],0)),"0")</f>
        <v>11.125</v>
      </c>
      <c r="AN81" s="14">
        <f>IFERROR(INDEX(WRstats1[Rec Yds],MATCH(WRmatchups[[#This Row],[Name]],WRstats1[Player],0)),"0")</f>
        <v>32.478999999999999</v>
      </c>
      <c r="AO81" s="14">
        <f>IFERROR(INDEX(WRstats2[RecYards],MATCH(WRmatchups[[#This Row],[Name]],WRstats2[Player],0)),"0")</f>
        <v>25.9</v>
      </c>
      <c r="AP81" s="14">
        <f>IFERROR(INDEX(WRstats3[RecYards],MATCH(WRmatchups[[#This Row],[Name]],WRstats3[Player],0)),"0")</f>
        <v>38.200000000000003</v>
      </c>
      <c r="AQ81" s="32">
        <f>IFERROR(INDEX(WRallowed[Yard],MATCH(WRmatchups[[#This Row],[Opp]],WRallowed[Team],0)),"0")</f>
        <v>145.75</v>
      </c>
      <c r="AR81" s="14">
        <f>IFERROR(INDEX(WRstats1[Rec TD],MATCH(WRmatchups[[#This Row],[Name]],WRstats1[Player],0)),"0")</f>
        <v>0.21199999999999999</v>
      </c>
      <c r="AS81" s="14" t="str">
        <f>IFERROR(INDEX(WRstats2[RecTD],MATCH(WRmatchups[[#This Row],[Name]],WRstats2[Player],0)),"0")</f>
        <v>0.1</v>
      </c>
      <c r="AT81" s="14">
        <f>IFERROR(INDEX(WRstats3[RecTD],MATCH(WRmatchups[[#This Row],[Name]],WRstats3[Player],0)),"0")</f>
        <v>0.2</v>
      </c>
      <c r="AU81" s="32">
        <f>IFERROR(INDEX(WRallowed[TD],MATCH(WRmatchups[[#This Row],[Opp]],WRallowed[Team],0)),"0")*0.5</f>
        <v>0.4375</v>
      </c>
      <c r="AV81" s="14" t="str">
        <f>IFERROR(INDEX(WRstats2[RushAtt],MATCH(WRmatchups[[#This Row],[Name]],WRstats2[Player],0)),"0")</f>
        <v>0.1</v>
      </c>
      <c r="AW81" s="14">
        <f>IFERROR(INDEX(WRstats3[RushATT],MATCH(WRmatchups[[#This Row],[Name]],WRstats3[Player],0)),"0")</f>
        <v>0.2</v>
      </c>
      <c r="AX81" s="14" t="str">
        <f>IFERROR(INDEX(WRstats2[RushYards],MATCH(WRmatchups[[#This Row],[Name]],WRstats2[Player],0)),"0")</f>
        <v>0.2</v>
      </c>
      <c r="AY81" s="14">
        <f>IFERROR(INDEX(WRstats3[RushYards],MATCH(WRmatchups[[#This Row],[Name]],WRstats3[Player],0)),"0")</f>
        <v>1.7</v>
      </c>
      <c r="AZ81" s="14" t="str">
        <f>IFERROR(INDEX(WRstats2[RushTD],MATCH(WRmatchups[[#This Row],[Name]],WRstats2[Player],0)),"0")</f>
        <v>0</v>
      </c>
      <c r="BA81" s="14">
        <f>IFERROR(INDEX(WRstats3[RushTD],MATCH(WRmatchups[[#This Row],[Name]],WRstats3[Player],0)),"0")</f>
        <v>0</v>
      </c>
      <c r="BB81" s="264">
        <f>IF(WRmatchups[[#This Row],[Yards]]&gt;=100,3,0)</f>
        <v>0</v>
      </c>
      <c r="BC81" s="191" t="str">
        <f>IFERROR(INDEX(#REF!,MATCH(WRmatchups[Name],#REF!,0)),"0")</f>
        <v>0</v>
      </c>
      <c r="BD81" s="494">
        <f>WRmatchups[[#This Row],[Targets]]/WRmatchups[[#This Row],[Salary]]*100</f>
        <v>0.36666666666666664</v>
      </c>
    </row>
    <row r="82" spans="1:56" ht="15" thickBot="1" x14ac:dyDescent="0.35">
      <c r="A82" s="37">
        <f>WRstats1!AL73</f>
        <v>5.9</v>
      </c>
      <c r="B82" s="5" t="str">
        <f>WRstats1!D73</f>
        <v>Chris Hogan</v>
      </c>
      <c r="C82" s="172">
        <f>IFERROR(INDEX(Salaries[DraftKings (Price)],MATCH(WRmatchups[[#This Row],[Name]],Salaries[Player],0)),"")</f>
        <v>3700</v>
      </c>
      <c r="D82" s="172">
        <f>IFERROR(INDEX(DK_Salary_Changes[WeekChange],MATCH(WRmatchups[[#This Row],[Name]],DK_Salary_Changes[Player],0)),"")</f>
        <v>-200</v>
      </c>
      <c r="E82" s="14" t="str">
        <f>IFERROR(INDEX(Salaries[Team],MATCH(WRmatchups[[#This Row],[Name]],Salaries[Player],0)),"")</f>
        <v>NE</v>
      </c>
      <c r="F82" s="460" t="str">
        <f>IFERROR(INDEX(Salaries[Opp],MATCH(WRmatchups[[#This Row],[Team]],Salaries[Team],0)),"")</f>
        <v>BUF</v>
      </c>
      <c r="G82" s="476">
        <f>IFERROR(INDEX(WRYTD[Rec],MATCH(WRmatchups[Name],WRYTD[Player],0)),"0")</f>
        <v>8</v>
      </c>
      <c r="H82" s="458">
        <f>IFERROR(INDEX(targettracker54[TTL],MATCH(WRmatchups[Name],targettracker54[Name],0)),"")</f>
        <v>13</v>
      </c>
      <c r="I82" s="475">
        <f>IFERROR(INDEX(WRYTD[Rec Yds],MATCH(WRmatchups[Name],WRYTD[Player],0)),"0")</f>
        <v>122</v>
      </c>
      <c r="J82" s="477">
        <f>IFERROR(INDEX(WRYTD[Rec TD],MATCH(WRmatchups[Name],WRYTD[Player],0)),"0")</f>
        <v>1</v>
      </c>
      <c r="K82" s="473">
        <f>IFERROR(INDEX(Salaries[O/U],MATCH(WRmatchups[[#This Row],[Team]],Salaries[Team],0)),"")</f>
        <v>44</v>
      </c>
      <c r="L82" s="32">
        <f>IFERROR(INDEX(Salaries[Team O/U],MATCH(WRmatchups[[#This Row],[Team]],Salaries[Team],0)),"")</f>
        <v>24.25</v>
      </c>
      <c r="M82" s="417">
        <f>IFERROR(INDEX(Salaries[Spread],MATCH(WRmatchups[[#This Row],[Team]],Salaries[Team],0)),"")</f>
        <v>-4.5</v>
      </c>
      <c r="N82" s="424">
        <f>IFERROR(INDEX(WRallowed[DVP],MATCH(WRmatchups[[#This Row],[Opp]],WRallowed[Team],0)),IFERROR(INDEX(WRallowed[DVP],MATCH(WRmatchups[[#This Row],[Opp]],WRallowed[Opp],0)),""))</f>
        <v>23</v>
      </c>
      <c r="O82" s="17">
        <f>IFERROR(INDEX(YAtCData[YAtC],MATCH(WRmatchups[[#This Row],[Name]],YAtCData[Player],0)),"0")</f>
        <v>59</v>
      </c>
      <c r="P82" s="497">
        <f>IFERROR(INDEX(YAtCData[YAtC/Rec],MATCH(WRmatchups[[#This Row],[Name]],YAtCData[Player],0)),"0")</f>
        <v>7.38</v>
      </c>
      <c r="Q82" s="17">
        <f>IFERROR(INDEX(YAtCData[YAC],MATCH(WRmatchups[[#This Row],[Name]],YAtCData[Player],0)),"0")</f>
        <v>63</v>
      </c>
      <c r="R82" s="497">
        <f>IFERROR(INDEX(YACDATA[YAC per Reception],MATCH(WRmatchups[[#This Row],[Name]],YACDATA[Player],0)),"0")</f>
        <v>7.9</v>
      </c>
      <c r="S82" s="431">
        <f>AVERAGE(WRmatchups[[#This Row],[Tar1]:[Tar3]])</f>
        <v>4.3</v>
      </c>
      <c r="T82" s="465">
        <f>AVERAGE(WRmatchups[[#This Row],[Rec1]:[Rec3]])</f>
        <v>2.3529999999999998</v>
      </c>
      <c r="U82" s="468">
        <f>SUM(WRmatchups[[#This Row],[Rec4]]/WRmatchups[[#This Row],[Targets2]])</f>
        <v>0.5472093023255814</v>
      </c>
      <c r="V82" s="417">
        <f>AVERAGE(WRmatchups[[#This Row],[Yards1]:[Yards3]])</f>
        <v>31.728333333333335</v>
      </c>
      <c r="W82" s="461">
        <f>SUM(WRmatchups[[#This Row],[Yards]]/WRmatchups[[#This Row],[Targets2]])</f>
        <v>7.3786821705426364</v>
      </c>
      <c r="X82" s="32">
        <f>AVERAGE(WRmatchups[[#This Row],[TD1]:[TD3]])</f>
        <v>0.17799999999999999</v>
      </c>
      <c r="Y82" s="14">
        <f>_xlfn.RANK.EQ(WRmatchups[[#This Row],[Projection]],WRmatchups[Projection],0)</f>
        <v>72</v>
      </c>
      <c r="Z82" s="45">
        <f>SUM(WRmatchups[[#This Row],[Yards]]*0.1)+(WRmatchups[[#This Row],[RecTD5]]*6)+(WRmatchups[[#This Row],[Rec4]]*1)+(WRmatchups[[#This Row],[100+]])</f>
        <v>6.5938333333333334</v>
      </c>
      <c r="AA82" s="346">
        <f>_xlfn.RANK.EQ(WRmatchups[[#This Row],[$/FP]],WRmatchups[$/FP],1)</f>
        <v>79</v>
      </c>
      <c r="AB82" s="199">
        <f>SUM(WRmatchups[[#This Row],[Salary]]/WRmatchups[[#This Row],[Projection]])</f>
        <v>561.13034906351891</v>
      </c>
      <c r="AC82" s="316">
        <f>_xlfn.RANK.EQ(WRmatchups[[#This Row],[Average]],WRmatchups[Average],1)</f>
        <v>78</v>
      </c>
      <c r="AD82" s="316">
        <f>AVERAGE(WRmatchups[[#This Row],[Proj Rank]],WRmatchups[[#This Row],[Value Rank]])</f>
        <v>75.5</v>
      </c>
      <c r="AE82" s="214">
        <f>WRmatchups[[#This Row],[Salary]]/50000</f>
        <v>7.3999999999999996E-2</v>
      </c>
      <c r="AF82" s="214"/>
      <c r="AG82" s="14">
        <f>IFERROR(INDEX(WRstats3[Targets],MATCH(WRmatchups[[#This Row],[Name]],WRstats3[Player],0)),"0")</f>
        <v>4.3</v>
      </c>
      <c r="AH82" s="14" t="str">
        <f>IFERROR(INDEX(WRstats2[Targets],MATCH(WRmatchups[[#This Row],[Name]],WRstats2[Player],0)),"0")</f>
        <v>0</v>
      </c>
      <c r="AI82" s="14">
        <f>IFERROR(INDEX(WRstats3[Targets],MATCH(WRmatchups[[#This Row],[Name]],WRstats3[Player],0)),"0")</f>
        <v>4.3</v>
      </c>
      <c r="AJ82" s="14">
        <f>IFERROR(INDEX(WRstats1[Rec],MATCH(WRmatchups[[#This Row],[Name]],WRstats1[Player],0)),"0")</f>
        <v>2.5590000000000002</v>
      </c>
      <c r="AK82" s="14">
        <f>IFERROR(INDEX(WRstats2[Rec],MATCH(WRmatchups[[#This Row],[Name]],WRstats2[Player],0)),"0")</f>
        <v>1.9</v>
      </c>
      <c r="AL82" s="14">
        <f>IFERROR(INDEX(WRstats3[Rec],MATCH(WRmatchups[[#This Row],[Name]],WRstats3[Player],0)),"0")</f>
        <v>2.6</v>
      </c>
      <c r="AM82" s="32">
        <f>IFERROR(INDEX(WRallowed[Rec],MATCH(WRmatchups[[#This Row],[Opp]],WRallowed[Team],0)),"0")</f>
        <v>11.5625</v>
      </c>
      <c r="AN82" s="14">
        <f>IFERROR(INDEX(WRstats1[Rec Yds],MATCH(WRmatchups[[#This Row],[Name]],WRstats1[Player],0)),"0")</f>
        <v>37.085000000000001</v>
      </c>
      <c r="AO82" s="14">
        <f>IFERROR(INDEX(WRstats2[RecYards],MATCH(WRmatchups[[#This Row],[Name]],WRstats2[Player],0)),"0")</f>
        <v>28.5</v>
      </c>
      <c r="AP82" s="14">
        <f>IFERROR(INDEX(WRstats3[RecYards],MATCH(WRmatchups[[#This Row],[Name]],WRstats3[Player],0)),"0")</f>
        <v>29.6</v>
      </c>
      <c r="AQ82" s="32">
        <f>IFERROR(INDEX(WRallowed[Yard],MATCH(WRmatchups[[#This Row],[Opp]],WRallowed[Team],0)),"0")</f>
        <v>176.125</v>
      </c>
      <c r="AR82" s="14">
        <f>IFERROR(INDEX(WRstats1[Rec TD],MATCH(WRmatchups[[#This Row],[Name]],WRstats1[Player],0)),"0")</f>
        <v>0.156</v>
      </c>
      <c r="AS82" s="14" t="str">
        <f>IFERROR(INDEX(WRstats2[RecTD],MATCH(WRmatchups[[#This Row],[Name]],WRstats2[Player],0)),"0")</f>
        <v>0.2</v>
      </c>
      <c r="AT82" s="14">
        <f>IFERROR(INDEX(WRstats3[RecTD],MATCH(WRmatchups[[#This Row],[Name]],WRstats3[Player],0)),"0")</f>
        <v>0.2</v>
      </c>
      <c r="AU82" s="32">
        <f>IFERROR(INDEX(WRallowed[TD],MATCH(WRmatchups[[#This Row],[Opp]],WRallowed[Team],0)),"0")*0.5</f>
        <v>0.71875</v>
      </c>
      <c r="AV82" s="14" t="str">
        <f>IFERROR(INDEX(WRstats2[RushAtt],MATCH(WRmatchups[[#This Row],[Name]],WRstats2[Player],0)),"0")</f>
        <v>0.2</v>
      </c>
      <c r="AW82" s="14">
        <f>IFERROR(INDEX(WRstats3[RushATT],MATCH(WRmatchups[[#This Row],[Name]],WRstats3[Player],0)),"0")</f>
        <v>0</v>
      </c>
      <c r="AX82" s="14" t="str">
        <f>IFERROR(INDEX(WRstats2[RushYards],MATCH(WRmatchups[[#This Row],[Name]],WRstats2[Player],0)),"0")</f>
        <v>0.4</v>
      </c>
      <c r="AY82" s="14">
        <f>IFERROR(INDEX(WRstats3[RushYards],MATCH(WRmatchups[[#This Row],[Name]],WRstats3[Player],0)),"0")</f>
        <v>0</v>
      </c>
      <c r="AZ82" s="14" t="str">
        <f>IFERROR(INDEX(WRstats2[RushTD],MATCH(WRmatchups[[#This Row],[Name]],WRstats2[Player],0)),"0")</f>
        <v>0</v>
      </c>
      <c r="BA82" s="14">
        <f>IFERROR(INDEX(WRstats3[RushTD],MATCH(WRmatchups[[#This Row],[Name]],WRstats3[Player],0)),"0")</f>
        <v>0</v>
      </c>
      <c r="BB82" s="264">
        <f>IF(WRmatchups[[#This Row],[Yards]]&gt;=100,3,0)</f>
        <v>0</v>
      </c>
      <c r="BC82" s="191" t="str">
        <f>IFERROR(INDEX(#REF!,MATCH(WRmatchups[Name],#REF!,0)),"0")</f>
        <v>0</v>
      </c>
      <c r="BD82" s="494">
        <f>WRmatchups[[#This Row],[Targets]]/WRmatchups[[#This Row],[Salary]]*100</f>
        <v>0.35135135135135137</v>
      </c>
    </row>
    <row r="83" spans="1:56" ht="15" thickBot="1" x14ac:dyDescent="0.35">
      <c r="A83" s="37">
        <f>WRstats1!AL58</f>
        <v>7</v>
      </c>
      <c r="B83" s="5" t="str">
        <f>WRstats1!D58</f>
        <v>Marquise Goodwin</v>
      </c>
      <c r="C83" s="172">
        <f>IFERROR(INDEX(Salaries[DraftKings (Price)],MATCH(WRmatchups[[#This Row],[Name]],Salaries[Player],0)),"")</f>
        <v>3000</v>
      </c>
      <c r="D83" s="172">
        <f>IFERROR(INDEX(DK_Salary_Changes[WeekChange],MATCH(WRmatchups[[#This Row],[Name]],DK_Salary_Changes[Player],0)),"")</f>
        <v>0</v>
      </c>
      <c r="E83" s="14" t="str">
        <f>IFERROR(INDEX(Salaries[Team],MATCH(WRmatchups[[#This Row],[Name]],Salaries[Player],0)),"")</f>
        <v>BUF</v>
      </c>
      <c r="F83" s="460" t="str">
        <f>IFERROR(INDEX(Salaries[Opp],MATCH(WRmatchups[[#This Row],[Team]],Salaries[Team],0)),"")</f>
        <v>@NE</v>
      </c>
      <c r="G83" s="476">
        <f>IFERROR(INDEX(WRYTD[Rec],MATCH(WRmatchups[Name],WRYTD[Player],0)),"0")</f>
        <v>3</v>
      </c>
      <c r="H83" s="458">
        <f>IFERROR(INDEX(targettracker54[TTL],MATCH(WRmatchups[Name],targettracker54[Name],0)),"")</f>
        <v>10</v>
      </c>
      <c r="I83" s="475">
        <f>IFERROR(INDEX(WRYTD[Rec Yds],MATCH(WRmatchups[Name],WRYTD[Player],0)),"0")</f>
        <v>118</v>
      </c>
      <c r="J83" s="477">
        <f>IFERROR(INDEX(WRYTD[Rec TD],MATCH(WRmatchups[Name],WRYTD[Player],0)),"0")</f>
        <v>1</v>
      </c>
      <c r="K83" s="473">
        <f>IFERROR(INDEX(Salaries[O/U],MATCH(WRmatchups[[#This Row],[Team]],Salaries[Team],0)),"")</f>
        <v>44</v>
      </c>
      <c r="L83" s="32">
        <f>IFERROR(INDEX(Salaries[Team O/U],MATCH(WRmatchups[[#This Row],[Team]],Salaries[Team],0)),"")</f>
        <v>19.75</v>
      </c>
      <c r="M83" s="417">
        <f>IFERROR(INDEX(Salaries[Spread],MATCH(WRmatchups[[#This Row],[Team]],Salaries[Team],0)),"")</f>
        <v>4.5</v>
      </c>
      <c r="N83" s="424">
        <f>IFERROR(INDEX(WRallowed[DVP],MATCH(WRmatchups[[#This Row],[Opp]],WRallowed[Team],0)),IFERROR(INDEX(WRallowed[DVP],MATCH(WRmatchups[[#This Row],[Opp]],WRallowed[Opp],0)),""))</f>
        <v>20</v>
      </c>
      <c r="O83" s="17">
        <f>IFERROR(INDEX(YAtCData[YAtC],MATCH(WRmatchups[[#This Row],[Name]],YAtCData[Player],0)),"0")</f>
        <v>82</v>
      </c>
      <c r="P83" s="497">
        <f>IFERROR(INDEX(YAtCData[YAtC/Rec],MATCH(WRmatchups[[#This Row],[Name]],YAtCData[Player],0)),"0")</f>
        <v>27.33</v>
      </c>
      <c r="Q83" s="17">
        <f>IFERROR(INDEX(YAtCData[YAC],MATCH(WRmatchups[[#This Row],[Name]],YAtCData[Player],0)),"0")</f>
        <v>36</v>
      </c>
      <c r="R83" s="497">
        <f>IFERROR(INDEX(YACDATA[YAC per Reception],MATCH(WRmatchups[[#This Row],[Name]],YACDATA[Player],0)),"0")</f>
        <v>12</v>
      </c>
      <c r="S83" s="418">
        <f>AVERAGE(WRmatchups[[#This Row],[Tar1]:[Tar3]])</f>
        <v>3.4</v>
      </c>
      <c r="T83" s="464">
        <f>AVERAGE(WRmatchups[[#This Row],[Rec1]:[Rec3]])</f>
        <v>1.9326666666666668</v>
      </c>
      <c r="U83" s="468">
        <f>SUM(WRmatchups[[#This Row],[Rec4]]/WRmatchups[[#This Row],[Targets2]])</f>
        <v>0.56843137254901965</v>
      </c>
      <c r="V83" s="417">
        <f>AVERAGE(WRmatchups[[#This Row],[Yards1]:[Yards3]])</f>
        <v>32.677666666666667</v>
      </c>
      <c r="W83" s="461">
        <f>SUM(WRmatchups[[#This Row],[Yards]]/WRmatchups[[#This Row],[Targets2]])</f>
        <v>9.6110784313725492</v>
      </c>
      <c r="X83" s="32">
        <f>AVERAGE(WRmatchups[[#This Row],[TD1]:[TD3]])</f>
        <v>0.222</v>
      </c>
      <c r="Y83" s="14">
        <f>_xlfn.RANK.EQ(WRmatchups[[#This Row],[Projection]],WRmatchups[Projection],0)</f>
        <v>73</v>
      </c>
      <c r="Z83" s="19">
        <f>SUM(WRmatchups[[#This Row],[Yards]]*0.1)+(WRmatchups[[#This Row],[RecTD5]]*6)+(WRmatchups[[#This Row],[Rec4]]*1)+(WRmatchups[[#This Row],[100+]])</f>
        <v>6.5324333333333335</v>
      </c>
      <c r="AA83" s="8">
        <f>_xlfn.RANK.EQ(WRmatchups[[#This Row],[$/FP]],WRmatchups[$/FP],1)</f>
        <v>57</v>
      </c>
      <c r="AB83" s="23">
        <f>SUM(WRmatchups[[#This Row],[Salary]]/WRmatchups[[#This Row],[Projection]])</f>
        <v>459.24693707806688</v>
      </c>
      <c r="AC83" s="241">
        <f>_xlfn.RANK.EQ(WRmatchups[[#This Row],[Average]],WRmatchups[Average],1)</f>
        <v>71</v>
      </c>
      <c r="AD83" s="241">
        <f>AVERAGE(WRmatchups[[#This Row],[Proj Rank]],WRmatchups[[#This Row],[Value Rank]])</f>
        <v>65</v>
      </c>
      <c r="AE83" s="210">
        <f>WRmatchups[[#This Row],[Salary]]/50000</f>
        <v>0.06</v>
      </c>
      <c r="AF83" s="214"/>
      <c r="AG83" s="14">
        <f>IFERROR(INDEX(WRstats3[Targets],MATCH(WRmatchups[[#This Row],[Name]],WRstats3[Player],0)),"0")</f>
        <v>3.4</v>
      </c>
      <c r="AH83" s="14" t="str">
        <f>IFERROR(INDEX(WRstats2[Targets],MATCH(WRmatchups[[#This Row],[Name]],WRstats2[Player],0)),"0")</f>
        <v>0</v>
      </c>
      <c r="AI83" s="14">
        <f>IFERROR(INDEX(WRstats3[Targets],MATCH(WRmatchups[[#This Row],[Name]],WRstats3[Player],0)),"0")</f>
        <v>3.4</v>
      </c>
      <c r="AJ83" s="14">
        <f>IFERROR(INDEX(WRstats1[Rec],MATCH(WRmatchups[[#This Row],[Name]],WRstats1[Player],0)),"0")</f>
        <v>1.998</v>
      </c>
      <c r="AK83" s="14">
        <f>IFERROR(INDEX(WRstats2[Rec],MATCH(WRmatchups[[#This Row],[Name]],WRstats2[Player],0)),"0")</f>
        <v>1.1000000000000001</v>
      </c>
      <c r="AL83" s="14">
        <f>IFERROR(INDEX(WRstats3[Rec],MATCH(WRmatchups[[#This Row],[Name]],WRstats3[Player],0)),"0")</f>
        <v>2.7</v>
      </c>
      <c r="AM83" s="32" t="str">
        <f>IFERROR(INDEX(WRallowed[Rec],MATCH(WRmatchups[[#This Row],[Opp]],WRallowed[Team],0)),"0")</f>
        <v>0</v>
      </c>
      <c r="AN83" s="14">
        <f>IFERROR(INDEX(WRstats1[Rec Yds],MATCH(WRmatchups[[#This Row],[Name]],WRstats1[Player],0)),"0")</f>
        <v>45.732999999999997</v>
      </c>
      <c r="AO83" s="14">
        <f>IFERROR(INDEX(WRstats2[RecYards],MATCH(WRmatchups[[#This Row],[Name]],WRstats2[Player],0)),"0")</f>
        <v>17.600000000000001</v>
      </c>
      <c r="AP83" s="14">
        <f>IFERROR(INDEX(WRstats3[RecYards],MATCH(WRmatchups[[#This Row],[Name]],WRstats3[Player],0)),"0")</f>
        <v>34.700000000000003</v>
      </c>
      <c r="AQ83" s="32" t="str">
        <f>IFERROR(INDEX(WRallowed[Yard],MATCH(WRmatchups[[#This Row],[Opp]],WRallowed[Team],0)),"0")</f>
        <v>0</v>
      </c>
      <c r="AR83" s="14">
        <f>IFERROR(INDEX(WRstats1[Rec TD],MATCH(WRmatchups[[#This Row],[Name]],WRstats1[Player],0)),"0")</f>
        <v>0.24399999999999999</v>
      </c>
      <c r="AS83" s="14" t="str">
        <f>IFERROR(INDEX(WRstats2[RecTD],MATCH(WRmatchups[[#This Row],[Name]],WRstats2[Player],0)),"0")</f>
        <v>0.1</v>
      </c>
      <c r="AT83" s="14">
        <f>IFERROR(INDEX(WRstats3[RecTD],MATCH(WRmatchups[[#This Row],[Name]],WRstats3[Player],0)),"0")</f>
        <v>0.2</v>
      </c>
      <c r="AU83" s="32">
        <f>IFERROR(INDEX(WRallowed[TD],MATCH(WRmatchups[[#This Row],[Opp]],WRallowed[Team],0)),"0")*0.5</f>
        <v>0</v>
      </c>
      <c r="AV83" s="14" t="str">
        <f>IFERROR(INDEX(WRstats2[RushAtt],MATCH(WRmatchups[[#This Row],[Name]],WRstats2[Player],0)),"0")</f>
        <v>0.1</v>
      </c>
      <c r="AW83" s="14">
        <f>IFERROR(INDEX(WRstats3[RushATT],MATCH(WRmatchups[[#This Row],[Name]],WRstats3[Player],0)),"0")</f>
        <v>0</v>
      </c>
      <c r="AX83" s="14" t="str">
        <f>IFERROR(INDEX(WRstats2[RushYards],MATCH(WRmatchups[[#This Row],[Name]],WRstats2[Player],0)),"0")</f>
        <v>0.4</v>
      </c>
      <c r="AY83" s="14">
        <f>IFERROR(INDEX(WRstats3[RushYards],MATCH(WRmatchups[[#This Row],[Name]],WRstats3[Player],0)),"0")</f>
        <v>0</v>
      </c>
      <c r="AZ83" s="14" t="str">
        <f>IFERROR(INDEX(WRstats2[RushTD],MATCH(WRmatchups[[#This Row],[Name]],WRstats2[Player],0)),"0")</f>
        <v>0</v>
      </c>
      <c r="BA83" s="14">
        <f>IFERROR(INDEX(WRstats3[RushTD],MATCH(WRmatchups[[#This Row],[Name]],WRstats3[Player],0)),"0")</f>
        <v>0</v>
      </c>
      <c r="BB83" s="264">
        <f>IF(WRmatchups[[#This Row],[Yards]]&gt;=100,3,0)</f>
        <v>0</v>
      </c>
      <c r="BC83" s="191" t="str">
        <f>IFERROR(INDEX(#REF!,MATCH(WRmatchups[Name],#REF!,0)),"0")</f>
        <v>0</v>
      </c>
      <c r="BD83" s="494">
        <f>WRmatchups[[#This Row],[Targets]]/WRmatchups[[#This Row],[Salary]]*100</f>
        <v>0.33333333333333337</v>
      </c>
    </row>
    <row r="84" spans="1:56" ht="15" thickBot="1" x14ac:dyDescent="0.35">
      <c r="A84" s="37">
        <f>WRstats1!AL89</f>
        <v>3.5</v>
      </c>
      <c r="B84" s="5" t="str">
        <f>WRstats1!D89</f>
        <v>Andrew Hawkins</v>
      </c>
      <c r="C84" s="172">
        <f>IFERROR(INDEX(Salaries[DraftKings (Price)],MATCH(WRmatchups[[#This Row],[Name]],Salaries[Player],0)),"")</f>
        <v>3000</v>
      </c>
      <c r="D84" s="172">
        <f>IFERROR(INDEX(DK_Salary_Changes[WeekChange],MATCH(WRmatchups[[#This Row],[Name]],DK_Salary_Changes[Player],0)),"")</f>
        <v>0</v>
      </c>
      <c r="E84" s="14" t="str">
        <f>IFERROR(INDEX(Salaries[Team],MATCH(WRmatchups[[#This Row],[Name]],Salaries[Player],0)),"")</f>
        <v>CLE</v>
      </c>
      <c r="F84" s="460" t="str">
        <f>IFERROR(INDEX(Salaries[Opp],MATCH(WRmatchups[[#This Row],[Team]],Salaries[Team],0)),"")</f>
        <v>@WAS</v>
      </c>
      <c r="G84" s="476" t="str">
        <f>IFERROR(INDEX(WRYTD[Rec],MATCH(WRmatchups[Name],WRYTD[Player],0)),"0")</f>
        <v>0</v>
      </c>
      <c r="H84" s="458">
        <f>IFERROR(INDEX(targettracker54[TTL],MATCH(WRmatchups[Name],targettracker54[Name],0)),"")</f>
        <v>10</v>
      </c>
      <c r="I84" s="475" t="str">
        <f>IFERROR(INDEX(WRYTD[Rec Yds],MATCH(WRmatchups[Name],WRYTD[Player],0)),"0")</f>
        <v>0</v>
      </c>
      <c r="J84" s="477" t="str">
        <f>IFERROR(INDEX(WRYTD[Rec TD],MATCH(WRmatchups[Name],WRYTD[Player],0)),"0")</f>
        <v>0</v>
      </c>
      <c r="K84" s="473">
        <f>IFERROR(INDEX(Salaries[O/U],MATCH(WRmatchups[[#This Row],[Team]],Salaries[Team],0)),"")</f>
        <v>45.5</v>
      </c>
      <c r="L84" s="32">
        <f>IFERROR(INDEX(Salaries[Team O/U],MATCH(WRmatchups[[#This Row],[Team]],Salaries[Team],0)),"")</f>
        <v>18.75</v>
      </c>
      <c r="M84" s="417">
        <f>IFERROR(INDEX(Salaries[Spread],MATCH(WRmatchups[[#This Row],[Team]],Salaries[Team],0)),"")</f>
        <v>8</v>
      </c>
      <c r="N84" s="424">
        <f>IFERROR(INDEX(WRallowed[DVP],MATCH(WRmatchups[[#This Row],[Opp]],WRallowed[Team],0)),IFERROR(INDEX(WRallowed[DVP],MATCH(WRmatchups[[#This Row],[Opp]],WRallowed[Opp],0)),""))</f>
        <v>29</v>
      </c>
      <c r="O84" s="17">
        <f>IFERROR(INDEX(YAtCData[YAtC],MATCH(WRmatchups[[#This Row],[Name]],YAtCData[Player],0)),"0")</f>
        <v>14</v>
      </c>
      <c r="P84" s="497">
        <f>IFERROR(INDEX(YAtCData[YAtC/Rec],MATCH(WRmatchups[[#This Row],[Name]],YAtCData[Player],0)),"0")</f>
        <v>2.8</v>
      </c>
      <c r="Q84" s="17">
        <f>IFERROR(INDEX(YAtCData[YAC],MATCH(WRmatchups[[#This Row],[Name]],YAtCData[Player],0)),"0")</f>
        <v>28</v>
      </c>
      <c r="R84" s="497">
        <f>IFERROR(INDEX(YACDATA[YAC per Reception],MATCH(WRmatchups[[#This Row],[Name]],YACDATA[Player],0)),"0")</f>
        <v>5.6</v>
      </c>
      <c r="S84" s="418">
        <f>AVERAGE(WRmatchups[[#This Row],[Tar1]:[Tar3]])</f>
        <v>5</v>
      </c>
      <c r="T84" s="464">
        <f>AVERAGE(WRmatchups[[#This Row],[Rec1]:[Rec3]])</f>
        <v>2.5924999999999998</v>
      </c>
      <c r="U84" s="468">
        <f>SUM(WRmatchups[[#This Row],[Rec4]]/WRmatchups[[#This Row],[Targets2]])</f>
        <v>0.51849999999999996</v>
      </c>
      <c r="V84" s="417">
        <f>AVERAGE(WRmatchups[[#This Row],[Yards1]:[Yards3]])</f>
        <v>29.835000000000001</v>
      </c>
      <c r="W84" s="461">
        <f>SUM(WRmatchups[[#This Row],[Yards]]/WRmatchups[[#This Row],[Targets2]])</f>
        <v>5.9670000000000005</v>
      </c>
      <c r="X84" s="32">
        <f>AVERAGE(WRmatchups[[#This Row],[TD1]:[TD3]])</f>
        <v>0.1525</v>
      </c>
      <c r="Y84" s="14">
        <f>_xlfn.RANK.EQ(WRmatchups[[#This Row],[Projection]],WRmatchups[Projection],0)</f>
        <v>74</v>
      </c>
      <c r="Z84" s="19">
        <f>SUM(WRmatchups[[#This Row],[Yards]]*0.1)+(WRmatchups[[#This Row],[RecTD5]]*6)+(WRmatchups[[#This Row],[Rec4]]*1)+(WRmatchups[[#This Row],[100+]])</f>
        <v>6.4909999999999997</v>
      </c>
      <c r="AA84" s="8">
        <f>_xlfn.RANK.EQ(WRmatchups[[#This Row],[$/FP]],WRmatchups[$/FP],1)</f>
        <v>58</v>
      </c>
      <c r="AB84" s="23">
        <f>SUM(WRmatchups[[#This Row],[Salary]]/WRmatchups[[#This Row],[Projection]])</f>
        <v>462.17840086273304</v>
      </c>
      <c r="AC84" s="241">
        <f>_xlfn.RANK.EQ(WRmatchups[[#This Row],[Average]],WRmatchups[Average],1)</f>
        <v>73</v>
      </c>
      <c r="AD84" s="241">
        <f>AVERAGE(WRmatchups[[#This Row],[Proj Rank]],WRmatchups[[#This Row],[Value Rank]])</f>
        <v>66</v>
      </c>
      <c r="AE84" s="210">
        <f>WRmatchups[[#This Row],[Salary]]/50000</f>
        <v>0.06</v>
      </c>
      <c r="AF84" s="214"/>
      <c r="AG84" s="14">
        <f>IFERROR(INDEX(WRstats3[Targets],MATCH(WRmatchups[[#This Row],[Name]],WRstats3[Player],0)),"0")</f>
        <v>5</v>
      </c>
      <c r="AH84" s="14" t="str">
        <f>IFERROR(INDEX(WRstats2[Targets],MATCH(WRmatchups[[#This Row],[Name]],WRstats2[Player],0)),"0")</f>
        <v>0</v>
      </c>
      <c r="AI84" s="14">
        <f>IFERROR(INDEX(WRstats3[Targets],MATCH(WRmatchups[[#This Row],[Name]],WRstats3[Player],0)),"0")</f>
        <v>5</v>
      </c>
      <c r="AJ84" s="14">
        <f>IFERROR(INDEX(WRstats1[Rec],MATCH(WRmatchups[[#This Row],[Name]],WRstats1[Player],0)),"0")</f>
        <v>1.885</v>
      </c>
      <c r="AK84" s="14" t="str">
        <f>IFERROR(INDEX(WRstats2[Rec],MATCH(WRmatchups[[#This Row],[Name]],WRstats2[Player],0)),"0")</f>
        <v>0</v>
      </c>
      <c r="AL84" s="14">
        <f>IFERROR(INDEX(WRstats3[Rec],MATCH(WRmatchups[[#This Row],[Name]],WRstats3[Player],0)),"0")</f>
        <v>3.3</v>
      </c>
      <c r="AM84" s="32" t="str">
        <f>IFERROR(INDEX(WRallowed[Rec],MATCH(WRmatchups[[#This Row],[Opp]],WRallowed[Team],0)),"0")</f>
        <v>0</v>
      </c>
      <c r="AN84" s="14">
        <f>IFERROR(INDEX(WRstats1[Rec Yds],MATCH(WRmatchups[[#This Row],[Name]],WRstats1[Player],0)),"0")</f>
        <v>19.97</v>
      </c>
      <c r="AO84" s="14" t="str">
        <f>IFERROR(INDEX(WRstats2[RecYards],MATCH(WRmatchups[[#This Row],[Name]],WRstats2[Player],0)),"0")</f>
        <v>0</v>
      </c>
      <c r="AP84" s="14">
        <f>IFERROR(INDEX(WRstats3[RecYards],MATCH(WRmatchups[[#This Row],[Name]],WRstats3[Player],0)),"0")</f>
        <v>39.700000000000003</v>
      </c>
      <c r="AQ84" s="32" t="str">
        <f>IFERROR(INDEX(WRallowed[Yard],MATCH(WRmatchups[[#This Row],[Opp]],WRallowed[Team],0)),"0")</f>
        <v>0</v>
      </c>
      <c r="AR84" s="14">
        <f>IFERROR(INDEX(WRstats1[Rec TD],MATCH(WRmatchups[[#This Row],[Name]],WRstats1[Player],0)),"0")</f>
        <v>0.105</v>
      </c>
      <c r="AS84" s="14" t="str">
        <f>IFERROR(INDEX(WRstats2[RecTD],MATCH(WRmatchups[[#This Row],[Name]],WRstats2[Player],0)),"0")</f>
        <v>0</v>
      </c>
      <c r="AT84" s="14">
        <f>IFERROR(INDEX(WRstats3[RecTD],MATCH(WRmatchups[[#This Row],[Name]],WRstats3[Player],0)),"0")</f>
        <v>0.2</v>
      </c>
      <c r="AU84" s="32">
        <f>IFERROR(INDEX(WRallowed[TD],MATCH(WRmatchups[[#This Row],[Opp]],WRallowed[Team],0)),"0")*0.5</f>
        <v>0</v>
      </c>
      <c r="AV84" s="14" t="str">
        <f>IFERROR(INDEX(WRstats2[RushAtt],MATCH(WRmatchups[[#This Row],[Name]],WRstats2[Player],0)),"0")</f>
        <v>0</v>
      </c>
      <c r="AW84" s="14">
        <f>IFERROR(INDEX(WRstats3[RushATT],MATCH(WRmatchups[[#This Row],[Name]],WRstats3[Player],0)),"0")</f>
        <v>0.3</v>
      </c>
      <c r="AX84" s="14" t="str">
        <f>IFERROR(INDEX(WRstats2[RushYards],MATCH(WRmatchups[[#This Row],[Name]],WRstats2[Player],0)),"0")</f>
        <v>0</v>
      </c>
      <c r="AY84" s="14">
        <f>IFERROR(INDEX(WRstats3[RushYards],MATCH(WRmatchups[[#This Row],[Name]],WRstats3[Player],0)),"0")</f>
        <v>2.4</v>
      </c>
      <c r="AZ84" s="14" t="str">
        <f>IFERROR(INDEX(WRstats2[RushTD],MATCH(WRmatchups[[#This Row],[Name]],WRstats2[Player],0)),"0")</f>
        <v>0</v>
      </c>
      <c r="BA84" s="14">
        <f>IFERROR(INDEX(WRstats3[RushTD],MATCH(WRmatchups[[#This Row],[Name]],WRstats3[Player],0)),"0")</f>
        <v>0</v>
      </c>
      <c r="BB84" s="264">
        <f>IF(WRmatchups[[#This Row],[Yards]]&gt;=100,3,0)</f>
        <v>0</v>
      </c>
      <c r="BC84" s="191" t="str">
        <f>IFERROR(INDEX(#REF!,MATCH(WRmatchups[Name],#REF!,0)),"0")</f>
        <v>0</v>
      </c>
      <c r="BD84" s="494">
        <f>WRmatchups[[#This Row],[Targets]]/WRmatchups[[#This Row],[Salary]]*100</f>
        <v>0.33333333333333337</v>
      </c>
    </row>
    <row r="85" spans="1:56" ht="15" thickBot="1" x14ac:dyDescent="0.35">
      <c r="A85" s="37">
        <f>WRstats1!AL80</f>
        <v>5.2</v>
      </c>
      <c r="B85" s="5" t="str">
        <f>WRstats1!D80</f>
        <v>Seth Roberts</v>
      </c>
      <c r="C85" s="172">
        <f>IFERROR(INDEX(Salaries[DraftKings (Price)],MATCH(WRmatchups[[#This Row],[Name]],Salaries[Player],0)),"")</f>
        <v>3500</v>
      </c>
      <c r="D85" s="172">
        <f>IFERROR(INDEX(DK_Salary_Changes[WeekChange],MATCH(WRmatchups[[#This Row],[Name]],DK_Salary_Changes[Player],0)),"")</f>
        <v>0</v>
      </c>
      <c r="E85" s="14" t="str">
        <f>IFERROR(INDEX(Salaries[Team],MATCH(WRmatchups[[#This Row],[Name]],Salaries[Player],0)),"")</f>
        <v>OAK</v>
      </c>
      <c r="F85" s="460" t="str">
        <f>IFERROR(INDEX(Salaries[Opp],MATCH(WRmatchups[[#This Row],[Team]],Salaries[Team],0)),"")</f>
        <v>@BAL</v>
      </c>
      <c r="G85" s="476">
        <f>IFERROR(INDEX(WRYTD[Rec],MATCH(WRmatchups[Name],WRYTD[Player],0)),"0")</f>
        <v>7</v>
      </c>
      <c r="H85" s="458">
        <f>IFERROR(INDEX(targettracker54[TTL],MATCH(WRmatchups[Name],targettracker54[Name],0)),"")</f>
        <v>16</v>
      </c>
      <c r="I85" s="475">
        <f>IFERROR(INDEX(WRYTD[Rec Yds],MATCH(WRmatchups[Name],WRYTD[Player],0)),"0")</f>
        <v>71</v>
      </c>
      <c r="J85" s="477">
        <f>IFERROR(INDEX(WRYTD[Rec TD],MATCH(WRmatchups[Name],WRYTD[Player],0)),"0")</f>
        <v>2</v>
      </c>
      <c r="K85" s="473">
        <f>IFERROR(INDEX(Salaries[O/U],MATCH(WRmatchups[[#This Row],[Team]],Salaries[Team],0)),"")</f>
        <v>46.5</v>
      </c>
      <c r="L85" s="32">
        <f>IFERROR(INDEX(Salaries[Team O/U],MATCH(WRmatchups[[#This Row],[Team]],Salaries[Team],0)),"")</f>
        <v>21.5</v>
      </c>
      <c r="M85" s="417">
        <f>IFERROR(INDEX(Salaries[Spread],MATCH(WRmatchups[[#This Row],[Team]],Salaries[Team],0)),"")</f>
        <v>3.5</v>
      </c>
      <c r="N85" s="424">
        <f>IFERROR(INDEX(WRallowed[DVP],MATCH(WRmatchups[[#This Row],[Opp]],WRallowed[Team],0)),IFERROR(INDEX(WRallowed[DVP],MATCH(WRmatchups[[#This Row],[Opp]],WRallowed[Opp],0)),""))</f>
        <v>28</v>
      </c>
      <c r="O85" s="17">
        <f>IFERROR(INDEX(YAtCData[YAtC],MATCH(WRmatchups[[#This Row],[Name]],YAtCData[Player],0)),"0")</f>
        <v>21</v>
      </c>
      <c r="P85" s="497">
        <f>IFERROR(INDEX(YAtCData[YAtC/Rec],MATCH(WRmatchups[[#This Row],[Name]],YAtCData[Player],0)),"0")</f>
        <v>3</v>
      </c>
      <c r="Q85" s="17">
        <f>IFERROR(INDEX(YAtCData[YAC],MATCH(WRmatchups[[#This Row],[Name]],YAtCData[Player],0)),"0")</f>
        <v>50</v>
      </c>
      <c r="R85" s="497">
        <f>IFERROR(INDEX(YACDATA[YAC per Reception],MATCH(WRmatchups[[#This Row],[Name]],YACDATA[Player],0)),"0")</f>
        <v>7.1</v>
      </c>
      <c r="S85" s="418">
        <f>AVERAGE(WRmatchups[[#This Row],[Tar1]:[Tar3]])</f>
        <v>3.4</v>
      </c>
      <c r="T85" s="464">
        <f>AVERAGE(WRmatchups[[#This Row],[Rec1]:[Rec3]])</f>
        <v>2.1673333333333331</v>
      </c>
      <c r="U85" s="468">
        <f>SUM(WRmatchups[[#This Row],[Rec4]]/WRmatchups[[#This Row],[Targets2]])</f>
        <v>0.63745098039215686</v>
      </c>
      <c r="V85" s="417">
        <f>AVERAGE(WRmatchups[[#This Row],[Yards1]:[Yards3]])</f>
        <v>28.356999999999999</v>
      </c>
      <c r="W85" s="461">
        <f>SUM(WRmatchups[[#This Row],[Yards]]/WRmatchups[[#This Row],[Targets2]])</f>
        <v>8.3402941176470584</v>
      </c>
      <c r="X85" s="32">
        <f>AVERAGE(WRmatchups[[#This Row],[TD1]:[TD3]])</f>
        <v>0.188</v>
      </c>
      <c r="Y85" s="14">
        <f>_xlfn.RANK.EQ(WRmatchups[[#This Row],[Projection]],WRmatchups[Projection],0)</f>
        <v>75</v>
      </c>
      <c r="Z85" s="19">
        <f>SUM(WRmatchups[[#This Row],[Yards]]*0.1)+(WRmatchups[[#This Row],[RecTD5]]*6)+(WRmatchups[[#This Row],[Rec4]]*1)+(WRmatchups[[#This Row],[100+]])</f>
        <v>6.1310333333333329</v>
      </c>
      <c r="AA85" s="8">
        <f>_xlfn.RANK.EQ(WRmatchups[[#This Row],[$/FP]],WRmatchups[$/FP],1)</f>
        <v>80</v>
      </c>
      <c r="AB85" s="23">
        <f>SUM(WRmatchups[[#This Row],[Salary]]/WRmatchups[[#This Row],[Projection]])</f>
        <v>570.8662487563272</v>
      </c>
      <c r="AC85" s="241">
        <f>_xlfn.RANK.EQ(WRmatchups[[#This Row],[Average]],WRmatchups[Average],1)</f>
        <v>79</v>
      </c>
      <c r="AD85" s="241">
        <f>AVERAGE(WRmatchups[[#This Row],[Proj Rank]],WRmatchups[[#This Row],[Value Rank]])</f>
        <v>77.5</v>
      </c>
      <c r="AE85" s="210">
        <f>WRmatchups[[#This Row],[Salary]]/50000</f>
        <v>7.0000000000000007E-2</v>
      </c>
      <c r="AF85" s="214"/>
      <c r="AG85" s="14">
        <f>IFERROR(INDEX(WRstats3[Targets],MATCH(WRmatchups[[#This Row],[Name]],WRstats3[Player],0)),"0")</f>
        <v>3.4</v>
      </c>
      <c r="AH85" s="14" t="str">
        <f>IFERROR(INDEX(WRstats2[Targets],MATCH(WRmatchups[[#This Row],[Name]],WRstats2[Player],0)),"0")</f>
        <v>0</v>
      </c>
      <c r="AI85" s="14">
        <f>IFERROR(INDEX(WRstats3[Targets],MATCH(WRmatchups[[#This Row],[Name]],WRstats3[Player],0)),"0")</f>
        <v>3.4</v>
      </c>
      <c r="AJ85" s="14">
        <f>IFERROR(INDEX(WRstats1[Rec],MATCH(WRmatchups[[#This Row],[Name]],WRstats1[Player],0)),"0")</f>
        <v>2.5019999999999998</v>
      </c>
      <c r="AK85" s="14">
        <f>IFERROR(INDEX(WRstats2[Rec],MATCH(WRmatchups[[#This Row],[Name]],WRstats2[Player],0)),"0")</f>
        <v>1.9</v>
      </c>
      <c r="AL85" s="14">
        <f>IFERROR(INDEX(WRstats3[Rec],MATCH(WRmatchups[[#This Row],[Name]],WRstats3[Player],0)),"0")</f>
        <v>2.1</v>
      </c>
      <c r="AM85" s="32" t="str">
        <f>IFERROR(INDEX(WRallowed[Rec],MATCH(WRmatchups[[#This Row],[Opp]],WRallowed[Team],0)),"0")</f>
        <v>0</v>
      </c>
      <c r="AN85" s="14">
        <f>IFERROR(INDEX(WRstats1[Rec Yds],MATCH(WRmatchups[[#This Row],[Name]],WRstats1[Player],0)),"0")</f>
        <v>28.971</v>
      </c>
      <c r="AO85" s="14">
        <f>IFERROR(INDEX(WRstats2[RecYards],MATCH(WRmatchups[[#This Row],[Name]],WRstats2[Player],0)),"0")</f>
        <v>28.2</v>
      </c>
      <c r="AP85" s="14">
        <f>IFERROR(INDEX(WRstats3[RecYards],MATCH(WRmatchups[[#This Row],[Name]],WRstats3[Player],0)),"0")</f>
        <v>27.9</v>
      </c>
      <c r="AQ85" s="32" t="str">
        <f>IFERROR(INDEX(WRallowed[Yard],MATCH(WRmatchups[[#This Row],[Opp]],WRallowed[Team],0)),"0")</f>
        <v>0</v>
      </c>
      <c r="AR85" s="14">
        <f>IFERROR(INDEX(WRstats1[Rec TD],MATCH(WRmatchups[[#This Row],[Name]],WRstats1[Player],0)),"0")</f>
        <v>0.17599999999999999</v>
      </c>
      <c r="AS85" s="14" t="str">
        <f>IFERROR(INDEX(WRstats2[RecTD],MATCH(WRmatchups[[#This Row],[Name]],WRstats2[Player],0)),"0")</f>
        <v>0.2</v>
      </c>
      <c r="AT85" s="14">
        <f>IFERROR(INDEX(WRstats3[RecTD],MATCH(WRmatchups[[#This Row],[Name]],WRstats3[Player],0)),"0")</f>
        <v>0.2</v>
      </c>
      <c r="AU85" s="32">
        <f>IFERROR(INDEX(WRallowed[TD],MATCH(WRmatchups[[#This Row],[Opp]],WRallowed[Team],0)),"0")*0.5</f>
        <v>0</v>
      </c>
      <c r="AV85" s="14" t="str">
        <f>IFERROR(INDEX(WRstats2[RushAtt],MATCH(WRmatchups[[#This Row],[Name]],WRstats2[Player],0)),"0")</f>
        <v>0.2</v>
      </c>
      <c r="AW85" s="14">
        <f>IFERROR(INDEX(WRstats3[RushATT],MATCH(WRmatchups[[#This Row],[Name]],WRstats3[Player],0)),"0")</f>
        <v>0</v>
      </c>
      <c r="AX85" s="14" t="str">
        <f>IFERROR(INDEX(WRstats2[RushYards],MATCH(WRmatchups[[#This Row],[Name]],WRstats2[Player],0)),"0")</f>
        <v>0</v>
      </c>
      <c r="AY85" s="14">
        <f>IFERROR(INDEX(WRstats3[RushYards],MATCH(WRmatchups[[#This Row],[Name]],WRstats3[Player],0)),"0")</f>
        <v>0</v>
      </c>
      <c r="AZ85" s="14" t="str">
        <f>IFERROR(INDEX(WRstats2[RushTD],MATCH(WRmatchups[[#This Row],[Name]],WRstats2[Player],0)),"0")</f>
        <v>0</v>
      </c>
      <c r="BA85" s="14">
        <f>IFERROR(INDEX(WRstats3[RushTD],MATCH(WRmatchups[[#This Row],[Name]],WRstats3[Player],0)),"0")</f>
        <v>0</v>
      </c>
      <c r="BB85" s="264">
        <f>IF(WRmatchups[[#This Row],[Yards]]&gt;=100,3,0)</f>
        <v>0</v>
      </c>
      <c r="BC85" s="191" t="str">
        <f>IFERROR(INDEX(#REF!,MATCH(WRmatchups[Name],#REF!,0)),"0")</f>
        <v>0</v>
      </c>
      <c r="BD85" s="494">
        <f>WRmatchups[[#This Row],[Targets]]/WRmatchups[[#This Row],[Salary]]*100</f>
        <v>0.45714285714285718</v>
      </c>
    </row>
    <row r="86" spans="1:56" ht="15" thickBot="1" x14ac:dyDescent="0.35">
      <c r="A86" s="37">
        <f>WRstats1!AL72</f>
        <v>6.2</v>
      </c>
      <c r="B86" s="5" t="str">
        <f>WRstats1!D72</f>
        <v>Chris Conley</v>
      </c>
      <c r="C86" s="172">
        <f>IFERROR(INDEX(Salaries[DraftKings (Price)],MATCH(WRmatchups[[#This Row],[Name]],Salaries[Player],0)),"")</f>
        <v>3000</v>
      </c>
      <c r="D86" s="172">
        <f>IFERROR(INDEX(DK_Salary_Changes[WeekChange],MATCH(WRmatchups[[#This Row],[Name]],DK_Salary_Changes[Player],0)),"")</f>
        <v>-100</v>
      </c>
      <c r="E86" s="14" t="str">
        <f>IFERROR(INDEX(Salaries[Team],MATCH(WRmatchups[[#This Row],[Name]],Salaries[Player],0)),"")</f>
        <v>KC</v>
      </c>
      <c r="F86" s="460" t="str">
        <f>IFERROR(INDEX(Salaries[Opp],MATCH(WRmatchups[[#This Row],[Team]],Salaries[Team],0)),"")</f>
        <v>@PIT</v>
      </c>
      <c r="G86" s="476">
        <f>IFERROR(INDEX(WRYTD[Rec],MATCH(WRmatchups[Name],WRYTD[Player],0)),"0")</f>
        <v>9</v>
      </c>
      <c r="H86" s="458">
        <f>IFERROR(INDEX(targettracker54[TTL],MATCH(WRmatchups[Name],targettracker54[Name],0)),"")</f>
        <v>16</v>
      </c>
      <c r="I86" s="475">
        <f>IFERROR(INDEX(WRYTD[Rec Yds],MATCH(WRmatchups[Name],WRYTD[Player],0)),"0")</f>
        <v>102</v>
      </c>
      <c r="J86" s="477">
        <f>IFERROR(INDEX(WRYTD[Rec TD],MATCH(WRmatchups[Name],WRYTD[Player],0)),"0")</f>
        <v>0</v>
      </c>
      <c r="K86" s="473">
        <f>IFERROR(INDEX(Salaries[O/U],MATCH(WRmatchups[[#This Row],[Team]],Salaries[Team],0)),"")</f>
        <v>47.5</v>
      </c>
      <c r="L86" s="32">
        <f>IFERROR(INDEX(Salaries[Team O/U],MATCH(WRmatchups[[#This Row],[Team]],Salaries[Team],0)),"")</f>
        <v>21</v>
      </c>
      <c r="M86" s="417">
        <f>IFERROR(INDEX(Salaries[Spread],MATCH(WRmatchups[[#This Row],[Team]],Salaries[Team],0)),"")</f>
        <v>5.5</v>
      </c>
      <c r="N86" s="424">
        <f>IFERROR(INDEX(WRallowed[DVP],MATCH(WRmatchups[[#This Row],[Opp]],WRallowed[Team],0)),IFERROR(INDEX(WRallowed[DVP],MATCH(WRmatchups[[#This Row],[Opp]],WRallowed[Opp],0)),""))</f>
        <v>30</v>
      </c>
      <c r="O86" s="17">
        <f>IFERROR(INDEX(YAtCData[YAtC],MATCH(WRmatchups[[#This Row],[Name]],YAtCData[Player],0)),"0")</f>
        <v>72</v>
      </c>
      <c r="P86" s="497">
        <f>IFERROR(INDEX(YAtCData[YAtC/Rec],MATCH(WRmatchups[[#This Row],[Name]],YAtCData[Player],0)),"0")</f>
        <v>8</v>
      </c>
      <c r="Q86" s="17">
        <f>IFERROR(INDEX(YAtCData[YAC],MATCH(WRmatchups[[#This Row],[Name]],YAtCData[Player],0)),"0")</f>
        <v>30</v>
      </c>
      <c r="R86" s="497">
        <f>IFERROR(INDEX(YACDATA[YAC per Reception],MATCH(WRmatchups[[#This Row],[Name]],YACDATA[Player],0)),"0")</f>
        <v>3.3</v>
      </c>
      <c r="S86" s="418">
        <f>AVERAGE(WRmatchups[[#This Row],[Tar1]:[Tar3]])</f>
        <v>4.3</v>
      </c>
      <c r="T86" s="464">
        <f>AVERAGE(WRmatchups[[#This Row],[Rec1]:[Rec3]])</f>
        <v>2.1750000000000003</v>
      </c>
      <c r="U86" s="468">
        <f>SUM(WRmatchups[[#This Row],[Rec4]]/WRmatchups[[#This Row],[Targets2]])</f>
        <v>0.50581395348837221</v>
      </c>
      <c r="V86" s="417">
        <f>AVERAGE(WRmatchups[[#This Row],[Yards1]:[Yards3]])</f>
        <v>26.661000000000001</v>
      </c>
      <c r="W86" s="461">
        <f>SUM(WRmatchups[[#This Row],[Yards]]/WRmatchups[[#This Row],[Targets2]])</f>
        <v>6.2002325581395352</v>
      </c>
      <c r="X86" s="32">
        <f>AVERAGE(WRmatchups[[#This Row],[TD1]:[TD3]])</f>
        <v>0.21200000000000002</v>
      </c>
      <c r="Y86" s="14">
        <f>_xlfn.RANK.EQ(WRmatchups[[#This Row],[Projection]],WRmatchups[Projection],0)</f>
        <v>76</v>
      </c>
      <c r="Z86" s="19">
        <f>SUM(WRmatchups[[#This Row],[Yards]]*0.1)+(WRmatchups[[#This Row],[RecTD5]]*6)+(WRmatchups[[#This Row],[Rec4]]*1)+(WRmatchups[[#This Row],[100+]])</f>
        <v>6.1131000000000011</v>
      </c>
      <c r="AA86" s="8">
        <f>_xlfn.RANK.EQ(WRmatchups[[#This Row],[$/FP]],WRmatchups[$/FP],1)</f>
        <v>68</v>
      </c>
      <c r="AB86" s="23">
        <f>SUM(WRmatchups[[#This Row],[Salary]]/WRmatchups[[#This Row],[Projection]])</f>
        <v>490.74937429454769</v>
      </c>
      <c r="AC86" s="241">
        <f>_xlfn.RANK.EQ(WRmatchups[[#This Row],[Average]],WRmatchups[Average],1)</f>
        <v>76</v>
      </c>
      <c r="AD86" s="241">
        <f>AVERAGE(WRmatchups[[#This Row],[Proj Rank]],WRmatchups[[#This Row],[Value Rank]])</f>
        <v>72</v>
      </c>
      <c r="AE86" s="210">
        <f>WRmatchups[[#This Row],[Salary]]/50000</f>
        <v>0.06</v>
      </c>
      <c r="AF86" s="214"/>
      <c r="AG86" s="14">
        <f>IFERROR(INDEX(WRstats3[Targets],MATCH(WRmatchups[[#This Row],[Name]],WRstats3[Player],0)),"0")</f>
        <v>4.3</v>
      </c>
      <c r="AH86" s="14" t="str">
        <f>IFERROR(INDEX(WRstats2[Targets],MATCH(WRmatchups[[#This Row],[Name]],WRstats2[Player],0)),"0")</f>
        <v>0</v>
      </c>
      <c r="AI86" s="14">
        <f>IFERROR(INDEX(WRstats3[Targets],MATCH(WRmatchups[[#This Row],[Name]],WRstats3[Player],0)),"0")</f>
        <v>4.3</v>
      </c>
      <c r="AJ86" s="14">
        <f>IFERROR(INDEX(WRstats1[Rec],MATCH(WRmatchups[[#This Row],[Name]],WRstats1[Player],0)),"0")</f>
        <v>2.9249999999999998</v>
      </c>
      <c r="AK86" s="14">
        <f>IFERROR(INDEX(WRstats2[Rec],MATCH(WRmatchups[[#This Row],[Name]],WRstats2[Player],0)),"0")</f>
        <v>1.2</v>
      </c>
      <c r="AL86" s="14">
        <f>IFERROR(INDEX(WRstats3[Rec],MATCH(WRmatchups[[#This Row],[Name]],WRstats3[Player],0)),"0")</f>
        <v>2.4</v>
      </c>
      <c r="AM86" s="32" t="str">
        <f>IFERROR(INDEX(WRallowed[Rec],MATCH(WRmatchups[[#This Row],[Opp]],WRallowed[Team],0)),"0")</f>
        <v>0</v>
      </c>
      <c r="AN86" s="14">
        <f>IFERROR(INDEX(WRstats1[Rec Yds],MATCH(WRmatchups[[#This Row],[Name]],WRstats1[Player],0)),"0")</f>
        <v>34.383000000000003</v>
      </c>
      <c r="AO86" s="14">
        <f>IFERROR(INDEX(WRstats2[RecYards],MATCH(WRmatchups[[#This Row],[Name]],WRstats2[Player],0)),"0")</f>
        <v>15.1</v>
      </c>
      <c r="AP86" s="14">
        <f>IFERROR(INDEX(WRstats3[RecYards],MATCH(WRmatchups[[#This Row],[Name]],WRstats3[Player],0)),"0")</f>
        <v>30.5</v>
      </c>
      <c r="AQ86" s="32" t="str">
        <f>IFERROR(INDEX(WRallowed[Yard],MATCH(WRmatchups[[#This Row],[Opp]],WRallowed[Team],0)),"0")</f>
        <v>0</v>
      </c>
      <c r="AR86" s="14">
        <f>IFERROR(INDEX(WRstats1[Rec TD],MATCH(WRmatchups[[#This Row],[Name]],WRstats1[Player],0)),"0")</f>
        <v>0.224</v>
      </c>
      <c r="AS86" s="14" t="str">
        <f>IFERROR(INDEX(WRstats2[RecTD],MATCH(WRmatchups[[#This Row],[Name]],WRstats2[Player],0)),"0")</f>
        <v>0.1</v>
      </c>
      <c r="AT86" s="14">
        <f>IFERROR(INDEX(WRstats3[RecTD],MATCH(WRmatchups[[#This Row],[Name]],WRstats3[Player],0)),"0")</f>
        <v>0.2</v>
      </c>
      <c r="AU86" s="32">
        <f>IFERROR(INDEX(WRallowed[TD],MATCH(WRmatchups[[#This Row],[Opp]],WRallowed[Team],0)),"0")*0.5</f>
        <v>0</v>
      </c>
      <c r="AV86" s="14" t="str">
        <f>IFERROR(INDEX(WRstats2[RushAtt],MATCH(WRmatchups[[#This Row],[Name]],WRstats2[Player],0)),"0")</f>
        <v>0.1</v>
      </c>
      <c r="AW86" s="14">
        <f>IFERROR(INDEX(WRstats3[RushATT],MATCH(WRmatchups[[#This Row],[Name]],WRstats3[Player],0)),"0")</f>
        <v>0</v>
      </c>
      <c r="AX86" s="14" t="str">
        <f>IFERROR(INDEX(WRstats2[RushYards],MATCH(WRmatchups[[#This Row],[Name]],WRstats2[Player],0)),"0")</f>
        <v>0</v>
      </c>
      <c r="AY86" s="14">
        <f>IFERROR(INDEX(WRstats3[RushYards],MATCH(WRmatchups[[#This Row],[Name]],WRstats3[Player],0)),"0")</f>
        <v>0</v>
      </c>
      <c r="AZ86" s="14" t="str">
        <f>IFERROR(INDEX(WRstats2[RushTD],MATCH(WRmatchups[[#This Row],[Name]],WRstats2[Player],0)),"0")</f>
        <v>0</v>
      </c>
      <c r="BA86" s="14">
        <f>IFERROR(INDEX(WRstats3[RushTD],MATCH(WRmatchups[[#This Row],[Name]],WRstats3[Player],0)),"0")</f>
        <v>0</v>
      </c>
      <c r="BB86" s="264">
        <f>IF(WRmatchups[[#This Row],[Yards]]&gt;=100,3,0)</f>
        <v>0</v>
      </c>
      <c r="BC86" s="191" t="str">
        <f>IFERROR(INDEX(#REF!,MATCH(WRmatchups[Name],#REF!,0)),"0")</f>
        <v>0</v>
      </c>
      <c r="BD86" s="494">
        <f>WRmatchups[[#This Row],[Targets]]/WRmatchups[[#This Row],[Salary]]*100</f>
        <v>0.53333333333333333</v>
      </c>
    </row>
    <row r="87" spans="1:56" ht="15" thickBot="1" x14ac:dyDescent="0.35">
      <c r="A87" s="37">
        <f>WRstats1!AL46</f>
        <v>8.3000000000000007</v>
      </c>
      <c r="B87" s="5" t="str">
        <f>WRstats1!D46</f>
        <v>Sammie Coates</v>
      </c>
      <c r="C87" s="172">
        <f>IFERROR(INDEX(Salaries[DraftKings (Price)],MATCH(WRmatchups[[#This Row],[Name]],Salaries[Player],0)),"")</f>
        <v>3600</v>
      </c>
      <c r="D87" s="172">
        <f>IFERROR(INDEX(DK_Salary_Changes[WeekChange],MATCH(WRmatchups[[#This Row],[Name]],DK_Salary_Changes[Player],0)),"")</f>
        <v>-200</v>
      </c>
      <c r="E87" s="14" t="str">
        <f>IFERROR(INDEX(Salaries[Team],MATCH(WRmatchups[[#This Row],[Name]],Salaries[Player],0)),"")</f>
        <v>PIT</v>
      </c>
      <c r="F87" s="460" t="str">
        <f>IFERROR(INDEX(Salaries[Opp],MATCH(WRmatchups[[#This Row],[Team]],Salaries[Team],0)),"")</f>
        <v>KC</v>
      </c>
      <c r="G87" s="476">
        <f>IFERROR(INDEX(WRYTD[Rec],MATCH(WRmatchups[Name],WRYTD[Player],0)),"0")</f>
        <v>7</v>
      </c>
      <c r="H87" s="458">
        <f>IFERROR(INDEX(targettracker54[TTL],MATCH(WRmatchups[Name],targettracker54[Name],0)),"")</f>
        <v>12</v>
      </c>
      <c r="I87" s="475">
        <f>IFERROR(INDEX(WRYTD[Rec Yds],MATCH(WRmatchups[Name],WRYTD[Player],0)),"0")</f>
        <v>203</v>
      </c>
      <c r="J87" s="477">
        <f>IFERROR(INDEX(WRYTD[Rec TD],MATCH(WRmatchups[Name],WRYTD[Player],0)),"0")</f>
        <v>0</v>
      </c>
      <c r="K87" s="473">
        <f>IFERROR(INDEX(Salaries[O/U],MATCH(WRmatchups[[#This Row],[Team]],Salaries[Team],0)),"")</f>
        <v>47.5</v>
      </c>
      <c r="L87" s="32">
        <f>IFERROR(INDEX(Salaries[Team O/U],MATCH(WRmatchups[[#This Row],[Team]],Salaries[Team],0)),"")</f>
        <v>26.5</v>
      </c>
      <c r="M87" s="417">
        <f>IFERROR(INDEX(Salaries[Spread],MATCH(WRmatchups[[#This Row],[Team]],Salaries[Team],0)),"")</f>
        <v>-5.5</v>
      </c>
      <c r="N87" s="424">
        <f>IFERROR(INDEX(WRallowed[DVP],MATCH(WRmatchups[[#This Row],[Opp]],WRallowed[Team],0)),IFERROR(INDEX(WRallowed[DVP],MATCH(WRmatchups[[#This Row],[Opp]],WRallowed[Opp],0)),""))</f>
        <v>24</v>
      </c>
      <c r="O87" s="17">
        <f>IFERROR(INDEX(YAtCData[YAtC],MATCH(WRmatchups[[#This Row],[Name]],YAtCData[Player],0)),"0")</f>
        <v>160</v>
      </c>
      <c r="P87" s="497">
        <f>IFERROR(INDEX(YAtCData[YAtC/Rec],MATCH(WRmatchups[[#This Row],[Name]],YAtCData[Player],0)),"0")</f>
        <v>22.86</v>
      </c>
      <c r="Q87" s="17">
        <f>IFERROR(INDEX(YAtCData[YAC],MATCH(WRmatchups[[#This Row],[Name]],YAtCData[Player],0)),"0")</f>
        <v>43</v>
      </c>
      <c r="R87" s="497">
        <f>IFERROR(INDEX(YACDATA[YAC per Reception],MATCH(WRmatchups[[#This Row],[Name]],YACDATA[Player],0)),"0")</f>
        <v>6.1</v>
      </c>
      <c r="S87" s="418">
        <f>AVERAGE(WRmatchups[[#This Row],[Tar1]:[Tar3]])</f>
        <v>2.9</v>
      </c>
      <c r="T87" s="464">
        <f>AVERAGE(WRmatchups[[#This Row],[Rec1]:[Rec3]])</f>
        <v>1.7633333333333334</v>
      </c>
      <c r="U87" s="468">
        <f>SUM(WRmatchups[[#This Row],[Rec4]]/WRmatchups[[#This Row],[Targets2]])</f>
        <v>0.60804597701149432</v>
      </c>
      <c r="V87" s="417">
        <f>AVERAGE(WRmatchups[[#This Row],[Yards1]:[Yards3]])</f>
        <v>30.882333333333332</v>
      </c>
      <c r="W87" s="461">
        <f>SUM(WRmatchups[[#This Row],[Yards]]/WRmatchups[[#This Row],[Targets2]])</f>
        <v>10.649080459770115</v>
      </c>
      <c r="X87" s="32">
        <f>AVERAGE(WRmatchups[[#This Row],[TD1]:[TD3]])</f>
        <v>0.19850000000000001</v>
      </c>
      <c r="Y87" s="14">
        <f>_xlfn.RANK.EQ(WRmatchups[[#This Row],[Projection]],WRmatchups[Projection],0)</f>
        <v>77</v>
      </c>
      <c r="Z87" s="19">
        <f>SUM(WRmatchups[[#This Row],[Yards]]*0.1)+(WRmatchups[[#This Row],[RecTD5]]*6)+(WRmatchups[[#This Row],[Rec4]]*1)+(WRmatchups[[#This Row],[100+]])</f>
        <v>6.0425666666666666</v>
      </c>
      <c r="AA87" s="8">
        <f>_xlfn.RANK.EQ(WRmatchups[[#This Row],[$/FP]],WRmatchups[$/FP],1)</f>
        <v>82</v>
      </c>
      <c r="AB87" s="23">
        <f>SUM(WRmatchups[[#This Row],[Salary]]/WRmatchups[[#This Row],[Projection]])</f>
        <v>595.77331928485137</v>
      </c>
      <c r="AC87" s="241">
        <f>_xlfn.RANK.EQ(WRmatchups[[#This Row],[Average]],WRmatchups[Average],1)</f>
        <v>82</v>
      </c>
      <c r="AD87" s="241">
        <f>AVERAGE(WRmatchups[[#This Row],[Proj Rank]],WRmatchups[[#This Row],[Value Rank]])</f>
        <v>79.5</v>
      </c>
      <c r="AE87" s="210">
        <f>WRmatchups[[#This Row],[Salary]]/50000</f>
        <v>7.1999999999999995E-2</v>
      </c>
      <c r="AF87" s="214"/>
      <c r="AG87" s="14">
        <f>IFERROR(INDEX(WRstats3[Targets],MATCH(WRmatchups[[#This Row],[Name]],WRstats3[Player],0)),"0")</f>
        <v>2.9</v>
      </c>
      <c r="AH87" s="14" t="str">
        <f>IFERROR(INDEX(WRstats2[Targets],MATCH(WRmatchups[[#This Row],[Name]],WRstats2[Player],0)),"0")</f>
        <v>0</v>
      </c>
      <c r="AI87" s="14">
        <f>IFERROR(INDEX(WRstats3[Targets],MATCH(WRmatchups[[#This Row],[Name]],WRstats3[Player],0)),"0")</f>
        <v>2.9</v>
      </c>
      <c r="AJ87" s="14">
        <f>IFERROR(INDEX(WRstats1[Rec],MATCH(WRmatchups[[#This Row],[Name]],WRstats1[Player],0)),"0")</f>
        <v>2.39</v>
      </c>
      <c r="AK87" s="14">
        <f>IFERROR(INDEX(WRstats2[Rec],MATCH(WRmatchups[[#This Row],[Name]],WRstats2[Player],0)),"0")</f>
        <v>1.2</v>
      </c>
      <c r="AL87" s="14">
        <f>IFERROR(INDEX(WRstats3[Rec],MATCH(WRmatchups[[#This Row],[Name]],WRstats3[Player],0)),"0")</f>
        <v>1.7</v>
      </c>
      <c r="AM87" s="32">
        <f>IFERROR(INDEX(WRallowed[Rec],MATCH(WRmatchups[[#This Row],[Opp]],WRallowed[Team],0)),"0")</f>
        <v>12.0625</v>
      </c>
      <c r="AN87" s="14">
        <f>IFERROR(INDEX(WRstats1[Rec Yds],MATCH(WRmatchups[[#This Row],[Name]],WRstats1[Player],0)),"0")</f>
        <v>51.546999999999997</v>
      </c>
      <c r="AO87" s="14">
        <f>IFERROR(INDEX(WRstats2[RecYards],MATCH(WRmatchups[[#This Row],[Name]],WRstats2[Player],0)),"0")</f>
        <v>14.6</v>
      </c>
      <c r="AP87" s="14">
        <f>IFERROR(INDEX(WRstats3[RecYards],MATCH(WRmatchups[[#This Row],[Name]],WRstats3[Player],0)),"0")</f>
        <v>26.5</v>
      </c>
      <c r="AQ87" s="32">
        <f>IFERROR(INDEX(WRallowed[Yard],MATCH(WRmatchups[[#This Row],[Opp]],WRallowed[Team],0)),"0")</f>
        <v>161.5625</v>
      </c>
      <c r="AR87" s="14">
        <f>IFERROR(INDEX(WRstats1[Rec TD],MATCH(WRmatchups[[#This Row],[Name]],WRstats1[Player],0)),"0")</f>
        <v>0.29699999999999999</v>
      </c>
      <c r="AS87" s="14" t="str">
        <f>IFERROR(INDEX(WRstats2[RecTD],MATCH(WRmatchups[[#This Row],[Name]],WRstats2[Player],0)),"0")</f>
        <v>0.1</v>
      </c>
      <c r="AT87" s="14">
        <f>IFERROR(INDEX(WRstats3[RecTD],MATCH(WRmatchups[[#This Row],[Name]],WRstats3[Player],0)),"0")</f>
        <v>0.1</v>
      </c>
      <c r="AU87" s="32">
        <f>IFERROR(INDEX(WRallowed[TD],MATCH(WRmatchups[[#This Row],[Opp]],WRallowed[Team],0)),"0")*0.5</f>
        <v>0.53125</v>
      </c>
      <c r="AV87" s="14" t="str">
        <f>IFERROR(INDEX(WRstats2[RushAtt],MATCH(WRmatchups[[#This Row],[Name]],WRstats2[Player],0)),"0")</f>
        <v>0.1</v>
      </c>
      <c r="AW87" s="14">
        <f>IFERROR(INDEX(WRstats3[RushATT],MATCH(WRmatchups[[#This Row],[Name]],WRstats3[Player],0)),"0")</f>
        <v>0</v>
      </c>
      <c r="AX87" s="14" t="str">
        <f>IFERROR(INDEX(WRstats2[RushYards],MATCH(WRmatchups[[#This Row],[Name]],WRstats2[Player],0)),"0")</f>
        <v>0.3</v>
      </c>
      <c r="AY87" s="14">
        <f>IFERROR(INDEX(WRstats3[RushYards],MATCH(WRmatchups[[#This Row],[Name]],WRstats3[Player],0)),"0")</f>
        <v>0</v>
      </c>
      <c r="AZ87" s="14" t="str">
        <f>IFERROR(INDEX(WRstats2[RushTD],MATCH(WRmatchups[[#This Row],[Name]],WRstats2[Player],0)),"0")</f>
        <v>0</v>
      </c>
      <c r="BA87" s="14">
        <f>IFERROR(INDEX(WRstats3[RushTD],MATCH(WRmatchups[[#This Row],[Name]],WRstats3[Player],0)),"0")</f>
        <v>0</v>
      </c>
      <c r="BB87" s="264">
        <f>IF(WRmatchups[[#This Row],[Yards]]&gt;=100,3,0)</f>
        <v>0</v>
      </c>
      <c r="BC87" s="191" t="str">
        <f>IFERROR(INDEX(#REF!,MATCH(WRmatchups[Name],#REF!,0)),"0")</f>
        <v>0</v>
      </c>
      <c r="BD87" s="494">
        <f>WRmatchups[[#This Row],[Targets]]/WRmatchups[[#This Row],[Salary]]*100</f>
        <v>0.33333333333333337</v>
      </c>
    </row>
    <row r="88" spans="1:56" ht="15" thickBot="1" x14ac:dyDescent="0.35">
      <c r="A88" s="37">
        <f>WRstats1!AL82</f>
        <v>4.5999999999999996</v>
      </c>
      <c r="B88" s="5" t="str">
        <f>WRstats1!D82</f>
        <v>Ricardo Louis</v>
      </c>
      <c r="C88" s="172">
        <f>IFERROR(INDEX(Salaries[DraftKings (Price)],MATCH(WRmatchups[[#This Row],[Name]],Salaries[Player],0)),"")</f>
        <v>3000</v>
      </c>
      <c r="D88" s="172">
        <f>IFERROR(INDEX(DK_Salary_Changes[WeekChange],MATCH(WRmatchups[[#This Row],[Name]],DK_Salary_Changes[Player],0)),"")</f>
        <v>0</v>
      </c>
      <c r="E88" s="14" t="str">
        <f>IFERROR(INDEX(Salaries[Team],MATCH(WRmatchups[[#This Row],[Name]],Salaries[Player],0)),"")</f>
        <v>CLE</v>
      </c>
      <c r="F88" s="460" t="str">
        <f>IFERROR(INDEX(Salaries[Opp],MATCH(WRmatchups[[#This Row],[Team]],Salaries[Team],0)),"")</f>
        <v>@WAS</v>
      </c>
      <c r="G88" s="476" t="str">
        <f>IFERROR(INDEX(WRYTD[Rec],MATCH(WRmatchups[Name],WRYTD[Player],0)),"0")</f>
        <v>0</v>
      </c>
      <c r="H88" s="458">
        <f>IFERROR(INDEX(targettracker54[TTL],MATCH(WRmatchups[Name],targettracker54[Name],0)),"")</f>
        <v>4</v>
      </c>
      <c r="I88" s="475" t="str">
        <f>IFERROR(INDEX(WRYTD[Rec Yds],MATCH(WRmatchups[Name],WRYTD[Player],0)),"0")</f>
        <v>0</v>
      </c>
      <c r="J88" s="477" t="str">
        <f>IFERROR(INDEX(WRYTD[Rec TD],MATCH(WRmatchups[Name],WRYTD[Player],0)),"0")</f>
        <v>0</v>
      </c>
      <c r="K88" s="473">
        <f>IFERROR(INDEX(Salaries[O/U],MATCH(WRmatchups[[#This Row],[Team]],Salaries[Team],0)),"")</f>
        <v>45.5</v>
      </c>
      <c r="L88" s="32">
        <f>IFERROR(INDEX(Salaries[Team O/U],MATCH(WRmatchups[[#This Row],[Team]],Salaries[Team],0)),"")</f>
        <v>18.75</v>
      </c>
      <c r="M88" s="417">
        <f>IFERROR(INDEX(Salaries[Spread],MATCH(WRmatchups[[#This Row],[Team]],Salaries[Team],0)),"")</f>
        <v>8</v>
      </c>
      <c r="N88" s="424">
        <f>IFERROR(INDEX(WRallowed[DVP],MATCH(WRmatchups[[#This Row],[Opp]],WRallowed[Team],0)),IFERROR(INDEX(WRallowed[DVP],MATCH(WRmatchups[[#This Row],[Opp]],WRallowed[Opp],0)),""))</f>
        <v>29</v>
      </c>
      <c r="O88" s="17">
        <f>IFERROR(INDEX(YAtCData[YAtC],MATCH(WRmatchups[[#This Row],[Name]],YAtCData[Player],0)),"0")</f>
        <v>29</v>
      </c>
      <c r="P88" s="497">
        <f>IFERROR(INDEX(YAtCData[YAtC/Rec],MATCH(WRmatchups[[#This Row],[Name]],YAtCData[Player],0)),"0")</f>
        <v>9.67</v>
      </c>
      <c r="Q88" s="17">
        <f>IFERROR(INDEX(YAtCData[YAC],MATCH(WRmatchups[[#This Row],[Name]],YAtCData[Player],0)),"0")</f>
        <v>11</v>
      </c>
      <c r="R88" s="497">
        <f>IFERROR(INDEX(YACDATA[YAC per Reception],MATCH(WRmatchups[[#This Row],[Name]],YACDATA[Player],0)),"0")</f>
        <v>3.7</v>
      </c>
      <c r="S88" s="431">
        <f>AVERAGE(WRmatchups[[#This Row],[Tar1]:[Tar3]])</f>
        <v>4</v>
      </c>
      <c r="T88" s="465">
        <f>AVERAGE(WRmatchups[[#This Row],[Rec1]:[Rec3]])</f>
        <v>2.3519999999999999</v>
      </c>
      <c r="U88" s="468">
        <f>SUM(WRmatchups[[#This Row],[Rec4]]/WRmatchups[[#This Row],[Targets2]])</f>
        <v>0.58799999999999997</v>
      </c>
      <c r="V88" s="417">
        <f>AVERAGE(WRmatchups[[#This Row],[Yards1]:[Yards3]])</f>
        <v>29.463499999999996</v>
      </c>
      <c r="W88" s="461">
        <f>SUM(WRmatchups[[#This Row],[Yards]]/WRmatchups[[#This Row],[Targets2]])</f>
        <v>7.3658749999999991</v>
      </c>
      <c r="X88" s="32">
        <f>AVERAGE(WRmatchups[[#This Row],[TD1]:[TD3]])</f>
        <v>0.12000000000000001</v>
      </c>
      <c r="Y88" s="14">
        <f>_xlfn.RANK.EQ(WRmatchups[[#This Row],[Projection]],WRmatchups[Projection],0)</f>
        <v>78</v>
      </c>
      <c r="Z88" s="45">
        <f>SUM(WRmatchups[[#This Row],[Yards]]*0.1)+(WRmatchups[[#This Row],[RecTD5]]*6)+(WRmatchups[[#This Row],[Rec4]]*1)+(WRmatchups[[#This Row],[100+]])</f>
        <v>6.0183499999999999</v>
      </c>
      <c r="AA88" s="346">
        <f>_xlfn.RANK.EQ(WRmatchups[[#This Row],[$/FP]],WRmatchups[$/FP],1)</f>
        <v>72</v>
      </c>
      <c r="AB88" s="199">
        <f>SUM(WRmatchups[[#This Row],[Salary]]/WRmatchups[[#This Row],[Projection]])</f>
        <v>498.4754957754202</v>
      </c>
      <c r="AC88" s="316">
        <f>_xlfn.RANK.EQ(WRmatchups[[#This Row],[Average]],WRmatchups[Average],1)</f>
        <v>77</v>
      </c>
      <c r="AD88" s="316">
        <f>AVERAGE(WRmatchups[[#This Row],[Proj Rank]],WRmatchups[[#This Row],[Value Rank]])</f>
        <v>75</v>
      </c>
      <c r="AE88" s="214">
        <f>WRmatchups[[#This Row],[Salary]]/50000</f>
        <v>0.06</v>
      </c>
      <c r="AF88" s="214"/>
      <c r="AG88" s="14">
        <f>IFERROR(INDEX(WRstats3[Targets],MATCH(WRmatchups[[#This Row],[Name]],WRstats3[Player],0)),"0")</f>
        <v>4</v>
      </c>
      <c r="AH88" s="14" t="str">
        <f>IFERROR(INDEX(WRstats2[Targets],MATCH(WRmatchups[[#This Row],[Name]],WRstats2[Player],0)),"0")</f>
        <v>0</v>
      </c>
      <c r="AI88" s="14">
        <f>IFERROR(INDEX(WRstats3[Targets],MATCH(WRmatchups[[#This Row],[Name]],WRstats3[Player],0)),"0")</f>
        <v>4</v>
      </c>
      <c r="AJ88" s="14">
        <f>IFERROR(INDEX(WRstats1[Rec],MATCH(WRmatchups[[#This Row],[Name]],WRstats1[Player],0)),"0")</f>
        <v>2.3039999999999998</v>
      </c>
      <c r="AK88" s="14" t="str">
        <f>IFERROR(INDEX(WRstats2[Rec],MATCH(WRmatchups[[#This Row],[Name]],WRstats2[Player],0)),"0")</f>
        <v>0</v>
      </c>
      <c r="AL88" s="14">
        <f>IFERROR(INDEX(WRstats3[Rec],MATCH(WRmatchups[[#This Row],[Name]],WRstats3[Player],0)),"0")</f>
        <v>2.4</v>
      </c>
      <c r="AM88" s="32" t="str">
        <f>IFERROR(INDEX(WRallowed[Rec],MATCH(WRmatchups[[#This Row],[Opp]],WRallowed[Team],0)),"0")</f>
        <v>0</v>
      </c>
      <c r="AN88" s="14">
        <f>IFERROR(INDEX(WRstats1[Rec Yds],MATCH(WRmatchups[[#This Row],[Name]],WRstats1[Player],0)),"0")</f>
        <v>26.626999999999999</v>
      </c>
      <c r="AO88" s="14" t="str">
        <f>IFERROR(INDEX(WRstats2[RecYards],MATCH(WRmatchups[[#This Row],[Name]],WRstats2[Player],0)),"0")</f>
        <v>0</v>
      </c>
      <c r="AP88" s="14">
        <f>IFERROR(INDEX(WRstats3[RecYards],MATCH(WRmatchups[[#This Row],[Name]],WRstats3[Player],0)),"0")</f>
        <v>32.299999999999997</v>
      </c>
      <c r="AQ88" s="32" t="str">
        <f>IFERROR(INDEX(WRallowed[Yard],MATCH(WRmatchups[[#This Row],[Opp]],WRallowed[Team],0)),"0")</f>
        <v>0</v>
      </c>
      <c r="AR88" s="14">
        <f>IFERROR(INDEX(WRstats1[Rec TD],MATCH(WRmatchups[[#This Row],[Name]],WRstats1[Player],0)),"0")</f>
        <v>0.14000000000000001</v>
      </c>
      <c r="AS88" s="14" t="str">
        <f>IFERROR(INDEX(WRstats2[RecTD],MATCH(WRmatchups[[#This Row],[Name]],WRstats2[Player],0)),"0")</f>
        <v>0</v>
      </c>
      <c r="AT88" s="14">
        <f>IFERROR(INDEX(WRstats3[RecTD],MATCH(WRmatchups[[#This Row],[Name]],WRstats3[Player],0)),"0")</f>
        <v>0.1</v>
      </c>
      <c r="AU88" s="32">
        <f>IFERROR(INDEX(WRallowed[TD],MATCH(WRmatchups[[#This Row],[Opp]],WRallowed[Team],0)),"0")*0.5</f>
        <v>0</v>
      </c>
      <c r="AV88" s="14" t="str">
        <f>IFERROR(INDEX(WRstats2[RushAtt],MATCH(WRmatchups[[#This Row],[Name]],WRstats2[Player],0)),"0")</f>
        <v>0</v>
      </c>
      <c r="AW88" s="14">
        <f>IFERROR(INDEX(WRstats3[RushATT],MATCH(WRmatchups[[#This Row],[Name]],WRstats3[Player],0)),"0")</f>
        <v>0</v>
      </c>
      <c r="AX88" s="14" t="str">
        <f>IFERROR(INDEX(WRstats2[RushYards],MATCH(WRmatchups[[#This Row],[Name]],WRstats2[Player],0)),"0")</f>
        <v>0</v>
      </c>
      <c r="AY88" s="14">
        <f>IFERROR(INDEX(WRstats3[RushYards],MATCH(WRmatchups[[#This Row],[Name]],WRstats3[Player],0)),"0")</f>
        <v>0</v>
      </c>
      <c r="AZ88" s="14" t="str">
        <f>IFERROR(INDEX(WRstats2[RushTD],MATCH(WRmatchups[[#This Row],[Name]],WRstats2[Player],0)),"0")</f>
        <v>0</v>
      </c>
      <c r="BA88" s="14">
        <f>IFERROR(INDEX(WRstats3[RushTD],MATCH(WRmatchups[[#This Row],[Name]],WRstats3[Player],0)),"0")</f>
        <v>0</v>
      </c>
      <c r="BB88" s="264">
        <f>IF(WRmatchups[[#This Row],[Yards]]&gt;=100,3,0)</f>
        <v>0</v>
      </c>
      <c r="BC88" s="191" t="str">
        <f>IFERROR(INDEX(#REF!,MATCH(WRmatchups[Name],#REF!,0)),"0")</f>
        <v>0</v>
      </c>
      <c r="BD88" s="494">
        <f>WRmatchups[[#This Row],[Targets]]/WRmatchups[[#This Row],[Salary]]*100</f>
        <v>0.13333333333333333</v>
      </c>
    </row>
    <row r="89" spans="1:56" ht="15" thickBot="1" x14ac:dyDescent="0.35">
      <c r="A89" s="37">
        <f>WRstats1!AL85</f>
        <v>4.4000000000000004</v>
      </c>
      <c r="B89" s="34" t="str">
        <f>WRstats1!D85</f>
        <v>Corey Brown</v>
      </c>
      <c r="C89" s="172">
        <f>IFERROR(INDEX(Salaries[DraftKings (Price)],MATCH(WRmatchups[[#This Row],[Name]],Salaries[Player],0)),"")</f>
        <v>3000</v>
      </c>
      <c r="D89" s="172">
        <f>IFERROR(INDEX(DK_Salary_Changes[WeekChange],MATCH(WRmatchups[[#This Row],[Name]],DK_Salary_Changes[Player],0)),"")</f>
        <v>0</v>
      </c>
      <c r="E89" s="14" t="str">
        <f>IFERROR(INDEX(Salaries[Team],MATCH(WRmatchups[[#This Row],[Name]],Salaries[Player],0)),"")</f>
        <v>CAR</v>
      </c>
      <c r="F89" s="460" t="str">
        <f>IFERROR(INDEX(Salaries[Opp],MATCH(WRmatchups[[#This Row],[Team]],Salaries[Team],0)),"")</f>
        <v>@ATL</v>
      </c>
      <c r="G89" s="476" t="str">
        <f>IFERROR(INDEX(WRYTD[Rec],MATCH(WRmatchups[Name],WRYTD[Player],0)),"0")</f>
        <v>0</v>
      </c>
      <c r="H89" s="458" t="str">
        <f>IFERROR(INDEX(targettracker54[TTL],MATCH(WRmatchups[Name],targettracker54[Name],0)),"")</f>
        <v/>
      </c>
      <c r="I89" s="475" t="str">
        <f>IFERROR(INDEX(WRYTD[Rec Yds],MATCH(WRmatchups[Name],WRYTD[Player],0)),"0")</f>
        <v>0</v>
      </c>
      <c r="J89" s="477" t="str">
        <f>IFERROR(INDEX(WRYTD[Rec TD],MATCH(WRmatchups[Name],WRYTD[Player],0)),"0")</f>
        <v>0</v>
      </c>
      <c r="K89" s="473">
        <f>IFERROR(INDEX(Salaries[O/U],MATCH(WRmatchups[[#This Row],[Team]],Salaries[Team],0)),"")</f>
        <v>50</v>
      </c>
      <c r="L89" s="32">
        <f>IFERROR(INDEX(Salaries[Team O/U],MATCH(WRmatchups[[#This Row],[Team]],Salaries[Team],0)),"")</f>
        <v>26.5</v>
      </c>
      <c r="M89" s="417">
        <f>IFERROR(INDEX(Salaries[Spread],MATCH(WRmatchups[[#This Row],[Team]],Salaries[Team],0)),"")</f>
        <v>-3</v>
      </c>
      <c r="N89" s="424">
        <f>IFERROR(INDEX(WRallowed[DVP],MATCH(WRmatchups[[#This Row],[Opp]],WRallowed[Team],0)),IFERROR(INDEX(WRallowed[DVP],MATCH(WRmatchups[[#This Row],[Opp]],WRallowed[Opp],0)),""))</f>
        <v>2</v>
      </c>
      <c r="O89" s="17">
        <f>IFERROR(INDEX(YAtCData[YAtC],MATCH(WRmatchups[[#This Row],[Name]],YAtCData[Player],0)),"0")</f>
        <v>47</v>
      </c>
      <c r="P89" s="497">
        <f>IFERROR(INDEX(YAtCData[YAtC/Rec],MATCH(WRmatchups[[#This Row],[Name]],YAtCData[Player],0)),"0")</f>
        <v>5.88</v>
      </c>
      <c r="Q89" s="17">
        <f>IFERROR(INDEX(YAtCData[YAC],MATCH(WRmatchups[[#This Row],[Name]],YAtCData[Player],0)),"0")</f>
        <v>36</v>
      </c>
      <c r="R89" s="497">
        <f>IFERROR(INDEX(YACDATA[YAC per Reception],MATCH(WRmatchups[[#This Row],[Name]],YACDATA[Player],0)),"0")</f>
        <v>4.5</v>
      </c>
      <c r="S89" s="431" t="e">
        <f>AVERAGE(WRmatchups[[#This Row],[Tar1]:[Tar3]])</f>
        <v>#DIV/0!</v>
      </c>
      <c r="T89" s="465">
        <f>AVERAGE(WRmatchups[[#This Row],[Rec1]:[Rec3]])</f>
        <v>2.4009999999999998</v>
      </c>
      <c r="U89" s="468" t="e">
        <f>SUM(WRmatchups[[#This Row],[Rec4]]/WRmatchups[[#This Row],[Targets2]])</f>
        <v>#DIV/0!</v>
      </c>
      <c r="V89" s="417">
        <f>AVERAGE(WRmatchups[[#This Row],[Yards1]:[Yards3]])</f>
        <v>26.279</v>
      </c>
      <c r="W89" s="461" t="e">
        <f>SUM(WRmatchups[[#This Row],[Yards]]/WRmatchups[[#This Row],[Targets2]])</f>
        <v>#DIV/0!</v>
      </c>
      <c r="X89" s="32">
        <f>AVERAGE(WRmatchups[[#This Row],[TD1]:[TD3]])</f>
        <v>9.6000000000000002E-2</v>
      </c>
      <c r="Y89" s="14">
        <f>_xlfn.RANK.EQ(WRmatchups[[#This Row],[Projection]],WRmatchups[Projection],0)</f>
        <v>79</v>
      </c>
      <c r="Z89" s="45">
        <f>SUM(WRmatchups[[#This Row],[Yards]]*0.1)+(WRmatchups[[#This Row],[RecTD5]]*6)+(WRmatchups[[#This Row],[Rec4]]*1)+(WRmatchups[[#This Row],[100+]])</f>
        <v>5.6049000000000007</v>
      </c>
      <c r="AA89" s="346">
        <f>_xlfn.RANK.EQ(WRmatchups[[#This Row],[$/FP]],WRmatchups[$/FP],1)</f>
        <v>76</v>
      </c>
      <c r="AB89" s="199">
        <f>SUM(WRmatchups[[#This Row],[Salary]]/WRmatchups[[#This Row],[Projection]])</f>
        <v>535.24594551196265</v>
      </c>
      <c r="AC89" s="316">
        <f>_xlfn.RANK.EQ(WRmatchups[[#This Row],[Average]],WRmatchups[Average],1)</f>
        <v>79</v>
      </c>
      <c r="AD89" s="316">
        <f>AVERAGE(WRmatchups[[#This Row],[Proj Rank]],WRmatchups[[#This Row],[Value Rank]])</f>
        <v>77.5</v>
      </c>
      <c r="AE89" s="214">
        <f>WRmatchups[[#This Row],[Salary]]/50000</f>
        <v>0.06</v>
      </c>
      <c r="AF89" s="214"/>
      <c r="AG89" s="14" t="str">
        <f>IFERROR(INDEX(WRstats3[Targets],MATCH(WRmatchups[[#This Row],[Name]],WRstats3[Player],0)),"0")</f>
        <v>0</v>
      </c>
      <c r="AH89" s="14" t="str">
        <f>IFERROR(INDEX(WRstats2[Targets],MATCH(WRmatchups[[#This Row],[Name]],WRstats2[Player],0)),"0")</f>
        <v>0</v>
      </c>
      <c r="AI89" s="14" t="str">
        <f>IFERROR(INDEX(WRstats3[Targets],MATCH(WRmatchups[[#This Row],[Name]],WRstats3[Player],0)),"0")</f>
        <v>0</v>
      </c>
      <c r="AJ89" s="14">
        <f>IFERROR(INDEX(WRstats1[Rec],MATCH(WRmatchups[[#This Row],[Name]],WRstats1[Player],0)),"0")</f>
        <v>2.4009999999999998</v>
      </c>
      <c r="AK89" s="14" t="str">
        <f>IFERROR(INDEX(WRstats2[Rec],MATCH(WRmatchups[[#This Row],[Name]],WRstats2[Player],0)),"0")</f>
        <v>0</v>
      </c>
      <c r="AL89" s="14" t="str">
        <f>IFERROR(INDEX(WRstats3[Rec],MATCH(WRmatchups[[#This Row],[Name]],WRstats3[Player],0)),"0")</f>
        <v>0</v>
      </c>
      <c r="AM89" s="32" t="str">
        <f>IFERROR(INDEX(WRallowed[Rec],MATCH(WRmatchups[[#This Row],[Opp]],WRallowed[Team],0)),"0")</f>
        <v>0</v>
      </c>
      <c r="AN89" s="14">
        <f>IFERROR(INDEX(WRstats1[Rec Yds],MATCH(WRmatchups[[#This Row],[Name]],WRstats1[Player],0)),"0")</f>
        <v>26.279</v>
      </c>
      <c r="AO89" s="14" t="str">
        <f>IFERROR(INDEX(WRstats2[RecYards],MATCH(WRmatchups[[#This Row],[Name]],WRstats2[Player],0)),"0")</f>
        <v>0</v>
      </c>
      <c r="AP89" s="14" t="str">
        <f>IFERROR(INDEX(WRstats3[RecYards],MATCH(WRmatchups[[#This Row],[Name]],WRstats3[Player],0)),"0")</f>
        <v>0</v>
      </c>
      <c r="AQ89" s="32" t="str">
        <f>IFERROR(INDEX(WRallowed[Yard],MATCH(WRmatchups[[#This Row],[Opp]],WRallowed[Team],0)),"0")</f>
        <v>0</v>
      </c>
      <c r="AR89" s="14">
        <f>IFERROR(INDEX(WRstats1[Rec TD],MATCH(WRmatchups[[#This Row],[Name]],WRstats1[Player],0)),"0")</f>
        <v>9.6000000000000002E-2</v>
      </c>
      <c r="AS89" s="14" t="str">
        <f>IFERROR(INDEX(WRstats2[RecTD],MATCH(WRmatchups[[#This Row],[Name]],WRstats2[Player],0)),"0")</f>
        <v>0</v>
      </c>
      <c r="AT89" s="14" t="str">
        <f>IFERROR(INDEX(WRstats3[RecTD],MATCH(WRmatchups[[#This Row],[Name]],WRstats3[Player],0)),"0")</f>
        <v>0</v>
      </c>
      <c r="AU89" s="32">
        <f>IFERROR(INDEX(WRallowed[TD],MATCH(WRmatchups[[#This Row],[Opp]],WRallowed[Team],0)),"0")*0.5</f>
        <v>0</v>
      </c>
      <c r="AV89" s="14" t="str">
        <f>IFERROR(INDEX(WRstats2[RushAtt],MATCH(WRmatchups[[#This Row],[Name]],WRstats2[Player],0)),"0")</f>
        <v>0</v>
      </c>
      <c r="AW89" s="14" t="str">
        <f>IFERROR(INDEX(WRstats3[RushATT],MATCH(WRmatchups[[#This Row],[Name]],WRstats3[Player],0)),"0")</f>
        <v>0</v>
      </c>
      <c r="AX89" s="14" t="str">
        <f>IFERROR(INDEX(WRstats2[RushYards],MATCH(WRmatchups[[#This Row],[Name]],WRstats2[Player],0)),"0")</f>
        <v>0</v>
      </c>
      <c r="AY89" s="14" t="str">
        <f>IFERROR(INDEX(WRstats3[RushYards],MATCH(WRmatchups[[#This Row],[Name]],WRstats3[Player],0)),"0")</f>
        <v>0</v>
      </c>
      <c r="AZ89" s="14" t="str">
        <f>IFERROR(INDEX(WRstats2[RushTD],MATCH(WRmatchups[[#This Row],[Name]],WRstats2[Player],0)),"0")</f>
        <v>0</v>
      </c>
      <c r="BA89" s="14" t="str">
        <f>IFERROR(INDEX(WRstats3[RushTD],MATCH(WRmatchups[[#This Row],[Name]],WRstats3[Player],0)),"0")</f>
        <v>0</v>
      </c>
      <c r="BB89" s="264">
        <f>IF(WRmatchups[[#This Row],[Yards]]&gt;=100,3,0)</f>
        <v>0</v>
      </c>
      <c r="BC89" s="191" t="str">
        <f>IFERROR(INDEX(#REF!,MATCH(WRmatchups[Name],#REF!,0)),"0")</f>
        <v>0</v>
      </c>
      <c r="BD89" s="494" t="e">
        <f>WRmatchups[[#This Row],[Targets]]/WRmatchups[[#This Row],[Salary]]*100</f>
        <v>#VALUE!</v>
      </c>
    </row>
    <row r="90" spans="1:56" ht="15" thickBot="1" x14ac:dyDescent="0.35">
      <c r="A90" s="37">
        <f>WRstats1!AL65</f>
        <v>6.4</v>
      </c>
      <c r="B90" s="34" t="str">
        <f>WRstats1!D65</f>
        <v>Greg Salas</v>
      </c>
      <c r="C90" s="172">
        <f>IFERROR(INDEX(Salaries[DraftKings (Price)],MATCH(WRmatchups[[#This Row],[Name]],Salaries[Player],0)),"")</f>
        <v>3000</v>
      </c>
      <c r="D90" s="172">
        <f>IFERROR(INDEX(DK_Salary_Changes[WeekChange],MATCH(WRmatchups[[#This Row],[Name]],DK_Salary_Changes[Player],0)),"")</f>
        <v>0</v>
      </c>
      <c r="E90" s="14" t="str">
        <f>IFERROR(INDEX(Salaries[Team],MATCH(WRmatchups[[#This Row],[Name]],Salaries[Player],0)),"")</f>
        <v>BUF</v>
      </c>
      <c r="F90" s="460" t="str">
        <f>IFERROR(INDEX(Salaries[Opp],MATCH(WRmatchups[[#This Row],[Team]],Salaries[Team],0)),"")</f>
        <v>@NE</v>
      </c>
      <c r="G90" s="476">
        <f>IFERROR(INDEX(WRYTD[Rec],MATCH(WRmatchups[Name],WRYTD[Player],0)),"0")</f>
        <v>4</v>
      </c>
      <c r="H90" s="458">
        <f>IFERROR(INDEX(targettracker54[TTL],MATCH(WRmatchups[Name],targettracker54[Name],0)),"")</f>
        <v>6</v>
      </c>
      <c r="I90" s="475">
        <f>IFERROR(INDEX(WRYTD[Rec Yds],MATCH(WRmatchups[Name],WRYTD[Player],0)),"0")</f>
        <v>89</v>
      </c>
      <c r="J90" s="477">
        <f>IFERROR(INDEX(WRYTD[Rec TD],MATCH(WRmatchups[Name],WRYTD[Player],0)),"0")</f>
        <v>1</v>
      </c>
      <c r="K90" s="473">
        <f>IFERROR(INDEX(Salaries[O/U],MATCH(WRmatchups[[#This Row],[Team]],Salaries[Team],0)),"")</f>
        <v>44</v>
      </c>
      <c r="L90" s="32">
        <f>IFERROR(INDEX(Salaries[Team O/U],MATCH(WRmatchups[[#This Row],[Team]],Salaries[Team],0)),"")</f>
        <v>19.75</v>
      </c>
      <c r="M90" s="417">
        <f>IFERROR(INDEX(Salaries[Spread],MATCH(WRmatchups[[#This Row],[Team]],Salaries[Team],0)),"")</f>
        <v>4.5</v>
      </c>
      <c r="N90" s="424">
        <f>IFERROR(INDEX(WRallowed[DVP],MATCH(WRmatchups[[#This Row],[Opp]],WRallowed[Team],0)),IFERROR(INDEX(WRallowed[DVP],MATCH(WRmatchups[[#This Row],[Opp]],WRallowed[Opp],0)),""))</f>
        <v>20</v>
      </c>
      <c r="O90" s="17">
        <f>IFERROR(INDEX(YAtCData[YAtC],MATCH(WRmatchups[[#This Row],[Name]],YAtCData[Player],0)),"0")</f>
        <v>56</v>
      </c>
      <c r="P90" s="497">
        <f>IFERROR(INDEX(YAtCData[YAtC/Rec],MATCH(WRmatchups[[#This Row],[Name]],YAtCData[Player],0)),"0")</f>
        <v>14</v>
      </c>
      <c r="Q90" s="17">
        <f>IFERROR(INDEX(YAtCData[YAC],MATCH(WRmatchups[[#This Row],[Name]],YAtCData[Player],0)),"0")</f>
        <v>33</v>
      </c>
      <c r="R90" s="497">
        <f>IFERROR(INDEX(YACDATA[YAC per Reception],MATCH(WRmatchups[[#This Row],[Name]],YACDATA[Player],0)),"0")</f>
        <v>8.3000000000000007</v>
      </c>
      <c r="S90" s="418">
        <f>AVERAGE(WRmatchups[[#This Row],[Tar1]:[Tar3]])</f>
        <v>2</v>
      </c>
      <c r="T90" s="464">
        <f>AVERAGE(WRmatchups[[#This Row],[Rec1]:[Rec3]])</f>
        <v>1.8485</v>
      </c>
      <c r="U90" s="468">
        <f>SUM(WRmatchups[[#This Row],[Rec4]]/WRmatchups[[#This Row],[Targets2]])</f>
        <v>0.92425000000000002</v>
      </c>
      <c r="V90" s="417">
        <f>AVERAGE(WRmatchups[[#This Row],[Yards1]:[Yards3]])</f>
        <v>26.825499999999998</v>
      </c>
      <c r="W90" s="461">
        <f>SUM(WRmatchups[[#This Row],[Yards]]/WRmatchups[[#This Row],[Targets2]])</f>
        <v>13.412749999999999</v>
      </c>
      <c r="X90" s="32">
        <f>AVERAGE(WRmatchups[[#This Row],[TD1]:[TD3]])</f>
        <v>0.1545</v>
      </c>
      <c r="Y90" s="14">
        <f>_xlfn.RANK.EQ(WRmatchups[[#This Row],[Projection]],WRmatchups[Projection],0)</f>
        <v>80</v>
      </c>
      <c r="Z90" s="19">
        <f>SUM(WRmatchups[[#This Row],[Yards]]*0.1)+(WRmatchups[[#This Row],[RecTD5]]*6)+(WRmatchups[[#This Row],[Rec4]]*1)+(WRmatchups[[#This Row],[100+]])</f>
        <v>5.4580500000000001</v>
      </c>
      <c r="AA90" s="8">
        <f>_xlfn.RANK.EQ(WRmatchups[[#This Row],[$/FP]],WRmatchups[$/FP],1)</f>
        <v>78</v>
      </c>
      <c r="AB90" s="23">
        <f>SUM(WRmatchups[[#This Row],[Salary]]/WRmatchups[[#This Row],[Projection]])</f>
        <v>549.64685189765578</v>
      </c>
      <c r="AC90" s="241">
        <f>_xlfn.RANK.EQ(WRmatchups[[#This Row],[Average]],WRmatchups[Average],1)</f>
        <v>81</v>
      </c>
      <c r="AD90" s="241">
        <f>AVERAGE(WRmatchups[[#This Row],[Proj Rank]],WRmatchups[[#This Row],[Value Rank]])</f>
        <v>79</v>
      </c>
      <c r="AE90" s="210">
        <f>WRmatchups[[#This Row],[Salary]]/50000</f>
        <v>0.06</v>
      </c>
      <c r="AF90" s="214"/>
      <c r="AG90" s="14">
        <f>IFERROR(INDEX(WRstats3[Targets],MATCH(WRmatchups[[#This Row],[Name]],WRstats3[Player],0)),"0")</f>
        <v>2</v>
      </c>
      <c r="AH90" s="14" t="str">
        <f>IFERROR(INDEX(WRstats2[Targets],MATCH(WRmatchups[[#This Row],[Name]],WRstats2[Player],0)),"0")</f>
        <v>0</v>
      </c>
      <c r="AI90" s="14">
        <f>IFERROR(INDEX(WRstats3[Targets],MATCH(WRmatchups[[#This Row],[Name]],WRstats3[Player],0)),"0")</f>
        <v>2</v>
      </c>
      <c r="AJ90" s="14">
        <f>IFERROR(INDEX(WRstats1[Rec],MATCH(WRmatchups[[#This Row],[Name]],WRstats1[Player],0)),"0")</f>
        <v>2.4969999999999999</v>
      </c>
      <c r="AK90" s="14" t="str">
        <f>IFERROR(INDEX(WRstats2[Rec],MATCH(WRmatchups[[#This Row],[Name]],WRstats2[Player],0)),"0")</f>
        <v>0</v>
      </c>
      <c r="AL90" s="14">
        <f>IFERROR(INDEX(WRstats3[Rec],MATCH(WRmatchups[[#This Row],[Name]],WRstats3[Player],0)),"0")</f>
        <v>1.2</v>
      </c>
      <c r="AM90" s="32" t="str">
        <f>IFERROR(INDEX(WRallowed[Rec],MATCH(WRmatchups[[#This Row],[Opp]],WRallowed[Team],0)),"0")</f>
        <v>0</v>
      </c>
      <c r="AN90" s="14">
        <f>IFERROR(INDEX(WRstats1[Rec Yds],MATCH(WRmatchups[[#This Row],[Name]],WRstats1[Player],0)),"0")</f>
        <v>39.350999999999999</v>
      </c>
      <c r="AO90" s="14" t="str">
        <f>IFERROR(INDEX(WRstats2[RecYards],MATCH(WRmatchups[[#This Row],[Name]],WRstats2[Player],0)),"0")</f>
        <v>0</v>
      </c>
      <c r="AP90" s="14">
        <f>IFERROR(INDEX(WRstats3[RecYards],MATCH(WRmatchups[[#This Row],[Name]],WRstats3[Player],0)),"0")</f>
        <v>14.3</v>
      </c>
      <c r="AQ90" s="32" t="str">
        <f>IFERROR(INDEX(WRallowed[Yard],MATCH(WRmatchups[[#This Row],[Opp]],WRallowed[Team],0)),"0")</f>
        <v>0</v>
      </c>
      <c r="AR90" s="14">
        <f>IFERROR(INDEX(WRstats1[Rec TD],MATCH(WRmatchups[[#This Row],[Name]],WRstats1[Player],0)),"0")</f>
        <v>0.20899999999999999</v>
      </c>
      <c r="AS90" s="14" t="str">
        <f>IFERROR(INDEX(WRstats2[RecTD],MATCH(WRmatchups[[#This Row],[Name]],WRstats2[Player],0)),"0")</f>
        <v>0</v>
      </c>
      <c r="AT90" s="14">
        <f>IFERROR(INDEX(WRstats3[RecTD],MATCH(WRmatchups[[#This Row],[Name]],WRstats3[Player],0)),"0")</f>
        <v>0.1</v>
      </c>
      <c r="AU90" s="32">
        <f>IFERROR(INDEX(WRallowed[TD],MATCH(WRmatchups[[#This Row],[Opp]],WRallowed[Team],0)),"0")*0.5</f>
        <v>0</v>
      </c>
      <c r="AV90" s="14" t="str">
        <f>IFERROR(INDEX(WRstats2[RushAtt],MATCH(WRmatchups[[#This Row],[Name]],WRstats2[Player],0)),"0")</f>
        <v>0</v>
      </c>
      <c r="AW90" s="14">
        <f>IFERROR(INDEX(WRstats3[RushATT],MATCH(WRmatchups[[#This Row],[Name]],WRstats3[Player],0)),"0")</f>
        <v>0</v>
      </c>
      <c r="AX90" s="14" t="str">
        <f>IFERROR(INDEX(WRstats2[RushYards],MATCH(WRmatchups[[#This Row],[Name]],WRstats2[Player],0)),"0")</f>
        <v>0</v>
      </c>
      <c r="AY90" s="14">
        <f>IFERROR(INDEX(WRstats3[RushYards],MATCH(WRmatchups[[#This Row],[Name]],WRstats3[Player],0)),"0")</f>
        <v>0</v>
      </c>
      <c r="AZ90" s="14" t="str">
        <f>IFERROR(INDEX(WRstats2[RushTD],MATCH(WRmatchups[[#This Row],[Name]],WRstats2[Player],0)),"0")</f>
        <v>0</v>
      </c>
      <c r="BA90" s="14">
        <f>IFERROR(INDEX(WRstats3[RushTD],MATCH(WRmatchups[[#This Row],[Name]],WRstats3[Player],0)),"0")</f>
        <v>0</v>
      </c>
      <c r="BB90" s="264">
        <f>IF(WRmatchups[[#This Row],[Yards]]&gt;=100,3,0)</f>
        <v>0</v>
      </c>
      <c r="BC90" s="191" t="str">
        <f>IFERROR(INDEX(#REF!,MATCH(WRmatchups[Name],#REF!,0)),"0")</f>
        <v>0</v>
      </c>
      <c r="BD90" s="494">
        <f>WRmatchups[[#This Row],[Targets]]/WRmatchups[[#This Row],[Salary]]*100</f>
        <v>0.2</v>
      </c>
    </row>
    <row r="91" spans="1:56" ht="15" thickBot="1" x14ac:dyDescent="0.35">
      <c r="A91" s="37">
        <f>WRstats1!AL97</f>
        <v>2.2999999999999998</v>
      </c>
      <c r="B91" s="34" t="str">
        <f>WRstats1!D97</f>
        <v>Danny Amendola</v>
      </c>
      <c r="C91" s="172">
        <f>IFERROR(INDEX(Salaries[DraftKings (Price)],MATCH(WRmatchups[[#This Row],[Name]],Salaries[Player],0)),"")</f>
        <v>3600</v>
      </c>
      <c r="D91" s="172">
        <f>IFERROR(INDEX(DK_Salary_Changes[WeekChange],MATCH(WRmatchups[[#This Row],[Name]],DK_Salary_Changes[Player],0)),"")</f>
        <v>-100</v>
      </c>
      <c r="E91" s="14" t="str">
        <f>IFERROR(INDEX(Salaries[Team],MATCH(WRmatchups[[#This Row],[Name]],Salaries[Player],0)),"")</f>
        <v>NE</v>
      </c>
      <c r="F91" s="460" t="str">
        <f>IFERROR(INDEX(Salaries[Opp],MATCH(WRmatchups[[#This Row],[Team]],Salaries[Team],0)),"")</f>
        <v>BUF</v>
      </c>
      <c r="G91" s="476">
        <f>IFERROR(INDEX(WRYTD[Rec],MATCH(WRmatchups[Name],WRYTD[Player],0)),"0")</f>
        <v>9</v>
      </c>
      <c r="H91" s="458">
        <f>IFERROR(INDEX(targettracker54[TTL],MATCH(WRmatchups[Name],targettracker54[Name],0)),"")</f>
        <v>10</v>
      </c>
      <c r="I91" s="475">
        <f>IFERROR(INDEX(WRYTD[Rec Yds],MATCH(WRmatchups[Name],WRYTD[Player],0)),"0")</f>
        <v>121</v>
      </c>
      <c r="J91" s="477">
        <f>IFERROR(INDEX(WRYTD[Rec TD],MATCH(WRmatchups[Name],WRYTD[Player],0)),"0")</f>
        <v>2</v>
      </c>
      <c r="K91" s="473">
        <f>IFERROR(INDEX(Salaries[O/U],MATCH(WRmatchups[[#This Row],[Team]],Salaries[Team],0)),"")</f>
        <v>44</v>
      </c>
      <c r="L91" s="32">
        <f>IFERROR(INDEX(Salaries[Team O/U],MATCH(WRmatchups[[#This Row],[Team]],Salaries[Team],0)),"")</f>
        <v>24.25</v>
      </c>
      <c r="M91" s="417">
        <f>IFERROR(INDEX(Salaries[Spread],MATCH(WRmatchups[[#This Row],[Team]],Salaries[Team],0)),"")</f>
        <v>-4.5</v>
      </c>
      <c r="N91" s="424">
        <f>IFERROR(INDEX(WRallowed[DVP],MATCH(WRmatchups[[#This Row],[Opp]],WRallowed[Team],0)),IFERROR(INDEX(WRallowed[DVP],MATCH(WRmatchups[[#This Row],[Opp]],WRallowed[Opp],0)),""))</f>
        <v>23</v>
      </c>
      <c r="O91" s="17">
        <f>IFERROR(INDEX(YAtCData[YAtC],MATCH(WRmatchups[[#This Row],[Name]],YAtCData[Player],0)),"0")</f>
        <v>88</v>
      </c>
      <c r="P91" s="497">
        <f>IFERROR(INDEX(YAtCData[YAtC/Rec],MATCH(WRmatchups[[#This Row],[Name]],YAtCData[Player],0)),"0")</f>
        <v>9.7799999999999994</v>
      </c>
      <c r="Q91" s="17">
        <f>IFERROR(INDEX(YAtCData[YAC],MATCH(WRmatchups[[#This Row],[Name]],YAtCData[Player],0)),"0")</f>
        <v>31</v>
      </c>
      <c r="R91" s="497">
        <f>IFERROR(INDEX(YACDATA[YAC per Reception],MATCH(WRmatchups[[#This Row],[Name]],YACDATA[Player],0)),"0")</f>
        <v>3.4</v>
      </c>
      <c r="S91" s="431">
        <f>AVERAGE(WRmatchups[[#This Row],[Tar1]:[Tar3]])</f>
        <v>2.9</v>
      </c>
      <c r="T91" s="465">
        <f>AVERAGE(WRmatchups[[#This Row],[Rec1]:[Rec3]])</f>
        <v>2.2770000000000001</v>
      </c>
      <c r="U91" s="468">
        <f>SUM(WRmatchups[[#This Row],[Rec4]]/WRmatchups[[#This Row],[Targets2]])</f>
        <v>0.78517241379310354</v>
      </c>
      <c r="V91" s="417">
        <f>AVERAGE(WRmatchups[[#This Row],[Yards1]:[Yards3]])</f>
        <v>24.987333333333336</v>
      </c>
      <c r="W91" s="461">
        <f>SUM(WRmatchups[[#This Row],[Yards]]/WRmatchups[[#This Row],[Targets2]])</f>
        <v>8.6163218390804612</v>
      </c>
      <c r="X91" s="32">
        <f>AVERAGE(WRmatchups[[#This Row],[TD1]:[TD3]])</f>
        <v>8.8999999999999996E-2</v>
      </c>
      <c r="Y91" s="14">
        <f>_xlfn.RANK.EQ(WRmatchups[[#This Row],[Projection]],WRmatchups[Projection],0)</f>
        <v>81</v>
      </c>
      <c r="Z91" s="45">
        <f>SUM(WRmatchups[[#This Row],[Yards]]*0.1)+(WRmatchups[[#This Row],[RecTD5]]*6)+(WRmatchups[[#This Row],[Rec4]]*1)+(WRmatchups[[#This Row],[100+]])</f>
        <v>5.3097333333333339</v>
      </c>
      <c r="AA91" s="346">
        <f>_xlfn.RANK.EQ(WRmatchups[[#This Row],[$/FP]],WRmatchups[$/FP],1)</f>
        <v>85</v>
      </c>
      <c r="AB91" s="199">
        <f>SUM(WRmatchups[[#This Row],[Salary]]/WRmatchups[[#This Row],[Projection]])</f>
        <v>678.00015066670005</v>
      </c>
      <c r="AC91" s="316">
        <f>_xlfn.RANK.EQ(WRmatchups[[#This Row],[Average]],WRmatchups[Average],1)</f>
        <v>83</v>
      </c>
      <c r="AD91" s="316">
        <f>AVERAGE(WRmatchups[[#This Row],[Proj Rank]],WRmatchups[[#This Row],[Value Rank]])</f>
        <v>83</v>
      </c>
      <c r="AE91" s="214">
        <f>WRmatchups[[#This Row],[Salary]]/50000</f>
        <v>7.1999999999999995E-2</v>
      </c>
      <c r="AF91" s="214"/>
      <c r="AG91" s="14">
        <f>IFERROR(INDEX(WRstats3[Targets],MATCH(WRmatchups[[#This Row],[Name]],WRstats3[Player],0)),"0")</f>
        <v>2.9</v>
      </c>
      <c r="AH91" s="14" t="str">
        <f>IFERROR(INDEX(WRstats2[Targets],MATCH(WRmatchups[[#This Row],[Name]],WRstats2[Player],0)),"0")</f>
        <v>0</v>
      </c>
      <c r="AI91" s="14">
        <f>IFERROR(INDEX(WRstats3[Targets],MATCH(WRmatchups[[#This Row],[Name]],WRstats3[Player],0)),"0")</f>
        <v>2.9</v>
      </c>
      <c r="AJ91" s="14">
        <f>IFERROR(INDEX(WRstats1[Rec],MATCH(WRmatchups[[#This Row],[Name]],WRstats1[Player],0)),"0")</f>
        <v>1.331</v>
      </c>
      <c r="AK91" s="14">
        <f>IFERROR(INDEX(WRstats2[Rec],MATCH(WRmatchups[[#This Row],[Name]],WRstats2[Player],0)),"0")</f>
        <v>3.2</v>
      </c>
      <c r="AL91" s="14">
        <f>IFERROR(INDEX(WRstats3[Rec],MATCH(WRmatchups[[#This Row],[Name]],WRstats3[Player],0)),"0")</f>
        <v>2.2999999999999998</v>
      </c>
      <c r="AM91" s="32">
        <f>IFERROR(INDEX(WRallowed[Rec],MATCH(WRmatchups[[#This Row],[Opp]],WRallowed[Team],0)),"0")</f>
        <v>11.5625</v>
      </c>
      <c r="AN91" s="14">
        <f>IFERROR(INDEX(WRstats1[Rec Yds],MATCH(WRmatchups[[#This Row],[Name]],WRstats1[Player],0)),"0")</f>
        <v>12.362</v>
      </c>
      <c r="AO91" s="14">
        <f>IFERROR(INDEX(WRstats2[RecYards],MATCH(WRmatchups[[#This Row],[Name]],WRstats2[Player],0)),"0")</f>
        <v>35.700000000000003</v>
      </c>
      <c r="AP91" s="14">
        <f>IFERROR(INDEX(WRstats3[RecYards],MATCH(WRmatchups[[#This Row],[Name]],WRstats3[Player],0)),"0")</f>
        <v>26.9</v>
      </c>
      <c r="AQ91" s="32">
        <f>IFERROR(INDEX(WRallowed[Yard],MATCH(WRmatchups[[#This Row],[Opp]],WRallowed[Team],0)),"0")</f>
        <v>176.125</v>
      </c>
      <c r="AR91" s="14">
        <f>IFERROR(INDEX(WRstats1[Rec TD],MATCH(WRmatchups[[#This Row],[Name]],WRstats1[Player],0)),"0")</f>
        <v>7.8E-2</v>
      </c>
      <c r="AS91" s="14" t="str">
        <f>IFERROR(INDEX(WRstats2[RecTD],MATCH(WRmatchups[[#This Row],[Name]],WRstats2[Player],0)),"0")</f>
        <v>0.2</v>
      </c>
      <c r="AT91" s="14">
        <f>IFERROR(INDEX(WRstats3[RecTD],MATCH(WRmatchups[[#This Row],[Name]],WRstats3[Player],0)),"0")</f>
        <v>0.1</v>
      </c>
      <c r="AU91" s="32">
        <f>IFERROR(INDEX(WRallowed[TD],MATCH(WRmatchups[[#This Row],[Opp]],WRallowed[Team],0)),"0")*0.5</f>
        <v>0.71875</v>
      </c>
      <c r="AV91" s="14" t="str">
        <f>IFERROR(INDEX(WRstats2[RushAtt],MATCH(WRmatchups[[#This Row],[Name]],WRstats2[Player],0)),"0")</f>
        <v>0.2</v>
      </c>
      <c r="AW91" s="14">
        <f>IFERROR(INDEX(WRstats3[RushATT],MATCH(WRmatchups[[#This Row],[Name]],WRstats3[Player],0)),"0")</f>
        <v>0.2</v>
      </c>
      <c r="AX91" s="14" t="str">
        <f>IFERROR(INDEX(WRstats2[RushYards],MATCH(WRmatchups[[#This Row],[Name]],WRstats2[Player],0)),"0")</f>
        <v>0.9</v>
      </c>
      <c r="AY91" s="14">
        <f>IFERROR(INDEX(WRstats3[RushYards],MATCH(WRmatchups[[#This Row],[Name]],WRstats3[Player],0)),"0")</f>
        <v>1.2</v>
      </c>
      <c r="AZ91" s="14" t="str">
        <f>IFERROR(INDEX(WRstats2[RushTD],MATCH(WRmatchups[[#This Row],[Name]],WRstats2[Player],0)),"0")</f>
        <v>0</v>
      </c>
      <c r="BA91" s="14">
        <f>IFERROR(INDEX(WRstats3[RushTD],MATCH(WRmatchups[[#This Row],[Name]],WRstats3[Player],0)),"0")</f>
        <v>0</v>
      </c>
      <c r="BB91" s="264">
        <f>IF(WRmatchups[[#This Row],[Yards]]&gt;=100,3,0)</f>
        <v>0</v>
      </c>
      <c r="BC91" s="191" t="str">
        <f>IFERROR(INDEX(#REF!,MATCH(WRmatchups[Name],#REF!,0)),"0")</f>
        <v>0</v>
      </c>
      <c r="BD91" s="494">
        <f>WRmatchups[[#This Row],[Targets]]/WRmatchups[[#This Row],[Salary]]*100</f>
        <v>0.27777777777777779</v>
      </c>
    </row>
    <row r="92" spans="1:56" ht="15" thickBot="1" x14ac:dyDescent="0.35">
      <c r="A92" s="37">
        <f>WRstats1!AL88</f>
        <v>3.3</v>
      </c>
      <c r="B92" s="34" t="str">
        <f>WRstats1!D88</f>
        <v>Eli Rogers</v>
      </c>
      <c r="C92" s="172">
        <f>IFERROR(INDEX(Salaries[DraftKings (Price)],MATCH(WRmatchups[[#This Row],[Name]],Salaries[Player],0)),"")</f>
        <v>3500</v>
      </c>
      <c r="D92" s="172">
        <f>IFERROR(INDEX(DK_Salary_Changes[WeekChange],MATCH(WRmatchups[[#This Row],[Name]],DK_Salary_Changes[Player],0)),"")</f>
        <v>-400</v>
      </c>
      <c r="E92" s="14" t="str">
        <f>IFERROR(INDEX(Salaries[Team],MATCH(WRmatchups[[#This Row],[Name]],Salaries[Player],0)),"")</f>
        <v>PIT</v>
      </c>
      <c r="F92" s="460" t="str">
        <f>IFERROR(INDEX(Salaries[Opp],MATCH(WRmatchups[[#This Row],[Team]],Salaries[Team],0)),"")</f>
        <v>KC</v>
      </c>
      <c r="G92" s="476">
        <f>IFERROR(INDEX(WRYTD[Rec],MATCH(WRmatchups[Name],WRYTD[Player],0)),"0")</f>
        <v>9</v>
      </c>
      <c r="H92" s="458">
        <f>IFERROR(INDEX(targettracker54[TTL],MATCH(WRmatchups[Name],targettracker54[Name],0)),"")</f>
        <v>15</v>
      </c>
      <c r="I92" s="475">
        <f>IFERROR(INDEX(WRYTD[Rec Yds],MATCH(WRmatchups[Name],WRYTD[Player],0)),"0")</f>
        <v>100</v>
      </c>
      <c r="J92" s="477">
        <f>IFERROR(INDEX(WRYTD[Rec TD],MATCH(WRmatchups[Name],WRYTD[Player],0)),"0")</f>
        <v>1</v>
      </c>
      <c r="K92" s="473">
        <f>IFERROR(INDEX(Salaries[O/U],MATCH(WRmatchups[[#This Row],[Team]],Salaries[Team],0)),"")</f>
        <v>47.5</v>
      </c>
      <c r="L92" s="32">
        <f>IFERROR(INDEX(Salaries[Team O/U],MATCH(WRmatchups[[#This Row],[Team]],Salaries[Team],0)),"")</f>
        <v>26.5</v>
      </c>
      <c r="M92" s="417">
        <f>IFERROR(INDEX(Salaries[Spread],MATCH(WRmatchups[[#This Row],[Team]],Salaries[Team],0)),"")</f>
        <v>-5.5</v>
      </c>
      <c r="N92" s="424">
        <f>IFERROR(INDEX(WRallowed[DVP],MATCH(WRmatchups[[#This Row],[Opp]],WRallowed[Team],0)),IFERROR(INDEX(WRallowed[DVP],MATCH(WRmatchups[[#This Row],[Opp]],WRallowed[Opp],0)),""))</f>
        <v>24</v>
      </c>
      <c r="O92" s="17">
        <f>IFERROR(INDEX(YAtCData[YAtC],MATCH(WRmatchups[[#This Row],[Name]],YAtCData[Player],0)),"0")</f>
        <v>55</v>
      </c>
      <c r="P92" s="497">
        <f>IFERROR(INDEX(YAtCData[YAtC/Rec],MATCH(WRmatchups[[#This Row],[Name]],YAtCData[Player],0)),"0")</f>
        <v>6.11</v>
      </c>
      <c r="Q92" s="17">
        <f>IFERROR(INDEX(YAtCData[YAC],MATCH(WRmatchups[[#This Row],[Name]],YAtCData[Player],0)),"0")</f>
        <v>45</v>
      </c>
      <c r="R92" s="497">
        <f>IFERROR(INDEX(YACDATA[YAC per Reception],MATCH(WRmatchups[[#This Row],[Name]],YACDATA[Player],0)),"0")</f>
        <v>5</v>
      </c>
      <c r="S92" s="431">
        <f>AVERAGE(WRmatchups[[#This Row],[Tar1]:[Tar3]])</f>
        <v>3.6</v>
      </c>
      <c r="T92" s="465">
        <f>AVERAGE(WRmatchups[[#This Row],[Rec1]:[Rec3]])</f>
        <v>1.6286666666666667</v>
      </c>
      <c r="U92" s="468">
        <f>SUM(WRmatchups[[#This Row],[Rec4]]/WRmatchups[[#This Row],[Targets2]])</f>
        <v>0.45240740740740742</v>
      </c>
      <c r="V92" s="417">
        <f>AVERAGE(WRmatchups[[#This Row],[Yards1]:[Yards3]])</f>
        <v>22.474999999999998</v>
      </c>
      <c r="W92" s="461">
        <f>SUM(WRmatchups[[#This Row],[Yards]]/WRmatchups[[#This Row],[Targets2]])</f>
        <v>6.2430555555555545</v>
      </c>
      <c r="X92" s="32">
        <f>AVERAGE(WRmatchups[[#This Row],[TD1]:[TD3]])</f>
        <v>0.1555</v>
      </c>
      <c r="Y92" s="14">
        <f>_xlfn.RANK.EQ(WRmatchups[[#This Row],[Projection]],WRmatchups[Projection],0)</f>
        <v>82</v>
      </c>
      <c r="Z92" s="45">
        <f>SUM(WRmatchups[[#This Row],[Yards]]*0.1)+(WRmatchups[[#This Row],[RecTD5]]*6)+(WRmatchups[[#This Row],[Rec4]]*1)+(WRmatchups[[#This Row],[100+]])</f>
        <v>4.809166666666667</v>
      </c>
      <c r="AA92" s="346">
        <f>_xlfn.RANK.EQ(WRmatchups[[#This Row],[$/FP]],WRmatchups[$/FP],1)</f>
        <v>89</v>
      </c>
      <c r="AB92" s="199">
        <f>SUM(WRmatchups[[#This Row],[Salary]]/WRmatchups[[#This Row],[Projection]])</f>
        <v>727.77681511003289</v>
      </c>
      <c r="AC92" s="316">
        <f>_xlfn.RANK.EQ(WRmatchups[[#This Row],[Average]],WRmatchups[Average],1)</f>
        <v>86</v>
      </c>
      <c r="AD92" s="316">
        <f>AVERAGE(WRmatchups[[#This Row],[Proj Rank]],WRmatchups[[#This Row],[Value Rank]])</f>
        <v>85.5</v>
      </c>
      <c r="AE92" s="214">
        <f>WRmatchups[[#This Row],[Salary]]/50000</f>
        <v>7.0000000000000007E-2</v>
      </c>
      <c r="AF92" s="214"/>
      <c r="AG92" s="14">
        <f>IFERROR(INDEX(WRstats3[Targets],MATCH(WRmatchups[[#This Row],[Name]],WRstats3[Player],0)),"0")</f>
        <v>3.6</v>
      </c>
      <c r="AH92" s="14" t="str">
        <f>IFERROR(INDEX(WRstats2[Targets],MATCH(WRmatchups[[#This Row],[Name]],WRstats2[Player],0)),"0")</f>
        <v>0</v>
      </c>
      <c r="AI92" s="14">
        <f>IFERROR(INDEX(WRstats3[Targets],MATCH(WRmatchups[[#This Row],[Name]],WRstats3[Player],0)),"0")</f>
        <v>3.6</v>
      </c>
      <c r="AJ92" s="14">
        <f>IFERROR(INDEX(WRstats1[Rec],MATCH(WRmatchups[[#This Row],[Name]],WRstats1[Player],0)),"0")</f>
        <v>1.0860000000000001</v>
      </c>
      <c r="AK92" s="14">
        <f>IFERROR(INDEX(WRstats2[Rec],MATCH(WRmatchups[[#This Row],[Name]],WRstats2[Player],0)),"0")</f>
        <v>1.6</v>
      </c>
      <c r="AL92" s="14">
        <f>IFERROR(INDEX(WRstats3[Rec],MATCH(WRmatchups[[#This Row],[Name]],WRstats3[Player],0)),"0")</f>
        <v>2.2000000000000002</v>
      </c>
      <c r="AM92" s="32">
        <f>IFERROR(INDEX(WRallowed[Rec],MATCH(WRmatchups[[#This Row],[Opp]],WRallowed[Team],0)),"0")</f>
        <v>12.0625</v>
      </c>
      <c r="AN92" s="14">
        <f>IFERROR(INDEX(WRstats1[Rec Yds],MATCH(WRmatchups[[#This Row],[Name]],WRstats1[Player],0)),"0")</f>
        <v>21.225000000000001</v>
      </c>
      <c r="AO92" s="14">
        <f>IFERROR(INDEX(WRstats2[RecYards],MATCH(WRmatchups[[#This Row],[Name]],WRstats2[Player],0)),"0")</f>
        <v>18.2</v>
      </c>
      <c r="AP92" s="14">
        <f>IFERROR(INDEX(WRstats3[RecYards],MATCH(WRmatchups[[#This Row],[Name]],WRstats3[Player],0)),"0")</f>
        <v>28</v>
      </c>
      <c r="AQ92" s="32">
        <f>IFERROR(INDEX(WRallowed[Yard],MATCH(WRmatchups[[#This Row],[Opp]],WRallowed[Team],0)),"0")</f>
        <v>161.5625</v>
      </c>
      <c r="AR92" s="14">
        <f>IFERROR(INDEX(WRstats1[Rec TD],MATCH(WRmatchups[[#This Row],[Name]],WRstats1[Player],0)),"0")</f>
        <v>0.111</v>
      </c>
      <c r="AS92" s="14" t="str">
        <f>IFERROR(INDEX(WRstats2[RecTD],MATCH(WRmatchups[[#This Row],[Name]],WRstats2[Player],0)),"0")</f>
        <v>0.1</v>
      </c>
      <c r="AT92" s="14">
        <f>IFERROR(INDEX(WRstats3[RecTD],MATCH(WRmatchups[[#This Row],[Name]],WRstats3[Player],0)),"0")</f>
        <v>0.2</v>
      </c>
      <c r="AU92" s="32">
        <f>IFERROR(INDEX(WRallowed[TD],MATCH(WRmatchups[[#This Row],[Opp]],WRallowed[Team],0)),"0")*0.5</f>
        <v>0.53125</v>
      </c>
      <c r="AV92" s="14" t="str">
        <f>IFERROR(INDEX(WRstats2[RushAtt],MATCH(WRmatchups[[#This Row],[Name]],WRstats2[Player],0)),"0")</f>
        <v>0.1</v>
      </c>
      <c r="AW92" s="14">
        <f>IFERROR(INDEX(WRstats3[RushATT],MATCH(WRmatchups[[#This Row],[Name]],WRstats3[Player],0)),"0")</f>
        <v>0</v>
      </c>
      <c r="AX92" s="14" t="str">
        <f>IFERROR(INDEX(WRstats2[RushYards],MATCH(WRmatchups[[#This Row],[Name]],WRstats2[Player],0)),"0")</f>
        <v>0</v>
      </c>
      <c r="AY92" s="14">
        <f>IFERROR(INDEX(WRstats3[RushYards],MATCH(WRmatchups[[#This Row],[Name]],WRstats3[Player],0)),"0")</f>
        <v>0</v>
      </c>
      <c r="AZ92" s="14" t="str">
        <f>IFERROR(INDEX(WRstats2[RushTD],MATCH(WRmatchups[[#This Row],[Name]],WRstats2[Player],0)),"0")</f>
        <v>0</v>
      </c>
      <c r="BA92" s="14">
        <f>IFERROR(INDEX(WRstats3[RushTD],MATCH(WRmatchups[[#This Row],[Name]],WRstats3[Player],0)),"0")</f>
        <v>0</v>
      </c>
      <c r="BB92" s="264">
        <f>IF(WRmatchups[[#This Row],[Yards]]&gt;=100,3,0)</f>
        <v>0</v>
      </c>
      <c r="BC92" s="191" t="str">
        <f>IFERROR(INDEX(#REF!,MATCH(WRmatchups[Name],#REF!,0)),"0")</f>
        <v>0</v>
      </c>
      <c r="BD92" s="494">
        <f>WRmatchups[[#This Row],[Targets]]/WRmatchups[[#This Row],[Salary]]*100</f>
        <v>0.4285714285714286</v>
      </c>
    </row>
    <row r="93" spans="1:56" ht="15" thickBot="1" x14ac:dyDescent="0.35">
      <c r="A93" s="37">
        <f>WRstats1!AL79</f>
        <v>5.2</v>
      </c>
      <c r="B93" s="34" t="str">
        <f>WRstats1!D79</f>
        <v>Brian Quick</v>
      </c>
      <c r="C93" s="172">
        <f>IFERROR(INDEX(Salaries[DraftKings (Price)],MATCH(WRmatchups[[#This Row],[Name]],Salaries[Player],0)),"")</f>
        <v>3000</v>
      </c>
      <c r="D93" s="172">
        <f>IFERROR(INDEX(DK_Salary_Changes[WeekChange],MATCH(WRmatchups[[#This Row],[Name]],DK_Salary_Changes[Player],0)),"")</f>
        <v>0</v>
      </c>
      <c r="E93" s="14" t="str">
        <f>IFERROR(INDEX(Salaries[Team],MATCH(WRmatchups[[#This Row],[Name]],Salaries[Player],0)),"")</f>
        <v>LA</v>
      </c>
      <c r="F93" s="460" t="str">
        <f>IFERROR(INDEX(Salaries[Opp],MATCH(WRmatchups[[#This Row],[Team]],Salaries[Team],0)),"")</f>
        <v>@ARI</v>
      </c>
      <c r="G93" s="476">
        <f>IFERROR(INDEX(WRYTD[Rec],MATCH(WRmatchups[Name],WRYTD[Player],0)),"0")</f>
        <v>6</v>
      </c>
      <c r="H93" s="458">
        <f>IFERROR(INDEX(targettracker54[TTL],MATCH(WRmatchups[Name],targettracker54[Name],0)),"")</f>
        <v>8</v>
      </c>
      <c r="I93" s="475">
        <f>IFERROR(INDEX(WRYTD[Rec Yds],MATCH(WRmatchups[Name],WRYTD[Player],0)),"0")</f>
        <v>84</v>
      </c>
      <c r="J93" s="477">
        <f>IFERROR(INDEX(WRYTD[Rec TD],MATCH(WRmatchups[Name],WRYTD[Player],0)),"0")</f>
        <v>1</v>
      </c>
      <c r="K93" s="473">
        <f>IFERROR(INDEX(Salaries[O/U],MATCH(WRmatchups[[#This Row],[Team]],Salaries[Team],0)),"")</f>
        <v>43</v>
      </c>
      <c r="L93" s="32">
        <f>IFERROR(INDEX(Salaries[Team O/U],MATCH(WRmatchups[[#This Row],[Team]],Salaries[Team],0)),"")</f>
        <v>17.5</v>
      </c>
      <c r="M93" s="417">
        <f>IFERROR(INDEX(Salaries[Spread],MATCH(WRmatchups[[#This Row],[Team]],Salaries[Team],0)),"")</f>
        <v>8</v>
      </c>
      <c r="N93" s="424">
        <f>IFERROR(INDEX(WRallowed[DVP],MATCH(WRmatchups[[#This Row],[Opp]],WRallowed[Team],0)),IFERROR(INDEX(WRallowed[DVP],MATCH(WRmatchups[[#This Row],[Opp]],WRallowed[Opp],0)),""))</f>
        <v>9</v>
      </c>
      <c r="O93" s="17">
        <f>IFERROR(INDEX(YAtCData[YAtC],MATCH(WRmatchups[[#This Row],[Name]],YAtCData[Player],0)),"0")</f>
        <v>72</v>
      </c>
      <c r="P93" s="497">
        <f>IFERROR(INDEX(YAtCData[YAtC/Rec],MATCH(WRmatchups[[#This Row],[Name]],YAtCData[Player],0)),"0")</f>
        <v>12</v>
      </c>
      <c r="Q93" s="17">
        <f>IFERROR(INDEX(YAtCData[YAC],MATCH(WRmatchups[[#This Row],[Name]],YAtCData[Player],0)),"0")</f>
        <v>12</v>
      </c>
      <c r="R93" s="497">
        <f>IFERROR(INDEX(YACDATA[YAC per Reception],MATCH(WRmatchups[[#This Row],[Name]],YACDATA[Player],0)),"0")</f>
        <v>2</v>
      </c>
      <c r="S93" s="431">
        <f>AVERAGE(WRmatchups[[#This Row],[Tar1]:[Tar3]])</f>
        <v>2.2999999999999998</v>
      </c>
      <c r="T93" s="465">
        <f>AVERAGE(WRmatchups[[#This Row],[Rec1]:[Rec3]])</f>
        <v>1.6919999999999999</v>
      </c>
      <c r="U93" s="468">
        <f>SUM(WRmatchups[[#This Row],[Rec4]]/WRmatchups[[#This Row],[Targets2]])</f>
        <v>0.73565217391304349</v>
      </c>
      <c r="V93" s="417">
        <f>AVERAGE(WRmatchups[[#This Row],[Yards1]:[Yards3]])</f>
        <v>21.081</v>
      </c>
      <c r="W93" s="461">
        <f>SUM(WRmatchups[[#This Row],[Yards]]/WRmatchups[[#This Row],[Targets2]])</f>
        <v>9.1656521739130437</v>
      </c>
      <c r="X93" s="32">
        <f>AVERAGE(WRmatchups[[#This Row],[TD1]:[TD3]])</f>
        <v>0.127</v>
      </c>
      <c r="Y93" s="14">
        <f>_xlfn.RANK.EQ(WRmatchups[[#This Row],[Projection]],WRmatchups[Projection],0)</f>
        <v>83</v>
      </c>
      <c r="Z93" s="45">
        <f>SUM(WRmatchups[[#This Row],[Yards]]*0.1)+(WRmatchups[[#This Row],[RecTD5]]*6)+(WRmatchups[[#This Row],[Rec4]]*1)+(WRmatchups[[#This Row],[100+]])</f>
        <v>4.5621</v>
      </c>
      <c r="AA93" s="346">
        <f>_xlfn.RANK.EQ(WRmatchups[[#This Row],[$/FP]],WRmatchups[$/FP],1)</f>
        <v>83</v>
      </c>
      <c r="AB93" s="199">
        <f>SUM(WRmatchups[[#This Row],[Salary]]/WRmatchups[[#This Row],[Projection]])</f>
        <v>657.59189846781089</v>
      </c>
      <c r="AC93" s="316">
        <f>_xlfn.RANK.EQ(WRmatchups[[#This Row],[Average]],WRmatchups[Average],1)</f>
        <v>83</v>
      </c>
      <c r="AD93" s="316">
        <f>AVERAGE(WRmatchups[[#This Row],[Proj Rank]],WRmatchups[[#This Row],[Value Rank]])</f>
        <v>83</v>
      </c>
      <c r="AE93" s="214">
        <f>WRmatchups[[#This Row],[Salary]]/50000</f>
        <v>0.06</v>
      </c>
      <c r="AF93" s="214"/>
      <c r="AG93" s="14">
        <f>IFERROR(INDEX(WRstats3[Targets],MATCH(WRmatchups[[#This Row],[Name]],WRstats3[Player],0)),"0")</f>
        <v>2.2999999999999998</v>
      </c>
      <c r="AH93" s="14" t="str">
        <f>IFERROR(INDEX(WRstats2[Targets],MATCH(WRmatchups[[#This Row],[Name]],WRstats2[Player],0)),"0")</f>
        <v>0</v>
      </c>
      <c r="AI93" s="14">
        <f>IFERROR(INDEX(WRstats3[Targets],MATCH(WRmatchups[[#This Row],[Name]],WRstats3[Player],0)),"0")</f>
        <v>2.2999999999999998</v>
      </c>
      <c r="AJ93" s="14">
        <f>IFERROR(INDEX(WRstats1[Rec],MATCH(WRmatchups[[#This Row],[Name]],WRstats1[Player],0)),"0")</f>
        <v>2.2759999999999998</v>
      </c>
      <c r="AK93" s="14">
        <f>IFERROR(INDEX(WRstats2[Rec],MATCH(WRmatchups[[#This Row],[Name]],WRstats2[Player],0)),"0")</f>
        <v>1.3</v>
      </c>
      <c r="AL93" s="14">
        <f>IFERROR(INDEX(WRstats3[Rec],MATCH(WRmatchups[[#This Row],[Name]],WRstats3[Player],0)),"0")</f>
        <v>1.5</v>
      </c>
      <c r="AM93" s="32" t="str">
        <f>IFERROR(INDEX(WRallowed[Rec],MATCH(WRmatchups[[#This Row],[Opp]],WRallowed[Team],0)),"0")</f>
        <v>0</v>
      </c>
      <c r="AN93" s="14">
        <f>IFERROR(INDEX(WRstats1[Rec Yds],MATCH(WRmatchups[[#This Row],[Name]],WRstats1[Player],0)),"0")</f>
        <v>31.542999999999999</v>
      </c>
      <c r="AO93" s="14">
        <f>IFERROR(INDEX(WRstats2[RecYards],MATCH(WRmatchups[[#This Row],[Name]],WRstats2[Player],0)),"0")</f>
        <v>17.5</v>
      </c>
      <c r="AP93" s="14">
        <f>IFERROR(INDEX(WRstats3[RecYards],MATCH(WRmatchups[[#This Row],[Name]],WRstats3[Player],0)),"0")</f>
        <v>14.2</v>
      </c>
      <c r="AQ93" s="32" t="str">
        <f>IFERROR(INDEX(WRallowed[Yard],MATCH(WRmatchups[[#This Row],[Opp]],WRallowed[Team],0)),"0")</f>
        <v>0</v>
      </c>
      <c r="AR93" s="14">
        <f>IFERROR(INDEX(WRstats1[Rec TD],MATCH(WRmatchups[[#This Row],[Name]],WRstats1[Player],0)),"0")</f>
        <v>0.154</v>
      </c>
      <c r="AS93" s="14" t="str">
        <f>IFERROR(INDEX(WRstats2[RecTD],MATCH(WRmatchups[[#This Row],[Name]],WRstats2[Player],0)),"0")</f>
        <v>0.1</v>
      </c>
      <c r="AT93" s="14">
        <f>IFERROR(INDEX(WRstats3[RecTD],MATCH(WRmatchups[[#This Row],[Name]],WRstats3[Player],0)),"0")</f>
        <v>0.1</v>
      </c>
      <c r="AU93" s="32">
        <f>IFERROR(INDEX(WRallowed[TD],MATCH(WRmatchups[[#This Row],[Opp]],WRallowed[Team],0)),"0")*0.5</f>
        <v>0</v>
      </c>
      <c r="AV93" s="14" t="str">
        <f>IFERROR(INDEX(WRstats2[RushAtt],MATCH(WRmatchups[[#This Row],[Name]],WRstats2[Player],0)),"0")</f>
        <v>0.1</v>
      </c>
      <c r="AW93" s="14">
        <f>IFERROR(INDEX(WRstats3[RushATT],MATCH(WRmatchups[[#This Row],[Name]],WRstats3[Player],0)),"0")</f>
        <v>0</v>
      </c>
      <c r="AX93" s="14" t="str">
        <f>IFERROR(INDEX(WRstats2[RushYards],MATCH(WRmatchups[[#This Row],[Name]],WRstats2[Player],0)),"0")</f>
        <v>0</v>
      </c>
      <c r="AY93" s="14">
        <f>IFERROR(INDEX(WRstats3[RushYards],MATCH(WRmatchups[[#This Row],[Name]],WRstats3[Player],0)),"0")</f>
        <v>0</v>
      </c>
      <c r="AZ93" s="14" t="str">
        <f>IFERROR(INDEX(WRstats2[RushTD],MATCH(WRmatchups[[#This Row],[Name]],WRstats2[Player],0)),"0")</f>
        <v>0</v>
      </c>
      <c r="BA93" s="14">
        <f>IFERROR(INDEX(WRstats3[RushTD],MATCH(WRmatchups[[#This Row],[Name]],WRstats3[Player],0)),"0")</f>
        <v>0</v>
      </c>
      <c r="BB93" s="264">
        <f>IF(WRmatchups[[#This Row],[Yards]]&gt;=100,3,0)</f>
        <v>0</v>
      </c>
      <c r="BC93" s="191" t="str">
        <f>IFERROR(INDEX(#REF!,MATCH(WRmatchups[Name],#REF!,0)),"0")</f>
        <v>0</v>
      </c>
      <c r="BD93" s="494">
        <f>WRmatchups[[#This Row],[Targets]]/WRmatchups[[#This Row],[Salary]]*100</f>
        <v>0.26666666666666666</v>
      </c>
    </row>
    <row r="94" spans="1:56" ht="15" thickBot="1" x14ac:dyDescent="0.35">
      <c r="A94" s="37">
        <f>WRstats1!AL83</f>
        <v>4</v>
      </c>
      <c r="B94" s="34" t="str">
        <f>WRstats1!D83</f>
        <v>Devin Funchess</v>
      </c>
      <c r="C94" s="172">
        <f>IFERROR(INDEX(Salaries[DraftKings (Price)],MATCH(WRmatchups[[#This Row],[Name]],Salaries[Player],0)),"")</f>
        <v>3600</v>
      </c>
      <c r="D94" s="172">
        <f>IFERROR(INDEX(DK_Salary_Changes[WeekChange],MATCH(WRmatchups[[#This Row],[Name]],DK_Salary_Changes[Player],0)),"")</f>
        <v>-500</v>
      </c>
      <c r="E94" s="14" t="str">
        <f>IFERROR(INDEX(Salaries[Team],MATCH(WRmatchups[[#This Row],[Name]],Salaries[Player],0)),"")</f>
        <v>CAR</v>
      </c>
      <c r="F94" s="460" t="str">
        <f>IFERROR(INDEX(Salaries[Opp],MATCH(WRmatchups[[#This Row],[Team]],Salaries[Team],0)),"")</f>
        <v>@ATL</v>
      </c>
      <c r="G94" s="476" t="str">
        <f>IFERROR(INDEX(WRYTD[Rec],MATCH(WRmatchups[Name],WRYTD[Player],0)),"0")</f>
        <v>0</v>
      </c>
      <c r="H94" s="458">
        <f>IFERROR(INDEX(targettracker54[TTL],MATCH(WRmatchups[Name],targettracker54[Name],0)),"")</f>
        <v>10</v>
      </c>
      <c r="I94" s="475" t="str">
        <f>IFERROR(INDEX(WRYTD[Rec Yds],MATCH(WRmatchups[Name],WRYTD[Player],0)),"0")</f>
        <v>0</v>
      </c>
      <c r="J94" s="477" t="str">
        <f>IFERROR(INDEX(WRYTD[Rec TD],MATCH(WRmatchups[Name],WRYTD[Player],0)),"0")</f>
        <v>0</v>
      </c>
      <c r="K94" s="473">
        <f>IFERROR(INDEX(Salaries[O/U],MATCH(WRmatchups[[#This Row],[Team]],Salaries[Team],0)),"")</f>
        <v>50</v>
      </c>
      <c r="L94" s="32">
        <f>IFERROR(INDEX(Salaries[Team O/U],MATCH(WRmatchups[[#This Row],[Team]],Salaries[Team],0)),"")</f>
        <v>26.5</v>
      </c>
      <c r="M94" s="417">
        <f>IFERROR(INDEX(Salaries[Spread],MATCH(WRmatchups[[#This Row],[Team]],Salaries[Team],0)),"")</f>
        <v>-3</v>
      </c>
      <c r="N94" s="424">
        <f>IFERROR(INDEX(WRallowed[DVP],MATCH(WRmatchups[[#This Row],[Opp]],WRallowed[Team],0)),IFERROR(INDEX(WRallowed[DVP],MATCH(WRmatchups[[#This Row],[Opp]],WRallowed[Opp],0)),""))</f>
        <v>2</v>
      </c>
      <c r="O94" s="17">
        <f>IFERROR(INDEX(YAtCData[YAtC],MATCH(WRmatchups[[#This Row],[Name]],YAtCData[Player],0)),"0")</f>
        <v>26</v>
      </c>
      <c r="P94" s="497">
        <f>IFERROR(INDEX(YAtCData[YAtC/Rec],MATCH(WRmatchups[[#This Row],[Name]],YAtCData[Player],0)),"0")</f>
        <v>8.67</v>
      </c>
      <c r="Q94" s="17">
        <f>IFERROR(INDEX(YAtCData[YAC],MATCH(WRmatchups[[#This Row],[Name]],YAtCData[Player],0)),"0")</f>
        <v>2</v>
      </c>
      <c r="R94" s="497">
        <f>IFERROR(INDEX(YACDATA[YAC per Reception],MATCH(WRmatchups[[#This Row],[Name]],YACDATA[Player],0)),"0")</f>
        <v>0.7</v>
      </c>
      <c r="S94" s="418">
        <f>AVERAGE(WRmatchups[[#This Row],[Tar1]:[Tar3]])</f>
        <v>2.2999999999999998</v>
      </c>
      <c r="T94" s="464">
        <f>AVERAGE(WRmatchups[[#This Row],[Rec1]:[Rec3]])</f>
        <v>1.2933333333333332</v>
      </c>
      <c r="U94" s="468">
        <f>SUM(WRmatchups[[#This Row],[Rec4]]/WRmatchups[[#This Row],[Targets2]])</f>
        <v>0.56231884057971016</v>
      </c>
      <c r="V94" s="417">
        <f>AVERAGE(WRmatchups[[#This Row],[Yards1]:[Yards3]])</f>
        <v>18.710333333333335</v>
      </c>
      <c r="W94" s="461">
        <f>SUM(WRmatchups[[#This Row],[Yards]]/WRmatchups[[#This Row],[Targets2]])</f>
        <v>8.1349275362318849</v>
      </c>
      <c r="X94" s="32">
        <f>AVERAGE(WRmatchups[[#This Row],[TD1]:[TD3]])</f>
        <v>0.22349999999999998</v>
      </c>
      <c r="Y94" s="14">
        <f>_xlfn.RANK.EQ(WRmatchups[[#This Row],[Projection]],WRmatchups[Projection],0)</f>
        <v>84</v>
      </c>
      <c r="Z94" s="19">
        <f>SUM(WRmatchups[[#This Row],[Yards]]*0.1)+(WRmatchups[[#This Row],[RecTD5]]*6)+(WRmatchups[[#This Row],[Rec4]]*1)+(WRmatchups[[#This Row],[100+]])</f>
        <v>4.5053666666666663</v>
      </c>
      <c r="AA94" s="8">
        <f>_xlfn.RANK.EQ(WRmatchups[[#This Row],[$/FP]],WRmatchups[$/FP],1)</f>
        <v>91</v>
      </c>
      <c r="AB94" s="23">
        <f>SUM(WRmatchups[[#This Row],[Salary]]/WRmatchups[[#This Row],[Projection]])</f>
        <v>799.04706239225823</v>
      </c>
      <c r="AC94" s="241">
        <f>_xlfn.RANK.EQ(WRmatchups[[#This Row],[Average]],WRmatchups[Average],1)</f>
        <v>88</v>
      </c>
      <c r="AD94" s="241">
        <f>AVERAGE(WRmatchups[[#This Row],[Proj Rank]],WRmatchups[[#This Row],[Value Rank]])</f>
        <v>87.5</v>
      </c>
      <c r="AE94" s="210">
        <f>WRmatchups[[#This Row],[Salary]]/50000</f>
        <v>7.1999999999999995E-2</v>
      </c>
      <c r="AF94" s="214"/>
      <c r="AG94" s="14">
        <f>IFERROR(INDEX(WRstats3[Targets],MATCH(WRmatchups[[#This Row],[Name]],WRstats3[Player],0)),"0")</f>
        <v>2.2999999999999998</v>
      </c>
      <c r="AH94" s="14" t="str">
        <f>IFERROR(INDEX(WRstats2[Targets],MATCH(WRmatchups[[#This Row],[Name]],WRstats2[Player],0)),"0")</f>
        <v>0</v>
      </c>
      <c r="AI94" s="14">
        <f>IFERROR(INDEX(WRstats3[Targets],MATCH(WRmatchups[[#This Row],[Name]],WRstats3[Player],0)),"0")</f>
        <v>2.2999999999999998</v>
      </c>
      <c r="AJ94" s="14">
        <f>IFERROR(INDEX(WRstats1[Rec],MATCH(WRmatchups[[#This Row],[Name]],WRstats1[Player],0)),"0")</f>
        <v>1.08</v>
      </c>
      <c r="AK94" s="14">
        <f>IFERROR(INDEX(WRstats2[Rec],MATCH(WRmatchups[[#This Row],[Name]],WRstats2[Player],0)),"0")</f>
        <v>1.6</v>
      </c>
      <c r="AL94" s="14">
        <f>IFERROR(INDEX(WRstats3[Rec],MATCH(WRmatchups[[#This Row],[Name]],WRstats3[Player],0)),"0")</f>
        <v>1.2</v>
      </c>
      <c r="AM94" s="32" t="str">
        <f>IFERROR(INDEX(WRallowed[Rec],MATCH(WRmatchups[[#This Row],[Opp]],WRallowed[Team],0)),"0")</f>
        <v>0</v>
      </c>
      <c r="AN94" s="14">
        <f>IFERROR(INDEX(WRstats1[Rec Yds],MATCH(WRmatchups[[#This Row],[Name]],WRstats1[Player],0)),"0")</f>
        <v>13.831</v>
      </c>
      <c r="AO94" s="14">
        <f>IFERROR(INDEX(WRstats2[RecYards],MATCH(WRmatchups[[#This Row],[Name]],WRstats2[Player],0)),"0")</f>
        <v>25</v>
      </c>
      <c r="AP94" s="14">
        <f>IFERROR(INDEX(WRstats3[RecYards],MATCH(WRmatchups[[#This Row],[Name]],WRstats3[Player],0)),"0")</f>
        <v>17.3</v>
      </c>
      <c r="AQ94" s="32" t="str">
        <f>IFERROR(INDEX(WRallowed[Yard],MATCH(WRmatchups[[#This Row],[Opp]],WRallowed[Team],0)),"0")</f>
        <v>0</v>
      </c>
      <c r="AR94" s="14">
        <f>IFERROR(INDEX(WRstats1[Rec TD],MATCH(WRmatchups[[#This Row],[Name]],WRstats1[Player],0)),"0")</f>
        <v>0.34699999999999998</v>
      </c>
      <c r="AS94" s="14" t="str">
        <f>IFERROR(INDEX(WRstats2[RecTD],MATCH(WRmatchups[[#This Row],[Name]],WRstats2[Player],0)),"0")</f>
        <v>0.2</v>
      </c>
      <c r="AT94" s="14">
        <f>IFERROR(INDEX(WRstats3[RecTD],MATCH(WRmatchups[[#This Row],[Name]],WRstats3[Player],0)),"0")</f>
        <v>0.1</v>
      </c>
      <c r="AU94" s="32">
        <f>IFERROR(INDEX(WRallowed[TD],MATCH(WRmatchups[[#This Row],[Opp]],WRallowed[Team],0)),"0")*0.5</f>
        <v>0</v>
      </c>
      <c r="AV94" s="14" t="str">
        <f>IFERROR(INDEX(WRstats2[RushAtt],MATCH(WRmatchups[[#This Row],[Name]],WRstats2[Player],0)),"0")</f>
        <v>0.2</v>
      </c>
      <c r="AW94" s="14">
        <f>IFERROR(INDEX(WRstats3[RushATT],MATCH(WRmatchups[[#This Row],[Name]],WRstats3[Player],0)),"0")</f>
        <v>0</v>
      </c>
      <c r="AX94" s="14" t="str">
        <f>IFERROR(INDEX(WRstats2[RushYards],MATCH(WRmatchups[[#This Row],[Name]],WRstats2[Player],0)),"0")</f>
        <v>0</v>
      </c>
      <c r="AY94" s="14">
        <f>IFERROR(INDEX(WRstats3[RushYards],MATCH(WRmatchups[[#This Row],[Name]],WRstats3[Player],0)),"0")</f>
        <v>0</v>
      </c>
      <c r="AZ94" s="14" t="str">
        <f>IFERROR(INDEX(WRstats2[RushTD],MATCH(WRmatchups[[#This Row],[Name]],WRstats2[Player],0)),"0")</f>
        <v>0</v>
      </c>
      <c r="BA94" s="14">
        <f>IFERROR(INDEX(WRstats3[RushTD],MATCH(WRmatchups[[#This Row],[Name]],WRstats3[Player],0)),"0")</f>
        <v>0</v>
      </c>
      <c r="BB94" s="264">
        <f>IF(WRmatchups[[#This Row],[Yards]]&gt;=100,3,0)</f>
        <v>0</v>
      </c>
      <c r="BC94" s="191" t="str">
        <f>IFERROR(INDEX(#REF!,MATCH(WRmatchups[Name],#REF!,0)),"0")</f>
        <v>0</v>
      </c>
      <c r="BD94" s="494">
        <f>WRmatchups[[#This Row],[Targets]]/WRmatchups[[#This Row],[Salary]]*100</f>
        <v>0.27777777777777779</v>
      </c>
    </row>
    <row r="95" spans="1:56" ht="15" thickBot="1" x14ac:dyDescent="0.35">
      <c r="A95" s="37">
        <f>WRstats1!AL94</f>
        <v>2.2999999999999998</v>
      </c>
      <c r="B95" s="34" t="str">
        <f>WRstats1!D94</f>
        <v>Albert Wilson</v>
      </c>
      <c r="C95" s="172">
        <f>IFERROR(INDEX(Salaries[DraftKings (Price)],MATCH(WRmatchups[[#This Row],[Name]],Salaries[Player],0)),"")</f>
        <v>3000</v>
      </c>
      <c r="D95" s="172">
        <f>IFERROR(INDEX(DK_Salary_Changes[WeekChange],MATCH(WRmatchups[[#This Row],[Name]],DK_Salary_Changes[Player],0)),"")</f>
        <v>0</v>
      </c>
      <c r="E95" s="14" t="str">
        <f>IFERROR(INDEX(Salaries[Team],MATCH(WRmatchups[[#This Row],[Name]],Salaries[Player],0)),"")</f>
        <v>KC</v>
      </c>
      <c r="F95" s="460" t="str">
        <f>IFERROR(INDEX(Salaries[Opp],MATCH(WRmatchups[[#This Row],[Team]],Salaries[Team],0)),"")</f>
        <v>@PIT</v>
      </c>
      <c r="G95" s="476" t="str">
        <f>IFERROR(INDEX(WRYTD[Rec],MATCH(WRmatchups[Name],WRYTD[Player],0)),"0")</f>
        <v>0</v>
      </c>
      <c r="H95" s="458">
        <f>IFERROR(INDEX(targettracker54[TTL],MATCH(WRmatchups[Name],targettracker54[Name],0)),"")</f>
        <v>8</v>
      </c>
      <c r="I95" s="475" t="str">
        <f>IFERROR(INDEX(WRYTD[Rec Yds],MATCH(WRmatchups[Name],WRYTD[Player],0)),"0")</f>
        <v>0</v>
      </c>
      <c r="J95" s="477" t="str">
        <f>IFERROR(INDEX(WRYTD[Rec TD],MATCH(WRmatchups[Name],WRYTD[Player],0)),"0")</f>
        <v>0</v>
      </c>
      <c r="K95" s="473">
        <f>IFERROR(INDEX(Salaries[O/U],MATCH(WRmatchups[[#This Row],[Team]],Salaries[Team],0)),"")</f>
        <v>47.5</v>
      </c>
      <c r="L95" s="32">
        <f>IFERROR(INDEX(Salaries[Team O/U],MATCH(WRmatchups[[#This Row],[Team]],Salaries[Team],0)),"")</f>
        <v>21</v>
      </c>
      <c r="M95" s="417">
        <f>IFERROR(INDEX(Salaries[Spread],MATCH(WRmatchups[[#This Row],[Team]],Salaries[Team],0)),"")</f>
        <v>5.5</v>
      </c>
      <c r="N95" s="424">
        <f>IFERROR(INDEX(WRallowed[DVP],MATCH(WRmatchups[[#This Row],[Opp]],WRallowed[Team],0)),IFERROR(INDEX(WRallowed[DVP],MATCH(WRmatchups[[#This Row],[Opp]],WRallowed[Opp],0)),""))</f>
        <v>30</v>
      </c>
      <c r="O95" s="17" t="str">
        <f>IFERROR(INDEX(YAtCData[YAtC],MATCH(WRmatchups[[#This Row],[Name]],YAtCData[Player],0)),"0")</f>
        <v>0</v>
      </c>
      <c r="P95" s="497" t="str">
        <f>IFERROR(INDEX(YAtCData[YAtC/Rec],MATCH(WRmatchups[[#This Row],[Name]],YAtCData[Player],0)),"0")</f>
        <v>0</v>
      </c>
      <c r="Q95" s="17" t="str">
        <f>IFERROR(INDEX(YAtCData[YAC],MATCH(WRmatchups[[#This Row],[Name]],YAtCData[Player],0)),"0")</f>
        <v>0</v>
      </c>
      <c r="R95" s="497">
        <f>IFERROR(INDEX(YACDATA[YAC per Reception],MATCH(WRmatchups[[#This Row],[Name]],YACDATA[Player],0)),"0")</f>
        <v>3.4</v>
      </c>
      <c r="S95" s="431">
        <f>AVERAGE(WRmatchups[[#This Row],[Tar1]:[Tar3]])</f>
        <v>3.3</v>
      </c>
      <c r="T95" s="465">
        <f>AVERAGE(WRmatchups[[#This Row],[Rec1]:[Rec3]])</f>
        <v>1.5723333333333336</v>
      </c>
      <c r="U95" s="468">
        <f>SUM(WRmatchups[[#This Row],[Rec4]]/WRmatchups[[#This Row],[Targets2]])</f>
        <v>0.47646464646464659</v>
      </c>
      <c r="V95" s="417">
        <f>AVERAGE(WRmatchups[[#This Row],[Yards1]:[Yards3]])</f>
        <v>18.826333333333334</v>
      </c>
      <c r="W95" s="461">
        <f>SUM(WRmatchups[[#This Row],[Yards]]/WRmatchups[[#This Row],[Targets2]])</f>
        <v>5.7049494949494957</v>
      </c>
      <c r="X95" s="32">
        <f>AVERAGE(WRmatchups[[#This Row],[TD1]:[TD3]])</f>
        <v>0.16550000000000001</v>
      </c>
      <c r="Y95" s="14">
        <f>_xlfn.RANK.EQ(WRmatchups[[#This Row],[Projection]],WRmatchups[Projection],0)</f>
        <v>85</v>
      </c>
      <c r="Z95" s="45">
        <f>SUM(WRmatchups[[#This Row],[Yards]]*0.1)+(WRmatchups[[#This Row],[RecTD5]]*6)+(WRmatchups[[#This Row],[Rec4]]*1)+(WRmatchups[[#This Row],[100+]])</f>
        <v>4.4479666666666677</v>
      </c>
      <c r="AA95" s="346">
        <f>_xlfn.RANK.EQ(WRmatchups[[#This Row],[$/FP]],WRmatchups[$/FP],1)</f>
        <v>84</v>
      </c>
      <c r="AB95" s="199">
        <f>SUM(WRmatchups[[#This Row],[Salary]]/WRmatchups[[#This Row],[Projection]])</f>
        <v>674.46548610226375</v>
      </c>
      <c r="AC95" s="316">
        <f>_xlfn.RANK.EQ(WRmatchups[[#This Row],[Average]],WRmatchups[Average],1)</f>
        <v>85</v>
      </c>
      <c r="AD95" s="316">
        <f>AVERAGE(WRmatchups[[#This Row],[Proj Rank]],WRmatchups[[#This Row],[Value Rank]])</f>
        <v>84.5</v>
      </c>
      <c r="AE95" s="214">
        <f>WRmatchups[[#This Row],[Salary]]/50000</f>
        <v>0.06</v>
      </c>
      <c r="AF95" s="214"/>
      <c r="AG95" s="14">
        <f>IFERROR(INDEX(WRstats3[Targets],MATCH(WRmatchups[[#This Row],[Name]],WRstats3[Player],0)),"0")</f>
        <v>3.3</v>
      </c>
      <c r="AH95" s="14" t="str">
        <f>IFERROR(INDEX(WRstats2[Targets],MATCH(WRmatchups[[#This Row],[Name]],WRstats2[Player],0)),"0")</f>
        <v>0</v>
      </c>
      <c r="AI95" s="14">
        <f>IFERROR(INDEX(WRstats3[Targets],MATCH(WRmatchups[[#This Row],[Name]],WRstats3[Player],0)),"0")</f>
        <v>3.3</v>
      </c>
      <c r="AJ95" s="14">
        <f>IFERROR(INDEX(WRstats1[Rec],MATCH(WRmatchups[[#This Row],[Name]],WRstats1[Player],0)),"0")</f>
        <v>1.0169999999999999</v>
      </c>
      <c r="AK95" s="14">
        <f>IFERROR(INDEX(WRstats2[Rec],MATCH(WRmatchups[[#This Row],[Name]],WRstats2[Player],0)),"0")</f>
        <v>1.6</v>
      </c>
      <c r="AL95" s="14">
        <f>IFERROR(INDEX(WRstats3[Rec],MATCH(WRmatchups[[#This Row],[Name]],WRstats3[Player],0)),"0")</f>
        <v>2.1</v>
      </c>
      <c r="AM95" s="32" t="str">
        <f>IFERROR(INDEX(WRallowed[Rec],MATCH(WRmatchups[[#This Row],[Opp]],WRallowed[Team],0)),"0")</f>
        <v>0</v>
      </c>
      <c r="AN95" s="14">
        <f>IFERROR(INDEX(WRstats1[Rec Yds],MATCH(WRmatchups[[#This Row],[Name]],WRstats1[Player],0)),"0")</f>
        <v>10.579000000000001</v>
      </c>
      <c r="AO95" s="14">
        <f>IFERROR(INDEX(WRstats2[RecYards],MATCH(WRmatchups[[#This Row],[Name]],WRstats2[Player],0)),"0")</f>
        <v>16.899999999999999</v>
      </c>
      <c r="AP95" s="14">
        <f>IFERROR(INDEX(WRstats3[RecYards],MATCH(WRmatchups[[#This Row],[Name]],WRstats3[Player],0)),"0")</f>
        <v>29</v>
      </c>
      <c r="AQ95" s="32" t="str">
        <f>IFERROR(INDEX(WRallowed[Yard],MATCH(WRmatchups[[#This Row],[Opp]],WRallowed[Team],0)),"0")</f>
        <v>0</v>
      </c>
      <c r="AR95" s="14">
        <f>IFERROR(INDEX(WRstats1[Rec TD],MATCH(WRmatchups[[#This Row],[Name]],WRstats1[Player],0)),"0")</f>
        <v>0.13100000000000001</v>
      </c>
      <c r="AS95" s="14" t="str">
        <f>IFERROR(INDEX(WRstats2[RecTD],MATCH(WRmatchups[[#This Row],[Name]],WRstats2[Player],0)),"0")</f>
        <v>0.1</v>
      </c>
      <c r="AT95" s="14">
        <f>IFERROR(INDEX(WRstats3[RecTD],MATCH(WRmatchups[[#This Row],[Name]],WRstats3[Player],0)),"0")</f>
        <v>0.2</v>
      </c>
      <c r="AU95" s="32">
        <f>IFERROR(INDEX(WRallowed[TD],MATCH(WRmatchups[[#This Row],[Opp]],WRallowed[Team],0)),"0")*0.5</f>
        <v>0</v>
      </c>
      <c r="AV95" s="14" t="str">
        <f>IFERROR(INDEX(WRstats2[RushAtt],MATCH(WRmatchups[[#This Row],[Name]],WRstats2[Player],0)),"0")</f>
        <v>0.1</v>
      </c>
      <c r="AW95" s="14">
        <f>IFERROR(INDEX(WRstats3[RushATT],MATCH(WRmatchups[[#This Row],[Name]],WRstats3[Player],0)),"0")</f>
        <v>0</v>
      </c>
      <c r="AX95" s="14" t="str">
        <f>IFERROR(INDEX(WRstats2[RushYards],MATCH(WRmatchups[[#This Row],[Name]],WRstats2[Player],0)),"0")</f>
        <v>0.4</v>
      </c>
      <c r="AY95" s="14">
        <f>IFERROR(INDEX(WRstats3[RushYards],MATCH(WRmatchups[[#This Row],[Name]],WRstats3[Player],0)),"0")</f>
        <v>0</v>
      </c>
      <c r="AZ95" s="14" t="str">
        <f>IFERROR(INDEX(WRstats2[RushTD],MATCH(WRmatchups[[#This Row],[Name]],WRstats2[Player],0)),"0")</f>
        <v>0</v>
      </c>
      <c r="BA95" s="14">
        <f>IFERROR(INDEX(WRstats3[RushTD],MATCH(WRmatchups[[#This Row],[Name]],WRstats3[Player],0)),"0")</f>
        <v>0</v>
      </c>
      <c r="BB95" s="264">
        <f>IF(WRmatchups[[#This Row],[Yards]]&gt;=100,3,0)</f>
        <v>0</v>
      </c>
      <c r="BC95" s="191" t="str">
        <f>IFERROR(INDEX(#REF!,MATCH(WRmatchups[Name],#REF!,0)),"0")</f>
        <v>0</v>
      </c>
      <c r="BD95" s="494">
        <f>WRmatchups[[#This Row],[Targets]]/WRmatchups[[#This Row],[Salary]]*100</f>
        <v>0.26666666666666666</v>
      </c>
    </row>
    <row r="96" spans="1:56" ht="15" thickBot="1" x14ac:dyDescent="0.35">
      <c r="A96" s="37">
        <f>WRstats1!AL77</f>
        <v>5.3</v>
      </c>
      <c r="B96" s="34" t="str">
        <f>WRstats1!D77</f>
        <v>Jaron Brown</v>
      </c>
      <c r="C96" s="172">
        <f>IFERROR(INDEX(Salaries[DraftKings (Price)],MATCH(WRmatchups[[#This Row],[Name]],Salaries[Player],0)),"")</f>
        <v>3300</v>
      </c>
      <c r="D96" s="172">
        <f>IFERROR(INDEX(DK_Salary_Changes[WeekChange],MATCH(WRmatchups[[#This Row],[Name]],DK_Salary_Changes[Player],0)),"")</f>
        <v>0</v>
      </c>
      <c r="E96" s="14" t="str">
        <f>IFERROR(INDEX(Salaries[Team],MATCH(WRmatchups[[#This Row],[Name]],Salaries[Player],0)),"")</f>
        <v>ARI</v>
      </c>
      <c r="F96" s="460" t="str">
        <f>IFERROR(INDEX(Salaries[Opp],MATCH(WRmatchups[[#This Row],[Team]],Salaries[Team],0)),"")</f>
        <v>LA</v>
      </c>
      <c r="G96" s="476">
        <f>IFERROR(INDEX(WRYTD[Rec],MATCH(WRmatchups[Name],WRYTD[Player],0)),"0")</f>
        <v>6</v>
      </c>
      <c r="H96" s="458">
        <f>IFERROR(INDEX(targettracker54[TTL],MATCH(WRmatchups[Name],targettracker54[Name],0)),"")</f>
        <v>10</v>
      </c>
      <c r="I96" s="475">
        <f>IFERROR(INDEX(WRYTD[Rec Yds],MATCH(WRmatchups[Name],WRYTD[Player],0)),"0")</f>
        <v>145</v>
      </c>
      <c r="J96" s="477">
        <f>IFERROR(INDEX(WRYTD[Rec TD],MATCH(WRmatchups[Name],WRYTD[Player],0)),"0")</f>
        <v>1</v>
      </c>
      <c r="K96" s="473">
        <f>IFERROR(INDEX(Salaries[O/U],MATCH(WRmatchups[[#This Row],[Team]],Salaries[Team],0)),"")</f>
        <v>43</v>
      </c>
      <c r="L96" s="32">
        <f>IFERROR(INDEX(Salaries[Team O/U],MATCH(WRmatchups[[#This Row],[Team]],Salaries[Team],0)),"")</f>
        <v>25.5</v>
      </c>
      <c r="M96" s="417">
        <f>IFERROR(INDEX(Salaries[Spread],MATCH(WRmatchups[[#This Row],[Team]],Salaries[Team],0)),"")</f>
        <v>-8</v>
      </c>
      <c r="N96" s="424">
        <f>IFERROR(INDEX(WRallowed[DVP],MATCH(WRmatchups[[#This Row],[Opp]],WRallowed[Team],0)),IFERROR(INDEX(WRallowed[DVP],MATCH(WRmatchups[[#This Row],[Opp]],WRallowed[Opp],0)),""))</f>
        <v>5</v>
      </c>
      <c r="O96" s="17">
        <f>IFERROR(INDEX(YAtCData[YAtC],MATCH(WRmatchups[[#This Row],[Name]],YAtCData[Player],0)),"0")</f>
        <v>99</v>
      </c>
      <c r="P96" s="497">
        <f>IFERROR(INDEX(YAtCData[YAtC/Rec],MATCH(WRmatchups[[#This Row],[Name]],YAtCData[Player],0)),"0")</f>
        <v>16.5</v>
      </c>
      <c r="Q96" s="17">
        <f>IFERROR(INDEX(YAtCData[YAC],MATCH(WRmatchups[[#This Row],[Name]],YAtCData[Player],0)),"0")</f>
        <v>46</v>
      </c>
      <c r="R96" s="497">
        <f>IFERROR(INDEX(YACDATA[YAC per Reception],MATCH(WRmatchups[[#This Row],[Name]],YACDATA[Player],0)),"0")</f>
        <v>7.7</v>
      </c>
      <c r="S96" s="418">
        <f>AVERAGE(WRmatchups[[#This Row],[Tar1]:[Tar3]])</f>
        <v>1.7</v>
      </c>
      <c r="T96" s="464">
        <f>AVERAGE(WRmatchups[[#This Row],[Rec1]:[Rec3]])</f>
        <v>1.3334999999999999</v>
      </c>
      <c r="U96" s="468">
        <f>SUM(WRmatchups[[#This Row],[Rec4]]/WRmatchups[[#This Row],[Targets2]])</f>
        <v>0.78441176470588236</v>
      </c>
      <c r="V96" s="417">
        <f>AVERAGE(WRmatchups[[#This Row],[Yards1]:[Yards3]])</f>
        <v>23.177</v>
      </c>
      <c r="W96" s="461">
        <f>SUM(WRmatchups[[#This Row],[Yards]]/WRmatchups[[#This Row],[Targets2]])</f>
        <v>13.633529411764705</v>
      </c>
      <c r="X96" s="32">
        <f>AVERAGE(WRmatchups[[#This Row],[TD1]:[TD3]])</f>
        <v>0.1285</v>
      </c>
      <c r="Y96" s="14">
        <f>_xlfn.RANK.EQ(WRmatchups[[#This Row],[Projection]],WRmatchups[Projection],0)</f>
        <v>86</v>
      </c>
      <c r="Z96" s="19">
        <f>SUM(WRmatchups[[#This Row],[Yards]]*0.1)+(WRmatchups[[#This Row],[RecTD5]]*6)+(WRmatchups[[#This Row],[Rec4]]*1)+(WRmatchups[[#This Row],[100+]])</f>
        <v>4.4222000000000001</v>
      </c>
      <c r="AA96" s="8">
        <f>_xlfn.RANK.EQ(WRmatchups[[#This Row],[$/FP]],WRmatchups[$/FP],1)</f>
        <v>90</v>
      </c>
      <c r="AB96" s="23">
        <f>SUM(WRmatchups[[#This Row],[Salary]]/WRmatchups[[#This Row],[Projection]])</f>
        <v>746.23490570304375</v>
      </c>
      <c r="AC96" s="241">
        <f>_xlfn.RANK.EQ(WRmatchups[[#This Row],[Average]],WRmatchups[Average],1)</f>
        <v>90</v>
      </c>
      <c r="AD96" s="241">
        <f>AVERAGE(WRmatchups[[#This Row],[Proj Rank]],WRmatchups[[#This Row],[Value Rank]])</f>
        <v>88</v>
      </c>
      <c r="AE96" s="210">
        <f>WRmatchups[[#This Row],[Salary]]/50000</f>
        <v>6.6000000000000003E-2</v>
      </c>
      <c r="AF96" s="214"/>
      <c r="AG96" s="14">
        <f>IFERROR(INDEX(WRstats3[Targets],MATCH(WRmatchups[[#This Row],[Name]],WRstats3[Player],0)),"0")</f>
        <v>1.7</v>
      </c>
      <c r="AH96" s="14" t="str">
        <f>IFERROR(INDEX(WRstats2[Targets],MATCH(WRmatchups[[#This Row],[Name]],WRstats2[Player],0)),"0")</f>
        <v>0</v>
      </c>
      <c r="AI96" s="14">
        <f>IFERROR(INDEX(WRstats3[Targets],MATCH(WRmatchups[[#This Row],[Name]],WRstats3[Player],0)),"0")</f>
        <v>1.7</v>
      </c>
      <c r="AJ96" s="14">
        <f>IFERROR(INDEX(WRstats1[Rec],MATCH(WRmatchups[[#This Row],[Name]],WRstats1[Player],0)),"0")</f>
        <v>1.7669999999999999</v>
      </c>
      <c r="AK96" s="14" t="str">
        <f>IFERROR(INDEX(WRstats2[Rec],MATCH(WRmatchups[[#This Row],[Name]],WRstats2[Player],0)),"0")</f>
        <v>0</v>
      </c>
      <c r="AL96" s="14">
        <f>IFERROR(INDEX(WRstats3[Rec],MATCH(WRmatchups[[#This Row],[Name]],WRstats3[Player],0)),"0")</f>
        <v>0.9</v>
      </c>
      <c r="AM96" s="32">
        <f>IFERROR(INDEX(WRallowed[Rec],MATCH(WRmatchups[[#This Row],[Opp]],WRallowed[Team],0)),"0")</f>
        <v>12.75</v>
      </c>
      <c r="AN96" s="14">
        <f>IFERROR(INDEX(WRstats1[Rec Yds],MATCH(WRmatchups[[#This Row],[Name]],WRstats1[Player],0)),"0")</f>
        <v>34.753999999999998</v>
      </c>
      <c r="AO96" s="14" t="str">
        <f>IFERROR(INDEX(WRstats2[RecYards],MATCH(WRmatchups[[#This Row],[Name]],WRstats2[Player],0)),"0")</f>
        <v>0</v>
      </c>
      <c r="AP96" s="14">
        <f>IFERROR(INDEX(WRstats3[RecYards],MATCH(WRmatchups[[#This Row],[Name]],WRstats3[Player],0)),"0")</f>
        <v>11.6</v>
      </c>
      <c r="AQ96" s="32">
        <f>IFERROR(INDEX(WRallowed[Yard],MATCH(WRmatchups[[#This Row],[Opp]],WRallowed[Team],0)),"0")</f>
        <v>166.625</v>
      </c>
      <c r="AR96" s="14">
        <f>IFERROR(INDEX(WRstats1[Rec TD],MATCH(WRmatchups[[#This Row],[Name]],WRstats1[Player],0)),"0")</f>
        <v>0.157</v>
      </c>
      <c r="AS96" s="14" t="str">
        <f>IFERROR(INDEX(WRstats2[RecTD],MATCH(WRmatchups[[#This Row],[Name]],WRstats2[Player],0)),"0")</f>
        <v>0</v>
      </c>
      <c r="AT96" s="14">
        <f>IFERROR(INDEX(WRstats3[RecTD],MATCH(WRmatchups[[#This Row],[Name]],WRstats3[Player],0)),"0")</f>
        <v>0.1</v>
      </c>
      <c r="AU96" s="32">
        <f>IFERROR(INDEX(WRallowed[TD],MATCH(WRmatchups[[#This Row],[Opp]],WRallowed[Team],0)),"0")*0.5</f>
        <v>0.46875</v>
      </c>
      <c r="AV96" s="14" t="str">
        <f>IFERROR(INDEX(WRstats2[RushAtt],MATCH(WRmatchups[[#This Row],[Name]],WRstats2[Player],0)),"0")</f>
        <v>0</v>
      </c>
      <c r="AW96" s="14">
        <f>IFERROR(INDEX(WRstats3[RushATT],MATCH(WRmatchups[[#This Row],[Name]],WRstats3[Player],0)),"0")</f>
        <v>0</v>
      </c>
      <c r="AX96" s="14" t="str">
        <f>IFERROR(INDEX(WRstats2[RushYards],MATCH(WRmatchups[[#This Row],[Name]],WRstats2[Player],0)),"0")</f>
        <v>0</v>
      </c>
      <c r="AY96" s="14">
        <f>IFERROR(INDEX(WRstats3[RushYards],MATCH(WRmatchups[[#This Row],[Name]],WRstats3[Player],0)),"0")</f>
        <v>0</v>
      </c>
      <c r="AZ96" s="14" t="str">
        <f>IFERROR(INDEX(WRstats2[RushTD],MATCH(WRmatchups[[#This Row],[Name]],WRstats2[Player],0)),"0")</f>
        <v>0</v>
      </c>
      <c r="BA96" s="14">
        <f>IFERROR(INDEX(WRstats3[RushTD],MATCH(WRmatchups[[#This Row],[Name]],WRstats3[Player],0)),"0")</f>
        <v>0</v>
      </c>
      <c r="BB96" s="264">
        <f>IF(WRmatchups[[#This Row],[Yards]]&gt;=100,3,0)</f>
        <v>0</v>
      </c>
      <c r="BC96" s="191" t="str">
        <f>IFERROR(INDEX(#REF!,MATCH(WRmatchups[Name],#REF!,0)),"0")</f>
        <v>0</v>
      </c>
      <c r="BD96" s="494">
        <f>WRmatchups[[#This Row],[Targets]]/WRmatchups[[#This Row],[Salary]]*100</f>
        <v>0.30303030303030304</v>
      </c>
    </row>
    <row r="97" spans="1:56" ht="15" thickBot="1" x14ac:dyDescent="0.35">
      <c r="A97" s="37">
        <f>WRstats1!AL91</f>
        <v>2.8</v>
      </c>
      <c r="B97" s="34" t="str">
        <f>WRstats1!D91</f>
        <v>Rashard Higgins</v>
      </c>
      <c r="C97" s="172">
        <f>IFERROR(INDEX(Salaries[DraftKings (Price)],MATCH(WRmatchups[[#This Row],[Name]],Salaries[Player],0)),"")</f>
        <v>3000</v>
      </c>
      <c r="D97" s="172">
        <f>IFERROR(INDEX(DK_Salary_Changes[WeekChange],MATCH(WRmatchups[[#This Row],[Name]],DK_Salary_Changes[Player],0)),"")</f>
        <v>0</v>
      </c>
      <c r="E97" s="14" t="str">
        <f>IFERROR(INDEX(Salaries[Team],MATCH(WRmatchups[[#This Row],[Name]],Salaries[Player],0)),"")</f>
        <v>CLE</v>
      </c>
      <c r="F97" s="460" t="str">
        <f>IFERROR(INDEX(Salaries[Opp],MATCH(WRmatchups[[#This Row],[Team]],Salaries[Team],0)),"")</f>
        <v>@WAS</v>
      </c>
      <c r="G97" s="476" t="str">
        <f>IFERROR(INDEX(WRYTD[Rec],MATCH(WRmatchups[Name],WRYTD[Player],0)),"0")</f>
        <v>0</v>
      </c>
      <c r="H97" s="458">
        <f>IFERROR(INDEX(targettracker54[TTL],MATCH(WRmatchups[Name],targettracker54[Name],0)),"")</f>
        <v>2</v>
      </c>
      <c r="I97" s="475" t="str">
        <f>IFERROR(INDEX(WRYTD[Rec Yds],MATCH(WRmatchups[Name],WRYTD[Player],0)),"0")</f>
        <v>0</v>
      </c>
      <c r="J97" s="477" t="str">
        <f>IFERROR(INDEX(WRYTD[Rec TD],MATCH(WRmatchups[Name],WRYTD[Player],0)),"0")</f>
        <v>0</v>
      </c>
      <c r="K97" s="473">
        <f>IFERROR(INDEX(Salaries[O/U],MATCH(WRmatchups[[#This Row],[Team]],Salaries[Team],0)),"")</f>
        <v>45.5</v>
      </c>
      <c r="L97" s="32">
        <f>IFERROR(INDEX(Salaries[Team O/U],MATCH(WRmatchups[[#This Row],[Team]],Salaries[Team],0)),"")</f>
        <v>18.75</v>
      </c>
      <c r="M97" s="417">
        <f>IFERROR(INDEX(Salaries[Spread],MATCH(WRmatchups[[#This Row],[Team]],Salaries[Team],0)),"")</f>
        <v>8</v>
      </c>
      <c r="N97" s="424">
        <f>IFERROR(INDEX(WRallowed[DVP],MATCH(WRmatchups[[#This Row],[Opp]],WRallowed[Team],0)),IFERROR(INDEX(WRallowed[DVP],MATCH(WRmatchups[[#This Row],[Opp]],WRallowed[Opp],0)),""))</f>
        <v>29</v>
      </c>
      <c r="O97" s="17" t="str">
        <f>IFERROR(INDEX(YAtCData[YAtC],MATCH(WRmatchups[[#This Row],[Name]],YAtCData[Player],0)),"0")</f>
        <v>0</v>
      </c>
      <c r="P97" s="497" t="str">
        <f>IFERROR(INDEX(YAtCData[YAtC/Rec],MATCH(WRmatchups[[#This Row],[Name]],YAtCData[Player],0)),"0")</f>
        <v>0</v>
      </c>
      <c r="Q97" s="17" t="str">
        <f>IFERROR(INDEX(YAtCData[YAC],MATCH(WRmatchups[[#This Row],[Name]],YAtCData[Player],0)),"0")</f>
        <v>0</v>
      </c>
      <c r="R97" s="497" t="str">
        <f>IFERROR(INDEX(YACDATA[YAC per Reception],MATCH(WRmatchups[[#This Row],[Name]],YACDATA[Player],0)),"0")</f>
        <v>0</v>
      </c>
      <c r="S97" s="431">
        <f>AVERAGE(WRmatchups[[#This Row],[Tar1]:[Tar3]])</f>
        <v>2.5</v>
      </c>
      <c r="T97" s="465">
        <f>AVERAGE(WRmatchups[[#This Row],[Rec1]:[Rec3]])</f>
        <v>1.8886666666666667</v>
      </c>
      <c r="U97" s="468">
        <f>SUM(WRmatchups[[#This Row],[Rec4]]/WRmatchups[[#This Row],[Targets2]])</f>
        <v>0.75546666666666673</v>
      </c>
      <c r="V97" s="417">
        <f>AVERAGE(WRmatchups[[#This Row],[Yards1]:[Yards3]])</f>
        <v>22.343999999999998</v>
      </c>
      <c r="W97" s="461">
        <f>SUM(WRmatchups[[#This Row],[Yards]]/WRmatchups[[#This Row],[Targets2]])</f>
        <v>8.9375999999999998</v>
      </c>
      <c r="X97" s="32">
        <f>AVERAGE(WRmatchups[[#This Row],[TD1]:[TD3]])</f>
        <v>4.1000000000000002E-2</v>
      </c>
      <c r="Y97" s="14">
        <f>_xlfn.RANK.EQ(WRmatchups[[#This Row],[Projection]],WRmatchups[Projection],0)</f>
        <v>87</v>
      </c>
      <c r="Z97" s="45">
        <f>SUM(WRmatchups[[#This Row],[Yards]]*0.1)+(WRmatchups[[#This Row],[RecTD5]]*6)+(WRmatchups[[#This Row],[Rec4]]*1)+(WRmatchups[[#This Row],[100+]])</f>
        <v>4.3690666666666669</v>
      </c>
      <c r="AA97" s="346">
        <f>_xlfn.RANK.EQ(WRmatchups[[#This Row],[$/FP]],WRmatchups[$/FP],1)</f>
        <v>86</v>
      </c>
      <c r="AB97" s="199">
        <f>SUM(WRmatchups[[#This Row],[Salary]]/WRmatchups[[#This Row],[Projection]])</f>
        <v>686.6455078125</v>
      </c>
      <c r="AC97" s="316">
        <f>_xlfn.RANK.EQ(WRmatchups[[#This Row],[Average]],WRmatchups[Average],1)</f>
        <v>87</v>
      </c>
      <c r="AD97" s="316">
        <f>AVERAGE(WRmatchups[[#This Row],[Proj Rank]],WRmatchups[[#This Row],[Value Rank]])</f>
        <v>86.5</v>
      </c>
      <c r="AE97" s="214">
        <f>WRmatchups[[#This Row],[Salary]]/50000</f>
        <v>0.06</v>
      </c>
      <c r="AF97" s="214"/>
      <c r="AG97" s="14">
        <f>IFERROR(INDEX(WRstats3[Targets],MATCH(WRmatchups[[#This Row],[Name]],WRstats3[Player],0)),"0")</f>
        <v>2.5</v>
      </c>
      <c r="AH97" s="14" t="str">
        <f>IFERROR(INDEX(WRstats2[Targets],MATCH(WRmatchups[[#This Row],[Name]],WRstats2[Player],0)),"0")</f>
        <v>0</v>
      </c>
      <c r="AI97" s="14">
        <f>IFERROR(INDEX(WRstats3[Targets],MATCH(WRmatchups[[#This Row],[Name]],WRstats3[Player],0)),"0")</f>
        <v>2.5</v>
      </c>
      <c r="AJ97" s="14">
        <f>IFERROR(INDEX(WRstats1[Rec],MATCH(WRmatchups[[#This Row],[Name]],WRstats1[Player],0)),"0")</f>
        <v>1.466</v>
      </c>
      <c r="AK97" s="14">
        <f>IFERROR(INDEX(WRstats2[Rec],MATCH(WRmatchups[[#This Row],[Name]],WRstats2[Player],0)),"0")</f>
        <v>2.7</v>
      </c>
      <c r="AL97" s="14">
        <f>IFERROR(INDEX(WRstats3[Rec],MATCH(WRmatchups[[#This Row],[Name]],WRstats3[Player],0)),"0")</f>
        <v>1.5</v>
      </c>
      <c r="AM97" s="32" t="str">
        <f>IFERROR(INDEX(WRallowed[Rec],MATCH(WRmatchups[[#This Row],[Opp]],WRallowed[Team],0)),"0")</f>
        <v>0</v>
      </c>
      <c r="AN97" s="14">
        <f>IFERROR(INDEX(WRstats1[Rec Yds],MATCH(WRmatchups[[#This Row],[Name]],WRstats1[Player],0)),"0")</f>
        <v>15.532</v>
      </c>
      <c r="AO97" s="14">
        <f>IFERROR(INDEX(WRstats2[RecYards],MATCH(WRmatchups[[#This Row],[Name]],WRstats2[Player],0)),"0")</f>
        <v>31.3</v>
      </c>
      <c r="AP97" s="14">
        <f>IFERROR(INDEX(WRstats3[RecYards],MATCH(WRmatchups[[#This Row],[Name]],WRstats3[Player],0)),"0")</f>
        <v>20.2</v>
      </c>
      <c r="AQ97" s="32" t="str">
        <f>IFERROR(INDEX(WRallowed[Yard],MATCH(WRmatchups[[#This Row],[Opp]],WRallowed[Team],0)),"0")</f>
        <v>0</v>
      </c>
      <c r="AR97" s="14">
        <f>IFERROR(INDEX(WRstats1[Rec TD],MATCH(WRmatchups[[#This Row],[Name]],WRstats1[Player],0)),"0")</f>
        <v>8.2000000000000003E-2</v>
      </c>
      <c r="AS97" s="14" t="str">
        <f>IFERROR(INDEX(WRstats2[RecTD],MATCH(WRmatchups[[#This Row],[Name]],WRstats2[Player],0)),"0")</f>
        <v>0.1</v>
      </c>
      <c r="AT97" s="14">
        <f>IFERROR(INDEX(WRstats3[RecTD],MATCH(WRmatchups[[#This Row],[Name]],WRstats3[Player],0)),"0")</f>
        <v>0</v>
      </c>
      <c r="AU97" s="32">
        <f>IFERROR(INDEX(WRallowed[TD],MATCH(WRmatchups[[#This Row],[Opp]],WRallowed[Team],0)),"0")*0.5</f>
        <v>0</v>
      </c>
      <c r="AV97" s="14" t="str">
        <f>IFERROR(INDEX(WRstats2[RushAtt],MATCH(WRmatchups[[#This Row],[Name]],WRstats2[Player],0)),"0")</f>
        <v>0.1</v>
      </c>
      <c r="AW97" s="14">
        <f>IFERROR(INDEX(WRstats3[RushATT],MATCH(WRmatchups[[#This Row],[Name]],WRstats3[Player],0)),"0")</f>
        <v>0</v>
      </c>
      <c r="AX97" s="14" t="str">
        <f>IFERROR(INDEX(WRstats2[RushYards],MATCH(WRmatchups[[#This Row],[Name]],WRstats2[Player],0)),"0")</f>
        <v>0</v>
      </c>
      <c r="AY97" s="14">
        <f>IFERROR(INDEX(WRstats3[RushYards],MATCH(WRmatchups[[#This Row],[Name]],WRstats3[Player],0)),"0")</f>
        <v>0</v>
      </c>
      <c r="AZ97" s="14" t="str">
        <f>IFERROR(INDEX(WRstats2[RushTD],MATCH(WRmatchups[[#This Row],[Name]],WRstats2[Player],0)),"0")</f>
        <v>0</v>
      </c>
      <c r="BA97" s="14">
        <f>IFERROR(INDEX(WRstats3[RushTD],MATCH(WRmatchups[[#This Row],[Name]],WRstats3[Player],0)),"0")</f>
        <v>0</v>
      </c>
      <c r="BB97" s="264">
        <f>IF(WRmatchups[[#This Row],[Yards]]&gt;=100,3,0)</f>
        <v>0</v>
      </c>
      <c r="BC97" s="191" t="str">
        <f>IFERROR(INDEX(#REF!,MATCH(WRmatchups[Name],#REF!,0)),"0")</f>
        <v>0</v>
      </c>
      <c r="BD97" s="494">
        <f>WRmatchups[[#This Row],[Targets]]/WRmatchups[[#This Row],[Salary]]*100</f>
        <v>6.6666666666666666E-2</v>
      </c>
    </row>
    <row r="98" spans="1:56" ht="15" thickBot="1" x14ac:dyDescent="0.35">
      <c r="A98" s="37">
        <f>WRstats1!AL113</f>
        <v>0</v>
      </c>
      <c r="B98" s="34" t="str">
        <f>WRstats1!D113</f>
        <v>Chester Rogers</v>
      </c>
      <c r="C98" s="172">
        <f>IFERROR(INDEX(Salaries[DraftKings (Price)],MATCH(WRmatchups[[#This Row],[Name]],Salaries[Player],0)),"")</f>
        <v>3000</v>
      </c>
      <c r="D98" s="172">
        <f>IFERROR(INDEX(DK_Salary_Changes[WeekChange],MATCH(WRmatchups[[#This Row],[Name]],DK_Salary_Changes[Player],0)),"")</f>
        <v>0</v>
      </c>
      <c r="E98" s="14" t="str">
        <f>IFERROR(INDEX(Salaries[Team],MATCH(WRmatchups[[#This Row],[Name]],Salaries[Player],0)),"")</f>
        <v>IND</v>
      </c>
      <c r="F98" s="460" t="str">
        <f>IFERROR(INDEX(Salaries[Opp],MATCH(WRmatchups[[#This Row],[Team]],Salaries[Team],0)),"")</f>
        <v>@JAX</v>
      </c>
      <c r="G98" s="476" t="str">
        <f>IFERROR(INDEX(WRYTD[Rec],MATCH(WRmatchups[Name],WRYTD[Player],0)),"0")</f>
        <v>0</v>
      </c>
      <c r="H98" s="458">
        <f>IFERROR(INDEX(targettracker54[TTL],MATCH(WRmatchups[Name],targettracker54[Name],0)),"")</f>
        <v>3</v>
      </c>
      <c r="I98" s="475" t="str">
        <f>IFERROR(INDEX(WRYTD[Rec Yds],MATCH(WRmatchups[Name],WRYTD[Player],0)),"0")</f>
        <v>0</v>
      </c>
      <c r="J98" s="477" t="str">
        <f>IFERROR(INDEX(WRYTD[Rec TD],MATCH(WRmatchups[Name],WRYTD[Player],0)),"0")</f>
        <v>0</v>
      </c>
      <c r="K98" s="473">
        <f>IFERROR(INDEX(Salaries[O/U],MATCH(WRmatchups[[#This Row],[Team]],Salaries[Team],0)),"")</f>
        <v>49.5</v>
      </c>
      <c r="L98" s="32">
        <f>IFERROR(INDEX(Salaries[Team O/U],MATCH(WRmatchups[[#This Row],[Team]],Salaries[Team],0)),"")</f>
        <v>26</v>
      </c>
      <c r="M98" s="417">
        <f>IFERROR(INDEX(Salaries[Spread],MATCH(WRmatchups[[#This Row],[Team]],Salaries[Team],0)),"")</f>
        <v>-2.5</v>
      </c>
      <c r="N98" s="424">
        <f>IFERROR(INDEX(WRallowed[DVP],MATCH(WRmatchups[[#This Row],[Opp]],WRallowed[Team],0)),IFERROR(INDEX(WRallowed[DVP],MATCH(WRmatchups[[#This Row],[Opp]],WRallowed[Opp],0)),""))</f>
        <v>16</v>
      </c>
      <c r="O98" s="17" t="str">
        <f>IFERROR(INDEX(YAtCData[YAtC],MATCH(WRmatchups[[#This Row],[Name]],YAtCData[Player],0)),"0")</f>
        <v>0</v>
      </c>
      <c r="P98" s="497" t="str">
        <f>IFERROR(INDEX(YAtCData[YAtC/Rec],MATCH(WRmatchups[[#This Row],[Name]],YAtCData[Player],0)),"0")</f>
        <v>0</v>
      </c>
      <c r="Q98" s="17" t="str">
        <f>IFERROR(INDEX(YAtCData[YAC],MATCH(WRmatchups[[#This Row],[Name]],YAtCData[Player],0)),"0")</f>
        <v>0</v>
      </c>
      <c r="R98" s="497" t="str">
        <f>IFERROR(INDEX(YACDATA[YAC per Reception],MATCH(WRmatchups[[#This Row],[Name]],YACDATA[Player],0)),"0")</f>
        <v>0</v>
      </c>
      <c r="S98" s="431">
        <f>AVERAGE(WRmatchups[[#This Row],[Tar1]:[Tar3]])</f>
        <v>3.3</v>
      </c>
      <c r="T98" s="465">
        <f>AVERAGE(WRmatchups[[#This Row],[Rec1]:[Rec3]])</f>
        <v>1.5505</v>
      </c>
      <c r="U98" s="468">
        <f>SUM(WRmatchups[[#This Row],[Rec4]]/WRmatchups[[#This Row],[Targets2]])</f>
        <v>0.46984848484848485</v>
      </c>
      <c r="V98" s="417">
        <f>AVERAGE(WRmatchups[[#This Row],[Yards1]:[Yards3]])</f>
        <v>20.747499999999999</v>
      </c>
      <c r="W98" s="461">
        <f>SUM(WRmatchups[[#This Row],[Yards]]/WRmatchups[[#This Row],[Targets2]])</f>
        <v>6.2871212121212121</v>
      </c>
      <c r="X98" s="32">
        <f>AVERAGE(WRmatchups[[#This Row],[TD1]:[TD3]])</f>
        <v>0.11950000000000001</v>
      </c>
      <c r="Y98" s="14">
        <f>_xlfn.RANK.EQ(WRmatchups[[#This Row],[Projection]],WRmatchups[Projection],0)</f>
        <v>88</v>
      </c>
      <c r="Z98" s="45">
        <f>SUM(WRmatchups[[#This Row],[Yards]]*0.1)+(WRmatchups[[#This Row],[RecTD5]]*6)+(WRmatchups[[#This Row],[Rec4]]*1)+(WRmatchups[[#This Row],[100+]])</f>
        <v>4.3422499999999999</v>
      </c>
      <c r="AA98" s="346">
        <f>_xlfn.RANK.EQ(WRmatchups[[#This Row],[$/FP]],WRmatchups[$/FP],1)</f>
        <v>87</v>
      </c>
      <c r="AB98" s="199">
        <f>SUM(WRmatchups[[#This Row],[Salary]]/WRmatchups[[#This Row],[Projection]])</f>
        <v>690.88606137371175</v>
      </c>
      <c r="AC98" s="316">
        <f>_xlfn.RANK.EQ(WRmatchups[[#This Row],[Average]],WRmatchups[Average],1)</f>
        <v>88</v>
      </c>
      <c r="AD98" s="316">
        <f>AVERAGE(WRmatchups[[#This Row],[Proj Rank]],WRmatchups[[#This Row],[Value Rank]])</f>
        <v>87.5</v>
      </c>
      <c r="AE98" s="214">
        <f>WRmatchups[[#This Row],[Salary]]/50000</f>
        <v>0.06</v>
      </c>
      <c r="AF98" s="214"/>
      <c r="AG98" s="14">
        <f>IFERROR(INDEX(WRstats3[Targets],MATCH(WRmatchups[[#This Row],[Name]],WRstats3[Player],0)),"0")</f>
        <v>3.3</v>
      </c>
      <c r="AH98" s="14" t="str">
        <f>IFERROR(INDEX(WRstats2[Targets],MATCH(WRmatchups[[#This Row],[Name]],WRstats2[Player],0)),"0")</f>
        <v>0</v>
      </c>
      <c r="AI98" s="14">
        <f>IFERROR(INDEX(WRstats3[Targets],MATCH(WRmatchups[[#This Row],[Name]],WRstats3[Player],0)),"0")</f>
        <v>3.3</v>
      </c>
      <c r="AJ98" s="14">
        <f>IFERROR(INDEX(WRstats1[Rec],MATCH(WRmatchups[[#This Row],[Name]],WRstats1[Player],0)),"0")</f>
        <v>0.501</v>
      </c>
      <c r="AK98" s="14" t="str">
        <f>IFERROR(INDEX(WRstats2[Rec],MATCH(WRmatchups[[#This Row],[Name]],WRstats2[Player],0)),"0")</f>
        <v>0</v>
      </c>
      <c r="AL98" s="14">
        <f>IFERROR(INDEX(WRstats3[Rec],MATCH(WRmatchups[[#This Row],[Name]],WRstats3[Player],0)),"0")</f>
        <v>2.6</v>
      </c>
      <c r="AM98" s="32" t="str">
        <f>IFERROR(INDEX(WRallowed[Rec],MATCH(WRmatchups[[#This Row],[Opp]],WRallowed[Team],0)),"0")</f>
        <v>0</v>
      </c>
      <c r="AN98" s="14">
        <f>IFERROR(INDEX(WRstats1[Rec Yds],MATCH(WRmatchups[[#This Row],[Name]],WRstats1[Player],0)),"0")</f>
        <v>5.6950000000000003</v>
      </c>
      <c r="AO98" s="14" t="str">
        <f>IFERROR(INDEX(WRstats2[RecYards],MATCH(WRmatchups[[#This Row],[Name]],WRstats2[Player],0)),"0")</f>
        <v>0</v>
      </c>
      <c r="AP98" s="14">
        <f>IFERROR(INDEX(WRstats3[RecYards],MATCH(WRmatchups[[#This Row],[Name]],WRstats3[Player],0)),"0")</f>
        <v>35.799999999999997</v>
      </c>
      <c r="AQ98" s="32" t="str">
        <f>IFERROR(INDEX(WRallowed[Yard],MATCH(WRmatchups[[#This Row],[Opp]],WRallowed[Team],0)),"0")</f>
        <v>0</v>
      </c>
      <c r="AR98" s="14">
        <f>IFERROR(INDEX(WRstats1[Rec TD],MATCH(WRmatchups[[#This Row],[Name]],WRstats1[Player],0)),"0")</f>
        <v>3.9E-2</v>
      </c>
      <c r="AS98" s="14" t="str">
        <f>IFERROR(INDEX(WRstats2[RecTD],MATCH(WRmatchups[[#This Row],[Name]],WRstats2[Player],0)),"0")</f>
        <v>0</v>
      </c>
      <c r="AT98" s="14">
        <f>IFERROR(INDEX(WRstats3[RecTD],MATCH(WRmatchups[[#This Row],[Name]],WRstats3[Player],0)),"0")</f>
        <v>0.2</v>
      </c>
      <c r="AU98" s="32">
        <f>IFERROR(INDEX(WRallowed[TD],MATCH(WRmatchups[[#This Row],[Opp]],WRallowed[Team],0)),"0")*0.5</f>
        <v>0</v>
      </c>
      <c r="AV98" s="14" t="str">
        <f>IFERROR(INDEX(WRstats2[RushAtt],MATCH(WRmatchups[[#This Row],[Name]],WRstats2[Player],0)),"0")</f>
        <v>0</v>
      </c>
      <c r="AW98" s="14">
        <f>IFERROR(INDEX(WRstats3[RushATT],MATCH(WRmatchups[[#This Row],[Name]],WRstats3[Player],0)),"0")</f>
        <v>0</v>
      </c>
      <c r="AX98" s="14" t="str">
        <f>IFERROR(INDEX(WRstats2[RushYards],MATCH(WRmatchups[[#This Row],[Name]],WRstats2[Player],0)),"0")</f>
        <v>0</v>
      </c>
      <c r="AY98" s="14">
        <f>IFERROR(INDEX(WRstats3[RushYards],MATCH(WRmatchups[[#This Row],[Name]],WRstats3[Player],0)),"0")</f>
        <v>0</v>
      </c>
      <c r="AZ98" s="14" t="str">
        <f>IFERROR(INDEX(WRstats2[RushTD],MATCH(WRmatchups[[#This Row],[Name]],WRstats2[Player],0)),"0")</f>
        <v>0</v>
      </c>
      <c r="BA98" s="14">
        <f>IFERROR(INDEX(WRstats3[RushTD],MATCH(WRmatchups[[#This Row],[Name]],WRstats3[Player],0)),"0")</f>
        <v>0</v>
      </c>
      <c r="BB98" s="264">
        <f>IF(WRmatchups[[#This Row],[Yards]]&gt;=100,3,0)</f>
        <v>0</v>
      </c>
      <c r="BC98" s="191" t="str">
        <f>IFERROR(INDEX(#REF!,MATCH(WRmatchups[Name],#REF!,0)),"0")</f>
        <v>0</v>
      </c>
      <c r="BD98" s="494">
        <f>WRmatchups[[#This Row],[Targets]]/WRmatchups[[#This Row],[Salary]]*100</f>
        <v>0.1</v>
      </c>
    </row>
    <row r="99" spans="1:56" ht="15" thickBot="1" x14ac:dyDescent="0.35">
      <c r="A99" s="37">
        <f>WRstats1!AL87</f>
        <v>3.5</v>
      </c>
      <c r="B99" s="34" t="str">
        <f>WRstats1!D87</f>
        <v>Charles Johnson</v>
      </c>
      <c r="C99" s="172">
        <f>IFERROR(INDEX(Salaries[DraftKings (Price)],MATCH(WRmatchups[[#This Row],[Name]],Salaries[Player],0)),"")</f>
        <v>3000</v>
      </c>
      <c r="D99" s="172">
        <f>IFERROR(INDEX(DK_Salary_Changes[WeekChange],MATCH(WRmatchups[[#This Row],[Name]],DK_Salary_Changes[Player],0)),"")</f>
        <v>0</v>
      </c>
      <c r="E99" s="14" t="str">
        <f>IFERROR(INDEX(Salaries[Team],MATCH(WRmatchups[[#This Row],[Name]],Salaries[Player],0)),"")</f>
        <v>MIN</v>
      </c>
      <c r="F99" s="460" t="str">
        <f>IFERROR(INDEX(Salaries[Opp],MATCH(WRmatchups[[#This Row],[Team]],Salaries[Team],0)),"")</f>
        <v>NYG</v>
      </c>
      <c r="G99" s="476" t="str">
        <f>IFERROR(INDEX(WRYTD[Rec],MATCH(WRmatchups[Name],WRYTD[Player],0)),"0")</f>
        <v>0</v>
      </c>
      <c r="H99" s="458">
        <f>IFERROR(INDEX(targettracker54[TTL],MATCH(WRmatchups[Name],targettracker54[Name],0)),"")</f>
        <v>10</v>
      </c>
      <c r="I99" s="475" t="str">
        <f>IFERROR(INDEX(WRYTD[Rec Yds],MATCH(WRmatchups[Name],WRYTD[Player],0)),"0")</f>
        <v>0</v>
      </c>
      <c r="J99" s="477" t="str">
        <f>IFERROR(INDEX(WRYTD[Rec TD],MATCH(WRmatchups[Name],WRYTD[Player],0)),"0")</f>
        <v>0</v>
      </c>
      <c r="K99" s="473">
        <f>IFERROR(INDEX(Salaries[O/U],MATCH(WRmatchups[[#This Row],[Team]],Salaries[Team],0)),"")</f>
        <v>43.5</v>
      </c>
      <c r="L99" s="32">
        <f>IFERROR(INDEX(Salaries[Team O/U],MATCH(WRmatchups[[#This Row],[Team]],Salaries[Team],0)),"")</f>
        <v>23.75</v>
      </c>
      <c r="M99" s="417">
        <f>IFERROR(INDEX(Salaries[Spread],MATCH(WRmatchups[[#This Row],[Team]],Salaries[Team],0)),"")</f>
        <v>-4</v>
      </c>
      <c r="N99" s="424">
        <f>IFERROR(INDEX(WRallowed[DVP],MATCH(WRmatchups[[#This Row],[Opp]],WRallowed[Team],0)),IFERROR(INDEX(WRallowed[DVP],MATCH(WRmatchups[[#This Row],[Opp]],WRallowed[Opp],0)),""))</f>
        <v>21</v>
      </c>
      <c r="O99" s="17" t="str">
        <f>IFERROR(INDEX(YAtCData[YAtC],MATCH(WRmatchups[[#This Row],[Name]],YAtCData[Player],0)),"0")</f>
        <v>0</v>
      </c>
      <c r="P99" s="497" t="str">
        <f>IFERROR(INDEX(YAtCData[YAtC/Rec],MATCH(WRmatchups[[#This Row],[Name]],YAtCData[Player],0)),"0")</f>
        <v>0</v>
      </c>
      <c r="Q99" s="17" t="str">
        <f>IFERROR(INDEX(YAtCData[YAC],MATCH(WRmatchups[[#This Row],[Name]],YAtCData[Player],0)),"0")</f>
        <v>0</v>
      </c>
      <c r="R99" s="497">
        <f>IFERROR(INDEX(YACDATA[YAC per Reception],MATCH(WRmatchups[[#This Row],[Name]],YACDATA[Player],0)),"0")</f>
        <v>4.3</v>
      </c>
      <c r="S99" s="418" t="e">
        <f>AVERAGE(WRmatchups[[#This Row],[Tar1]:[Tar3]])</f>
        <v>#DIV/0!</v>
      </c>
      <c r="T99" s="464">
        <f>AVERAGE(WRmatchups[[#This Row],[Rec1]:[Rec3]])</f>
        <v>1.3685</v>
      </c>
      <c r="U99" s="468" t="e">
        <f>SUM(WRmatchups[[#This Row],[Rec4]]/WRmatchups[[#This Row],[Targets2]])</f>
        <v>#DIV/0!</v>
      </c>
      <c r="V99" s="417">
        <f>AVERAGE(WRmatchups[[#This Row],[Yards1]:[Yards3]])</f>
        <v>19.343</v>
      </c>
      <c r="W99" s="461" t="e">
        <f>SUM(WRmatchups[[#This Row],[Yards]]/WRmatchups[[#This Row],[Targets2]])</f>
        <v>#DIV/0!</v>
      </c>
      <c r="X99" s="32">
        <f>AVERAGE(WRmatchups[[#This Row],[TD1]:[TD3]])</f>
        <v>0.151</v>
      </c>
      <c r="Y99" s="14">
        <f>_xlfn.RANK.EQ(WRmatchups[[#This Row],[Projection]],WRmatchups[Projection],0)</f>
        <v>89</v>
      </c>
      <c r="Z99" s="19">
        <f>SUM(WRmatchups[[#This Row],[Yards]]*0.1)+(WRmatchups[[#This Row],[RecTD5]]*6)+(WRmatchups[[#This Row],[Rec4]]*1)+(WRmatchups[[#This Row],[100+]])</f>
        <v>4.2088000000000001</v>
      </c>
      <c r="AA99" s="8">
        <f>_xlfn.RANK.EQ(WRmatchups[[#This Row],[$/FP]],WRmatchups[$/FP],1)</f>
        <v>88</v>
      </c>
      <c r="AB99" s="23">
        <f>SUM(WRmatchups[[#This Row],[Salary]]/WRmatchups[[#This Row],[Projection]])</f>
        <v>712.79224482037637</v>
      </c>
      <c r="AC99" s="241">
        <f>_xlfn.RANK.EQ(WRmatchups[[#This Row],[Average]],WRmatchups[Average],1)</f>
        <v>91</v>
      </c>
      <c r="AD99" s="241">
        <f>AVERAGE(WRmatchups[[#This Row],[Proj Rank]],WRmatchups[[#This Row],[Value Rank]])</f>
        <v>88.5</v>
      </c>
      <c r="AE99" s="210">
        <f>WRmatchups[[#This Row],[Salary]]/50000</f>
        <v>0.06</v>
      </c>
      <c r="AF99" s="214"/>
      <c r="AG99" s="14" t="str">
        <f>IFERROR(INDEX(WRstats3[Targets],MATCH(WRmatchups[[#This Row],[Name]],WRstats3[Player],0)),"0")</f>
        <v>0</v>
      </c>
      <c r="AH99" s="14" t="str">
        <f>IFERROR(INDEX(WRstats2[Targets],MATCH(WRmatchups[[#This Row],[Name]],WRstats2[Player],0)),"0")</f>
        <v>0</v>
      </c>
      <c r="AI99" s="14" t="str">
        <f>IFERROR(INDEX(WRstats3[Targets],MATCH(WRmatchups[[#This Row],[Name]],WRstats3[Player],0)),"0")</f>
        <v>0</v>
      </c>
      <c r="AJ99" s="14">
        <f>IFERROR(INDEX(WRstats1[Rec],MATCH(WRmatchups[[#This Row],[Name]],WRstats1[Player],0)),"0")</f>
        <v>1.2370000000000001</v>
      </c>
      <c r="AK99" s="14">
        <f>IFERROR(INDEX(WRstats2[Rec],MATCH(WRmatchups[[#This Row],[Name]],WRstats2[Player],0)),"0")</f>
        <v>1.5</v>
      </c>
      <c r="AL99" s="14" t="str">
        <f>IFERROR(INDEX(WRstats3[Rec],MATCH(WRmatchups[[#This Row],[Name]],WRstats3[Player],0)),"0")</f>
        <v>0</v>
      </c>
      <c r="AM99" s="32">
        <f>IFERROR(INDEX(WRallowed[Rec],MATCH(WRmatchups[[#This Row],[Opp]],WRallowed[Team],0)),"0")</f>
        <v>11.0625</v>
      </c>
      <c r="AN99" s="14">
        <f>IFERROR(INDEX(WRstats1[Rec Yds],MATCH(WRmatchups[[#This Row],[Name]],WRstats1[Player],0)),"0")</f>
        <v>20.486000000000001</v>
      </c>
      <c r="AO99" s="14">
        <f>IFERROR(INDEX(WRstats2[RecYards],MATCH(WRmatchups[[#This Row],[Name]],WRstats2[Player],0)),"0")</f>
        <v>18.2</v>
      </c>
      <c r="AP99" s="14" t="str">
        <f>IFERROR(INDEX(WRstats3[RecYards],MATCH(WRmatchups[[#This Row],[Name]],WRstats3[Player],0)),"0")</f>
        <v>0</v>
      </c>
      <c r="AQ99" s="32">
        <f>IFERROR(INDEX(WRallowed[Yard],MATCH(WRmatchups[[#This Row],[Opp]],WRallowed[Team],0)),"0")</f>
        <v>155.4375</v>
      </c>
      <c r="AR99" s="14">
        <f>IFERROR(INDEX(WRstats1[Rec TD],MATCH(WRmatchups[[#This Row],[Name]],WRstats1[Player],0)),"0")</f>
        <v>0.151</v>
      </c>
      <c r="AS99" s="14" t="str">
        <f>IFERROR(INDEX(WRstats2[RecTD],MATCH(WRmatchups[[#This Row],[Name]],WRstats2[Player],0)),"0")</f>
        <v>0.1</v>
      </c>
      <c r="AT99" s="14" t="str">
        <f>IFERROR(INDEX(WRstats3[RecTD],MATCH(WRmatchups[[#This Row],[Name]],WRstats3[Player],0)),"0")</f>
        <v>0</v>
      </c>
      <c r="AU99" s="32">
        <f>IFERROR(INDEX(WRallowed[TD],MATCH(WRmatchups[[#This Row],[Opp]],WRallowed[Team],0)),"0")*0.5</f>
        <v>0.375</v>
      </c>
      <c r="AV99" s="14" t="str">
        <f>IFERROR(INDEX(WRstats2[RushAtt],MATCH(WRmatchups[[#This Row],[Name]],WRstats2[Player],0)),"0")</f>
        <v>0.1</v>
      </c>
      <c r="AW99" s="14" t="str">
        <f>IFERROR(INDEX(WRstats3[RushATT],MATCH(WRmatchups[[#This Row],[Name]],WRstats3[Player],0)),"0")</f>
        <v>0</v>
      </c>
      <c r="AX99" s="14" t="str">
        <f>IFERROR(INDEX(WRstats2[RushYards],MATCH(WRmatchups[[#This Row],[Name]],WRstats2[Player],0)),"0")</f>
        <v>0</v>
      </c>
      <c r="AY99" s="14" t="str">
        <f>IFERROR(INDEX(WRstats3[RushYards],MATCH(WRmatchups[[#This Row],[Name]],WRstats3[Player],0)),"0")</f>
        <v>0</v>
      </c>
      <c r="AZ99" s="14" t="str">
        <f>IFERROR(INDEX(WRstats2[RushTD],MATCH(WRmatchups[[#This Row],[Name]],WRstats2[Player],0)),"0")</f>
        <v>0</v>
      </c>
      <c r="BA99" s="14" t="str">
        <f>IFERROR(INDEX(WRstats3[RushTD],MATCH(WRmatchups[[#This Row],[Name]],WRstats3[Player],0)),"0")</f>
        <v>0</v>
      </c>
      <c r="BB99" s="264">
        <f>IF(WRmatchups[[#This Row],[Yards]]&gt;=100,3,0)</f>
        <v>0</v>
      </c>
      <c r="BC99" s="191" t="str">
        <f>IFERROR(INDEX(#REF!,MATCH(WRmatchups[Name],#REF!,0)),"0")</f>
        <v>0</v>
      </c>
      <c r="BD99" s="494">
        <f>WRmatchups[[#This Row],[Targets]]/WRmatchups[[#This Row],[Salary]]*100</f>
        <v>0.33333333333333337</v>
      </c>
    </row>
    <row r="100" spans="1:56" ht="15" thickBot="1" x14ac:dyDescent="0.35">
      <c r="A100" s="37">
        <f>WRstats1!AL102</f>
        <v>2</v>
      </c>
      <c r="B100" s="34" t="str">
        <f>WRstats1!D102</f>
        <v>Justin Hardy</v>
      </c>
      <c r="C100" s="172">
        <f>IFERROR(INDEX(Salaries[DraftKings (Price)],MATCH(WRmatchups[[#This Row],[Name]],Salaries[Player],0)),"")</f>
        <v>3000</v>
      </c>
      <c r="D100" s="172">
        <f>IFERROR(INDEX(DK_Salary_Changes[WeekChange],MATCH(WRmatchups[[#This Row],[Name]],DK_Salary_Changes[Player],0)),"")</f>
        <v>0</v>
      </c>
      <c r="E100" s="14" t="str">
        <f>IFERROR(INDEX(Salaries[Team],MATCH(WRmatchups[[#This Row],[Name]],Salaries[Player],0)),"")</f>
        <v>ATL</v>
      </c>
      <c r="F100" s="460" t="str">
        <f>IFERROR(INDEX(Salaries[Opp],MATCH(WRmatchups[[#This Row],[Team]],Salaries[Team],0)),"")</f>
        <v>CAR</v>
      </c>
      <c r="G100" s="476">
        <f>IFERROR(INDEX(WRYTD[Rec],MATCH(WRmatchups[Name],WRYTD[Player],0)),"0")</f>
        <v>4</v>
      </c>
      <c r="H100" s="458">
        <f>IFERROR(INDEX(targettracker54[TTL],MATCH(WRmatchups[Name],targettracker54[Name],0)),"")</f>
        <v>7</v>
      </c>
      <c r="I100" s="475">
        <f>IFERROR(INDEX(WRYTD[Rec Yds],MATCH(WRmatchups[Name],WRYTD[Player],0)),"0")</f>
        <v>34</v>
      </c>
      <c r="J100" s="477">
        <f>IFERROR(INDEX(WRYTD[Rec TD],MATCH(WRmatchups[Name],WRYTD[Player],0)),"0")</f>
        <v>2</v>
      </c>
      <c r="K100" s="473">
        <f>IFERROR(INDEX(Salaries[O/U],MATCH(WRmatchups[[#This Row],[Team]],Salaries[Team],0)),"")</f>
        <v>50</v>
      </c>
      <c r="L100" s="32">
        <f>IFERROR(INDEX(Salaries[Team O/U],MATCH(WRmatchups[[#This Row],[Team]],Salaries[Team],0)),"")</f>
        <v>23.5</v>
      </c>
      <c r="M100" s="417">
        <f>IFERROR(INDEX(Salaries[Spread],MATCH(WRmatchups[[#This Row],[Team]],Salaries[Team],0)),"")</f>
        <v>3</v>
      </c>
      <c r="N100" s="424">
        <f>IFERROR(INDEX(WRallowed[DVP],MATCH(WRmatchups[[#This Row],[Opp]],WRallowed[Team],0)),IFERROR(INDEX(WRallowed[DVP],MATCH(WRmatchups[[#This Row],[Opp]],WRallowed[Opp],0)),""))</f>
        <v>8</v>
      </c>
      <c r="O100" s="17">
        <f>IFERROR(INDEX(YAtCData[YAtC],MATCH(WRmatchups[[#This Row],[Name]],YAtCData[Player],0)),"0")</f>
        <v>28</v>
      </c>
      <c r="P100" s="497">
        <f>IFERROR(INDEX(YAtCData[YAtC/Rec],MATCH(WRmatchups[[#This Row],[Name]],YAtCData[Player],0)),"0")</f>
        <v>7</v>
      </c>
      <c r="Q100" s="17">
        <f>IFERROR(INDEX(YAtCData[YAC],MATCH(WRmatchups[[#This Row],[Name]],YAtCData[Player],0)),"0")</f>
        <v>6</v>
      </c>
      <c r="R100" s="497">
        <f>IFERROR(INDEX(YACDATA[YAC per Reception],MATCH(WRmatchups[[#This Row],[Name]],YACDATA[Player],0)),"0")</f>
        <v>1.5</v>
      </c>
      <c r="S100" s="431">
        <f>AVERAGE(WRmatchups[[#This Row],[Tar1]:[Tar3]])</f>
        <v>3.2</v>
      </c>
      <c r="T100" s="465">
        <f>AVERAGE(WRmatchups[[#This Row],[Rec1]:[Rec3]])</f>
        <v>1.484</v>
      </c>
      <c r="U100" s="468">
        <f>SUM(WRmatchups[[#This Row],[Rec4]]/WRmatchups[[#This Row],[Targets2]])</f>
        <v>0.46375</v>
      </c>
      <c r="V100" s="417">
        <f>AVERAGE(WRmatchups[[#This Row],[Yards1]:[Yards3]])</f>
        <v>15.276666666666666</v>
      </c>
      <c r="W100" s="461">
        <f>SUM(WRmatchups[[#This Row],[Yards]]/WRmatchups[[#This Row],[Targets2]])</f>
        <v>4.7739583333333329</v>
      </c>
      <c r="X100" s="32">
        <f>AVERAGE(WRmatchups[[#This Row],[TD1]:[TD3]])</f>
        <v>9.4500000000000001E-2</v>
      </c>
      <c r="Y100" s="14">
        <f>_xlfn.RANK.EQ(WRmatchups[[#This Row],[Projection]],WRmatchups[Projection],0)</f>
        <v>90</v>
      </c>
      <c r="Z100" s="45">
        <f>SUM(WRmatchups[[#This Row],[Yards]]*0.1)+(WRmatchups[[#This Row],[RecTD5]]*6)+(WRmatchups[[#This Row],[Rec4]]*1)+(WRmatchups[[#This Row],[100+]])</f>
        <v>3.5786666666666669</v>
      </c>
      <c r="AA100" s="346">
        <f>_xlfn.RANK.EQ(WRmatchups[[#This Row],[$/FP]],WRmatchups[$/FP],1)</f>
        <v>92</v>
      </c>
      <c r="AB100" s="199">
        <f>SUM(WRmatchups[[#This Row],[Salary]]/WRmatchups[[#This Row],[Projection]])</f>
        <v>838.30104321907595</v>
      </c>
      <c r="AC100" s="316">
        <f>_xlfn.RANK.EQ(WRmatchups[[#This Row],[Average]],WRmatchups[Average],1)</f>
        <v>92</v>
      </c>
      <c r="AD100" s="316">
        <f>AVERAGE(WRmatchups[[#This Row],[Proj Rank]],WRmatchups[[#This Row],[Value Rank]])</f>
        <v>91</v>
      </c>
      <c r="AE100" s="214">
        <f>WRmatchups[[#This Row],[Salary]]/50000</f>
        <v>0.06</v>
      </c>
      <c r="AF100" s="214"/>
      <c r="AG100" s="14">
        <f>IFERROR(INDEX(WRstats3[Targets],MATCH(WRmatchups[[#This Row],[Name]],WRstats3[Player],0)),"0")</f>
        <v>3.2</v>
      </c>
      <c r="AH100" s="14" t="str">
        <f>IFERROR(INDEX(WRstats2[Targets],MATCH(WRmatchups[[#This Row],[Name]],WRstats2[Player],0)),"0")</f>
        <v>0</v>
      </c>
      <c r="AI100" s="14">
        <f>IFERROR(INDEX(WRstats3[Targets],MATCH(WRmatchups[[#This Row],[Name]],WRstats3[Player],0)),"0")</f>
        <v>3.2</v>
      </c>
      <c r="AJ100" s="14">
        <f>IFERROR(INDEX(WRstats1[Rec],MATCH(WRmatchups[[#This Row],[Name]],WRstats1[Player],0)),"0")</f>
        <v>1.1519999999999999</v>
      </c>
      <c r="AK100" s="14">
        <f>IFERROR(INDEX(WRstats2[Rec],MATCH(WRmatchups[[#This Row],[Name]],WRstats2[Player],0)),"0")</f>
        <v>1.3</v>
      </c>
      <c r="AL100" s="14">
        <f>IFERROR(INDEX(WRstats3[Rec],MATCH(WRmatchups[[#This Row],[Name]],WRstats3[Player],0)),"0")</f>
        <v>2</v>
      </c>
      <c r="AM100" s="32">
        <f>IFERROR(INDEX(WRallowed[Rec],MATCH(WRmatchups[[#This Row],[Opp]],WRallowed[Team],0)),"0")</f>
        <v>13.1875</v>
      </c>
      <c r="AN100" s="14">
        <f>IFERROR(INDEX(WRstats1[Rec Yds],MATCH(WRmatchups[[#This Row],[Name]],WRstats1[Player],0)),"0")</f>
        <v>9.5299999999999994</v>
      </c>
      <c r="AO100" s="14">
        <f>IFERROR(INDEX(WRstats2[RecYards],MATCH(WRmatchups[[#This Row],[Name]],WRstats2[Player],0)),"0")</f>
        <v>14.1</v>
      </c>
      <c r="AP100" s="14">
        <f>IFERROR(INDEX(WRstats3[RecYards],MATCH(WRmatchups[[#This Row],[Name]],WRstats3[Player],0)),"0")</f>
        <v>22.2</v>
      </c>
      <c r="AQ100" s="32">
        <f>IFERROR(INDEX(WRallowed[Yard],MATCH(WRmatchups[[#This Row],[Opp]],WRallowed[Team],0)),"0")</f>
        <v>165.4375</v>
      </c>
      <c r="AR100" s="14">
        <f>IFERROR(INDEX(WRstats1[Rec TD],MATCH(WRmatchups[[#This Row],[Name]],WRstats1[Player],0)),"0")</f>
        <v>8.8999999999999996E-2</v>
      </c>
      <c r="AS100" s="14" t="str">
        <f>IFERROR(INDEX(WRstats2[RecTD],MATCH(WRmatchups[[#This Row],[Name]],WRstats2[Player],0)),"0")</f>
        <v>0.1</v>
      </c>
      <c r="AT100" s="14">
        <f>IFERROR(INDEX(WRstats3[RecTD],MATCH(WRmatchups[[#This Row],[Name]],WRstats3[Player],0)),"0")</f>
        <v>0.1</v>
      </c>
      <c r="AU100" s="32">
        <f>IFERROR(INDEX(WRallowed[TD],MATCH(WRmatchups[[#This Row],[Opp]],WRallowed[Team],0)),"0")*0.5</f>
        <v>0.8125</v>
      </c>
      <c r="AV100" s="14" t="str">
        <f>IFERROR(INDEX(WRstats2[RushAtt],MATCH(WRmatchups[[#This Row],[Name]],WRstats2[Player],0)),"0")</f>
        <v>0.1</v>
      </c>
      <c r="AW100" s="14">
        <f>IFERROR(INDEX(WRstats3[RushATT],MATCH(WRmatchups[[#This Row],[Name]],WRstats3[Player],0)),"0")</f>
        <v>0</v>
      </c>
      <c r="AX100" s="14" t="str">
        <f>IFERROR(INDEX(WRstats2[RushYards],MATCH(WRmatchups[[#This Row],[Name]],WRstats2[Player],0)),"0")</f>
        <v>0.1</v>
      </c>
      <c r="AY100" s="14">
        <f>IFERROR(INDEX(WRstats3[RushYards],MATCH(WRmatchups[[#This Row],[Name]],WRstats3[Player],0)),"0")</f>
        <v>0</v>
      </c>
      <c r="AZ100" s="14" t="str">
        <f>IFERROR(INDEX(WRstats2[RushTD],MATCH(WRmatchups[[#This Row],[Name]],WRstats2[Player],0)),"0")</f>
        <v>0</v>
      </c>
      <c r="BA100" s="14">
        <f>IFERROR(INDEX(WRstats3[RushTD],MATCH(WRmatchups[[#This Row],[Name]],WRstats3[Player],0)),"0")</f>
        <v>0</v>
      </c>
      <c r="BB100" s="264">
        <f>IF(WRmatchups[[#This Row],[Yards]]&gt;=100,3,0)</f>
        <v>0</v>
      </c>
      <c r="BC100" s="191" t="str">
        <f>IFERROR(INDEX(#REF!,MATCH(WRmatchups[Name],#REF!,0)),"0")</f>
        <v>0</v>
      </c>
      <c r="BD100" s="494">
        <f>WRmatchups[[#This Row],[Targets]]/WRmatchups[[#This Row],[Salary]]*100</f>
        <v>0.23333333333333336</v>
      </c>
    </row>
    <row r="101" spans="1:56" ht="15" thickBot="1" x14ac:dyDescent="0.35">
      <c r="A101" s="37">
        <f>WRstats1!AL107</f>
        <v>1.7</v>
      </c>
      <c r="B101" s="34" t="str">
        <f>WRstats1!D107</f>
        <v>Kamar Aiken</v>
      </c>
      <c r="C101" s="172">
        <f>IFERROR(INDEX(Salaries[DraftKings (Price)],MATCH(WRmatchups[[#This Row],[Name]],Salaries[Player],0)),"")</f>
        <v>3000</v>
      </c>
      <c r="D101" s="172">
        <f>IFERROR(INDEX(DK_Salary_Changes[WeekChange],MATCH(WRmatchups[[#This Row],[Name]],DK_Salary_Changes[Player],0)),"")</f>
        <v>-100</v>
      </c>
      <c r="E101" s="14" t="str">
        <f>IFERROR(INDEX(Salaries[Team],MATCH(WRmatchups[[#This Row],[Name]],Salaries[Player],0)),"")</f>
        <v>BAL</v>
      </c>
      <c r="F101" s="460" t="str">
        <f>IFERROR(INDEX(Salaries[Opp],MATCH(WRmatchups[[#This Row],[Team]],Salaries[Team],0)),"")</f>
        <v>OAK</v>
      </c>
      <c r="G101" s="476" t="str">
        <f>IFERROR(INDEX(WRYTD[Rec],MATCH(WRmatchups[Name],WRYTD[Player],0)),"0")</f>
        <v>0</v>
      </c>
      <c r="H101" s="458">
        <f>IFERROR(INDEX(targettracker54[TTL],MATCH(WRmatchups[Name],targettracker54[Name],0)),"")</f>
        <v>4</v>
      </c>
      <c r="I101" s="475" t="str">
        <f>IFERROR(INDEX(WRYTD[Rec Yds],MATCH(WRmatchups[Name],WRYTD[Player],0)),"0")</f>
        <v>0</v>
      </c>
      <c r="J101" s="477" t="str">
        <f>IFERROR(INDEX(WRYTD[Rec TD],MATCH(WRmatchups[Name],WRYTD[Player],0)),"0")</f>
        <v>0</v>
      </c>
      <c r="K101" s="473">
        <f>IFERROR(INDEX(Salaries[O/U],MATCH(WRmatchups[[#This Row],[Team]],Salaries[Team],0)),"")</f>
        <v>46.5</v>
      </c>
      <c r="L101" s="32">
        <f>IFERROR(INDEX(Salaries[Team O/U],MATCH(WRmatchups[[#This Row],[Team]],Salaries[Team],0)),"")</f>
        <v>25</v>
      </c>
      <c r="M101" s="417">
        <f>IFERROR(INDEX(Salaries[Spread],MATCH(WRmatchups[[#This Row],[Team]],Salaries[Team],0)),"")</f>
        <v>-3.5</v>
      </c>
      <c r="N101" s="424">
        <f>IFERROR(INDEX(WRallowed[DVP],MATCH(WRmatchups[[#This Row],[Opp]],WRallowed[Team],0)),IFERROR(INDEX(WRallowed[DVP],MATCH(WRmatchups[[#This Row],[Opp]],WRallowed[Opp],0)),""))</f>
        <v>13</v>
      </c>
      <c r="O101" s="17">
        <f>IFERROR(INDEX(YAtCData[YAtC],MATCH(WRmatchups[[#This Row],[Name]],YAtCData[Player],0)),"0")</f>
        <v>11</v>
      </c>
      <c r="P101" s="497">
        <f>IFERROR(INDEX(YAtCData[YAtC/Rec],MATCH(WRmatchups[[#This Row],[Name]],YAtCData[Player],0)),"0")</f>
        <v>3.67</v>
      </c>
      <c r="Q101" s="17">
        <f>IFERROR(INDEX(YAtCData[YAC],MATCH(WRmatchups[[#This Row],[Name]],YAtCData[Player],0)),"0")</f>
        <v>8</v>
      </c>
      <c r="R101" s="497">
        <f>IFERROR(INDEX(YACDATA[YAC per Reception],MATCH(WRmatchups[[#This Row],[Name]],YACDATA[Player],0)),"0")</f>
        <v>2.7</v>
      </c>
      <c r="S101" s="431">
        <f>AVERAGE(WRmatchups[[#This Row],[Tar1]:[Tar3]])</f>
        <v>1.9</v>
      </c>
      <c r="T101" s="465">
        <f>AVERAGE(WRmatchups[[#This Row],[Rec1]:[Rec3]])</f>
        <v>1.4653333333333334</v>
      </c>
      <c r="U101" s="468">
        <f>SUM(WRmatchups[[#This Row],[Rec4]]/WRmatchups[[#This Row],[Targets2]])</f>
        <v>0.77122807017543871</v>
      </c>
      <c r="V101" s="417">
        <f>AVERAGE(WRmatchups[[#This Row],[Yards1]:[Yards3]])</f>
        <v>16.091000000000001</v>
      </c>
      <c r="W101" s="461">
        <f>SUM(WRmatchups[[#This Row],[Yards]]/WRmatchups[[#This Row],[Targets2]])</f>
        <v>8.4689473684210537</v>
      </c>
      <c r="X101" s="32">
        <f>AVERAGE(WRmatchups[[#This Row],[TD1]:[TD3]])</f>
        <v>7.7499999999999999E-2</v>
      </c>
      <c r="Y101" s="14">
        <f>_xlfn.RANK.EQ(WRmatchups[[#This Row],[Projection]],WRmatchups[Projection],0)</f>
        <v>91</v>
      </c>
      <c r="Z101" s="45">
        <f>SUM(WRmatchups[[#This Row],[Yards]]*0.1)+(WRmatchups[[#This Row],[RecTD5]]*6)+(WRmatchups[[#This Row],[Rec4]]*1)+(WRmatchups[[#This Row],[100+]])</f>
        <v>3.5394333333333332</v>
      </c>
      <c r="AA101" s="346">
        <f>_xlfn.RANK.EQ(WRmatchups[[#This Row],[$/FP]],WRmatchups[$/FP],1)</f>
        <v>93</v>
      </c>
      <c r="AB101" s="199">
        <f>SUM(WRmatchups[[#This Row],[Salary]]/WRmatchups[[#This Row],[Projection]])</f>
        <v>847.59330589642411</v>
      </c>
      <c r="AC101" s="316">
        <f>_xlfn.RANK.EQ(WRmatchups[[#This Row],[Average]],WRmatchups[Average],1)</f>
        <v>93</v>
      </c>
      <c r="AD101" s="316">
        <f>AVERAGE(WRmatchups[[#This Row],[Proj Rank]],WRmatchups[[#This Row],[Value Rank]])</f>
        <v>92</v>
      </c>
      <c r="AE101" s="214">
        <f>WRmatchups[[#This Row],[Salary]]/50000</f>
        <v>0.06</v>
      </c>
      <c r="AF101" s="214"/>
      <c r="AG101" s="14">
        <f>IFERROR(INDEX(WRstats3[Targets],MATCH(WRmatchups[[#This Row],[Name]],WRstats3[Player],0)),"0")</f>
        <v>1.9</v>
      </c>
      <c r="AH101" s="14" t="str">
        <f>IFERROR(INDEX(WRstats2[Targets],MATCH(WRmatchups[[#This Row],[Name]],WRstats2[Player],0)),"0")</f>
        <v>0</v>
      </c>
      <c r="AI101" s="14">
        <f>IFERROR(INDEX(WRstats3[Targets],MATCH(WRmatchups[[#This Row],[Name]],WRstats3[Player],0)),"0")</f>
        <v>1.9</v>
      </c>
      <c r="AJ101" s="14">
        <f>IFERROR(INDEX(WRstats1[Rec],MATCH(WRmatchups[[#This Row],[Name]],WRstats1[Player],0)),"0")</f>
        <v>0.996</v>
      </c>
      <c r="AK101" s="14">
        <f>IFERROR(INDEX(WRstats2[Rec],MATCH(WRmatchups[[#This Row],[Name]],WRstats2[Player],0)),"0")</f>
        <v>2.2000000000000002</v>
      </c>
      <c r="AL101" s="14">
        <f>IFERROR(INDEX(WRstats3[Rec],MATCH(WRmatchups[[#This Row],[Name]],WRstats3[Player],0)),"0")</f>
        <v>1.2</v>
      </c>
      <c r="AM101" s="32">
        <f>IFERROR(INDEX(WRallowed[Rec],MATCH(WRmatchups[[#This Row],[Opp]],WRallowed[Team],0)),"0")</f>
        <v>11.125</v>
      </c>
      <c r="AN101" s="14">
        <f>IFERROR(INDEX(WRstats1[Rec Yds],MATCH(WRmatchups[[#This Row],[Name]],WRstats1[Player],0)),"0")</f>
        <v>8.4730000000000008</v>
      </c>
      <c r="AO101" s="14">
        <f>IFERROR(INDEX(WRstats2[RecYards],MATCH(WRmatchups[[#This Row],[Name]],WRstats2[Player],0)),"0")</f>
        <v>24.8</v>
      </c>
      <c r="AP101" s="14">
        <f>IFERROR(INDEX(WRstats3[RecYards],MATCH(WRmatchups[[#This Row],[Name]],WRstats3[Player],0)),"0")</f>
        <v>15</v>
      </c>
      <c r="AQ101" s="32">
        <f>IFERROR(INDEX(WRallowed[Yard],MATCH(WRmatchups[[#This Row],[Opp]],WRallowed[Team],0)),"0")</f>
        <v>145.75</v>
      </c>
      <c r="AR101" s="14">
        <f>IFERROR(INDEX(WRstats1[Rec TD],MATCH(WRmatchups[[#This Row],[Name]],WRstats1[Player],0)),"0")</f>
        <v>5.5E-2</v>
      </c>
      <c r="AS101" s="14" t="str">
        <f>IFERROR(INDEX(WRstats2[RecTD],MATCH(WRmatchups[[#This Row],[Name]],WRstats2[Player],0)),"0")</f>
        <v>0.1</v>
      </c>
      <c r="AT101" s="14">
        <f>IFERROR(INDEX(WRstats3[RecTD],MATCH(WRmatchups[[#This Row],[Name]],WRstats3[Player],0)),"0")</f>
        <v>0.1</v>
      </c>
      <c r="AU101" s="32">
        <f>IFERROR(INDEX(WRallowed[TD],MATCH(WRmatchups[[#This Row],[Opp]],WRallowed[Team],0)),"0")*0.5</f>
        <v>0.4375</v>
      </c>
      <c r="AV101" s="14" t="str">
        <f>IFERROR(INDEX(WRstats2[RushAtt],MATCH(WRmatchups[[#This Row],[Name]],WRstats2[Player],0)),"0")</f>
        <v>0.1</v>
      </c>
      <c r="AW101" s="14">
        <f>IFERROR(INDEX(WRstats3[RushATT],MATCH(WRmatchups[[#This Row],[Name]],WRstats3[Player],0)),"0")</f>
        <v>0</v>
      </c>
      <c r="AX101" s="14" t="str">
        <f>IFERROR(INDEX(WRstats2[RushYards],MATCH(WRmatchups[[#This Row],[Name]],WRstats2[Player],0)),"0")</f>
        <v>0</v>
      </c>
      <c r="AY101" s="14">
        <f>IFERROR(INDEX(WRstats3[RushYards],MATCH(WRmatchups[[#This Row],[Name]],WRstats3[Player],0)),"0")</f>
        <v>0</v>
      </c>
      <c r="AZ101" s="14" t="str">
        <f>IFERROR(INDEX(WRstats2[RushTD],MATCH(WRmatchups[[#This Row],[Name]],WRstats2[Player],0)),"0")</f>
        <v>0</v>
      </c>
      <c r="BA101" s="14">
        <f>IFERROR(INDEX(WRstats3[RushTD],MATCH(WRmatchups[[#This Row],[Name]],WRstats3[Player],0)),"0")</f>
        <v>0</v>
      </c>
      <c r="BB101" s="264">
        <f>IF(WRmatchups[[#This Row],[Yards]]&gt;=100,3,0)</f>
        <v>0</v>
      </c>
      <c r="BC101" s="191" t="str">
        <f>IFERROR(INDEX(#REF!,MATCH(WRmatchups[Name],#REF!,0)),"0")</f>
        <v>0</v>
      </c>
      <c r="BD101" s="494">
        <f>WRmatchups[[#This Row],[Targets]]/WRmatchups[[#This Row],[Salary]]*100</f>
        <v>0.13333333333333333</v>
      </c>
    </row>
    <row r="102" spans="1:56" ht="15" thickBot="1" x14ac:dyDescent="0.35">
      <c r="A102" s="37">
        <f>WRstats1!AL86</f>
        <v>3.9</v>
      </c>
      <c r="B102" s="34" t="str">
        <f>WRstats1!D86</f>
        <v>Bennie Fowler</v>
      </c>
      <c r="C102" s="172">
        <f>IFERROR(INDEX(Salaries[DraftKings (Price)],MATCH(WRmatchups[[#This Row],[Name]],Salaries[Player],0)),"")</f>
        <v>3000</v>
      </c>
      <c r="D102" s="172">
        <f>IFERROR(INDEX(DK_Salary_Changes[WeekChange],MATCH(WRmatchups[[#This Row],[Name]],DK_Salary_Changes[Player],0)),"")</f>
        <v>0</v>
      </c>
      <c r="E102" s="14" t="str">
        <f>IFERROR(INDEX(Salaries[Team],MATCH(WRmatchups[[#This Row],[Name]],Salaries[Player],0)),"")</f>
        <v>DEN</v>
      </c>
      <c r="F102" s="460" t="str">
        <f>IFERROR(INDEX(Salaries[Opp],MATCH(WRmatchups[[#This Row],[Team]],Salaries[Team],0)),"")</f>
        <v>@TB</v>
      </c>
      <c r="G102" s="476" t="str">
        <f>IFERROR(INDEX(WRYTD[Rec],MATCH(WRmatchups[Name],WRYTD[Player],0)),"0")</f>
        <v>0</v>
      </c>
      <c r="H102" s="458">
        <f>IFERROR(INDEX(targettracker54[TTL],MATCH(WRmatchups[Name],targettracker54[Name],0)),"")</f>
        <v>1</v>
      </c>
      <c r="I102" s="475" t="str">
        <f>IFERROR(INDEX(WRYTD[Rec Yds],MATCH(WRmatchups[Name],WRYTD[Player],0)),"0")</f>
        <v>0</v>
      </c>
      <c r="J102" s="477" t="str">
        <f>IFERROR(INDEX(WRYTD[Rec TD],MATCH(WRmatchups[Name],WRYTD[Player],0)),"0")</f>
        <v>0</v>
      </c>
      <c r="K102" s="473">
        <f>IFERROR(INDEX(Salaries[O/U],MATCH(WRmatchups[[#This Row],[Team]],Salaries[Team],0)),"")</f>
        <v>44</v>
      </c>
      <c r="L102" s="32">
        <f>IFERROR(INDEX(Salaries[Team O/U],MATCH(WRmatchups[[#This Row],[Team]],Salaries[Team],0)),"")</f>
        <v>23.5</v>
      </c>
      <c r="M102" s="417">
        <f>IFERROR(INDEX(Salaries[Spread],MATCH(WRmatchups[[#This Row],[Team]],Salaries[Team],0)),"")</f>
        <v>-3</v>
      </c>
      <c r="N102" s="424">
        <f>IFERROR(INDEX(WRallowed[DVP],MATCH(WRmatchups[[#This Row],[Opp]],WRallowed[Team],0)),IFERROR(INDEX(WRallowed[DVP],MATCH(WRmatchups[[#This Row],[Opp]],WRallowed[Opp],0)),""))</f>
        <v>26</v>
      </c>
      <c r="O102" s="17" t="str">
        <f>IFERROR(INDEX(YAtCData[YAtC],MATCH(WRmatchups[[#This Row],[Name]],YAtCData[Player],0)),"0")</f>
        <v>0</v>
      </c>
      <c r="P102" s="497" t="str">
        <f>IFERROR(INDEX(YAtCData[YAtC/Rec],MATCH(WRmatchups[[#This Row],[Name]],YAtCData[Player],0)),"0")</f>
        <v>0</v>
      </c>
      <c r="Q102" s="17" t="str">
        <f>IFERROR(INDEX(YAtCData[YAC],MATCH(WRmatchups[[#This Row],[Name]],YAtCData[Player],0)),"0")</f>
        <v>0</v>
      </c>
      <c r="R102" s="497">
        <f>IFERROR(INDEX(YACDATA[YAC per Reception],MATCH(WRmatchups[[#This Row],[Name]],YACDATA[Player],0)),"0")</f>
        <v>7</v>
      </c>
      <c r="S102" s="431">
        <f>AVERAGE(WRmatchups[[#This Row],[Tar1]:[Tar3]])</f>
        <v>0.9</v>
      </c>
      <c r="T102" s="465">
        <f>AVERAGE(WRmatchups[[#This Row],[Rec1]:[Rec3]])</f>
        <v>1.2969999999999999</v>
      </c>
      <c r="U102" s="468">
        <f>SUM(WRmatchups[[#This Row],[Rec4]]/WRmatchups[[#This Row],[Targets2]])</f>
        <v>1.441111111111111</v>
      </c>
      <c r="V102" s="417">
        <f>AVERAGE(WRmatchups[[#This Row],[Yards1]:[Yards3]])</f>
        <v>16.656333333333333</v>
      </c>
      <c r="W102" s="461">
        <f>SUM(WRmatchups[[#This Row],[Yards]]/WRmatchups[[#This Row],[Targets2]])</f>
        <v>18.507037037037037</v>
      </c>
      <c r="X102" s="32">
        <f>AVERAGE(WRmatchups[[#This Row],[TD1]:[TD3]])</f>
        <v>7.3999999999999996E-2</v>
      </c>
      <c r="Y102" s="14">
        <f>_xlfn.RANK.EQ(WRmatchups[[#This Row],[Projection]],WRmatchups[Projection],0)</f>
        <v>92</v>
      </c>
      <c r="Z102" s="45">
        <f>SUM(WRmatchups[[#This Row],[Yards]]*0.1)+(WRmatchups[[#This Row],[RecTD5]]*6)+(WRmatchups[[#This Row],[Rec4]]*1)+(WRmatchups[[#This Row],[100+]])</f>
        <v>3.4066333333333327</v>
      </c>
      <c r="AA102" s="346">
        <f>_xlfn.RANK.EQ(WRmatchups[[#This Row],[$/FP]],WRmatchups[$/FP],1)</f>
        <v>94</v>
      </c>
      <c r="AB102" s="199">
        <f>SUM(WRmatchups[[#This Row],[Salary]]/WRmatchups[[#This Row],[Projection]])</f>
        <v>880.63483987123175</v>
      </c>
      <c r="AC102" s="316">
        <f>_xlfn.RANK.EQ(WRmatchups[[#This Row],[Average]],WRmatchups[Average],1)</f>
        <v>94</v>
      </c>
      <c r="AD102" s="316">
        <f>AVERAGE(WRmatchups[[#This Row],[Proj Rank]],WRmatchups[[#This Row],[Value Rank]])</f>
        <v>93</v>
      </c>
      <c r="AE102" s="214">
        <f>WRmatchups[[#This Row],[Salary]]/50000</f>
        <v>0.06</v>
      </c>
      <c r="AF102" s="214"/>
      <c r="AG102" s="14">
        <f>IFERROR(INDEX(WRstats3[Targets],MATCH(WRmatchups[[#This Row],[Name]],WRstats3[Player],0)),"0")</f>
        <v>0.9</v>
      </c>
      <c r="AH102" s="14" t="str">
        <f>IFERROR(INDEX(WRstats2[Targets],MATCH(WRmatchups[[#This Row],[Name]],WRstats2[Player],0)),"0")</f>
        <v>0</v>
      </c>
      <c r="AI102" s="14">
        <f>IFERROR(INDEX(WRstats3[Targets],MATCH(WRmatchups[[#This Row],[Name]],WRstats3[Player],0)),"0")</f>
        <v>0.9</v>
      </c>
      <c r="AJ102" s="14">
        <f>IFERROR(INDEX(WRstats1[Rec],MATCH(WRmatchups[[#This Row],[Name]],WRstats1[Player],0)),"0")</f>
        <v>1.591</v>
      </c>
      <c r="AK102" s="14">
        <f>IFERROR(INDEX(WRstats2[Rec],MATCH(WRmatchups[[#This Row],[Name]],WRstats2[Player],0)),"0")</f>
        <v>1.6</v>
      </c>
      <c r="AL102" s="14">
        <f>IFERROR(INDEX(WRstats3[Rec],MATCH(WRmatchups[[#This Row],[Name]],WRstats3[Player],0)),"0")</f>
        <v>0.7</v>
      </c>
      <c r="AM102" s="32" t="str">
        <f>IFERROR(INDEX(WRallowed[Rec],MATCH(WRmatchups[[#This Row],[Opp]],WRallowed[Team],0)),"0")</f>
        <v>0</v>
      </c>
      <c r="AN102" s="14">
        <f>IFERROR(INDEX(WRstats1[Rec Yds],MATCH(WRmatchups[[#This Row],[Name]],WRstats1[Player],0)),"0")</f>
        <v>22.869</v>
      </c>
      <c r="AO102" s="14">
        <f>IFERROR(INDEX(WRstats2[RecYards],MATCH(WRmatchups[[#This Row],[Name]],WRstats2[Player],0)),"0")</f>
        <v>18.399999999999999</v>
      </c>
      <c r="AP102" s="14">
        <f>IFERROR(INDEX(WRstats3[RecYards],MATCH(WRmatchups[[#This Row],[Name]],WRstats3[Player],0)),"0")</f>
        <v>8.6999999999999993</v>
      </c>
      <c r="AQ102" s="32" t="str">
        <f>IFERROR(INDEX(WRallowed[Yard],MATCH(WRmatchups[[#This Row],[Opp]],WRallowed[Team],0)),"0")</f>
        <v>0</v>
      </c>
      <c r="AR102" s="14">
        <f>IFERROR(INDEX(WRstats1[Rec TD],MATCH(WRmatchups[[#This Row],[Name]],WRstats1[Player],0)),"0")</f>
        <v>0.14799999999999999</v>
      </c>
      <c r="AS102" s="14" t="str">
        <f>IFERROR(INDEX(WRstats2[RecTD],MATCH(WRmatchups[[#This Row],[Name]],WRstats2[Player],0)),"0")</f>
        <v>0.1</v>
      </c>
      <c r="AT102" s="14">
        <f>IFERROR(INDEX(WRstats3[RecTD],MATCH(WRmatchups[[#This Row],[Name]],WRstats3[Player],0)),"0")</f>
        <v>0</v>
      </c>
      <c r="AU102" s="32">
        <f>IFERROR(INDEX(WRallowed[TD],MATCH(WRmatchups[[#This Row],[Opp]],WRallowed[Team],0)),"0")*0.5</f>
        <v>0</v>
      </c>
      <c r="AV102" s="14" t="str">
        <f>IFERROR(INDEX(WRstats2[RushAtt],MATCH(WRmatchups[[#This Row],[Name]],WRstats2[Player],0)),"0")</f>
        <v>0.1</v>
      </c>
      <c r="AW102" s="14">
        <f>IFERROR(INDEX(WRstats3[RushATT],MATCH(WRmatchups[[#This Row],[Name]],WRstats3[Player],0)),"0")</f>
        <v>0</v>
      </c>
      <c r="AX102" s="14" t="str">
        <f>IFERROR(INDEX(WRstats2[RushYards],MATCH(WRmatchups[[#This Row],[Name]],WRstats2[Player],0)),"0")</f>
        <v>0</v>
      </c>
      <c r="AY102" s="14">
        <f>IFERROR(INDEX(WRstats3[RushYards],MATCH(WRmatchups[[#This Row],[Name]],WRstats3[Player],0)),"0")</f>
        <v>0</v>
      </c>
      <c r="AZ102" s="14" t="str">
        <f>IFERROR(INDEX(WRstats2[RushTD],MATCH(WRmatchups[[#This Row],[Name]],WRstats2[Player],0)),"0")</f>
        <v>0</v>
      </c>
      <c r="BA102" s="14">
        <f>IFERROR(INDEX(WRstats3[RushTD],MATCH(WRmatchups[[#This Row],[Name]],WRstats3[Player],0)),"0")</f>
        <v>0</v>
      </c>
      <c r="BB102" s="264">
        <f>IF(WRmatchups[[#This Row],[Yards]]&gt;=100,3,0)</f>
        <v>0</v>
      </c>
      <c r="BC102" s="191" t="str">
        <f>IFERROR(INDEX(#REF!,MATCH(WRmatchups[Name],#REF!,0)),"0")</f>
        <v>0</v>
      </c>
      <c r="BD102" s="494">
        <f>WRmatchups[[#This Row],[Targets]]/WRmatchups[[#This Row],[Salary]]*100</f>
        <v>3.3333333333333333E-2</v>
      </c>
    </row>
    <row r="103" spans="1:56" ht="15" thickBot="1" x14ac:dyDescent="0.35">
      <c r="A103" s="37">
        <f>WRstats1!AL84</f>
        <v>4.4000000000000004</v>
      </c>
      <c r="B103" s="34" t="str">
        <f>WRstats1!D84</f>
        <v>Brandon Coleman</v>
      </c>
      <c r="C103" s="172">
        <f>IFERROR(INDEX(Salaries[DraftKings (Price)],MATCH(WRmatchups[[#This Row],[Name]],Salaries[Player],0)),"")</f>
        <v>3000</v>
      </c>
      <c r="D103" s="172">
        <f>IFERROR(INDEX(DK_Salary_Changes[WeekChange],MATCH(WRmatchups[[#This Row],[Name]],DK_Salary_Changes[Player],0)),"")</f>
        <v>0</v>
      </c>
      <c r="E103" s="14" t="str">
        <f>IFERROR(INDEX(Salaries[Team],MATCH(WRmatchups[[#This Row],[Name]],Salaries[Player],0)),"")</f>
        <v>NO</v>
      </c>
      <c r="F103" s="460" t="str">
        <f>IFERROR(INDEX(Salaries[Opp],MATCH(WRmatchups[[#This Row],[Team]],Salaries[Team],0)),"")</f>
        <v>@SD</v>
      </c>
      <c r="G103" s="476" t="str">
        <f>IFERROR(INDEX(WRYTD[Rec],MATCH(WRmatchups[Name],WRYTD[Player],0)),"0")</f>
        <v>0</v>
      </c>
      <c r="H103" s="458">
        <f>IFERROR(INDEX(targettracker54[TTL],MATCH(WRmatchups[Name],targettracker54[Name],0)),"")</f>
        <v>12</v>
      </c>
      <c r="I103" s="475" t="str">
        <f>IFERROR(INDEX(WRYTD[Rec Yds],MATCH(WRmatchups[Name],WRYTD[Player],0)),"0")</f>
        <v>0</v>
      </c>
      <c r="J103" s="477" t="str">
        <f>IFERROR(INDEX(WRYTD[Rec TD],MATCH(WRmatchups[Name],WRYTD[Player],0)),"0")</f>
        <v>0</v>
      </c>
      <c r="K103" s="473">
        <f>IFERROR(INDEX(Salaries[O/U],MATCH(WRmatchups[[#This Row],[Team]],Salaries[Team],0)),"")</f>
        <v>53.5</v>
      </c>
      <c r="L103" s="32">
        <f>IFERROR(INDEX(Salaries[Team O/U],MATCH(WRmatchups[[#This Row],[Team]],Salaries[Team],0)),"")</f>
        <v>24.75</v>
      </c>
      <c r="M103" s="417">
        <f>IFERROR(INDEX(Salaries[Spread],MATCH(WRmatchups[[#This Row],[Team]],Salaries[Team],0)),"")</f>
        <v>4</v>
      </c>
      <c r="N103" s="424">
        <f>IFERROR(INDEX(WRallowed[DVP],MATCH(WRmatchups[[#This Row],[Opp]],WRallowed[Team],0)),IFERROR(INDEX(WRallowed[DVP],MATCH(WRmatchups[[#This Row],[Opp]],WRallowed[Opp],0)),""))</f>
        <v>4</v>
      </c>
      <c r="O103" s="17">
        <f>IFERROR(INDEX(YAtCData[YAtC],MATCH(WRmatchups[[#This Row],[Name]],YAtCData[Player],0)),"0")</f>
        <v>92</v>
      </c>
      <c r="P103" s="497">
        <f>IFERROR(INDEX(YAtCData[YAtC/Rec],MATCH(WRmatchups[[#This Row],[Name]],YAtCData[Player],0)),"0")</f>
        <v>10.220000000000001</v>
      </c>
      <c r="Q103" s="17">
        <f>IFERROR(INDEX(YAtCData[YAC],MATCH(WRmatchups[[#This Row],[Name]],YAtCData[Player],0)),"0")</f>
        <v>1</v>
      </c>
      <c r="R103" s="497">
        <f>IFERROR(INDEX(YACDATA[YAC per Reception],MATCH(WRmatchups[[#This Row],[Name]],YACDATA[Player],0)),"0")</f>
        <v>0.1</v>
      </c>
      <c r="S103" s="431">
        <f>AVERAGE(WRmatchups[[#This Row],[Tar1]:[Tar3]])</f>
        <v>0.7</v>
      </c>
      <c r="T103" s="465">
        <f>AVERAGE(WRmatchups[[#This Row],[Rec1]:[Rec3]])</f>
        <v>1.214</v>
      </c>
      <c r="U103" s="468">
        <f>SUM(WRmatchups[[#This Row],[Rec4]]/WRmatchups[[#This Row],[Targets2]])</f>
        <v>1.7342857142857144</v>
      </c>
      <c r="V103" s="417">
        <f>AVERAGE(WRmatchups[[#This Row],[Yards1]:[Yards3]])</f>
        <v>15.259500000000001</v>
      </c>
      <c r="W103" s="461">
        <f>SUM(WRmatchups[[#This Row],[Yards]]/WRmatchups[[#This Row],[Targets2]])</f>
        <v>21.799285714285716</v>
      </c>
      <c r="X103" s="32">
        <f>AVERAGE(WRmatchups[[#This Row],[TD1]:[TD3]])</f>
        <v>8.1000000000000003E-2</v>
      </c>
      <c r="Y103" s="14">
        <f>_xlfn.RANK.EQ(WRmatchups[[#This Row],[Projection]],WRmatchups[Projection],0)</f>
        <v>93</v>
      </c>
      <c r="Z103" s="45">
        <f>SUM(WRmatchups[[#This Row],[Yards]]*0.1)+(WRmatchups[[#This Row],[RecTD5]]*6)+(WRmatchups[[#This Row],[Rec4]]*1)+(WRmatchups[[#This Row],[100+]])</f>
        <v>3.2259500000000001</v>
      </c>
      <c r="AA103" s="346">
        <f>_xlfn.RANK.EQ(WRmatchups[[#This Row],[$/FP]],WRmatchups[$/FP],1)</f>
        <v>95</v>
      </c>
      <c r="AB103" s="199">
        <f>SUM(WRmatchups[[#This Row],[Salary]]/WRmatchups[[#This Row],[Projection]])</f>
        <v>929.95861684155057</v>
      </c>
      <c r="AC103" s="316">
        <f>_xlfn.RANK.EQ(WRmatchups[[#This Row],[Average]],WRmatchups[Average],1)</f>
        <v>95</v>
      </c>
      <c r="AD103" s="316">
        <f>AVERAGE(WRmatchups[[#This Row],[Proj Rank]],WRmatchups[[#This Row],[Value Rank]])</f>
        <v>94</v>
      </c>
      <c r="AE103" s="214">
        <f>WRmatchups[[#This Row],[Salary]]/50000</f>
        <v>0.06</v>
      </c>
      <c r="AF103" s="214"/>
      <c r="AG103" s="14">
        <f>IFERROR(INDEX(WRstats3[Targets],MATCH(WRmatchups[[#This Row],[Name]],WRstats3[Player],0)),"0")</f>
        <v>0.7</v>
      </c>
      <c r="AH103" s="14" t="str">
        <f>IFERROR(INDEX(WRstats2[Targets],MATCH(WRmatchups[[#This Row],[Name]],WRstats2[Player],0)),"0")</f>
        <v>0</v>
      </c>
      <c r="AI103" s="14">
        <f>IFERROR(INDEX(WRstats3[Targets],MATCH(WRmatchups[[#This Row],[Name]],WRstats3[Player],0)),"0")</f>
        <v>0.7</v>
      </c>
      <c r="AJ103" s="14">
        <f>IFERROR(INDEX(WRstats1[Rec],MATCH(WRmatchups[[#This Row],[Name]],WRstats1[Player],0)),"0")</f>
        <v>2.028</v>
      </c>
      <c r="AK103" s="14" t="str">
        <f>IFERROR(INDEX(WRstats2[Rec],MATCH(WRmatchups[[#This Row],[Name]],WRstats2[Player],0)),"0")</f>
        <v>0</v>
      </c>
      <c r="AL103" s="14">
        <f>IFERROR(INDEX(WRstats3[Rec],MATCH(WRmatchups[[#This Row],[Name]],WRstats3[Player],0)),"0")</f>
        <v>0.4</v>
      </c>
      <c r="AM103" s="32" t="str">
        <f>IFERROR(INDEX(WRallowed[Rec],MATCH(WRmatchups[[#This Row],[Opp]],WRallowed[Team],0)),"0")</f>
        <v>0</v>
      </c>
      <c r="AN103" s="14">
        <f>IFERROR(INDEX(WRstats1[Rec Yds],MATCH(WRmatchups[[#This Row],[Name]],WRstats1[Player],0)),"0")</f>
        <v>24.219000000000001</v>
      </c>
      <c r="AO103" s="14" t="str">
        <f>IFERROR(INDEX(WRstats2[RecYards],MATCH(WRmatchups[[#This Row],[Name]],WRstats2[Player],0)),"0")</f>
        <v>0</v>
      </c>
      <c r="AP103" s="14">
        <f>IFERROR(INDEX(WRstats3[RecYards],MATCH(WRmatchups[[#This Row],[Name]],WRstats3[Player],0)),"0")</f>
        <v>6.3</v>
      </c>
      <c r="AQ103" s="32" t="str">
        <f>IFERROR(INDEX(WRallowed[Yard],MATCH(WRmatchups[[#This Row],[Opp]],WRallowed[Team],0)),"0")</f>
        <v>0</v>
      </c>
      <c r="AR103" s="14">
        <f>IFERROR(INDEX(WRstats1[Rec TD],MATCH(WRmatchups[[#This Row],[Name]],WRstats1[Player],0)),"0")</f>
        <v>0.16200000000000001</v>
      </c>
      <c r="AS103" s="14" t="str">
        <f>IFERROR(INDEX(WRstats2[RecTD],MATCH(WRmatchups[[#This Row],[Name]],WRstats2[Player],0)),"0")</f>
        <v>0</v>
      </c>
      <c r="AT103" s="14">
        <f>IFERROR(INDEX(WRstats3[RecTD],MATCH(WRmatchups[[#This Row],[Name]],WRstats3[Player],0)),"0")</f>
        <v>0</v>
      </c>
      <c r="AU103" s="32">
        <f>IFERROR(INDEX(WRallowed[TD],MATCH(WRmatchups[[#This Row],[Opp]],WRallowed[Team],0)),"0")*0.5</f>
        <v>0</v>
      </c>
      <c r="AV103" s="14" t="str">
        <f>IFERROR(INDEX(WRstats2[RushAtt],MATCH(WRmatchups[[#This Row],[Name]],WRstats2[Player],0)),"0")</f>
        <v>0</v>
      </c>
      <c r="AW103" s="14">
        <f>IFERROR(INDEX(WRstats3[RushATT],MATCH(WRmatchups[[#This Row],[Name]],WRstats3[Player],0)),"0")</f>
        <v>0</v>
      </c>
      <c r="AX103" s="14" t="str">
        <f>IFERROR(INDEX(WRstats2[RushYards],MATCH(WRmatchups[[#This Row],[Name]],WRstats2[Player],0)),"0")</f>
        <v>0</v>
      </c>
      <c r="AY103" s="14">
        <f>IFERROR(INDEX(WRstats3[RushYards],MATCH(WRmatchups[[#This Row],[Name]],WRstats3[Player],0)),"0")</f>
        <v>0</v>
      </c>
      <c r="AZ103" s="14" t="str">
        <f>IFERROR(INDEX(WRstats2[RushTD],MATCH(WRmatchups[[#This Row],[Name]],WRstats2[Player],0)),"0")</f>
        <v>0</v>
      </c>
      <c r="BA103" s="14">
        <f>IFERROR(INDEX(WRstats3[RushTD],MATCH(WRmatchups[[#This Row],[Name]],WRstats3[Player],0)),"0")</f>
        <v>0</v>
      </c>
      <c r="BB103" s="264">
        <f>IF(WRmatchups[[#This Row],[Yards]]&gt;=100,3,0)</f>
        <v>0</v>
      </c>
      <c r="BC103" s="191" t="str">
        <f>IFERROR(INDEX(#REF!,MATCH(WRmatchups[Name],#REF!,0)),"0")</f>
        <v>0</v>
      </c>
      <c r="BD103" s="494">
        <f>WRmatchups[[#This Row],[Targets]]/WRmatchups[[#This Row],[Salary]]*100</f>
        <v>0.4</v>
      </c>
    </row>
    <row r="104" spans="1:56" ht="15" thickBot="1" x14ac:dyDescent="0.35">
      <c r="A104" s="37">
        <f>WRstats1!AL118</f>
        <v>0.6</v>
      </c>
      <c r="B104" s="34" t="str">
        <f>WRstats1!D118</f>
        <v>Brandon Coleman</v>
      </c>
      <c r="C104" s="172">
        <f>IFERROR(INDEX(Salaries[DraftKings (Price)],MATCH(WRmatchups[[#This Row],[Name]],Salaries[Player],0)),"")</f>
        <v>3000</v>
      </c>
      <c r="D104" s="172">
        <f>IFERROR(INDEX(DK_Salary_Changes[WeekChange],MATCH(WRmatchups[[#This Row],[Name]],DK_Salary_Changes[Player],0)),"")</f>
        <v>0</v>
      </c>
      <c r="E104" s="14" t="str">
        <f>IFERROR(INDEX(Salaries[Team],MATCH(WRmatchups[[#This Row],[Name]],Salaries[Player],0)),"")</f>
        <v>NO</v>
      </c>
      <c r="F104" s="460" t="str">
        <f>IFERROR(INDEX(Salaries[Opp],MATCH(WRmatchups[[#This Row],[Team]],Salaries[Team],0)),"")</f>
        <v>@SD</v>
      </c>
      <c r="G104" s="476" t="str">
        <f>IFERROR(INDEX(WRYTD[Rec],MATCH(WRmatchups[Name],WRYTD[Player],0)),"0")</f>
        <v>0</v>
      </c>
      <c r="H104" s="458">
        <f>IFERROR(INDEX(targettracker54[TTL],MATCH(WRmatchups[Name],targettracker54[Name],0)),"")</f>
        <v>12</v>
      </c>
      <c r="I104" s="475" t="str">
        <f>IFERROR(INDEX(WRYTD[Rec Yds],MATCH(WRmatchups[Name],WRYTD[Player],0)),"0")</f>
        <v>0</v>
      </c>
      <c r="J104" s="477" t="str">
        <f>IFERROR(INDEX(WRYTD[Rec TD],MATCH(WRmatchups[Name],WRYTD[Player],0)),"0")</f>
        <v>0</v>
      </c>
      <c r="K104" s="473">
        <f>IFERROR(INDEX(Salaries[O/U],MATCH(WRmatchups[[#This Row],[Team]],Salaries[Team],0)),"")</f>
        <v>53.5</v>
      </c>
      <c r="L104" s="32">
        <f>IFERROR(INDEX(Salaries[Team O/U],MATCH(WRmatchups[[#This Row],[Team]],Salaries[Team],0)),"")</f>
        <v>24.75</v>
      </c>
      <c r="M104" s="417">
        <f>IFERROR(INDEX(Salaries[Spread],MATCH(WRmatchups[[#This Row],[Team]],Salaries[Team],0)),"")</f>
        <v>4</v>
      </c>
      <c r="N104" s="424">
        <f>IFERROR(INDEX(WRallowed[DVP],MATCH(WRmatchups[[#This Row],[Opp]],WRallowed[Team],0)),IFERROR(INDEX(WRallowed[DVP],MATCH(WRmatchups[[#This Row],[Opp]],WRallowed[Opp],0)),""))</f>
        <v>4</v>
      </c>
      <c r="O104" s="17">
        <f>IFERROR(INDEX(YAtCData[YAtC],MATCH(WRmatchups[[#This Row],[Name]],YAtCData[Player],0)),"0")</f>
        <v>92</v>
      </c>
      <c r="P104" s="497">
        <f>IFERROR(INDEX(YAtCData[YAtC/Rec],MATCH(WRmatchups[[#This Row],[Name]],YAtCData[Player],0)),"0")</f>
        <v>10.220000000000001</v>
      </c>
      <c r="Q104" s="17">
        <f>IFERROR(INDEX(YAtCData[YAC],MATCH(WRmatchups[[#This Row],[Name]],YAtCData[Player],0)),"0")</f>
        <v>1</v>
      </c>
      <c r="R104" s="497">
        <f>IFERROR(INDEX(YACDATA[YAC per Reception],MATCH(WRmatchups[[#This Row],[Name]],YACDATA[Player],0)),"0")</f>
        <v>0.1</v>
      </c>
      <c r="S104" s="431">
        <f>AVERAGE(WRmatchups[[#This Row],[Tar1]:[Tar3]])</f>
        <v>0.7</v>
      </c>
      <c r="T104" s="465">
        <f>AVERAGE(WRmatchups[[#This Row],[Rec1]:[Rec3]])</f>
        <v>1.214</v>
      </c>
      <c r="U104" s="468">
        <f>SUM(WRmatchups[[#This Row],[Rec4]]/WRmatchups[[#This Row],[Targets2]])</f>
        <v>1.7342857142857144</v>
      </c>
      <c r="V104" s="417">
        <f>AVERAGE(WRmatchups[[#This Row],[Yards1]:[Yards3]])</f>
        <v>15.259500000000001</v>
      </c>
      <c r="W104" s="461">
        <f>SUM(WRmatchups[[#This Row],[Yards]]/WRmatchups[[#This Row],[Targets2]])</f>
        <v>21.799285714285716</v>
      </c>
      <c r="X104" s="32">
        <f>AVERAGE(WRmatchups[[#This Row],[TD1]:[TD3]])</f>
        <v>8.1000000000000003E-2</v>
      </c>
      <c r="Y104" s="14">
        <f>_xlfn.RANK.EQ(WRmatchups[[#This Row],[Projection]],WRmatchups[Projection],0)</f>
        <v>93</v>
      </c>
      <c r="Z104" s="45">
        <f>SUM(WRmatchups[[#This Row],[Yards]]*0.1)+(WRmatchups[[#This Row],[RecTD5]]*6)+(WRmatchups[[#This Row],[Rec4]]*1)+(WRmatchups[[#This Row],[100+]])</f>
        <v>3.2259500000000001</v>
      </c>
      <c r="AA104" s="346">
        <f>_xlfn.RANK.EQ(WRmatchups[[#This Row],[$/FP]],WRmatchups[$/FP],1)</f>
        <v>95</v>
      </c>
      <c r="AB104" s="199">
        <f>SUM(WRmatchups[[#This Row],[Salary]]/WRmatchups[[#This Row],[Projection]])</f>
        <v>929.95861684155057</v>
      </c>
      <c r="AC104" s="316">
        <f>_xlfn.RANK.EQ(WRmatchups[[#This Row],[Average]],WRmatchups[Average],1)</f>
        <v>95</v>
      </c>
      <c r="AD104" s="316">
        <f>AVERAGE(WRmatchups[[#This Row],[Proj Rank]],WRmatchups[[#This Row],[Value Rank]])</f>
        <v>94</v>
      </c>
      <c r="AE104" s="214">
        <f>WRmatchups[[#This Row],[Salary]]/50000</f>
        <v>0.06</v>
      </c>
      <c r="AF104" s="214"/>
      <c r="AG104" s="14">
        <f>IFERROR(INDEX(WRstats3[Targets],MATCH(WRmatchups[[#This Row],[Name]],WRstats3[Player],0)),"0")</f>
        <v>0.7</v>
      </c>
      <c r="AH104" s="14" t="str">
        <f>IFERROR(INDEX(WRstats2[Targets],MATCH(WRmatchups[[#This Row],[Name]],WRstats2[Player],0)),"0")</f>
        <v>0</v>
      </c>
      <c r="AI104" s="14">
        <f>IFERROR(INDEX(WRstats3[Targets],MATCH(WRmatchups[[#This Row],[Name]],WRstats3[Player],0)),"0")</f>
        <v>0.7</v>
      </c>
      <c r="AJ104" s="14">
        <f>IFERROR(INDEX(WRstats1[Rec],MATCH(WRmatchups[[#This Row],[Name]],WRstats1[Player],0)),"0")</f>
        <v>2.028</v>
      </c>
      <c r="AK104" s="14" t="str">
        <f>IFERROR(INDEX(WRstats2[Rec],MATCH(WRmatchups[[#This Row],[Name]],WRstats2[Player],0)),"0")</f>
        <v>0</v>
      </c>
      <c r="AL104" s="14">
        <f>IFERROR(INDEX(WRstats3[Rec],MATCH(WRmatchups[[#This Row],[Name]],WRstats3[Player],0)),"0")</f>
        <v>0.4</v>
      </c>
      <c r="AM104" s="32" t="str">
        <f>IFERROR(INDEX(WRallowed[Rec],MATCH(WRmatchups[[#This Row],[Opp]],WRallowed[Team],0)),"0")</f>
        <v>0</v>
      </c>
      <c r="AN104" s="14">
        <f>IFERROR(INDEX(WRstats1[Rec Yds],MATCH(WRmatchups[[#This Row],[Name]],WRstats1[Player],0)),"0")</f>
        <v>24.219000000000001</v>
      </c>
      <c r="AO104" s="14" t="str">
        <f>IFERROR(INDEX(WRstats2[RecYards],MATCH(WRmatchups[[#This Row],[Name]],WRstats2[Player],0)),"0")</f>
        <v>0</v>
      </c>
      <c r="AP104" s="14">
        <f>IFERROR(INDEX(WRstats3[RecYards],MATCH(WRmatchups[[#This Row],[Name]],WRstats3[Player],0)),"0")</f>
        <v>6.3</v>
      </c>
      <c r="AQ104" s="32" t="str">
        <f>IFERROR(INDEX(WRallowed[Yard],MATCH(WRmatchups[[#This Row],[Opp]],WRallowed[Team],0)),"0")</f>
        <v>0</v>
      </c>
      <c r="AR104" s="14">
        <f>IFERROR(INDEX(WRstats1[Rec TD],MATCH(WRmatchups[[#This Row],[Name]],WRstats1[Player],0)),"0")</f>
        <v>0.16200000000000001</v>
      </c>
      <c r="AS104" s="14" t="str">
        <f>IFERROR(INDEX(WRstats2[RecTD],MATCH(WRmatchups[[#This Row],[Name]],WRstats2[Player],0)),"0")</f>
        <v>0</v>
      </c>
      <c r="AT104" s="14">
        <f>IFERROR(INDEX(WRstats3[RecTD],MATCH(WRmatchups[[#This Row],[Name]],WRstats3[Player],0)),"0")</f>
        <v>0</v>
      </c>
      <c r="AU104" s="32">
        <f>IFERROR(INDEX(WRallowed[TD],MATCH(WRmatchups[[#This Row],[Opp]],WRallowed[Team],0)),"0")*0.5</f>
        <v>0</v>
      </c>
      <c r="AV104" s="14" t="str">
        <f>IFERROR(INDEX(WRstats2[RushAtt],MATCH(WRmatchups[[#This Row],[Name]],WRstats2[Player],0)),"0")</f>
        <v>0</v>
      </c>
      <c r="AW104" s="14">
        <f>IFERROR(INDEX(WRstats3[RushATT],MATCH(WRmatchups[[#This Row],[Name]],WRstats3[Player],0)),"0")</f>
        <v>0</v>
      </c>
      <c r="AX104" s="14" t="str">
        <f>IFERROR(INDEX(WRstats2[RushYards],MATCH(WRmatchups[[#This Row],[Name]],WRstats2[Player],0)),"0")</f>
        <v>0</v>
      </c>
      <c r="AY104" s="14">
        <f>IFERROR(INDEX(WRstats3[RushYards],MATCH(WRmatchups[[#This Row],[Name]],WRstats3[Player],0)),"0")</f>
        <v>0</v>
      </c>
      <c r="AZ104" s="14" t="str">
        <f>IFERROR(INDEX(WRstats2[RushTD],MATCH(WRmatchups[[#This Row],[Name]],WRstats2[Player],0)),"0")</f>
        <v>0</v>
      </c>
      <c r="BA104" s="14">
        <f>IFERROR(INDEX(WRstats3[RushTD],MATCH(WRmatchups[[#This Row],[Name]],WRstats3[Player],0)),"0")</f>
        <v>0</v>
      </c>
      <c r="BB104" s="264">
        <f>IF(WRmatchups[[#This Row],[Yards]]&gt;=100,3,0)</f>
        <v>0</v>
      </c>
      <c r="BC104" s="191" t="str">
        <f>IFERROR(INDEX(#REF!,MATCH(WRmatchups[Name],#REF!,0)),"0")</f>
        <v>0</v>
      </c>
      <c r="BD104" s="494">
        <f>WRmatchups[[#This Row],[Targets]]/WRmatchups[[#This Row],[Salary]]*100</f>
        <v>0.4</v>
      </c>
    </row>
    <row r="105" spans="1:56" ht="15" thickBot="1" x14ac:dyDescent="0.35">
      <c r="A105" s="37">
        <f>WRstats1!AL105</f>
        <v>1.7</v>
      </c>
      <c r="B105" s="34" t="str">
        <f>WRstats1!D105</f>
        <v>Jalin Marshall</v>
      </c>
      <c r="C105" s="172">
        <f>IFERROR(INDEX(Salaries[DraftKings (Price)],MATCH(WRmatchups[[#This Row],[Name]],Salaries[Player],0)),"")</f>
        <v>3000</v>
      </c>
      <c r="D105" s="172">
        <f>IFERROR(INDEX(DK_Salary_Changes[WeekChange],MATCH(WRmatchups[[#This Row],[Name]],DK_Salary_Changes[Player],0)),"")</f>
        <v>0</v>
      </c>
      <c r="E105" s="14" t="str">
        <f>IFERROR(INDEX(Salaries[Team],MATCH(WRmatchups[[#This Row],[Name]],Salaries[Player],0)),"")</f>
        <v>NYJ</v>
      </c>
      <c r="F105" s="460" t="str">
        <f>IFERROR(INDEX(Salaries[Opp],MATCH(WRmatchups[[#This Row],[Team]],Salaries[Team],0)),"")</f>
        <v>SEA</v>
      </c>
      <c r="G105" s="476" t="str">
        <f>IFERROR(INDEX(WRYTD[Rec],MATCH(WRmatchups[Name],WRYTD[Player],0)),"0")</f>
        <v>0</v>
      </c>
      <c r="H105" s="458">
        <f>IFERROR(INDEX(targettracker54[TTL],MATCH(WRmatchups[Name],targettracker54[Name],0)),"")</f>
        <v>8</v>
      </c>
      <c r="I105" s="475" t="str">
        <f>IFERROR(INDEX(WRYTD[Rec Yds],MATCH(WRmatchups[Name],WRYTD[Player],0)),"0")</f>
        <v>0</v>
      </c>
      <c r="J105" s="477" t="str">
        <f>IFERROR(INDEX(WRYTD[Rec TD],MATCH(WRmatchups[Name],WRYTD[Player],0)),"0")</f>
        <v>0</v>
      </c>
      <c r="K105" s="473">
        <f>IFERROR(INDEX(Salaries[O/U],MATCH(WRmatchups[[#This Row],[Team]],Salaries[Team],0)),"")</f>
        <v>40.5</v>
      </c>
      <c r="L105" s="32">
        <f>IFERROR(INDEX(Salaries[Team O/U],MATCH(WRmatchups[[#This Row],[Team]],Salaries[Team],0)),"")</f>
        <v>19.5</v>
      </c>
      <c r="M105" s="417">
        <f>IFERROR(INDEX(Salaries[Spread],MATCH(WRmatchups[[#This Row],[Team]],Salaries[Team],0)),"")</f>
        <v>1.5</v>
      </c>
      <c r="N105" s="424">
        <f>IFERROR(INDEX(WRallowed[DVP],MATCH(WRmatchups[[#This Row],[Opp]],WRallowed[Team],0)),IFERROR(INDEX(WRallowed[DVP],MATCH(WRmatchups[[#This Row],[Opp]],WRallowed[Opp],0)),""))</f>
        <v>3</v>
      </c>
      <c r="O105" s="17">
        <f>IFERROR(INDEX(YAtCData[YAtC],MATCH(WRmatchups[[#This Row],[Name]],YAtCData[Player],0)),"0")</f>
        <v>44</v>
      </c>
      <c r="P105" s="497">
        <f>IFERROR(INDEX(YAtCData[YAtC/Rec],MATCH(WRmatchups[[#This Row],[Name]],YAtCData[Player],0)),"0")</f>
        <v>8.8000000000000007</v>
      </c>
      <c r="Q105" s="17">
        <f>IFERROR(INDEX(YAtCData[YAC],MATCH(WRmatchups[[#This Row],[Name]],YAtCData[Player],0)),"0")</f>
        <v>20</v>
      </c>
      <c r="R105" s="497">
        <f>IFERROR(INDEX(YACDATA[YAC per Reception],MATCH(WRmatchups[[#This Row],[Name]],YACDATA[Player],0)),"0")</f>
        <v>4</v>
      </c>
      <c r="S105" s="431">
        <f>AVERAGE(WRmatchups[[#This Row],[Tar1]:[Tar3]])</f>
        <v>2.7</v>
      </c>
      <c r="T105" s="465">
        <f>AVERAGE(WRmatchups[[#This Row],[Rec1]:[Rec3]])</f>
        <v>1.2545000000000002</v>
      </c>
      <c r="U105" s="468">
        <f>SUM(WRmatchups[[#This Row],[Rec4]]/WRmatchups[[#This Row],[Targets2]])</f>
        <v>0.46462962962962967</v>
      </c>
      <c r="V105" s="417">
        <f>AVERAGE(WRmatchups[[#This Row],[Yards1]:[Yards3]])</f>
        <v>16.508500000000002</v>
      </c>
      <c r="W105" s="461">
        <f>SUM(WRmatchups[[#This Row],[Yards]]/WRmatchups[[#This Row],[Targets2]])</f>
        <v>6.1142592592592591</v>
      </c>
      <c r="X105" s="32">
        <f>AVERAGE(WRmatchups[[#This Row],[TD1]:[TD3]])</f>
        <v>0.05</v>
      </c>
      <c r="Y105" s="14">
        <f>_xlfn.RANK.EQ(WRmatchups[[#This Row],[Projection]],WRmatchups[Projection],0)</f>
        <v>95</v>
      </c>
      <c r="Z105" s="45">
        <f>SUM(WRmatchups[[#This Row],[Yards]]*0.1)+(WRmatchups[[#This Row],[RecTD5]]*6)+(WRmatchups[[#This Row],[Rec4]]*1)+(WRmatchups[[#This Row],[100+]])</f>
        <v>3.2053500000000001</v>
      </c>
      <c r="AA105" s="346">
        <f>_xlfn.RANK.EQ(WRmatchups[[#This Row],[$/FP]],WRmatchups[$/FP],1)</f>
        <v>97</v>
      </c>
      <c r="AB105" s="199">
        <f>SUM(WRmatchups[[#This Row],[Salary]]/WRmatchups[[#This Row],[Projection]])</f>
        <v>935.93523328185688</v>
      </c>
      <c r="AC105" s="316">
        <f>_xlfn.RANK.EQ(WRmatchups[[#This Row],[Average]],WRmatchups[Average],1)</f>
        <v>97</v>
      </c>
      <c r="AD105" s="316">
        <f>AVERAGE(WRmatchups[[#This Row],[Proj Rank]],WRmatchups[[#This Row],[Value Rank]])</f>
        <v>96</v>
      </c>
      <c r="AE105" s="214">
        <f>WRmatchups[[#This Row],[Salary]]/50000</f>
        <v>0.06</v>
      </c>
      <c r="AF105" s="214"/>
      <c r="AG105" s="14">
        <f>IFERROR(INDEX(WRstats3[Targets],MATCH(WRmatchups[[#This Row],[Name]],WRstats3[Player],0)),"0")</f>
        <v>2.7</v>
      </c>
      <c r="AH105" s="14" t="str">
        <f>IFERROR(INDEX(WRstats2[Targets],MATCH(WRmatchups[[#This Row],[Name]],WRstats2[Player],0)),"0")</f>
        <v>0</v>
      </c>
      <c r="AI105" s="14">
        <f>IFERROR(INDEX(WRstats3[Targets],MATCH(WRmatchups[[#This Row],[Name]],WRstats3[Player],0)),"0")</f>
        <v>2.7</v>
      </c>
      <c r="AJ105" s="14">
        <f>IFERROR(INDEX(WRstats1[Rec],MATCH(WRmatchups[[#This Row],[Name]],WRstats1[Player],0)),"0")</f>
        <v>0.90900000000000003</v>
      </c>
      <c r="AK105" s="14" t="str">
        <f>IFERROR(INDEX(WRstats2[Rec],MATCH(WRmatchups[[#This Row],[Name]],WRstats2[Player],0)),"0")</f>
        <v>0</v>
      </c>
      <c r="AL105" s="14">
        <f>IFERROR(INDEX(WRstats3[Rec],MATCH(WRmatchups[[#This Row],[Name]],WRstats3[Player],0)),"0")</f>
        <v>1.6</v>
      </c>
      <c r="AM105" s="32">
        <f>IFERROR(INDEX(WRallowed[Rec],MATCH(WRmatchups[[#This Row],[Opp]],WRallowed[Team],0)),"0")</f>
        <v>13</v>
      </c>
      <c r="AN105" s="14">
        <f>IFERROR(INDEX(WRstats1[Rec Yds],MATCH(WRmatchups[[#This Row],[Name]],WRstats1[Player],0)),"0")</f>
        <v>12.717000000000001</v>
      </c>
      <c r="AO105" s="14" t="str">
        <f>IFERROR(INDEX(WRstats2[RecYards],MATCH(WRmatchups[[#This Row],[Name]],WRstats2[Player],0)),"0")</f>
        <v>0</v>
      </c>
      <c r="AP105" s="14">
        <f>IFERROR(INDEX(WRstats3[RecYards],MATCH(WRmatchups[[#This Row],[Name]],WRstats3[Player],0)),"0")</f>
        <v>20.3</v>
      </c>
      <c r="AQ105" s="32">
        <f>IFERROR(INDEX(WRallowed[Yard],MATCH(WRmatchups[[#This Row],[Opp]],WRallowed[Team],0)),"0")</f>
        <v>148.5625</v>
      </c>
      <c r="AR105" s="14">
        <f>IFERROR(INDEX(WRstats1[Rec TD],MATCH(WRmatchups[[#This Row],[Name]],WRstats1[Player],0)),"0")</f>
        <v>0</v>
      </c>
      <c r="AS105" s="14" t="str">
        <f>IFERROR(INDEX(WRstats2[RecTD],MATCH(WRmatchups[[#This Row],[Name]],WRstats2[Player],0)),"0")</f>
        <v>0</v>
      </c>
      <c r="AT105" s="14">
        <f>IFERROR(INDEX(WRstats3[RecTD],MATCH(WRmatchups[[#This Row],[Name]],WRstats3[Player],0)),"0")</f>
        <v>0.1</v>
      </c>
      <c r="AU105" s="32">
        <f>IFERROR(INDEX(WRallowed[TD],MATCH(WRmatchups[[#This Row],[Opp]],WRallowed[Team],0)),"0")*0.5</f>
        <v>0.375</v>
      </c>
      <c r="AV105" s="14" t="str">
        <f>IFERROR(INDEX(WRstats2[RushAtt],MATCH(WRmatchups[[#This Row],[Name]],WRstats2[Player],0)),"0")</f>
        <v>0</v>
      </c>
      <c r="AW105" s="14">
        <f>IFERROR(INDEX(WRstats3[RushATT],MATCH(WRmatchups[[#This Row],[Name]],WRstats3[Player],0)),"0")</f>
        <v>0</v>
      </c>
      <c r="AX105" s="14" t="str">
        <f>IFERROR(INDEX(WRstats2[RushYards],MATCH(WRmatchups[[#This Row],[Name]],WRstats2[Player],0)),"0")</f>
        <v>0</v>
      </c>
      <c r="AY105" s="14">
        <f>IFERROR(INDEX(WRstats3[RushYards],MATCH(WRmatchups[[#This Row],[Name]],WRstats3[Player],0)),"0")</f>
        <v>0</v>
      </c>
      <c r="AZ105" s="14" t="str">
        <f>IFERROR(INDEX(WRstats2[RushTD],MATCH(WRmatchups[[#This Row],[Name]],WRstats2[Player],0)),"0")</f>
        <v>0</v>
      </c>
      <c r="BA105" s="14">
        <f>IFERROR(INDEX(WRstats3[RushTD],MATCH(WRmatchups[[#This Row],[Name]],WRstats3[Player],0)),"0")</f>
        <v>0</v>
      </c>
      <c r="BB105" s="264">
        <f>IF(WRmatchups[[#This Row],[Yards]]&gt;=100,3,0)</f>
        <v>0</v>
      </c>
      <c r="BC105" s="191" t="str">
        <f>IFERROR(INDEX(#REF!,MATCH(WRmatchups[Name],#REF!,0)),"0")</f>
        <v>0</v>
      </c>
      <c r="BD105" s="494">
        <f>WRmatchups[[#This Row],[Targets]]/WRmatchups[[#This Row],[Salary]]*100</f>
        <v>0.26666666666666666</v>
      </c>
    </row>
    <row r="106" spans="1:56" ht="15" thickBot="1" x14ac:dyDescent="0.35">
      <c r="A106" s="37">
        <f>WRstats1!AL90</f>
        <v>2.5</v>
      </c>
      <c r="B106" s="34" t="str">
        <f>WRstats1!D90</f>
        <v>Jaelen Strong</v>
      </c>
      <c r="C106" s="172">
        <f>IFERROR(INDEX(Salaries[DraftKings (Price)],MATCH(WRmatchups[[#This Row],[Name]],Salaries[Player],0)),"")</f>
        <v>3100</v>
      </c>
      <c r="D106" s="172">
        <f>IFERROR(INDEX(DK_Salary_Changes[WeekChange],MATCH(WRmatchups[[#This Row],[Name]],DK_Salary_Changes[Player],0)),"")</f>
        <v>-200</v>
      </c>
      <c r="E106" s="14" t="str">
        <f>IFERROR(INDEX(Salaries[Team],MATCH(WRmatchups[[#This Row],[Name]],Salaries[Player],0)),"")</f>
        <v>HOU</v>
      </c>
      <c r="F106" s="460" t="str">
        <f>IFERROR(INDEX(Salaries[Opp],MATCH(WRmatchups[[#This Row],[Team]],Salaries[Team],0)),"")</f>
        <v>TEN</v>
      </c>
      <c r="G106" s="476" t="str">
        <f>IFERROR(INDEX(WRYTD[Rec],MATCH(WRmatchups[Name],WRYTD[Player],0)),"0")</f>
        <v>0</v>
      </c>
      <c r="H106" s="458">
        <f>IFERROR(INDEX(targettracker54[TTL],MATCH(WRmatchups[Name],targettracker54[Name],0)),"")</f>
        <v>5</v>
      </c>
      <c r="I106" s="475" t="str">
        <f>IFERROR(INDEX(WRYTD[Rec Yds],MATCH(WRmatchups[Name],WRYTD[Player],0)),"0")</f>
        <v>0</v>
      </c>
      <c r="J106" s="477" t="str">
        <f>IFERROR(INDEX(WRYTD[Rec TD],MATCH(WRmatchups[Name],WRYTD[Player],0)),"0")</f>
        <v>0</v>
      </c>
      <c r="K106" s="473">
        <f>IFERROR(INDEX(Salaries[O/U],MATCH(WRmatchups[[#This Row],[Team]],Salaries[Team],0)),"")</f>
        <v>40.5</v>
      </c>
      <c r="L106" s="32">
        <f>IFERROR(INDEX(Salaries[Team O/U],MATCH(WRmatchups[[#This Row],[Team]],Salaries[Team],0)),"")</f>
        <v>23.5</v>
      </c>
      <c r="M106" s="417">
        <f>IFERROR(INDEX(Salaries[Spread],MATCH(WRmatchups[[#This Row],[Team]],Salaries[Team],0)),"")</f>
        <v>-6.5</v>
      </c>
      <c r="N106" s="424">
        <f>IFERROR(INDEX(WRallowed[DVP],MATCH(WRmatchups[[#This Row],[Opp]],WRallowed[Team],0)),IFERROR(INDEX(WRallowed[DVP],MATCH(WRmatchups[[#This Row],[Opp]],WRallowed[Opp],0)),""))</f>
        <v>22</v>
      </c>
      <c r="O106" s="17">
        <f>IFERROR(INDEX(YAtCData[YAtC],MATCH(WRmatchups[[#This Row],[Name]],YAtCData[Player],0)),"0")</f>
        <v>15</v>
      </c>
      <c r="P106" s="497">
        <f>IFERROR(INDEX(YAtCData[YAtC/Rec],MATCH(WRmatchups[[#This Row],[Name]],YAtCData[Player],0)),"0")</f>
        <v>15</v>
      </c>
      <c r="Q106" s="17">
        <f>IFERROR(INDEX(YAtCData[YAC],MATCH(WRmatchups[[#This Row],[Name]],YAtCData[Player],0)),"0")</f>
        <v>0</v>
      </c>
      <c r="R106" s="497" t="str">
        <f>IFERROR(INDEX(YACDATA[YAC per Reception],MATCH(WRmatchups[[#This Row],[Name]],YACDATA[Player],0)),"0")</f>
        <v>0</v>
      </c>
      <c r="S106" s="431">
        <f>AVERAGE(WRmatchups[[#This Row],[Tar1]:[Tar3]])</f>
        <v>2</v>
      </c>
      <c r="T106" s="465">
        <f>AVERAGE(WRmatchups[[#This Row],[Rec1]:[Rec3]])</f>
        <v>1.0345</v>
      </c>
      <c r="U106" s="468">
        <f>SUM(WRmatchups[[#This Row],[Rec4]]/WRmatchups[[#This Row],[Targets2]])</f>
        <v>0.51724999999999999</v>
      </c>
      <c r="V106" s="417">
        <f>AVERAGE(WRmatchups[[#This Row],[Yards1]:[Yards3]])</f>
        <v>15.075333333333333</v>
      </c>
      <c r="W106" s="461">
        <f>SUM(WRmatchups[[#This Row],[Yards]]/WRmatchups[[#This Row],[Targets2]])</f>
        <v>7.5376666666666665</v>
      </c>
      <c r="X106" s="32">
        <f>AVERAGE(WRmatchups[[#This Row],[TD1]:[TD3]])</f>
        <v>0.10100000000000001</v>
      </c>
      <c r="Y106" s="14">
        <f>_xlfn.RANK.EQ(WRmatchups[[#This Row],[Projection]],WRmatchups[Projection],0)</f>
        <v>96</v>
      </c>
      <c r="Z106" s="45">
        <f>SUM(WRmatchups[[#This Row],[Yards]]*0.1)+(WRmatchups[[#This Row],[RecTD5]]*6)+(WRmatchups[[#This Row],[Rec4]]*1)+(WRmatchups[[#This Row],[100+]])</f>
        <v>3.1480333333333337</v>
      </c>
      <c r="AA106" s="346">
        <f>_xlfn.RANK.EQ(WRmatchups[[#This Row],[$/FP]],WRmatchups[$/FP],1)</f>
        <v>98</v>
      </c>
      <c r="AB106" s="199">
        <f>SUM(WRmatchups[[#This Row],[Salary]]/WRmatchups[[#This Row],[Projection]])</f>
        <v>984.74179646551806</v>
      </c>
      <c r="AC106" s="316">
        <f>_xlfn.RANK.EQ(WRmatchups[[#This Row],[Average]],WRmatchups[Average],1)</f>
        <v>98</v>
      </c>
      <c r="AD106" s="316">
        <f>AVERAGE(WRmatchups[[#This Row],[Proj Rank]],WRmatchups[[#This Row],[Value Rank]])</f>
        <v>97</v>
      </c>
      <c r="AE106" s="214">
        <f>WRmatchups[[#This Row],[Salary]]/50000</f>
        <v>6.2E-2</v>
      </c>
      <c r="AF106" s="214"/>
      <c r="AG106" s="14">
        <f>IFERROR(INDEX(WRstats3[Targets],MATCH(WRmatchups[[#This Row],[Name]],WRstats3[Player],0)),"0")</f>
        <v>2</v>
      </c>
      <c r="AH106" s="14" t="str">
        <f>IFERROR(INDEX(WRstats2[Targets],MATCH(WRmatchups[[#This Row],[Name]],WRstats2[Player],0)),"0")</f>
        <v>0</v>
      </c>
      <c r="AI106" s="14">
        <f>IFERROR(INDEX(WRstats3[Targets],MATCH(WRmatchups[[#This Row],[Name]],WRstats3[Player],0)),"0")</f>
        <v>2</v>
      </c>
      <c r="AJ106" s="14">
        <f>IFERROR(INDEX(WRstats1[Rec],MATCH(WRmatchups[[#This Row],[Name]],WRstats1[Player],0)),"0")</f>
        <v>0.76900000000000002</v>
      </c>
      <c r="AK106" s="14" t="str">
        <f>IFERROR(INDEX(WRstats2[Rec],MATCH(WRmatchups[[#This Row],[Name]],WRstats2[Player],0)),"0")</f>
        <v>0.9</v>
      </c>
      <c r="AL106" s="14">
        <f>IFERROR(INDEX(WRstats3[Rec],MATCH(WRmatchups[[#This Row],[Name]],WRstats3[Player],0)),"0")</f>
        <v>1.3</v>
      </c>
      <c r="AM106" s="32">
        <f>IFERROR(INDEX(WRallowed[Rec],MATCH(WRmatchups[[#This Row],[Opp]],WRallowed[Team],0)),"0")</f>
        <v>9.8125</v>
      </c>
      <c r="AN106" s="14">
        <f>IFERROR(INDEX(WRstats1[Rec Yds],MATCH(WRmatchups[[#This Row],[Name]],WRstats1[Player],0)),"0")</f>
        <v>14.826000000000001</v>
      </c>
      <c r="AO106" s="14">
        <f>IFERROR(INDEX(WRstats2[RecYards],MATCH(WRmatchups[[#This Row],[Name]],WRstats2[Player],0)),"0")</f>
        <v>13.3</v>
      </c>
      <c r="AP106" s="14">
        <f>IFERROR(INDEX(WRstats3[RecYards],MATCH(WRmatchups[[#This Row],[Name]],WRstats3[Player],0)),"0")</f>
        <v>17.100000000000001</v>
      </c>
      <c r="AQ106" s="32">
        <f>IFERROR(INDEX(WRallowed[Yard],MATCH(WRmatchups[[#This Row],[Opp]],WRallowed[Team],0)),"0")</f>
        <v>127.5625</v>
      </c>
      <c r="AR106" s="14">
        <f>IFERROR(INDEX(WRstats1[Rec TD],MATCH(WRmatchups[[#This Row],[Name]],WRstats1[Player],0)),"0")</f>
        <v>0.10199999999999999</v>
      </c>
      <c r="AS106" s="14" t="str">
        <f>IFERROR(INDEX(WRstats2[RecTD],MATCH(WRmatchups[[#This Row],[Name]],WRstats2[Player],0)),"0")</f>
        <v>0.1</v>
      </c>
      <c r="AT106" s="14">
        <f>IFERROR(INDEX(WRstats3[RecTD],MATCH(WRmatchups[[#This Row],[Name]],WRstats3[Player],0)),"0")</f>
        <v>0.1</v>
      </c>
      <c r="AU106" s="32">
        <f>IFERROR(INDEX(WRallowed[TD],MATCH(WRmatchups[[#This Row],[Opp]],WRallowed[Team],0)),"0")*0.5</f>
        <v>0.21875</v>
      </c>
      <c r="AV106" s="14" t="str">
        <f>IFERROR(INDEX(WRstats2[RushAtt],MATCH(WRmatchups[[#This Row],[Name]],WRstats2[Player],0)),"0")</f>
        <v>0.1</v>
      </c>
      <c r="AW106" s="14">
        <f>IFERROR(INDEX(WRstats3[RushATT],MATCH(WRmatchups[[#This Row],[Name]],WRstats3[Player],0)),"0")</f>
        <v>0</v>
      </c>
      <c r="AX106" s="14" t="str">
        <f>IFERROR(INDEX(WRstats2[RushYards],MATCH(WRmatchups[[#This Row],[Name]],WRstats2[Player],0)),"0")</f>
        <v>0</v>
      </c>
      <c r="AY106" s="14">
        <f>IFERROR(INDEX(WRstats3[RushYards],MATCH(WRmatchups[[#This Row],[Name]],WRstats3[Player],0)),"0")</f>
        <v>0</v>
      </c>
      <c r="AZ106" s="14" t="str">
        <f>IFERROR(INDEX(WRstats2[RushTD],MATCH(WRmatchups[[#This Row],[Name]],WRstats2[Player],0)),"0")</f>
        <v>0</v>
      </c>
      <c r="BA106" s="14">
        <f>IFERROR(INDEX(WRstats3[RushTD],MATCH(WRmatchups[[#This Row],[Name]],WRstats3[Player],0)),"0")</f>
        <v>0</v>
      </c>
      <c r="BB106" s="264">
        <f>IF(WRmatchups[[#This Row],[Yards]]&gt;=100,3,0)</f>
        <v>0</v>
      </c>
      <c r="BC106" s="191" t="str">
        <f>IFERROR(INDEX(#REF!,MATCH(WRmatchups[Name],#REF!,0)),"0")</f>
        <v>0</v>
      </c>
      <c r="BD106" s="494">
        <f>WRmatchups[[#This Row],[Targets]]/WRmatchups[[#This Row],[Salary]]*100</f>
        <v>0.16129032258064516</v>
      </c>
    </row>
    <row r="107" spans="1:56" ht="15" thickBot="1" x14ac:dyDescent="0.35">
      <c r="A107" s="37">
        <f>WRstats1!AL99</f>
        <v>1.9</v>
      </c>
      <c r="B107" s="34" t="str">
        <f>WRstats1!D99</f>
        <v>Rod Streater</v>
      </c>
      <c r="C107" s="172">
        <f>IFERROR(INDEX(Salaries[DraftKings (Price)],MATCH(WRmatchups[[#This Row],[Name]],Salaries[Player],0)),"")</f>
        <v>3000</v>
      </c>
      <c r="D107" s="172">
        <f>IFERROR(INDEX(DK_Salary_Changes[WeekChange],MATCH(WRmatchups[[#This Row],[Name]],DK_Salary_Changes[Player],0)),"")</f>
        <v>0</v>
      </c>
      <c r="E107" s="14" t="str">
        <f>IFERROR(INDEX(Salaries[Team],MATCH(WRmatchups[[#This Row],[Name]],Salaries[Player],0)),"")</f>
        <v>SF</v>
      </c>
      <c r="F107" s="460" t="str">
        <f>IFERROR(INDEX(Salaries[Opp],MATCH(WRmatchups[[#This Row],[Team]],Salaries[Team],0)),"")</f>
        <v>DAL</v>
      </c>
      <c r="G107" s="476" t="str">
        <f>IFERROR(INDEX(WRYTD[Rec],MATCH(WRmatchups[Name],WRYTD[Player],0)),"0")</f>
        <v>0</v>
      </c>
      <c r="H107" s="458">
        <f>IFERROR(INDEX(targettracker54[TTL],MATCH(WRmatchups[Name],targettracker54[Name],0)),"")</f>
        <v>3</v>
      </c>
      <c r="I107" s="475" t="str">
        <f>IFERROR(INDEX(WRYTD[Rec Yds],MATCH(WRmatchups[Name],WRYTD[Player],0)),"0")</f>
        <v>0</v>
      </c>
      <c r="J107" s="477" t="str">
        <f>IFERROR(INDEX(WRYTD[Rec TD],MATCH(WRmatchups[Name],WRYTD[Player],0)),"0")</f>
        <v>0</v>
      </c>
      <c r="K107" s="473">
        <f>IFERROR(INDEX(Salaries[O/U],MATCH(WRmatchups[[#This Row],[Team]],Salaries[Team],0)),"")</f>
        <v>46</v>
      </c>
      <c r="L107" s="32">
        <f>IFERROR(INDEX(Salaries[Team O/U],MATCH(WRmatchups[[#This Row],[Team]],Salaries[Team],0)),"")</f>
        <v>21.5</v>
      </c>
      <c r="M107" s="417">
        <f>IFERROR(INDEX(Salaries[Spread],MATCH(WRmatchups[[#This Row],[Team]],Salaries[Team],0)),"")</f>
        <v>3</v>
      </c>
      <c r="N107" s="424">
        <f>IFERROR(INDEX(WRallowed[DVP],MATCH(WRmatchups[[#This Row],[Opp]],WRallowed[Team],0)),IFERROR(INDEX(WRallowed[DVP],MATCH(WRmatchups[[#This Row],[Opp]],WRallowed[Opp],0)),""))</f>
        <v>7</v>
      </c>
      <c r="O107" s="17">
        <f>IFERROR(INDEX(YAtCData[YAtC],MATCH(WRmatchups[[#This Row],[Name]],YAtCData[Player],0)),"0")</f>
        <v>16</v>
      </c>
      <c r="P107" s="497">
        <f>IFERROR(INDEX(YAtCData[YAtC/Rec],MATCH(WRmatchups[[#This Row],[Name]],YAtCData[Player],0)),"0")</f>
        <v>8</v>
      </c>
      <c r="Q107" s="17">
        <f>IFERROR(INDEX(YAtCData[YAC],MATCH(WRmatchups[[#This Row],[Name]],YAtCData[Player],0)),"0")</f>
        <v>16</v>
      </c>
      <c r="R107" s="497">
        <f>IFERROR(INDEX(YACDATA[YAC per Reception],MATCH(WRmatchups[[#This Row],[Name]],YACDATA[Player],0)),"0")</f>
        <v>8</v>
      </c>
      <c r="S107" s="431">
        <f>AVERAGE(WRmatchups[[#This Row],[Tar1]:[Tar3]])</f>
        <v>1.4</v>
      </c>
      <c r="T107" s="465">
        <f>AVERAGE(WRmatchups[[#This Row],[Rec1]:[Rec3]])</f>
        <v>1.0960000000000001</v>
      </c>
      <c r="U107" s="468">
        <f>SUM(WRmatchups[[#This Row],[Rec4]]/WRmatchups[[#This Row],[Targets2]])</f>
        <v>0.78285714285714292</v>
      </c>
      <c r="V107" s="417">
        <f>AVERAGE(WRmatchups[[#This Row],[Yards1]:[Yards3]])</f>
        <v>15.632999999999999</v>
      </c>
      <c r="W107" s="461">
        <f>SUM(WRmatchups[[#This Row],[Yards]]/WRmatchups[[#This Row],[Targets2]])</f>
        <v>11.166428571428572</v>
      </c>
      <c r="X107" s="32">
        <f>AVERAGE(WRmatchups[[#This Row],[TD1]:[TD3]])</f>
        <v>2.75E-2</v>
      </c>
      <c r="Y107" s="14">
        <f>_xlfn.RANK.EQ(WRmatchups[[#This Row],[Projection]],WRmatchups[Projection],0)</f>
        <v>97</v>
      </c>
      <c r="Z107" s="45">
        <f>SUM(WRmatchups[[#This Row],[Yards]]*0.1)+(WRmatchups[[#This Row],[RecTD5]]*6)+(WRmatchups[[#This Row],[Rec4]]*1)+(WRmatchups[[#This Row],[100+]])</f>
        <v>2.8243</v>
      </c>
      <c r="AA107" s="346">
        <f>_xlfn.RANK.EQ(WRmatchups[[#This Row],[$/FP]],WRmatchups[$/FP],1)</f>
        <v>99</v>
      </c>
      <c r="AB107" s="199">
        <f>SUM(WRmatchups[[#This Row],[Salary]]/WRmatchups[[#This Row],[Projection]])</f>
        <v>1062.2101051588004</v>
      </c>
      <c r="AC107" s="316">
        <f>_xlfn.RANK.EQ(WRmatchups[[#This Row],[Average]],WRmatchups[Average],1)</f>
        <v>99</v>
      </c>
      <c r="AD107" s="316">
        <f>AVERAGE(WRmatchups[[#This Row],[Proj Rank]],WRmatchups[[#This Row],[Value Rank]])</f>
        <v>98</v>
      </c>
      <c r="AE107" s="214">
        <f>WRmatchups[[#This Row],[Salary]]/50000</f>
        <v>0.06</v>
      </c>
      <c r="AF107" s="214"/>
      <c r="AG107" s="14">
        <f>IFERROR(INDEX(WRstats3[Targets],MATCH(WRmatchups[[#This Row],[Name]],WRstats3[Player],0)),"0")</f>
        <v>1.4</v>
      </c>
      <c r="AH107" s="14" t="str">
        <f>IFERROR(INDEX(WRstats2[Targets],MATCH(WRmatchups[[#This Row],[Name]],WRstats2[Player],0)),"0")</f>
        <v>0</v>
      </c>
      <c r="AI107" s="14">
        <f>IFERROR(INDEX(WRstats3[Targets],MATCH(WRmatchups[[#This Row],[Name]],WRstats3[Player],0)),"0")</f>
        <v>1.4</v>
      </c>
      <c r="AJ107" s="14">
        <f>IFERROR(INDEX(WRstats1[Rec],MATCH(WRmatchups[[#This Row],[Name]],WRstats1[Player],0)),"0")</f>
        <v>0.79200000000000004</v>
      </c>
      <c r="AK107" s="14" t="str">
        <f>IFERROR(INDEX(WRstats2[Rec],MATCH(WRmatchups[[#This Row],[Name]],WRstats2[Player],0)),"0")</f>
        <v>0</v>
      </c>
      <c r="AL107" s="14">
        <f>IFERROR(INDEX(WRstats3[Rec],MATCH(WRmatchups[[#This Row],[Name]],WRstats3[Player],0)),"0")</f>
        <v>1.4</v>
      </c>
      <c r="AM107" s="32">
        <f>IFERROR(INDEX(WRallowed[Rec],MATCH(WRmatchups[[#This Row],[Opp]],WRallowed[Team],0)),"0")</f>
        <v>13.25</v>
      </c>
      <c r="AN107" s="14">
        <f>IFERROR(INDEX(WRstats1[Rec Yds],MATCH(WRmatchups[[#This Row],[Name]],WRstats1[Player],0)),"0")</f>
        <v>12.366</v>
      </c>
      <c r="AO107" s="14" t="str">
        <f>IFERROR(INDEX(WRstats2[RecYards],MATCH(WRmatchups[[#This Row],[Name]],WRstats2[Player],0)),"0")</f>
        <v>0</v>
      </c>
      <c r="AP107" s="14">
        <f>IFERROR(INDEX(WRstats3[RecYards],MATCH(WRmatchups[[#This Row],[Name]],WRstats3[Player],0)),"0")</f>
        <v>18.899999999999999</v>
      </c>
      <c r="AQ107" s="32">
        <f>IFERROR(INDEX(WRallowed[Yard],MATCH(WRmatchups[[#This Row],[Opp]],WRallowed[Team],0)),"0")</f>
        <v>177.75</v>
      </c>
      <c r="AR107" s="14">
        <f>IFERROR(INDEX(WRstats1[Rec TD],MATCH(WRmatchups[[#This Row],[Name]],WRstats1[Player],0)),"0")</f>
        <v>5.5E-2</v>
      </c>
      <c r="AS107" s="14" t="str">
        <f>IFERROR(INDEX(WRstats2[RecTD],MATCH(WRmatchups[[#This Row],[Name]],WRstats2[Player],0)),"0")</f>
        <v>0</v>
      </c>
      <c r="AT107" s="14">
        <f>IFERROR(INDEX(WRstats3[RecTD],MATCH(WRmatchups[[#This Row],[Name]],WRstats3[Player],0)),"0")</f>
        <v>0</v>
      </c>
      <c r="AU107" s="32">
        <f>IFERROR(INDEX(WRallowed[TD],MATCH(WRmatchups[[#This Row],[Opp]],WRallowed[Team],0)),"0")*0.5</f>
        <v>0.59375</v>
      </c>
      <c r="AV107" s="14" t="str">
        <f>IFERROR(INDEX(WRstats2[RushAtt],MATCH(WRmatchups[[#This Row],[Name]],WRstats2[Player],0)),"0")</f>
        <v>0</v>
      </c>
      <c r="AW107" s="14">
        <f>IFERROR(INDEX(WRstats3[RushATT],MATCH(WRmatchups[[#This Row],[Name]],WRstats3[Player],0)),"0")</f>
        <v>0</v>
      </c>
      <c r="AX107" s="14" t="str">
        <f>IFERROR(INDEX(WRstats2[RushYards],MATCH(WRmatchups[[#This Row],[Name]],WRstats2[Player],0)),"0")</f>
        <v>0</v>
      </c>
      <c r="AY107" s="14">
        <f>IFERROR(INDEX(WRstats3[RushYards],MATCH(WRmatchups[[#This Row],[Name]],WRstats3[Player],0)),"0")</f>
        <v>0</v>
      </c>
      <c r="AZ107" s="14" t="str">
        <f>IFERROR(INDEX(WRstats2[RushTD],MATCH(WRmatchups[[#This Row],[Name]],WRstats2[Player],0)),"0")</f>
        <v>0</v>
      </c>
      <c r="BA107" s="14">
        <f>IFERROR(INDEX(WRstats3[RushTD],MATCH(WRmatchups[[#This Row],[Name]],WRstats3[Player],0)),"0")</f>
        <v>0</v>
      </c>
      <c r="BB107" s="264">
        <f>IF(WRmatchups[[#This Row],[Yards]]&gt;=100,3,0)</f>
        <v>0</v>
      </c>
      <c r="BC107" s="191" t="str">
        <f>IFERROR(INDEX(#REF!,MATCH(WRmatchups[Name],#REF!,0)),"0")</f>
        <v>0</v>
      </c>
      <c r="BD107" s="494">
        <f>WRmatchups[[#This Row],[Targets]]/WRmatchups[[#This Row],[Salary]]*100</f>
        <v>0.1</v>
      </c>
    </row>
    <row r="108" spans="1:56" ht="15" thickBot="1" x14ac:dyDescent="0.35">
      <c r="A108" s="37">
        <f>WRstats1!AL96</f>
        <v>2.2000000000000002</v>
      </c>
      <c r="B108" s="34" t="str">
        <f>WRstats1!D96</f>
        <v>Isaiah Burse</v>
      </c>
      <c r="C108" s="172">
        <f>IFERROR(INDEX(Salaries[DraftKings (Price)],MATCH(WRmatchups[[#This Row],[Name]],Salaries[Player],0)),"")</f>
        <v>0</v>
      </c>
      <c r="D108" s="172" t="str">
        <f>IFERROR(INDEX(DK_Salary_Changes[WeekChange],MATCH(WRmatchups[[#This Row],[Name]],DK_Salary_Changes[Player],0)),"")</f>
        <v/>
      </c>
      <c r="E108" s="14" t="str">
        <f>IFERROR(INDEX(Salaries[Team],MATCH(WRmatchups[[#This Row],[Name]],Salaries[Player],0)),"")</f>
        <v>SD</v>
      </c>
      <c r="F108" s="460" t="str">
        <f>IFERROR(INDEX(Salaries[Opp],MATCH(WRmatchups[[#This Row],[Team]],Salaries[Team],0)),"")</f>
        <v>NO</v>
      </c>
      <c r="G108" s="476" t="str">
        <f>IFERROR(INDEX(WRYTD[Rec],MATCH(WRmatchups[Name],WRYTD[Player],0)),"0")</f>
        <v>0</v>
      </c>
      <c r="H108" s="458" t="str">
        <f>IFERROR(INDEX(targettracker54[TTL],MATCH(WRmatchups[Name],targettracker54[Name],0)),"")</f>
        <v/>
      </c>
      <c r="I108" s="475" t="str">
        <f>IFERROR(INDEX(WRYTD[Rec Yds],MATCH(WRmatchups[Name],WRYTD[Player],0)),"0")</f>
        <v>0</v>
      </c>
      <c r="J108" s="477" t="str">
        <f>IFERROR(INDEX(WRYTD[Rec TD],MATCH(WRmatchups[Name],WRYTD[Player],0)),"0")</f>
        <v>0</v>
      </c>
      <c r="K108" s="473">
        <f>IFERROR(INDEX(Salaries[O/U],MATCH(WRmatchups[[#This Row],[Team]],Salaries[Team],0)),"")</f>
        <v>53.5</v>
      </c>
      <c r="L108" s="32">
        <f>IFERROR(INDEX(Salaries[Team O/U],MATCH(WRmatchups[[#This Row],[Team]],Salaries[Team],0)),"")</f>
        <v>28.75</v>
      </c>
      <c r="M108" s="417">
        <f>IFERROR(INDEX(Salaries[Spread],MATCH(WRmatchups[[#This Row],[Team]],Salaries[Team],0)),"")</f>
        <v>-4</v>
      </c>
      <c r="N108" s="424">
        <f>IFERROR(INDEX(WRallowed[DVP],MATCH(WRmatchups[[#This Row],[Opp]],WRallowed[Team],0)),IFERROR(INDEX(WRallowed[DVP],MATCH(WRmatchups[[#This Row],[Opp]],WRallowed[Opp],0)),""))</f>
        <v>27</v>
      </c>
      <c r="O108" s="17" t="str">
        <f>IFERROR(INDEX(YAtCData[YAtC],MATCH(WRmatchups[[#This Row],[Name]],YAtCData[Player],0)),"0")</f>
        <v>0</v>
      </c>
      <c r="P108" s="497" t="str">
        <f>IFERROR(INDEX(YAtCData[YAtC/Rec],MATCH(WRmatchups[[#This Row],[Name]],YAtCData[Player],0)),"0")</f>
        <v>0</v>
      </c>
      <c r="Q108" s="17" t="str">
        <f>IFERROR(INDEX(YAtCData[YAC],MATCH(WRmatchups[[#This Row],[Name]],YAtCData[Player],0)),"0")</f>
        <v>0</v>
      </c>
      <c r="R108" s="497" t="str">
        <f>IFERROR(INDEX(YACDATA[YAC per Reception],MATCH(WRmatchups[[#This Row],[Name]],YACDATA[Player],0)),"0")</f>
        <v>0</v>
      </c>
      <c r="S108" s="431" t="e">
        <f>AVERAGE(WRmatchups[[#This Row],[Tar1]:[Tar3]])</f>
        <v>#DIV/0!</v>
      </c>
      <c r="T108" s="465">
        <f>AVERAGE(WRmatchups[[#This Row],[Rec1]:[Rec3]])</f>
        <v>1.0509999999999999</v>
      </c>
      <c r="U108" s="468" t="e">
        <f>SUM(WRmatchups[[#This Row],[Rec4]]/WRmatchups[[#This Row],[Targets2]])</f>
        <v>#DIV/0!</v>
      </c>
      <c r="V108" s="417">
        <f>AVERAGE(WRmatchups[[#This Row],[Yards1]:[Yards3]])</f>
        <v>12.125</v>
      </c>
      <c r="W108" s="461" t="e">
        <f>SUM(WRmatchups[[#This Row],[Yards]]/WRmatchups[[#This Row],[Targets2]])</f>
        <v>#DIV/0!</v>
      </c>
      <c r="X108" s="32">
        <f>AVERAGE(WRmatchups[[#This Row],[TD1]:[TD3]])</f>
        <v>8.5000000000000006E-2</v>
      </c>
      <c r="Y108" s="14">
        <f>_xlfn.RANK.EQ(WRmatchups[[#This Row],[Projection]],WRmatchups[Projection],0)</f>
        <v>98</v>
      </c>
      <c r="Z108" s="45">
        <f>SUM(WRmatchups[[#This Row],[Yards]]*0.1)+(WRmatchups[[#This Row],[RecTD5]]*6)+(WRmatchups[[#This Row],[Rec4]]*1)+(WRmatchups[[#This Row],[100+]])</f>
        <v>2.7735000000000003</v>
      </c>
      <c r="AA108" s="346">
        <f>_xlfn.RANK.EQ(WRmatchups[[#This Row],[$/FP]],WRmatchups[$/FP],1)</f>
        <v>1</v>
      </c>
      <c r="AB108" s="199">
        <f>SUM(WRmatchups[[#This Row],[Salary]]/WRmatchups[[#This Row],[Projection]])</f>
        <v>0</v>
      </c>
      <c r="AC108" s="316">
        <f>_xlfn.RANK.EQ(WRmatchups[[#This Row],[Average]],WRmatchups[Average],1)</f>
        <v>53</v>
      </c>
      <c r="AD108" s="316">
        <f>AVERAGE(WRmatchups[[#This Row],[Proj Rank]],WRmatchups[[#This Row],[Value Rank]])</f>
        <v>49.5</v>
      </c>
      <c r="AE108" s="214">
        <f>WRmatchups[[#This Row],[Salary]]/50000</f>
        <v>0</v>
      </c>
      <c r="AF108" s="214"/>
      <c r="AG108" s="14" t="str">
        <f>IFERROR(INDEX(WRstats3[Targets],MATCH(WRmatchups[[#This Row],[Name]],WRstats3[Player],0)),"0")</f>
        <v>0</v>
      </c>
      <c r="AH108" s="14" t="str">
        <f>IFERROR(INDEX(WRstats2[Targets],MATCH(WRmatchups[[#This Row],[Name]],WRstats2[Player],0)),"0")</f>
        <v>0</v>
      </c>
      <c r="AI108" s="14" t="str">
        <f>IFERROR(INDEX(WRstats3[Targets],MATCH(WRmatchups[[#This Row],[Name]],WRstats3[Player],0)),"0")</f>
        <v>0</v>
      </c>
      <c r="AJ108" s="14">
        <f>IFERROR(INDEX(WRstats1[Rec],MATCH(WRmatchups[[#This Row],[Name]],WRstats1[Player],0)),"0")</f>
        <v>1.0509999999999999</v>
      </c>
      <c r="AK108" s="14" t="str">
        <f>IFERROR(INDEX(WRstats2[Rec],MATCH(WRmatchups[[#This Row],[Name]],WRstats2[Player],0)),"0")</f>
        <v>0</v>
      </c>
      <c r="AL108" s="14" t="str">
        <f>IFERROR(INDEX(WRstats3[Rec],MATCH(WRmatchups[[#This Row],[Name]],WRstats3[Player],0)),"0")</f>
        <v>0</v>
      </c>
      <c r="AM108" s="32">
        <f>IFERROR(INDEX(WRallowed[Rec],MATCH(WRmatchups[[#This Row],[Opp]],WRallowed[Team],0)),"0")</f>
        <v>13.25</v>
      </c>
      <c r="AN108" s="14">
        <f>IFERROR(INDEX(WRstats1[Rec Yds],MATCH(WRmatchups[[#This Row],[Name]],WRstats1[Player],0)),"0")</f>
        <v>12.125</v>
      </c>
      <c r="AO108" s="14" t="str">
        <f>IFERROR(INDEX(WRstats2[RecYards],MATCH(WRmatchups[[#This Row],[Name]],WRstats2[Player],0)),"0")</f>
        <v>0</v>
      </c>
      <c r="AP108" s="14" t="str">
        <f>IFERROR(INDEX(WRstats3[RecYards],MATCH(WRmatchups[[#This Row],[Name]],WRstats3[Player],0)),"0")</f>
        <v>0</v>
      </c>
      <c r="AQ108" s="32">
        <f>IFERROR(INDEX(WRallowed[Yard],MATCH(WRmatchups[[#This Row],[Opp]],WRallowed[Team],0)),"0")</f>
        <v>153.5</v>
      </c>
      <c r="AR108" s="14">
        <f>IFERROR(INDEX(WRstats1[Rec TD],MATCH(WRmatchups[[#This Row],[Name]],WRstats1[Player],0)),"0")</f>
        <v>8.5000000000000006E-2</v>
      </c>
      <c r="AS108" s="14" t="str">
        <f>IFERROR(INDEX(WRstats2[RecTD],MATCH(WRmatchups[[#This Row],[Name]],WRstats2[Player],0)),"0")</f>
        <v>0</v>
      </c>
      <c r="AT108" s="14" t="str">
        <f>IFERROR(INDEX(WRstats3[RecTD],MATCH(WRmatchups[[#This Row],[Name]],WRstats3[Player],0)),"0")</f>
        <v>0</v>
      </c>
      <c r="AU108" s="32">
        <f>IFERROR(INDEX(WRallowed[TD],MATCH(WRmatchups[[#This Row],[Opp]],WRallowed[Team],0)),"0")*0.5</f>
        <v>0.375</v>
      </c>
      <c r="AV108" s="14" t="str">
        <f>IFERROR(INDEX(WRstats2[RushAtt],MATCH(WRmatchups[[#This Row],[Name]],WRstats2[Player],0)),"0")</f>
        <v>0</v>
      </c>
      <c r="AW108" s="14" t="str">
        <f>IFERROR(INDEX(WRstats3[RushATT],MATCH(WRmatchups[[#This Row],[Name]],WRstats3[Player],0)),"0")</f>
        <v>0</v>
      </c>
      <c r="AX108" s="14" t="str">
        <f>IFERROR(INDEX(WRstats2[RushYards],MATCH(WRmatchups[[#This Row],[Name]],WRstats2[Player],0)),"0")</f>
        <v>0</v>
      </c>
      <c r="AY108" s="14" t="str">
        <f>IFERROR(INDEX(WRstats3[RushYards],MATCH(WRmatchups[[#This Row],[Name]],WRstats3[Player],0)),"0")</f>
        <v>0</v>
      </c>
      <c r="AZ108" s="14" t="str">
        <f>IFERROR(INDEX(WRstats2[RushTD],MATCH(WRmatchups[[#This Row],[Name]],WRstats2[Player],0)),"0")</f>
        <v>0</v>
      </c>
      <c r="BA108" s="14" t="str">
        <f>IFERROR(INDEX(WRstats3[RushTD],MATCH(WRmatchups[[#This Row],[Name]],WRstats3[Player],0)),"0")</f>
        <v>0</v>
      </c>
      <c r="BB108" s="264">
        <f>IF(WRmatchups[[#This Row],[Yards]]&gt;=100,3,0)</f>
        <v>0</v>
      </c>
      <c r="BC108" s="191" t="str">
        <f>IFERROR(INDEX(#REF!,MATCH(WRmatchups[Name],#REF!,0)),"0")</f>
        <v>0</v>
      </c>
      <c r="BD108" s="494" t="e">
        <f>WRmatchups[[#This Row],[Targets]]/WRmatchups[[#This Row],[Salary]]*100</f>
        <v>#VALUE!</v>
      </c>
    </row>
    <row r="109" spans="1:56" ht="15" thickBot="1" x14ac:dyDescent="0.35">
      <c r="A109" s="37">
        <f>WRstats1!AL92</f>
        <v>2.6</v>
      </c>
      <c r="B109" s="34" t="str">
        <f>WRstats1!D92</f>
        <v>Paul Richardson</v>
      </c>
      <c r="C109" s="172">
        <f>IFERROR(INDEX(Salaries[DraftKings (Price)],MATCH(WRmatchups[[#This Row],[Name]],Salaries[Player],0)),"")</f>
        <v>3000</v>
      </c>
      <c r="D109" s="172">
        <f>IFERROR(INDEX(DK_Salary_Changes[WeekChange],MATCH(WRmatchups[[#This Row],[Name]],DK_Salary_Changes[Player],0)),"")</f>
        <v>0</v>
      </c>
      <c r="E109" s="14" t="str">
        <f>IFERROR(INDEX(Salaries[Team],MATCH(WRmatchups[[#This Row],[Name]],Salaries[Player],0)),"")</f>
        <v>SEA</v>
      </c>
      <c r="F109" s="460" t="str">
        <f>IFERROR(INDEX(Salaries[Opp],MATCH(WRmatchups[[#This Row],[Team]],Salaries[Team],0)),"")</f>
        <v>@NYJ</v>
      </c>
      <c r="G109" s="476" t="str">
        <f>IFERROR(INDEX(WRYTD[Rec],MATCH(WRmatchups[Name],WRYTD[Player],0)),"0")</f>
        <v>0</v>
      </c>
      <c r="H109" s="458">
        <f>IFERROR(INDEX(targettracker54[TTL],MATCH(WRmatchups[Name],targettracker54[Name],0)),"")</f>
        <v>8</v>
      </c>
      <c r="I109" s="475" t="str">
        <f>IFERROR(INDEX(WRYTD[Rec Yds],MATCH(WRmatchups[Name],WRYTD[Player],0)),"0")</f>
        <v>0</v>
      </c>
      <c r="J109" s="477" t="str">
        <f>IFERROR(INDEX(WRYTD[Rec TD],MATCH(WRmatchups[Name],WRYTD[Player],0)),"0")</f>
        <v>0</v>
      </c>
      <c r="K109" s="473">
        <f>IFERROR(INDEX(Salaries[O/U],MATCH(WRmatchups[[#This Row],[Team]],Salaries[Team],0)),"")</f>
        <v>40.5</v>
      </c>
      <c r="L109" s="32">
        <f>IFERROR(INDEX(Salaries[Team O/U],MATCH(WRmatchups[[#This Row],[Team]],Salaries[Team],0)),"")</f>
        <v>21</v>
      </c>
      <c r="M109" s="417">
        <f>IFERROR(INDEX(Salaries[Spread],MATCH(WRmatchups[[#This Row],[Team]],Salaries[Team],0)),"")</f>
        <v>-1.5</v>
      </c>
      <c r="N109" s="424">
        <f>IFERROR(INDEX(WRallowed[DVP],MATCH(WRmatchups[[#This Row],[Opp]],WRallowed[Team],0)),IFERROR(INDEX(WRallowed[DVP],MATCH(WRmatchups[[#This Row],[Opp]],WRallowed[Opp],0)),""))</f>
        <v>17</v>
      </c>
      <c r="O109" s="17">
        <f>IFERROR(INDEX(YAtCData[YAtC],MATCH(WRmatchups[[#This Row],[Name]],YAtCData[Player],0)),"0")</f>
        <v>39</v>
      </c>
      <c r="P109" s="497">
        <f>IFERROR(INDEX(YAtCData[YAtC/Rec],MATCH(WRmatchups[[#This Row],[Name]],YAtCData[Player],0)),"0")</f>
        <v>9.75</v>
      </c>
      <c r="Q109" s="17">
        <f>IFERROR(INDEX(YAtCData[YAC],MATCH(WRmatchups[[#This Row],[Name]],YAtCData[Player],0)),"0")</f>
        <v>7</v>
      </c>
      <c r="R109" s="497">
        <f>IFERROR(INDEX(YACDATA[YAC per Reception],MATCH(WRmatchups[[#This Row],[Name]],YACDATA[Player],0)),"0")</f>
        <v>1.8</v>
      </c>
      <c r="S109" s="418">
        <f>AVERAGE(WRmatchups[[#This Row],[Tar1]:[Tar3]])</f>
        <v>0.9</v>
      </c>
      <c r="T109" s="464">
        <f>AVERAGE(WRmatchups[[#This Row],[Rec1]:[Rec3]])</f>
        <v>1.0706666666666667</v>
      </c>
      <c r="U109" s="468">
        <f>SUM(WRmatchups[[#This Row],[Rec4]]/WRmatchups[[#This Row],[Targets2]])</f>
        <v>1.1896296296296296</v>
      </c>
      <c r="V109" s="417">
        <f>AVERAGE(WRmatchups[[#This Row],[Yards1]:[Yards3]])</f>
        <v>13.782333333333334</v>
      </c>
      <c r="W109" s="461">
        <f>SUM(WRmatchups[[#This Row],[Yards]]/WRmatchups[[#This Row],[Targets2]])</f>
        <v>15.313703703703704</v>
      </c>
      <c r="X109" s="32">
        <f>AVERAGE(WRmatchups[[#This Row],[TD1]:[TD3]])</f>
        <v>5.0500000000000003E-2</v>
      </c>
      <c r="Y109" s="14">
        <f>_xlfn.RANK.EQ(WRmatchups[[#This Row],[Projection]],WRmatchups[Projection],0)</f>
        <v>99</v>
      </c>
      <c r="Z109" s="19">
        <f>SUM(WRmatchups[[#This Row],[Yards]]*0.1)+(WRmatchups[[#This Row],[RecTD5]]*6)+(WRmatchups[[#This Row],[Rec4]]*1)+(WRmatchups[[#This Row],[100+]])</f>
        <v>2.7519</v>
      </c>
      <c r="AA109" s="8">
        <f>_xlfn.RANK.EQ(WRmatchups[[#This Row],[$/FP]],WRmatchups[$/FP],1)</f>
        <v>100</v>
      </c>
      <c r="AB109" s="23">
        <f>SUM(WRmatchups[[#This Row],[Salary]]/WRmatchups[[#This Row],[Projection]])</f>
        <v>1090.1558922925979</v>
      </c>
      <c r="AC109" s="241">
        <f>_xlfn.RANK.EQ(WRmatchups[[#This Row],[Average]],WRmatchups[Average],1)</f>
        <v>100</v>
      </c>
      <c r="AD109" s="241">
        <f>AVERAGE(WRmatchups[[#This Row],[Proj Rank]],WRmatchups[[#This Row],[Value Rank]])</f>
        <v>99.5</v>
      </c>
      <c r="AE109" s="210">
        <f>WRmatchups[[#This Row],[Salary]]/50000</f>
        <v>0.06</v>
      </c>
      <c r="AF109" s="214"/>
      <c r="AG109" s="14">
        <f>IFERROR(INDEX(WRstats3[Targets],MATCH(WRmatchups[[#This Row],[Name]],WRstats3[Player],0)),"0")</f>
        <v>0.9</v>
      </c>
      <c r="AH109" s="14" t="str">
        <f>IFERROR(INDEX(WRstats2[Targets],MATCH(WRmatchups[[#This Row],[Name]],WRstats2[Player],0)),"0")</f>
        <v>0</v>
      </c>
      <c r="AI109" s="14">
        <f>IFERROR(INDEX(WRstats3[Targets],MATCH(WRmatchups[[#This Row],[Name]],WRstats3[Player],0)),"0")</f>
        <v>0.9</v>
      </c>
      <c r="AJ109" s="14">
        <f>IFERROR(INDEX(WRstats1[Rec],MATCH(WRmatchups[[#This Row],[Name]],WRstats1[Player],0)),"0")</f>
        <v>1.1120000000000001</v>
      </c>
      <c r="AK109" s="14">
        <f>IFERROR(INDEX(WRstats2[Rec],MATCH(WRmatchups[[#This Row],[Name]],WRstats2[Player],0)),"0")</f>
        <v>1.2</v>
      </c>
      <c r="AL109" s="14">
        <f>IFERROR(INDEX(WRstats3[Rec],MATCH(WRmatchups[[#This Row],[Name]],WRstats3[Player],0)),"0")</f>
        <v>0.9</v>
      </c>
      <c r="AM109" s="32" t="str">
        <f>IFERROR(INDEX(WRallowed[Rec],MATCH(WRmatchups[[#This Row],[Opp]],WRallowed[Team],0)),"0")</f>
        <v>0</v>
      </c>
      <c r="AN109" s="14">
        <f>IFERROR(INDEX(WRstats1[Rec Yds],MATCH(WRmatchups[[#This Row],[Name]],WRstats1[Player],0)),"0")</f>
        <v>14.147</v>
      </c>
      <c r="AO109" s="14">
        <f>IFERROR(INDEX(WRstats2[RecYards],MATCH(WRmatchups[[#This Row],[Name]],WRstats2[Player],0)),"0")</f>
        <v>16.2</v>
      </c>
      <c r="AP109" s="14">
        <f>IFERROR(INDEX(WRstats3[RecYards],MATCH(WRmatchups[[#This Row],[Name]],WRstats3[Player],0)),"0")</f>
        <v>11</v>
      </c>
      <c r="AQ109" s="32" t="str">
        <f>IFERROR(INDEX(WRallowed[Yard],MATCH(WRmatchups[[#This Row],[Opp]],WRallowed[Team],0)),"0")</f>
        <v>0</v>
      </c>
      <c r="AR109" s="14">
        <f>IFERROR(INDEX(WRstats1[Rec TD],MATCH(WRmatchups[[#This Row],[Name]],WRstats1[Player],0)),"0")</f>
        <v>0.10100000000000001</v>
      </c>
      <c r="AS109" s="14" t="str">
        <f>IFERROR(INDEX(WRstats2[RecTD],MATCH(WRmatchups[[#This Row],[Name]],WRstats2[Player],0)),"0")</f>
        <v>0</v>
      </c>
      <c r="AT109" s="14">
        <f>IFERROR(INDEX(WRstats3[RecTD],MATCH(WRmatchups[[#This Row],[Name]],WRstats3[Player],0)),"0")</f>
        <v>0</v>
      </c>
      <c r="AU109" s="32">
        <f>IFERROR(INDEX(WRallowed[TD],MATCH(WRmatchups[[#This Row],[Opp]],WRallowed[Team],0)),"0")*0.5</f>
        <v>0</v>
      </c>
      <c r="AV109" s="14" t="str">
        <f>IFERROR(INDEX(WRstats2[RushAtt],MATCH(WRmatchups[[#This Row],[Name]],WRstats2[Player],0)),"0")</f>
        <v>0</v>
      </c>
      <c r="AW109" s="14">
        <f>IFERROR(INDEX(WRstats3[RushATT],MATCH(WRmatchups[[#This Row],[Name]],WRstats3[Player],0)),"0")</f>
        <v>0</v>
      </c>
      <c r="AX109" s="14" t="str">
        <f>IFERROR(INDEX(WRstats2[RushYards],MATCH(WRmatchups[[#This Row],[Name]],WRstats2[Player],0)),"0")</f>
        <v>0</v>
      </c>
      <c r="AY109" s="14">
        <f>IFERROR(INDEX(WRstats3[RushYards],MATCH(WRmatchups[[#This Row],[Name]],WRstats3[Player],0)),"0")</f>
        <v>0</v>
      </c>
      <c r="AZ109" s="14" t="str">
        <f>IFERROR(INDEX(WRstats2[RushTD],MATCH(WRmatchups[[#This Row],[Name]],WRstats2[Player],0)),"0")</f>
        <v>0</v>
      </c>
      <c r="BA109" s="14">
        <f>IFERROR(INDEX(WRstats3[RushTD],MATCH(WRmatchups[[#This Row],[Name]],WRstats3[Player],0)),"0")</f>
        <v>0</v>
      </c>
      <c r="BB109" s="264">
        <f>IF(WRmatchups[[#This Row],[Yards]]&gt;=100,3,0)</f>
        <v>0</v>
      </c>
      <c r="BC109" s="191" t="str">
        <f>IFERROR(INDEX(#REF!,MATCH(WRmatchups[Name],#REF!,0)),"0")</f>
        <v>0</v>
      </c>
      <c r="BD109" s="494">
        <f>WRmatchups[[#This Row],[Targets]]/WRmatchups[[#This Row],[Salary]]*100</f>
        <v>0.26666666666666666</v>
      </c>
    </row>
    <row r="110" spans="1:56" ht="15" thickBot="1" x14ac:dyDescent="0.35">
      <c r="A110" s="37">
        <f>WRstats1!AL116</f>
        <v>0.6</v>
      </c>
      <c r="B110" s="34" t="str">
        <f>WRstats1!D116</f>
        <v>Quan Bray</v>
      </c>
      <c r="C110" s="172">
        <f>IFERROR(INDEX(Salaries[DraftKings (Price)],MATCH(WRmatchups[[#This Row],[Name]],Salaries[Player],0)),"")</f>
        <v>3000</v>
      </c>
      <c r="D110" s="172">
        <f>IFERROR(INDEX(DK_Salary_Changes[WeekChange],MATCH(WRmatchups[[#This Row],[Name]],DK_Salary_Changes[Player],0)),"")</f>
        <v>0</v>
      </c>
      <c r="E110" s="14" t="str">
        <f>IFERROR(INDEX(Salaries[Team],MATCH(WRmatchups[[#This Row],[Name]],Salaries[Player],0)),"")</f>
        <v>IND</v>
      </c>
      <c r="F110" s="460" t="str">
        <f>IFERROR(INDEX(Salaries[Opp],MATCH(WRmatchups[[#This Row],[Team]],Salaries[Team],0)),"")</f>
        <v>@JAX</v>
      </c>
      <c r="G110" s="476" t="str">
        <f>IFERROR(INDEX(WRYTD[Rec],MATCH(WRmatchups[Name],WRYTD[Player],0)),"0")</f>
        <v>0</v>
      </c>
      <c r="H110" s="458">
        <f>IFERROR(INDEX(targettracker54[TTL],MATCH(WRmatchups[Name],targettracker54[Name],0)),"")</f>
        <v>1</v>
      </c>
      <c r="I110" s="475" t="str">
        <f>IFERROR(INDEX(WRYTD[Rec Yds],MATCH(WRmatchups[Name],WRYTD[Player],0)),"0")</f>
        <v>0</v>
      </c>
      <c r="J110" s="477" t="str">
        <f>IFERROR(INDEX(WRYTD[Rec TD],MATCH(WRmatchups[Name],WRYTD[Player],0)),"0")</f>
        <v>0</v>
      </c>
      <c r="K110" s="473">
        <f>IFERROR(INDEX(Salaries[O/U],MATCH(WRmatchups[[#This Row],[Team]],Salaries[Team],0)),"")</f>
        <v>49.5</v>
      </c>
      <c r="L110" s="32">
        <f>IFERROR(INDEX(Salaries[Team O/U],MATCH(WRmatchups[[#This Row],[Team]],Salaries[Team],0)),"")</f>
        <v>26</v>
      </c>
      <c r="M110" s="417">
        <f>IFERROR(INDEX(Salaries[Spread],MATCH(WRmatchups[[#This Row],[Team]],Salaries[Team],0)),"")</f>
        <v>-2.5</v>
      </c>
      <c r="N110" s="424">
        <f>IFERROR(INDEX(WRallowed[DVP],MATCH(WRmatchups[[#This Row],[Opp]],WRallowed[Team],0)),IFERROR(INDEX(WRallowed[DVP],MATCH(WRmatchups[[#This Row],[Opp]],WRallowed[Opp],0)),""))</f>
        <v>16</v>
      </c>
      <c r="O110" s="17" t="str">
        <f>IFERROR(INDEX(YAtCData[YAtC],MATCH(WRmatchups[[#This Row],[Name]],YAtCData[Player],0)),"0")</f>
        <v>0</v>
      </c>
      <c r="P110" s="497" t="str">
        <f>IFERROR(INDEX(YAtCData[YAtC/Rec],MATCH(WRmatchups[[#This Row],[Name]],YAtCData[Player],0)),"0")</f>
        <v>0</v>
      </c>
      <c r="Q110" s="17" t="str">
        <f>IFERROR(INDEX(YAtCData[YAC],MATCH(WRmatchups[[#This Row],[Name]],YAtCData[Player],0)),"0")</f>
        <v>0</v>
      </c>
      <c r="R110" s="497">
        <f>IFERROR(INDEX(YACDATA[YAC per Reception],MATCH(WRmatchups[[#This Row],[Name]],YACDATA[Player],0)),"0")</f>
        <v>2</v>
      </c>
      <c r="S110" s="431">
        <f>AVERAGE(WRmatchups[[#This Row],[Tar1]:[Tar3]])</f>
        <v>1.8</v>
      </c>
      <c r="T110" s="465">
        <f>AVERAGE(WRmatchups[[#This Row],[Rec1]:[Rec3]])</f>
        <v>0.95000000000000007</v>
      </c>
      <c r="U110" s="468">
        <f>SUM(WRmatchups[[#This Row],[Rec4]]/WRmatchups[[#This Row],[Targets2]])</f>
        <v>0.52777777777777779</v>
      </c>
      <c r="V110" s="417">
        <f>AVERAGE(WRmatchups[[#This Row],[Yards1]:[Yards3]])</f>
        <v>11.849000000000002</v>
      </c>
      <c r="W110" s="461">
        <f>SUM(WRmatchups[[#This Row],[Yards]]/WRmatchups[[#This Row],[Targets2]])</f>
        <v>6.5827777777777783</v>
      </c>
      <c r="X110" s="32">
        <f>AVERAGE(WRmatchups[[#This Row],[TD1]:[TD3]])</f>
        <v>6.9500000000000006E-2</v>
      </c>
      <c r="Y110" s="14">
        <f>_xlfn.RANK.EQ(WRmatchups[[#This Row],[Projection]],WRmatchups[Projection],0)</f>
        <v>100</v>
      </c>
      <c r="Z110" s="45">
        <f>SUM(WRmatchups[[#This Row],[Yards]]*0.1)+(WRmatchups[[#This Row],[RecTD5]]*6)+(WRmatchups[[#This Row],[Rec4]]*1)+(WRmatchups[[#This Row],[100+]])</f>
        <v>2.5519000000000003</v>
      </c>
      <c r="AA110" s="346">
        <f>_xlfn.RANK.EQ(WRmatchups[[#This Row],[$/FP]],WRmatchups[$/FP],1)</f>
        <v>101</v>
      </c>
      <c r="AB110" s="199">
        <f>SUM(WRmatchups[[#This Row],[Salary]]/WRmatchups[[#This Row],[Projection]])</f>
        <v>1175.5946549629687</v>
      </c>
      <c r="AC110" s="316">
        <f>_xlfn.RANK.EQ(WRmatchups[[#This Row],[Average]],WRmatchups[Average],1)</f>
        <v>101</v>
      </c>
      <c r="AD110" s="316">
        <f>AVERAGE(WRmatchups[[#This Row],[Proj Rank]],WRmatchups[[#This Row],[Value Rank]])</f>
        <v>100.5</v>
      </c>
      <c r="AE110" s="214">
        <f>WRmatchups[[#This Row],[Salary]]/50000</f>
        <v>0.06</v>
      </c>
      <c r="AF110" s="214"/>
      <c r="AG110" s="14">
        <f>IFERROR(INDEX(WRstats3[Targets],MATCH(WRmatchups[[#This Row],[Name]],WRstats3[Player],0)),"0")</f>
        <v>1.8</v>
      </c>
      <c r="AH110" s="14" t="str">
        <f>IFERROR(INDEX(WRstats2[Targets],MATCH(WRmatchups[[#This Row],[Name]],WRstats2[Player],0)),"0")</f>
        <v>0</v>
      </c>
      <c r="AI110" s="14">
        <f>IFERROR(INDEX(WRstats3[Targets],MATCH(WRmatchups[[#This Row],[Name]],WRstats3[Player],0)),"0")</f>
        <v>1.8</v>
      </c>
      <c r="AJ110" s="14">
        <f>IFERROR(INDEX(WRstats1[Rec],MATCH(WRmatchups[[#This Row],[Name]],WRstats1[Player],0)),"0")</f>
        <v>0.25</v>
      </c>
      <c r="AK110" s="14">
        <f>IFERROR(INDEX(WRstats2[Rec],MATCH(WRmatchups[[#This Row],[Name]],WRstats2[Player],0)),"0")</f>
        <v>1.5</v>
      </c>
      <c r="AL110" s="14">
        <f>IFERROR(INDEX(WRstats3[Rec],MATCH(WRmatchups[[#This Row],[Name]],WRstats3[Player],0)),"0")</f>
        <v>1.1000000000000001</v>
      </c>
      <c r="AM110" s="32" t="str">
        <f>IFERROR(INDEX(WRallowed[Rec],MATCH(WRmatchups[[#This Row],[Opp]],WRallowed[Team],0)),"0")</f>
        <v>0</v>
      </c>
      <c r="AN110" s="14">
        <f>IFERROR(INDEX(WRstats1[Rec Yds],MATCH(WRmatchups[[#This Row],[Name]],WRstats1[Player],0)),"0")</f>
        <v>2.847</v>
      </c>
      <c r="AO110" s="14">
        <f>IFERROR(INDEX(WRstats2[RecYards],MATCH(WRmatchups[[#This Row],[Name]],WRstats2[Player],0)),"0")</f>
        <v>18.100000000000001</v>
      </c>
      <c r="AP110" s="14">
        <f>IFERROR(INDEX(WRstats3[RecYards],MATCH(WRmatchups[[#This Row],[Name]],WRstats3[Player],0)),"0")</f>
        <v>14.6</v>
      </c>
      <c r="AQ110" s="32" t="str">
        <f>IFERROR(INDEX(WRallowed[Yard],MATCH(WRmatchups[[#This Row],[Opp]],WRallowed[Team],0)),"0")</f>
        <v>0</v>
      </c>
      <c r="AR110" s="14">
        <f>IFERROR(INDEX(WRstats1[Rec TD],MATCH(WRmatchups[[#This Row],[Name]],WRstats1[Player],0)),"0")</f>
        <v>3.9E-2</v>
      </c>
      <c r="AS110" s="14" t="str">
        <f>IFERROR(INDEX(WRstats2[RecTD],MATCH(WRmatchups[[#This Row],[Name]],WRstats2[Player],0)),"0")</f>
        <v>0.1</v>
      </c>
      <c r="AT110" s="14">
        <f>IFERROR(INDEX(WRstats3[RecTD],MATCH(WRmatchups[[#This Row],[Name]],WRstats3[Player],0)),"0")</f>
        <v>0.1</v>
      </c>
      <c r="AU110" s="32">
        <f>IFERROR(INDEX(WRallowed[TD],MATCH(WRmatchups[[#This Row],[Opp]],WRallowed[Team],0)),"0")*0.5</f>
        <v>0</v>
      </c>
      <c r="AV110" s="14" t="str">
        <f>IFERROR(INDEX(WRstats2[RushAtt],MATCH(WRmatchups[[#This Row],[Name]],WRstats2[Player],0)),"0")</f>
        <v>0.1</v>
      </c>
      <c r="AW110" s="14">
        <f>IFERROR(INDEX(WRstats3[RushATT],MATCH(WRmatchups[[#This Row],[Name]],WRstats3[Player],0)),"0")</f>
        <v>0</v>
      </c>
      <c r="AX110" s="14" t="str">
        <f>IFERROR(INDEX(WRstats2[RushYards],MATCH(WRmatchups[[#This Row],[Name]],WRstats2[Player],0)),"0")</f>
        <v>0</v>
      </c>
      <c r="AY110" s="14">
        <f>IFERROR(INDEX(WRstats3[RushYards],MATCH(WRmatchups[[#This Row],[Name]],WRstats3[Player],0)),"0")</f>
        <v>0</v>
      </c>
      <c r="AZ110" s="14" t="str">
        <f>IFERROR(INDEX(WRstats2[RushTD],MATCH(WRmatchups[[#This Row],[Name]],WRstats2[Player],0)),"0")</f>
        <v>0</v>
      </c>
      <c r="BA110" s="14">
        <f>IFERROR(INDEX(WRstats3[RushTD],MATCH(WRmatchups[[#This Row],[Name]],WRstats3[Player],0)),"0")</f>
        <v>0</v>
      </c>
      <c r="BB110" s="264">
        <f>IF(WRmatchups[[#This Row],[Yards]]&gt;=100,3,0)</f>
        <v>0</v>
      </c>
      <c r="BC110" s="191" t="str">
        <f>IFERROR(INDEX(#REF!,MATCH(WRmatchups[Name],#REF!,0)),"0")</f>
        <v>0</v>
      </c>
      <c r="BD110" s="494">
        <f>WRmatchups[[#This Row],[Targets]]/WRmatchups[[#This Row],[Salary]]*100</f>
        <v>3.3333333333333333E-2</v>
      </c>
    </row>
    <row r="111" spans="1:56" ht="15" thickBot="1" x14ac:dyDescent="0.35">
      <c r="A111" s="37">
        <f>WRstats1!AL93</f>
        <v>2.5</v>
      </c>
      <c r="B111" s="34" t="str">
        <f>WRstats1!D93</f>
        <v>Andre Johnson</v>
      </c>
      <c r="C111" s="172">
        <f>IFERROR(INDEX(Salaries[DraftKings (Price)],MATCH(WRmatchups[[#This Row],[Name]],Salaries[Player],0)),"")</f>
        <v>3200</v>
      </c>
      <c r="D111" s="172">
        <f>IFERROR(INDEX(DK_Salary_Changes[WeekChange],MATCH(WRmatchups[[#This Row],[Name]],DK_Salary_Changes[Player],0)),"")</f>
        <v>-200</v>
      </c>
      <c r="E111" s="14" t="str">
        <f>IFERROR(INDEX(Salaries[Team],MATCH(WRmatchups[[#This Row],[Name]],Salaries[Player],0)),"")</f>
        <v>TEN</v>
      </c>
      <c r="F111" s="460" t="str">
        <f>IFERROR(INDEX(Salaries[Opp],MATCH(WRmatchups[[#This Row],[Team]],Salaries[Team],0)),"")</f>
        <v>@HOU</v>
      </c>
      <c r="G111" s="476" t="str">
        <f>IFERROR(INDEX(WRYTD[Rec],MATCH(WRmatchups[Name],WRYTD[Player],0)),"0")</f>
        <v>0</v>
      </c>
      <c r="H111" s="458">
        <f>IFERROR(INDEX(targettracker54[TTL],MATCH(WRmatchups[Name],targettracker54[Name],0)),"")</f>
        <v>12</v>
      </c>
      <c r="I111" s="475" t="str">
        <f>IFERROR(INDEX(WRYTD[Rec Yds],MATCH(WRmatchups[Name],WRYTD[Player],0)),"0")</f>
        <v>0</v>
      </c>
      <c r="J111" s="477" t="str">
        <f>IFERROR(INDEX(WRYTD[Rec TD],MATCH(WRmatchups[Name],WRYTD[Player],0)),"0")</f>
        <v>0</v>
      </c>
      <c r="K111" s="473">
        <f>IFERROR(INDEX(Salaries[O/U],MATCH(WRmatchups[[#This Row],[Team]],Salaries[Team],0)),"")</f>
        <v>40.5</v>
      </c>
      <c r="L111" s="32">
        <f>IFERROR(INDEX(Salaries[Team O/U],MATCH(WRmatchups[[#This Row],[Team]],Salaries[Team],0)),"")</f>
        <v>17</v>
      </c>
      <c r="M111" s="417">
        <f>IFERROR(INDEX(Salaries[Spread],MATCH(WRmatchups[[#This Row],[Team]],Salaries[Team],0)),"")</f>
        <v>6.5</v>
      </c>
      <c r="N111" s="424">
        <f>IFERROR(INDEX(WRallowed[DVP],MATCH(WRmatchups[[#This Row],[Opp]],WRallowed[Team],0)),IFERROR(INDEX(WRallowed[DVP],MATCH(WRmatchups[[#This Row],[Opp]],WRallowed[Opp],0)),""))</f>
        <v>6</v>
      </c>
      <c r="O111" s="17">
        <f>IFERROR(INDEX(YAtCData[YAtC],MATCH(WRmatchups[[#This Row],[Name]],YAtCData[Player],0)),"0")</f>
        <v>38</v>
      </c>
      <c r="P111" s="497">
        <f>IFERROR(INDEX(YAtCData[YAtC/Rec],MATCH(WRmatchups[[#This Row],[Name]],YAtCData[Player],0)),"0")</f>
        <v>9.5</v>
      </c>
      <c r="Q111" s="17">
        <f>IFERROR(INDEX(YAtCData[YAC],MATCH(WRmatchups[[#This Row],[Name]],YAtCData[Player],0)),"0")</f>
        <v>1</v>
      </c>
      <c r="R111" s="497">
        <f>IFERROR(INDEX(YACDATA[YAC per Reception],MATCH(WRmatchups[[#This Row],[Name]],YACDATA[Player],0)),"0")</f>
        <v>0.3</v>
      </c>
      <c r="S111" s="431">
        <f>AVERAGE(WRmatchups[[#This Row],[Tar1]:[Tar3]])</f>
        <v>1.5</v>
      </c>
      <c r="T111" s="465">
        <f>AVERAGE(WRmatchups[[#This Row],[Rec1]:[Rec3]])</f>
        <v>0.9325</v>
      </c>
      <c r="U111" s="468">
        <f>SUM(WRmatchups[[#This Row],[Rec4]]/WRmatchups[[#This Row],[Targets2]])</f>
        <v>0.6216666666666667</v>
      </c>
      <c r="V111" s="417">
        <f>AVERAGE(WRmatchups[[#This Row],[Yards1]:[Yards3]])</f>
        <v>10.455</v>
      </c>
      <c r="W111" s="461">
        <f>SUM(WRmatchups[[#This Row],[Yards]]/WRmatchups[[#This Row],[Targets2]])</f>
        <v>6.97</v>
      </c>
      <c r="X111" s="32">
        <f>AVERAGE(WRmatchups[[#This Row],[TD1]:[TD3]])</f>
        <v>6.8500000000000005E-2</v>
      </c>
      <c r="Y111" s="14">
        <f>_xlfn.RANK.EQ(WRmatchups[[#This Row],[Projection]],WRmatchups[Projection],0)</f>
        <v>101</v>
      </c>
      <c r="Z111" s="45">
        <f>SUM(WRmatchups[[#This Row],[Yards]]*0.1)+(WRmatchups[[#This Row],[RecTD5]]*6)+(WRmatchups[[#This Row],[Rec4]]*1)+(WRmatchups[[#This Row],[100+]])</f>
        <v>2.3890000000000002</v>
      </c>
      <c r="AA111" s="346">
        <f>_xlfn.RANK.EQ(WRmatchups[[#This Row],[$/FP]],WRmatchups[$/FP],1)</f>
        <v>103</v>
      </c>
      <c r="AB111" s="199">
        <f>SUM(WRmatchups[[#This Row],[Salary]]/WRmatchups[[#This Row],[Projection]])</f>
        <v>1339.4725826705733</v>
      </c>
      <c r="AC111" s="316">
        <f>_xlfn.RANK.EQ(WRmatchups[[#This Row],[Average]],WRmatchups[Average],1)</f>
        <v>102</v>
      </c>
      <c r="AD111" s="316">
        <f>AVERAGE(WRmatchups[[#This Row],[Proj Rank]],WRmatchups[[#This Row],[Value Rank]])</f>
        <v>102</v>
      </c>
      <c r="AE111" s="214">
        <f>WRmatchups[[#This Row],[Salary]]/50000</f>
        <v>6.4000000000000001E-2</v>
      </c>
      <c r="AF111" s="214"/>
      <c r="AG111" s="14">
        <f>IFERROR(INDEX(WRstats3[Targets],MATCH(WRmatchups[[#This Row],[Name]],WRstats3[Player],0)),"0")</f>
        <v>1.5</v>
      </c>
      <c r="AH111" s="14" t="str">
        <f>IFERROR(INDEX(WRstats2[Targets],MATCH(WRmatchups[[#This Row],[Name]],WRstats2[Player],0)),"0")</f>
        <v>0</v>
      </c>
      <c r="AI111" s="14">
        <f>IFERROR(INDEX(WRstats3[Targets],MATCH(WRmatchups[[#This Row],[Name]],WRstats3[Player],0)),"0")</f>
        <v>1.5</v>
      </c>
      <c r="AJ111" s="14">
        <f>IFERROR(INDEX(WRstats1[Rec],MATCH(WRmatchups[[#This Row],[Name]],WRstats1[Player],0)),"0")</f>
        <v>1.0649999999999999</v>
      </c>
      <c r="AK111" s="14" t="str">
        <f>IFERROR(INDEX(WRstats2[Rec],MATCH(WRmatchups[[#This Row],[Name]],WRstats2[Player],0)),"0")</f>
        <v>0</v>
      </c>
      <c r="AL111" s="14">
        <f>IFERROR(INDEX(WRstats3[Rec],MATCH(WRmatchups[[#This Row],[Name]],WRstats3[Player],0)),"0")</f>
        <v>0.8</v>
      </c>
      <c r="AM111" s="32" t="str">
        <f>IFERROR(INDEX(WRallowed[Rec],MATCH(WRmatchups[[#This Row],[Opp]],WRallowed[Team],0)),"0")</f>
        <v>0</v>
      </c>
      <c r="AN111" s="14">
        <f>IFERROR(INDEX(WRstats1[Rec Yds],MATCH(WRmatchups[[#This Row],[Name]],WRstats1[Player],0)),"0")</f>
        <v>11.41</v>
      </c>
      <c r="AO111" s="14" t="str">
        <f>IFERROR(INDEX(WRstats2[RecYards],MATCH(WRmatchups[[#This Row],[Name]],WRstats2[Player],0)),"0")</f>
        <v>0</v>
      </c>
      <c r="AP111" s="14">
        <f>IFERROR(INDEX(WRstats3[RecYards],MATCH(WRmatchups[[#This Row],[Name]],WRstats3[Player],0)),"0")</f>
        <v>9.5</v>
      </c>
      <c r="AQ111" s="32" t="str">
        <f>IFERROR(INDEX(WRallowed[Yard],MATCH(WRmatchups[[#This Row],[Opp]],WRallowed[Team],0)),"0")</f>
        <v>0</v>
      </c>
      <c r="AR111" s="14">
        <f>IFERROR(INDEX(WRstats1[Rec TD],MATCH(WRmatchups[[#This Row],[Name]],WRstats1[Player],0)),"0")</f>
        <v>0.13700000000000001</v>
      </c>
      <c r="AS111" s="14" t="str">
        <f>IFERROR(INDEX(WRstats2[RecTD],MATCH(WRmatchups[[#This Row],[Name]],WRstats2[Player],0)),"0")</f>
        <v>0</v>
      </c>
      <c r="AT111" s="14">
        <f>IFERROR(INDEX(WRstats3[RecTD],MATCH(WRmatchups[[#This Row],[Name]],WRstats3[Player],0)),"0")</f>
        <v>0</v>
      </c>
      <c r="AU111" s="32">
        <f>IFERROR(INDEX(WRallowed[TD],MATCH(WRmatchups[[#This Row],[Opp]],WRallowed[Team],0)),"0")*0.5</f>
        <v>0</v>
      </c>
      <c r="AV111" s="14" t="str">
        <f>IFERROR(INDEX(WRstats2[RushAtt],MATCH(WRmatchups[[#This Row],[Name]],WRstats2[Player],0)),"0")</f>
        <v>0</v>
      </c>
      <c r="AW111" s="14">
        <f>IFERROR(INDEX(WRstats3[RushATT],MATCH(WRmatchups[[#This Row],[Name]],WRstats3[Player],0)),"0")</f>
        <v>0</v>
      </c>
      <c r="AX111" s="14" t="str">
        <f>IFERROR(INDEX(WRstats2[RushYards],MATCH(WRmatchups[[#This Row],[Name]],WRstats2[Player],0)),"0")</f>
        <v>0</v>
      </c>
      <c r="AY111" s="14">
        <f>IFERROR(INDEX(WRstats3[RushYards],MATCH(WRmatchups[[#This Row],[Name]],WRstats3[Player],0)),"0")</f>
        <v>0</v>
      </c>
      <c r="AZ111" s="14" t="str">
        <f>IFERROR(INDEX(WRstats2[RushTD],MATCH(WRmatchups[[#This Row],[Name]],WRstats2[Player],0)),"0")</f>
        <v>0</v>
      </c>
      <c r="BA111" s="14">
        <f>IFERROR(INDEX(WRstats3[RushTD],MATCH(WRmatchups[[#This Row],[Name]],WRstats3[Player],0)),"0")</f>
        <v>0</v>
      </c>
      <c r="BB111" s="264">
        <f>IF(WRmatchups[[#This Row],[Yards]]&gt;=100,3,0)</f>
        <v>0</v>
      </c>
      <c r="BC111" s="191" t="str">
        <f>IFERROR(INDEX(#REF!,MATCH(WRmatchups[Name],#REF!,0)),"0")</f>
        <v>0</v>
      </c>
      <c r="BD111" s="494">
        <f>WRmatchups[[#This Row],[Targets]]/WRmatchups[[#This Row],[Salary]]*100</f>
        <v>0.375</v>
      </c>
    </row>
    <row r="112" spans="1:56" ht="15" thickBot="1" x14ac:dyDescent="0.35">
      <c r="A112" s="37">
        <f>WRstats1!AL103</f>
        <v>1.9</v>
      </c>
      <c r="B112" s="34" t="str">
        <f>WRstats1!D103</f>
        <v>Cameron Meredith</v>
      </c>
      <c r="C112" s="172">
        <f>IFERROR(INDEX(Salaries[DraftKings (Price)],MATCH(WRmatchups[[#This Row],[Name]],Salaries[Player],0)),"")</f>
        <v>3000</v>
      </c>
      <c r="D112" s="172">
        <f>IFERROR(INDEX(DK_Salary_Changes[WeekChange],MATCH(WRmatchups[[#This Row],[Name]],DK_Salary_Changes[Player],0)),"")</f>
        <v>0</v>
      </c>
      <c r="E112" s="14" t="str">
        <f>IFERROR(INDEX(Salaries[Team],MATCH(WRmatchups[[#This Row],[Name]],Salaries[Player],0)),"")</f>
        <v>CHI</v>
      </c>
      <c r="F112" s="460" t="str">
        <f>IFERROR(INDEX(Salaries[Opp],MATCH(WRmatchups[[#This Row],[Team]],Salaries[Team],0)),"")</f>
        <v>DET</v>
      </c>
      <c r="G112" s="476" t="str">
        <f>IFERROR(INDEX(WRYTD[Rec],MATCH(WRmatchups[Name],WRYTD[Player],0)),"0")</f>
        <v>0</v>
      </c>
      <c r="H112" s="458">
        <f>IFERROR(INDEX(targettracker54[TTL],MATCH(WRmatchups[Name],targettracker54[Name],0)),"")</f>
        <v>3</v>
      </c>
      <c r="I112" s="475" t="str">
        <f>IFERROR(INDEX(WRYTD[Rec Yds],MATCH(WRmatchups[Name],WRYTD[Player],0)),"0")</f>
        <v>0</v>
      </c>
      <c r="J112" s="477" t="str">
        <f>IFERROR(INDEX(WRYTD[Rec TD],MATCH(WRmatchups[Name],WRYTD[Player],0)),"0")</f>
        <v>0</v>
      </c>
      <c r="K112" s="473">
        <f>IFERROR(INDEX(Salaries[O/U],MATCH(WRmatchups[[#This Row],[Team]],Salaries[Team],0)),"")</f>
        <v>46.5</v>
      </c>
      <c r="L112" s="32">
        <f>IFERROR(INDEX(Salaries[Team O/U],MATCH(WRmatchups[[#This Row],[Team]],Salaries[Team],0)),"")</f>
        <v>21.75</v>
      </c>
      <c r="M112" s="417">
        <f>IFERROR(INDEX(Salaries[Spread],MATCH(WRmatchups[[#This Row],[Team]],Salaries[Team],0)),"")</f>
        <v>3</v>
      </c>
      <c r="N112" s="424">
        <f>IFERROR(INDEX(WRallowed[DVP],MATCH(WRmatchups[[#This Row],[Opp]],WRallowed[Team],0)),IFERROR(INDEX(WRallowed[DVP],MATCH(WRmatchups[[#This Row],[Opp]],WRallowed[Opp],0)),""))</f>
        <v>15</v>
      </c>
      <c r="O112" s="17">
        <f>IFERROR(INDEX(YAtCData[YAtC],MATCH(WRmatchups[[#This Row],[Name]],YAtCData[Player],0)),"0")</f>
        <v>20</v>
      </c>
      <c r="P112" s="497">
        <f>IFERROR(INDEX(YAtCData[YAtC/Rec],MATCH(WRmatchups[[#This Row],[Name]],YAtCData[Player],0)),"0")</f>
        <v>10</v>
      </c>
      <c r="Q112" s="17">
        <f>IFERROR(INDEX(YAtCData[YAC],MATCH(WRmatchups[[#This Row],[Name]],YAtCData[Player],0)),"0")</f>
        <v>4</v>
      </c>
      <c r="R112" s="497">
        <f>IFERROR(INDEX(YACDATA[YAC per Reception],MATCH(WRmatchups[[#This Row],[Name]],YACDATA[Player],0)),"0")</f>
        <v>2</v>
      </c>
      <c r="S112" s="431" t="e">
        <f>AVERAGE(WRmatchups[[#This Row],[Tar1]:[Tar3]])</f>
        <v>#DIV/0!</v>
      </c>
      <c r="T112" s="465">
        <f>AVERAGE(WRmatchups[[#This Row],[Rec1]:[Rec3]])</f>
        <v>0.95599999999999996</v>
      </c>
      <c r="U112" s="468" t="e">
        <f>SUM(WRmatchups[[#This Row],[Rec4]]/WRmatchups[[#This Row],[Targets2]])</f>
        <v>#DIV/0!</v>
      </c>
      <c r="V112" s="417">
        <f>AVERAGE(WRmatchups[[#This Row],[Yards1]:[Yards3]])</f>
        <v>10.295999999999999</v>
      </c>
      <c r="W112" s="461" t="e">
        <f>SUM(WRmatchups[[#This Row],[Yards]]/WRmatchups[[#This Row],[Targets2]])</f>
        <v>#DIV/0!</v>
      </c>
      <c r="X112" s="32">
        <f>AVERAGE(WRmatchups[[#This Row],[TD1]:[TD3]])</f>
        <v>6.4000000000000001E-2</v>
      </c>
      <c r="Y112" s="14">
        <f>_xlfn.RANK.EQ(WRmatchups[[#This Row],[Projection]],WRmatchups[Projection],0)</f>
        <v>102</v>
      </c>
      <c r="Z112" s="45">
        <f>SUM(WRmatchups[[#This Row],[Yards]]*0.1)+(WRmatchups[[#This Row],[RecTD5]]*6)+(WRmatchups[[#This Row],[Rec4]]*1)+(WRmatchups[[#This Row],[100+]])</f>
        <v>2.3696000000000002</v>
      </c>
      <c r="AA112" s="346">
        <f>_xlfn.RANK.EQ(WRmatchups[[#This Row],[$/FP]],WRmatchups[$/FP],1)</f>
        <v>102</v>
      </c>
      <c r="AB112" s="199">
        <f>SUM(WRmatchups[[#This Row],[Salary]]/WRmatchups[[#This Row],[Projection]])</f>
        <v>1266.0364618501012</v>
      </c>
      <c r="AC112" s="316">
        <f>_xlfn.RANK.EQ(WRmatchups[[#This Row],[Average]],WRmatchups[Average],1)</f>
        <v>102</v>
      </c>
      <c r="AD112" s="316">
        <f>AVERAGE(WRmatchups[[#This Row],[Proj Rank]],WRmatchups[[#This Row],[Value Rank]])</f>
        <v>102</v>
      </c>
      <c r="AE112" s="214">
        <f>WRmatchups[[#This Row],[Salary]]/50000</f>
        <v>0.06</v>
      </c>
      <c r="AF112" s="214"/>
      <c r="AG112" s="14" t="str">
        <f>IFERROR(INDEX(WRstats3[Targets],MATCH(WRmatchups[[#This Row],[Name]],WRstats3[Player],0)),"0")</f>
        <v>0</v>
      </c>
      <c r="AH112" s="14" t="str">
        <f>IFERROR(INDEX(WRstats2[Targets],MATCH(WRmatchups[[#This Row],[Name]],WRstats2[Player],0)),"0")</f>
        <v>0</v>
      </c>
      <c r="AI112" s="14" t="str">
        <f>IFERROR(INDEX(WRstats3[Targets],MATCH(WRmatchups[[#This Row],[Name]],WRstats3[Player],0)),"0")</f>
        <v>0</v>
      </c>
      <c r="AJ112" s="14">
        <f>IFERROR(INDEX(WRstats1[Rec],MATCH(WRmatchups[[#This Row],[Name]],WRstats1[Player],0)),"0")</f>
        <v>0.95599999999999996</v>
      </c>
      <c r="AK112" s="14" t="str">
        <f>IFERROR(INDEX(WRstats2[Rec],MATCH(WRmatchups[[#This Row],[Name]],WRstats2[Player],0)),"0")</f>
        <v>0</v>
      </c>
      <c r="AL112" s="14" t="str">
        <f>IFERROR(INDEX(WRstats3[Rec],MATCH(WRmatchups[[#This Row],[Name]],WRstats3[Player],0)),"0")</f>
        <v>0</v>
      </c>
      <c r="AM112" s="32">
        <f>IFERROR(INDEX(WRallowed[Rec],MATCH(WRmatchups[[#This Row],[Opp]],WRallowed[Team],0)),"0")</f>
        <v>11.5625</v>
      </c>
      <c r="AN112" s="14">
        <f>IFERROR(INDEX(WRstats1[Rec Yds],MATCH(WRmatchups[[#This Row],[Name]],WRstats1[Player],0)),"0")</f>
        <v>10.295999999999999</v>
      </c>
      <c r="AO112" s="14" t="str">
        <f>IFERROR(INDEX(WRstats2[RecYards],MATCH(WRmatchups[[#This Row],[Name]],WRstats2[Player],0)),"0")</f>
        <v>0</v>
      </c>
      <c r="AP112" s="14" t="str">
        <f>IFERROR(INDEX(WRstats3[RecYards],MATCH(WRmatchups[[#This Row],[Name]],WRstats3[Player],0)),"0")</f>
        <v>0</v>
      </c>
      <c r="AQ112" s="32">
        <f>IFERROR(INDEX(WRallowed[Yard],MATCH(WRmatchups[[#This Row],[Opp]],WRallowed[Team],0)),"0")</f>
        <v>164.1875</v>
      </c>
      <c r="AR112" s="14">
        <f>IFERROR(INDEX(WRstats1[Rec TD],MATCH(WRmatchups[[#This Row],[Name]],WRstats1[Player],0)),"0")</f>
        <v>6.4000000000000001E-2</v>
      </c>
      <c r="AS112" s="14" t="str">
        <f>IFERROR(INDEX(WRstats2[RecTD],MATCH(WRmatchups[[#This Row],[Name]],WRstats2[Player],0)),"0")</f>
        <v>0</v>
      </c>
      <c r="AT112" s="14" t="str">
        <f>IFERROR(INDEX(WRstats3[RecTD],MATCH(WRmatchups[[#This Row],[Name]],WRstats3[Player],0)),"0")</f>
        <v>0</v>
      </c>
      <c r="AU112" s="32">
        <f>IFERROR(INDEX(WRallowed[TD],MATCH(WRmatchups[[#This Row],[Opp]],WRallowed[Team],0)),"0")*0.5</f>
        <v>0.65625</v>
      </c>
      <c r="AV112" s="14" t="str">
        <f>IFERROR(INDEX(WRstats2[RushAtt],MATCH(WRmatchups[[#This Row],[Name]],WRstats2[Player],0)),"0")</f>
        <v>0</v>
      </c>
      <c r="AW112" s="14" t="str">
        <f>IFERROR(INDEX(WRstats3[RushATT],MATCH(WRmatchups[[#This Row],[Name]],WRstats3[Player],0)),"0")</f>
        <v>0</v>
      </c>
      <c r="AX112" s="14" t="str">
        <f>IFERROR(INDEX(WRstats2[RushYards],MATCH(WRmatchups[[#This Row],[Name]],WRstats2[Player],0)),"0")</f>
        <v>0</v>
      </c>
      <c r="AY112" s="14" t="str">
        <f>IFERROR(INDEX(WRstats3[RushYards],MATCH(WRmatchups[[#This Row],[Name]],WRstats3[Player],0)),"0")</f>
        <v>0</v>
      </c>
      <c r="AZ112" s="14" t="str">
        <f>IFERROR(INDEX(WRstats2[RushTD],MATCH(WRmatchups[[#This Row],[Name]],WRstats2[Player],0)),"0")</f>
        <v>0</v>
      </c>
      <c r="BA112" s="14" t="str">
        <f>IFERROR(INDEX(WRstats3[RushTD],MATCH(WRmatchups[[#This Row],[Name]],WRstats3[Player],0)),"0")</f>
        <v>0</v>
      </c>
      <c r="BB112" s="264">
        <f>IF(WRmatchups[[#This Row],[Yards]]&gt;=100,3,0)</f>
        <v>0</v>
      </c>
      <c r="BC112" s="191" t="str">
        <f>IFERROR(INDEX(#REF!,MATCH(WRmatchups[Name],#REF!,0)),"0")</f>
        <v>0</v>
      </c>
      <c r="BD112" s="494">
        <f>WRmatchups[[#This Row],[Targets]]/WRmatchups[[#This Row],[Salary]]*100</f>
        <v>0.1</v>
      </c>
    </row>
    <row r="113" spans="1:56" ht="15" thickBot="1" x14ac:dyDescent="0.35">
      <c r="A113" s="37">
        <f>WRstats1!AL95</f>
        <v>0</v>
      </c>
      <c r="B113" s="34" t="str">
        <f>WRstats1!D95</f>
        <v>Tyreek Hill</v>
      </c>
      <c r="C113" s="172">
        <f>IFERROR(INDEX(Salaries[DraftKings (Price)],MATCH(WRmatchups[[#This Row],[Name]],Salaries[Player],0)),"")</f>
        <v>3000</v>
      </c>
      <c r="D113" s="172">
        <f>IFERROR(INDEX(DK_Salary_Changes[WeekChange],MATCH(WRmatchups[[#This Row],[Name]],DK_Salary_Changes[Player],0)),"")</f>
        <v>0</v>
      </c>
      <c r="E113" s="14" t="str">
        <f>IFERROR(INDEX(Salaries[Team],MATCH(WRmatchups[[#This Row],[Name]],Salaries[Player],0)),"")</f>
        <v>KC</v>
      </c>
      <c r="F113" s="460" t="str">
        <f>IFERROR(INDEX(Salaries[Opp],MATCH(WRmatchups[[#This Row],[Team]],Salaries[Team],0)),"")</f>
        <v>@PIT</v>
      </c>
      <c r="G113" s="476" t="str">
        <f>IFERROR(INDEX(WRYTD[Rec],MATCH(WRmatchups[Name],WRYTD[Player],0)),"0")</f>
        <v>0</v>
      </c>
      <c r="H113" s="458">
        <f>IFERROR(INDEX(targettracker54[TTL],MATCH(WRmatchups[Name],targettracker54[Name],0)),"")</f>
        <v>7</v>
      </c>
      <c r="I113" s="475" t="str">
        <f>IFERROR(INDEX(WRYTD[Rec Yds],MATCH(WRmatchups[Name],WRYTD[Player],0)),"0")</f>
        <v>0</v>
      </c>
      <c r="J113" s="477" t="str">
        <f>IFERROR(INDEX(WRYTD[Rec TD],MATCH(WRmatchups[Name],WRYTD[Player],0)),"0")</f>
        <v>0</v>
      </c>
      <c r="K113" s="473">
        <f>IFERROR(INDEX(Salaries[O/U],MATCH(WRmatchups[[#This Row],[Team]],Salaries[Team],0)),"")</f>
        <v>47.5</v>
      </c>
      <c r="L113" s="32">
        <f>IFERROR(INDEX(Salaries[Team O/U],MATCH(WRmatchups[[#This Row],[Team]],Salaries[Team],0)),"")</f>
        <v>21</v>
      </c>
      <c r="M113" s="417">
        <f>IFERROR(INDEX(Salaries[Spread],MATCH(WRmatchups[[#This Row],[Team]],Salaries[Team],0)),"")</f>
        <v>5.5</v>
      </c>
      <c r="N113" s="424">
        <f>IFERROR(INDEX(WRallowed[DVP],MATCH(WRmatchups[[#This Row],[Opp]],WRallowed[Team],0)),IFERROR(INDEX(WRallowed[DVP],MATCH(WRmatchups[[#This Row],[Opp]],WRallowed[Opp],0)),""))</f>
        <v>30</v>
      </c>
      <c r="O113" s="17" t="str">
        <f>IFERROR(INDEX(YAtCData[YAtC],MATCH(WRmatchups[[#This Row],[Name]],YAtCData[Player],0)),"0")</f>
        <v>0</v>
      </c>
      <c r="P113" s="497" t="str">
        <f>IFERROR(INDEX(YAtCData[YAtC/Rec],MATCH(WRmatchups[[#This Row],[Name]],YAtCData[Player],0)),"0")</f>
        <v>0</v>
      </c>
      <c r="Q113" s="17" t="str">
        <f>IFERROR(INDEX(YAtCData[YAC],MATCH(WRmatchups[[#This Row],[Name]],YAtCData[Player],0)),"0")</f>
        <v>0</v>
      </c>
      <c r="R113" s="497">
        <f>IFERROR(INDEX(YACDATA[YAC per Reception],MATCH(WRmatchups[[#This Row],[Name]],YACDATA[Player],0)),"0")</f>
        <v>7.8</v>
      </c>
      <c r="S113" s="431">
        <f>AVERAGE(WRmatchups[[#This Row],[Tar1]:[Tar3]])</f>
        <v>0.6</v>
      </c>
      <c r="T113" s="465">
        <f>AVERAGE(WRmatchups[[#This Row],[Rec1]:[Rec3]])</f>
        <v>0.89949999999999997</v>
      </c>
      <c r="U113" s="468">
        <f>SUM(WRmatchups[[#This Row],[Rec4]]/WRmatchups[[#This Row],[Targets2]])</f>
        <v>1.4991666666666668</v>
      </c>
      <c r="V113" s="417">
        <f>AVERAGE(WRmatchups[[#This Row],[Yards1]:[Yards3]])</f>
        <v>9.3120000000000012</v>
      </c>
      <c r="W113" s="461">
        <f>SUM(WRmatchups[[#This Row],[Yards]]/WRmatchups[[#This Row],[Targets2]])</f>
        <v>15.520000000000003</v>
      </c>
      <c r="X113" s="32">
        <f>AVERAGE(WRmatchups[[#This Row],[TD1]:[TD3]])</f>
        <v>3.85E-2</v>
      </c>
      <c r="Y113" s="14">
        <f>_xlfn.RANK.EQ(WRmatchups[[#This Row],[Projection]],WRmatchups[Projection],0)</f>
        <v>103</v>
      </c>
      <c r="Z113" s="45">
        <f>SUM(WRmatchups[[#This Row],[Yards]]*0.1)+(WRmatchups[[#This Row],[RecTD5]]*6)+(WRmatchups[[#This Row],[Rec4]]*1)+(WRmatchups[[#This Row],[100+]])</f>
        <v>2.0617000000000001</v>
      </c>
      <c r="AA113" s="346">
        <f>_xlfn.RANK.EQ(WRmatchups[[#This Row],[$/FP]],WRmatchups[$/FP],1)</f>
        <v>104</v>
      </c>
      <c r="AB113" s="199">
        <f>SUM(WRmatchups[[#This Row],[Salary]]/WRmatchups[[#This Row],[Projection]])</f>
        <v>1455.10986079449</v>
      </c>
      <c r="AC113" s="316">
        <f>_xlfn.RANK.EQ(WRmatchups[[#This Row],[Average]],WRmatchups[Average],1)</f>
        <v>104</v>
      </c>
      <c r="AD113" s="316">
        <f>AVERAGE(WRmatchups[[#This Row],[Proj Rank]],WRmatchups[[#This Row],[Value Rank]])</f>
        <v>103.5</v>
      </c>
      <c r="AE113" s="214">
        <f>WRmatchups[[#This Row],[Salary]]/50000</f>
        <v>0.06</v>
      </c>
      <c r="AF113" s="214"/>
      <c r="AG113" s="14">
        <f>IFERROR(INDEX(WRstats3[Targets],MATCH(WRmatchups[[#This Row],[Name]],WRstats3[Player],0)),"0")</f>
        <v>0.6</v>
      </c>
      <c r="AH113" s="14" t="str">
        <f>IFERROR(INDEX(WRstats2[Targets],MATCH(WRmatchups[[#This Row],[Name]],WRstats2[Player],0)),"0")</f>
        <v>0</v>
      </c>
      <c r="AI113" s="14">
        <f>IFERROR(INDEX(WRstats3[Targets],MATCH(WRmatchups[[#This Row],[Name]],WRstats3[Player],0)),"0")</f>
        <v>0.6</v>
      </c>
      <c r="AJ113" s="14">
        <f>IFERROR(INDEX(WRstats1[Rec],MATCH(WRmatchups[[#This Row],[Name]],WRstats1[Player],0)),"0")</f>
        <v>1.399</v>
      </c>
      <c r="AK113" s="14" t="str">
        <f>IFERROR(INDEX(WRstats2[Rec],MATCH(WRmatchups[[#This Row],[Name]],WRstats2[Player],0)),"0")</f>
        <v>0</v>
      </c>
      <c r="AL113" s="14">
        <f>IFERROR(INDEX(WRstats3[Rec],MATCH(WRmatchups[[#This Row],[Name]],WRstats3[Player],0)),"0")</f>
        <v>0.4</v>
      </c>
      <c r="AM113" s="32" t="str">
        <f>IFERROR(INDEX(WRallowed[Rec],MATCH(WRmatchups[[#This Row],[Opp]],WRallowed[Team],0)),"0")</f>
        <v>0</v>
      </c>
      <c r="AN113" s="14">
        <f>IFERROR(INDEX(WRstats1[Rec Yds],MATCH(WRmatchups[[#This Row],[Name]],WRstats1[Player],0)),"0")</f>
        <v>13.224</v>
      </c>
      <c r="AO113" s="14" t="str">
        <f>IFERROR(INDEX(WRstats2[RecYards],MATCH(WRmatchups[[#This Row],[Name]],WRstats2[Player],0)),"0")</f>
        <v>0</v>
      </c>
      <c r="AP113" s="14">
        <f>IFERROR(INDEX(WRstats3[RecYards],MATCH(WRmatchups[[#This Row],[Name]],WRstats3[Player],0)),"0")</f>
        <v>5.4</v>
      </c>
      <c r="AQ113" s="32" t="str">
        <f>IFERROR(INDEX(WRallowed[Yard],MATCH(WRmatchups[[#This Row],[Opp]],WRallowed[Team],0)),"0")</f>
        <v>0</v>
      </c>
      <c r="AR113" s="14">
        <f>IFERROR(INDEX(WRstats1[Rec TD],MATCH(WRmatchups[[#This Row],[Name]],WRstats1[Player],0)),"0")</f>
        <v>7.6999999999999999E-2</v>
      </c>
      <c r="AS113" s="14" t="str">
        <f>IFERROR(INDEX(WRstats2[RecTD],MATCH(WRmatchups[[#This Row],[Name]],WRstats2[Player],0)),"0")</f>
        <v>0</v>
      </c>
      <c r="AT113" s="14">
        <f>IFERROR(INDEX(WRstats3[RecTD],MATCH(WRmatchups[[#This Row],[Name]],WRstats3[Player],0)),"0")</f>
        <v>0</v>
      </c>
      <c r="AU113" s="32">
        <f>IFERROR(INDEX(WRallowed[TD],MATCH(WRmatchups[[#This Row],[Opp]],WRallowed[Team],0)),"0")*0.5</f>
        <v>0</v>
      </c>
      <c r="AV113" s="14" t="str">
        <f>IFERROR(INDEX(WRstats2[RushAtt],MATCH(WRmatchups[[#This Row],[Name]],WRstats2[Player],0)),"0")</f>
        <v>0</v>
      </c>
      <c r="AW113" s="14">
        <f>IFERROR(INDEX(WRstats3[RushATT],MATCH(WRmatchups[[#This Row],[Name]],WRstats3[Player],0)),"0")</f>
        <v>0</v>
      </c>
      <c r="AX113" s="14" t="str">
        <f>IFERROR(INDEX(WRstats2[RushYards],MATCH(WRmatchups[[#This Row],[Name]],WRstats2[Player],0)),"0")</f>
        <v>0</v>
      </c>
      <c r="AY113" s="14">
        <f>IFERROR(INDEX(WRstats3[RushYards],MATCH(WRmatchups[[#This Row],[Name]],WRstats3[Player],0)),"0")</f>
        <v>0</v>
      </c>
      <c r="AZ113" s="14" t="str">
        <f>IFERROR(INDEX(WRstats2[RushTD],MATCH(WRmatchups[[#This Row],[Name]],WRstats2[Player],0)),"0")</f>
        <v>0</v>
      </c>
      <c r="BA113" s="14">
        <f>IFERROR(INDEX(WRstats3[RushTD],MATCH(WRmatchups[[#This Row],[Name]],WRstats3[Player],0)),"0")</f>
        <v>0</v>
      </c>
      <c r="BB113" s="264">
        <f>IF(WRmatchups[[#This Row],[Yards]]&gt;=100,3,0)</f>
        <v>0</v>
      </c>
      <c r="BC113" s="191" t="str">
        <f>IFERROR(INDEX(#REF!,MATCH(WRmatchups[Name],#REF!,0)),"0")</f>
        <v>0</v>
      </c>
      <c r="BD113" s="494">
        <f>WRmatchups[[#This Row],[Targets]]/WRmatchups[[#This Row],[Salary]]*100</f>
        <v>0.23333333333333336</v>
      </c>
    </row>
    <row r="114" spans="1:56" ht="15" thickBot="1" x14ac:dyDescent="0.35">
      <c r="A114" s="37">
        <f>WRstats1!AL98</f>
        <v>2.1</v>
      </c>
      <c r="B114" s="34" t="str">
        <f>WRstats1!D98</f>
        <v>Harry Douglas</v>
      </c>
      <c r="C114" s="172">
        <f>IFERROR(INDEX(Salaries[DraftKings (Price)],MATCH(WRmatchups[[#This Row],[Name]],Salaries[Player],0)),"")</f>
        <v>3000</v>
      </c>
      <c r="D114" s="172">
        <f>IFERROR(INDEX(DK_Salary_Changes[WeekChange],MATCH(WRmatchups[[#This Row],[Name]],DK_Salary_Changes[Player],0)),"")</f>
        <v>0</v>
      </c>
      <c r="E114" s="14" t="str">
        <f>IFERROR(INDEX(Salaries[Team],MATCH(WRmatchups[[#This Row],[Name]],Salaries[Player],0)),"")</f>
        <v>TEN</v>
      </c>
      <c r="F114" s="460" t="str">
        <f>IFERROR(INDEX(Salaries[Opp],MATCH(WRmatchups[[#This Row],[Team]],Salaries[Team],0)),"")</f>
        <v>@HOU</v>
      </c>
      <c r="G114" s="476" t="str">
        <f>IFERROR(INDEX(WRYTD[Rec],MATCH(WRmatchups[Name],WRYTD[Player],0)),"0")</f>
        <v>0</v>
      </c>
      <c r="H114" s="458">
        <f>IFERROR(INDEX(targettracker54[TTL],MATCH(WRmatchups[Name],targettracker54[Name],0)),"")</f>
        <v>9</v>
      </c>
      <c r="I114" s="475" t="str">
        <f>IFERROR(INDEX(WRYTD[Rec Yds],MATCH(WRmatchups[Name],WRYTD[Player],0)),"0")</f>
        <v>0</v>
      </c>
      <c r="J114" s="477" t="str">
        <f>IFERROR(INDEX(WRYTD[Rec TD],MATCH(WRmatchups[Name],WRYTD[Player],0)),"0")</f>
        <v>0</v>
      </c>
      <c r="K114" s="473">
        <f>IFERROR(INDEX(Salaries[O/U],MATCH(WRmatchups[[#This Row],[Team]],Salaries[Team],0)),"")</f>
        <v>40.5</v>
      </c>
      <c r="L114" s="32">
        <f>IFERROR(INDEX(Salaries[Team O/U],MATCH(WRmatchups[[#This Row],[Team]],Salaries[Team],0)),"")</f>
        <v>17</v>
      </c>
      <c r="M114" s="417">
        <f>IFERROR(INDEX(Salaries[Spread],MATCH(WRmatchups[[#This Row],[Team]],Salaries[Team],0)),"")</f>
        <v>6.5</v>
      </c>
      <c r="N114" s="424">
        <f>IFERROR(INDEX(WRallowed[DVP],MATCH(WRmatchups[[#This Row],[Opp]],WRallowed[Team],0)),IFERROR(INDEX(WRallowed[DVP],MATCH(WRmatchups[[#This Row],[Opp]],WRallowed[Opp],0)),""))</f>
        <v>6</v>
      </c>
      <c r="O114" s="17">
        <f>IFERROR(INDEX(YAtCData[YAtC],MATCH(WRmatchups[[#This Row],[Name]],YAtCData[Player],0)),"0")</f>
        <v>19</v>
      </c>
      <c r="P114" s="497">
        <f>IFERROR(INDEX(YAtCData[YAtC/Rec],MATCH(WRmatchups[[#This Row],[Name]],YAtCData[Player],0)),"0")</f>
        <v>4.75</v>
      </c>
      <c r="Q114" s="17">
        <f>IFERROR(INDEX(YAtCData[YAC],MATCH(WRmatchups[[#This Row],[Name]],YAtCData[Player],0)),"0")</f>
        <v>22</v>
      </c>
      <c r="R114" s="497">
        <f>IFERROR(INDEX(YACDATA[YAC per Reception],MATCH(WRmatchups[[#This Row],[Name]],YACDATA[Player],0)),"0")</f>
        <v>5.5</v>
      </c>
      <c r="S114" s="431">
        <f>AVERAGE(WRmatchups[[#This Row],[Tar1]:[Tar3]])</f>
        <v>1.2</v>
      </c>
      <c r="T114" s="465">
        <f>AVERAGE(WRmatchups[[#This Row],[Rec1]:[Rec3]])</f>
        <v>0.83250000000000002</v>
      </c>
      <c r="U114" s="468">
        <f>SUM(WRmatchups[[#This Row],[Rec4]]/WRmatchups[[#This Row],[Targets2]])</f>
        <v>0.69375000000000009</v>
      </c>
      <c r="V114" s="417">
        <f>AVERAGE(WRmatchups[[#This Row],[Yards1]:[Yards3]])</f>
        <v>9.7234999999999996</v>
      </c>
      <c r="W114" s="461">
        <f>SUM(WRmatchups[[#This Row],[Yards]]/WRmatchups[[#This Row],[Targets2]])</f>
        <v>8.1029166666666672</v>
      </c>
      <c r="X114" s="32">
        <f>AVERAGE(WRmatchups[[#This Row],[TD1]:[TD3]])</f>
        <v>2.9499999999999998E-2</v>
      </c>
      <c r="Y114" s="14">
        <f>_xlfn.RANK.EQ(WRmatchups[[#This Row],[Projection]],WRmatchups[Projection],0)</f>
        <v>104</v>
      </c>
      <c r="Z114" s="45">
        <f>SUM(WRmatchups[[#This Row],[Yards]]*0.1)+(WRmatchups[[#This Row],[RecTD5]]*6)+(WRmatchups[[#This Row],[Rec4]]*1)+(WRmatchups[[#This Row],[100+]])</f>
        <v>1.9818500000000001</v>
      </c>
      <c r="AA114" s="346">
        <f>_xlfn.RANK.EQ(WRmatchups[[#This Row],[$/FP]],WRmatchups[$/FP],1)</f>
        <v>105</v>
      </c>
      <c r="AB114" s="199">
        <f>SUM(WRmatchups[[#This Row],[Salary]]/WRmatchups[[#This Row],[Projection]])</f>
        <v>1513.7371647702903</v>
      </c>
      <c r="AC114" s="316">
        <f>_xlfn.RANK.EQ(WRmatchups[[#This Row],[Average]],WRmatchups[Average],1)</f>
        <v>105</v>
      </c>
      <c r="AD114" s="316">
        <f>AVERAGE(WRmatchups[[#This Row],[Proj Rank]],WRmatchups[[#This Row],[Value Rank]])</f>
        <v>104.5</v>
      </c>
      <c r="AE114" s="214">
        <f>WRmatchups[[#This Row],[Salary]]/50000</f>
        <v>0.06</v>
      </c>
      <c r="AF114" s="214"/>
      <c r="AG114" s="14">
        <f>IFERROR(INDEX(WRstats3[Targets],MATCH(WRmatchups[[#This Row],[Name]],WRstats3[Player],0)),"0")</f>
        <v>1.2</v>
      </c>
      <c r="AH114" s="14" t="str">
        <f>IFERROR(INDEX(WRstats2[Targets],MATCH(WRmatchups[[#This Row],[Name]],WRstats2[Player],0)),"0")</f>
        <v>0</v>
      </c>
      <c r="AI114" s="14">
        <f>IFERROR(INDEX(WRstats3[Targets],MATCH(WRmatchups[[#This Row],[Name]],WRstats3[Player],0)),"0")</f>
        <v>1.2</v>
      </c>
      <c r="AJ114" s="14">
        <f>IFERROR(INDEX(WRstats1[Rec],MATCH(WRmatchups[[#This Row],[Name]],WRstats1[Player],0)),"0")</f>
        <v>1.0649999999999999</v>
      </c>
      <c r="AK114" s="14" t="str">
        <f>IFERROR(INDEX(WRstats2[Rec],MATCH(WRmatchups[[#This Row],[Name]],WRstats2[Player],0)),"0")</f>
        <v>0</v>
      </c>
      <c r="AL114" s="14">
        <f>IFERROR(INDEX(WRstats3[Rec],MATCH(WRmatchups[[#This Row],[Name]],WRstats3[Player],0)),"0")</f>
        <v>0.6</v>
      </c>
      <c r="AM114" s="32" t="str">
        <f>IFERROR(INDEX(WRallowed[Rec],MATCH(WRmatchups[[#This Row],[Opp]],WRallowed[Team],0)),"0")</f>
        <v>0</v>
      </c>
      <c r="AN114" s="14">
        <f>IFERROR(INDEX(WRstats1[Rec Yds],MATCH(WRmatchups[[#This Row],[Name]],WRstats1[Player],0)),"0")</f>
        <v>12.446999999999999</v>
      </c>
      <c r="AO114" s="14" t="str">
        <f>IFERROR(INDEX(WRstats2[RecYards],MATCH(WRmatchups[[#This Row],[Name]],WRstats2[Player],0)),"0")</f>
        <v>0</v>
      </c>
      <c r="AP114" s="14">
        <f>IFERROR(INDEX(WRstats3[RecYards],MATCH(WRmatchups[[#This Row],[Name]],WRstats3[Player],0)),"0")</f>
        <v>7</v>
      </c>
      <c r="AQ114" s="32" t="str">
        <f>IFERROR(INDEX(WRallowed[Yard],MATCH(WRmatchups[[#This Row],[Opp]],WRallowed[Team],0)),"0")</f>
        <v>0</v>
      </c>
      <c r="AR114" s="14">
        <f>IFERROR(INDEX(WRstats1[Rec TD],MATCH(WRmatchups[[#This Row],[Name]],WRstats1[Player],0)),"0")</f>
        <v>5.8999999999999997E-2</v>
      </c>
      <c r="AS114" s="14" t="str">
        <f>IFERROR(INDEX(WRstats2[RecTD],MATCH(WRmatchups[[#This Row],[Name]],WRstats2[Player],0)),"0")</f>
        <v>0</v>
      </c>
      <c r="AT114" s="14">
        <f>IFERROR(INDEX(WRstats3[RecTD],MATCH(WRmatchups[[#This Row],[Name]],WRstats3[Player],0)),"0")</f>
        <v>0</v>
      </c>
      <c r="AU114" s="32">
        <f>IFERROR(INDEX(WRallowed[TD],MATCH(WRmatchups[[#This Row],[Opp]],WRallowed[Team],0)),"0")*0.5</f>
        <v>0</v>
      </c>
      <c r="AV114" s="14" t="str">
        <f>IFERROR(INDEX(WRstats2[RushAtt],MATCH(WRmatchups[[#This Row],[Name]],WRstats2[Player],0)),"0")</f>
        <v>0</v>
      </c>
      <c r="AW114" s="14">
        <f>IFERROR(INDEX(WRstats3[RushATT],MATCH(WRmatchups[[#This Row],[Name]],WRstats3[Player],0)),"0")</f>
        <v>0</v>
      </c>
      <c r="AX114" s="14" t="str">
        <f>IFERROR(INDEX(WRstats2[RushYards],MATCH(WRmatchups[[#This Row],[Name]],WRstats2[Player],0)),"0")</f>
        <v>0</v>
      </c>
      <c r="AY114" s="14">
        <f>IFERROR(INDEX(WRstats3[RushYards],MATCH(WRmatchups[[#This Row],[Name]],WRstats3[Player],0)),"0")</f>
        <v>0</v>
      </c>
      <c r="AZ114" s="14" t="str">
        <f>IFERROR(INDEX(WRstats2[RushTD],MATCH(WRmatchups[[#This Row],[Name]],WRstats2[Player],0)),"0")</f>
        <v>0</v>
      </c>
      <c r="BA114" s="14">
        <f>IFERROR(INDEX(WRstats3[RushTD],MATCH(WRmatchups[[#This Row],[Name]],WRstats3[Player],0)),"0")</f>
        <v>0</v>
      </c>
      <c r="BB114" s="264">
        <f>IF(WRmatchups[[#This Row],[Yards]]&gt;=100,3,0)</f>
        <v>0</v>
      </c>
      <c r="BC114" s="191" t="str">
        <f>IFERROR(INDEX(#REF!,MATCH(WRmatchups[Name],#REF!,0)),"0")</f>
        <v>0</v>
      </c>
      <c r="BD114" s="494">
        <f>WRmatchups[[#This Row],[Targets]]/WRmatchups[[#This Row],[Salary]]*100</f>
        <v>0.3</v>
      </c>
    </row>
    <row r="115" spans="1:56" ht="15" thickBot="1" x14ac:dyDescent="0.35">
      <c r="A115" s="37">
        <f>WRstats1!AL106</f>
        <v>1.5</v>
      </c>
      <c r="B115" s="34" t="str">
        <f>WRstats1!D106</f>
        <v>Brice Butler</v>
      </c>
      <c r="C115" s="172">
        <f>IFERROR(INDEX(Salaries[DraftKings (Price)],MATCH(WRmatchups[[#This Row],[Name]],Salaries[Player],0)),"")</f>
        <v>3000</v>
      </c>
      <c r="D115" s="172">
        <f>IFERROR(INDEX(DK_Salary_Changes[WeekChange],MATCH(WRmatchups[[#This Row],[Name]],DK_Salary_Changes[Player],0)),"")</f>
        <v>0</v>
      </c>
      <c r="E115" s="14" t="str">
        <f>IFERROR(INDEX(Salaries[Team],MATCH(WRmatchups[[#This Row],[Name]],Salaries[Player],0)),"")</f>
        <v>DAL</v>
      </c>
      <c r="F115" s="460" t="str">
        <f>IFERROR(INDEX(Salaries[Opp],MATCH(WRmatchups[[#This Row],[Team]],Salaries[Team],0)),"")</f>
        <v>@SF</v>
      </c>
      <c r="G115" s="476" t="str">
        <f>IFERROR(INDEX(WRYTD[Rec],MATCH(WRmatchups[Name],WRYTD[Player],0)),"0")</f>
        <v>0</v>
      </c>
      <c r="H115" s="458">
        <f>IFERROR(INDEX(targettracker54[TTL],MATCH(WRmatchups[Name],targettracker54[Name],0)),"")</f>
        <v>4</v>
      </c>
      <c r="I115" s="475" t="str">
        <f>IFERROR(INDEX(WRYTD[Rec Yds],MATCH(WRmatchups[Name],WRYTD[Player],0)),"0")</f>
        <v>0</v>
      </c>
      <c r="J115" s="477" t="str">
        <f>IFERROR(INDEX(WRYTD[Rec TD],MATCH(WRmatchups[Name],WRYTD[Player],0)),"0")</f>
        <v>0</v>
      </c>
      <c r="K115" s="473">
        <f>IFERROR(INDEX(Salaries[O/U],MATCH(WRmatchups[[#This Row],[Team]],Salaries[Team],0)),"")</f>
        <v>46</v>
      </c>
      <c r="L115" s="32">
        <f>IFERROR(INDEX(Salaries[Team O/U],MATCH(WRmatchups[[#This Row],[Team]],Salaries[Team],0)),"")</f>
        <v>24.5</v>
      </c>
      <c r="M115" s="417">
        <f>IFERROR(INDEX(Salaries[Spread],MATCH(WRmatchups[[#This Row],[Team]],Salaries[Team],0)),"")</f>
        <v>-3</v>
      </c>
      <c r="N115" s="424">
        <f>IFERROR(INDEX(WRallowed[DVP],MATCH(WRmatchups[[#This Row],[Opp]],WRallowed[Team],0)),IFERROR(INDEX(WRallowed[DVP],MATCH(WRmatchups[[#This Row],[Opp]],WRallowed[Opp],0)),""))</f>
        <v>18</v>
      </c>
      <c r="O115" s="17">
        <f>IFERROR(INDEX(YAtCData[YAtC],MATCH(WRmatchups[[#This Row],[Name]],YAtCData[Player],0)),"0")</f>
        <v>13</v>
      </c>
      <c r="P115" s="497">
        <f>IFERROR(INDEX(YAtCData[YAtC/Rec],MATCH(WRmatchups[[#This Row],[Name]],YAtCData[Player],0)),"0")</f>
        <v>13</v>
      </c>
      <c r="Q115" s="17">
        <f>IFERROR(INDEX(YAtCData[YAC],MATCH(WRmatchups[[#This Row],[Name]],YAtCData[Player],0)),"0")</f>
        <v>3</v>
      </c>
      <c r="R115" s="497">
        <f>IFERROR(INDEX(YACDATA[YAC per Reception],MATCH(WRmatchups[[#This Row],[Name]],YACDATA[Player],0)),"0")</f>
        <v>3</v>
      </c>
      <c r="S115" s="431">
        <f>AVERAGE(WRmatchups[[#This Row],[Tar1]:[Tar3]])</f>
        <v>1.2</v>
      </c>
      <c r="T115" s="465">
        <f>AVERAGE(WRmatchups[[#This Row],[Rec1]:[Rec3]])</f>
        <v>0.61599999999999999</v>
      </c>
      <c r="U115" s="468">
        <f>SUM(WRmatchups[[#This Row],[Rec4]]/WRmatchups[[#This Row],[Targets2]])</f>
        <v>0.51333333333333331</v>
      </c>
      <c r="V115" s="417">
        <f>AVERAGE(WRmatchups[[#This Row],[Yards1]:[Yards3]])</f>
        <v>7.7459999999999996</v>
      </c>
      <c r="W115" s="461">
        <f>SUM(WRmatchups[[#This Row],[Yards]]/WRmatchups[[#This Row],[Targets2]])</f>
        <v>6.4550000000000001</v>
      </c>
      <c r="X115" s="32">
        <f>AVERAGE(WRmatchups[[#This Row],[TD1]:[TD3]])</f>
        <v>8.7999999999999995E-2</v>
      </c>
      <c r="Y115" s="14">
        <f>_xlfn.RANK.EQ(WRmatchups[[#This Row],[Projection]],WRmatchups[Projection],0)</f>
        <v>105</v>
      </c>
      <c r="Z115" s="45">
        <f>SUM(WRmatchups[[#This Row],[Yards]]*0.1)+(WRmatchups[[#This Row],[RecTD5]]*6)+(WRmatchups[[#This Row],[Rec4]]*1)+(WRmatchups[[#This Row],[100+]])</f>
        <v>1.9186000000000001</v>
      </c>
      <c r="AA115" s="346">
        <f>_xlfn.RANK.EQ(WRmatchups[[#This Row],[$/FP]],WRmatchups[$/FP],1)</f>
        <v>106</v>
      </c>
      <c r="AB115" s="199">
        <f>SUM(WRmatchups[[#This Row],[Salary]]/WRmatchups[[#This Row],[Projection]])</f>
        <v>1563.6401542791618</v>
      </c>
      <c r="AC115" s="316">
        <f>_xlfn.RANK.EQ(WRmatchups[[#This Row],[Average]],WRmatchups[Average],1)</f>
        <v>106</v>
      </c>
      <c r="AD115" s="316">
        <f>AVERAGE(WRmatchups[[#This Row],[Proj Rank]],WRmatchups[[#This Row],[Value Rank]])</f>
        <v>105.5</v>
      </c>
      <c r="AE115" s="214">
        <f>WRmatchups[[#This Row],[Salary]]/50000</f>
        <v>0.06</v>
      </c>
      <c r="AF115" s="214"/>
      <c r="AG115" s="14">
        <f>IFERROR(INDEX(WRstats3[Targets],MATCH(WRmatchups[[#This Row],[Name]],WRstats3[Player],0)),"0")</f>
        <v>1.2</v>
      </c>
      <c r="AH115" s="14" t="str">
        <f>IFERROR(INDEX(WRstats2[Targets],MATCH(WRmatchups[[#This Row],[Name]],WRstats2[Player],0)),"0")</f>
        <v>0</v>
      </c>
      <c r="AI115" s="14">
        <f>IFERROR(INDEX(WRstats3[Targets],MATCH(WRmatchups[[#This Row],[Name]],WRstats3[Player],0)),"0")</f>
        <v>1.2</v>
      </c>
      <c r="AJ115" s="14">
        <f>IFERROR(INDEX(WRstats1[Rec],MATCH(WRmatchups[[#This Row],[Name]],WRstats1[Player],0)),"0")</f>
        <v>0.63200000000000001</v>
      </c>
      <c r="AK115" s="14" t="str">
        <f>IFERROR(INDEX(WRstats2[Rec],MATCH(WRmatchups[[#This Row],[Name]],WRstats2[Player],0)),"0")</f>
        <v>0</v>
      </c>
      <c r="AL115" s="14">
        <f>IFERROR(INDEX(WRstats3[Rec],MATCH(WRmatchups[[#This Row],[Name]],WRstats3[Player],0)),"0")</f>
        <v>0.6</v>
      </c>
      <c r="AM115" s="32" t="str">
        <f>IFERROR(INDEX(WRallowed[Rec],MATCH(WRmatchups[[#This Row],[Opp]],WRallowed[Team],0)),"0")</f>
        <v>0</v>
      </c>
      <c r="AN115" s="14">
        <f>IFERROR(INDEX(WRstats1[Rec Yds],MATCH(WRmatchups[[#This Row],[Name]],WRstats1[Player],0)),"0")</f>
        <v>7.2919999999999998</v>
      </c>
      <c r="AO115" s="14" t="str">
        <f>IFERROR(INDEX(WRstats2[RecYards],MATCH(WRmatchups[[#This Row],[Name]],WRstats2[Player],0)),"0")</f>
        <v>0</v>
      </c>
      <c r="AP115" s="14">
        <f>IFERROR(INDEX(WRstats3[RecYards],MATCH(WRmatchups[[#This Row],[Name]],WRstats3[Player],0)),"0")</f>
        <v>8.1999999999999993</v>
      </c>
      <c r="AQ115" s="32" t="str">
        <f>IFERROR(INDEX(WRallowed[Yard],MATCH(WRmatchups[[#This Row],[Opp]],WRallowed[Team],0)),"0")</f>
        <v>0</v>
      </c>
      <c r="AR115" s="14">
        <f>IFERROR(INDEX(WRstats1[Rec TD],MATCH(WRmatchups[[#This Row],[Name]],WRstats1[Player],0)),"0")</f>
        <v>7.5999999999999998E-2</v>
      </c>
      <c r="AS115" s="14" t="str">
        <f>IFERROR(INDEX(WRstats2[RecTD],MATCH(WRmatchups[[#This Row],[Name]],WRstats2[Player],0)),"0")</f>
        <v>0</v>
      </c>
      <c r="AT115" s="14">
        <f>IFERROR(INDEX(WRstats3[RecTD],MATCH(WRmatchups[[#This Row],[Name]],WRstats3[Player],0)),"0")</f>
        <v>0.1</v>
      </c>
      <c r="AU115" s="32">
        <f>IFERROR(INDEX(WRallowed[TD],MATCH(WRmatchups[[#This Row],[Opp]],WRallowed[Team],0)),"0")*0.5</f>
        <v>0</v>
      </c>
      <c r="AV115" s="14" t="str">
        <f>IFERROR(INDEX(WRstats2[RushAtt],MATCH(WRmatchups[[#This Row],[Name]],WRstats2[Player],0)),"0")</f>
        <v>0</v>
      </c>
      <c r="AW115" s="14">
        <f>IFERROR(INDEX(WRstats3[RushATT],MATCH(WRmatchups[[#This Row],[Name]],WRstats3[Player],0)),"0")</f>
        <v>0</v>
      </c>
      <c r="AX115" s="14" t="str">
        <f>IFERROR(INDEX(WRstats2[RushYards],MATCH(WRmatchups[[#This Row],[Name]],WRstats2[Player],0)),"0")</f>
        <v>0</v>
      </c>
      <c r="AY115" s="14">
        <f>IFERROR(INDEX(WRstats3[RushYards],MATCH(WRmatchups[[#This Row],[Name]],WRstats3[Player],0)),"0")</f>
        <v>0</v>
      </c>
      <c r="AZ115" s="14" t="str">
        <f>IFERROR(INDEX(WRstats2[RushTD],MATCH(WRmatchups[[#This Row],[Name]],WRstats2[Player],0)),"0")</f>
        <v>0</v>
      </c>
      <c r="BA115" s="14">
        <f>IFERROR(INDEX(WRstats3[RushTD],MATCH(WRmatchups[[#This Row],[Name]],WRstats3[Player],0)),"0")</f>
        <v>0</v>
      </c>
      <c r="BB115" s="264">
        <f>IF(WRmatchups[[#This Row],[Yards]]&gt;=100,3,0)</f>
        <v>0</v>
      </c>
      <c r="BC115" s="191" t="str">
        <f>IFERROR(INDEX(#REF!,MATCH(WRmatchups[Name],#REF!,0)),"0")</f>
        <v>0</v>
      </c>
      <c r="BD115" s="494">
        <f>WRmatchups[[#This Row],[Targets]]/WRmatchups[[#This Row],[Salary]]*100</f>
        <v>0.13333333333333333</v>
      </c>
    </row>
    <row r="116" spans="1:56" ht="15" thickBot="1" x14ac:dyDescent="0.35">
      <c r="A116" s="37">
        <f>WRstats1!AL114</f>
        <v>1</v>
      </c>
      <c r="B116" s="34" t="str">
        <f>WRstats1!D114</f>
        <v>Cordarrelle Patterson</v>
      </c>
      <c r="C116" s="172">
        <f>IFERROR(INDEX(Salaries[DraftKings (Price)],MATCH(WRmatchups[[#This Row],[Name]],Salaries[Player],0)),"")</f>
        <v>3000</v>
      </c>
      <c r="D116" s="172">
        <f>IFERROR(INDEX(DK_Salary_Changes[WeekChange],MATCH(WRmatchups[[#This Row],[Name]],DK_Salary_Changes[Player],0)),"")</f>
        <v>0</v>
      </c>
      <c r="E116" s="14" t="str">
        <f>IFERROR(INDEX(Salaries[Team],MATCH(WRmatchups[[#This Row],[Name]],Salaries[Player],0)),"")</f>
        <v>MIN</v>
      </c>
      <c r="F116" s="460" t="str">
        <f>IFERROR(INDEX(Salaries[Opp],MATCH(WRmatchups[[#This Row],[Team]],Salaries[Team],0)),"")</f>
        <v>NYG</v>
      </c>
      <c r="G116" s="476" t="str">
        <f>IFERROR(INDEX(WRYTD[Rec],MATCH(WRmatchups[Name],WRYTD[Player],0)),"0")</f>
        <v>0</v>
      </c>
      <c r="H116" s="458">
        <f>IFERROR(INDEX(targettracker54[TTL],MATCH(WRmatchups[Name],targettracker54[Name],0)),"")</f>
        <v>2</v>
      </c>
      <c r="I116" s="475" t="str">
        <f>IFERROR(INDEX(WRYTD[Rec Yds],MATCH(WRmatchups[Name],WRYTD[Player],0)),"0")</f>
        <v>0</v>
      </c>
      <c r="J116" s="477" t="str">
        <f>IFERROR(INDEX(WRYTD[Rec TD],MATCH(WRmatchups[Name],WRYTD[Player],0)),"0")</f>
        <v>0</v>
      </c>
      <c r="K116" s="473">
        <f>IFERROR(INDEX(Salaries[O/U],MATCH(WRmatchups[[#This Row],[Team]],Salaries[Team],0)),"")</f>
        <v>43.5</v>
      </c>
      <c r="L116" s="32">
        <f>IFERROR(INDEX(Salaries[Team O/U],MATCH(WRmatchups[[#This Row],[Team]],Salaries[Team],0)),"")</f>
        <v>23.75</v>
      </c>
      <c r="M116" s="417">
        <f>IFERROR(INDEX(Salaries[Spread],MATCH(WRmatchups[[#This Row],[Team]],Salaries[Team],0)),"")</f>
        <v>-4</v>
      </c>
      <c r="N116" s="424">
        <f>IFERROR(INDEX(WRallowed[DVP],MATCH(WRmatchups[[#This Row],[Opp]],WRallowed[Team],0)),IFERROR(INDEX(WRallowed[DVP],MATCH(WRmatchups[[#This Row],[Opp]],WRallowed[Opp],0)),""))</f>
        <v>21</v>
      </c>
      <c r="O116" s="17" t="str">
        <f>IFERROR(INDEX(YAtCData[YAtC],MATCH(WRmatchups[[#This Row],[Name]],YAtCData[Player],0)),"0")</f>
        <v>0</v>
      </c>
      <c r="P116" s="497" t="str">
        <f>IFERROR(INDEX(YAtCData[YAtC/Rec],MATCH(WRmatchups[[#This Row],[Name]],YAtCData[Player],0)),"0")</f>
        <v>0</v>
      </c>
      <c r="Q116" s="17" t="str">
        <f>IFERROR(INDEX(YAtCData[YAC],MATCH(WRmatchups[[#This Row],[Name]],YAtCData[Player],0)),"0")</f>
        <v>0</v>
      </c>
      <c r="R116" s="497">
        <f>IFERROR(INDEX(YACDATA[YAC per Reception],MATCH(WRmatchups[[#This Row],[Name]],YACDATA[Player],0)),"0")</f>
        <v>4</v>
      </c>
      <c r="S116" s="431">
        <f>AVERAGE(WRmatchups[[#This Row],[Tar1]:[Tar3]])</f>
        <v>1.3</v>
      </c>
      <c r="T116" s="465">
        <f>AVERAGE(WRmatchups[[#This Row],[Rec1]:[Rec3]])</f>
        <v>0.9375</v>
      </c>
      <c r="U116" s="468">
        <f>SUM(WRmatchups[[#This Row],[Rec4]]/WRmatchups[[#This Row],[Targets2]])</f>
        <v>0.72115384615384615</v>
      </c>
      <c r="V116" s="417">
        <f>AVERAGE(WRmatchups[[#This Row],[Yards1]:[Yards3]])</f>
        <v>8.5605000000000011</v>
      </c>
      <c r="W116" s="461">
        <f>SUM(WRmatchups[[#This Row],[Yards]]/WRmatchups[[#This Row],[Targets2]])</f>
        <v>6.5850000000000009</v>
      </c>
      <c r="X116" s="32">
        <f>AVERAGE(WRmatchups[[#This Row],[TD1]:[TD3]])</f>
        <v>1.7000000000000001E-2</v>
      </c>
      <c r="Y116" s="14">
        <f>_xlfn.RANK.EQ(WRmatchups[[#This Row],[Projection]],WRmatchups[Projection],0)</f>
        <v>106</v>
      </c>
      <c r="Z116" s="45">
        <f>SUM(WRmatchups[[#This Row],[Yards]]*0.1)+(WRmatchups[[#This Row],[RecTD5]]*6)+(WRmatchups[[#This Row],[Rec4]]*1)+(WRmatchups[[#This Row],[100+]])</f>
        <v>1.8955500000000001</v>
      </c>
      <c r="AA116" s="346">
        <f>_xlfn.RANK.EQ(WRmatchups[[#This Row],[$/FP]],WRmatchups[$/FP],1)</f>
        <v>107</v>
      </c>
      <c r="AB116" s="199">
        <f>SUM(WRmatchups[[#This Row],[Salary]]/WRmatchups[[#This Row],[Projection]])</f>
        <v>1582.6541109440532</v>
      </c>
      <c r="AC116" s="316">
        <f>_xlfn.RANK.EQ(WRmatchups[[#This Row],[Average]],WRmatchups[Average],1)</f>
        <v>107</v>
      </c>
      <c r="AD116" s="316">
        <f>AVERAGE(WRmatchups[[#This Row],[Proj Rank]],WRmatchups[[#This Row],[Value Rank]])</f>
        <v>106.5</v>
      </c>
      <c r="AE116" s="214">
        <f>WRmatchups[[#This Row],[Salary]]/50000</f>
        <v>0.06</v>
      </c>
      <c r="AF116" s="214"/>
      <c r="AG116" s="14">
        <f>IFERROR(INDEX(WRstats3[Targets],MATCH(WRmatchups[[#This Row],[Name]],WRstats3[Player],0)),"0")</f>
        <v>1.3</v>
      </c>
      <c r="AH116" s="14" t="str">
        <f>IFERROR(INDEX(WRstats2[Targets],MATCH(WRmatchups[[#This Row],[Name]],WRstats2[Player],0)),"0")</f>
        <v>0</v>
      </c>
      <c r="AI116" s="14">
        <f>IFERROR(INDEX(WRstats3[Targets],MATCH(WRmatchups[[#This Row],[Name]],WRstats3[Player],0)),"0")</f>
        <v>1.3</v>
      </c>
      <c r="AJ116" s="14">
        <f>IFERROR(INDEX(WRstats1[Rec],MATCH(WRmatchups[[#This Row],[Name]],WRstats1[Player],0)),"0")</f>
        <v>0.67500000000000004</v>
      </c>
      <c r="AK116" s="14" t="str">
        <f>IFERROR(INDEX(WRstats2[Rec],MATCH(WRmatchups[[#This Row],[Name]],WRstats2[Player],0)),"0")</f>
        <v>0</v>
      </c>
      <c r="AL116" s="14">
        <f>IFERROR(INDEX(WRstats3[Rec],MATCH(WRmatchups[[#This Row],[Name]],WRstats3[Player],0)),"0")</f>
        <v>1.2</v>
      </c>
      <c r="AM116" s="32">
        <f>IFERROR(INDEX(WRallowed[Rec],MATCH(WRmatchups[[#This Row],[Opp]],WRallowed[Team],0)),"0")</f>
        <v>11.0625</v>
      </c>
      <c r="AN116" s="14">
        <f>IFERROR(INDEX(WRstats1[Rec Yds],MATCH(WRmatchups[[#This Row],[Name]],WRstats1[Player],0)),"0")</f>
        <v>5.1210000000000004</v>
      </c>
      <c r="AO116" s="14" t="str">
        <f>IFERROR(INDEX(WRstats2[RecYards],MATCH(WRmatchups[[#This Row],[Name]],WRstats2[Player],0)),"0")</f>
        <v>0</v>
      </c>
      <c r="AP116" s="14">
        <f>IFERROR(INDEX(WRstats3[RecYards],MATCH(WRmatchups[[#This Row],[Name]],WRstats3[Player],0)),"0")</f>
        <v>12</v>
      </c>
      <c r="AQ116" s="32">
        <f>IFERROR(INDEX(WRallowed[Yard],MATCH(WRmatchups[[#This Row],[Opp]],WRallowed[Team],0)),"0")</f>
        <v>155.4375</v>
      </c>
      <c r="AR116" s="14">
        <f>IFERROR(INDEX(WRstats1[Rec TD],MATCH(WRmatchups[[#This Row],[Name]],WRstats1[Player],0)),"0")</f>
        <v>3.4000000000000002E-2</v>
      </c>
      <c r="AS116" s="14" t="str">
        <f>IFERROR(INDEX(WRstats2[RecTD],MATCH(WRmatchups[[#This Row],[Name]],WRstats2[Player],0)),"0")</f>
        <v>0</v>
      </c>
      <c r="AT116" s="14">
        <f>IFERROR(INDEX(WRstats3[RecTD],MATCH(WRmatchups[[#This Row],[Name]],WRstats3[Player],0)),"0")</f>
        <v>0</v>
      </c>
      <c r="AU116" s="32">
        <f>IFERROR(INDEX(WRallowed[TD],MATCH(WRmatchups[[#This Row],[Opp]],WRallowed[Team],0)),"0")*0.5</f>
        <v>0.375</v>
      </c>
      <c r="AV116" s="14" t="str">
        <f>IFERROR(INDEX(WRstats2[RushAtt],MATCH(WRmatchups[[#This Row],[Name]],WRstats2[Player],0)),"0")</f>
        <v>0</v>
      </c>
      <c r="AW116" s="14">
        <f>IFERROR(INDEX(WRstats3[RushATT],MATCH(WRmatchups[[#This Row],[Name]],WRstats3[Player],0)),"0")</f>
        <v>0</v>
      </c>
      <c r="AX116" s="14" t="str">
        <f>IFERROR(INDEX(WRstats2[RushYards],MATCH(WRmatchups[[#This Row],[Name]],WRstats2[Player],0)),"0")</f>
        <v>0</v>
      </c>
      <c r="AY116" s="14">
        <f>IFERROR(INDEX(WRstats3[RushYards],MATCH(WRmatchups[[#This Row],[Name]],WRstats3[Player],0)),"0")</f>
        <v>0</v>
      </c>
      <c r="AZ116" s="14" t="str">
        <f>IFERROR(INDEX(WRstats2[RushTD],MATCH(WRmatchups[[#This Row],[Name]],WRstats2[Player],0)),"0")</f>
        <v>0</v>
      </c>
      <c r="BA116" s="14">
        <f>IFERROR(INDEX(WRstats3[RushTD],MATCH(WRmatchups[[#This Row],[Name]],WRstats3[Player],0)),"0")</f>
        <v>0</v>
      </c>
      <c r="BB116" s="264">
        <f>IF(WRmatchups[[#This Row],[Yards]]&gt;=100,3,0)</f>
        <v>0</v>
      </c>
      <c r="BC116" s="191" t="str">
        <f>IFERROR(INDEX(#REF!,MATCH(WRmatchups[Name],#REF!,0)),"0")</f>
        <v>0</v>
      </c>
      <c r="BD116" s="494">
        <f>WRmatchups[[#This Row],[Targets]]/WRmatchups[[#This Row],[Salary]]*100</f>
        <v>6.6666666666666666E-2</v>
      </c>
    </row>
    <row r="117" spans="1:56" ht="15" thickBot="1" x14ac:dyDescent="0.35">
      <c r="A117" s="37">
        <f>WRstats1!AL104</f>
        <v>1.8</v>
      </c>
      <c r="B117" s="34" t="str">
        <f>WRstats1!D104</f>
        <v>Aldrick Robinson</v>
      </c>
      <c r="C117" s="172">
        <f>IFERROR(INDEX(Salaries[DraftKings (Price)],MATCH(WRmatchups[[#This Row],[Name]],Salaries[Player],0)),"")</f>
        <v>3000</v>
      </c>
      <c r="D117" s="172">
        <f>IFERROR(INDEX(DK_Salary_Changes[WeekChange],MATCH(WRmatchups[[#This Row],[Name]],DK_Salary_Changes[Player],0)),"")</f>
        <v>0</v>
      </c>
      <c r="E117" s="14" t="str">
        <f>IFERROR(INDEX(Salaries[Team],MATCH(WRmatchups[[#This Row],[Name]],Salaries[Player],0)),"")</f>
        <v>ATL</v>
      </c>
      <c r="F117" s="460" t="str">
        <f>IFERROR(INDEX(Salaries[Opp],MATCH(WRmatchups[[#This Row],[Team]],Salaries[Team],0)),"")</f>
        <v>CAR</v>
      </c>
      <c r="G117" s="476" t="str">
        <f>IFERROR(INDEX(WRYTD[Rec],MATCH(WRmatchups[Name],WRYTD[Player],0)),"0")</f>
        <v>0</v>
      </c>
      <c r="H117" s="458">
        <f>IFERROR(INDEX(targettracker54[TTL],MATCH(WRmatchups[Name],targettracker54[Name],0)),"")</f>
        <v>6</v>
      </c>
      <c r="I117" s="475" t="str">
        <f>IFERROR(INDEX(WRYTD[Rec Yds],MATCH(WRmatchups[Name],WRYTD[Player],0)),"0")</f>
        <v>0</v>
      </c>
      <c r="J117" s="477" t="str">
        <f>IFERROR(INDEX(WRYTD[Rec TD],MATCH(WRmatchups[Name],WRYTD[Player],0)),"0")</f>
        <v>0</v>
      </c>
      <c r="K117" s="473">
        <f>IFERROR(INDEX(Salaries[O/U],MATCH(WRmatchups[[#This Row],[Team]],Salaries[Team],0)),"")</f>
        <v>50</v>
      </c>
      <c r="L117" s="32">
        <f>IFERROR(INDEX(Salaries[Team O/U],MATCH(WRmatchups[[#This Row],[Team]],Salaries[Team],0)),"")</f>
        <v>23.5</v>
      </c>
      <c r="M117" s="417">
        <f>IFERROR(INDEX(Salaries[Spread],MATCH(WRmatchups[[#This Row],[Team]],Salaries[Team],0)),"")</f>
        <v>3</v>
      </c>
      <c r="N117" s="424">
        <f>IFERROR(INDEX(WRallowed[DVP],MATCH(WRmatchups[[#This Row],[Opp]],WRallowed[Team],0)),IFERROR(INDEX(WRallowed[DVP],MATCH(WRmatchups[[#This Row],[Opp]],WRallowed[Opp],0)),""))</f>
        <v>8</v>
      </c>
      <c r="O117" s="17">
        <f>IFERROR(INDEX(YAtCData[YAtC],MATCH(WRmatchups[[#This Row],[Name]],YAtCData[Player],0)),"0")</f>
        <v>39</v>
      </c>
      <c r="P117" s="497">
        <f>IFERROR(INDEX(YAtCData[YAtC/Rec],MATCH(WRmatchups[[#This Row],[Name]],YAtCData[Player],0)),"0")</f>
        <v>9.75</v>
      </c>
      <c r="Q117" s="17">
        <f>IFERROR(INDEX(YAtCData[YAC],MATCH(WRmatchups[[#This Row],[Name]],YAtCData[Player],0)),"0")</f>
        <v>4</v>
      </c>
      <c r="R117" s="497">
        <f>IFERROR(INDEX(YACDATA[YAC per Reception],MATCH(WRmatchups[[#This Row],[Name]],YACDATA[Player],0)),"0")</f>
        <v>1</v>
      </c>
      <c r="S117" s="431">
        <f>AVERAGE(WRmatchups[[#This Row],[Tar1]:[Tar3]])</f>
        <v>0.8</v>
      </c>
      <c r="T117" s="465">
        <f>AVERAGE(WRmatchups[[#This Row],[Rec1]:[Rec3]])</f>
        <v>0.76849999999999996</v>
      </c>
      <c r="U117" s="468">
        <f>SUM(WRmatchups[[#This Row],[Rec4]]/WRmatchups[[#This Row],[Targets2]])</f>
        <v>0.96062499999999995</v>
      </c>
      <c r="V117" s="417">
        <f>AVERAGE(WRmatchups[[#This Row],[Yards1]:[Yards3]])</f>
        <v>8.5960000000000001</v>
      </c>
      <c r="W117" s="461">
        <f>SUM(WRmatchups[[#This Row],[Yards]]/WRmatchups[[#This Row],[Targets2]])</f>
        <v>10.744999999999999</v>
      </c>
      <c r="X117" s="32">
        <f>AVERAGE(WRmatchups[[#This Row],[TD1]:[TD3]])</f>
        <v>1.7999999999999999E-2</v>
      </c>
      <c r="Y117" s="14">
        <f>_xlfn.RANK.EQ(WRmatchups[[#This Row],[Projection]],WRmatchups[Projection],0)</f>
        <v>107</v>
      </c>
      <c r="Z117" s="45">
        <f>SUM(WRmatchups[[#This Row],[Yards]]*0.1)+(WRmatchups[[#This Row],[RecTD5]]*6)+(WRmatchups[[#This Row],[Rec4]]*1)+(WRmatchups[[#This Row],[100+]])</f>
        <v>1.7361</v>
      </c>
      <c r="AA117" s="346">
        <f>_xlfn.RANK.EQ(WRmatchups[[#This Row],[$/FP]],WRmatchups[$/FP],1)</f>
        <v>108</v>
      </c>
      <c r="AB117" s="199">
        <f>SUM(WRmatchups[[#This Row],[Salary]]/WRmatchups[[#This Row],[Projection]])</f>
        <v>1728.0110592707795</v>
      </c>
      <c r="AC117" s="316">
        <f>_xlfn.RANK.EQ(WRmatchups[[#This Row],[Average]],WRmatchups[Average],1)</f>
        <v>108</v>
      </c>
      <c r="AD117" s="316">
        <f>AVERAGE(WRmatchups[[#This Row],[Proj Rank]],WRmatchups[[#This Row],[Value Rank]])</f>
        <v>107.5</v>
      </c>
      <c r="AE117" s="214">
        <f>WRmatchups[[#This Row],[Salary]]/50000</f>
        <v>0.06</v>
      </c>
      <c r="AF117" s="214"/>
      <c r="AG117" s="14">
        <f>IFERROR(INDEX(WRstats3[Targets],MATCH(WRmatchups[[#This Row],[Name]],WRstats3[Player],0)),"0")</f>
        <v>0.8</v>
      </c>
      <c r="AH117" s="14" t="str">
        <f>IFERROR(INDEX(WRstats2[Targets],MATCH(WRmatchups[[#This Row],[Name]],WRstats2[Player],0)),"0")</f>
        <v>0</v>
      </c>
      <c r="AI117" s="14">
        <f>IFERROR(INDEX(WRstats3[Targets],MATCH(WRmatchups[[#This Row],[Name]],WRstats3[Player],0)),"0")</f>
        <v>0.8</v>
      </c>
      <c r="AJ117" s="14">
        <f>IFERROR(INDEX(WRstats1[Rec],MATCH(WRmatchups[[#This Row],[Name]],WRstats1[Player],0)),"0")</f>
        <v>1.0369999999999999</v>
      </c>
      <c r="AK117" s="14" t="str">
        <f>IFERROR(INDEX(WRstats2[Rec],MATCH(WRmatchups[[#This Row],[Name]],WRstats2[Player],0)),"0")</f>
        <v>0</v>
      </c>
      <c r="AL117" s="14">
        <f>IFERROR(INDEX(WRstats3[Rec],MATCH(WRmatchups[[#This Row],[Name]],WRstats3[Player],0)),"0")</f>
        <v>0.5</v>
      </c>
      <c r="AM117" s="32">
        <f>IFERROR(INDEX(WRallowed[Rec],MATCH(WRmatchups[[#This Row],[Opp]],WRallowed[Team],0)),"0")</f>
        <v>13.1875</v>
      </c>
      <c r="AN117" s="14">
        <f>IFERROR(INDEX(WRstats1[Rec Yds],MATCH(WRmatchups[[#This Row],[Name]],WRstats1[Player],0)),"0")</f>
        <v>10.891999999999999</v>
      </c>
      <c r="AO117" s="14" t="str">
        <f>IFERROR(INDEX(WRstats2[RecYards],MATCH(WRmatchups[[#This Row],[Name]],WRstats2[Player],0)),"0")</f>
        <v>0</v>
      </c>
      <c r="AP117" s="14">
        <f>IFERROR(INDEX(WRstats3[RecYards],MATCH(WRmatchups[[#This Row],[Name]],WRstats3[Player],0)),"0")</f>
        <v>6.3</v>
      </c>
      <c r="AQ117" s="32">
        <f>IFERROR(INDEX(WRallowed[Yard],MATCH(WRmatchups[[#This Row],[Opp]],WRallowed[Team],0)),"0")</f>
        <v>165.4375</v>
      </c>
      <c r="AR117" s="14">
        <f>IFERROR(INDEX(WRstats1[Rec TD],MATCH(WRmatchups[[#This Row],[Name]],WRstats1[Player],0)),"0")</f>
        <v>3.5999999999999997E-2</v>
      </c>
      <c r="AS117" s="14" t="str">
        <f>IFERROR(INDEX(WRstats2[RecTD],MATCH(WRmatchups[[#This Row],[Name]],WRstats2[Player],0)),"0")</f>
        <v>0</v>
      </c>
      <c r="AT117" s="14">
        <f>IFERROR(INDEX(WRstats3[RecTD],MATCH(WRmatchups[[#This Row],[Name]],WRstats3[Player],0)),"0")</f>
        <v>0</v>
      </c>
      <c r="AU117" s="32">
        <f>IFERROR(INDEX(WRallowed[TD],MATCH(WRmatchups[[#This Row],[Opp]],WRallowed[Team],0)),"0")*0.5</f>
        <v>0.8125</v>
      </c>
      <c r="AV117" s="14" t="str">
        <f>IFERROR(INDEX(WRstats2[RushAtt],MATCH(WRmatchups[[#This Row],[Name]],WRstats2[Player],0)),"0")</f>
        <v>0</v>
      </c>
      <c r="AW117" s="14">
        <f>IFERROR(INDEX(WRstats3[RushATT],MATCH(WRmatchups[[#This Row],[Name]],WRstats3[Player],0)),"0")</f>
        <v>0</v>
      </c>
      <c r="AX117" s="14" t="str">
        <f>IFERROR(INDEX(WRstats2[RushYards],MATCH(WRmatchups[[#This Row],[Name]],WRstats2[Player],0)),"0")</f>
        <v>0</v>
      </c>
      <c r="AY117" s="14">
        <f>IFERROR(INDEX(WRstats3[RushYards],MATCH(WRmatchups[[#This Row],[Name]],WRstats3[Player],0)),"0")</f>
        <v>0</v>
      </c>
      <c r="AZ117" s="14" t="str">
        <f>IFERROR(INDEX(WRstats2[RushTD],MATCH(WRmatchups[[#This Row],[Name]],WRstats2[Player],0)),"0")</f>
        <v>0</v>
      </c>
      <c r="BA117" s="14">
        <f>IFERROR(INDEX(WRstats3[RushTD],MATCH(WRmatchups[[#This Row],[Name]],WRstats3[Player],0)),"0")</f>
        <v>0</v>
      </c>
      <c r="BB117" s="264">
        <f>IF(WRmatchups[[#This Row],[Yards]]&gt;=100,3,0)</f>
        <v>0</v>
      </c>
      <c r="BC117" s="191" t="str">
        <f>IFERROR(INDEX(#REF!,MATCH(WRmatchups[Name],#REF!,0)),"0")</f>
        <v>0</v>
      </c>
      <c r="BD117" s="494">
        <f>WRmatchups[[#This Row],[Targets]]/WRmatchups[[#This Row],[Salary]]*100</f>
        <v>0.2</v>
      </c>
    </row>
    <row r="118" spans="1:56" ht="15" thickBot="1" x14ac:dyDescent="0.35">
      <c r="A118" s="37">
        <f>WRstats1!AL110</f>
        <v>0</v>
      </c>
      <c r="B118" s="34" t="str">
        <f>WRstats1!D110</f>
        <v>Russell Shepard</v>
      </c>
      <c r="C118" s="172">
        <f>IFERROR(INDEX(Salaries[DraftKings (Price)],MATCH(WRmatchups[[#This Row],[Name]],Salaries[Player],0)),"")</f>
        <v>3000</v>
      </c>
      <c r="D118" s="172">
        <f>IFERROR(INDEX(DK_Salary_Changes[WeekChange],MATCH(WRmatchups[[#This Row],[Name]],DK_Salary_Changes[Player],0)),"")</f>
        <v>0</v>
      </c>
      <c r="E118" s="14" t="str">
        <f>IFERROR(INDEX(Salaries[Team],MATCH(WRmatchups[[#This Row],[Name]],Salaries[Player],0)),"")</f>
        <v>TB</v>
      </c>
      <c r="F118" s="460" t="str">
        <f>IFERROR(INDEX(Salaries[Opp],MATCH(WRmatchups[[#This Row],[Team]],Salaries[Team],0)),"")</f>
        <v>DEN</v>
      </c>
      <c r="G118" s="476" t="str">
        <f>IFERROR(INDEX(WRYTD[Rec],MATCH(WRmatchups[Name],WRYTD[Player],0)),"0")</f>
        <v>0</v>
      </c>
      <c r="H118" s="458">
        <f>IFERROR(INDEX(targettracker54[TTL],MATCH(WRmatchups[Name],targettracker54[Name],0)),"")</f>
        <v>4</v>
      </c>
      <c r="I118" s="475" t="str">
        <f>IFERROR(INDEX(WRYTD[Rec Yds],MATCH(WRmatchups[Name],WRYTD[Player],0)),"0")</f>
        <v>0</v>
      </c>
      <c r="J118" s="477" t="str">
        <f>IFERROR(INDEX(WRYTD[Rec TD],MATCH(WRmatchups[Name],WRYTD[Player],0)),"0")</f>
        <v>0</v>
      </c>
      <c r="K118" s="473">
        <f>IFERROR(INDEX(Salaries[O/U],MATCH(WRmatchups[[#This Row],[Team]],Salaries[Team],0)),"")</f>
        <v>44</v>
      </c>
      <c r="L118" s="32">
        <f>IFERROR(INDEX(Salaries[Team O/U],MATCH(WRmatchups[[#This Row],[Team]],Salaries[Team],0)),"")</f>
        <v>20.5</v>
      </c>
      <c r="M118" s="417">
        <f>IFERROR(INDEX(Salaries[Spread],MATCH(WRmatchups[[#This Row],[Team]],Salaries[Team],0)),"")</f>
        <v>3</v>
      </c>
      <c r="N118" s="424">
        <f>IFERROR(INDEX(WRallowed[DVP],MATCH(WRmatchups[[#This Row],[Opp]],WRallowed[Team],0)),IFERROR(INDEX(WRallowed[DVP],MATCH(WRmatchups[[#This Row],[Opp]],WRallowed[Opp],0)),""))</f>
        <v>1</v>
      </c>
      <c r="O118" s="17">
        <f>IFERROR(INDEX(YAtCData[YAtC],MATCH(WRmatchups[[#This Row],[Name]],YAtCData[Player],0)),"0")</f>
        <v>14</v>
      </c>
      <c r="P118" s="497">
        <f>IFERROR(INDEX(YAtCData[YAtC/Rec],MATCH(WRmatchups[[#This Row],[Name]],YAtCData[Player],0)),"0")</f>
        <v>4.67</v>
      </c>
      <c r="Q118" s="17">
        <f>IFERROR(INDEX(YAtCData[YAC],MATCH(WRmatchups[[#This Row],[Name]],YAtCData[Player],0)),"0")</f>
        <v>8</v>
      </c>
      <c r="R118" s="497">
        <f>IFERROR(INDEX(YACDATA[YAC per Reception],MATCH(WRmatchups[[#This Row],[Name]],YACDATA[Player],0)),"0")</f>
        <v>2.7</v>
      </c>
      <c r="S118" s="431">
        <f>AVERAGE(WRmatchups[[#This Row],[Tar1]:[Tar3]])</f>
        <v>0.3</v>
      </c>
      <c r="T118" s="465">
        <f>AVERAGE(WRmatchups[[#This Row],[Rec1]:[Rec3]])</f>
        <v>0.76833333333333342</v>
      </c>
      <c r="U118" s="468">
        <f>SUM(WRmatchups[[#This Row],[Rec4]]/WRmatchups[[#This Row],[Targets2]])</f>
        <v>2.5611111111111113</v>
      </c>
      <c r="V118" s="417">
        <f>AVERAGE(WRmatchups[[#This Row],[Yards1]:[Yards3]])</f>
        <v>7.3183333333333325</v>
      </c>
      <c r="W118" s="461">
        <f>SUM(WRmatchups[[#This Row],[Yards]]/WRmatchups[[#This Row],[Targets2]])</f>
        <v>24.394444444444442</v>
      </c>
      <c r="X118" s="32">
        <f>AVERAGE(WRmatchups[[#This Row],[TD1]:[TD3]])</f>
        <v>1.95E-2</v>
      </c>
      <c r="Y118" s="14">
        <f>_xlfn.RANK.EQ(WRmatchups[[#This Row],[Projection]],WRmatchups[Projection],0)</f>
        <v>108</v>
      </c>
      <c r="Z118" s="45">
        <f>SUM(WRmatchups[[#This Row],[Yards]]*0.1)+(WRmatchups[[#This Row],[RecTD5]]*6)+(WRmatchups[[#This Row],[Rec4]]*1)+(WRmatchups[[#This Row],[100+]])</f>
        <v>1.6171666666666669</v>
      </c>
      <c r="AA118" s="346">
        <f>_xlfn.RANK.EQ(WRmatchups[[#This Row],[$/FP]],WRmatchups[$/FP],1)</f>
        <v>109</v>
      </c>
      <c r="AB118" s="199">
        <f>SUM(WRmatchups[[#This Row],[Salary]]/WRmatchups[[#This Row],[Projection]])</f>
        <v>1855.0963619499121</v>
      </c>
      <c r="AC118" s="316">
        <f>_xlfn.RANK.EQ(WRmatchups[[#This Row],[Average]],WRmatchups[Average],1)</f>
        <v>109</v>
      </c>
      <c r="AD118" s="316">
        <f>AVERAGE(WRmatchups[[#This Row],[Proj Rank]],WRmatchups[[#This Row],[Value Rank]])</f>
        <v>108.5</v>
      </c>
      <c r="AE118" s="214">
        <f>WRmatchups[[#This Row],[Salary]]/50000</f>
        <v>0.06</v>
      </c>
      <c r="AF118" s="214"/>
      <c r="AG118" s="14">
        <f>IFERROR(INDEX(WRstats3[Targets],MATCH(WRmatchups[[#This Row],[Name]],WRstats3[Player],0)),"0")</f>
        <v>0.3</v>
      </c>
      <c r="AH118" s="14" t="str">
        <f>IFERROR(INDEX(WRstats2[Targets],MATCH(WRmatchups[[#This Row],[Name]],WRstats2[Player],0)),"0")</f>
        <v>0</v>
      </c>
      <c r="AI118" s="14">
        <f>IFERROR(INDEX(WRstats3[Targets],MATCH(WRmatchups[[#This Row],[Name]],WRstats3[Player],0)),"0")</f>
        <v>0.3</v>
      </c>
      <c r="AJ118" s="14">
        <f>IFERROR(INDEX(WRstats1[Rec],MATCH(WRmatchups[[#This Row],[Name]],WRstats1[Player],0)),"0")</f>
        <v>0.80500000000000005</v>
      </c>
      <c r="AK118" s="14">
        <f>IFERROR(INDEX(WRstats2[Rec],MATCH(WRmatchups[[#This Row],[Name]],WRstats2[Player],0)),"0")</f>
        <v>1.3</v>
      </c>
      <c r="AL118" s="14">
        <f>IFERROR(INDEX(WRstats3[Rec],MATCH(WRmatchups[[#This Row],[Name]],WRstats3[Player],0)),"0")</f>
        <v>0.2</v>
      </c>
      <c r="AM118" s="32">
        <f>IFERROR(INDEX(WRallowed[Rec],MATCH(WRmatchups[[#This Row],[Opp]],WRallowed[Team],0)),"0")</f>
        <v>13.9375</v>
      </c>
      <c r="AN118" s="14">
        <f>IFERROR(INDEX(WRstats1[Rec Yds],MATCH(WRmatchups[[#This Row],[Name]],WRstats1[Player],0)),"0")</f>
        <v>6.3550000000000004</v>
      </c>
      <c r="AO118" s="14">
        <f>IFERROR(INDEX(WRstats2[RecYards],MATCH(WRmatchups[[#This Row],[Name]],WRstats2[Player],0)),"0")</f>
        <v>14.2</v>
      </c>
      <c r="AP118" s="14">
        <f>IFERROR(INDEX(WRstats3[RecYards],MATCH(WRmatchups[[#This Row],[Name]],WRstats3[Player],0)),"0")</f>
        <v>1.4</v>
      </c>
      <c r="AQ118" s="32">
        <f>IFERROR(INDEX(WRallowed[Yard],MATCH(WRmatchups[[#This Row],[Opp]],WRallowed[Team],0)),"0")</f>
        <v>176.3125</v>
      </c>
      <c r="AR118" s="14">
        <f>IFERROR(INDEX(WRstats1[Rec TD],MATCH(WRmatchups[[#This Row],[Name]],WRstats1[Player],0)),"0")</f>
        <v>3.9E-2</v>
      </c>
      <c r="AS118" s="14" t="str">
        <f>IFERROR(INDEX(WRstats2[RecTD],MATCH(WRmatchups[[#This Row],[Name]],WRstats2[Player],0)),"0")</f>
        <v>0.1</v>
      </c>
      <c r="AT118" s="14">
        <f>IFERROR(INDEX(WRstats3[RecTD],MATCH(WRmatchups[[#This Row],[Name]],WRstats3[Player],0)),"0")</f>
        <v>0</v>
      </c>
      <c r="AU118" s="32">
        <f>IFERROR(INDEX(WRallowed[TD],MATCH(WRmatchups[[#This Row],[Opp]],WRallowed[Team],0)),"0")*0.5</f>
        <v>0.59375</v>
      </c>
      <c r="AV118" s="14" t="str">
        <f>IFERROR(INDEX(WRstats2[RushAtt],MATCH(WRmatchups[[#This Row],[Name]],WRstats2[Player],0)),"0")</f>
        <v>0.1</v>
      </c>
      <c r="AW118" s="14">
        <f>IFERROR(INDEX(WRstats3[RushATT],MATCH(WRmatchups[[#This Row],[Name]],WRstats3[Player],0)),"0")</f>
        <v>0</v>
      </c>
      <c r="AX118" s="14" t="str">
        <f>IFERROR(INDEX(WRstats2[RushYards],MATCH(WRmatchups[[#This Row],[Name]],WRstats2[Player],0)),"0")</f>
        <v>0.3</v>
      </c>
      <c r="AY118" s="14">
        <f>IFERROR(INDEX(WRstats3[RushYards],MATCH(WRmatchups[[#This Row],[Name]],WRstats3[Player],0)),"0")</f>
        <v>0</v>
      </c>
      <c r="AZ118" s="14" t="str">
        <f>IFERROR(INDEX(WRstats2[RushTD],MATCH(WRmatchups[[#This Row],[Name]],WRstats2[Player],0)),"0")</f>
        <v>0</v>
      </c>
      <c r="BA118" s="14">
        <f>IFERROR(INDEX(WRstats3[RushTD],MATCH(WRmatchups[[#This Row],[Name]],WRstats3[Player],0)),"0")</f>
        <v>0</v>
      </c>
      <c r="BB118" s="264">
        <f>IF(WRmatchups[[#This Row],[Yards]]&gt;=100,3,0)</f>
        <v>0</v>
      </c>
      <c r="BC118" s="191" t="str">
        <f>IFERROR(INDEX(#REF!,MATCH(WRmatchups[Name],#REF!,0)),"0")</f>
        <v>0</v>
      </c>
      <c r="BD118" s="494">
        <f>WRmatchups[[#This Row],[Targets]]/WRmatchups[[#This Row],[Salary]]*100</f>
        <v>0.13333333333333333</v>
      </c>
    </row>
    <row r="119" spans="1:56" ht="15" thickBot="1" x14ac:dyDescent="0.35">
      <c r="A119" s="37">
        <f>WRstats1!AL108</f>
        <v>1.3</v>
      </c>
      <c r="B119" s="34" t="str">
        <f>WRstats1!D108</f>
        <v>Malcolm Mitchell</v>
      </c>
      <c r="C119" s="172">
        <f>IFERROR(INDEX(Salaries[DraftKings (Price)],MATCH(WRmatchups[[#This Row],[Name]],Salaries[Player],0)),"")</f>
        <v>3000</v>
      </c>
      <c r="D119" s="172">
        <f>IFERROR(INDEX(DK_Salary_Changes[WeekChange],MATCH(WRmatchups[[#This Row],[Name]],DK_Salary_Changes[Player],0)),"")</f>
        <v>0</v>
      </c>
      <c r="E119" s="14" t="str">
        <f>IFERROR(INDEX(Salaries[Team],MATCH(WRmatchups[[#This Row],[Name]],Salaries[Player],0)),"")</f>
        <v>NE</v>
      </c>
      <c r="F119" s="460" t="str">
        <f>IFERROR(INDEX(Salaries[Opp],MATCH(WRmatchups[[#This Row],[Team]],Salaries[Team],0)),"")</f>
        <v>BUF</v>
      </c>
      <c r="G119" s="476" t="str">
        <f>IFERROR(INDEX(WRYTD[Rec],MATCH(WRmatchups[Name],WRYTD[Player],0)),"0")</f>
        <v>0</v>
      </c>
      <c r="H119" s="458">
        <f>IFERROR(INDEX(targettracker54[TTL],MATCH(WRmatchups[Name],targettracker54[Name],0)),"")</f>
        <v>9</v>
      </c>
      <c r="I119" s="475" t="str">
        <f>IFERROR(INDEX(WRYTD[Rec Yds],MATCH(WRmatchups[Name],WRYTD[Player],0)),"0")</f>
        <v>0</v>
      </c>
      <c r="J119" s="477" t="str">
        <f>IFERROR(INDEX(WRYTD[Rec TD],MATCH(WRmatchups[Name],WRYTD[Player],0)),"0")</f>
        <v>0</v>
      </c>
      <c r="K119" s="473">
        <f>IFERROR(INDEX(Salaries[O/U],MATCH(WRmatchups[[#This Row],[Team]],Salaries[Team],0)),"")</f>
        <v>44</v>
      </c>
      <c r="L119" s="32">
        <f>IFERROR(INDEX(Salaries[Team O/U],MATCH(WRmatchups[[#This Row],[Team]],Salaries[Team],0)),"")</f>
        <v>24.25</v>
      </c>
      <c r="M119" s="417">
        <f>IFERROR(INDEX(Salaries[Spread],MATCH(WRmatchups[[#This Row],[Team]],Salaries[Team],0)),"")</f>
        <v>-4.5</v>
      </c>
      <c r="N119" s="424">
        <f>IFERROR(INDEX(WRallowed[DVP],MATCH(WRmatchups[[#This Row],[Opp]],WRallowed[Team],0)),IFERROR(INDEX(WRallowed[DVP],MATCH(WRmatchups[[#This Row],[Opp]],WRallowed[Opp],0)),""))</f>
        <v>23</v>
      </c>
      <c r="O119" s="17">
        <f>IFERROR(INDEX(YAtCData[YAtC],MATCH(WRmatchups[[#This Row],[Name]],YAtCData[Player],0)),"0")</f>
        <v>31</v>
      </c>
      <c r="P119" s="497">
        <f>IFERROR(INDEX(YAtCData[YAtC/Rec],MATCH(WRmatchups[[#This Row],[Name]],YAtCData[Player],0)),"0")</f>
        <v>7.75</v>
      </c>
      <c r="Q119" s="17">
        <f>IFERROR(INDEX(YAtCData[YAC],MATCH(WRmatchups[[#This Row],[Name]],YAtCData[Player],0)),"0")</f>
        <v>44</v>
      </c>
      <c r="R119" s="497">
        <f>IFERROR(INDEX(YACDATA[YAC per Reception],MATCH(WRmatchups[[#This Row],[Name]],YACDATA[Player],0)),"0")</f>
        <v>11</v>
      </c>
      <c r="S119" s="431">
        <f>AVERAGE(WRmatchups[[#This Row],[Tar1]:[Tar3]])</f>
        <v>1.1000000000000001</v>
      </c>
      <c r="T119" s="465">
        <f>AVERAGE(WRmatchups[[#This Row],[Rec1]:[Rec3]])</f>
        <v>0.65700000000000003</v>
      </c>
      <c r="U119" s="468">
        <f>SUM(WRmatchups[[#This Row],[Rec4]]/WRmatchups[[#This Row],[Targets2]])</f>
        <v>0.59727272727272729</v>
      </c>
      <c r="V119" s="417">
        <f>AVERAGE(WRmatchups[[#This Row],[Yards1]:[Yards3]])</f>
        <v>7.5084999999999997</v>
      </c>
      <c r="W119" s="461">
        <f>SUM(WRmatchups[[#This Row],[Yards]]/WRmatchups[[#This Row],[Targets2]])</f>
        <v>6.8259090909090903</v>
      </c>
      <c r="X119" s="32">
        <f>AVERAGE(WRmatchups[[#This Row],[TD1]:[TD3]])</f>
        <v>2.35E-2</v>
      </c>
      <c r="Y119" s="14">
        <f>_xlfn.RANK.EQ(WRmatchups[[#This Row],[Projection]],WRmatchups[Projection],0)</f>
        <v>109</v>
      </c>
      <c r="Z119" s="45">
        <f>SUM(WRmatchups[[#This Row],[Yards]]*0.1)+(WRmatchups[[#This Row],[RecTD5]]*6)+(WRmatchups[[#This Row],[Rec4]]*1)+(WRmatchups[[#This Row],[100+]])</f>
        <v>1.5488500000000001</v>
      </c>
      <c r="AA119" s="346">
        <f>_xlfn.RANK.EQ(WRmatchups[[#This Row],[$/FP]],WRmatchups[$/FP],1)</f>
        <v>110</v>
      </c>
      <c r="AB119" s="199">
        <f>SUM(WRmatchups[[#This Row],[Salary]]/WRmatchups[[#This Row],[Projection]])</f>
        <v>1936.9209413435774</v>
      </c>
      <c r="AC119" s="316">
        <f>_xlfn.RANK.EQ(WRmatchups[[#This Row],[Average]],WRmatchups[Average],1)</f>
        <v>110</v>
      </c>
      <c r="AD119" s="316">
        <f>AVERAGE(WRmatchups[[#This Row],[Proj Rank]],WRmatchups[[#This Row],[Value Rank]])</f>
        <v>109.5</v>
      </c>
      <c r="AE119" s="214">
        <f>WRmatchups[[#This Row],[Salary]]/50000</f>
        <v>0.06</v>
      </c>
      <c r="AF119" s="214"/>
      <c r="AG119" s="14">
        <f>IFERROR(INDEX(WRstats3[Targets],MATCH(WRmatchups[[#This Row],[Name]],WRstats3[Player],0)),"0")</f>
        <v>1.1000000000000001</v>
      </c>
      <c r="AH119" s="14" t="str">
        <f>IFERROR(INDEX(WRstats2[Targets],MATCH(WRmatchups[[#This Row],[Name]],WRstats2[Player],0)),"0")</f>
        <v>0</v>
      </c>
      <c r="AI119" s="14">
        <f>IFERROR(INDEX(WRstats3[Targets],MATCH(WRmatchups[[#This Row],[Name]],WRstats3[Player],0)),"0")</f>
        <v>1.1000000000000001</v>
      </c>
      <c r="AJ119" s="14">
        <f>IFERROR(INDEX(WRstats1[Rec],MATCH(WRmatchups[[#This Row],[Name]],WRstats1[Player],0)),"0")</f>
        <v>0.61399999999999999</v>
      </c>
      <c r="AK119" s="14" t="str">
        <f>IFERROR(INDEX(WRstats2[Rec],MATCH(WRmatchups[[#This Row],[Name]],WRstats2[Player],0)),"0")</f>
        <v>0</v>
      </c>
      <c r="AL119" s="14">
        <f>IFERROR(INDEX(WRstats3[Rec],MATCH(WRmatchups[[#This Row],[Name]],WRstats3[Player],0)),"0")</f>
        <v>0.7</v>
      </c>
      <c r="AM119" s="32">
        <f>IFERROR(INDEX(WRallowed[Rec],MATCH(WRmatchups[[#This Row],[Opp]],WRallowed[Team],0)),"0")</f>
        <v>11.5625</v>
      </c>
      <c r="AN119" s="14">
        <f>IFERROR(INDEX(WRstats1[Rec Yds],MATCH(WRmatchups[[#This Row],[Name]],WRstats1[Player],0)),"0")</f>
        <v>7.4169999999999998</v>
      </c>
      <c r="AO119" s="14" t="str">
        <f>IFERROR(INDEX(WRstats2[RecYards],MATCH(WRmatchups[[#This Row],[Name]],WRstats2[Player],0)),"0")</f>
        <v>0</v>
      </c>
      <c r="AP119" s="14">
        <f>IFERROR(INDEX(WRstats3[RecYards],MATCH(WRmatchups[[#This Row],[Name]],WRstats3[Player],0)),"0")</f>
        <v>7.6</v>
      </c>
      <c r="AQ119" s="32">
        <f>IFERROR(INDEX(WRallowed[Yard],MATCH(WRmatchups[[#This Row],[Opp]],WRallowed[Team],0)),"0")</f>
        <v>176.125</v>
      </c>
      <c r="AR119" s="14">
        <f>IFERROR(INDEX(WRstats1[Rec TD],MATCH(WRmatchups[[#This Row],[Name]],WRstats1[Player],0)),"0")</f>
        <v>4.7E-2</v>
      </c>
      <c r="AS119" s="14" t="str">
        <f>IFERROR(INDEX(WRstats2[RecTD],MATCH(WRmatchups[[#This Row],[Name]],WRstats2[Player],0)),"0")</f>
        <v>0</v>
      </c>
      <c r="AT119" s="14">
        <f>IFERROR(INDEX(WRstats3[RecTD],MATCH(WRmatchups[[#This Row],[Name]],WRstats3[Player],0)),"0")</f>
        <v>0</v>
      </c>
      <c r="AU119" s="32">
        <f>IFERROR(INDEX(WRallowed[TD],MATCH(WRmatchups[[#This Row],[Opp]],WRallowed[Team],0)),"0")*0.5</f>
        <v>0.71875</v>
      </c>
      <c r="AV119" s="14" t="str">
        <f>IFERROR(INDEX(WRstats2[RushAtt],MATCH(WRmatchups[[#This Row],[Name]],WRstats2[Player],0)),"0")</f>
        <v>0</v>
      </c>
      <c r="AW119" s="14">
        <f>IFERROR(INDEX(WRstats3[RushATT],MATCH(WRmatchups[[#This Row],[Name]],WRstats3[Player],0)),"0")</f>
        <v>0</v>
      </c>
      <c r="AX119" s="14" t="str">
        <f>IFERROR(INDEX(WRstats2[RushYards],MATCH(WRmatchups[[#This Row],[Name]],WRstats2[Player],0)),"0")</f>
        <v>0</v>
      </c>
      <c r="AY119" s="14">
        <f>IFERROR(INDEX(WRstats3[RushYards],MATCH(WRmatchups[[#This Row],[Name]],WRstats3[Player],0)),"0")</f>
        <v>0</v>
      </c>
      <c r="AZ119" s="14" t="str">
        <f>IFERROR(INDEX(WRstats2[RushTD],MATCH(WRmatchups[[#This Row],[Name]],WRstats2[Player],0)),"0")</f>
        <v>0</v>
      </c>
      <c r="BA119" s="14">
        <f>IFERROR(INDEX(WRstats3[RushTD],MATCH(WRmatchups[[#This Row],[Name]],WRstats3[Player],0)),"0")</f>
        <v>0</v>
      </c>
      <c r="BB119" s="264">
        <f>IF(WRmatchups[[#This Row],[Yards]]&gt;=100,3,0)</f>
        <v>0</v>
      </c>
      <c r="BC119" s="191" t="str">
        <f>IFERROR(INDEX(#REF!,MATCH(WRmatchups[Name],#REF!,0)),"0")</f>
        <v>0</v>
      </c>
      <c r="BD119" s="494">
        <f>WRmatchups[[#This Row],[Targets]]/WRmatchups[[#This Row],[Salary]]*100</f>
        <v>0.3</v>
      </c>
    </row>
    <row r="120" spans="1:56" ht="15" thickBot="1" x14ac:dyDescent="0.35">
      <c r="A120" s="37">
        <f>WRstats1!AL100</f>
        <v>0</v>
      </c>
      <c r="B120" s="34" t="str">
        <f>WRstats1!D100</f>
        <v>Walter Powell</v>
      </c>
      <c r="C120" s="172">
        <f>IFERROR(INDEX(Salaries[DraftKings (Price)],MATCH(WRmatchups[[#This Row],[Name]],Salaries[Player],0)),"")</f>
        <v>0</v>
      </c>
      <c r="D120" s="172" t="str">
        <f>IFERROR(INDEX(DK_Salary_Changes[WeekChange],MATCH(WRmatchups[[#This Row],[Name]],DK_Salary_Changes[Player],0)),"")</f>
        <v/>
      </c>
      <c r="E120" s="14" t="str">
        <f>IFERROR(INDEX(Salaries[Team],MATCH(WRmatchups[[#This Row],[Name]],Salaries[Player],0)),"")</f>
        <v>BUF</v>
      </c>
      <c r="F120" s="460" t="str">
        <f>IFERROR(INDEX(Salaries[Opp],MATCH(WRmatchups[[#This Row],[Team]],Salaries[Team],0)),"")</f>
        <v>@NE</v>
      </c>
      <c r="G120" s="476" t="str">
        <f>IFERROR(INDEX(WRYTD[Rec],MATCH(WRmatchups[Name],WRYTD[Player],0)),"0")</f>
        <v>0</v>
      </c>
      <c r="H120" s="458">
        <f>IFERROR(INDEX(targettracker54[TTL],MATCH(WRmatchups[Name],targettracker54[Name],0)),"")</f>
        <v>5</v>
      </c>
      <c r="I120" s="475" t="str">
        <f>IFERROR(INDEX(WRYTD[Rec Yds],MATCH(WRmatchups[Name],WRYTD[Player],0)),"0")</f>
        <v>0</v>
      </c>
      <c r="J120" s="477" t="str">
        <f>IFERROR(INDEX(WRYTD[Rec TD],MATCH(WRmatchups[Name],WRYTD[Player],0)),"0")</f>
        <v>0</v>
      </c>
      <c r="K120" s="473">
        <f>IFERROR(INDEX(Salaries[O/U],MATCH(WRmatchups[[#This Row],[Team]],Salaries[Team],0)),"")</f>
        <v>44</v>
      </c>
      <c r="L120" s="32">
        <f>IFERROR(INDEX(Salaries[Team O/U],MATCH(WRmatchups[[#This Row],[Team]],Salaries[Team],0)),"")</f>
        <v>19.75</v>
      </c>
      <c r="M120" s="417">
        <f>IFERROR(INDEX(Salaries[Spread],MATCH(WRmatchups[[#This Row],[Team]],Salaries[Team],0)),"")</f>
        <v>4.5</v>
      </c>
      <c r="N120" s="424">
        <f>IFERROR(INDEX(WRallowed[DVP],MATCH(WRmatchups[[#This Row],[Opp]],WRallowed[Team],0)),IFERROR(INDEX(WRallowed[DVP],MATCH(WRmatchups[[#This Row],[Opp]],WRallowed[Opp],0)),""))</f>
        <v>20</v>
      </c>
      <c r="O120" s="17" t="str">
        <f>IFERROR(INDEX(YAtCData[YAtC],MATCH(WRmatchups[[#This Row],[Name]],YAtCData[Player],0)),"0")</f>
        <v>0</v>
      </c>
      <c r="P120" s="497" t="str">
        <f>IFERROR(INDEX(YAtCData[YAtC/Rec],MATCH(WRmatchups[[#This Row],[Name]],YAtCData[Player],0)),"0")</f>
        <v>0</v>
      </c>
      <c r="Q120" s="17" t="str">
        <f>IFERROR(INDEX(YAtCData[YAC],MATCH(WRmatchups[[#This Row],[Name]],YAtCData[Player],0)),"0")</f>
        <v>0</v>
      </c>
      <c r="R120" s="497" t="str">
        <f>IFERROR(INDEX(YACDATA[YAC per Reception],MATCH(WRmatchups[[#This Row],[Name]],YACDATA[Player],0)),"0")</f>
        <v>0</v>
      </c>
      <c r="S120" s="431">
        <f>AVERAGE(WRmatchups[[#This Row],[Tar1]:[Tar3]])</f>
        <v>0.3</v>
      </c>
      <c r="T120" s="465">
        <f>AVERAGE(WRmatchups[[#This Row],[Rec1]:[Rec3]])</f>
        <v>0.59950000000000003</v>
      </c>
      <c r="U120" s="468">
        <f>SUM(WRmatchups[[#This Row],[Rec4]]/WRmatchups[[#This Row],[Targets2]])</f>
        <v>1.9983333333333335</v>
      </c>
      <c r="V120" s="417">
        <f>AVERAGE(WRmatchups[[#This Row],[Yards1]:[Yards3]])</f>
        <v>7.4815000000000005</v>
      </c>
      <c r="W120" s="461">
        <f>SUM(WRmatchups[[#This Row],[Yards]]/WRmatchups[[#This Row],[Targets2]])</f>
        <v>24.938333333333336</v>
      </c>
      <c r="X120" s="32">
        <f>AVERAGE(WRmatchups[[#This Row],[TD1]:[TD3]])</f>
        <v>2.3E-2</v>
      </c>
      <c r="Y120" s="14">
        <f>_xlfn.RANK.EQ(WRmatchups[[#This Row],[Projection]],WRmatchups[Projection],0)</f>
        <v>110</v>
      </c>
      <c r="Z120" s="45">
        <f>SUM(WRmatchups[[#This Row],[Yards]]*0.1)+(WRmatchups[[#This Row],[RecTD5]]*6)+(WRmatchups[[#This Row],[Rec4]]*1)+(WRmatchups[[#This Row],[100+]])</f>
        <v>1.4856500000000001</v>
      </c>
      <c r="AA120" s="346">
        <f>_xlfn.RANK.EQ(WRmatchups[[#This Row],[$/FP]],WRmatchups[$/FP],1)</f>
        <v>1</v>
      </c>
      <c r="AB120" s="199">
        <f>SUM(WRmatchups[[#This Row],[Salary]]/WRmatchups[[#This Row],[Projection]])</f>
        <v>0</v>
      </c>
      <c r="AC120" s="316">
        <f>_xlfn.RANK.EQ(WRmatchups[[#This Row],[Average]],WRmatchups[Average],1)</f>
        <v>62</v>
      </c>
      <c r="AD120" s="316">
        <f>AVERAGE(WRmatchups[[#This Row],[Proj Rank]],WRmatchups[[#This Row],[Value Rank]])</f>
        <v>55.5</v>
      </c>
      <c r="AE120" s="214">
        <f>WRmatchups[[#This Row],[Salary]]/50000</f>
        <v>0</v>
      </c>
      <c r="AF120" s="214"/>
      <c r="AG120" s="14">
        <f>IFERROR(INDEX(WRstats3[Targets],MATCH(WRmatchups[[#This Row],[Name]],WRstats3[Player],0)),"0")</f>
        <v>0.3</v>
      </c>
      <c r="AH120" s="14" t="str">
        <f>IFERROR(INDEX(WRstats2[Targets],MATCH(WRmatchups[[#This Row],[Name]],WRstats2[Player],0)),"0")</f>
        <v>0</v>
      </c>
      <c r="AI120" s="14">
        <f>IFERROR(INDEX(WRstats3[Targets],MATCH(WRmatchups[[#This Row],[Name]],WRstats3[Player],0)),"0")</f>
        <v>0.3</v>
      </c>
      <c r="AJ120" s="14">
        <f>IFERROR(INDEX(WRstats1[Rec],MATCH(WRmatchups[[#This Row],[Name]],WRstats1[Player],0)),"0")</f>
        <v>0.999</v>
      </c>
      <c r="AK120" s="14" t="str">
        <f>IFERROR(INDEX(WRstats2[Rec],MATCH(WRmatchups[[#This Row],[Name]],WRstats2[Player],0)),"0")</f>
        <v>0</v>
      </c>
      <c r="AL120" s="14">
        <f>IFERROR(INDEX(WRstats3[Rec],MATCH(WRmatchups[[#This Row],[Name]],WRstats3[Player],0)),"0")</f>
        <v>0.2</v>
      </c>
      <c r="AM120" s="32" t="str">
        <f>IFERROR(INDEX(WRallowed[Rec],MATCH(WRmatchups[[#This Row],[Opp]],WRallowed[Team],0)),"0")</f>
        <v>0</v>
      </c>
      <c r="AN120" s="14">
        <f>IFERROR(INDEX(WRstats1[Rec Yds],MATCH(WRmatchups[[#This Row],[Name]],WRstats1[Player],0)),"0")</f>
        <v>12.763</v>
      </c>
      <c r="AO120" s="14" t="str">
        <f>IFERROR(INDEX(WRstats2[RecYards],MATCH(WRmatchups[[#This Row],[Name]],WRstats2[Player],0)),"0")</f>
        <v>0</v>
      </c>
      <c r="AP120" s="14">
        <f>IFERROR(INDEX(WRstats3[RecYards],MATCH(WRmatchups[[#This Row],[Name]],WRstats3[Player],0)),"0")</f>
        <v>2.2000000000000002</v>
      </c>
      <c r="AQ120" s="32" t="str">
        <f>IFERROR(INDEX(WRallowed[Yard],MATCH(WRmatchups[[#This Row],[Opp]],WRallowed[Team],0)),"0")</f>
        <v>0</v>
      </c>
      <c r="AR120" s="14">
        <f>IFERROR(INDEX(WRstats1[Rec TD],MATCH(WRmatchups[[#This Row],[Name]],WRstats1[Player],0)),"0")</f>
        <v>4.5999999999999999E-2</v>
      </c>
      <c r="AS120" s="14" t="str">
        <f>IFERROR(INDEX(WRstats2[RecTD],MATCH(WRmatchups[[#This Row],[Name]],WRstats2[Player],0)),"0")</f>
        <v>0</v>
      </c>
      <c r="AT120" s="14">
        <f>IFERROR(INDEX(WRstats3[RecTD],MATCH(WRmatchups[[#This Row],[Name]],WRstats3[Player],0)),"0")</f>
        <v>0</v>
      </c>
      <c r="AU120" s="32">
        <f>IFERROR(INDEX(WRallowed[TD],MATCH(WRmatchups[[#This Row],[Opp]],WRallowed[Team],0)),"0")*0.5</f>
        <v>0</v>
      </c>
      <c r="AV120" s="14" t="str">
        <f>IFERROR(INDEX(WRstats2[RushAtt],MATCH(WRmatchups[[#This Row],[Name]],WRstats2[Player],0)),"0")</f>
        <v>0</v>
      </c>
      <c r="AW120" s="14">
        <f>IFERROR(INDEX(WRstats3[RushATT],MATCH(WRmatchups[[#This Row],[Name]],WRstats3[Player],0)),"0")</f>
        <v>0</v>
      </c>
      <c r="AX120" s="14" t="str">
        <f>IFERROR(INDEX(WRstats2[RushYards],MATCH(WRmatchups[[#This Row],[Name]],WRstats2[Player],0)),"0")</f>
        <v>0</v>
      </c>
      <c r="AY120" s="14">
        <f>IFERROR(INDEX(WRstats3[RushYards],MATCH(WRmatchups[[#This Row],[Name]],WRstats3[Player],0)),"0")</f>
        <v>0</v>
      </c>
      <c r="AZ120" s="14" t="str">
        <f>IFERROR(INDEX(WRstats2[RushTD],MATCH(WRmatchups[[#This Row],[Name]],WRstats2[Player],0)),"0")</f>
        <v>0</v>
      </c>
      <c r="BA120" s="14">
        <f>IFERROR(INDEX(WRstats3[RushTD],MATCH(WRmatchups[[#This Row],[Name]],WRstats3[Player],0)),"0")</f>
        <v>0</v>
      </c>
      <c r="BB120" s="264">
        <f>IF(WRmatchups[[#This Row],[Yards]]&gt;=100,3,0)</f>
        <v>0</v>
      </c>
      <c r="BC120" s="191" t="str">
        <f>IFERROR(INDEX(#REF!,MATCH(WRmatchups[Name],#REF!,0)),"0")</f>
        <v>0</v>
      </c>
      <c r="BD120" s="494" t="e">
        <f>WRmatchups[[#This Row],[Targets]]/WRmatchups[[#This Row],[Salary]]*100</f>
        <v>#DIV/0!</v>
      </c>
    </row>
    <row r="121" spans="1:56" ht="15" thickBot="1" x14ac:dyDescent="0.35">
      <c r="A121" s="37">
        <f>WRstats1!AL109</f>
        <v>1.2</v>
      </c>
      <c r="B121" s="34" t="str">
        <f>WRstats1!D109</f>
        <v>Cody Latimer</v>
      </c>
      <c r="C121" s="172">
        <f>IFERROR(INDEX(Salaries[DraftKings (Price)],MATCH(WRmatchups[[#This Row],[Name]],Salaries[Player],0)),"")</f>
        <v>3000</v>
      </c>
      <c r="D121" s="172">
        <f>IFERROR(INDEX(DK_Salary_Changes[WeekChange],MATCH(WRmatchups[[#This Row],[Name]],DK_Salary_Changes[Player],0)),"")</f>
        <v>0</v>
      </c>
      <c r="E121" s="14" t="str">
        <f>IFERROR(INDEX(Salaries[Team],MATCH(WRmatchups[[#This Row],[Name]],Salaries[Player],0)),"")</f>
        <v>DEN</v>
      </c>
      <c r="F121" s="460" t="str">
        <f>IFERROR(INDEX(Salaries[Opp],MATCH(WRmatchups[[#This Row],[Team]],Salaries[Team],0)),"")</f>
        <v>@TB</v>
      </c>
      <c r="G121" s="476" t="str">
        <f>IFERROR(INDEX(WRYTD[Rec],MATCH(WRmatchups[Name],WRYTD[Player],0)),"0")</f>
        <v>0</v>
      </c>
      <c r="H121" s="458">
        <f>IFERROR(INDEX(targettracker54[TTL],MATCH(WRmatchups[Name],targettracker54[Name],0)),"")</f>
        <v>3</v>
      </c>
      <c r="I121" s="475" t="str">
        <f>IFERROR(INDEX(WRYTD[Rec Yds],MATCH(WRmatchups[Name],WRYTD[Player],0)),"0")</f>
        <v>0</v>
      </c>
      <c r="J121" s="477" t="str">
        <f>IFERROR(INDEX(WRYTD[Rec TD],MATCH(WRmatchups[Name],WRYTD[Player],0)),"0")</f>
        <v>0</v>
      </c>
      <c r="K121" s="473">
        <f>IFERROR(INDEX(Salaries[O/U],MATCH(WRmatchups[[#This Row],[Team]],Salaries[Team],0)),"")</f>
        <v>44</v>
      </c>
      <c r="L121" s="32">
        <f>IFERROR(INDEX(Salaries[Team O/U],MATCH(WRmatchups[[#This Row],[Team]],Salaries[Team],0)),"")</f>
        <v>23.5</v>
      </c>
      <c r="M121" s="417">
        <f>IFERROR(INDEX(Salaries[Spread],MATCH(WRmatchups[[#This Row],[Team]],Salaries[Team],0)),"")</f>
        <v>-3</v>
      </c>
      <c r="N121" s="424">
        <f>IFERROR(INDEX(WRallowed[DVP],MATCH(WRmatchups[[#This Row],[Opp]],WRallowed[Team],0)),IFERROR(INDEX(WRallowed[DVP],MATCH(WRmatchups[[#This Row],[Opp]],WRallowed[Opp],0)),""))</f>
        <v>26</v>
      </c>
      <c r="O121" s="17">
        <f>IFERROR(INDEX(YAtCData[YAtC],MATCH(WRmatchups[[#This Row],[Name]],YAtCData[Player],0)),"0")</f>
        <v>22</v>
      </c>
      <c r="P121" s="497">
        <f>IFERROR(INDEX(YAtCData[YAtC/Rec],MATCH(WRmatchups[[#This Row],[Name]],YAtCData[Player],0)),"0")</f>
        <v>7.33</v>
      </c>
      <c r="Q121" s="17">
        <f>IFERROR(INDEX(YAtCData[YAC],MATCH(WRmatchups[[#This Row],[Name]],YAtCData[Player],0)),"0")</f>
        <v>0</v>
      </c>
      <c r="R121" s="497" t="str">
        <f>IFERROR(INDEX(YACDATA[YAC per Reception],MATCH(WRmatchups[[#This Row],[Name]],YACDATA[Player],0)),"0")</f>
        <v>0</v>
      </c>
      <c r="S121" s="431">
        <f>AVERAGE(WRmatchups[[#This Row],[Tar1]:[Tar3]])</f>
        <v>0.9</v>
      </c>
      <c r="T121" s="465">
        <f>AVERAGE(WRmatchups[[#This Row],[Rec1]:[Rec3]])</f>
        <v>0.56800000000000006</v>
      </c>
      <c r="U121" s="468">
        <f>SUM(WRmatchups[[#This Row],[Rec4]]/WRmatchups[[#This Row],[Targets2]])</f>
        <v>0.63111111111111118</v>
      </c>
      <c r="V121" s="417">
        <f>AVERAGE(WRmatchups[[#This Row],[Yards1]:[Yards3]])</f>
        <v>5.7759999999999998</v>
      </c>
      <c r="W121" s="461">
        <f>SUM(WRmatchups[[#This Row],[Yards]]/WRmatchups[[#This Row],[Targets2]])</f>
        <v>6.4177777777777774</v>
      </c>
      <c r="X121" s="32">
        <f>AVERAGE(WRmatchups[[#This Row],[TD1]:[TD3]])</f>
        <v>2.4500000000000001E-2</v>
      </c>
      <c r="Y121" s="14">
        <f>_xlfn.RANK.EQ(WRmatchups[[#This Row],[Projection]],WRmatchups[Projection],0)</f>
        <v>111</v>
      </c>
      <c r="Z121" s="45">
        <f>SUM(WRmatchups[[#This Row],[Yards]]*0.1)+(WRmatchups[[#This Row],[RecTD5]]*6)+(WRmatchups[[#This Row],[Rec4]]*1)+(WRmatchups[[#This Row],[100+]])</f>
        <v>1.2926000000000002</v>
      </c>
      <c r="AA121" s="346">
        <f>_xlfn.RANK.EQ(WRmatchups[[#This Row],[$/FP]],WRmatchups[$/FP],1)</f>
        <v>111</v>
      </c>
      <c r="AB121" s="199">
        <f>SUM(WRmatchups[[#This Row],[Salary]]/WRmatchups[[#This Row],[Projection]])</f>
        <v>2320.903605136933</v>
      </c>
      <c r="AC121" s="316">
        <f>_xlfn.RANK.EQ(WRmatchups[[#This Row],[Average]],WRmatchups[Average],1)</f>
        <v>111</v>
      </c>
      <c r="AD121" s="316">
        <f>AVERAGE(WRmatchups[[#This Row],[Proj Rank]],WRmatchups[[#This Row],[Value Rank]])</f>
        <v>111</v>
      </c>
      <c r="AE121" s="214">
        <f>WRmatchups[[#This Row],[Salary]]/50000</f>
        <v>0.06</v>
      </c>
      <c r="AF121" s="214"/>
      <c r="AG121" s="14">
        <f>IFERROR(INDEX(WRstats3[Targets],MATCH(WRmatchups[[#This Row],[Name]],WRstats3[Player],0)),"0")</f>
        <v>0.9</v>
      </c>
      <c r="AH121" s="14" t="str">
        <f>IFERROR(INDEX(WRstats2[Targets],MATCH(WRmatchups[[#This Row],[Name]],WRstats2[Player],0)),"0")</f>
        <v>0</v>
      </c>
      <c r="AI121" s="14">
        <f>IFERROR(INDEX(WRstats3[Targets],MATCH(WRmatchups[[#This Row],[Name]],WRstats3[Player],0)),"0")</f>
        <v>0.9</v>
      </c>
      <c r="AJ121" s="14">
        <f>IFERROR(INDEX(WRstats1[Rec],MATCH(WRmatchups[[#This Row],[Name]],WRstats1[Player],0)),"0")</f>
        <v>0.63600000000000001</v>
      </c>
      <c r="AK121" s="14" t="str">
        <f>IFERROR(INDEX(WRstats2[Rec],MATCH(WRmatchups[[#This Row],[Name]],WRstats2[Player],0)),"0")</f>
        <v>0</v>
      </c>
      <c r="AL121" s="14">
        <f>IFERROR(INDEX(WRstats3[Rec],MATCH(WRmatchups[[#This Row],[Name]],WRstats3[Player],0)),"0")</f>
        <v>0.5</v>
      </c>
      <c r="AM121" s="32" t="str">
        <f>IFERROR(INDEX(WRallowed[Rec],MATCH(WRmatchups[[#This Row],[Opp]],WRallowed[Team],0)),"0")</f>
        <v>0</v>
      </c>
      <c r="AN121" s="14">
        <f>IFERROR(INDEX(WRstats1[Rec Yds],MATCH(WRmatchups[[#This Row],[Name]],WRstats1[Player],0)),"0")</f>
        <v>6.3520000000000003</v>
      </c>
      <c r="AO121" s="14" t="str">
        <f>IFERROR(INDEX(WRstats2[RecYards],MATCH(WRmatchups[[#This Row],[Name]],WRstats2[Player],0)),"0")</f>
        <v>0</v>
      </c>
      <c r="AP121" s="14">
        <f>IFERROR(INDEX(WRstats3[RecYards],MATCH(WRmatchups[[#This Row],[Name]],WRstats3[Player],0)),"0")</f>
        <v>5.2</v>
      </c>
      <c r="AQ121" s="32" t="str">
        <f>IFERROR(INDEX(WRallowed[Yard],MATCH(WRmatchups[[#This Row],[Opp]],WRallowed[Team],0)),"0")</f>
        <v>0</v>
      </c>
      <c r="AR121" s="14">
        <f>IFERROR(INDEX(WRstats1[Rec TD],MATCH(WRmatchups[[#This Row],[Name]],WRstats1[Player],0)),"0")</f>
        <v>4.9000000000000002E-2</v>
      </c>
      <c r="AS121" s="14" t="str">
        <f>IFERROR(INDEX(WRstats2[RecTD],MATCH(WRmatchups[[#This Row],[Name]],WRstats2[Player],0)),"0")</f>
        <v>0</v>
      </c>
      <c r="AT121" s="14">
        <f>IFERROR(INDEX(WRstats3[RecTD],MATCH(WRmatchups[[#This Row],[Name]],WRstats3[Player],0)),"0")</f>
        <v>0</v>
      </c>
      <c r="AU121" s="32">
        <f>IFERROR(INDEX(WRallowed[TD],MATCH(WRmatchups[[#This Row],[Opp]],WRallowed[Team],0)),"0")*0.5</f>
        <v>0</v>
      </c>
      <c r="AV121" s="14" t="str">
        <f>IFERROR(INDEX(WRstats2[RushAtt],MATCH(WRmatchups[[#This Row],[Name]],WRstats2[Player],0)),"0")</f>
        <v>0</v>
      </c>
      <c r="AW121" s="14">
        <f>IFERROR(INDEX(WRstats3[RushATT],MATCH(WRmatchups[[#This Row],[Name]],WRstats3[Player],0)),"0")</f>
        <v>0.3</v>
      </c>
      <c r="AX121" s="14" t="str">
        <f>IFERROR(INDEX(WRstats2[RushYards],MATCH(WRmatchups[[#This Row],[Name]],WRstats2[Player],0)),"0")</f>
        <v>0</v>
      </c>
      <c r="AY121" s="14">
        <f>IFERROR(INDEX(WRstats3[RushYards],MATCH(WRmatchups[[#This Row],[Name]],WRstats3[Player],0)),"0")</f>
        <v>0.8</v>
      </c>
      <c r="AZ121" s="14" t="str">
        <f>IFERROR(INDEX(WRstats2[RushTD],MATCH(WRmatchups[[#This Row],[Name]],WRstats2[Player],0)),"0")</f>
        <v>0</v>
      </c>
      <c r="BA121" s="14">
        <f>IFERROR(INDEX(WRstats3[RushTD],MATCH(WRmatchups[[#This Row],[Name]],WRstats3[Player],0)),"0")</f>
        <v>0</v>
      </c>
      <c r="BB121" s="264">
        <f>IF(WRmatchups[[#This Row],[Yards]]&gt;=100,3,0)</f>
        <v>0</v>
      </c>
      <c r="BC121" s="191" t="str">
        <f>IFERROR(INDEX(#REF!,MATCH(WRmatchups[Name],#REF!,0)),"0")</f>
        <v>0</v>
      </c>
      <c r="BD121" s="494">
        <f>WRmatchups[[#This Row],[Targets]]/WRmatchups[[#This Row],[Salary]]*100</f>
        <v>0.1</v>
      </c>
    </row>
    <row r="122" spans="1:56" ht="15" thickBot="1" x14ac:dyDescent="0.35">
      <c r="A122" s="37">
        <f>WRstats1!AL111</f>
        <v>1.3</v>
      </c>
      <c r="B122" s="34" t="str">
        <f>WRstats1!D111</f>
        <v>James Wright</v>
      </c>
      <c r="C122" s="172">
        <f>IFERROR(INDEX(Salaries[DraftKings (Price)],MATCH(WRmatchups[[#This Row],[Name]],Salaries[Player],0)),"")</f>
        <v>3000</v>
      </c>
      <c r="D122" s="172">
        <f>IFERROR(INDEX(DK_Salary_Changes[WeekChange],MATCH(WRmatchups[[#This Row],[Name]],DK_Salary_Changes[Player],0)),"")</f>
        <v>0</v>
      </c>
      <c r="E122" s="14" t="str">
        <f>IFERROR(INDEX(Salaries[Team],MATCH(WRmatchups[[#This Row],[Name]],Salaries[Player],0)),"")</f>
        <v>CIN</v>
      </c>
      <c r="F122" s="460" t="str">
        <f>IFERROR(INDEX(Salaries[Opp],MATCH(WRmatchups[[#This Row],[Team]],Salaries[Team],0)),"")</f>
        <v>MIA</v>
      </c>
      <c r="G122" s="476" t="str">
        <f>IFERROR(INDEX(WRYTD[Rec],MATCH(WRmatchups[Name],WRYTD[Player],0)),"0")</f>
        <v>0</v>
      </c>
      <c r="H122" s="458">
        <f>IFERROR(INDEX(targettracker54[TTL],MATCH(WRmatchups[Name],targettracker54[Name],0)),"")</f>
        <v>3</v>
      </c>
      <c r="I122" s="475" t="str">
        <f>IFERROR(INDEX(WRYTD[Rec Yds],MATCH(WRmatchups[Name],WRYTD[Player],0)),"0")</f>
        <v>0</v>
      </c>
      <c r="J122" s="477" t="str">
        <f>IFERROR(INDEX(WRYTD[Rec TD],MATCH(WRmatchups[Name],WRYTD[Player],0)),"0")</f>
        <v>0</v>
      </c>
      <c r="K122" s="473">
        <f>IFERROR(INDEX(Salaries[O/U],MATCH(WRmatchups[[#This Row],[Team]],Salaries[Team],0)),"")</f>
        <v>44.5</v>
      </c>
      <c r="L122" s="32">
        <f>IFERROR(INDEX(Salaries[Team O/U],MATCH(WRmatchups[[#This Row],[Team]],Salaries[Team],0)),"")</f>
        <v>25.75</v>
      </c>
      <c r="M122" s="417">
        <f>IFERROR(INDEX(Salaries[Spread],MATCH(WRmatchups[[#This Row],[Team]],Salaries[Team],0)),"")</f>
        <v>-7</v>
      </c>
      <c r="N122" s="424">
        <f>IFERROR(INDEX(WRallowed[DVP],MATCH(WRmatchups[[#This Row],[Opp]],WRallowed[Team],0)),IFERROR(INDEX(WRallowed[DVP],MATCH(WRmatchups[[#This Row],[Opp]],WRallowed[Opp],0)),""))</f>
        <v>19</v>
      </c>
      <c r="O122" s="17">
        <f>IFERROR(INDEX(YAtCData[YAtC],MATCH(WRmatchups[[#This Row],[Name]],YAtCData[Player],0)),"0")</f>
        <v>13</v>
      </c>
      <c r="P122" s="497">
        <f>IFERROR(INDEX(YAtCData[YAtC/Rec],MATCH(WRmatchups[[#This Row],[Name]],YAtCData[Player],0)),"0")</f>
        <v>4.33</v>
      </c>
      <c r="Q122" s="17">
        <f>IFERROR(INDEX(YAtCData[YAC],MATCH(WRmatchups[[#This Row],[Name]],YAtCData[Player],0)),"0")</f>
        <v>14</v>
      </c>
      <c r="R122" s="497">
        <f>IFERROR(INDEX(YACDATA[YAC per Reception],MATCH(WRmatchups[[#This Row],[Name]],YACDATA[Player],0)),"0")</f>
        <v>4.7</v>
      </c>
      <c r="S122" s="431">
        <f>AVERAGE(WRmatchups[[#This Row],[Tar1]:[Tar3]])</f>
        <v>0.3</v>
      </c>
      <c r="T122" s="465">
        <f>AVERAGE(WRmatchups[[#This Row],[Rec1]:[Rec3]])</f>
        <v>0.58099999999999996</v>
      </c>
      <c r="U122" s="468">
        <f>SUM(WRmatchups[[#This Row],[Rec4]]/WRmatchups[[#This Row],[Targets2]])</f>
        <v>1.9366666666666665</v>
      </c>
      <c r="V122" s="417">
        <f>AVERAGE(WRmatchups[[#This Row],[Yards1]:[Yards3]])</f>
        <v>5.4870000000000001</v>
      </c>
      <c r="W122" s="461">
        <f>SUM(WRmatchups[[#This Row],[Yards]]/WRmatchups[[#This Row],[Targets2]])</f>
        <v>18.290000000000003</v>
      </c>
      <c r="X122" s="32">
        <f>AVERAGE(WRmatchups[[#This Row],[TD1]:[TD3]])</f>
        <v>0</v>
      </c>
      <c r="Y122" s="14">
        <f>_xlfn.RANK.EQ(WRmatchups[[#This Row],[Projection]],WRmatchups[Projection],0)</f>
        <v>112</v>
      </c>
      <c r="Z122" s="45">
        <f>SUM(WRmatchups[[#This Row],[Yards]]*0.1)+(WRmatchups[[#This Row],[RecTD5]]*6)+(WRmatchups[[#This Row],[Rec4]]*1)+(WRmatchups[[#This Row],[100+]])</f>
        <v>1.1297000000000001</v>
      </c>
      <c r="AA122" s="346">
        <f>_xlfn.RANK.EQ(WRmatchups[[#This Row],[$/FP]],WRmatchups[$/FP],1)</f>
        <v>112</v>
      </c>
      <c r="AB122" s="199">
        <f>SUM(WRmatchups[[#This Row],[Salary]]/WRmatchups[[#This Row],[Projection]])</f>
        <v>2655.5722758254401</v>
      </c>
      <c r="AC122" s="316">
        <f>_xlfn.RANK.EQ(WRmatchups[[#This Row],[Average]],WRmatchups[Average],1)</f>
        <v>112</v>
      </c>
      <c r="AD122" s="316">
        <f>AVERAGE(WRmatchups[[#This Row],[Proj Rank]],WRmatchups[[#This Row],[Value Rank]])</f>
        <v>112</v>
      </c>
      <c r="AE122" s="214">
        <f>WRmatchups[[#This Row],[Salary]]/50000</f>
        <v>0.06</v>
      </c>
      <c r="AF122" s="214"/>
      <c r="AG122" s="14">
        <f>IFERROR(INDEX(WRstats3[Targets],MATCH(WRmatchups[[#This Row],[Name]],WRstats3[Player],0)),"0")</f>
        <v>0.3</v>
      </c>
      <c r="AH122" s="14" t="str">
        <f>IFERROR(INDEX(WRstats2[Targets],MATCH(WRmatchups[[#This Row],[Name]],WRstats2[Player],0)),"0")</f>
        <v>0</v>
      </c>
      <c r="AI122" s="14">
        <f>IFERROR(INDEX(WRstats3[Targets],MATCH(WRmatchups[[#This Row],[Name]],WRstats3[Player],0)),"0")</f>
        <v>0.3</v>
      </c>
      <c r="AJ122" s="14">
        <f>IFERROR(INDEX(WRstats1[Rec],MATCH(WRmatchups[[#This Row],[Name]],WRstats1[Player],0)),"0")</f>
        <v>0.96199999999999997</v>
      </c>
      <c r="AK122" s="14" t="str">
        <f>IFERROR(INDEX(WRstats2[Rec],MATCH(WRmatchups[[#This Row],[Name]],WRstats2[Player],0)),"0")</f>
        <v>0</v>
      </c>
      <c r="AL122" s="14">
        <f>IFERROR(INDEX(WRstats3[Rec],MATCH(WRmatchups[[#This Row],[Name]],WRstats3[Player],0)),"0")</f>
        <v>0.2</v>
      </c>
      <c r="AM122" s="32">
        <f>IFERROR(INDEX(WRallowed[Rec],MATCH(WRmatchups[[#This Row],[Opp]],WRallowed[Team],0)),"0")</f>
        <v>13.25</v>
      </c>
      <c r="AN122" s="14">
        <f>IFERROR(INDEX(WRstats1[Rec Yds],MATCH(WRmatchups[[#This Row],[Name]],WRstats1[Player],0)),"0")</f>
        <v>8.3740000000000006</v>
      </c>
      <c r="AO122" s="14" t="str">
        <f>IFERROR(INDEX(WRstats2[RecYards],MATCH(WRmatchups[[#This Row],[Name]],WRstats2[Player],0)),"0")</f>
        <v>0</v>
      </c>
      <c r="AP122" s="14">
        <f>IFERROR(INDEX(WRstats3[RecYards],MATCH(WRmatchups[[#This Row],[Name]],WRstats3[Player],0)),"0")</f>
        <v>2.6</v>
      </c>
      <c r="AQ122" s="32">
        <f>IFERROR(INDEX(WRallowed[Yard],MATCH(WRmatchups[[#This Row],[Opp]],WRallowed[Team],0)),"0")</f>
        <v>165.1875</v>
      </c>
      <c r="AR122" s="14">
        <f>IFERROR(INDEX(WRstats1[Rec TD],MATCH(WRmatchups[[#This Row],[Name]],WRstats1[Player],0)),"0")</f>
        <v>0</v>
      </c>
      <c r="AS122" s="14" t="str">
        <f>IFERROR(INDEX(WRstats2[RecTD],MATCH(WRmatchups[[#This Row],[Name]],WRstats2[Player],0)),"0")</f>
        <v>0</v>
      </c>
      <c r="AT122" s="14">
        <f>IFERROR(INDEX(WRstats3[RecTD],MATCH(WRmatchups[[#This Row],[Name]],WRstats3[Player],0)),"0")</f>
        <v>0</v>
      </c>
      <c r="AU122" s="32">
        <f>IFERROR(INDEX(WRallowed[TD],MATCH(WRmatchups[[#This Row],[Opp]],WRallowed[Team],0)),"0")*0.5</f>
        <v>0.4375</v>
      </c>
      <c r="AV122" s="14" t="str">
        <f>IFERROR(INDEX(WRstats2[RushAtt],MATCH(WRmatchups[[#This Row],[Name]],WRstats2[Player],0)),"0")</f>
        <v>0</v>
      </c>
      <c r="AW122" s="14">
        <f>IFERROR(INDEX(WRstats3[RushATT],MATCH(WRmatchups[[#This Row],[Name]],WRstats3[Player],0)),"0")</f>
        <v>0</v>
      </c>
      <c r="AX122" s="14" t="str">
        <f>IFERROR(INDEX(WRstats2[RushYards],MATCH(WRmatchups[[#This Row],[Name]],WRstats2[Player],0)),"0")</f>
        <v>0</v>
      </c>
      <c r="AY122" s="14">
        <f>IFERROR(INDEX(WRstats3[RushYards],MATCH(WRmatchups[[#This Row],[Name]],WRstats3[Player],0)),"0")</f>
        <v>0</v>
      </c>
      <c r="AZ122" s="14" t="str">
        <f>IFERROR(INDEX(WRstats2[RushTD],MATCH(WRmatchups[[#This Row],[Name]],WRstats2[Player],0)),"0")</f>
        <v>0</v>
      </c>
      <c r="BA122" s="14">
        <f>IFERROR(INDEX(WRstats3[RushTD],MATCH(WRmatchups[[#This Row],[Name]],WRstats3[Player],0)),"0")</f>
        <v>0</v>
      </c>
      <c r="BB122" s="264">
        <f>IF(WRmatchups[[#This Row],[Yards]]&gt;=100,3,0)</f>
        <v>0</v>
      </c>
      <c r="BC122" s="191" t="str">
        <f>IFERROR(INDEX(#REF!,MATCH(WRmatchups[Name],#REF!,0)),"0")</f>
        <v>0</v>
      </c>
      <c r="BD122" s="494">
        <f>WRmatchups[[#This Row],[Targets]]/WRmatchups[[#This Row],[Salary]]*100</f>
        <v>0.1</v>
      </c>
    </row>
    <row r="123" spans="1:56" ht="15" thickBot="1" x14ac:dyDescent="0.35">
      <c r="A123" s="37">
        <f>WRstats1!AL115</f>
        <v>0.7</v>
      </c>
      <c r="B123" s="34" t="str">
        <f>WRstats1!D115</f>
        <v>Alex Erickson</v>
      </c>
      <c r="C123" s="172">
        <f>IFERROR(INDEX(Salaries[DraftKings (Price)],MATCH(WRmatchups[[#This Row],[Name]],Salaries[Player],0)),"")</f>
        <v>3000</v>
      </c>
      <c r="D123" s="172">
        <f>IFERROR(INDEX(DK_Salary_Changes[WeekChange],MATCH(WRmatchups[[#This Row],[Name]],DK_Salary_Changes[Player],0)),"")</f>
        <v>0</v>
      </c>
      <c r="E123" s="14" t="str">
        <f>IFERROR(INDEX(Salaries[Team],MATCH(WRmatchups[[#This Row],[Name]],Salaries[Player],0)),"")</f>
        <v>CIN</v>
      </c>
      <c r="F123" s="460" t="str">
        <f>IFERROR(INDEX(Salaries[Opp],MATCH(WRmatchups[[#This Row],[Team]],Salaries[Team],0)),"")</f>
        <v>MIA</v>
      </c>
      <c r="G123" s="478" t="str">
        <f>IFERROR(INDEX(WRYTD[Rec],MATCH(WRmatchups[Name],WRYTD[Player],0)),"0")</f>
        <v>0</v>
      </c>
      <c r="H123" s="458">
        <f>IFERROR(INDEX(targettracker54[TTL],MATCH(WRmatchups[Name],targettracker54[Name],0)),"")</f>
        <v>1</v>
      </c>
      <c r="I123" s="479" t="str">
        <f>IFERROR(INDEX(WRYTD[Rec Yds],MATCH(WRmatchups[Name],WRYTD[Player],0)),"0")</f>
        <v>0</v>
      </c>
      <c r="J123" s="480" t="str">
        <f>IFERROR(INDEX(WRYTD[Rec TD],MATCH(WRmatchups[Name],WRYTD[Player],0)),"0")</f>
        <v>0</v>
      </c>
      <c r="K123" s="474">
        <f>IFERROR(INDEX(Salaries[O/U],MATCH(WRmatchups[[#This Row],[Team]],Salaries[Team],0)),"")</f>
        <v>44.5</v>
      </c>
      <c r="L123" s="436">
        <f>IFERROR(INDEX(Salaries[Team O/U],MATCH(WRmatchups[[#This Row],[Team]],Salaries[Team],0)),"")</f>
        <v>25.75</v>
      </c>
      <c r="M123" s="423">
        <f>IFERROR(INDEX(Salaries[Spread],MATCH(WRmatchups[[#This Row],[Team]],Salaries[Team],0)),"")</f>
        <v>-7</v>
      </c>
      <c r="N123" s="424">
        <f>IFERROR(INDEX(WRallowed[DVP],MATCH(WRmatchups[[#This Row],[Opp]],WRallowed[Team],0)),IFERROR(INDEX(WRallowed[DVP],MATCH(WRmatchups[[#This Row],[Opp]],WRallowed[Opp],0)),""))</f>
        <v>19</v>
      </c>
      <c r="O123" s="17">
        <f>IFERROR(INDEX(YAtCData[YAtC],MATCH(WRmatchups[[#This Row],[Name]],YAtCData[Player],0)),"0")</f>
        <v>17</v>
      </c>
      <c r="P123" s="497">
        <f>IFERROR(INDEX(YAtCData[YAtC/Rec],MATCH(WRmatchups[[#This Row],[Name]],YAtCData[Player],0)),"0")</f>
        <v>17</v>
      </c>
      <c r="Q123" s="17">
        <f>IFERROR(INDEX(YAtCData[YAC],MATCH(WRmatchups[[#This Row],[Name]],YAtCData[Player],0)),"0")</f>
        <v>3</v>
      </c>
      <c r="R123" s="497">
        <f>IFERROR(INDEX(YACDATA[YAC per Reception],MATCH(WRmatchups[[#This Row],[Name]],YACDATA[Player],0)),"0")</f>
        <v>3</v>
      </c>
      <c r="S123" s="435">
        <f>AVERAGE(WRmatchups[[#This Row],[Tar1]:[Tar3]])</f>
        <v>0.3</v>
      </c>
      <c r="T123" s="466">
        <f>AVERAGE(WRmatchups[[#This Row],[Rec1]:[Rec3]])</f>
        <v>0.28049999999999997</v>
      </c>
      <c r="U123" s="469">
        <f>SUM(WRmatchups[[#This Row],[Rec4]]/WRmatchups[[#This Row],[Targets2]])</f>
        <v>0.93499999999999994</v>
      </c>
      <c r="V123" s="423">
        <f>AVERAGE(WRmatchups[[#This Row],[Yards1]:[Yards3]])</f>
        <v>4.4414999999999996</v>
      </c>
      <c r="W123" s="461">
        <f>SUM(WRmatchups[[#This Row],[Yards]]/WRmatchups[[#This Row],[Targets2]])</f>
        <v>14.805</v>
      </c>
      <c r="X123" s="32">
        <f>AVERAGE(WRmatchups[[#This Row],[TD1]:[TD3]])</f>
        <v>0</v>
      </c>
      <c r="Y123" s="14">
        <f>_xlfn.RANK.EQ(WRmatchups[[#This Row],[Projection]],WRmatchups[Projection],0)</f>
        <v>113</v>
      </c>
      <c r="Z123" s="45">
        <f>SUM(WRmatchups[[#This Row],[Yards]]*0.1)+(WRmatchups[[#This Row],[RecTD5]]*6)+(WRmatchups[[#This Row],[Rec4]]*1)+(WRmatchups[[#This Row],[100+]])</f>
        <v>0.72465000000000002</v>
      </c>
      <c r="AA123" s="346">
        <f>_xlfn.RANK.EQ(WRmatchups[[#This Row],[$/FP]],WRmatchups[$/FP],1)</f>
        <v>113</v>
      </c>
      <c r="AB123" s="199">
        <f>SUM(WRmatchups[[#This Row],[Salary]]/WRmatchups[[#This Row],[Projection]])</f>
        <v>4139.9296211964393</v>
      </c>
      <c r="AC123" s="316">
        <f>_xlfn.RANK.EQ(WRmatchups[[#This Row],[Average]],WRmatchups[Average],1)</f>
        <v>113</v>
      </c>
      <c r="AD123" s="316">
        <f>AVERAGE(WRmatchups[[#This Row],[Proj Rank]],WRmatchups[[#This Row],[Value Rank]])</f>
        <v>113</v>
      </c>
      <c r="AE123" s="214">
        <f>WRmatchups[[#This Row],[Salary]]/50000</f>
        <v>0.06</v>
      </c>
      <c r="AF123" s="214"/>
      <c r="AG123" s="14">
        <f>IFERROR(INDEX(WRstats3[Targets],MATCH(WRmatchups[[#This Row],[Name]],WRstats3[Player],0)),"0")</f>
        <v>0.3</v>
      </c>
      <c r="AH123" s="14" t="str">
        <f>IFERROR(INDEX(WRstats2[Targets],MATCH(WRmatchups[[#This Row],[Name]],WRstats2[Player],0)),"0")</f>
        <v>0</v>
      </c>
      <c r="AI123" s="14">
        <f>IFERROR(INDEX(WRstats3[Targets],MATCH(WRmatchups[[#This Row],[Name]],WRstats3[Player],0)),"0")</f>
        <v>0.3</v>
      </c>
      <c r="AJ123" s="14">
        <f>IFERROR(INDEX(WRstats1[Rec],MATCH(WRmatchups[[#This Row],[Name]],WRstats1[Player],0)),"0")</f>
        <v>0.36099999999999999</v>
      </c>
      <c r="AK123" s="14" t="str">
        <f>IFERROR(INDEX(WRstats2[Rec],MATCH(WRmatchups[[#This Row],[Name]],WRstats2[Player],0)),"0")</f>
        <v>0</v>
      </c>
      <c r="AL123" s="14">
        <f>IFERROR(INDEX(WRstats3[Rec],MATCH(WRmatchups[[#This Row],[Name]],WRstats3[Player],0)),"0")</f>
        <v>0.2</v>
      </c>
      <c r="AM123" s="32">
        <f>IFERROR(INDEX(WRallowed[Rec],MATCH(WRmatchups[[#This Row],[Opp]],WRallowed[Team],0)),"0")</f>
        <v>13.25</v>
      </c>
      <c r="AN123" s="14">
        <f>IFERROR(INDEX(WRstats1[Rec Yds],MATCH(WRmatchups[[#This Row],[Name]],WRstats1[Player],0)),"0")</f>
        <v>5.5830000000000002</v>
      </c>
      <c r="AO123" s="14" t="str">
        <f>IFERROR(INDEX(WRstats2[RecYards],MATCH(WRmatchups[[#This Row],[Name]],WRstats2[Player],0)),"0")</f>
        <v>0</v>
      </c>
      <c r="AP123" s="14">
        <f>IFERROR(INDEX(WRstats3[RecYards],MATCH(WRmatchups[[#This Row],[Name]],WRstats3[Player],0)),"0")</f>
        <v>3.3</v>
      </c>
      <c r="AQ123" s="32">
        <f>IFERROR(INDEX(WRallowed[Yard],MATCH(WRmatchups[[#This Row],[Opp]],WRallowed[Team],0)),"0")</f>
        <v>165.1875</v>
      </c>
      <c r="AR123" s="14">
        <f>IFERROR(INDEX(WRstats1[Rec TD],MATCH(WRmatchups[[#This Row],[Name]],WRstats1[Player],0)),"0")</f>
        <v>0</v>
      </c>
      <c r="AS123" s="14" t="str">
        <f>IFERROR(INDEX(WRstats2[RecTD],MATCH(WRmatchups[[#This Row],[Name]],WRstats2[Player],0)),"0")</f>
        <v>0</v>
      </c>
      <c r="AT123" s="14">
        <f>IFERROR(INDEX(WRstats3[RecTD],MATCH(WRmatchups[[#This Row],[Name]],WRstats3[Player],0)),"0")</f>
        <v>0</v>
      </c>
      <c r="AU123" s="32">
        <f>IFERROR(INDEX(WRallowed[TD],MATCH(WRmatchups[[#This Row],[Opp]],WRallowed[Team],0)),"0")*0.5</f>
        <v>0.4375</v>
      </c>
      <c r="AV123" s="14" t="str">
        <f>IFERROR(INDEX(WRstats2[RushAtt],MATCH(WRmatchups[[#This Row],[Name]],WRstats2[Player],0)),"0")</f>
        <v>0</v>
      </c>
      <c r="AW123" s="14">
        <f>IFERROR(INDEX(WRstats3[RushATT],MATCH(WRmatchups[[#This Row],[Name]],WRstats3[Player],0)),"0")</f>
        <v>0</v>
      </c>
      <c r="AX123" s="14" t="str">
        <f>IFERROR(INDEX(WRstats2[RushYards],MATCH(WRmatchups[[#This Row],[Name]],WRstats2[Player],0)),"0")</f>
        <v>0</v>
      </c>
      <c r="AY123" s="14">
        <f>IFERROR(INDEX(WRstats3[RushYards],MATCH(WRmatchups[[#This Row],[Name]],WRstats3[Player],0)),"0")</f>
        <v>0</v>
      </c>
      <c r="AZ123" s="14" t="str">
        <f>IFERROR(INDEX(WRstats2[RushTD],MATCH(WRmatchups[[#This Row],[Name]],WRstats2[Player],0)),"0")</f>
        <v>0</v>
      </c>
      <c r="BA123" s="14">
        <f>IFERROR(INDEX(WRstats3[RushTD],MATCH(WRmatchups[[#This Row],[Name]],WRstats3[Player],0)),"0")</f>
        <v>0</v>
      </c>
      <c r="BB123" s="264">
        <f>IF(WRmatchups[[#This Row],[Yards]]&gt;=100,3,0)</f>
        <v>0</v>
      </c>
      <c r="BC123" s="191" t="str">
        <f>IFERROR(INDEX(#REF!,MATCH(WRmatchups[Name],#REF!,0)),"0")</f>
        <v>0</v>
      </c>
      <c r="BD123" s="495">
        <f>WRmatchups[[#This Row],[Targets]]/WRmatchups[[#This Row],[Salary]]*100</f>
        <v>3.3333333333333333E-2</v>
      </c>
    </row>
  </sheetData>
  <mergeCells count="8">
    <mergeCell ref="S9:AB9"/>
    <mergeCell ref="B5:D5"/>
    <mergeCell ref="A8:D8"/>
    <mergeCell ref="A9:D9"/>
    <mergeCell ref="Q9:R9"/>
    <mergeCell ref="G9:J9"/>
    <mergeCell ref="K9:M9"/>
    <mergeCell ref="O9:P9"/>
  </mergeCells>
  <conditionalFormatting sqref="K124:K1048576 W10 K1:K8">
    <cfRule type="colorScale" priority="984">
      <colorScale>
        <cfvo type="min"/>
        <cfvo type="percentile" val="50"/>
        <cfvo type="max"/>
        <color rgb="FFF8696B"/>
        <color rgb="FFFFEB84"/>
        <color rgb="FF63BE7B"/>
      </colorScale>
    </cfRule>
  </conditionalFormatting>
  <conditionalFormatting sqref="F124:F1048576 F1:F9 N10">
    <cfRule type="colorScale" priority="992">
      <colorScale>
        <cfvo type="min"/>
        <cfvo type="percentile" val="50"/>
        <cfvo type="max"/>
        <color rgb="FFF8696B"/>
        <color rgb="FFFFEB84"/>
        <color rgb="FF63BE7B"/>
      </colorScale>
    </cfRule>
  </conditionalFormatting>
  <conditionalFormatting sqref="M124:M1048576 O10 M1:M8">
    <cfRule type="colorScale" priority="996">
      <colorScale>
        <cfvo type="min"/>
        <cfvo type="percentile" val="50"/>
        <cfvo type="max"/>
        <color rgb="FFF8696B"/>
        <color rgb="FFFFEB84"/>
        <color rgb="FF63BE7B"/>
      </colorScale>
    </cfRule>
  </conditionalFormatting>
  <conditionalFormatting sqref="O124:O1048576 Q10 O1:O8">
    <cfRule type="colorScale" priority="1000">
      <colorScale>
        <cfvo type="min"/>
        <cfvo type="percentile" val="50"/>
        <cfvo type="max"/>
        <color rgb="FFF8696B"/>
        <color rgb="FFFFEB84"/>
        <color rgb="FF63BE7B"/>
      </colorScale>
    </cfRule>
  </conditionalFormatting>
  <conditionalFormatting sqref="N124:N1048576 P10 N1:N8">
    <cfRule type="dataBar" priority="1004">
      <dataBar>
        <cfvo type="min"/>
        <cfvo type="max"/>
        <color rgb="FF63C384"/>
      </dataBar>
      <extLst>
        <ext xmlns:x14="http://schemas.microsoft.com/office/spreadsheetml/2009/9/main" uri="{B025F937-C7B1-47D3-B67F-A62EFF666E3E}">
          <x14:id>{2024323E-ED16-4A8F-8389-609C96EECC00}</x14:id>
        </ext>
      </extLst>
    </cfRule>
  </conditionalFormatting>
  <conditionalFormatting sqref="P124:P1048576 R10 P1:P8">
    <cfRule type="dataBar" priority="1008">
      <dataBar>
        <cfvo type="min"/>
        <cfvo type="max"/>
        <color rgb="FF638EC6"/>
      </dataBar>
      <extLst>
        <ext xmlns:x14="http://schemas.microsoft.com/office/spreadsheetml/2009/9/main" uri="{B025F937-C7B1-47D3-B67F-A62EFF666E3E}">
          <x14:id>{9AA99869-54C8-4FD0-94B2-5B8291270F04}</x14:id>
        </ext>
      </extLst>
    </cfRule>
  </conditionalFormatting>
  <conditionalFormatting sqref="R124:R1048576 AB10 R1:R8 AD10">
    <cfRule type="colorScale" priority="1104">
      <colorScale>
        <cfvo type="min"/>
        <cfvo type="percentile" val="50"/>
        <cfvo type="max"/>
        <color rgb="FF63BE7B"/>
        <color rgb="FFFFEB84"/>
        <color rgb="FFF8696B"/>
      </colorScale>
    </cfRule>
  </conditionalFormatting>
  <conditionalFormatting sqref="D10">
    <cfRule type="colorScale" priority="44">
      <colorScale>
        <cfvo type="min"/>
        <cfvo type="percentile" val="50"/>
        <cfvo type="max"/>
        <color rgb="FF63BE7B"/>
        <color rgb="FFFFEB84"/>
        <color rgb="FFF8696B"/>
      </colorScale>
    </cfRule>
  </conditionalFormatting>
  <conditionalFormatting sqref="F11 F12:G123 G11:J123 BC11:BC123">
    <cfRule type="containsText" dxfId="731" priority="43" operator="containsText" text="@">
      <formula>NOT(ISERROR(SEARCH("@",F11)))</formula>
    </cfRule>
  </conditionalFormatting>
  <conditionalFormatting sqref="V10">
    <cfRule type="colorScale" priority="1891">
      <colorScale>
        <cfvo type="min"/>
        <cfvo type="percentile" val="50"/>
        <cfvo type="max"/>
        <color rgb="FFF8696B"/>
        <color rgb="FFFFEB84"/>
        <color rgb="FF63BE7B"/>
      </colorScale>
    </cfRule>
  </conditionalFormatting>
  <conditionalFormatting sqref="AE10">
    <cfRule type="dataBar" priority="1892">
      <dataBar>
        <cfvo type="min"/>
        <cfvo type="max"/>
        <color rgb="FFFF555A"/>
      </dataBar>
      <extLst>
        <ext xmlns:x14="http://schemas.microsoft.com/office/spreadsheetml/2009/9/main" uri="{B025F937-C7B1-47D3-B67F-A62EFF666E3E}">
          <x14:id>{BF650E32-F04D-4BC5-90B6-63F9E2459FFB}</x14:id>
        </ext>
      </extLst>
    </cfRule>
  </conditionalFormatting>
  <conditionalFormatting sqref="N11:N88">
    <cfRule type="colorScale" priority="2542">
      <colorScale>
        <cfvo type="min"/>
        <cfvo type="percentile" val="50"/>
        <cfvo type="max"/>
        <color rgb="FFF8696B"/>
        <color rgb="FFFFEB84"/>
        <color rgb="FF63BE7B"/>
      </colorScale>
    </cfRule>
  </conditionalFormatting>
  <conditionalFormatting sqref="O12:O88">
    <cfRule type="colorScale" priority="2544">
      <colorScale>
        <cfvo type="min"/>
        <cfvo type="percentile" val="50"/>
        <cfvo type="max"/>
        <color rgb="FFF8696B"/>
        <color rgb="FFFFEB84"/>
        <color rgb="FF63BE7B"/>
      </colorScale>
    </cfRule>
  </conditionalFormatting>
  <conditionalFormatting sqref="U11:U88">
    <cfRule type="colorScale" priority="2552">
      <colorScale>
        <cfvo type="min"/>
        <cfvo type="percentile" val="50"/>
        <cfvo type="max"/>
        <color rgb="FFF8696B"/>
        <color rgb="FFFFEB84"/>
        <color rgb="FF63BE7B"/>
      </colorScale>
    </cfRule>
  </conditionalFormatting>
  <conditionalFormatting sqref="W11:W88">
    <cfRule type="colorScale" priority="2554">
      <colorScale>
        <cfvo type="min"/>
        <cfvo type="percentile" val="50"/>
        <cfvo type="max"/>
        <color rgb="FFF8696B"/>
        <color rgb="FFFFEB84"/>
        <color rgb="FF63BE7B"/>
      </colorScale>
    </cfRule>
  </conditionalFormatting>
  <conditionalFormatting sqref="C11:D88">
    <cfRule type="colorScale" priority="2556">
      <colorScale>
        <cfvo type="min"/>
        <cfvo type="percentile" val="50"/>
        <cfvo type="max"/>
        <color rgb="FF63BE7B"/>
        <color rgb="FFFFEB84"/>
        <color rgb="FFF8696B"/>
      </colorScale>
    </cfRule>
  </conditionalFormatting>
  <conditionalFormatting sqref="T11:T88">
    <cfRule type="colorScale" priority="2558">
      <colorScale>
        <cfvo type="min"/>
        <cfvo type="percentile" val="50"/>
        <cfvo type="max"/>
        <color rgb="FFF8696B"/>
        <color rgb="FFFFEB84"/>
        <color rgb="FF63BE7B"/>
      </colorScale>
    </cfRule>
  </conditionalFormatting>
  <conditionalFormatting sqref="V11:V88">
    <cfRule type="colorScale" priority="2560">
      <colorScale>
        <cfvo type="min"/>
        <cfvo type="percentile" val="50"/>
        <cfvo type="max"/>
        <color rgb="FFF8696B"/>
        <color rgb="FFFFEB84"/>
        <color rgb="FF63BE7B"/>
      </colorScale>
    </cfRule>
  </conditionalFormatting>
  <conditionalFormatting sqref="Y11:Y88">
    <cfRule type="colorScale" priority="2562">
      <colorScale>
        <cfvo type="min"/>
        <cfvo type="percentile" val="50"/>
        <cfvo type="max"/>
        <color rgb="FF63BE7B"/>
        <color rgb="FFFFEB84"/>
        <color rgb="FFF8696B"/>
      </colorScale>
    </cfRule>
  </conditionalFormatting>
  <conditionalFormatting sqref="AA11:AA88">
    <cfRule type="colorScale" priority="2564">
      <colorScale>
        <cfvo type="min"/>
        <cfvo type="percentile" val="50"/>
        <cfvo type="max"/>
        <color rgb="FFF8696B"/>
        <color rgb="FFFFEB84"/>
        <color rgb="FF63BE7B"/>
      </colorScale>
    </cfRule>
  </conditionalFormatting>
  <conditionalFormatting sqref="N11:N88">
    <cfRule type="iconSet" priority="2568">
      <iconSet iconSet="3Flags">
        <cfvo type="percent" val="0"/>
        <cfvo type="percent" val="33"/>
        <cfvo type="percent" val="67"/>
      </iconSet>
    </cfRule>
  </conditionalFormatting>
  <conditionalFormatting sqref="S11:S88">
    <cfRule type="dataBar" priority="2570">
      <dataBar>
        <cfvo type="min"/>
        <cfvo type="max"/>
        <color rgb="FF63C384"/>
      </dataBar>
      <extLst>
        <ext xmlns:x14="http://schemas.microsoft.com/office/spreadsheetml/2009/9/main" uri="{B025F937-C7B1-47D3-B67F-A62EFF666E3E}">
          <x14:id>{A8455349-D72B-4A41-BC79-598A7175AC19}</x14:id>
        </ext>
      </extLst>
    </cfRule>
  </conditionalFormatting>
  <conditionalFormatting sqref="AE11:AE88">
    <cfRule type="dataBar" priority="2572">
      <dataBar>
        <cfvo type="min"/>
        <cfvo type="max"/>
        <color rgb="FFFF555A"/>
      </dataBar>
      <extLst>
        <ext xmlns:x14="http://schemas.microsoft.com/office/spreadsheetml/2009/9/main" uri="{B025F937-C7B1-47D3-B67F-A62EFF666E3E}">
          <x14:id>{967AD785-E25A-4527-A8D4-0ED7A9569015}</x14:id>
        </ext>
      </extLst>
    </cfRule>
  </conditionalFormatting>
  <conditionalFormatting sqref="X11:X88">
    <cfRule type="dataBar" priority="2574">
      <dataBar>
        <cfvo type="min"/>
        <cfvo type="max"/>
        <color rgb="FF638EC6"/>
      </dataBar>
      <extLst>
        <ext xmlns:x14="http://schemas.microsoft.com/office/spreadsheetml/2009/9/main" uri="{B025F937-C7B1-47D3-B67F-A62EFF666E3E}">
          <x14:id>{15DF82BC-11ED-4ECD-B22C-B7B04926E426}</x14:id>
        </ext>
      </extLst>
    </cfRule>
  </conditionalFormatting>
  <conditionalFormatting sqref="AA11:AA88">
    <cfRule type="colorScale" priority="2576">
      <colorScale>
        <cfvo type="min"/>
        <cfvo type="percentile" val="50"/>
        <cfvo type="max"/>
        <color rgb="FF63BE7B"/>
        <color rgb="FFFFEB84"/>
        <color rgb="FFF8696B"/>
      </colorScale>
    </cfRule>
  </conditionalFormatting>
  <conditionalFormatting sqref="AD11:AD88">
    <cfRule type="colorScale" priority="2578">
      <colorScale>
        <cfvo type="min"/>
        <cfvo type="percentile" val="50"/>
        <cfvo type="max"/>
        <color rgb="FF63BE7B"/>
        <color rgb="FFFFEB84"/>
        <color rgb="FFF8696B"/>
      </colorScale>
    </cfRule>
  </conditionalFormatting>
  <conditionalFormatting sqref="AB11:AD88">
    <cfRule type="colorScale" priority="2580">
      <colorScale>
        <cfvo type="min"/>
        <cfvo type="percentile" val="50"/>
        <cfvo type="max"/>
        <color rgb="FF63BE7B"/>
        <color rgb="FFFFEB84"/>
        <color rgb="FFF8696B"/>
      </colorScale>
    </cfRule>
  </conditionalFormatting>
  <conditionalFormatting sqref="AB11:AB88">
    <cfRule type="colorScale" priority="2584">
      <colorScale>
        <cfvo type="min"/>
        <cfvo type="percentile" val="50"/>
        <cfvo type="max"/>
        <color rgb="FF63BE7B"/>
        <color rgb="FFFFEB84"/>
        <color rgb="FFF8696B"/>
      </colorScale>
    </cfRule>
  </conditionalFormatting>
  <conditionalFormatting sqref="Z11:Z88">
    <cfRule type="dataBar" priority="2586">
      <dataBar>
        <cfvo type="min"/>
        <cfvo type="max"/>
        <color rgb="FF63C384"/>
      </dataBar>
      <extLst>
        <ext xmlns:x14="http://schemas.microsoft.com/office/spreadsheetml/2009/9/main" uri="{B025F937-C7B1-47D3-B67F-A62EFF666E3E}">
          <x14:id>{30EA41DC-32DF-4B4D-96C1-B57AB9278E48}</x14:id>
        </ext>
      </extLst>
    </cfRule>
  </conditionalFormatting>
  <conditionalFormatting sqref="O9">
    <cfRule type="colorScale" priority="29">
      <colorScale>
        <cfvo type="min"/>
        <cfvo type="percentile" val="50"/>
        <cfvo type="max"/>
        <color rgb="FFF8696B"/>
        <color rgb="FFFFEB84"/>
        <color rgb="FF63BE7B"/>
      </colorScale>
    </cfRule>
  </conditionalFormatting>
  <conditionalFormatting sqref="Q9">
    <cfRule type="colorScale" priority="30">
      <colorScale>
        <cfvo type="min"/>
        <cfvo type="percentile" val="50"/>
        <cfvo type="max"/>
        <color rgb="FFF8696B"/>
        <color rgb="FFFFEB84"/>
        <color rgb="FF63BE7B"/>
      </colorScale>
    </cfRule>
  </conditionalFormatting>
  <conditionalFormatting sqref="P9">
    <cfRule type="dataBar" priority="31">
      <dataBar>
        <cfvo type="min"/>
        <cfvo type="max"/>
        <color rgb="FF63C384"/>
      </dataBar>
      <extLst>
        <ext xmlns:x14="http://schemas.microsoft.com/office/spreadsheetml/2009/9/main" uri="{B025F937-C7B1-47D3-B67F-A62EFF666E3E}">
          <x14:id>{8C6FD0D1-BB7F-47B9-8F08-35528ED08E6C}</x14:id>
        </ext>
      </extLst>
    </cfRule>
  </conditionalFormatting>
  <conditionalFormatting sqref="W89:W123">
    <cfRule type="colorScale" priority="2968">
      <colorScale>
        <cfvo type="min"/>
        <cfvo type="percentile" val="50"/>
        <cfvo type="max"/>
        <color rgb="FFF8696B"/>
        <color rgb="FFFFEB84"/>
        <color rgb="FF63BE7B"/>
      </colorScale>
    </cfRule>
  </conditionalFormatting>
  <conditionalFormatting sqref="N89:N123">
    <cfRule type="colorScale" priority="2970">
      <colorScale>
        <cfvo type="min"/>
        <cfvo type="percentile" val="50"/>
        <cfvo type="max"/>
        <color rgb="FFF8696B"/>
        <color rgb="FFFFEB84"/>
        <color rgb="FF63BE7B"/>
      </colorScale>
    </cfRule>
  </conditionalFormatting>
  <conditionalFormatting sqref="O89:O123">
    <cfRule type="colorScale" priority="2972">
      <colorScale>
        <cfvo type="min"/>
        <cfvo type="percentile" val="50"/>
        <cfvo type="max"/>
        <color rgb="FFF8696B"/>
        <color rgb="FFFFEB84"/>
        <color rgb="FF63BE7B"/>
      </colorScale>
    </cfRule>
  </conditionalFormatting>
  <conditionalFormatting sqref="AB89:AD123">
    <cfRule type="colorScale" priority="2974">
      <colorScale>
        <cfvo type="min"/>
        <cfvo type="percentile" val="50"/>
        <cfvo type="max"/>
        <color rgb="FF63BE7B"/>
        <color rgb="FFFFEB84"/>
        <color rgb="FFF8696B"/>
      </colorScale>
    </cfRule>
  </conditionalFormatting>
  <conditionalFormatting sqref="U89:U123">
    <cfRule type="colorScale" priority="2976">
      <colorScale>
        <cfvo type="min"/>
        <cfvo type="percentile" val="50"/>
        <cfvo type="max"/>
        <color rgb="FFF8696B"/>
        <color rgb="FFFFEB84"/>
        <color rgb="FF63BE7B"/>
      </colorScale>
    </cfRule>
  </conditionalFormatting>
  <conditionalFormatting sqref="Y89:Y123">
    <cfRule type="colorScale" priority="2978">
      <colorScale>
        <cfvo type="min"/>
        <cfvo type="percentile" val="50"/>
        <cfvo type="max"/>
        <color rgb="FF63BE7B"/>
        <color rgb="FFFFEB84"/>
        <color rgb="FFF8696B"/>
      </colorScale>
    </cfRule>
  </conditionalFormatting>
  <conditionalFormatting sqref="V89:V123">
    <cfRule type="colorScale" priority="2980">
      <colorScale>
        <cfvo type="min"/>
        <cfvo type="percentile" val="50"/>
        <cfvo type="max"/>
        <color rgb="FFF8696B"/>
        <color rgb="FFFFEB84"/>
        <color rgb="FF63BE7B"/>
      </colorScale>
    </cfRule>
  </conditionalFormatting>
  <conditionalFormatting sqref="S89:S123">
    <cfRule type="dataBar" priority="2982">
      <dataBar>
        <cfvo type="min"/>
        <cfvo type="max"/>
        <color rgb="FF63C384"/>
      </dataBar>
      <extLst>
        <ext xmlns:x14="http://schemas.microsoft.com/office/spreadsheetml/2009/9/main" uri="{B025F937-C7B1-47D3-B67F-A62EFF666E3E}">
          <x14:id>{A2D776C2-991D-4A3E-AC81-F8BECB00826B}</x14:id>
        </ext>
      </extLst>
    </cfRule>
  </conditionalFormatting>
  <conditionalFormatting sqref="X89:X123">
    <cfRule type="dataBar" priority="2984">
      <dataBar>
        <cfvo type="min"/>
        <cfvo type="max"/>
        <color rgb="FF638EC6"/>
      </dataBar>
      <extLst>
        <ext xmlns:x14="http://schemas.microsoft.com/office/spreadsheetml/2009/9/main" uri="{B025F937-C7B1-47D3-B67F-A62EFF666E3E}">
          <x14:id>{C9768A49-EB94-44A6-9A23-46EE89C77CD0}</x14:id>
        </ext>
      </extLst>
    </cfRule>
  </conditionalFormatting>
  <conditionalFormatting sqref="N89:N123">
    <cfRule type="iconSet" priority="2986">
      <iconSet iconSet="3Flags">
        <cfvo type="percent" val="0"/>
        <cfvo type="percent" val="33"/>
        <cfvo type="percent" val="67"/>
      </iconSet>
    </cfRule>
  </conditionalFormatting>
  <conditionalFormatting sqref="AE89:AE123">
    <cfRule type="dataBar" priority="2988">
      <dataBar>
        <cfvo type="min"/>
        <cfvo type="max"/>
        <color rgb="FFFF555A"/>
      </dataBar>
      <extLst>
        <ext xmlns:x14="http://schemas.microsoft.com/office/spreadsheetml/2009/9/main" uri="{B025F937-C7B1-47D3-B67F-A62EFF666E3E}">
          <x14:id>{14C41290-9C65-4346-BBA9-739EA338AEBB}</x14:id>
        </ext>
      </extLst>
    </cfRule>
  </conditionalFormatting>
  <conditionalFormatting sqref="C89:D123">
    <cfRule type="colorScale" priority="2990">
      <colorScale>
        <cfvo type="min"/>
        <cfvo type="percentile" val="50"/>
        <cfvo type="max"/>
        <color rgb="FF63BE7B"/>
        <color rgb="FFFFEB84"/>
        <color rgb="FFF8696B"/>
      </colorScale>
    </cfRule>
  </conditionalFormatting>
  <conditionalFormatting sqref="AA89:AA123">
    <cfRule type="colorScale" priority="2992">
      <colorScale>
        <cfvo type="min"/>
        <cfvo type="percentile" val="50"/>
        <cfvo type="max"/>
        <color rgb="FF63BE7B"/>
        <color rgb="FFFFEB84"/>
        <color rgb="FFF8696B"/>
      </colorScale>
    </cfRule>
  </conditionalFormatting>
  <conditionalFormatting sqref="T89:T123">
    <cfRule type="colorScale" priority="2994">
      <colorScale>
        <cfvo type="min"/>
        <cfvo type="percentile" val="50"/>
        <cfvo type="max"/>
        <color rgb="FFF8696B"/>
        <color rgb="FFFFEB84"/>
        <color rgb="FF63BE7B"/>
      </colorScale>
    </cfRule>
  </conditionalFormatting>
  <conditionalFormatting sqref="Z89:Z123">
    <cfRule type="dataBar" priority="2996">
      <dataBar>
        <cfvo type="min"/>
        <cfvo type="max"/>
        <color rgb="FF63C384"/>
      </dataBar>
      <extLst>
        <ext xmlns:x14="http://schemas.microsoft.com/office/spreadsheetml/2009/9/main" uri="{B025F937-C7B1-47D3-B67F-A62EFF666E3E}">
          <x14:id>{A7B50D0A-4032-43BB-A409-CE6B584DD0D4}</x14:id>
        </ext>
      </extLst>
    </cfRule>
  </conditionalFormatting>
  <conditionalFormatting sqref="AB89:AB123">
    <cfRule type="colorScale" priority="2998">
      <colorScale>
        <cfvo type="min"/>
        <cfvo type="percentile" val="50"/>
        <cfvo type="max"/>
        <color rgb="FF63BE7B"/>
        <color rgb="FFFFEB84"/>
        <color rgb="FFF8696B"/>
      </colorScale>
    </cfRule>
  </conditionalFormatting>
  <conditionalFormatting sqref="K11:K123">
    <cfRule type="iconSet" priority="3000">
      <iconSet iconSet="3Symbols">
        <cfvo type="percent" val="0"/>
        <cfvo type="percent" val="33"/>
        <cfvo type="percent" val="67"/>
      </iconSet>
    </cfRule>
    <cfRule type="colorScale" priority="3001">
      <colorScale>
        <cfvo type="min"/>
        <cfvo type="percentile" val="50"/>
        <cfvo type="max"/>
        <color rgb="FFF8696B"/>
        <color rgb="FFFFEB84"/>
        <color rgb="FF63BE7B"/>
      </colorScale>
    </cfRule>
  </conditionalFormatting>
  <conditionalFormatting sqref="L11:L123">
    <cfRule type="iconSet" priority="3004">
      <iconSet iconSet="3Symbols">
        <cfvo type="percent" val="0"/>
        <cfvo type="percent" val="33"/>
        <cfvo type="percent" val="67"/>
      </iconSet>
    </cfRule>
    <cfRule type="colorScale" priority="3005">
      <colorScale>
        <cfvo type="min"/>
        <cfvo type="percentile" val="50"/>
        <cfvo type="max"/>
        <color rgb="FFF8696B"/>
        <color rgb="FFFFEB84"/>
        <color rgb="FF63BE7B"/>
      </colorScale>
    </cfRule>
  </conditionalFormatting>
  <conditionalFormatting sqref="M11:M123">
    <cfRule type="colorScale" priority="3008">
      <colorScale>
        <cfvo type="min"/>
        <cfvo type="percentile" val="50"/>
        <cfvo type="max"/>
        <color rgb="FF63BE7B"/>
        <color rgb="FFFFEB84"/>
        <color rgb="FFF8696B"/>
      </colorScale>
    </cfRule>
  </conditionalFormatting>
  <conditionalFormatting sqref="AB11:AB123">
    <cfRule type="colorScale" priority="3010">
      <colorScale>
        <cfvo type="min"/>
        <cfvo type="percentile" val="50"/>
        <cfvo type="max"/>
        <color rgb="FF63BE7B"/>
        <color rgb="FFFFEB84"/>
        <color rgb="FFF8696B"/>
      </colorScale>
    </cfRule>
  </conditionalFormatting>
  <conditionalFormatting sqref="AA11:AA123">
    <cfRule type="colorScale" priority="3012">
      <colorScale>
        <cfvo type="min"/>
        <cfvo type="percentile" val="50"/>
        <cfvo type="max"/>
        <color rgb="FF63BE7B"/>
        <color rgb="FFFFEB84"/>
        <color rgb="FFF8696B"/>
      </colorScale>
    </cfRule>
  </conditionalFormatting>
  <conditionalFormatting sqref="C11:C123">
    <cfRule type="colorScale" priority="3014">
      <colorScale>
        <cfvo type="min"/>
        <cfvo type="percentile" val="50"/>
        <cfvo type="max"/>
        <color rgb="FF63BE7B"/>
        <color rgb="FFFFEB84"/>
        <color rgb="FFF8696B"/>
      </colorScale>
    </cfRule>
  </conditionalFormatting>
  <conditionalFormatting sqref="D11:D123">
    <cfRule type="colorScale" priority="3016">
      <colorScale>
        <cfvo type="min"/>
        <cfvo type="percentile" val="50"/>
        <cfvo type="max"/>
        <color rgb="FF63BE7B"/>
        <color rgb="FFFCFCFF"/>
        <color rgb="FFF8696B"/>
      </colorScale>
    </cfRule>
  </conditionalFormatting>
  <conditionalFormatting sqref="G11:G123">
    <cfRule type="colorScale" priority="3018">
      <colorScale>
        <cfvo type="min"/>
        <cfvo type="percentile" val="50"/>
        <cfvo type="max"/>
        <color rgb="FFF8696B"/>
        <color rgb="FFFFEB84"/>
        <color rgb="FF63BE7B"/>
      </colorScale>
    </cfRule>
  </conditionalFormatting>
  <conditionalFormatting sqref="J11:J123">
    <cfRule type="dataBar" priority="3020">
      <dataBar>
        <cfvo type="min"/>
        <cfvo type="max"/>
        <color rgb="FF638EC6"/>
      </dataBar>
      <extLst>
        <ext xmlns:x14="http://schemas.microsoft.com/office/spreadsheetml/2009/9/main" uri="{B025F937-C7B1-47D3-B67F-A62EFF666E3E}">
          <x14:id>{DC80B837-048D-4D0B-BB9B-2F66F8F48FCD}</x14:id>
        </ext>
      </extLst>
    </cfRule>
  </conditionalFormatting>
  <conditionalFormatting sqref="I11:I123">
    <cfRule type="colorScale" priority="3022">
      <colorScale>
        <cfvo type="min"/>
        <cfvo type="percentile" val="50"/>
        <cfvo type="max"/>
        <color rgb="FFF8696B"/>
        <color rgb="FFFFEB84"/>
        <color rgb="FF63BE7B"/>
      </colorScale>
    </cfRule>
  </conditionalFormatting>
  <conditionalFormatting sqref="Y11:Y123">
    <cfRule type="colorScale" priority="3024">
      <colorScale>
        <cfvo type="min"/>
        <cfvo type="percentile" val="50"/>
        <cfvo type="max"/>
        <color rgb="FF63BE7B"/>
        <color rgb="FFFFEB84"/>
        <color rgb="FFF8696B"/>
      </colorScale>
    </cfRule>
  </conditionalFormatting>
  <conditionalFormatting sqref="Z11:Z123">
    <cfRule type="dataBar" priority="3026">
      <dataBar>
        <cfvo type="min"/>
        <cfvo type="max"/>
        <color rgb="FF63C384"/>
      </dataBar>
      <extLst>
        <ext xmlns:x14="http://schemas.microsoft.com/office/spreadsheetml/2009/9/main" uri="{B025F937-C7B1-47D3-B67F-A62EFF666E3E}">
          <x14:id>{FAA601E8-6EA8-432D-8934-DCDFE3D6C66B}</x14:id>
        </ext>
      </extLst>
    </cfRule>
  </conditionalFormatting>
  <conditionalFormatting sqref="H12:H123">
    <cfRule type="dataBar" priority="3028">
      <dataBar>
        <cfvo type="min"/>
        <cfvo type="max"/>
        <color rgb="FF63C384"/>
      </dataBar>
      <extLst>
        <ext xmlns:x14="http://schemas.microsoft.com/office/spreadsheetml/2009/9/main" uri="{B025F937-C7B1-47D3-B67F-A62EFF666E3E}">
          <x14:id>{0FEF12A6-A279-468D-A6A7-D378C0E8A539}</x14:id>
        </ext>
      </extLst>
    </cfRule>
  </conditionalFormatting>
  <conditionalFormatting sqref="BD11:BD120">
    <cfRule type="colorScale" priority="3030">
      <colorScale>
        <cfvo type="min"/>
        <cfvo type="percentile" val="50"/>
        <cfvo type="max"/>
        <color rgb="FFF8696B"/>
        <color rgb="FFFFEB84"/>
        <color rgb="FF63BE7B"/>
      </colorScale>
    </cfRule>
  </conditionalFormatting>
  <conditionalFormatting sqref="BC11:BC123">
    <cfRule type="dataBar" priority="3032">
      <dataBar>
        <cfvo type="min"/>
        <cfvo type="max"/>
        <color rgb="FF63C384"/>
      </dataBar>
      <extLst>
        <ext xmlns:x14="http://schemas.microsoft.com/office/spreadsheetml/2009/9/main" uri="{B025F937-C7B1-47D3-B67F-A62EFF666E3E}">
          <x14:id>{B6A068B9-5A19-4705-8828-9F7577E2F87A}</x14:id>
        </ext>
      </extLst>
    </cfRule>
  </conditionalFormatting>
  <conditionalFormatting sqref="H11:H123">
    <cfRule type="dataBar" priority="3034">
      <dataBar>
        <cfvo type="min"/>
        <cfvo type="max"/>
        <color rgb="FF63C384"/>
      </dataBar>
      <extLst>
        <ext xmlns:x14="http://schemas.microsoft.com/office/spreadsheetml/2009/9/main" uri="{B025F937-C7B1-47D3-B67F-A62EFF666E3E}">
          <x14:id>{DBDF8829-99CF-4635-8EB2-3CE6AB9AAAB8}</x14:id>
        </ext>
      </extLst>
    </cfRule>
  </conditionalFormatting>
  <conditionalFormatting sqref="O11:O123">
    <cfRule type="colorScale" priority="3036">
      <colorScale>
        <cfvo type="min"/>
        <cfvo type="percentile" val="50"/>
        <cfvo type="max"/>
        <color rgb="FFF8696B"/>
        <color rgb="FFFFEB84"/>
        <color rgb="FF63BE7B"/>
      </colorScale>
    </cfRule>
  </conditionalFormatting>
  <conditionalFormatting sqref="Q11:Q123">
    <cfRule type="colorScale" priority="3038">
      <colorScale>
        <cfvo type="min"/>
        <cfvo type="percentile" val="50"/>
        <cfvo type="max"/>
        <color rgb="FFF8696B"/>
        <color rgb="FFFFEB84"/>
        <color rgb="FF63BE7B"/>
      </colorScale>
    </cfRule>
  </conditionalFormatting>
  <conditionalFormatting sqref="P11:P123">
    <cfRule type="dataBar" priority="3040">
      <dataBar>
        <cfvo type="min"/>
        <cfvo type="max"/>
        <color rgb="FF63C384"/>
      </dataBar>
      <extLst>
        <ext xmlns:x14="http://schemas.microsoft.com/office/spreadsheetml/2009/9/main" uri="{B025F937-C7B1-47D3-B67F-A62EFF666E3E}">
          <x14:id>{6E332CCE-AF6D-4197-A5A1-150192459CEB}</x14:id>
        </ext>
      </extLst>
    </cfRule>
  </conditionalFormatting>
  <conditionalFormatting sqref="R11:R123">
    <cfRule type="dataBar" priority="3042">
      <dataBar>
        <cfvo type="min"/>
        <cfvo type="max"/>
        <color rgb="FF638EC6"/>
      </dataBar>
      <extLst>
        <ext xmlns:x14="http://schemas.microsoft.com/office/spreadsheetml/2009/9/main" uri="{B025F937-C7B1-47D3-B67F-A62EFF666E3E}">
          <x14:id>{AA806324-C4C4-473B-9655-73B38C0CD17A}</x14:id>
        </ext>
      </extLst>
    </cfRule>
  </conditionalFormatting>
  <hyperlinks>
    <hyperlink ref="B5" r:id="rId1"/>
  </hyperlinks>
  <pageMargins left="0.7" right="0.7" top="0.75" bottom="0.75" header="0.3" footer="0.3"/>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024323E-ED16-4A8F-8389-609C96EECC00}">
            <x14:dataBar minLength="0" maxLength="100" border="1" negativeBarBorderColorSameAsPositive="0">
              <x14:cfvo type="autoMin"/>
              <x14:cfvo type="autoMax"/>
              <x14:borderColor rgb="FF63C384"/>
              <x14:negativeFillColor rgb="FFFF0000"/>
              <x14:negativeBorderColor rgb="FFFF0000"/>
              <x14:axisColor rgb="FF000000"/>
            </x14:dataBar>
          </x14:cfRule>
          <xm:sqref>N124:N1048576 P10 N1:N8</xm:sqref>
        </x14:conditionalFormatting>
        <x14:conditionalFormatting xmlns:xm="http://schemas.microsoft.com/office/excel/2006/main">
          <x14:cfRule type="dataBar" id="{9AA99869-54C8-4FD0-94B2-5B8291270F04}">
            <x14:dataBar minLength="0" maxLength="100" border="1" negativeBarBorderColorSameAsPositive="0">
              <x14:cfvo type="autoMin"/>
              <x14:cfvo type="autoMax"/>
              <x14:borderColor rgb="FF638EC6"/>
              <x14:negativeFillColor rgb="FFFF0000"/>
              <x14:negativeBorderColor rgb="FFFF0000"/>
              <x14:axisColor rgb="FF000000"/>
            </x14:dataBar>
          </x14:cfRule>
          <xm:sqref>P124:P1048576 R10 P1:P8</xm:sqref>
        </x14:conditionalFormatting>
        <x14:conditionalFormatting xmlns:xm="http://schemas.microsoft.com/office/excel/2006/main">
          <x14:cfRule type="dataBar" id="{BF650E32-F04D-4BC5-90B6-63F9E2459FFB}">
            <x14:dataBar minLength="0" maxLength="100" border="1" negativeBarBorderColorSameAsPositive="0">
              <x14:cfvo type="autoMin"/>
              <x14:cfvo type="autoMax"/>
              <x14:borderColor rgb="FFFF555A"/>
              <x14:negativeFillColor rgb="FFFF0000"/>
              <x14:negativeBorderColor rgb="FFFF0000"/>
              <x14:axisColor rgb="FF000000"/>
            </x14:dataBar>
          </x14:cfRule>
          <xm:sqref>AE10</xm:sqref>
        </x14:conditionalFormatting>
        <x14:conditionalFormatting xmlns:xm="http://schemas.microsoft.com/office/excel/2006/main">
          <x14:cfRule type="dataBar" id="{A8455349-D72B-4A41-BC79-598A7175AC19}">
            <x14:dataBar minLength="0" maxLength="100" border="1" negativeBarBorderColorSameAsPositive="0">
              <x14:cfvo type="autoMin"/>
              <x14:cfvo type="autoMax"/>
              <x14:borderColor rgb="FF63C384"/>
              <x14:negativeFillColor rgb="FFFF0000"/>
              <x14:negativeBorderColor rgb="FFFF0000"/>
              <x14:axisColor rgb="FF000000"/>
            </x14:dataBar>
          </x14:cfRule>
          <xm:sqref>S11:S88</xm:sqref>
        </x14:conditionalFormatting>
        <x14:conditionalFormatting xmlns:xm="http://schemas.microsoft.com/office/excel/2006/main">
          <x14:cfRule type="dataBar" id="{967AD785-E25A-4527-A8D4-0ED7A9569015}">
            <x14:dataBar minLength="0" maxLength="100" border="1" negativeBarBorderColorSameAsPositive="0">
              <x14:cfvo type="autoMin"/>
              <x14:cfvo type="autoMax"/>
              <x14:borderColor rgb="FFFF555A"/>
              <x14:negativeFillColor rgb="FFFF0000"/>
              <x14:negativeBorderColor rgb="FFFF0000"/>
              <x14:axisColor rgb="FF000000"/>
            </x14:dataBar>
          </x14:cfRule>
          <xm:sqref>AE11:AE88</xm:sqref>
        </x14:conditionalFormatting>
        <x14:conditionalFormatting xmlns:xm="http://schemas.microsoft.com/office/excel/2006/main">
          <x14:cfRule type="dataBar" id="{15DF82BC-11ED-4ECD-B22C-B7B04926E426}">
            <x14:dataBar minLength="0" maxLength="100" border="1" negativeBarBorderColorSameAsPositive="0">
              <x14:cfvo type="autoMin"/>
              <x14:cfvo type="autoMax"/>
              <x14:borderColor rgb="FF638EC6"/>
              <x14:negativeFillColor rgb="FFFF0000"/>
              <x14:negativeBorderColor rgb="FFFF0000"/>
              <x14:axisColor rgb="FF000000"/>
            </x14:dataBar>
          </x14:cfRule>
          <xm:sqref>X11:X88</xm:sqref>
        </x14:conditionalFormatting>
        <x14:conditionalFormatting xmlns:xm="http://schemas.microsoft.com/office/excel/2006/main">
          <x14:cfRule type="dataBar" id="{30EA41DC-32DF-4B4D-96C1-B57AB9278E48}">
            <x14:dataBar minLength="0" maxLength="100" border="1" negativeBarBorderColorSameAsPositive="0">
              <x14:cfvo type="autoMin"/>
              <x14:cfvo type="autoMax"/>
              <x14:borderColor rgb="FF63C384"/>
              <x14:negativeFillColor rgb="FFFF0000"/>
              <x14:negativeBorderColor rgb="FFFF0000"/>
              <x14:axisColor rgb="FF000000"/>
            </x14:dataBar>
          </x14:cfRule>
          <xm:sqref>Z11:Z88</xm:sqref>
        </x14:conditionalFormatting>
        <x14:conditionalFormatting xmlns:xm="http://schemas.microsoft.com/office/excel/2006/main">
          <x14:cfRule type="dataBar" id="{8C6FD0D1-BB7F-47B9-8F08-35528ED08E6C}">
            <x14:dataBar minLength="0" maxLength="100" border="1" negativeBarBorderColorSameAsPositive="0">
              <x14:cfvo type="autoMin"/>
              <x14:cfvo type="autoMax"/>
              <x14:borderColor rgb="FF63C384"/>
              <x14:negativeFillColor rgb="FFFF0000"/>
              <x14:negativeBorderColor rgb="FFFF0000"/>
              <x14:axisColor rgb="FF000000"/>
            </x14:dataBar>
          </x14:cfRule>
          <xm:sqref>P9</xm:sqref>
        </x14:conditionalFormatting>
        <x14:conditionalFormatting xmlns:xm="http://schemas.microsoft.com/office/excel/2006/main">
          <x14:cfRule type="dataBar" id="{A2D776C2-991D-4A3E-AC81-F8BECB00826B}">
            <x14:dataBar minLength="0" maxLength="100" border="1" negativeBarBorderColorSameAsPositive="0">
              <x14:cfvo type="autoMin"/>
              <x14:cfvo type="autoMax"/>
              <x14:borderColor rgb="FF63C384"/>
              <x14:negativeFillColor rgb="FFFF0000"/>
              <x14:negativeBorderColor rgb="FFFF0000"/>
              <x14:axisColor rgb="FF000000"/>
            </x14:dataBar>
          </x14:cfRule>
          <xm:sqref>S89:S123</xm:sqref>
        </x14:conditionalFormatting>
        <x14:conditionalFormatting xmlns:xm="http://schemas.microsoft.com/office/excel/2006/main">
          <x14:cfRule type="dataBar" id="{C9768A49-EB94-44A6-9A23-46EE89C77CD0}">
            <x14:dataBar minLength="0" maxLength="100" border="1" negativeBarBorderColorSameAsPositive="0">
              <x14:cfvo type="autoMin"/>
              <x14:cfvo type="autoMax"/>
              <x14:borderColor rgb="FF638EC6"/>
              <x14:negativeFillColor rgb="FFFF0000"/>
              <x14:negativeBorderColor rgb="FFFF0000"/>
              <x14:axisColor rgb="FF000000"/>
            </x14:dataBar>
          </x14:cfRule>
          <xm:sqref>X89:X123</xm:sqref>
        </x14:conditionalFormatting>
        <x14:conditionalFormatting xmlns:xm="http://schemas.microsoft.com/office/excel/2006/main">
          <x14:cfRule type="dataBar" id="{14C41290-9C65-4346-BBA9-739EA338AEBB}">
            <x14:dataBar minLength="0" maxLength="100" border="1" negativeBarBorderColorSameAsPositive="0">
              <x14:cfvo type="autoMin"/>
              <x14:cfvo type="autoMax"/>
              <x14:borderColor rgb="FFFF555A"/>
              <x14:negativeFillColor rgb="FFFF0000"/>
              <x14:negativeBorderColor rgb="FFFF0000"/>
              <x14:axisColor rgb="FF000000"/>
            </x14:dataBar>
          </x14:cfRule>
          <xm:sqref>AE89:AE123</xm:sqref>
        </x14:conditionalFormatting>
        <x14:conditionalFormatting xmlns:xm="http://schemas.microsoft.com/office/excel/2006/main">
          <x14:cfRule type="dataBar" id="{A7B50D0A-4032-43BB-A409-CE6B584DD0D4}">
            <x14:dataBar minLength="0" maxLength="100" border="1" negativeBarBorderColorSameAsPositive="0">
              <x14:cfvo type="autoMin"/>
              <x14:cfvo type="autoMax"/>
              <x14:borderColor rgb="FF63C384"/>
              <x14:negativeFillColor rgb="FFFF0000"/>
              <x14:negativeBorderColor rgb="FFFF0000"/>
              <x14:axisColor rgb="FF000000"/>
            </x14:dataBar>
          </x14:cfRule>
          <xm:sqref>Z89:Z123</xm:sqref>
        </x14:conditionalFormatting>
        <x14:conditionalFormatting xmlns:xm="http://schemas.microsoft.com/office/excel/2006/main">
          <x14:cfRule type="dataBar" id="{DC80B837-048D-4D0B-BB9B-2F66F8F48FCD}">
            <x14:dataBar minLength="0" maxLength="100" border="1" negativeBarBorderColorSameAsPositive="0">
              <x14:cfvo type="autoMin"/>
              <x14:cfvo type="autoMax"/>
              <x14:borderColor rgb="FF638EC6"/>
              <x14:negativeFillColor rgb="FFFF0000"/>
              <x14:negativeBorderColor rgb="FFFF0000"/>
              <x14:axisColor rgb="FF000000"/>
            </x14:dataBar>
          </x14:cfRule>
          <xm:sqref>J11:J123</xm:sqref>
        </x14:conditionalFormatting>
        <x14:conditionalFormatting xmlns:xm="http://schemas.microsoft.com/office/excel/2006/main">
          <x14:cfRule type="dataBar" id="{FAA601E8-6EA8-432D-8934-DCDFE3D6C66B}">
            <x14:dataBar minLength="0" maxLength="100" border="1" negativeBarBorderColorSameAsPositive="0">
              <x14:cfvo type="autoMin"/>
              <x14:cfvo type="autoMax"/>
              <x14:borderColor rgb="FF63C384"/>
              <x14:negativeFillColor rgb="FFFF0000"/>
              <x14:negativeBorderColor rgb="FFFF0000"/>
              <x14:axisColor rgb="FF000000"/>
            </x14:dataBar>
          </x14:cfRule>
          <xm:sqref>Z11:Z123</xm:sqref>
        </x14:conditionalFormatting>
        <x14:conditionalFormatting xmlns:xm="http://schemas.microsoft.com/office/excel/2006/main">
          <x14:cfRule type="dataBar" id="{0FEF12A6-A279-468D-A6A7-D378C0E8A539}">
            <x14:dataBar minLength="0" maxLength="100" border="1" negativeBarBorderColorSameAsPositive="0">
              <x14:cfvo type="autoMin"/>
              <x14:cfvo type="autoMax"/>
              <x14:borderColor rgb="FF63C384"/>
              <x14:negativeFillColor rgb="FFFF0000"/>
              <x14:negativeBorderColor rgb="FFFF0000"/>
              <x14:axisColor rgb="FF000000"/>
            </x14:dataBar>
          </x14:cfRule>
          <xm:sqref>H12:H123</xm:sqref>
        </x14:conditionalFormatting>
        <x14:conditionalFormatting xmlns:xm="http://schemas.microsoft.com/office/excel/2006/main">
          <x14:cfRule type="dataBar" id="{B6A068B9-5A19-4705-8828-9F7577E2F87A}">
            <x14:dataBar minLength="0" maxLength="100" border="1" negativeBarBorderColorSameAsPositive="0">
              <x14:cfvo type="autoMin"/>
              <x14:cfvo type="autoMax"/>
              <x14:borderColor rgb="FF63C384"/>
              <x14:negativeFillColor rgb="FFFF0000"/>
              <x14:negativeBorderColor rgb="FFFF0000"/>
              <x14:axisColor rgb="FF000000"/>
            </x14:dataBar>
          </x14:cfRule>
          <xm:sqref>BC11:BC123</xm:sqref>
        </x14:conditionalFormatting>
        <x14:conditionalFormatting xmlns:xm="http://schemas.microsoft.com/office/excel/2006/main">
          <x14:cfRule type="dataBar" id="{DBDF8829-99CF-4635-8EB2-3CE6AB9AAAB8}">
            <x14:dataBar minLength="0" maxLength="100" border="1" negativeBarBorderColorSameAsPositive="0">
              <x14:cfvo type="autoMin"/>
              <x14:cfvo type="autoMax"/>
              <x14:borderColor rgb="FF63C384"/>
              <x14:negativeFillColor rgb="FFFF0000"/>
              <x14:negativeBorderColor rgb="FFFF0000"/>
              <x14:axisColor rgb="FF000000"/>
            </x14:dataBar>
          </x14:cfRule>
          <xm:sqref>H11:H123</xm:sqref>
        </x14:conditionalFormatting>
        <x14:conditionalFormatting xmlns:xm="http://schemas.microsoft.com/office/excel/2006/main">
          <x14:cfRule type="dataBar" id="{6E332CCE-AF6D-4197-A5A1-150192459CEB}">
            <x14:dataBar minLength="0" maxLength="100" border="1" negativeBarBorderColorSameAsPositive="0">
              <x14:cfvo type="autoMin"/>
              <x14:cfvo type="autoMax"/>
              <x14:borderColor rgb="FF63C384"/>
              <x14:negativeFillColor rgb="FFFF0000"/>
              <x14:negativeBorderColor rgb="FFFF0000"/>
              <x14:axisColor rgb="FF000000"/>
            </x14:dataBar>
          </x14:cfRule>
          <xm:sqref>P11:P123</xm:sqref>
        </x14:conditionalFormatting>
        <x14:conditionalFormatting xmlns:xm="http://schemas.microsoft.com/office/excel/2006/main">
          <x14:cfRule type="dataBar" id="{AA806324-C4C4-473B-9655-73B38C0CD17A}">
            <x14:dataBar minLength="0" maxLength="100" border="1" negativeBarBorderColorSameAsPositive="0">
              <x14:cfvo type="autoMin"/>
              <x14:cfvo type="autoMax"/>
              <x14:borderColor rgb="FF638EC6"/>
              <x14:negativeFillColor rgb="FFFF0000"/>
              <x14:negativeBorderColor rgb="FFFF0000"/>
              <x14:axisColor rgb="FF000000"/>
            </x14:dataBar>
          </x14:cfRule>
          <xm:sqref>R11:R123</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L120"/>
  <sheetViews>
    <sheetView workbookViewId="0">
      <pane xSplit="1" ySplit="1" topLeftCell="B2" activePane="bottomRight" state="frozen"/>
      <selection activeCell="A2" sqref="A2"/>
      <selection pane="topRight" activeCell="A2" sqref="A2"/>
      <selection pane="bottomLeft" activeCell="A2" sqref="A2"/>
      <selection pane="bottomRight" activeCell="A2" sqref="A2:BL116"/>
    </sheetView>
  </sheetViews>
  <sheetFormatPr defaultRowHeight="14.4" x14ac:dyDescent="0.3"/>
  <cols>
    <col min="1" max="1" width="9.5546875" bestFit="1" customWidth="1"/>
    <col min="2" max="2" width="8.5546875" bestFit="1" customWidth="1"/>
    <col min="3" max="3" width="9.77734375" bestFit="1" customWidth="1"/>
    <col min="4" max="4" width="22.21875" bestFit="1" customWidth="1"/>
    <col min="5" max="5" width="6.44140625" bestFit="1" customWidth="1"/>
    <col min="6" max="6" width="8.109375" bestFit="1" customWidth="1"/>
    <col min="7" max="7" width="7" bestFit="1" customWidth="1"/>
    <col min="8" max="8" width="7.77734375" bestFit="1" customWidth="1"/>
    <col min="9" max="9" width="8" bestFit="1" customWidth="1"/>
    <col min="10" max="10" width="11.44140625" bestFit="1" customWidth="1"/>
    <col min="11" max="11" width="12.77734375" bestFit="1" customWidth="1"/>
    <col min="12" max="12" width="10.21875" bestFit="1" customWidth="1"/>
    <col min="13" max="13" width="10.77734375" bestFit="1" customWidth="1"/>
    <col min="14" max="14" width="9.88671875" bestFit="1" customWidth="1"/>
    <col min="15" max="15" width="6.21875" bestFit="1" customWidth="1"/>
    <col min="16" max="16" width="10.77734375" bestFit="1" customWidth="1"/>
    <col min="17" max="17" width="11.109375" bestFit="1" customWidth="1"/>
    <col min="18" max="18" width="10.21875" bestFit="1" customWidth="1"/>
    <col min="19" max="19" width="6.44140625" bestFit="1" customWidth="1"/>
    <col min="20" max="20" width="10" bestFit="1" customWidth="1"/>
    <col min="21" max="21" width="9.109375" bestFit="1" customWidth="1"/>
    <col min="22" max="22" width="7.109375" bestFit="1" customWidth="1"/>
    <col min="23" max="24" width="6" bestFit="1" customWidth="1"/>
    <col min="25" max="25" width="8.77734375" bestFit="1" customWidth="1"/>
    <col min="26" max="26" width="31.109375" bestFit="1" customWidth="1"/>
    <col min="27" max="27" width="20.77734375" bestFit="1" customWidth="1"/>
    <col min="28" max="28" width="22.88671875" bestFit="1" customWidth="1"/>
    <col min="29" max="29" width="21.44140625" bestFit="1" customWidth="1"/>
    <col min="30" max="30" width="28" bestFit="1" customWidth="1"/>
    <col min="31" max="31" width="17.44140625" bestFit="1" customWidth="1"/>
    <col min="32" max="32" width="19.77734375" bestFit="1" customWidth="1"/>
    <col min="33" max="33" width="18.109375" bestFit="1" customWidth="1"/>
    <col min="34" max="34" width="29.44140625" bestFit="1" customWidth="1"/>
    <col min="35" max="35" width="18.88671875" bestFit="1" customWidth="1"/>
    <col min="36" max="36" width="21.109375" bestFit="1" customWidth="1"/>
    <col min="37" max="37" width="19.77734375" bestFit="1" customWidth="1"/>
    <col min="38" max="38" width="27.44140625" bestFit="1" customWidth="1"/>
    <col min="39" max="39" width="17" bestFit="1" customWidth="1"/>
    <col min="40" max="40" width="19.109375" bestFit="1" customWidth="1"/>
    <col min="41" max="41" width="17.77734375" bestFit="1" customWidth="1"/>
    <col min="42" max="42" width="31.44140625" bestFit="1" customWidth="1"/>
    <col min="43" max="43" width="21" bestFit="1" customWidth="1"/>
    <col min="44" max="44" width="23.109375" bestFit="1" customWidth="1"/>
    <col min="45" max="45" width="21.77734375" bestFit="1" customWidth="1"/>
    <col min="46" max="46" width="29" bestFit="1" customWidth="1"/>
    <col min="47" max="47" width="18.44140625" bestFit="1" customWidth="1"/>
    <col min="48" max="48" width="20.77734375" bestFit="1" customWidth="1"/>
    <col min="49" max="49" width="19.109375" bestFit="1" customWidth="1"/>
    <col min="50" max="50" width="26.44140625" bestFit="1" customWidth="1"/>
    <col min="51" max="51" width="16" bestFit="1" customWidth="1"/>
    <col min="52" max="52" width="18.109375" bestFit="1" customWidth="1"/>
    <col min="53" max="53" width="16.77734375" bestFit="1" customWidth="1"/>
    <col min="54" max="54" width="31.44140625" bestFit="1" customWidth="1"/>
    <col min="55" max="55" width="21" bestFit="1" customWidth="1"/>
    <col min="56" max="56" width="23.109375" bestFit="1" customWidth="1"/>
    <col min="57" max="57" width="21.77734375" bestFit="1" customWidth="1"/>
    <col min="58" max="58" width="31.44140625" bestFit="1" customWidth="1"/>
    <col min="59" max="59" width="21" bestFit="1" customWidth="1"/>
    <col min="60" max="60" width="23.109375" bestFit="1" customWidth="1"/>
    <col min="61" max="61" width="21.77734375" bestFit="1" customWidth="1"/>
    <col min="62" max="62" width="7" bestFit="1" customWidth="1"/>
    <col min="63" max="63" width="9.44140625" bestFit="1" customWidth="1"/>
    <col min="64" max="64" width="12.21875" bestFit="1" customWidth="1"/>
  </cols>
  <sheetData>
    <row r="1" spans="1:64" x14ac:dyDescent="0.3">
      <c r="A1" s="135" t="s">
        <v>1913</v>
      </c>
      <c r="B1" s="135" t="s">
        <v>1914</v>
      </c>
      <c r="C1" s="135" t="s">
        <v>1915</v>
      </c>
      <c r="D1" s="135" t="s">
        <v>1</v>
      </c>
      <c r="E1" s="135" t="s">
        <v>413</v>
      </c>
      <c r="F1" s="135" t="s">
        <v>387</v>
      </c>
      <c r="G1" s="135" t="s">
        <v>81</v>
      </c>
      <c r="H1" s="135" t="s">
        <v>1916</v>
      </c>
      <c r="I1" s="135" t="s">
        <v>1917</v>
      </c>
      <c r="J1" s="135" t="s">
        <v>1918</v>
      </c>
      <c r="K1" s="135" t="s">
        <v>797</v>
      </c>
      <c r="L1" s="135" t="s">
        <v>798</v>
      </c>
      <c r="M1" s="135" t="s">
        <v>1919</v>
      </c>
      <c r="N1" s="135" t="s">
        <v>799</v>
      </c>
      <c r="O1" s="135" t="s">
        <v>605</v>
      </c>
      <c r="P1" s="135" t="s">
        <v>800</v>
      </c>
      <c r="Q1" s="135" t="s">
        <v>801</v>
      </c>
      <c r="R1" s="135" t="s">
        <v>392</v>
      </c>
      <c r="S1" s="135" t="s">
        <v>389</v>
      </c>
      <c r="T1" s="135" t="s">
        <v>826</v>
      </c>
      <c r="U1" s="135" t="s">
        <v>393</v>
      </c>
      <c r="V1" s="135" t="s">
        <v>1230</v>
      </c>
      <c r="W1" s="135" t="s">
        <v>1257</v>
      </c>
      <c r="X1" s="135" t="s">
        <v>1920</v>
      </c>
      <c r="Y1" s="135" t="s">
        <v>1427</v>
      </c>
      <c r="Z1" s="135" t="s">
        <v>1921</v>
      </c>
      <c r="AA1" s="135" t="s">
        <v>1922</v>
      </c>
      <c r="AB1" s="135" t="s">
        <v>1923</v>
      </c>
      <c r="AC1" s="135" t="s">
        <v>1924</v>
      </c>
      <c r="AD1" s="135" t="s">
        <v>1925</v>
      </c>
      <c r="AE1" s="135" t="s">
        <v>1926</v>
      </c>
      <c r="AF1" s="135" t="s">
        <v>1927</v>
      </c>
      <c r="AG1" s="135" t="s">
        <v>1928</v>
      </c>
      <c r="AH1" s="135" t="s">
        <v>1929</v>
      </c>
      <c r="AI1" s="135" t="s">
        <v>1930</v>
      </c>
      <c r="AJ1" s="135" t="s">
        <v>1931</v>
      </c>
      <c r="AK1" s="135" t="s">
        <v>1932</v>
      </c>
      <c r="AL1" s="135" t="s">
        <v>1933</v>
      </c>
      <c r="AM1" s="135" t="s">
        <v>1934</v>
      </c>
      <c r="AN1" s="135" t="s">
        <v>1935</v>
      </c>
      <c r="AO1" s="135" t="s">
        <v>1936</v>
      </c>
      <c r="AP1" s="135" t="s">
        <v>1937</v>
      </c>
      <c r="AQ1" s="135" t="s">
        <v>1938</v>
      </c>
      <c r="AR1" s="135" t="s">
        <v>1939</v>
      </c>
      <c r="AS1" s="135" t="s">
        <v>1940</v>
      </c>
      <c r="AT1" s="135" t="s">
        <v>1941</v>
      </c>
      <c r="AU1" s="135" t="s">
        <v>1942</v>
      </c>
      <c r="AV1" s="135" t="s">
        <v>1943</v>
      </c>
      <c r="AW1" s="135" t="s">
        <v>1944</v>
      </c>
      <c r="AX1" s="135" t="s">
        <v>1945</v>
      </c>
      <c r="AY1" s="135" t="s">
        <v>1946</v>
      </c>
      <c r="AZ1" s="135" t="s">
        <v>1947</v>
      </c>
      <c r="BA1" s="135" t="s">
        <v>1948</v>
      </c>
      <c r="BB1" s="135" t="s">
        <v>1949</v>
      </c>
      <c r="BC1" s="135" t="s">
        <v>1950</v>
      </c>
      <c r="BD1" s="135" t="s">
        <v>1951</v>
      </c>
      <c r="BE1" s="135" t="s">
        <v>1952</v>
      </c>
      <c r="BF1" s="135" t="s">
        <v>1953</v>
      </c>
      <c r="BG1" s="135" t="s">
        <v>1954</v>
      </c>
      <c r="BH1" s="135" t="s">
        <v>1955</v>
      </c>
      <c r="BI1" s="135" t="s">
        <v>1956</v>
      </c>
      <c r="BJ1" s="135" t="s">
        <v>1606</v>
      </c>
      <c r="BK1" s="135" t="s">
        <v>2294</v>
      </c>
      <c r="BL1" s="135" t="s">
        <v>1957</v>
      </c>
    </row>
    <row r="2" spans="1:64" x14ac:dyDescent="0.3">
      <c r="A2" s="135">
        <v>2016</v>
      </c>
      <c r="B2" s="135">
        <v>4</v>
      </c>
      <c r="C2" s="135" t="s">
        <v>2093</v>
      </c>
      <c r="D2" s="135" t="s">
        <v>187</v>
      </c>
      <c r="E2" s="135" t="s">
        <v>396</v>
      </c>
      <c r="F2" s="135" t="s">
        <v>20</v>
      </c>
      <c r="G2" s="135" t="s">
        <v>397</v>
      </c>
      <c r="H2" s="135">
        <v>16.2</v>
      </c>
      <c r="I2" s="135">
        <v>15.7</v>
      </c>
      <c r="J2" s="135">
        <v>23.195</v>
      </c>
      <c r="K2" s="135">
        <v>0</v>
      </c>
      <c r="L2" s="135">
        <v>0</v>
      </c>
      <c r="M2" s="135">
        <v>0</v>
      </c>
      <c r="N2" s="135">
        <v>0</v>
      </c>
      <c r="O2" s="135">
        <v>0</v>
      </c>
      <c r="P2" s="135">
        <v>0.21099999999999999</v>
      </c>
      <c r="Q2" s="135">
        <v>1.7669999999999999</v>
      </c>
      <c r="R2" s="135">
        <v>0</v>
      </c>
      <c r="S2" s="135">
        <v>7.4950000000000001</v>
      </c>
      <c r="T2" s="135">
        <v>113.708</v>
      </c>
      <c r="U2" s="135">
        <v>0.71499999999999997</v>
      </c>
      <c r="V2" s="135">
        <v>6.9000000000000006E-2</v>
      </c>
      <c r="W2" s="135">
        <v>0</v>
      </c>
      <c r="X2" s="135">
        <v>0</v>
      </c>
      <c r="Y2" s="135" t="s">
        <v>1959</v>
      </c>
      <c r="Z2" s="135">
        <v>19.399999999999999</v>
      </c>
      <c r="AA2" s="135">
        <v>6450</v>
      </c>
      <c r="AB2" s="135">
        <v>332.9</v>
      </c>
      <c r="AC2" s="135">
        <v>3</v>
      </c>
      <c r="AD2" s="135">
        <v>23.2</v>
      </c>
      <c r="AE2" s="135">
        <v>18450</v>
      </c>
      <c r="AF2" s="135">
        <v>795.4</v>
      </c>
      <c r="AG2" s="135">
        <v>1.26</v>
      </c>
      <c r="AH2" s="135">
        <v>24</v>
      </c>
      <c r="AI2" s="135">
        <v>9700</v>
      </c>
      <c r="AJ2" s="135">
        <v>404.9</v>
      </c>
      <c r="AK2" s="135">
        <v>2.4700000000000002</v>
      </c>
      <c r="AL2" s="135">
        <v>19.399999999999999</v>
      </c>
      <c r="AM2" s="135">
        <v>9400</v>
      </c>
      <c r="AN2" s="135">
        <v>483.4</v>
      </c>
      <c r="AO2" s="135">
        <v>2.0699999999999998</v>
      </c>
      <c r="AP2" s="135"/>
      <c r="AQ2" s="135"/>
      <c r="AR2" s="135"/>
      <c r="AS2" s="135"/>
      <c r="AT2" s="135"/>
      <c r="AU2" s="135"/>
      <c r="AV2" s="135"/>
      <c r="AW2" s="135"/>
      <c r="AX2" s="135">
        <v>19.399999999999999</v>
      </c>
      <c r="AY2" s="135">
        <v>40</v>
      </c>
      <c r="AZ2" s="135">
        <v>2.1</v>
      </c>
      <c r="BA2" s="135">
        <v>0.49</v>
      </c>
      <c r="BB2" s="135"/>
      <c r="BC2" s="135"/>
      <c r="BD2" s="135"/>
      <c r="BE2" s="135"/>
      <c r="BF2" s="135">
        <v>24</v>
      </c>
      <c r="BG2" s="135">
        <v>18300</v>
      </c>
      <c r="BH2" s="135">
        <v>763.9</v>
      </c>
      <c r="BI2" s="135">
        <v>1.31</v>
      </c>
      <c r="BJ2" s="135">
        <v>47.5</v>
      </c>
      <c r="BK2" s="135">
        <v>-5.5</v>
      </c>
      <c r="BL2" s="135">
        <v>26.5</v>
      </c>
    </row>
    <row r="3" spans="1:64" x14ac:dyDescent="0.3">
      <c r="A3" s="135">
        <v>2016</v>
      </c>
      <c r="B3" s="135">
        <v>4</v>
      </c>
      <c r="C3" s="135" t="s">
        <v>2103</v>
      </c>
      <c r="D3" s="135" t="s">
        <v>195</v>
      </c>
      <c r="E3" s="135" t="s">
        <v>396</v>
      </c>
      <c r="F3" s="135" t="s">
        <v>28</v>
      </c>
      <c r="G3" s="135" t="s">
        <v>57</v>
      </c>
      <c r="H3" s="135">
        <v>30.59</v>
      </c>
      <c r="I3" s="135">
        <v>13.541</v>
      </c>
      <c r="J3" s="135">
        <v>20.518000000000001</v>
      </c>
      <c r="K3" s="135">
        <v>0</v>
      </c>
      <c r="L3" s="135">
        <v>0</v>
      </c>
      <c r="M3" s="135">
        <v>0</v>
      </c>
      <c r="N3" s="135">
        <v>0</v>
      </c>
      <c r="O3" s="135">
        <v>0</v>
      </c>
      <c r="P3" s="135">
        <v>0</v>
      </c>
      <c r="Q3" s="135">
        <v>0</v>
      </c>
      <c r="R3" s="135">
        <v>0</v>
      </c>
      <c r="S3" s="135">
        <v>6.9770000000000003</v>
      </c>
      <c r="T3" s="135">
        <v>87.927000000000007</v>
      </c>
      <c r="U3" s="135">
        <v>0.80900000000000005</v>
      </c>
      <c r="V3" s="135">
        <v>5.2999999999999999E-2</v>
      </c>
      <c r="W3" s="135">
        <v>0</v>
      </c>
      <c r="X3" s="135">
        <v>0</v>
      </c>
      <c r="Y3" s="135" t="s">
        <v>1959</v>
      </c>
      <c r="Z3" s="135">
        <v>17</v>
      </c>
      <c r="AA3" s="135">
        <v>6150</v>
      </c>
      <c r="AB3" s="135">
        <v>362.3</v>
      </c>
      <c r="AC3" s="135">
        <v>2.76</v>
      </c>
      <c r="AD3" s="135">
        <v>20.5</v>
      </c>
      <c r="AE3" s="135">
        <v>17150</v>
      </c>
      <c r="AF3" s="135">
        <v>835.9</v>
      </c>
      <c r="AG3" s="135">
        <v>1.2</v>
      </c>
      <c r="AH3" s="135">
        <v>21.1</v>
      </c>
      <c r="AI3" s="135">
        <v>8500</v>
      </c>
      <c r="AJ3" s="135">
        <v>402.9</v>
      </c>
      <c r="AK3" s="135">
        <v>2.48</v>
      </c>
      <c r="AL3" s="135">
        <v>17</v>
      </c>
      <c r="AM3" s="135">
        <v>8100</v>
      </c>
      <c r="AN3" s="135">
        <v>475.7</v>
      </c>
      <c r="AO3" s="135">
        <v>2.1</v>
      </c>
      <c r="AP3" s="135"/>
      <c r="AQ3" s="135"/>
      <c r="AR3" s="135"/>
      <c r="AS3" s="135"/>
      <c r="AT3" s="135"/>
      <c r="AU3" s="135"/>
      <c r="AV3" s="135"/>
      <c r="AW3" s="135"/>
      <c r="AX3" s="135">
        <v>17</v>
      </c>
      <c r="AY3" s="135">
        <v>37</v>
      </c>
      <c r="AZ3" s="135">
        <v>2.2000000000000002</v>
      </c>
      <c r="BA3" s="135">
        <v>0.46</v>
      </c>
      <c r="BB3" s="135"/>
      <c r="BC3" s="135"/>
      <c r="BD3" s="135"/>
      <c r="BE3" s="135"/>
      <c r="BF3" s="135">
        <v>21.1</v>
      </c>
      <c r="BG3" s="135">
        <v>16000</v>
      </c>
      <c r="BH3" s="135">
        <v>758.4</v>
      </c>
      <c r="BI3" s="135">
        <v>1.32</v>
      </c>
      <c r="BJ3" s="135">
        <v>44.5</v>
      </c>
      <c r="BK3" s="135">
        <v>-7</v>
      </c>
      <c r="BL3" s="135">
        <v>25.75</v>
      </c>
    </row>
    <row r="4" spans="1:64" x14ac:dyDescent="0.3">
      <c r="A4" s="135">
        <v>2016</v>
      </c>
      <c r="B4" s="135">
        <v>4</v>
      </c>
      <c r="C4" s="135" t="s">
        <v>2094</v>
      </c>
      <c r="D4" s="135" t="s">
        <v>188</v>
      </c>
      <c r="E4" s="135" t="s">
        <v>396</v>
      </c>
      <c r="F4" s="135" t="s">
        <v>50</v>
      </c>
      <c r="G4" s="135" t="s">
        <v>22</v>
      </c>
      <c r="H4" s="135">
        <v>13.55</v>
      </c>
      <c r="I4" s="135">
        <v>13.489000000000001</v>
      </c>
      <c r="J4" s="135">
        <v>19.596</v>
      </c>
      <c r="K4" s="135">
        <v>0</v>
      </c>
      <c r="L4" s="135">
        <v>0</v>
      </c>
      <c r="M4" s="135">
        <v>0</v>
      </c>
      <c r="N4" s="135">
        <v>0</v>
      </c>
      <c r="O4" s="135">
        <v>0</v>
      </c>
      <c r="P4" s="135">
        <v>0</v>
      </c>
      <c r="Q4" s="135">
        <v>0</v>
      </c>
      <c r="R4" s="135">
        <v>0</v>
      </c>
      <c r="S4" s="135">
        <v>6.1070000000000002</v>
      </c>
      <c r="T4" s="135">
        <v>98.027000000000001</v>
      </c>
      <c r="U4" s="135">
        <v>0.63400000000000001</v>
      </c>
      <c r="V4" s="135">
        <v>5.8999999999999997E-2</v>
      </c>
      <c r="W4" s="135">
        <v>0</v>
      </c>
      <c r="X4" s="135">
        <v>0</v>
      </c>
      <c r="Y4" s="135" t="s">
        <v>1959</v>
      </c>
      <c r="Z4" s="135">
        <v>16.5</v>
      </c>
      <c r="AA4" s="135">
        <v>6250</v>
      </c>
      <c r="AB4" s="135">
        <v>379.2</v>
      </c>
      <c r="AC4" s="135">
        <v>2.64</v>
      </c>
      <c r="AD4" s="135">
        <v>19.600000000000001</v>
      </c>
      <c r="AE4" s="135">
        <v>15900</v>
      </c>
      <c r="AF4" s="135">
        <v>811.4</v>
      </c>
      <c r="AG4" s="135">
        <v>1.23</v>
      </c>
      <c r="AH4" s="135">
        <v>20.2</v>
      </c>
      <c r="AI4" s="135">
        <v>9200</v>
      </c>
      <c r="AJ4" s="135">
        <v>454.5</v>
      </c>
      <c r="AK4" s="135">
        <v>2.2000000000000002</v>
      </c>
      <c r="AL4" s="135">
        <v>16.5</v>
      </c>
      <c r="AM4" s="135">
        <v>8500</v>
      </c>
      <c r="AN4" s="135">
        <v>513.79999999999995</v>
      </c>
      <c r="AO4" s="135">
        <v>1.95</v>
      </c>
      <c r="AP4" s="135"/>
      <c r="AQ4" s="135"/>
      <c r="AR4" s="135"/>
      <c r="AS4" s="135"/>
      <c r="AT4" s="135"/>
      <c r="AU4" s="135"/>
      <c r="AV4" s="135"/>
      <c r="AW4" s="135"/>
      <c r="AX4" s="135">
        <v>16.5</v>
      </c>
      <c r="AY4" s="135">
        <v>38</v>
      </c>
      <c r="AZ4" s="135">
        <v>2.2999999999999998</v>
      </c>
      <c r="BA4" s="135">
        <v>0.44</v>
      </c>
      <c r="BB4" s="135"/>
      <c r="BC4" s="135"/>
      <c r="BD4" s="135"/>
      <c r="BE4" s="135"/>
      <c r="BF4" s="135">
        <v>20.2</v>
      </c>
      <c r="BG4" s="135">
        <v>17300</v>
      </c>
      <c r="BH4" s="135">
        <v>854.6</v>
      </c>
      <c r="BI4" s="135">
        <v>1.17</v>
      </c>
      <c r="BJ4" s="135">
        <v>50</v>
      </c>
      <c r="BK4" s="135">
        <v>3</v>
      </c>
      <c r="BL4" s="135">
        <v>23.5</v>
      </c>
    </row>
    <row r="5" spans="1:64" x14ac:dyDescent="0.3">
      <c r="A5" s="135">
        <v>2016</v>
      </c>
      <c r="B5" s="135">
        <v>4</v>
      </c>
      <c r="C5" s="135" t="s">
        <v>2097</v>
      </c>
      <c r="D5" s="135" t="s">
        <v>194</v>
      </c>
      <c r="E5" s="135" t="s">
        <v>396</v>
      </c>
      <c r="F5" s="135" t="s">
        <v>12</v>
      </c>
      <c r="G5" s="135" t="s">
        <v>16</v>
      </c>
      <c r="H5" s="135">
        <v>11.77</v>
      </c>
      <c r="I5" s="135">
        <v>13.224</v>
      </c>
      <c r="J5" s="135">
        <v>20.302</v>
      </c>
      <c r="K5" s="135">
        <v>0</v>
      </c>
      <c r="L5" s="135">
        <v>0</v>
      </c>
      <c r="M5" s="135">
        <v>0</v>
      </c>
      <c r="N5" s="135">
        <v>0</v>
      </c>
      <c r="O5" s="135">
        <v>0</v>
      </c>
      <c r="P5" s="135">
        <v>0</v>
      </c>
      <c r="Q5" s="135">
        <v>0</v>
      </c>
      <c r="R5" s="135">
        <v>0</v>
      </c>
      <c r="S5" s="135">
        <v>7.0780000000000003</v>
      </c>
      <c r="T5" s="135">
        <v>91.623999999999995</v>
      </c>
      <c r="U5" s="135">
        <v>0.69699999999999995</v>
      </c>
      <c r="V5" s="135">
        <v>0.06</v>
      </c>
      <c r="W5" s="135">
        <v>0</v>
      </c>
      <c r="X5" s="135">
        <v>0</v>
      </c>
      <c r="Y5" s="135" t="s">
        <v>1959</v>
      </c>
      <c r="Z5" s="135">
        <v>16.7</v>
      </c>
      <c r="AA5" s="135">
        <v>5650</v>
      </c>
      <c r="AB5" s="135">
        <v>338.3</v>
      </c>
      <c r="AC5" s="135">
        <v>2.96</v>
      </c>
      <c r="AD5" s="135">
        <v>20.3</v>
      </c>
      <c r="AE5" s="135">
        <v>13900</v>
      </c>
      <c r="AF5" s="135">
        <v>684.6</v>
      </c>
      <c r="AG5" s="135">
        <v>1.46</v>
      </c>
      <c r="AH5" s="135">
        <v>20.9</v>
      </c>
      <c r="AI5" s="135">
        <v>8000</v>
      </c>
      <c r="AJ5" s="135">
        <v>382.6</v>
      </c>
      <c r="AK5" s="135">
        <v>2.61</v>
      </c>
      <c r="AL5" s="135">
        <v>16.8</v>
      </c>
      <c r="AM5" s="135">
        <v>8300</v>
      </c>
      <c r="AN5" s="135">
        <v>495.1</v>
      </c>
      <c r="AO5" s="135">
        <v>2.02</v>
      </c>
      <c r="AP5" s="135"/>
      <c r="AQ5" s="135"/>
      <c r="AR5" s="135"/>
      <c r="AS5" s="135"/>
      <c r="AT5" s="135"/>
      <c r="AU5" s="135"/>
      <c r="AV5" s="135"/>
      <c r="AW5" s="135"/>
      <c r="AX5" s="135">
        <v>16.8</v>
      </c>
      <c r="AY5" s="135">
        <v>33</v>
      </c>
      <c r="AZ5" s="135">
        <v>2</v>
      </c>
      <c r="BA5" s="135">
        <v>0.51</v>
      </c>
      <c r="BB5" s="135"/>
      <c r="BC5" s="135"/>
      <c r="BD5" s="135"/>
      <c r="BE5" s="135"/>
      <c r="BF5" s="135">
        <v>20.9</v>
      </c>
      <c r="BG5" s="135">
        <v>15000</v>
      </c>
      <c r="BH5" s="135">
        <v>717.3</v>
      </c>
      <c r="BI5" s="135">
        <v>1.39</v>
      </c>
      <c r="BJ5" s="135">
        <v>49.5</v>
      </c>
      <c r="BK5" s="135">
        <v>2.5</v>
      </c>
      <c r="BL5" s="135">
        <v>23.5</v>
      </c>
    </row>
    <row r="6" spans="1:64" x14ac:dyDescent="0.3">
      <c r="A6" s="135">
        <v>2016</v>
      </c>
      <c r="B6" s="135">
        <v>4</v>
      </c>
      <c r="C6" s="135" t="s">
        <v>2095</v>
      </c>
      <c r="D6" s="135" t="s">
        <v>191</v>
      </c>
      <c r="E6" s="135" t="s">
        <v>396</v>
      </c>
      <c r="F6" s="135" t="s">
        <v>37</v>
      </c>
      <c r="G6" s="135" t="s">
        <v>2304</v>
      </c>
      <c r="H6" s="135">
        <v>14.75</v>
      </c>
      <c r="I6" s="135">
        <v>12.637</v>
      </c>
      <c r="J6" s="135">
        <v>18.971</v>
      </c>
      <c r="K6" s="135">
        <v>0</v>
      </c>
      <c r="L6" s="135">
        <v>0</v>
      </c>
      <c r="M6" s="135">
        <v>0</v>
      </c>
      <c r="N6" s="135">
        <v>0</v>
      </c>
      <c r="O6" s="135">
        <v>0</v>
      </c>
      <c r="P6" s="135">
        <v>0</v>
      </c>
      <c r="Q6" s="135">
        <v>0</v>
      </c>
      <c r="R6" s="135">
        <v>0</v>
      </c>
      <c r="S6" s="135">
        <v>6.3339999999999996</v>
      </c>
      <c r="T6" s="135">
        <v>88.471000000000004</v>
      </c>
      <c r="U6" s="135">
        <v>0.65700000000000003</v>
      </c>
      <c r="V6" s="135">
        <v>7.5999999999999998E-2</v>
      </c>
      <c r="W6" s="135">
        <v>0</v>
      </c>
      <c r="X6" s="135">
        <v>0</v>
      </c>
      <c r="Y6" s="135" t="s">
        <v>1959</v>
      </c>
      <c r="Z6" s="135">
        <v>15.7</v>
      </c>
      <c r="AA6" s="135">
        <v>6150</v>
      </c>
      <c r="AB6" s="135">
        <v>391</v>
      </c>
      <c r="AC6" s="135">
        <v>2.56</v>
      </c>
      <c r="AD6" s="135">
        <v>19</v>
      </c>
      <c r="AE6" s="135">
        <v>16950</v>
      </c>
      <c r="AF6" s="135">
        <v>893.5</v>
      </c>
      <c r="AG6" s="135">
        <v>1.1200000000000001</v>
      </c>
      <c r="AH6" s="135">
        <v>19.600000000000001</v>
      </c>
      <c r="AI6" s="135">
        <v>8700</v>
      </c>
      <c r="AJ6" s="135">
        <v>444.4</v>
      </c>
      <c r="AK6" s="135">
        <v>2.25</v>
      </c>
      <c r="AL6" s="135">
        <v>15.8</v>
      </c>
      <c r="AM6" s="135">
        <v>8700</v>
      </c>
      <c r="AN6" s="135">
        <v>550.5</v>
      </c>
      <c r="AO6" s="135">
        <v>1.82</v>
      </c>
      <c r="AP6" s="135"/>
      <c r="AQ6" s="135"/>
      <c r="AR6" s="135"/>
      <c r="AS6" s="135"/>
      <c r="AT6" s="135"/>
      <c r="AU6" s="135"/>
      <c r="AV6" s="135"/>
      <c r="AW6" s="135"/>
      <c r="AX6" s="135">
        <v>15.8</v>
      </c>
      <c r="AY6" s="135">
        <v>35</v>
      </c>
      <c r="AZ6" s="135">
        <v>2.2000000000000002</v>
      </c>
      <c r="BA6" s="135">
        <v>0.45</v>
      </c>
      <c r="BB6" s="135"/>
      <c r="BC6" s="135"/>
      <c r="BD6" s="135"/>
      <c r="BE6" s="135"/>
      <c r="BF6" s="135">
        <v>19.600000000000001</v>
      </c>
      <c r="BG6" s="135">
        <v>16300</v>
      </c>
      <c r="BH6" s="135">
        <v>832.6</v>
      </c>
      <c r="BI6" s="135">
        <v>1.2</v>
      </c>
      <c r="BJ6" s="135">
        <v>43.5</v>
      </c>
      <c r="BK6" s="135">
        <v>4</v>
      </c>
      <c r="BL6" s="135">
        <v>19.75</v>
      </c>
    </row>
    <row r="7" spans="1:64" x14ac:dyDescent="0.3">
      <c r="A7" s="135">
        <v>2016</v>
      </c>
      <c r="B7" s="135">
        <v>4</v>
      </c>
      <c r="C7" s="135" t="s">
        <v>2096</v>
      </c>
      <c r="D7" s="135" t="s">
        <v>189</v>
      </c>
      <c r="E7" s="135" t="s">
        <v>396</v>
      </c>
      <c r="F7" s="135" t="s">
        <v>43</v>
      </c>
      <c r="G7" s="135" t="s">
        <v>30</v>
      </c>
      <c r="H7" s="135">
        <v>19.5</v>
      </c>
      <c r="I7" s="135">
        <v>12.141</v>
      </c>
      <c r="J7" s="135">
        <v>17.041</v>
      </c>
      <c r="K7" s="135">
        <v>0</v>
      </c>
      <c r="L7" s="135">
        <v>0</v>
      </c>
      <c r="M7" s="135">
        <v>0</v>
      </c>
      <c r="N7" s="135">
        <v>0</v>
      </c>
      <c r="O7" s="135">
        <v>0</v>
      </c>
      <c r="P7" s="135">
        <v>0</v>
      </c>
      <c r="Q7" s="135">
        <v>0</v>
      </c>
      <c r="R7" s="135">
        <v>0</v>
      </c>
      <c r="S7" s="135">
        <v>4.9000000000000004</v>
      </c>
      <c r="T7" s="135">
        <v>84.013999999999996</v>
      </c>
      <c r="U7" s="135">
        <v>0.63800000000000001</v>
      </c>
      <c r="V7" s="135">
        <v>4.3999999999999997E-2</v>
      </c>
      <c r="W7" s="135">
        <v>0</v>
      </c>
      <c r="X7" s="135">
        <v>0</v>
      </c>
      <c r="Y7" s="135" t="s">
        <v>1959</v>
      </c>
      <c r="Z7" s="135">
        <v>14.5</v>
      </c>
      <c r="AA7" s="135">
        <v>6000</v>
      </c>
      <c r="AB7" s="135">
        <v>412.4</v>
      </c>
      <c r="AC7" s="135">
        <v>2.42</v>
      </c>
      <c r="AD7" s="135">
        <v>17</v>
      </c>
      <c r="AE7" s="135">
        <v>17450</v>
      </c>
      <c r="AF7" s="135">
        <v>1024</v>
      </c>
      <c r="AG7" s="135">
        <v>0.98</v>
      </c>
      <c r="AH7" s="135">
        <v>17.600000000000001</v>
      </c>
      <c r="AI7" s="135">
        <v>8400</v>
      </c>
      <c r="AJ7" s="135">
        <v>477.6</v>
      </c>
      <c r="AK7" s="135">
        <v>2.09</v>
      </c>
      <c r="AL7" s="135">
        <v>14.6</v>
      </c>
      <c r="AM7" s="135">
        <v>8600</v>
      </c>
      <c r="AN7" s="135">
        <v>589.4</v>
      </c>
      <c r="AO7" s="135">
        <v>1.7</v>
      </c>
      <c r="AP7" s="135"/>
      <c r="AQ7" s="135"/>
      <c r="AR7" s="135"/>
      <c r="AS7" s="135"/>
      <c r="AT7" s="135"/>
      <c r="AU7" s="135"/>
      <c r="AV7" s="135"/>
      <c r="AW7" s="135"/>
      <c r="AX7" s="135">
        <v>14.6</v>
      </c>
      <c r="AY7" s="135">
        <v>35</v>
      </c>
      <c r="AZ7" s="135">
        <v>2.4</v>
      </c>
      <c r="BA7" s="135">
        <v>0.42</v>
      </c>
      <c r="BB7" s="135"/>
      <c r="BC7" s="135"/>
      <c r="BD7" s="135"/>
      <c r="BE7" s="135"/>
      <c r="BF7" s="135">
        <v>17.600000000000001</v>
      </c>
      <c r="BG7" s="135">
        <v>16000</v>
      </c>
      <c r="BH7" s="135">
        <v>909.6</v>
      </c>
      <c r="BI7" s="135">
        <v>1.1000000000000001</v>
      </c>
      <c r="BJ7" s="135">
        <v>40.5</v>
      </c>
      <c r="BK7" s="135">
        <v>-6.5</v>
      </c>
      <c r="BL7" s="135">
        <v>23.5</v>
      </c>
    </row>
    <row r="8" spans="1:64" x14ac:dyDescent="0.3">
      <c r="A8" s="135">
        <v>2016</v>
      </c>
      <c r="B8" s="135">
        <v>4</v>
      </c>
      <c r="C8" s="135" t="s">
        <v>2112</v>
      </c>
      <c r="D8" s="135" t="s">
        <v>173</v>
      </c>
      <c r="E8" s="135" t="s">
        <v>396</v>
      </c>
      <c r="F8" s="135" t="s">
        <v>26</v>
      </c>
      <c r="G8" s="135" t="s">
        <v>2298</v>
      </c>
      <c r="H8" s="135">
        <v>26.02</v>
      </c>
      <c r="I8" s="135">
        <v>12.093999999999999</v>
      </c>
      <c r="J8" s="135">
        <v>17.596</v>
      </c>
      <c r="K8" s="135">
        <v>0</v>
      </c>
      <c r="L8" s="135">
        <v>0</v>
      </c>
      <c r="M8" s="135">
        <v>0</v>
      </c>
      <c r="N8" s="135">
        <v>0</v>
      </c>
      <c r="O8" s="135">
        <v>0</v>
      </c>
      <c r="P8" s="135">
        <v>0</v>
      </c>
      <c r="Q8" s="135">
        <v>0</v>
      </c>
      <c r="R8" s="135">
        <v>0</v>
      </c>
      <c r="S8" s="135">
        <v>5.5019999999999998</v>
      </c>
      <c r="T8" s="135">
        <v>89.843000000000004</v>
      </c>
      <c r="U8" s="135">
        <v>0.53</v>
      </c>
      <c r="V8" s="135">
        <v>3.5000000000000003E-2</v>
      </c>
      <c r="W8" s="135">
        <v>0</v>
      </c>
      <c r="X8" s="135">
        <v>0</v>
      </c>
      <c r="Y8" s="135" t="s">
        <v>1959</v>
      </c>
      <c r="Z8" s="135">
        <v>14.8</v>
      </c>
      <c r="AA8" s="135">
        <v>5200</v>
      </c>
      <c r="AB8" s="135">
        <v>351.1</v>
      </c>
      <c r="AC8" s="135">
        <v>2.85</v>
      </c>
      <c r="AD8" s="135">
        <v>17.600000000000001</v>
      </c>
      <c r="AE8" s="135">
        <v>15350</v>
      </c>
      <c r="AF8" s="135">
        <v>872.3</v>
      </c>
      <c r="AG8" s="135">
        <v>1.1499999999999999</v>
      </c>
      <c r="AH8" s="135">
        <v>18.2</v>
      </c>
      <c r="AI8" s="135">
        <v>7300</v>
      </c>
      <c r="AJ8" s="135">
        <v>401.8</v>
      </c>
      <c r="AK8" s="135">
        <v>2.4900000000000002</v>
      </c>
      <c r="AL8" s="135">
        <v>14.8</v>
      </c>
      <c r="AM8" s="135">
        <v>7600</v>
      </c>
      <c r="AN8" s="135">
        <v>511.9</v>
      </c>
      <c r="AO8" s="135">
        <v>1.95</v>
      </c>
      <c r="AP8" s="135"/>
      <c r="AQ8" s="135"/>
      <c r="AR8" s="135"/>
      <c r="AS8" s="135"/>
      <c r="AT8" s="135"/>
      <c r="AU8" s="135"/>
      <c r="AV8" s="135"/>
      <c r="AW8" s="135"/>
      <c r="AX8" s="135">
        <v>14.8</v>
      </c>
      <c r="AY8" s="135">
        <v>27</v>
      </c>
      <c r="AZ8" s="135">
        <v>1.8</v>
      </c>
      <c r="BA8" s="135">
        <v>0.55000000000000004</v>
      </c>
      <c r="BB8" s="135"/>
      <c r="BC8" s="135"/>
      <c r="BD8" s="135"/>
      <c r="BE8" s="135"/>
      <c r="BF8" s="135">
        <v>18.2</v>
      </c>
      <c r="BG8" s="135">
        <v>13700</v>
      </c>
      <c r="BH8" s="135">
        <v>754</v>
      </c>
      <c r="BI8" s="135">
        <v>1.33</v>
      </c>
      <c r="BJ8" s="135">
        <v>46.5</v>
      </c>
      <c r="BK8" s="135">
        <v>-3</v>
      </c>
      <c r="BL8" s="135">
        <v>24.75</v>
      </c>
    </row>
    <row r="9" spans="1:64" x14ac:dyDescent="0.3">
      <c r="A9" s="135">
        <v>2016</v>
      </c>
      <c r="B9" s="135">
        <v>4</v>
      </c>
      <c r="C9" s="135" t="s">
        <v>2098</v>
      </c>
      <c r="D9" s="135" t="s">
        <v>206</v>
      </c>
      <c r="E9" s="135" t="s">
        <v>396</v>
      </c>
      <c r="F9" s="135" t="s">
        <v>404</v>
      </c>
      <c r="G9" s="135" t="s">
        <v>2308</v>
      </c>
      <c r="H9" s="135">
        <v>29.35</v>
      </c>
      <c r="I9" s="135">
        <v>11.868</v>
      </c>
      <c r="J9" s="135">
        <v>18.388000000000002</v>
      </c>
      <c r="K9" s="135">
        <v>0</v>
      </c>
      <c r="L9" s="135">
        <v>0</v>
      </c>
      <c r="M9" s="135">
        <v>0</v>
      </c>
      <c r="N9" s="135">
        <v>0</v>
      </c>
      <c r="O9" s="135">
        <v>0</v>
      </c>
      <c r="P9" s="135">
        <v>0.34499999999999997</v>
      </c>
      <c r="Q9" s="135">
        <v>1.43</v>
      </c>
      <c r="R9" s="135">
        <v>0</v>
      </c>
      <c r="S9" s="135">
        <v>6.52</v>
      </c>
      <c r="T9" s="135">
        <v>82.344999999999999</v>
      </c>
      <c r="U9" s="135">
        <v>0.59899999999999998</v>
      </c>
      <c r="V9" s="135">
        <v>5.1999999999999998E-2</v>
      </c>
      <c r="W9" s="135">
        <v>0</v>
      </c>
      <c r="X9" s="135">
        <v>0</v>
      </c>
      <c r="Y9" s="135" t="s">
        <v>1959</v>
      </c>
      <c r="Z9" s="135">
        <v>15.1</v>
      </c>
      <c r="AA9" s="135">
        <v>5550</v>
      </c>
      <c r="AB9" s="135">
        <v>368.1</v>
      </c>
      <c r="AC9" s="135">
        <v>2.72</v>
      </c>
      <c r="AD9" s="135">
        <v>18.399999999999999</v>
      </c>
      <c r="AE9" s="135">
        <v>15500</v>
      </c>
      <c r="AF9" s="135">
        <v>843</v>
      </c>
      <c r="AG9" s="135">
        <v>1.19</v>
      </c>
      <c r="AH9" s="135">
        <v>18.899999999999999</v>
      </c>
      <c r="AI9" s="135">
        <v>7400</v>
      </c>
      <c r="AJ9" s="135">
        <v>390.7</v>
      </c>
      <c r="AK9" s="135">
        <v>2.56</v>
      </c>
      <c r="AL9" s="135">
        <v>15.1</v>
      </c>
      <c r="AM9" s="135">
        <v>8200</v>
      </c>
      <c r="AN9" s="135">
        <v>542.1</v>
      </c>
      <c r="AO9" s="135">
        <v>1.84</v>
      </c>
      <c r="AP9" s="135"/>
      <c r="AQ9" s="135"/>
      <c r="AR9" s="135"/>
      <c r="AS9" s="135"/>
      <c r="AT9" s="135"/>
      <c r="AU9" s="135"/>
      <c r="AV9" s="135"/>
      <c r="AW9" s="135"/>
      <c r="AX9" s="135">
        <v>15.1</v>
      </c>
      <c r="AY9" s="135">
        <v>39</v>
      </c>
      <c r="AZ9" s="135">
        <v>2.6</v>
      </c>
      <c r="BA9" s="135">
        <v>0.39</v>
      </c>
      <c r="BB9" s="135"/>
      <c r="BC9" s="135"/>
      <c r="BD9" s="135"/>
      <c r="BE9" s="135"/>
      <c r="BF9" s="135">
        <v>18.899999999999999</v>
      </c>
      <c r="BG9" s="135">
        <v>14000</v>
      </c>
      <c r="BH9" s="135">
        <v>739.1</v>
      </c>
      <c r="BI9" s="135">
        <v>1.35</v>
      </c>
      <c r="BJ9" s="135">
        <v>53.5</v>
      </c>
      <c r="BK9" s="135">
        <v>4</v>
      </c>
      <c r="BL9" s="135">
        <v>24.75</v>
      </c>
    </row>
    <row r="10" spans="1:64" x14ac:dyDescent="0.3">
      <c r="A10" s="135">
        <v>2016</v>
      </c>
      <c r="B10" s="135">
        <v>4</v>
      </c>
      <c r="C10" s="135" t="s">
        <v>2113</v>
      </c>
      <c r="D10" s="135" t="s">
        <v>213</v>
      </c>
      <c r="E10" s="135" t="s">
        <v>396</v>
      </c>
      <c r="F10" s="135" t="s">
        <v>16</v>
      </c>
      <c r="G10" s="135" t="s">
        <v>1980</v>
      </c>
      <c r="H10" s="135">
        <v>26.15</v>
      </c>
      <c r="I10" s="135">
        <v>11.785</v>
      </c>
      <c r="J10" s="135">
        <v>17.666</v>
      </c>
      <c r="K10" s="135">
        <v>0</v>
      </c>
      <c r="L10" s="135">
        <v>0</v>
      </c>
      <c r="M10" s="135">
        <v>0</v>
      </c>
      <c r="N10" s="135">
        <v>0</v>
      </c>
      <c r="O10" s="135">
        <v>0</v>
      </c>
      <c r="P10" s="135">
        <v>0</v>
      </c>
      <c r="Q10" s="135">
        <v>0</v>
      </c>
      <c r="R10" s="135">
        <v>0</v>
      </c>
      <c r="S10" s="135">
        <v>5.8810000000000002</v>
      </c>
      <c r="T10" s="135">
        <v>88.268000000000001</v>
      </c>
      <c r="U10" s="135">
        <v>0.50800000000000001</v>
      </c>
      <c r="V10" s="135">
        <v>4.4999999999999998E-2</v>
      </c>
      <c r="W10" s="135">
        <v>0</v>
      </c>
      <c r="X10" s="135">
        <v>0</v>
      </c>
      <c r="Y10" s="135" t="s">
        <v>1959</v>
      </c>
      <c r="Z10" s="135">
        <v>14.7</v>
      </c>
      <c r="AA10" s="135">
        <v>5200</v>
      </c>
      <c r="AB10" s="135">
        <v>354.2</v>
      </c>
      <c r="AC10" s="135">
        <v>2.82</v>
      </c>
      <c r="AD10" s="135">
        <v>17.7</v>
      </c>
      <c r="AE10" s="135">
        <v>15700</v>
      </c>
      <c r="AF10" s="135">
        <v>888.7</v>
      </c>
      <c r="AG10" s="135">
        <v>1.1299999999999999</v>
      </c>
      <c r="AH10" s="135">
        <v>18.2</v>
      </c>
      <c r="AI10" s="135">
        <v>7000</v>
      </c>
      <c r="AJ10" s="135">
        <v>383.8</v>
      </c>
      <c r="AK10" s="135">
        <v>2.61</v>
      </c>
      <c r="AL10" s="135">
        <v>14.7</v>
      </c>
      <c r="AM10" s="135">
        <v>7600</v>
      </c>
      <c r="AN10" s="135">
        <v>516.1</v>
      </c>
      <c r="AO10" s="135">
        <v>1.94</v>
      </c>
      <c r="AP10" s="135"/>
      <c r="AQ10" s="135"/>
      <c r="AR10" s="135"/>
      <c r="AS10" s="135"/>
      <c r="AT10" s="135"/>
      <c r="AU10" s="135"/>
      <c r="AV10" s="135"/>
      <c r="AW10" s="135"/>
      <c r="AX10" s="135">
        <v>14.7</v>
      </c>
      <c r="AY10" s="135">
        <v>26</v>
      </c>
      <c r="AZ10" s="135">
        <v>1.8</v>
      </c>
      <c r="BA10" s="135">
        <v>0.56999999999999995</v>
      </c>
      <c r="BB10" s="135"/>
      <c r="BC10" s="135"/>
      <c r="BD10" s="135"/>
      <c r="BE10" s="135"/>
      <c r="BF10" s="135">
        <v>18.2</v>
      </c>
      <c r="BG10" s="135">
        <v>13300</v>
      </c>
      <c r="BH10" s="135">
        <v>729.2</v>
      </c>
      <c r="BI10" s="135">
        <v>1.37</v>
      </c>
      <c r="BJ10" s="135">
        <v>49.5</v>
      </c>
      <c r="BK10" s="135">
        <v>-2.5</v>
      </c>
      <c r="BL10" s="135">
        <v>26</v>
      </c>
    </row>
    <row r="11" spans="1:64" x14ac:dyDescent="0.3">
      <c r="A11" s="135">
        <v>2016</v>
      </c>
      <c r="B11" s="135">
        <v>4</v>
      </c>
      <c r="C11" s="135" t="s">
        <v>2109</v>
      </c>
      <c r="D11" s="135" t="s">
        <v>205</v>
      </c>
      <c r="E11" s="135" t="s">
        <v>396</v>
      </c>
      <c r="F11" s="135" t="s">
        <v>57</v>
      </c>
      <c r="G11" s="135" t="s">
        <v>1999</v>
      </c>
      <c r="H11" s="135">
        <v>25.34</v>
      </c>
      <c r="I11" s="135">
        <v>11.698</v>
      </c>
      <c r="J11" s="135">
        <v>18.797999999999998</v>
      </c>
      <c r="K11" s="135">
        <v>0</v>
      </c>
      <c r="L11" s="135">
        <v>0</v>
      </c>
      <c r="M11" s="135">
        <v>0</v>
      </c>
      <c r="N11" s="135">
        <v>0</v>
      </c>
      <c r="O11" s="135">
        <v>0</v>
      </c>
      <c r="P11" s="135">
        <v>0.71</v>
      </c>
      <c r="Q11" s="135">
        <v>4.7160000000000002</v>
      </c>
      <c r="R11" s="135">
        <v>0</v>
      </c>
      <c r="S11" s="135">
        <v>7.1</v>
      </c>
      <c r="T11" s="135">
        <v>93.846000000000004</v>
      </c>
      <c r="U11" s="135">
        <v>0.33500000000000002</v>
      </c>
      <c r="V11" s="135">
        <v>8.4000000000000005E-2</v>
      </c>
      <c r="W11" s="135">
        <v>0</v>
      </c>
      <c r="X11" s="135">
        <v>0</v>
      </c>
      <c r="Y11" s="135" t="s">
        <v>1959</v>
      </c>
      <c r="Z11" s="135">
        <v>15.2</v>
      </c>
      <c r="AA11" s="135">
        <v>5500</v>
      </c>
      <c r="AB11" s="135">
        <v>362.7</v>
      </c>
      <c r="AC11" s="135">
        <v>2.76</v>
      </c>
      <c r="AD11" s="135">
        <v>18.8</v>
      </c>
      <c r="AE11" s="135">
        <v>13450</v>
      </c>
      <c r="AF11" s="135">
        <v>715.5</v>
      </c>
      <c r="AG11" s="135">
        <v>1.4</v>
      </c>
      <c r="AH11" s="135">
        <v>19.5</v>
      </c>
      <c r="AI11" s="135">
        <v>6900</v>
      </c>
      <c r="AJ11" s="135">
        <v>354.3</v>
      </c>
      <c r="AK11" s="135">
        <v>2.82</v>
      </c>
      <c r="AL11" s="135">
        <v>15.2</v>
      </c>
      <c r="AM11" s="135">
        <v>7200</v>
      </c>
      <c r="AN11" s="135">
        <v>472.2</v>
      </c>
      <c r="AO11" s="135">
        <v>2.12</v>
      </c>
      <c r="AP11" s="135"/>
      <c r="AQ11" s="135"/>
      <c r="AR11" s="135"/>
      <c r="AS11" s="135"/>
      <c r="AT11" s="135"/>
      <c r="AU11" s="135"/>
      <c r="AV11" s="135"/>
      <c r="AW11" s="135"/>
      <c r="AX11" s="135">
        <v>15.2</v>
      </c>
      <c r="AY11" s="135">
        <v>24</v>
      </c>
      <c r="AZ11" s="135">
        <v>1.6</v>
      </c>
      <c r="BA11" s="135">
        <v>0.64</v>
      </c>
      <c r="BB11" s="135"/>
      <c r="BC11" s="135"/>
      <c r="BD11" s="135"/>
      <c r="BE11" s="135"/>
      <c r="BF11" s="135">
        <v>19.5</v>
      </c>
      <c r="BG11" s="135">
        <v>13000</v>
      </c>
      <c r="BH11" s="135">
        <v>667.6</v>
      </c>
      <c r="BI11" s="135">
        <v>1.5</v>
      </c>
      <c r="BJ11" s="135">
        <v>44.5</v>
      </c>
      <c r="BK11" s="135">
        <v>7</v>
      </c>
      <c r="BL11" s="135">
        <v>18.75</v>
      </c>
    </row>
    <row r="12" spans="1:64" x14ac:dyDescent="0.3">
      <c r="A12" s="135">
        <v>2016</v>
      </c>
      <c r="B12" s="135">
        <v>4</v>
      </c>
      <c r="C12" s="135" t="s">
        <v>2108</v>
      </c>
      <c r="D12" s="135" t="s">
        <v>241</v>
      </c>
      <c r="E12" s="135" t="s">
        <v>396</v>
      </c>
      <c r="F12" s="135" t="s">
        <v>407</v>
      </c>
      <c r="G12" s="135" t="s">
        <v>404</v>
      </c>
      <c r="H12" s="135">
        <v>19.47</v>
      </c>
      <c r="I12" s="135">
        <v>11.538</v>
      </c>
      <c r="J12" s="135">
        <v>17.579000000000001</v>
      </c>
      <c r="K12" s="135">
        <v>0</v>
      </c>
      <c r="L12" s="135">
        <v>0</v>
      </c>
      <c r="M12" s="135">
        <v>0</v>
      </c>
      <c r="N12" s="135">
        <v>0</v>
      </c>
      <c r="O12" s="135">
        <v>0</v>
      </c>
      <c r="P12" s="135">
        <v>0</v>
      </c>
      <c r="Q12" s="135">
        <v>0</v>
      </c>
      <c r="R12" s="135">
        <v>0</v>
      </c>
      <c r="S12" s="135">
        <v>6.0410000000000004</v>
      </c>
      <c r="T12" s="135">
        <v>81.840999999999994</v>
      </c>
      <c r="U12" s="135">
        <v>0.57299999999999995</v>
      </c>
      <c r="V12" s="135">
        <v>4.2000000000000003E-2</v>
      </c>
      <c r="W12" s="135">
        <v>0</v>
      </c>
      <c r="X12" s="135">
        <v>0</v>
      </c>
      <c r="Y12" s="135" t="s">
        <v>1959</v>
      </c>
      <c r="Z12" s="135">
        <v>14.5</v>
      </c>
      <c r="AA12" s="135">
        <v>4950</v>
      </c>
      <c r="AB12" s="135">
        <v>341</v>
      </c>
      <c r="AC12" s="135">
        <v>2.93</v>
      </c>
      <c r="AD12" s="135">
        <v>17.600000000000001</v>
      </c>
      <c r="AE12" s="135">
        <v>14650</v>
      </c>
      <c r="AF12" s="135">
        <v>833.4</v>
      </c>
      <c r="AG12" s="135">
        <v>1.2</v>
      </c>
      <c r="AH12" s="135">
        <v>18.100000000000001</v>
      </c>
      <c r="AI12" s="135">
        <v>5900</v>
      </c>
      <c r="AJ12" s="135">
        <v>325.7</v>
      </c>
      <c r="AK12" s="135">
        <v>3.07</v>
      </c>
      <c r="AL12" s="135">
        <v>14.6</v>
      </c>
      <c r="AM12" s="135">
        <v>6600</v>
      </c>
      <c r="AN12" s="135">
        <v>453.3</v>
      </c>
      <c r="AO12" s="135">
        <v>2.21</v>
      </c>
      <c r="AP12" s="135"/>
      <c r="AQ12" s="135"/>
      <c r="AR12" s="135"/>
      <c r="AS12" s="135"/>
      <c r="AT12" s="135"/>
      <c r="AU12" s="135"/>
      <c r="AV12" s="135"/>
      <c r="AW12" s="135"/>
      <c r="AX12" s="135">
        <v>14.6</v>
      </c>
      <c r="AY12" s="135">
        <v>28</v>
      </c>
      <c r="AZ12" s="135">
        <v>1.9</v>
      </c>
      <c r="BA12" s="135">
        <v>0.52</v>
      </c>
      <c r="BB12" s="135"/>
      <c r="BC12" s="135"/>
      <c r="BD12" s="135"/>
      <c r="BE12" s="135"/>
      <c r="BF12" s="135">
        <v>18.100000000000001</v>
      </c>
      <c r="BG12" s="135">
        <v>11000</v>
      </c>
      <c r="BH12" s="135">
        <v>607.29999999999995</v>
      </c>
      <c r="BI12" s="135">
        <v>1.65</v>
      </c>
      <c r="BJ12" s="135">
        <v>53.5</v>
      </c>
      <c r="BK12" s="135">
        <v>-4</v>
      </c>
      <c r="BL12" s="135">
        <v>28.75</v>
      </c>
    </row>
    <row r="13" spans="1:64" x14ac:dyDescent="0.3">
      <c r="A13" s="135">
        <v>2016</v>
      </c>
      <c r="B13" s="135">
        <v>4</v>
      </c>
      <c r="C13" s="135" t="s">
        <v>2116</v>
      </c>
      <c r="D13" s="135" t="s">
        <v>192</v>
      </c>
      <c r="E13" s="135" t="s">
        <v>396</v>
      </c>
      <c r="F13" s="135" t="s">
        <v>7</v>
      </c>
      <c r="G13" s="135" t="s">
        <v>2305</v>
      </c>
      <c r="H13" s="135">
        <v>36.82</v>
      </c>
      <c r="I13" s="135">
        <v>11.521000000000001</v>
      </c>
      <c r="J13" s="135">
        <v>17.949000000000002</v>
      </c>
      <c r="K13" s="135">
        <v>0</v>
      </c>
      <c r="L13" s="135">
        <v>0</v>
      </c>
      <c r="M13" s="135">
        <v>0</v>
      </c>
      <c r="N13" s="135">
        <v>0</v>
      </c>
      <c r="O13" s="135">
        <v>0</v>
      </c>
      <c r="P13" s="135">
        <v>0</v>
      </c>
      <c r="Q13" s="135">
        <v>0</v>
      </c>
      <c r="R13" s="135">
        <v>0</v>
      </c>
      <c r="S13" s="135">
        <v>6.4279999999999999</v>
      </c>
      <c r="T13" s="135">
        <v>82.052999999999997</v>
      </c>
      <c r="U13" s="135">
        <v>0.57599999999999996</v>
      </c>
      <c r="V13" s="135">
        <v>7.0000000000000007E-2</v>
      </c>
      <c r="W13" s="135">
        <v>0</v>
      </c>
      <c r="X13" s="135">
        <v>0</v>
      </c>
      <c r="Y13" s="135" t="s">
        <v>1959</v>
      </c>
      <c r="Z13" s="135">
        <v>14.7</v>
      </c>
      <c r="AA13" s="135">
        <v>4950</v>
      </c>
      <c r="AB13" s="135">
        <v>337.5</v>
      </c>
      <c r="AC13" s="135">
        <v>2.96</v>
      </c>
      <c r="AD13" s="135">
        <v>17.899999999999999</v>
      </c>
      <c r="AE13" s="135">
        <v>12450</v>
      </c>
      <c r="AF13" s="135">
        <v>693.6</v>
      </c>
      <c r="AG13" s="135">
        <v>1.44</v>
      </c>
      <c r="AH13" s="135">
        <v>18.5</v>
      </c>
      <c r="AI13" s="135">
        <v>6100</v>
      </c>
      <c r="AJ13" s="135">
        <v>329.5</v>
      </c>
      <c r="AK13" s="135">
        <v>3.03</v>
      </c>
      <c r="AL13" s="135">
        <v>14.7</v>
      </c>
      <c r="AM13" s="135">
        <v>7400</v>
      </c>
      <c r="AN13" s="135">
        <v>502.2</v>
      </c>
      <c r="AO13" s="135">
        <v>1.99</v>
      </c>
      <c r="AP13" s="135"/>
      <c r="AQ13" s="135"/>
      <c r="AR13" s="135"/>
      <c r="AS13" s="135"/>
      <c r="AT13" s="135"/>
      <c r="AU13" s="135"/>
      <c r="AV13" s="135"/>
      <c r="AW13" s="135"/>
      <c r="AX13" s="135">
        <v>14.7</v>
      </c>
      <c r="AY13" s="135">
        <v>28</v>
      </c>
      <c r="AZ13" s="135">
        <v>1.9</v>
      </c>
      <c r="BA13" s="135">
        <v>0.53</v>
      </c>
      <c r="BB13" s="135"/>
      <c r="BC13" s="135"/>
      <c r="BD13" s="135"/>
      <c r="BE13" s="135"/>
      <c r="BF13" s="135">
        <v>18.5</v>
      </c>
      <c r="BG13" s="135">
        <v>11400</v>
      </c>
      <c r="BH13" s="135">
        <v>615.79999999999995</v>
      </c>
      <c r="BI13" s="135">
        <v>1.62</v>
      </c>
      <c r="BJ13" s="135">
        <v>40.5</v>
      </c>
      <c r="BK13" s="135">
        <v>-1.5</v>
      </c>
      <c r="BL13" s="135">
        <v>21</v>
      </c>
    </row>
    <row r="14" spans="1:64" x14ac:dyDescent="0.3">
      <c r="A14" s="135">
        <v>2016</v>
      </c>
      <c r="B14" s="135">
        <v>4</v>
      </c>
      <c r="C14" s="135" t="s">
        <v>2102</v>
      </c>
      <c r="D14" s="135" t="s">
        <v>768</v>
      </c>
      <c r="E14" s="135" t="s">
        <v>396</v>
      </c>
      <c r="F14" s="135" t="s">
        <v>22</v>
      </c>
      <c r="G14" s="135" t="s">
        <v>2296</v>
      </c>
      <c r="H14" s="135">
        <v>15.55</v>
      </c>
      <c r="I14" s="135">
        <v>11.368</v>
      </c>
      <c r="J14" s="135">
        <v>16.649000000000001</v>
      </c>
      <c r="K14" s="135">
        <v>0</v>
      </c>
      <c r="L14" s="135">
        <v>0</v>
      </c>
      <c r="M14" s="135">
        <v>0</v>
      </c>
      <c r="N14" s="135">
        <v>0</v>
      </c>
      <c r="O14" s="135">
        <v>0</v>
      </c>
      <c r="P14" s="135">
        <v>0</v>
      </c>
      <c r="Q14" s="135">
        <v>0</v>
      </c>
      <c r="R14" s="135">
        <v>0</v>
      </c>
      <c r="S14" s="135">
        <v>5.2809999999999997</v>
      </c>
      <c r="T14" s="135">
        <v>70.540000000000006</v>
      </c>
      <c r="U14" s="135">
        <v>0.73299999999999998</v>
      </c>
      <c r="V14" s="135">
        <v>4.2000000000000003E-2</v>
      </c>
      <c r="W14" s="135">
        <v>0</v>
      </c>
      <c r="X14" s="135">
        <v>0</v>
      </c>
      <c r="Y14" s="135" t="s">
        <v>1959</v>
      </c>
      <c r="Z14" s="135">
        <v>14</v>
      </c>
      <c r="AA14" s="135">
        <v>5200</v>
      </c>
      <c r="AB14" s="135">
        <v>372.3</v>
      </c>
      <c r="AC14" s="135">
        <v>2.69</v>
      </c>
      <c r="AD14" s="135">
        <v>16.600000000000001</v>
      </c>
      <c r="AE14" s="135">
        <v>14100</v>
      </c>
      <c r="AF14" s="135">
        <v>846.9</v>
      </c>
      <c r="AG14" s="135">
        <v>1.18</v>
      </c>
      <c r="AH14" s="135">
        <v>17.100000000000001</v>
      </c>
      <c r="AI14" s="135">
        <v>7100</v>
      </c>
      <c r="AJ14" s="135">
        <v>414.9</v>
      </c>
      <c r="AK14" s="135">
        <v>2.41</v>
      </c>
      <c r="AL14" s="135">
        <v>14</v>
      </c>
      <c r="AM14" s="135">
        <v>7700</v>
      </c>
      <c r="AN14" s="135">
        <v>549.70000000000005</v>
      </c>
      <c r="AO14" s="135">
        <v>1.82</v>
      </c>
      <c r="AP14" s="135"/>
      <c r="AQ14" s="135"/>
      <c r="AR14" s="135"/>
      <c r="AS14" s="135"/>
      <c r="AT14" s="135"/>
      <c r="AU14" s="135"/>
      <c r="AV14" s="135"/>
      <c r="AW14" s="135"/>
      <c r="AX14" s="135">
        <v>14</v>
      </c>
      <c r="AY14" s="135">
        <v>32</v>
      </c>
      <c r="AZ14" s="135">
        <v>2.2999999999999998</v>
      </c>
      <c r="BA14" s="135">
        <v>0.44</v>
      </c>
      <c r="BB14" s="135"/>
      <c r="BC14" s="135"/>
      <c r="BD14" s="135"/>
      <c r="BE14" s="135"/>
      <c r="BF14" s="135">
        <v>17.100000000000001</v>
      </c>
      <c r="BG14" s="135">
        <v>13400</v>
      </c>
      <c r="BH14" s="135">
        <v>783</v>
      </c>
      <c r="BI14" s="135">
        <v>1.28</v>
      </c>
      <c r="BJ14" s="135">
        <v>50</v>
      </c>
      <c r="BK14" s="135">
        <v>-3</v>
      </c>
      <c r="BL14" s="135">
        <v>26.5</v>
      </c>
    </row>
    <row r="15" spans="1:64" x14ac:dyDescent="0.3">
      <c r="A15" s="135">
        <v>2016</v>
      </c>
      <c r="B15" s="135">
        <v>4</v>
      </c>
      <c r="C15" s="135" t="s">
        <v>2104</v>
      </c>
      <c r="D15" s="135" t="s">
        <v>217</v>
      </c>
      <c r="E15" s="135" t="s">
        <v>396</v>
      </c>
      <c r="F15" s="135" t="s">
        <v>401</v>
      </c>
      <c r="G15" s="135" t="s">
        <v>70</v>
      </c>
      <c r="H15" s="135">
        <v>10.94</v>
      </c>
      <c r="I15" s="135">
        <v>11.284000000000001</v>
      </c>
      <c r="J15" s="135">
        <v>16.690999999999999</v>
      </c>
      <c r="K15" s="135">
        <v>0</v>
      </c>
      <c r="L15" s="135">
        <v>0</v>
      </c>
      <c r="M15" s="135">
        <v>0</v>
      </c>
      <c r="N15" s="135">
        <v>0</v>
      </c>
      <c r="O15" s="135">
        <v>0</v>
      </c>
      <c r="P15" s="135">
        <v>0</v>
      </c>
      <c r="Q15" s="135">
        <v>0</v>
      </c>
      <c r="R15" s="135">
        <v>0</v>
      </c>
      <c r="S15" s="135">
        <v>5.407</v>
      </c>
      <c r="T15" s="135">
        <v>78.802999999999997</v>
      </c>
      <c r="U15" s="135">
        <v>0.58699999999999997</v>
      </c>
      <c r="V15" s="135">
        <v>5.8999999999999997E-2</v>
      </c>
      <c r="W15" s="135">
        <v>0</v>
      </c>
      <c r="X15" s="135">
        <v>0</v>
      </c>
      <c r="Y15" s="135" t="s">
        <v>1959</v>
      </c>
      <c r="Z15" s="135">
        <v>13.9</v>
      </c>
      <c r="AA15" s="135">
        <v>5350</v>
      </c>
      <c r="AB15" s="135">
        <v>384.1</v>
      </c>
      <c r="AC15" s="135">
        <v>2.6</v>
      </c>
      <c r="AD15" s="135">
        <v>16.7</v>
      </c>
      <c r="AE15" s="135">
        <v>11900</v>
      </c>
      <c r="AF15" s="135">
        <v>712.9</v>
      </c>
      <c r="AG15" s="135">
        <v>1.4</v>
      </c>
      <c r="AH15" s="135">
        <v>17.2</v>
      </c>
      <c r="AI15" s="135">
        <v>6500</v>
      </c>
      <c r="AJ15" s="135">
        <v>377.4</v>
      </c>
      <c r="AK15" s="135">
        <v>2.65</v>
      </c>
      <c r="AL15" s="135">
        <v>14</v>
      </c>
      <c r="AM15" s="135">
        <v>8000</v>
      </c>
      <c r="AN15" s="135">
        <v>571.9</v>
      </c>
      <c r="AO15" s="135">
        <v>1.75</v>
      </c>
      <c r="AP15" s="135"/>
      <c r="AQ15" s="135"/>
      <c r="AR15" s="135"/>
      <c r="AS15" s="135"/>
      <c r="AT15" s="135"/>
      <c r="AU15" s="135"/>
      <c r="AV15" s="135"/>
      <c r="AW15" s="135"/>
      <c r="AX15" s="135">
        <v>14</v>
      </c>
      <c r="AY15" s="135">
        <v>26</v>
      </c>
      <c r="AZ15" s="135">
        <v>1.9</v>
      </c>
      <c r="BA15" s="135">
        <v>0.54</v>
      </c>
      <c r="BB15" s="135"/>
      <c r="BC15" s="135"/>
      <c r="BD15" s="135"/>
      <c r="BE15" s="135"/>
      <c r="BF15" s="135">
        <v>17.2</v>
      </c>
      <c r="BG15" s="135">
        <v>12400</v>
      </c>
      <c r="BH15" s="135">
        <v>720</v>
      </c>
      <c r="BI15" s="135">
        <v>1.39</v>
      </c>
      <c r="BJ15" s="135">
        <v>44</v>
      </c>
      <c r="BK15" s="135">
        <v>3</v>
      </c>
      <c r="BL15" s="135">
        <v>20.5</v>
      </c>
    </row>
    <row r="16" spans="1:64" x14ac:dyDescent="0.3">
      <c r="A16" s="135">
        <v>2016</v>
      </c>
      <c r="B16" s="135">
        <v>4</v>
      </c>
      <c r="C16" s="135" t="s">
        <v>2101</v>
      </c>
      <c r="D16" s="135" t="s">
        <v>193</v>
      </c>
      <c r="E16" s="135" t="s">
        <v>396</v>
      </c>
      <c r="F16" s="135" t="s">
        <v>24</v>
      </c>
      <c r="G16" s="135" t="s">
        <v>409</v>
      </c>
      <c r="H16" s="135">
        <v>23.55</v>
      </c>
      <c r="I16" s="135">
        <v>11.228999999999999</v>
      </c>
      <c r="J16" s="135">
        <v>17.635000000000002</v>
      </c>
      <c r="K16" s="135">
        <v>0</v>
      </c>
      <c r="L16" s="135">
        <v>0</v>
      </c>
      <c r="M16" s="135">
        <v>0</v>
      </c>
      <c r="N16" s="135">
        <v>0</v>
      </c>
      <c r="O16" s="135">
        <v>0</v>
      </c>
      <c r="P16" s="135">
        <v>0</v>
      </c>
      <c r="Q16" s="135">
        <v>0</v>
      </c>
      <c r="R16" s="135">
        <v>0</v>
      </c>
      <c r="S16" s="135">
        <v>6.4059999999999997</v>
      </c>
      <c r="T16" s="135">
        <v>73.852999999999994</v>
      </c>
      <c r="U16" s="135">
        <v>0.66100000000000003</v>
      </c>
      <c r="V16" s="135">
        <v>6.0999999999999999E-2</v>
      </c>
      <c r="W16" s="135">
        <v>0</v>
      </c>
      <c r="X16" s="135">
        <v>0</v>
      </c>
      <c r="Y16" s="135" t="s">
        <v>1959</v>
      </c>
      <c r="Z16" s="135">
        <v>14.4</v>
      </c>
      <c r="AA16" s="135">
        <v>4900</v>
      </c>
      <c r="AB16" s="135">
        <v>341</v>
      </c>
      <c r="AC16" s="135">
        <v>2.93</v>
      </c>
      <c r="AD16" s="135">
        <v>17.600000000000001</v>
      </c>
      <c r="AE16" s="135">
        <v>12300</v>
      </c>
      <c r="AF16" s="135">
        <v>697.5</v>
      </c>
      <c r="AG16" s="135">
        <v>1.43</v>
      </c>
      <c r="AH16" s="135">
        <v>18.100000000000001</v>
      </c>
      <c r="AI16" s="135">
        <v>7200</v>
      </c>
      <c r="AJ16" s="135">
        <v>396.9</v>
      </c>
      <c r="AK16" s="135">
        <v>2.52</v>
      </c>
      <c r="AL16" s="135">
        <v>14.4</v>
      </c>
      <c r="AM16" s="135">
        <v>7500</v>
      </c>
      <c r="AN16" s="135">
        <v>519.70000000000005</v>
      </c>
      <c r="AO16" s="135">
        <v>1.92</v>
      </c>
      <c r="AP16" s="135"/>
      <c r="AQ16" s="135"/>
      <c r="AR16" s="135"/>
      <c r="AS16" s="135"/>
      <c r="AT16" s="135"/>
      <c r="AU16" s="135"/>
      <c r="AV16" s="135"/>
      <c r="AW16" s="135"/>
      <c r="AX16" s="135">
        <v>14.4</v>
      </c>
      <c r="AY16" s="135">
        <v>30</v>
      </c>
      <c r="AZ16" s="135">
        <v>2.1</v>
      </c>
      <c r="BA16" s="135">
        <v>0.48</v>
      </c>
      <c r="BB16" s="135"/>
      <c r="BC16" s="135"/>
      <c r="BD16" s="135"/>
      <c r="BE16" s="135"/>
      <c r="BF16" s="135">
        <v>18.100000000000001</v>
      </c>
      <c r="BG16" s="135">
        <v>13600</v>
      </c>
      <c r="BH16" s="135">
        <v>749.7</v>
      </c>
      <c r="BI16" s="135">
        <v>1.33</v>
      </c>
      <c r="BJ16" s="135">
        <v>43</v>
      </c>
      <c r="BK16" s="135">
        <v>-8</v>
      </c>
      <c r="BL16" s="135">
        <v>25.5</v>
      </c>
    </row>
    <row r="17" spans="1:64" x14ac:dyDescent="0.3">
      <c r="A17" s="135">
        <v>2016</v>
      </c>
      <c r="B17" s="135">
        <v>4</v>
      </c>
      <c r="C17" s="135" t="s">
        <v>2099</v>
      </c>
      <c r="D17" s="135" t="s">
        <v>208</v>
      </c>
      <c r="E17" s="135" t="s">
        <v>396</v>
      </c>
      <c r="F17" s="135" t="s">
        <v>46</v>
      </c>
      <c r="G17" s="135" t="s">
        <v>26</v>
      </c>
      <c r="H17" s="135">
        <v>31.1</v>
      </c>
      <c r="I17" s="135">
        <v>11.089</v>
      </c>
      <c r="J17" s="135">
        <v>16.346</v>
      </c>
      <c r="K17" s="135">
        <v>0</v>
      </c>
      <c r="L17" s="135">
        <v>0</v>
      </c>
      <c r="M17" s="135">
        <v>0</v>
      </c>
      <c r="N17" s="135">
        <v>0</v>
      </c>
      <c r="O17" s="135">
        <v>0</v>
      </c>
      <c r="P17" s="135">
        <v>0</v>
      </c>
      <c r="Q17" s="135">
        <v>0</v>
      </c>
      <c r="R17" s="135">
        <v>0</v>
      </c>
      <c r="S17" s="135">
        <v>5.2569999999999997</v>
      </c>
      <c r="T17" s="135">
        <v>82.369</v>
      </c>
      <c r="U17" s="135">
        <v>0.49299999999999999</v>
      </c>
      <c r="V17" s="135">
        <v>5.2999999999999999E-2</v>
      </c>
      <c r="W17" s="135">
        <v>0</v>
      </c>
      <c r="X17" s="135">
        <v>0</v>
      </c>
      <c r="Y17" s="135" t="s">
        <v>1959</v>
      </c>
      <c r="Z17" s="135">
        <v>13.7</v>
      </c>
      <c r="AA17" s="135">
        <v>5000</v>
      </c>
      <c r="AB17" s="135">
        <v>365.9</v>
      </c>
      <c r="AC17" s="135">
        <v>2.73</v>
      </c>
      <c r="AD17" s="135">
        <v>16.3</v>
      </c>
      <c r="AE17" s="135">
        <v>15650</v>
      </c>
      <c r="AF17" s="135">
        <v>957.4</v>
      </c>
      <c r="AG17" s="135">
        <v>1.04</v>
      </c>
      <c r="AH17" s="135">
        <v>16.899999999999999</v>
      </c>
      <c r="AI17" s="135">
        <v>7500</v>
      </c>
      <c r="AJ17" s="135">
        <v>444</v>
      </c>
      <c r="AK17" s="135">
        <v>2.25</v>
      </c>
      <c r="AL17" s="135">
        <v>13.7</v>
      </c>
      <c r="AM17" s="135">
        <v>8200</v>
      </c>
      <c r="AN17" s="135">
        <v>597.79999999999995</v>
      </c>
      <c r="AO17" s="135">
        <v>1.67</v>
      </c>
      <c r="AP17" s="135"/>
      <c r="AQ17" s="135"/>
      <c r="AR17" s="135"/>
      <c r="AS17" s="135"/>
      <c r="AT17" s="135"/>
      <c r="AU17" s="135"/>
      <c r="AV17" s="135"/>
      <c r="AW17" s="135"/>
      <c r="AX17" s="135">
        <v>13.7</v>
      </c>
      <c r="AY17" s="135">
        <v>32</v>
      </c>
      <c r="AZ17" s="135">
        <v>2.2999999999999998</v>
      </c>
      <c r="BA17" s="135">
        <v>0.43</v>
      </c>
      <c r="BB17" s="135"/>
      <c r="BC17" s="135"/>
      <c r="BD17" s="135"/>
      <c r="BE17" s="135"/>
      <c r="BF17" s="135">
        <v>16.899999999999999</v>
      </c>
      <c r="BG17" s="135">
        <v>14100</v>
      </c>
      <c r="BH17" s="135">
        <v>834.7</v>
      </c>
      <c r="BI17" s="135">
        <v>1.2</v>
      </c>
      <c r="BJ17" s="135">
        <v>46.5</v>
      </c>
      <c r="BK17" s="135">
        <v>3</v>
      </c>
      <c r="BL17" s="135">
        <v>21.75</v>
      </c>
    </row>
    <row r="18" spans="1:64" x14ac:dyDescent="0.3">
      <c r="A18" s="135">
        <v>2016</v>
      </c>
      <c r="B18" s="135">
        <v>4</v>
      </c>
      <c r="C18" s="135" t="s">
        <v>2110</v>
      </c>
      <c r="D18" s="135" t="s">
        <v>218</v>
      </c>
      <c r="E18" s="135" t="s">
        <v>396</v>
      </c>
      <c r="F18" s="135" t="s">
        <v>41</v>
      </c>
      <c r="G18" s="135" t="s">
        <v>37</v>
      </c>
      <c r="H18" s="135">
        <v>18.84</v>
      </c>
      <c r="I18" s="135">
        <v>11.038</v>
      </c>
      <c r="J18" s="135">
        <v>16.212</v>
      </c>
      <c r="K18" s="135">
        <v>0</v>
      </c>
      <c r="L18" s="135">
        <v>0</v>
      </c>
      <c r="M18" s="135">
        <v>0</v>
      </c>
      <c r="N18" s="135">
        <v>0</v>
      </c>
      <c r="O18" s="135">
        <v>0</v>
      </c>
      <c r="P18" s="135">
        <v>0</v>
      </c>
      <c r="Q18" s="135">
        <v>0</v>
      </c>
      <c r="R18" s="135">
        <v>0</v>
      </c>
      <c r="S18" s="135">
        <v>5.1740000000000004</v>
      </c>
      <c r="T18" s="135">
        <v>78.100999999999999</v>
      </c>
      <c r="U18" s="135">
        <v>0.55500000000000005</v>
      </c>
      <c r="V18" s="135">
        <v>5.0999999999999997E-2</v>
      </c>
      <c r="W18" s="135">
        <v>0</v>
      </c>
      <c r="X18" s="135">
        <v>0</v>
      </c>
      <c r="Y18" s="135" t="s">
        <v>1959</v>
      </c>
      <c r="Z18" s="135">
        <v>13.6</v>
      </c>
      <c r="AA18" s="135">
        <v>5100</v>
      </c>
      <c r="AB18" s="135">
        <v>375.7</v>
      </c>
      <c r="AC18" s="135">
        <v>2.66</v>
      </c>
      <c r="AD18" s="135">
        <v>16.2</v>
      </c>
      <c r="AE18" s="135">
        <v>15750</v>
      </c>
      <c r="AF18" s="135">
        <v>971.5</v>
      </c>
      <c r="AG18" s="135">
        <v>1.03</v>
      </c>
      <c r="AH18" s="135">
        <v>16.7</v>
      </c>
      <c r="AI18" s="135">
        <v>6100</v>
      </c>
      <c r="AJ18" s="135">
        <v>364.6</v>
      </c>
      <c r="AK18" s="135">
        <v>2.74</v>
      </c>
      <c r="AL18" s="135">
        <v>13.6</v>
      </c>
      <c r="AM18" s="135">
        <v>7100</v>
      </c>
      <c r="AN18" s="135">
        <v>521.1</v>
      </c>
      <c r="AO18" s="135">
        <v>1.92</v>
      </c>
      <c r="AP18" s="135"/>
      <c r="AQ18" s="135"/>
      <c r="AR18" s="135"/>
      <c r="AS18" s="135"/>
      <c r="AT18" s="135"/>
      <c r="AU18" s="135"/>
      <c r="AV18" s="135"/>
      <c r="AW18" s="135"/>
      <c r="AX18" s="135">
        <v>13.6</v>
      </c>
      <c r="AY18" s="135">
        <v>26</v>
      </c>
      <c r="AZ18" s="135">
        <v>1.9</v>
      </c>
      <c r="BA18" s="135">
        <v>0.52</v>
      </c>
      <c r="BB18" s="135"/>
      <c r="BC18" s="135"/>
      <c r="BD18" s="135"/>
      <c r="BE18" s="135"/>
      <c r="BF18" s="135">
        <v>16.7</v>
      </c>
      <c r="BG18" s="135">
        <v>11400</v>
      </c>
      <c r="BH18" s="135">
        <v>681.3</v>
      </c>
      <c r="BI18" s="135">
        <v>1.47</v>
      </c>
      <c r="BJ18" s="135">
        <v>43.5</v>
      </c>
      <c r="BK18" s="135">
        <v>-4</v>
      </c>
      <c r="BL18" s="135">
        <v>23.75</v>
      </c>
    </row>
    <row r="19" spans="1:64" x14ac:dyDescent="0.3">
      <c r="A19" s="135">
        <v>2016</v>
      </c>
      <c r="B19" s="135">
        <v>4</v>
      </c>
      <c r="C19" s="135" t="s">
        <v>2117</v>
      </c>
      <c r="D19" s="135" t="s">
        <v>199</v>
      </c>
      <c r="E19" s="135" t="s">
        <v>396</v>
      </c>
      <c r="F19" s="135" t="s">
        <v>70</v>
      </c>
      <c r="G19" s="135" t="s">
        <v>2005</v>
      </c>
      <c r="H19" s="135">
        <v>32.64</v>
      </c>
      <c r="I19" s="135">
        <v>10.964</v>
      </c>
      <c r="J19" s="135">
        <v>16.161999999999999</v>
      </c>
      <c r="K19" s="135">
        <v>0</v>
      </c>
      <c r="L19" s="135">
        <v>0</v>
      </c>
      <c r="M19" s="135">
        <v>0</v>
      </c>
      <c r="N19" s="135">
        <v>0</v>
      </c>
      <c r="O19" s="135">
        <v>0</v>
      </c>
      <c r="P19" s="135">
        <v>0</v>
      </c>
      <c r="Q19" s="135">
        <v>0</v>
      </c>
      <c r="R19" s="135">
        <v>0</v>
      </c>
      <c r="S19" s="135">
        <v>5.1980000000000004</v>
      </c>
      <c r="T19" s="135">
        <v>80.040999999999997</v>
      </c>
      <c r="U19" s="135">
        <v>0.51</v>
      </c>
      <c r="V19" s="135">
        <v>0.05</v>
      </c>
      <c r="W19" s="135">
        <v>0</v>
      </c>
      <c r="X19" s="135">
        <v>0</v>
      </c>
      <c r="Y19" s="135" t="s">
        <v>1983</v>
      </c>
      <c r="Z19" s="135">
        <v>13.5</v>
      </c>
      <c r="AA19" s="135">
        <v>5250</v>
      </c>
      <c r="AB19" s="135">
        <v>388.5</v>
      </c>
      <c r="AC19" s="135">
        <v>2.57</v>
      </c>
      <c r="AD19" s="135">
        <v>16.2</v>
      </c>
      <c r="AE19" s="135">
        <v>14050</v>
      </c>
      <c r="AF19" s="135">
        <v>869.3</v>
      </c>
      <c r="AG19" s="135">
        <v>1.1499999999999999</v>
      </c>
      <c r="AH19" s="135">
        <v>16.7</v>
      </c>
      <c r="AI19" s="135">
        <v>6700</v>
      </c>
      <c r="AJ19" s="135">
        <v>401.4</v>
      </c>
      <c r="AK19" s="135">
        <v>2.4900000000000002</v>
      </c>
      <c r="AL19" s="135">
        <v>13.6</v>
      </c>
      <c r="AM19" s="135">
        <v>7900</v>
      </c>
      <c r="AN19" s="135">
        <v>582.5</v>
      </c>
      <c r="AO19" s="135">
        <v>1.72</v>
      </c>
      <c r="AP19" s="135"/>
      <c r="AQ19" s="135"/>
      <c r="AR19" s="135"/>
      <c r="AS19" s="135"/>
      <c r="AT19" s="135"/>
      <c r="AU19" s="135"/>
      <c r="AV19" s="135"/>
      <c r="AW19" s="135"/>
      <c r="AX19" s="135">
        <v>13.6</v>
      </c>
      <c r="AY19" s="135">
        <v>23</v>
      </c>
      <c r="AZ19" s="135">
        <v>1.7</v>
      </c>
      <c r="BA19" s="135">
        <v>0.59</v>
      </c>
      <c r="BB19" s="135"/>
      <c r="BC19" s="135"/>
      <c r="BD19" s="135"/>
      <c r="BE19" s="135"/>
      <c r="BF19" s="135">
        <v>16.7</v>
      </c>
      <c r="BG19" s="135">
        <v>12600</v>
      </c>
      <c r="BH19" s="135">
        <v>754.8</v>
      </c>
      <c r="BI19" s="135">
        <v>1.32</v>
      </c>
      <c r="BJ19" s="135">
        <v>44</v>
      </c>
      <c r="BK19" s="135">
        <v>-3</v>
      </c>
      <c r="BL19" s="135">
        <v>23.5</v>
      </c>
    </row>
    <row r="20" spans="1:64" x14ac:dyDescent="0.3">
      <c r="A20" s="135">
        <v>2016</v>
      </c>
      <c r="B20" s="135">
        <v>4</v>
      </c>
      <c r="C20" s="135" t="s">
        <v>2100</v>
      </c>
      <c r="D20" s="135" t="s">
        <v>210</v>
      </c>
      <c r="E20" s="135" t="s">
        <v>396</v>
      </c>
      <c r="F20" s="135" t="s">
        <v>4</v>
      </c>
      <c r="G20" s="135" t="s">
        <v>2297</v>
      </c>
      <c r="H20" s="135">
        <v>22.34</v>
      </c>
      <c r="I20" s="135">
        <v>10.755000000000001</v>
      </c>
      <c r="J20" s="135">
        <v>15.757999999999999</v>
      </c>
      <c r="K20" s="135">
        <v>0</v>
      </c>
      <c r="L20" s="135">
        <v>0</v>
      </c>
      <c r="M20" s="135">
        <v>0</v>
      </c>
      <c r="N20" s="135">
        <v>0</v>
      </c>
      <c r="O20" s="135">
        <v>0</v>
      </c>
      <c r="P20" s="135">
        <v>0</v>
      </c>
      <c r="Q20" s="135">
        <v>0</v>
      </c>
      <c r="R20" s="135">
        <v>0</v>
      </c>
      <c r="S20" s="135">
        <v>5.0030000000000001</v>
      </c>
      <c r="T20" s="135">
        <v>86.912000000000006</v>
      </c>
      <c r="U20" s="135">
        <v>0.36</v>
      </c>
      <c r="V20" s="135">
        <v>4.8000000000000001E-2</v>
      </c>
      <c r="W20" s="135">
        <v>0</v>
      </c>
      <c r="X20" s="135">
        <v>0</v>
      </c>
      <c r="Y20" s="135" t="s">
        <v>1983</v>
      </c>
      <c r="Z20" s="135">
        <v>13.2</v>
      </c>
      <c r="AA20" s="135">
        <v>4950</v>
      </c>
      <c r="AB20" s="135">
        <v>374.8</v>
      </c>
      <c r="AC20" s="135">
        <v>2.67</v>
      </c>
      <c r="AD20" s="135">
        <v>15.8</v>
      </c>
      <c r="AE20" s="135">
        <v>14000</v>
      </c>
      <c r="AF20" s="135">
        <v>888.4</v>
      </c>
      <c r="AG20" s="135">
        <v>1.1299999999999999</v>
      </c>
      <c r="AH20" s="135">
        <v>16.3</v>
      </c>
      <c r="AI20" s="135">
        <v>7600</v>
      </c>
      <c r="AJ20" s="135">
        <v>465.5</v>
      </c>
      <c r="AK20" s="135">
        <v>2.15</v>
      </c>
      <c r="AL20" s="135">
        <v>13.3</v>
      </c>
      <c r="AM20" s="135">
        <v>7600</v>
      </c>
      <c r="AN20" s="135">
        <v>573.29999999999995</v>
      </c>
      <c r="AO20" s="135">
        <v>1.74</v>
      </c>
      <c r="AP20" s="135"/>
      <c r="AQ20" s="135"/>
      <c r="AR20" s="135"/>
      <c r="AS20" s="135"/>
      <c r="AT20" s="135"/>
      <c r="AU20" s="135"/>
      <c r="AV20" s="135"/>
      <c r="AW20" s="135"/>
      <c r="AX20" s="135">
        <v>13.3</v>
      </c>
      <c r="AY20" s="135">
        <v>24</v>
      </c>
      <c r="AZ20" s="135">
        <v>1.8</v>
      </c>
      <c r="BA20" s="135">
        <v>0.55000000000000004</v>
      </c>
      <c r="BB20" s="135"/>
      <c r="BC20" s="135"/>
      <c r="BD20" s="135"/>
      <c r="BE20" s="135"/>
      <c r="BF20" s="135">
        <v>16.3</v>
      </c>
      <c r="BG20" s="135">
        <v>14300</v>
      </c>
      <c r="BH20" s="135">
        <v>875.8</v>
      </c>
      <c r="BI20" s="135">
        <v>1.1399999999999999</v>
      </c>
      <c r="BJ20" s="135">
        <v>46.5</v>
      </c>
      <c r="BK20" s="135">
        <v>3.5</v>
      </c>
      <c r="BL20" s="135">
        <v>21.5</v>
      </c>
    </row>
    <row r="21" spans="1:64" x14ac:dyDescent="0.3">
      <c r="A21" s="135">
        <v>2016</v>
      </c>
      <c r="B21" s="135">
        <v>4</v>
      </c>
      <c r="C21" s="135" t="s">
        <v>2123</v>
      </c>
      <c r="D21" s="135" t="s">
        <v>226</v>
      </c>
      <c r="E21" s="135" t="s">
        <v>396</v>
      </c>
      <c r="F21" s="135" t="s">
        <v>18</v>
      </c>
      <c r="G21" s="135" t="s">
        <v>14</v>
      </c>
      <c r="H21" s="135">
        <v>36.85</v>
      </c>
      <c r="I21" s="135">
        <v>10.731</v>
      </c>
      <c r="J21" s="135">
        <v>14.984</v>
      </c>
      <c r="K21" s="135">
        <v>0</v>
      </c>
      <c r="L21" s="135">
        <v>0</v>
      </c>
      <c r="M21" s="135">
        <v>0</v>
      </c>
      <c r="N21" s="135">
        <v>0</v>
      </c>
      <c r="O21" s="135">
        <v>0</v>
      </c>
      <c r="P21" s="135">
        <v>0</v>
      </c>
      <c r="Q21" s="135">
        <v>0</v>
      </c>
      <c r="R21" s="135">
        <v>0</v>
      </c>
      <c r="S21" s="135">
        <v>4.2530000000000001</v>
      </c>
      <c r="T21" s="135">
        <v>69.388999999999996</v>
      </c>
      <c r="U21" s="135">
        <v>0.64300000000000002</v>
      </c>
      <c r="V21" s="135">
        <v>3.3000000000000002E-2</v>
      </c>
      <c r="W21" s="135">
        <v>0</v>
      </c>
      <c r="X21" s="135">
        <v>0</v>
      </c>
      <c r="Y21" s="135" t="s">
        <v>1983</v>
      </c>
      <c r="Z21" s="135">
        <v>12.8</v>
      </c>
      <c r="AA21" s="135">
        <v>4850</v>
      </c>
      <c r="AB21" s="135">
        <v>378.2</v>
      </c>
      <c r="AC21" s="135">
        <v>2.64</v>
      </c>
      <c r="AD21" s="135">
        <v>15</v>
      </c>
      <c r="AE21" s="135">
        <v>11200</v>
      </c>
      <c r="AF21" s="135">
        <v>747.5</v>
      </c>
      <c r="AG21" s="135">
        <v>1.34</v>
      </c>
      <c r="AH21" s="135">
        <v>15.4</v>
      </c>
      <c r="AI21" s="135">
        <v>6200</v>
      </c>
      <c r="AJ21" s="135">
        <v>401.7</v>
      </c>
      <c r="AK21" s="135">
        <v>2.4900000000000002</v>
      </c>
      <c r="AL21" s="135">
        <v>12.9</v>
      </c>
      <c r="AM21" s="135">
        <v>6900</v>
      </c>
      <c r="AN21" s="135">
        <v>536.70000000000005</v>
      </c>
      <c r="AO21" s="135">
        <v>1.86</v>
      </c>
      <c r="AP21" s="135"/>
      <c r="AQ21" s="135"/>
      <c r="AR21" s="135"/>
      <c r="AS21" s="135"/>
      <c r="AT21" s="135"/>
      <c r="AU21" s="135"/>
      <c r="AV21" s="135"/>
      <c r="AW21" s="135"/>
      <c r="AX21" s="135">
        <v>12.9</v>
      </c>
      <c r="AY21" s="135">
        <v>22</v>
      </c>
      <c r="AZ21" s="135">
        <v>1.7</v>
      </c>
      <c r="BA21" s="135">
        <v>0.57999999999999996</v>
      </c>
      <c r="BB21" s="135"/>
      <c r="BC21" s="135"/>
      <c r="BD21" s="135"/>
      <c r="BE21" s="135"/>
      <c r="BF21" s="135">
        <v>15.4</v>
      </c>
      <c r="BG21" s="135">
        <v>11700</v>
      </c>
      <c r="BH21" s="135">
        <v>758.1</v>
      </c>
      <c r="BI21" s="135">
        <v>1.32</v>
      </c>
      <c r="BJ21" s="135">
        <v>45.5</v>
      </c>
      <c r="BK21" s="135">
        <v>-8</v>
      </c>
      <c r="BL21" s="135">
        <v>26.75</v>
      </c>
    </row>
    <row r="22" spans="1:64" x14ac:dyDescent="0.3">
      <c r="A22" s="135">
        <v>2016</v>
      </c>
      <c r="B22" s="135">
        <v>4</v>
      </c>
      <c r="C22" s="135" t="s">
        <v>2105</v>
      </c>
      <c r="D22" s="135" t="s">
        <v>234</v>
      </c>
      <c r="E22" s="135" t="s">
        <v>396</v>
      </c>
      <c r="F22" s="135" t="s">
        <v>52</v>
      </c>
      <c r="G22" s="135" t="s">
        <v>2309</v>
      </c>
      <c r="H22" s="135">
        <v>26.3</v>
      </c>
      <c r="I22" s="135">
        <v>10.66</v>
      </c>
      <c r="J22" s="135">
        <v>16.140999999999998</v>
      </c>
      <c r="K22" s="135">
        <v>0</v>
      </c>
      <c r="L22" s="135">
        <v>0</v>
      </c>
      <c r="M22" s="135">
        <v>0</v>
      </c>
      <c r="N22" s="135">
        <v>0</v>
      </c>
      <c r="O22" s="135">
        <v>0</v>
      </c>
      <c r="P22" s="135">
        <v>0</v>
      </c>
      <c r="Q22" s="135">
        <v>0</v>
      </c>
      <c r="R22" s="135">
        <v>0</v>
      </c>
      <c r="S22" s="135">
        <v>5.4809999999999999</v>
      </c>
      <c r="T22" s="135">
        <v>71.703000000000003</v>
      </c>
      <c r="U22" s="135">
        <v>0.59599999999999997</v>
      </c>
      <c r="V22" s="135">
        <v>4.2999999999999997E-2</v>
      </c>
      <c r="W22" s="135">
        <v>0</v>
      </c>
      <c r="X22" s="135">
        <v>0</v>
      </c>
      <c r="Y22" s="135" t="s">
        <v>1983</v>
      </c>
      <c r="Z22" s="135">
        <v>13.4</v>
      </c>
      <c r="AA22" s="135">
        <v>5450</v>
      </c>
      <c r="AB22" s="135">
        <v>408</v>
      </c>
      <c r="AC22" s="135">
        <v>2.4500000000000002</v>
      </c>
      <c r="AD22" s="135">
        <v>16.100000000000001</v>
      </c>
      <c r="AE22" s="135">
        <v>14900</v>
      </c>
      <c r="AF22" s="135">
        <v>923.1</v>
      </c>
      <c r="AG22" s="135">
        <v>1.08</v>
      </c>
      <c r="AH22" s="135">
        <v>16.600000000000001</v>
      </c>
      <c r="AI22" s="135">
        <v>7900</v>
      </c>
      <c r="AJ22" s="135">
        <v>475.5</v>
      </c>
      <c r="AK22" s="135">
        <v>2.1</v>
      </c>
      <c r="AL22" s="135">
        <v>13.4</v>
      </c>
      <c r="AM22" s="135">
        <v>7800</v>
      </c>
      <c r="AN22" s="135">
        <v>582.1</v>
      </c>
      <c r="AO22" s="135">
        <v>1.72</v>
      </c>
      <c r="AP22" s="135"/>
      <c r="AQ22" s="135"/>
      <c r="AR22" s="135"/>
      <c r="AS22" s="135"/>
      <c r="AT22" s="135"/>
      <c r="AU22" s="135"/>
      <c r="AV22" s="135"/>
      <c r="AW22" s="135"/>
      <c r="AX22" s="135">
        <v>13.4</v>
      </c>
      <c r="AY22" s="135">
        <v>27</v>
      </c>
      <c r="AZ22" s="135">
        <v>2</v>
      </c>
      <c r="BA22" s="135">
        <v>0.5</v>
      </c>
      <c r="BB22" s="135"/>
      <c r="BC22" s="135"/>
      <c r="BD22" s="135"/>
      <c r="BE22" s="135"/>
      <c r="BF22" s="135">
        <v>16.600000000000001</v>
      </c>
      <c r="BG22" s="135">
        <v>15000</v>
      </c>
      <c r="BH22" s="135">
        <v>902.8</v>
      </c>
      <c r="BI22" s="135">
        <v>1.1100000000000001</v>
      </c>
      <c r="BJ22" s="135">
        <v>46</v>
      </c>
      <c r="BK22" s="135">
        <v>-3</v>
      </c>
      <c r="BL22" s="135">
        <v>24.5</v>
      </c>
    </row>
    <row r="23" spans="1:64" x14ac:dyDescent="0.3">
      <c r="A23" s="135">
        <v>2016</v>
      </c>
      <c r="B23" s="135">
        <v>4</v>
      </c>
      <c r="C23" s="135" t="s">
        <v>2114</v>
      </c>
      <c r="D23" s="135" t="s">
        <v>201</v>
      </c>
      <c r="E23" s="135" t="s">
        <v>396</v>
      </c>
      <c r="F23" s="135" t="s">
        <v>397</v>
      </c>
      <c r="G23" s="135" t="s">
        <v>2307</v>
      </c>
      <c r="H23" s="135">
        <v>15.77</v>
      </c>
      <c r="I23" s="135">
        <v>10.512</v>
      </c>
      <c r="J23" s="135">
        <v>17.123999999999999</v>
      </c>
      <c r="K23" s="135">
        <v>0</v>
      </c>
      <c r="L23" s="135">
        <v>0</v>
      </c>
      <c r="M23" s="135">
        <v>0</v>
      </c>
      <c r="N23" s="135">
        <v>0</v>
      </c>
      <c r="O23" s="135">
        <v>0</v>
      </c>
      <c r="P23" s="135">
        <v>0</v>
      </c>
      <c r="Q23" s="135">
        <v>0</v>
      </c>
      <c r="R23" s="135">
        <v>0</v>
      </c>
      <c r="S23" s="135">
        <v>6.6120000000000001</v>
      </c>
      <c r="T23" s="135">
        <v>76.7</v>
      </c>
      <c r="U23" s="135">
        <v>0.495</v>
      </c>
      <c r="V23" s="135">
        <v>6.4000000000000001E-2</v>
      </c>
      <c r="W23" s="135">
        <v>0</v>
      </c>
      <c r="X23" s="135">
        <v>0</v>
      </c>
      <c r="Y23" s="135" t="s">
        <v>1983</v>
      </c>
      <c r="Z23" s="135">
        <v>13.8</v>
      </c>
      <c r="AA23" s="135">
        <v>4800</v>
      </c>
      <c r="AB23" s="135">
        <v>349</v>
      </c>
      <c r="AC23" s="135">
        <v>2.87</v>
      </c>
      <c r="AD23" s="135">
        <v>17.100000000000001</v>
      </c>
      <c r="AE23" s="135">
        <v>12950</v>
      </c>
      <c r="AF23" s="135">
        <v>756.2</v>
      </c>
      <c r="AG23" s="135">
        <v>1.32</v>
      </c>
      <c r="AH23" s="135">
        <v>17.600000000000001</v>
      </c>
      <c r="AI23" s="135">
        <v>6000</v>
      </c>
      <c r="AJ23" s="135">
        <v>340</v>
      </c>
      <c r="AK23" s="135">
        <v>2.94</v>
      </c>
      <c r="AL23" s="135">
        <v>13.8</v>
      </c>
      <c r="AM23" s="135">
        <v>6900</v>
      </c>
      <c r="AN23" s="135">
        <v>499.3</v>
      </c>
      <c r="AO23" s="135">
        <v>2</v>
      </c>
      <c r="AP23" s="135"/>
      <c r="AQ23" s="135"/>
      <c r="AR23" s="135"/>
      <c r="AS23" s="135"/>
      <c r="AT23" s="135"/>
      <c r="AU23" s="135"/>
      <c r="AV23" s="135"/>
      <c r="AW23" s="135"/>
      <c r="AX23" s="135">
        <v>13.8</v>
      </c>
      <c r="AY23" s="135">
        <v>25</v>
      </c>
      <c r="AZ23" s="135">
        <v>1.8</v>
      </c>
      <c r="BA23" s="135">
        <v>0.55000000000000004</v>
      </c>
      <c r="BB23" s="135"/>
      <c r="BC23" s="135"/>
      <c r="BD23" s="135"/>
      <c r="BE23" s="135"/>
      <c r="BF23" s="135">
        <v>17.600000000000001</v>
      </c>
      <c r="BG23" s="135">
        <v>11300</v>
      </c>
      <c r="BH23" s="135">
        <v>640.29999999999995</v>
      </c>
      <c r="BI23" s="135">
        <v>1.56</v>
      </c>
      <c r="BJ23" s="135">
        <v>47.5</v>
      </c>
      <c r="BK23" s="135">
        <v>5.5</v>
      </c>
      <c r="BL23" s="135">
        <v>21</v>
      </c>
    </row>
    <row r="24" spans="1:64" x14ac:dyDescent="0.3">
      <c r="A24" s="135">
        <v>2016</v>
      </c>
      <c r="B24" s="135">
        <v>4</v>
      </c>
      <c r="C24" s="135" t="s">
        <v>2137</v>
      </c>
      <c r="D24" s="135" t="s">
        <v>479</v>
      </c>
      <c r="E24" s="135" t="s">
        <v>396</v>
      </c>
      <c r="F24" s="135" t="s">
        <v>14</v>
      </c>
      <c r="G24" s="135" t="s">
        <v>2310</v>
      </c>
      <c r="H24" s="135">
        <v>32.14</v>
      </c>
      <c r="I24" s="135">
        <v>10.393000000000001</v>
      </c>
      <c r="J24" s="135">
        <v>15.629</v>
      </c>
      <c r="K24" s="135">
        <v>0</v>
      </c>
      <c r="L24" s="135">
        <v>0</v>
      </c>
      <c r="M24" s="135">
        <v>0</v>
      </c>
      <c r="N24" s="135">
        <v>0</v>
      </c>
      <c r="O24" s="135">
        <v>0</v>
      </c>
      <c r="P24" s="135">
        <v>1.4319999999999999</v>
      </c>
      <c r="Q24" s="135">
        <v>6.3959999999999999</v>
      </c>
      <c r="R24" s="135">
        <v>3.3000000000000002E-2</v>
      </c>
      <c r="S24" s="135">
        <v>5.2359999999999998</v>
      </c>
      <c r="T24" s="135">
        <v>74.332999999999998</v>
      </c>
      <c r="U24" s="135">
        <v>0.373</v>
      </c>
      <c r="V24" s="135">
        <v>5.8000000000000003E-2</v>
      </c>
      <c r="W24" s="135">
        <v>0</v>
      </c>
      <c r="X24" s="135">
        <v>0</v>
      </c>
      <c r="Y24" s="135" t="s">
        <v>1983</v>
      </c>
      <c r="Z24" s="135">
        <v>13</v>
      </c>
      <c r="AA24" s="135">
        <v>4600</v>
      </c>
      <c r="AB24" s="135">
        <v>355.1</v>
      </c>
      <c r="AC24" s="135">
        <v>2.82</v>
      </c>
      <c r="AD24" s="135">
        <v>15.6</v>
      </c>
      <c r="AE24" s="135">
        <v>12100</v>
      </c>
      <c r="AF24" s="135">
        <v>774.2</v>
      </c>
      <c r="AG24" s="135">
        <v>1.29</v>
      </c>
      <c r="AH24" s="135">
        <v>16.2</v>
      </c>
      <c r="AI24" s="135">
        <v>4300</v>
      </c>
      <c r="AJ24" s="135">
        <v>265.89999999999998</v>
      </c>
      <c r="AK24" s="135">
        <v>3.76</v>
      </c>
      <c r="AL24" s="135">
        <v>13</v>
      </c>
      <c r="AM24" s="135">
        <v>7000</v>
      </c>
      <c r="AN24" s="135">
        <v>538</v>
      </c>
      <c r="AO24" s="135">
        <v>1.86</v>
      </c>
      <c r="AP24" s="135"/>
      <c r="AQ24" s="135"/>
      <c r="AR24" s="135"/>
      <c r="AS24" s="135"/>
      <c r="AT24" s="135"/>
      <c r="AU24" s="135"/>
      <c r="AV24" s="135"/>
      <c r="AW24" s="135"/>
      <c r="AX24" s="135">
        <v>13</v>
      </c>
      <c r="AY24" s="135">
        <v>17</v>
      </c>
      <c r="AZ24" s="135">
        <v>1.3</v>
      </c>
      <c r="BA24" s="135">
        <v>0.77</v>
      </c>
      <c r="BB24" s="135"/>
      <c r="BC24" s="135"/>
      <c r="BD24" s="135"/>
      <c r="BE24" s="135"/>
      <c r="BF24" s="135">
        <v>16.2</v>
      </c>
      <c r="BG24" s="135">
        <v>8400</v>
      </c>
      <c r="BH24" s="135">
        <v>519.4</v>
      </c>
      <c r="BI24" s="135">
        <v>1.93</v>
      </c>
      <c r="BJ24" s="135">
        <v>45.5</v>
      </c>
      <c r="BK24" s="135">
        <v>8</v>
      </c>
      <c r="BL24" s="135">
        <v>18.75</v>
      </c>
    </row>
    <row r="25" spans="1:64" x14ac:dyDescent="0.3">
      <c r="A25" s="135">
        <v>2016</v>
      </c>
      <c r="B25" s="135">
        <v>4</v>
      </c>
      <c r="C25" s="135" t="s">
        <v>2126</v>
      </c>
      <c r="D25" s="135" t="s">
        <v>505</v>
      </c>
      <c r="E25" s="135" t="s">
        <v>396</v>
      </c>
      <c r="F25" s="135" t="s">
        <v>407</v>
      </c>
      <c r="G25" s="135" t="s">
        <v>404</v>
      </c>
      <c r="H25" s="135">
        <v>19.47</v>
      </c>
      <c r="I25" s="135">
        <v>10.19</v>
      </c>
      <c r="J25" s="135">
        <v>14.391999999999999</v>
      </c>
      <c r="K25" s="135">
        <v>0</v>
      </c>
      <c r="L25" s="135">
        <v>0</v>
      </c>
      <c r="M25" s="135">
        <v>0</v>
      </c>
      <c r="N25" s="135">
        <v>0</v>
      </c>
      <c r="O25" s="135">
        <v>0</v>
      </c>
      <c r="P25" s="135">
        <v>0</v>
      </c>
      <c r="Q25" s="135">
        <v>0</v>
      </c>
      <c r="R25" s="135">
        <v>0</v>
      </c>
      <c r="S25" s="135">
        <v>4.202</v>
      </c>
      <c r="T25" s="135">
        <v>75.778999999999996</v>
      </c>
      <c r="U25" s="135">
        <v>0.44500000000000001</v>
      </c>
      <c r="V25" s="135">
        <v>2.9000000000000001E-2</v>
      </c>
      <c r="W25" s="135">
        <v>0</v>
      </c>
      <c r="X25" s="135">
        <v>0</v>
      </c>
      <c r="Y25" s="135" t="s">
        <v>1983</v>
      </c>
      <c r="Z25" s="135">
        <v>12.3</v>
      </c>
      <c r="AA25" s="135">
        <v>4350</v>
      </c>
      <c r="AB25" s="135">
        <v>354.8</v>
      </c>
      <c r="AC25" s="135">
        <v>2.82</v>
      </c>
      <c r="AD25" s="135">
        <v>14.4</v>
      </c>
      <c r="AE25" s="135">
        <v>10650</v>
      </c>
      <c r="AF25" s="135">
        <v>740</v>
      </c>
      <c r="AG25" s="135">
        <v>1.35</v>
      </c>
      <c r="AH25" s="135">
        <v>14.9</v>
      </c>
      <c r="AI25" s="135">
        <v>4400</v>
      </c>
      <c r="AJ25" s="135">
        <v>295.8</v>
      </c>
      <c r="AK25" s="135">
        <v>3.38</v>
      </c>
      <c r="AL25" s="135">
        <v>12.3</v>
      </c>
      <c r="AM25" s="135">
        <v>6400</v>
      </c>
      <c r="AN25" s="135">
        <v>520.70000000000005</v>
      </c>
      <c r="AO25" s="135">
        <v>1.92</v>
      </c>
      <c r="AP25" s="135"/>
      <c r="AQ25" s="135"/>
      <c r="AR25" s="135"/>
      <c r="AS25" s="135"/>
      <c r="AT25" s="135"/>
      <c r="AU25" s="135"/>
      <c r="AV25" s="135"/>
      <c r="AW25" s="135"/>
      <c r="AX25" s="135">
        <v>12.3</v>
      </c>
      <c r="AY25" s="135">
        <v>19</v>
      </c>
      <c r="AZ25" s="135">
        <v>1.5</v>
      </c>
      <c r="BA25" s="135">
        <v>0.65</v>
      </c>
      <c r="BB25" s="135"/>
      <c r="BC25" s="135"/>
      <c r="BD25" s="135"/>
      <c r="BE25" s="135"/>
      <c r="BF25" s="135">
        <v>14.9</v>
      </c>
      <c r="BG25" s="135">
        <v>8700</v>
      </c>
      <c r="BH25" s="135">
        <v>584.9</v>
      </c>
      <c r="BI25" s="135">
        <v>1.71</v>
      </c>
      <c r="BJ25" s="135">
        <v>53.5</v>
      </c>
      <c r="BK25" s="135">
        <v>-4</v>
      </c>
      <c r="BL25" s="135">
        <v>28.75</v>
      </c>
    </row>
    <row r="26" spans="1:64" x14ac:dyDescent="0.3">
      <c r="A26" s="135">
        <v>2016</v>
      </c>
      <c r="B26" s="135">
        <v>4</v>
      </c>
      <c r="C26" s="135" t="s">
        <v>2132</v>
      </c>
      <c r="D26" s="135" t="s">
        <v>203</v>
      </c>
      <c r="E26" s="135" t="s">
        <v>396</v>
      </c>
      <c r="F26" s="135" t="s">
        <v>70</v>
      </c>
      <c r="G26" s="135" t="s">
        <v>2005</v>
      </c>
      <c r="H26" s="135">
        <v>32.64</v>
      </c>
      <c r="I26" s="135">
        <v>9.8089999999999993</v>
      </c>
      <c r="J26" s="135">
        <v>15.643000000000001</v>
      </c>
      <c r="K26" s="135">
        <v>0</v>
      </c>
      <c r="L26" s="135">
        <v>0</v>
      </c>
      <c r="M26" s="135">
        <v>0</v>
      </c>
      <c r="N26" s="135">
        <v>0</v>
      </c>
      <c r="O26" s="135">
        <v>0</v>
      </c>
      <c r="P26" s="135">
        <v>0</v>
      </c>
      <c r="Q26" s="135">
        <v>0</v>
      </c>
      <c r="R26" s="135">
        <v>0</v>
      </c>
      <c r="S26" s="135">
        <v>5.8339999999999996</v>
      </c>
      <c r="T26" s="135">
        <v>68.606999999999999</v>
      </c>
      <c r="U26" s="135">
        <v>0.51</v>
      </c>
      <c r="V26" s="135">
        <v>5.6000000000000001E-2</v>
      </c>
      <c r="W26" s="135">
        <v>0</v>
      </c>
      <c r="X26" s="135">
        <v>0</v>
      </c>
      <c r="Y26" s="135" t="s">
        <v>1983</v>
      </c>
      <c r="Z26" s="135">
        <v>12.7</v>
      </c>
      <c r="AA26" s="135">
        <v>4950</v>
      </c>
      <c r="AB26" s="135">
        <v>390.7</v>
      </c>
      <c r="AC26" s="135">
        <v>2.56</v>
      </c>
      <c r="AD26" s="135">
        <v>15.6</v>
      </c>
      <c r="AE26" s="135">
        <v>12550</v>
      </c>
      <c r="AF26" s="135">
        <v>802.3</v>
      </c>
      <c r="AG26" s="135">
        <v>1.25</v>
      </c>
      <c r="AH26" s="135">
        <v>16.100000000000001</v>
      </c>
      <c r="AI26" s="135">
        <v>6400</v>
      </c>
      <c r="AJ26" s="135">
        <v>397.3</v>
      </c>
      <c r="AK26" s="135">
        <v>2.52</v>
      </c>
      <c r="AL26" s="135">
        <v>12.7</v>
      </c>
      <c r="AM26" s="135">
        <v>6900</v>
      </c>
      <c r="AN26" s="135">
        <v>542.20000000000005</v>
      </c>
      <c r="AO26" s="135">
        <v>1.84</v>
      </c>
      <c r="AP26" s="135"/>
      <c r="AQ26" s="135"/>
      <c r="AR26" s="135"/>
      <c r="AS26" s="135"/>
      <c r="AT26" s="135"/>
      <c r="AU26" s="135"/>
      <c r="AV26" s="135"/>
      <c r="AW26" s="135"/>
      <c r="AX26" s="135">
        <v>12.7</v>
      </c>
      <c r="AY26" s="135">
        <v>23</v>
      </c>
      <c r="AZ26" s="135">
        <v>1.8</v>
      </c>
      <c r="BA26" s="135">
        <v>0.55000000000000004</v>
      </c>
      <c r="BB26" s="135"/>
      <c r="BC26" s="135"/>
      <c r="BD26" s="135"/>
      <c r="BE26" s="135"/>
      <c r="BF26" s="135">
        <v>16.100000000000001</v>
      </c>
      <c r="BG26" s="135">
        <v>12000</v>
      </c>
      <c r="BH26" s="135">
        <v>744.9</v>
      </c>
      <c r="BI26" s="135">
        <v>1.34</v>
      </c>
      <c r="BJ26" s="135">
        <v>44</v>
      </c>
      <c r="BK26" s="135">
        <v>-3</v>
      </c>
      <c r="BL26" s="135">
        <v>23.5</v>
      </c>
    </row>
    <row r="27" spans="1:64" x14ac:dyDescent="0.3">
      <c r="A27" s="135">
        <v>2016</v>
      </c>
      <c r="B27" s="135">
        <v>4</v>
      </c>
      <c r="C27" s="135" t="s">
        <v>2128</v>
      </c>
      <c r="D27" s="135" t="s">
        <v>262</v>
      </c>
      <c r="E27" s="135" t="s">
        <v>396</v>
      </c>
      <c r="F27" s="135" t="s">
        <v>57</v>
      </c>
      <c r="G27" s="135" t="s">
        <v>1999</v>
      </c>
      <c r="H27" s="135">
        <v>25.34</v>
      </c>
      <c r="I27" s="135">
        <v>9.3149999999999995</v>
      </c>
      <c r="J27" s="135">
        <v>14.156000000000001</v>
      </c>
      <c r="K27" s="135">
        <v>0</v>
      </c>
      <c r="L27" s="135">
        <v>0</v>
      </c>
      <c r="M27" s="135">
        <v>0</v>
      </c>
      <c r="N27" s="135">
        <v>0</v>
      </c>
      <c r="O27" s="135">
        <v>0</v>
      </c>
      <c r="P27" s="135">
        <v>0</v>
      </c>
      <c r="Q27" s="135">
        <v>0</v>
      </c>
      <c r="R27" s="135">
        <v>0</v>
      </c>
      <c r="S27" s="135">
        <v>4.8410000000000002</v>
      </c>
      <c r="T27" s="135">
        <v>71.054000000000002</v>
      </c>
      <c r="U27" s="135">
        <v>0.38600000000000001</v>
      </c>
      <c r="V27" s="135">
        <v>5.2999999999999999E-2</v>
      </c>
      <c r="W27" s="135">
        <v>0</v>
      </c>
      <c r="X27" s="135">
        <v>0</v>
      </c>
      <c r="Y27" s="135" t="s">
        <v>1983</v>
      </c>
      <c r="Z27" s="135">
        <v>11.7</v>
      </c>
      <c r="AA27" s="135">
        <v>4700</v>
      </c>
      <c r="AB27" s="135">
        <v>402.3</v>
      </c>
      <c r="AC27" s="135">
        <v>2.4900000000000002</v>
      </c>
      <c r="AD27" s="135">
        <v>14.2</v>
      </c>
      <c r="AE27" s="135">
        <v>10800</v>
      </c>
      <c r="AF27" s="135">
        <v>762.9</v>
      </c>
      <c r="AG27" s="135">
        <v>1.31</v>
      </c>
      <c r="AH27" s="135">
        <v>14.6</v>
      </c>
      <c r="AI27" s="135">
        <v>5200</v>
      </c>
      <c r="AJ27" s="135">
        <v>355.3</v>
      </c>
      <c r="AK27" s="135">
        <v>2.81</v>
      </c>
      <c r="AL27" s="135">
        <v>11.7</v>
      </c>
      <c r="AM27" s="135">
        <v>6300</v>
      </c>
      <c r="AN27" s="135">
        <v>536.79999999999995</v>
      </c>
      <c r="AO27" s="135">
        <v>1.86</v>
      </c>
      <c r="AP27" s="135"/>
      <c r="AQ27" s="135"/>
      <c r="AR27" s="135"/>
      <c r="AS27" s="135"/>
      <c r="AT27" s="135"/>
      <c r="AU27" s="135"/>
      <c r="AV27" s="135"/>
      <c r="AW27" s="135"/>
      <c r="AX27" s="135">
        <v>11.7</v>
      </c>
      <c r="AY27" s="135">
        <v>17</v>
      </c>
      <c r="AZ27" s="135">
        <v>1.4</v>
      </c>
      <c r="BA27" s="135">
        <v>0.69</v>
      </c>
      <c r="BB27" s="135"/>
      <c r="BC27" s="135"/>
      <c r="BD27" s="135"/>
      <c r="BE27" s="135"/>
      <c r="BF27" s="135">
        <v>14.6</v>
      </c>
      <c r="BG27" s="135">
        <v>10200</v>
      </c>
      <c r="BH27" s="135">
        <v>696.9</v>
      </c>
      <c r="BI27" s="135">
        <v>1.43</v>
      </c>
      <c r="BJ27" s="135">
        <v>44.5</v>
      </c>
      <c r="BK27" s="135">
        <v>7</v>
      </c>
      <c r="BL27" s="135">
        <v>18.75</v>
      </c>
    </row>
    <row r="28" spans="1:64" x14ac:dyDescent="0.3">
      <c r="A28" s="135">
        <v>2016</v>
      </c>
      <c r="B28" s="135">
        <v>4</v>
      </c>
      <c r="C28" s="135" t="s">
        <v>2107</v>
      </c>
      <c r="D28" s="135" t="s">
        <v>197</v>
      </c>
      <c r="E28" s="135" t="s">
        <v>396</v>
      </c>
      <c r="F28" s="135" t="s">
        <v>34</v>
      </c>
      <c r="G28" s="135" t="s">
        <v>7</v>
      </c>
      <c r="H28" s="135">
        <v>10.17</v>
      </c>
      <c r="I28" s="135">
        <v>9.25</v>
      </c>
      <c r="J28" s="135">
        <v>12.887</v>
      </c>
      <c r="K28" s="135">
        <v>0</v>
      </c>
      <c r="L28" s="135">
        <v>0</v>
      </c>
      <c r="M28" s="135">
        <v>0</v>
      </c>
      <c r="N28" s="135">
        <v>0</v>
      </c>
      <c r="O28" s="135">
        <v>0</v>
      </c>
      <c r="P28" s="135">
        <v>0</v>
      </c>
      <c r="Q28" s="135">
        <v>0</v>
      </c>
      <c r="R28" s="135">
        <v>0</v>
      </c>
      <c r="S28" s="135">
        <v>3.637</v>
      </c>
      <c r="T28" s="135">
        <v>60.404000000000003</v>
      </c>
      <c r="U28" s="135">
        <v>0.55000000000000004</v>
      </c>
      <c r="V28" s="135">
        <v>4.4999999999999998E-2</v>
      </c>
      <c r="W28" s="135">
        <v>0</v>
      </c>
      <c r="X28" s="135">
        <v>0</v>
      </c>
      <c r="Y28" s="135" t="s">
        <v>1983</v>
      </c>
      <c r="Z28" s="135">
        <v>11</v>
      </c>
      <c r="AA28" s="135">
        <v>4850</v>
      </c>
      <c r="AB28" s="135">
        <v>440</v>
      </c>
      <c r="AC28" s="135">
        <v>2.27</v>
      </c>
      <c r="AD28" s="135">
        <v>12.9</v>
      </c>
      <c r="AE28" s="135">
        <v>10800</v>
      </c>
      <c r="AF28" s="135">
        <v>838</v>
      </c>
      <c r="AG28" s="135">
        <v>1.19</v>
      </c>
      <c r="AH28" s="135">
        <v>13.3</v>
      </c>
      <c r="AI28" s="135">
        <v>6300</v>
      </c>
      <c r="AJ28" s="135">
        <v>473.9</v>
      </c>
      <c r="AK28" s="135">
        <v>2.11</v>
      </c>
      <c r="AL28" s="135">
        <v>11.1</v>
      </c>
      <c r="AM28" s="135">
        <v>6800</v>
      </c>
      <c r="AN28" s="135">
        <v>614.29999999999995</v>
      </c>
      <c r="AO28" s="135">
        <v>1.63</v>
      </c>
      <c r="AP28" s="135"/>
      <c r="AQ28" s="135"/>
      <c r="AR28" s="135"/>
      <c r="AS28" s="135"/>
      <c r="AT28" s="135"/>
      <c r="AU28" s="135"/>
      <c r="AV28" s="135"/>
      <c r="AW28" s="135"/>
      <c r="AX28" s="135">
        <v>11.1</v>
      </c>
      <c r="AY28" s="135">
        <v>24</v>
      </c>
      <c r="AZ28" s="135">
        <v>2.2000000000000002</v>
      </c>
      <c r="BA28" s="135">
        <v>0.46</v>
      </c>
      <c r="BB28" s="135"/>
      <c r="BC28" s="135"/>
      <c r="BD28" s="135"/>
      <c r="BE28" s="135"/>
      <c r="BF28" s="135">
        <v>13.3</v>
      </c>
      <c r="BG28" s="135">
        <v>12000</v>
      </c>
      <c r="BH28" s="135">
        <v>902.6</v>
      </c>
      <c r="BI28" s="135">
        <v>1.1100000000000001</v>
      </c>
      <c r="BJ28" s="135">
        <v>40.5</v>
      </c>
      <c r="BK28" s="135">
        <v>1.5</v>
      </c>
      <c r="BL28" s="135">
        <v>19.5</v>
      </c>
    </row>
    <row r="29" spans="1:64" x14ac:dyDescent="0.3">
      <c r="A29" s="135">
        <v>2016</v>
      </c>
      <c r="B29" s="135">
        <v>4</v>
      </c>
      <c r="C29" s="135" t="s">
        <v>2118</v>
      </c>
      <c r="D29" s="135" t="s">
        <v>463</v>
      </c>
      <c r="E29" s="135" t="s">
        <v>396</v>
      </c>
      <c r="F29" s="135" t="s">
        <v>43</v>
      </c>
      <c r="G29" s="135" t="s">
        <v>30</v>
      </c>
      <c r="H29" s="135">
        <v>19.5</v>
      </c>
      <c r="I29" s="135">
        <v>9.1150000000000002</v>
      </c>
      <c r="J29" s="135">
        <v>12.766</v>
      </c>
      <c r="K29" s="135">
        <v>0</v>
      </c>
      <c r="L29" s="135">
        <v>0</v>
      </c>
      <c r="M29" s="135">
        <v>0</v>
      </c>
      <c r="N29" s="135">
        <v>0</v>
      </c>
      <c r="O29" s="135">
        <v>0</v>
      </c>
      <c r="P29" s="135">
        <v>0</v>
      </c>
      <c r="Q29" s="135">
        <v>0</v>
      </c>
      <c r="R29" s="135">
        <v>0</v>
      </c>
      <c r="S29" s="135">
        <v>3.6509999999999998</v>
      </c>
      <c r="T29" s="135">
        <v>69.188000000000002</v>
      </c>
      <c r="U29" s="135">
        <v>0.377</v>
      </c>
      <c r="V29" s="135">
        <v>3.3000000000000002E-2</v>
      </c>
      <c r="W29" s="135">
        <v>0</v>
      </c>
      <c r="X29" s="135">
        <v>0</v>
      </c>
      <c r="Y29" s="135" t="s">
        <v>1983</v>
      </c>
      <c r="Z29" s="135">
        <v>10.9</v>
      </c>
      <c r="AA29" s="135">
        <v>4550</v>
      </c>
      <c r="AB29" s="135">
        <v>417.2</v>
      </c>
      <c r="AC29" s="135">
        <v>2.4</v>
      </c>
      <c r="AD29" s="135">
        <v>12.8</v>
      </c>
      <c r="AE29" s="135">
        <v>11600</v>
      </c>
      <c r="AF29" s="135">
        <v>908.7</v>
      </c>
      <c r="AG29" s="135">
        <v>1.1000000000000001</v>
      </c>
      <c r="AH29" s="135">
        <v>13.2</v>
      </c>
      <c r="AI29" s="135">
        <v>5300</v>
      </c>
      <c r="AJ29" s="135">
        <v>401.1</v>
      </c>
      <c r="AK29" s="135">
        <v>2.4900000000000002</v>
      </c>
      <c r="AL29" s="135">
        <v>10.9</v>
      </c>
      <c r="AM29" s="135">
        <v>6700</v>
      </c>
      <c r="AN29" s="135">
        <v>612.4</v>
      </c>
      <c r="AO29" s="135">
        <v>1.63</v>
      </c>
      <c r="AP29" s="135"/>
      <c r="AQ29" s="135"/>
      <c r="AR29" s="135"/>
      <c r="AS29" s="135"/>
      <c r="AT29" s="135"/>
      <c r="AU29" s="135"/>
      <c r="AV29" s="135"/>
      <c r="AW29" s="135"/>
      <c r="AX29" s="135">
        <v>10.9</v>
      </c>
      <c r="AY29" s="135">
        <v>25</v>
      </c>
      <c r="AZ29" s="135">
        <v>2.2999999999999998</v>
      </c>
      <c r="BA29" s="135">
        <v>0.44</v>
      </c>
      <c r="BB29" s="135"/>
      <c r="BC29" s="135"/>
      <c r="BD29" s="135"/>
      <c r="BE29" s="135"/>
      <c r="BF29" s="135">
        <v>13.2</v>
      </c>
      <c r="BG29" s="135">
        <v>10500</v>
      </c>
      <c r="BH29" s="135">
        <v>794.6</v>
      </c>
      <c r="BI29" s="135">
        <v>1.26</v>
      </c>
      <c r="BJ29" s="135">
        <v>40.5</v>
      </c>
      <c r="BK29" s="135">
        <v>-6.5</v>
      </c>
      <c r="BL29" s="135">
        <v>23.5</v>
      </c>
    </row>
    <row r="30" spans="1:64" x14ac:dyDescent="0.3">
      <c r="A30" s="135">
        <v>2016</v>
      </c>
      <c r="B30" s="135">
        <v>4</v>
      </c>
      <c r="C30" s="135" t="s">
        <v>2129</v>
      </c>
      <c r="D30" s="135" t="s">
        <v>198</v>
      </c>
      <c r="E30" s="135" t="s">
        <v>396</v>
      </c>
      <c r="F30" s="135" t="s">
        <v>402</v>
      </c>
      <c r="G30" s="135" t="s">
        <v>10</v>
      </c>
      <c r="H30" s="135">
        <v>28.75</v>
      </c>
      <c r="I30" s="135">
        <v>8.84</v>
      </c>
      <c r="J30" s="135">
        <v>14.265000000000001</v>
      </c>
      <c r="K30" s="135">
        <v>0</v>
      </c>
      <c r="L30" s="135">
        <v>0</v>
      </c>
      <c r="M30" s="135">
        <v>0</v>
      </c>
      <c r="N30" s="135">
        <v>0</v>
      </c>
      <c r="O30" s="135">
        <v>0</v>
      </c>
      <c r="P30" s="135">
        <v>1.45</v>
      </c>
      <c r="Q30" s="135">
        <v>7.8730000000000002</v>
      </c>
      <c r="R30" s="135">
        <v>0</v>
      </c>
      <c r="S30" s="135">
        <v>5.4249999999999998</v>
      </c>
      <c r="T30" s="135">
        <v>61.808999999999997</v>
      </c>
      <c r="U30" s="135">
        <v>0.33400000000000002</v>
      </c>
      <c r="V30" s="135">
        <v>6.6000000000000003E-2</v>
      </c>
      <c r="W30" s="135">
        <v>0</v>
      </c>
      <c r="X30" s="135">
        <v>0</v>
      </c>
      <c r="Y30" s="135" t="s">
        <v>1983</v>
      </c>
      <c r="Z30" s="135">
        <v>11.5</v>
      </c>
      <c r="AA30" s="135">
        <v>5000</v>
      </c>
      <c r="AB30" s="135">
        <v>435.3</v>
      </c>
      <c r="AC30" s="135">
        <v>2.2999999999999998</v>
      </c>
      <c r="AD30" s="135">
        <v>14.3</v>
      </c>
      <c r="AE30" s="135">
        <v>13200</v>
      </c>
      <c r="AF30" s="135">
        <v>925.3</v>
      </c>
      <c r="AG30" s="135">
        <v>1.08</v>
      </c>
      <c r="AH30" s="135">
        <v>14.7</v>
      </c>
      <c r="AI30" s="135">
        <v>5800</v>
      </c>
      <c r="AJ30" s="135">
        <v>393.2</v>
      </c>
      <c r="AK30" s="135">
        <v>2.54</v>
      </c>
      <c r="AL30" s="135">
        <v>11.6</v>
      </c>
      <c r="AM30" s="135">
        <v>7200</v>
      </c>
      <c r="AN30" s="135">
        <v>623.20000000000005</v>
      </c>
      <c r="AO30" s="135">
        <v>1.6</v>
      </c>
      <c r="AP30" s="135"/>
      <c r="AQ30" s="135"/>
      <c r="AR30" s="135"/>
      <c r="AS30" s="135"/>
      <c r="AT30" s="135"/>
      <c r="AU30" s="135"/>
      <c r="AV30" s="135"/>
      <c r="AW30" s="135"/>
      <c r="AX30" s="135">
        <v>11.6</v>
      </c>
      <c r="AY30" s="135">
        <v>24</v>
      </c>
      <c r="AZ30" s="135">
        <v>2.1</v>
      </c>
      <c r="BA30" s="135">
        <v>0.48</v>
      </c>
      <c r="BB30" s="135"/>
      <c r="BC30" s="135"/>
      <c r="BD30" s="135"/>
      <c r="BE30" s="135"/>
      <c r="BF30" s="135">
        <v>14.7</v>
      </c>
      <c r="BG30" s="135">
        <v>10900</v>
      </c>
      <c r="BH30" s="135">
        <v>739</v>
      </c>
      <c r="BI30" s="135">
        <v>1.35</v>
      </c>
      <c r="BJ30" s="135">
        <v>44</v>
      </c>
      <c r="BK30" s="135">
        <v>-4.5</v>
      </c>
      <c r="BL30" s="135">
        <v>24.25</v>
      </c>
    </row>
    <row r="31" spans="1:64" x14ac:dyDescent="0.3">
      <c r="A31" s="135">
        <v>2016</v>
      </c>
      <c r="B31" s="135">
        <v>4</v>
      </c>
      <c r="C31" s="135" t="s">
        <v>2120</v>
      </c>
      <c r="D31" s="135" t="s">
        <v>275</v>
      </c>
      <c r="E31" s="135" t="s">
        <v>396</v>
      </c>
      <c r="F31" s="135" t="s">
        <v>32</v>
      </c>
      <c r="G31" s="135" t="s">
        <v>4</v>
      </c>
      <c r="H31" s="135">
        <v>34.54</v>
      </c>
      <c r="I31" s="135">
        <v>8.8290000000000006</v>
      </c>
      <c r="J31" s="135">
        <v>11.818</v>
      </c>
      <c r="K31" s="135">
        <v>0</v>
      </c>
      <c r="L31" s="135">
        <v>0</v>
      </c>
      <c r="M31" s="135">
        <v>0</v>
      </c>
      <c r="N31" s="135">
        <v>0</v>
      </c>
      <c r="O31" s="135">
        <v>0</v>
      </c>
      <c r="P31" s="135">
        <v>0.27100000000000002</v>
      </c>
      <c r="Q31" s="135">
        <v>1.8029999999999999</v>
      </c>
      <c r="R31" s="135">
        <v>0</v>
      </c>
      <c r="S31" s="135">
        <v>2.9889999999999999</v>
      </c>
      <c r="T31" s="135">
        <v>59.308999999999997</v>
      </c>
      <c r="U31" s="135">
        <v>0.46100000000000002</v>
      </c>
      <c r="V31" s="135">
        <v>2.4E-2</v>
      </c>
      <c r="W31" s="135">
        <v>0</v>
      </c>
      <c r="X31" s="135">
        <v>0</v>
      </c>
      <c r="Y31" s="135" t="s">
        <v>1983</v>
      </c>
      <c r="Z31" s="135">
        <v>10.3</v>
      </c>
      <c r="AA31" s="135">
        <v>4450</v>
      </c>
      <c r="AB31" s="135">
        <v>432.1</v>
      </c>
      <c r="AC31" s="135">
        <v>2.31</v>
      </c>
      <c r="AD31" s="135">
        <v>11.8</v>
      </c>
      <c r="AE31" s="135">
        <v>12350</v>
      </c>
      <c r="AF31" s="135">
        <v>1045</v>
      </c>
      <c r="AG31" s="135">
        <v>0.96</v>
      </c>
      <c r="AH31" s="135">
        <v>12.2</v>
      </c>
      <c r="AI31" s="135">
        <v>5200</v>
      </c>
      <c r="AJ31" s="135">
        <v>425.9</v>
      </c>
      <c r="AK31" s="135">
        <v>2.35</v>
      </c>
      <c r="AL31" s="135">
        <v>10.3</v>
      </c>
      <c r="AM31" s="135">
        <v>6700</v>
      </c>
      <c r="AN31" s="135">
        <v>649</v>
      </c>
      <c r="AO31" s="135">
        <v>1.54</v>
      </c>
      <c r="AP31" s="135"/>
      <c r="AQ31" s="135"/>
      <c r="AR31" s="135"/>
      <c r="AS31" s="135"/>
      <c r="AT31" s="135"/>
      <c r="AU31" s="135"/>
      <c r="AV31" s="135"/>
      <c r="AW31" s="135"/>
      <c r="AX31" s="135">
        <v>10.3</v>
      </c>
      <c r="AY31" s="135">
        <v>22</v>
      </c>
      <c r="AZ31" s="135">
        <v>2.1</v>
      </c>
      <c r="BA31" s="135">
        <v>0.47</v>
      </c>
      <c r="BB31" s="135"/>
      <c r="BC31" s="135"/>
      <c r="BD31" s="135"/>
      <c r="BE31" s="135"/>
      <c r="BF31" s="135">
        <v>12.2</v>
      </c>
      <c r="BG31" s="135">
        <v>10200</v>
      </c>
      <c r="BH31" s="135">
        <v>835.5</v>
      </c>
      <c r="BI31" s="135">
        <v>1.2</v>
      </c>
      <c r="BJ31" s="135">
        <v>46.5</v>
      </c>
      <c r="BK31" s="135">
        <v>-3.5</v>
      </c>
      <c r="BL31" s="135">
        <v>25</v>
      </c>
    </row>
    <row r="32" spans="1:64" x14ac:dyDescent="0.3">
      <c r="A32" s="135">
        <v>2016</v>
      </c>
      <c r="B32" s="135">
        <v>4</v>
      </c>
      <c r="C32" s="135" t="s">
        <v>2121</v>
      </c>
      <c r="D32" s="135" t="s">
        <v>204</v>
      </c>
      <c r="E32" s="135" t="s">
        <v>396</v>
      </c>
      <c r="F32" s="135" t="s">
        <v>4</v>
      </c>
      <c r="G32" s="135" t="s">
        <v>2297</v>
      </c>
      <c r="H32" s="135">
        <v>22.34</v>
      </c>
      <c r="I32" s="135">
        <v>8.8079999999999998</v>
      </c>
      <c r="J32" s="135">
        <v>14.606999999999999</v>
      </c>
      <c r="K32" s="135">
        <v>0</v>
      </c>
      <c r="L32" s="135">
        <v>0</v>
      </c>
      <c r="M32" s="135">
        <v>0</v>
      </c>
      <c r="N32" s="135">
        <v>0</v>
      </c>
      <c r="O32" s="135">
        <v>0</v>
      </c>
      <c r="P32" s="135">
        <v>0</v>
      </c>
      <c r="Q32" s="135">
        <v>0</v>
      </c>
      <c r="R32" s="135">
        <v>0</v>
      </c>
      <c r="S32" s="135">
        <v>5.7990000000000004</v>
      </c>
      <c r="T32" s="135">
        <v>67.159000000000006</v>
      </c>
      <c r="U32" s="135">
        <v>0.36699999999999999</v>
      </c>
      <c r="V32" s="135">
        <v>5.5E-2</v>
      </c>
      <c r="W32" s="135">
        <v>0</v>
      </c>
      <c r="X32" s="135">
        <v>0</v>
      </c>
      <c r="Y32" s="135" t="s">
        <v>1983</v>
      </c>
      <c r="Z32" s="135">
        <v>11.7</v>
      </c>
      <c r="AA32" s="135">
        <v>4850</v>
      </c>
      <c r="AB32" s="135">
        <v>416.2</v>
      </c>
      <c r="AC32" s="135">
        <v>2.4</v>
      </c>
      <c r="AD32" s="135">
        <v>14.6</v>
      </c>
      <c r="AE32" s="135">
        <v>12600</v>
      </c>
      <c r="AF32" s="135">
        <v>862.6</v>
      </c>
      <c r="AG32" s="135">
        <v>1.1599999999999999</v>
      </c>
      <c r="AH32" s="135">
        <v>15.1</v>
      </c>
      <c r="AI32" s="135">
        <v>6400</v>
      </c>
      <c r="AJ32" s="135">
        <v>424.8</v>
      </c>
      <c r="AK32" s="135">
        <v>2.35</v>
      </c>
      <c r="AL32" s="135">
        <v>11.7</v>
      </c>
      <c r="AM32" s="135">
        <v>6500</v>
      </c>
      <c r="AN32" s="135">
        <v>555.20000000000005</v>
      </c>
      <c r="AO32" s="135">
        <v>1.8</v>
      </c>
      <c r="AP32" s="135"/>
      <c r="AQ32" s="135"/>
      <c r="AR32" s="135"/>
      <c r="AS32" s="135"/>
      <c r="AT32" s="135"/>
      <c r="AU32" s="135"/>
      <c r="AV32" s="135"/>
      <c r="AW32" s="135"/>
      <c r="AX32" s="135">
        <v>11.7</v>
      </c>
      <c r="AY32" s="135">
        <v>21</v>
      </c>
      <c r="AZ32" s="135">
        <v>1.8</v>
      </c>
      <c r="BA32" s="135">
        <v>0.56000000000000005</v>
      </c>
      <c r="BB32" s="135"/>
      <c r="BC32" s="135"/>
      <c r="BD32" s="135"/>
      <c r="BE32" s="135"/>
      <c r="BF32" s="135">
        <v>15.1</v>
      </c>
      <c r="BG32" s="135">
        <v>12000</v>
      </c>
      <c r="BH32" s="135">
        <v>796.6</v>
      </c>
      <c r="BI32" s="135">
        <v>1.26</v>
      </c>
      <c r="BJ32" s="135">
        <v>46.5</v>
      </c>
      <c r="BK32" s="135">
        <v>3.5</v>
      </c>
      <c r="BL32" s="135">
        <v>21.5</v>
      </c>
    </row>
    <row r="33" spans="1:64" x14ac:dyDescent="0.3">
      <c r="A33" s="135">
        <v>2016</v>
      </c>
      <c r="B33" s="135">
        <v>4</v>
      </c>
      <c r="C33" s="135" t="s">
        <v>2124</v>
      </c>
      <c r="D33" s="135" t="s">
        <v>454</v>
      </c>
      <c r="E33" s="135" t="s">
        <v>396</v>
      </c>
      <c r="F33" s="135" t="s">
        <v>37</v>
      </c>
      <c r="G33" s="135" t="s">
        <v>2304</v>
      </c>
      <c r="H33" s="135">
        <v>14.75</v>
      </c>
      <c r="I33" s="135">
        <v>8.7530000000000001</v>
      </c>
      <c r="J33" s="135">
        <v>13.59</v>
      </c>
      <c r="K33" s="135">
        <v>0</v>
      </c>
      <c r="L33" s="135">
        <v>0</v>
      </c>
      <c r="M33" s="135">
        <v>0</v>
      </c>
      <c r="N33" s="135">
        <v>0</v>
      </c>
      <c r="O33" s="135">
        <v>0</v>
      </c>
      <c r="P33" s="135">
        <v>0</v>
      </c>
      <c r="Q33" s="135">
        <v>0</v>
      </c>
      <c r="R33" s="135">
        <v>0</v>
      </c>
      <c r="S33" s="135">
        <v>4.8369999999999997</v>
      </c>
      <c r="T33" s="135">
        <v>65.052999999999997</v>
      </c>
      <c r="U33" s="135">
        <v>0.39400000000000002</v>
      </c>
      <c r="V33" s="135">
        <v>5.8000000000000003E-2</v>
      </c>
      <c r="W33" s="135">
        <v>0</v>
      </c>
      <c r="X33" s="135">
        <v>0</v>
      </c>
      <c r="Y33" s="135" t="s">
        <v>1983</v>
      </c>
      <c r="Z33" s="135">
        <v>11.1</v>
      </c>
      <c r="AA33" s="135">
        <v>4750</v>
      </c>
      <c r="AB33" s="135">
        <v>427.4</v>
      </c>
      <c r="AC33" s="135">
        <v>2.34</v>
      </c>
      <c r="AD33" s="135">
        <v>13.6</v>
      </c>
      <c r="AE33" s="135">
        <v>12300</v>
      </c>
      <c r="AF33" s="135">
        <v>905.1</v>
      </c>
      <c r="AG33" s="135">
        <v>1.1000000000000001</v>
      </c>
      <c r="AH33" s="135">
        <v>14</v>
      </c>
      <c r="AI33" s="135">
        <v>5800</v>
      </c>
      <c r="AJ33" s="135">
        <v>413.1</v>
      </c>
      <c r="AK33" s="135">
        <v>2.42</v>
      </c>
      <c r="AL33" s="135">
        <v>11.2</v>
      </c>
      <c r="AM33" s="135">
        <v>6900</v>
      </c>
      <c r="AN33" s="135">
        <v>617.6</v>
      </c>
      <c r="AO33" s="135">
        <v>1.62</v>
      </c>
      <c r="AP33" s="135"/>
      <c r="AQ33" s="135"/>
      <c r="AR33" s="135"/>
      <c r="AS33" s="135"/>
      <c r="AT33" s="135"/>
      <c r="AU33" s="135"/>
      <c r="AV33" s="135"/>
      <c r="AW33" s="135"/>
      <c r="AX33" s="135">
        <v>11.2</v>
      </c>
      <c r="AY33" s="135">
        <v>21</v>
      </c>
      <c r="AZ33" s="135">
        <v>1.9</v>
      </c>
      <c r="BA33" s="135">
        <v>0.53</v>
      </c>
      <c r="BB33" s="135"/>
      <c r="BC33" s="135"/>
      <c r="BD33" s="135"/>
      <c r="BE33" s="135"/>
      <c r="BF33" s="135">
        <v>14</v>
      </c>
      <c r="BG33" s="135">
        <v>10900</v>
      </c>
      <c r="BH33" s="135">
        <v>776.4</v>
      </c>
      <c r="BI33" s="135">
        <v>1.29</v>
      </c>
      <c r="BJ33" s="135">
        <v>43.5</v>
      </c>
      <c r="BK33" s="135">
        <v>4</v>
      </c>
      <c r="BL33" s="135">
        <v>19.75</v>
      </c>
    </row>
    <row r="34" spans="1:64" x14ac:dyDescent="0.3">
      <c r="A34" s="135">
        <v>2016</v>
      </c>
      <c r="B34" s="135">
        <v>4</v>
      </c>
      <c r="C34" s="135" t="s">
        <v>2111</v>
      </c>
      <c r="D34" s="135" t="s">
        <v>227</v>
      </c>
      <c r="E34" s="135" t="s">
        <v>396</v>
      </c>
      <c r="F34" s="135" t="s">
        <v>404</v>
      </c>
      <c r="G34" s="135" t="s">
        <v>2308</v>
      </c>
      <c r="H34" s="135">
        <v>29.35</v>
      </c>
      <c r="I34" s="135">
        <v>8.6180000000000003</v>
      </c>
      <c r="J34" s="135">
        <v>13.544</v>
      </c>
      <c r="K34" s="135">
        <v>0</v>
      </c>
      <c r="L34" s="135">
        <v>0</v>
      </c>
      <c r="M34" s="135">
        <v>0</v>
      </c>
      <c r="N34" s="135">
        <v>0</v>
      </c>
      <c r="O34" s="135">
        <v>0</v>
      </c>
      <c r="P34" s="135">
        <v>0</v>
      </c>
      <c r="Q34" s="135">
        <v>0</v>
      </c>
      <c r="R34" s="135">
        <v>0</v>
      </c>
      <c r="S34" s="135">
        <v>4.9260000000000002</v>
      </c>
      <c r="T34" s="135">
        <v>61.354999999999997</v>
      </c>
      <c r="U34" s="135">
        <v>0.42599999999999999</v>
      </c>
      <c r="V34" s="135">
        <v>3.6999999999999998E-2</v>
      </c>
      <c r="W34" s="135">
        <v>0</v>
      </c>
      <c r="X34" s="135">
        <v>0</v>
      </c>
      <c r="Y34" s="135" t="s">
        <v>1983</v>
      </c>
      <c r="Z34" s="135">
        <v>11</v>
      </c>
      <c r="AA34" s="135">
        <v>4700</v>
      </c>
      <c r="AB34" s="135">
        <v>425.6</v>
      </c>
      <c r="AC34" s="135">
        <v>2.35</v>
      </c>
      <c r="AD34" s="135">
        <v>13.5</v>
      </c>
      <c r="AE34" s="135">
        <v>12950</v>
      </c>
      <c r="AF34" s="135">
        <v>956.2</v>
      </c>
      <c r="AG34" s="135">
        <v>1.05</v>
      </c>
      <c r="AH34" s="135">
        <v>13.9</v>
      </c>
      <c r="AI34" s="135">
        <v>6600</v>
      </c>
      <c r="AJ34" s="135">
        <v>473.2</v>
      </c>
      <c r="AK34" s="135">
        <v>2.11</v>
      </c>
      <c r="AL34" s="135">
        <v>11.1</v>
      </c>
      <c r="AM34" s="135">
        <v>7500</v>
      </c>
      <c r="AN34" s="135">
        <v>676.9</v>
      </c>
      <c r="AO34" s="135">
        <v>1.48</v>
      </c>
      <c r="AP34" s="135"/>
      <c r="AQ34" s="135"/>
      <c r="AR34" s="135"/>
      <c r="AS34" s="135"/>
      <c r="AT34" s="135"/>
      <c r="AU34" s="135"/>
      <c r="AV34" s="135"/>
      <c r="AW34" s="135"/>
      <c r="AX34" s="135">
        <v>11.1</v>
      </c>
      <c r="AY34" s="135">
        <v>25</v>
      </c>
      <c r="AZ34" s="135">
        <v>2.2999999999999998</v>
      </c>
      <c r="BA34" s="135">
        <v>0.44</v>
      </c>
      <c r="BB34" s="135"/>
      <c r="BC34" s="135"/>
      <c r="BD34" s="135"/>
      <c r="BE34" s="135"/>
      <c r="BF34" s="135">
        <v>13.9</v>
      </c>
      <c r="BG34" s="135">
        <v>12300</v>
      </c>
      <c r="BH34" s="135">
        <v>881.8</v>
      </c>
      <c r="BI34" s="135">
        <v>1.1299999999999999</v>
      </c>
      <c r="BJ34" s="135">
        <v>53.5</v>
      </c>
      <c r="BK34" s="135">
        <v>4</v>
      </c>
      <c r="BL34" s="135">
        <v>24.75</v>
      </c>
    </row>
    <row r="35" spans="1:64" x14ac:dyDescent="0.3">
      <c r="A35" s="135">
        <v>2016</v>
      </c>
      <c r="B35" s="135">
        <v>4</v>
      </c>
      <c r="C35" s="135" t="s">
        <v>2119</v>
      </c>
      <c r="D35" s="135" t="s">
        <v>283</v>
      </c>
      <c r="E35" s="135" t="s">
        <v>396</v>
      </c>
      <c r="F35" s="135" t="s">
        <v>16</v>
      </c>
      <c r="G35" s="135" t="s">
        <v>1980</v>
      </c>
      <c r="H35" s="135">
        <v>26.15</v>
      </c>
      <c r="I35" s="135">
        <v>8.484</v>
      </c>
      <c r="J35" s="135">
        <v>12.989000000000001</v>
      </c>
      <c r="K35" s="135">
        <v>0</v>
      </c>
      <c r="L35" s="135">
        <v>0</v>
      </c>
      <c r="M35" s="135">
        <v>0</v>
      </c>
      <c r="N35" s="135">
        <v>0</v>
      </c>
      <c r="O35" s="135">
        <v>0</v>
      </c>
      <c r="P35" s="135">
        <v>0</v>
      </c>
      <c r="Q35" s="135">
        <v>0</v>
      </c>
      <c r="R35" s="135">
        <v>0</v>
      </c>
      <c r="S35" s="135">
        <v>4.5049999999999999</v>
      </c>
      <c r="T35" s="135">
        <v>59.795000000000002</v>
      </c>
      <c r="U35" s="135">
        <v>0.42899999999999999</v>
      </c>
      <c r="V35" s="135">
        <v>3.5000000000000003E-2</v>
      </c>
      <c r="W35" s="135">
        <v>0</v>
      </c>
      <c r="X35" s="135">
        <v>0</v>
      </c>
      <c r="Y35" s="135" t="s">
        <v>1983</v>
      </c>
      <c r="Z35" s="135">
        <v>10.7</v>
      </c>
      <c r="AA35" s="135">
        <v>4150</v>
      </c>
      <c r="AB35" s="135">
        <v>387.8</v>
      </c>
      <c r="AC35" s="135">
        <v>2.58</v>
      </c>
      <c r="AD35" s="135">
        <v>13</v>
      </c>
      <c r="AE35" s="135">
        <v>10250</v>
      </c>
      <c r="AF35" s="135">
        <v>789.2</v>
      </c>
      <c r="AG35" s="135">
        <v>1.27</v>
      </c>
      <c r="AH35" s="135">
        <v>13.4</v>
      </c>
      <c r="AI35" s="135">
        <v>4700</v>
      </c>
      <c r="AJ35" s="135">
        <v>351.2</v>
      </c>
      <c r="AK35" s="135">
        <v>2.85</v>
      </c>
      <c r="AL35" s="135">
        <v>10.7</v>
      </c>
      <c r="AM35" s="135">
        <v>6400</v>
      </c>
      <c r="AN35" s="135">
        <v>596.1</v>
      </c>
      <c r="AO35" s="135">
        <v>1.68</v>
      </c>
      <c r="AP35" s="135"/>
      <c r="AQ35" s="135"/>
      <c r="AR35" s="135"/>
      <c r="AS35" s="135"/>
      <c r="AT35" s="135"/>
      <c r="AU35" s="135"/>
      <c r="AV35" s="135"/>
      <c r="AW35" s="135"/>
      <c r="AX35" s="135">
        <v>10.7</v>
      </c>
      <c r="AY35" s="135">
        <v>20</v>
      </c>
      <c r="AZ35" s="135">
        <v>1.9</v>
      </c>
      <c r="BA35" s="135">
        <v>0.54</v>
      </c>
      <c r="BB35" s="135"/>
      <c r="BC35" s="135"/>
      <c r="BD35" s="135"/>
      <c r="BE35" s="135"/>
      <c r="BF35" s="135">
        <v>13.4</v>
      </c>
      <c r="BG35" s="135">
        <v>9200</v>
      </c>
      <c r="BH35" s="135">
        <v>687.5</v>
      </c>
      <c r="BI35" s="135">
        <v>1.45</v>
      </c>
      <c r="BJ35" s="135">
        <v>49.5</v>
      </c>
      <c r="BK35" s="135">
        <v>-2.5</v>
      </c>
      <c r="BL35" s="135">
        <v>26</v>
      </c>
    </row>
    <row r="36" spans="1:64" x14ac:dyDescent="0.3">
      <c r="A36" s="135">
        <v>2016</v>
      </c>
      <c r="B36" s="135">
        <v>4</v>
      </c>
      <c r="C36" s="135" t="s">
        <v>2122</v>
      </c>
      <c r="D36" s="135" t="s">
        <v>202</v>
      </c>
      <c r="E36" s="135" t="s">
        <v>396</v>
      </c>
      <c r="F36" s="135" t="s">
        <v>12</v>
      </c>
      <c r="G36" s="135" t="s">
        <v>16</v>
      </c>
      <c r="H36" s="135">
        <v>11.77</v>
      </c>
      <c r="I36" s="135">
        <v>8.3350000000000009</v>
      </c>
      <c r="J36" s="135">
        <v>13.099</v>
      </c>
      <c r="K36" s="135">
        <v>0</v>
      </c>
      <c r="L36" s="135">
        <v>0</v>
      </c>
      <c r="M36" s="135">
        <v>0</v>
      </c>
      <c r="N36" s="135">
        <v>0</v>
      </c>
      <c r="O36" s="135">
        <v>0</v>
      </c>
      <c r="P36" s="135">
        <v>0</v>
      </c>
      <c r="Q36" s="135">
        <v>0</v>
      </c>
      <c r="R36" s="135">
        <v>0</v>
      </c>
      <c r="S36" s="135">
        <v>4.7640000000000002</v>
      </c>
      <c r="T36" s="135">
        <v>59.628</v>
      </c>
      <c r="U36" s="135">
        <v>0.40899999999999997</v>
      </c>
      <c r="V36" s="135">
        <v>4.1000000000000002E-2</v>
      </c>
      <c r="W36" s="135">
        <v>0</v>
      </c>
      <c r="X36" s="135">
        <v>0</v>
      </c>
      <c r="Y36" s="135" t="s">
        <v>1983</v>
      </c>
      <c r="Z36" s="135">
        <v>10.7</v>
      </c>
      <c r="AA36" s="135">
        <v>4600</v>
      </c>
      <c r="AB36" s="135">
        <v>430.9</v>
      </c>
      <c r="AC36" s="135">
        <v>2.3199999999999998</v>
      </c>
      <c r="AD36" s="135">
        <v>13.1</v>
      </c>
      <c r="AE36" s="135">
        <v>10950</v>
      </c>
      <c r="AF36" s="135">
        <v>836</v>
      </c>
      <c r="AG36" s="135">
        <v>1.2</v>
      </c>
      <c r="AH36" s="135">
        <v>13.5</v>
      </c>
      <c r="AI36" s="135">
        <v>4800</v>
      </c>
      <c r="AJ36" s="135">
        <v>355.6</v>
      </c>
      <c r="AK36" s="135">
        <v>2.81</v>
      </c>
      <c r="AL36" s="135">
        <v>10.7</v>
      </c>
      <c r="AM36" s="135">
        <v>6100</v>
      </c>
      <c r="AN36" s="135">
        <v>569.20000000000005</v>
      </c>
      <c r="AO36" s="135">
        <v>1.76</v>
      </c>
      <c r="AP36" s="135"/>
      <c r="AQ36" s="135"/>
      <c r="AR36" s="135"/>
      <c r="AS36" s="135"/>
      <c r="AT36" s="135"/>
      <c r="AU36" s="135"/>
      <c r="AV36" s="135"/>
      <c r="AW36" s="135"/>
      <c r="AX36" s="135">
        <v>10.7</v>
      </c>
      <c r="AY36" s="135">
        <v>21</v>
      </c>
      <c r="AZ36" s="135">
        <v>2</v>
      </c>
      <c r="BA36" s="135">
        <v>0.51</v>
      </c>
      <c r="BB36" s="135"/>
      <c r="BC36" s="135"/>
      <c r="BD36" s="135"/>
      <c r="BE36" s="135"/>
      <c r="BF36" s="135">
        <v>13.5</v>
      </c>
      <c r="BG36" s="135">
        <v>9500</v>
      </c>
      <c r="BH36" s="135">
        <v>703.8</v>
      </c>
      <c r="BI36" s="135">
        <v>1.42</v>
      </c>
      <c r="BJ36" s="135">
        <v>49.5</v>
      </c>
      <c r="BK36" s="135">
        <v>2.5</v>
      </c>
      <c r="BL36" s="135">
        <v>23.5</v>
      </c>
    </row>
    <row r="37" spans="1:64" x14ac:dyDescent="0.3">
      <c r="A37" s="135">
        <v>2016</v>
      </c>
      <c r="B37" s="135">
        <v>4</v>
      </c>
      <c r="C37" s="135" t="s">
        <v>2143</v>
      </c>
      <c r="D37" s="135" t="s">
        <v>2452</v>
      </c>
      <c r="E37" s="135" t="s">
        <v>396</v>
      </c>
      <c r="F37" s="135" t="s">
        <v>32</v>
      </c>
      <c r="G37" s="135" t="s">
        <v>4</v>
      </c>
      <c r="H37" s="135">
        <v>34.54</v>
      </c>
      <c r="I37" s="135">
        <v>8.2970000000000006</v>
      </c>
      <c r="J37" s="135">
        <v>13.529</v>
      </c>
      <c r="K37" s="135">
        <v>0</v>
      </c>
      <c r="L37" s="135">
        <v>0</v>
      </c>
      <c r="M37" s="135">
        <v>0</v>
      </c>
      <c r="N37" s="135">
        <v>0</v>
      </c>
      <c r="O37" s="135">
        <v>0</v>
      </c>
      <c r="P37" s="135">
        <v>0</v>
      </c>
      <c r="Q37" s="135">
        <v>0</v>
      </c>
      <c r="R37" s="135">
        <v>0</v>
      </c>
      <c r="S37" s="135">
        <v>5.2320000000000002</v>
      </c>
      <c r="T37" s="135">
        <v>62.133000000000003</v>
      </c>
      <c r="U37" s="135">
        <v>0.36</v>
      </c>
      <c r="V37" s="135">
        <v>3.7999999999999999E-2</v>
      </c>
      <c r="W37" s="135">
        <v>0</v>
      </c>
      <c r="X37" s="135">
        <v>0</v>
      </c>
      <c r="Y37" s="135" t="s">
        <v>1983</v>
      </c>
      <c r="Z37" s="135">
        <v>10.9</v>
      </c>
      <c r="AA37" s="135">
        <v>4300</v>
      </c>
      <c r="AB37" s="135">
        <v>395.4</v>
      </c>
      <c r="AC37" s="135">
        <v>2.5299999999999998</v>
      </c>
      <c r="AD37" s="135">
        <v>13.5</v>
      </c>
      <c r="AE37" s="135">
        <v>8050</v>
      </c>
      <c r="AF37" s="135">
        <v>595</v>
      </c>
      <c r="AG37" s="135">
        <v>1.68</v>
      </c>
      <c r="AH37" s="135">
        <v>13.9</v>
      </c>
      <c r="AI37" s="135">
        <v>4500</v>
      </c>
      <c r="AJ37" s="135">
        <v>322.8</v>
      </c>
      <c r="AK37" s="135">
        <v>3.1</v>
      </c>
      <c r="AL37" s="135">
        <v>10.9</v>
      </c>
      <c r="AM37" s="135">
        <v>6100</v>
      </c>
      <c r="AN37" s="135">
        <v>559</v>
      </c>
      <c r="AO37" s="135">
        <v>1.79</v>
      </c>
      <c r="AP37" s="135"/>
      <c r="AQ37" s="135"/>
      <c r="AR37" s="135"/>
      <c r="AS37" s="135"/>
      <c r="AT37" s="135"/>
      <c r="AU37" s="135"/>
      <c r="AV37" s="135"/>
      <c r="AW37" s="135"/>
      <c r="AX37" s="135">
        <v>10.9</v>
      </c>
      <c r="AY37" s="135">
        <v>16</v>
      </c>
      <c r="AZ37" s="135">
        <v>1.5</v>
      </c>
      <c r="BA37" s="135">
        <v>0.68</v>
      </c>
      <c r="BB37" s="135"/>
      <c r="BC37" s="135"/>
      <c r="BD37" s="135"/>
      <c r="BE37" s="135"/>
      <c r="BF37" s="135">
        <v>13.9</v>
      </c>
      <c r="BG37" s="135">
        <v>8800</v>
      </c>
      <c r="BH37" s="135">
        <v>631.29999999999995</v>
      </c>
      <c r="BI37" s="135">
        <v>1.58</v>
      </c>
      <c r="BJ37" s="135">
        <v>46.5</v>
      </c>
      <c r="BK37" s="135">
        <v>-3.5</v>
      </c>
      <c r="BL37" s="135">
        <v>25</v>
      </c>
    </row>
    <row r="38" spans="1:64" x14ac:dyDescent="0.3">
      <c r="A38" s="135">
        <v>2016</v>
      </c>
      <c r="B38" s="135">
        <v>4</v>
      </c>
      <c r="C38" s="135" t="s">
        <v>2141</v>
      </c>
      <c r="D38" s="135" t="s">
        <v>214</v>
      </c>
      <c r="E38" s="135" t="s">
        <v>396</v>
      </c>
      <c r="F38" s="135" t="s">
        <v>409</v>
      </c>
      <c r="G38" s="135" t="s">
        <v>2295</v>
      </c>
      <c r="H38" s="135">
        <v>21.17</v>
      </c>
      <c r="I38" s="135">
        <v>8.2949999999999999</v>
      </c>
      <c r="J38" s="135">
        <v>13.512</v>
      </c>
      <c r="K38" s="135">
        <v>0</v>
      </c>
      <c r="L38" s="135">
        <v>0</v>
      </c>
      <c r="M38" s="135">
        <v>0</v>
      </c>
      <c r="N38" s="135">
        <v>0</v>
      </c>
      <c r="O38" s="135">
        <v>0</v>
      </c>
      <c r="P38" s="135">
        <v>1.613</v>
      </c>
      <c r="Q38" s="135">
        <v>13.22</v>
      </c>
      <c r="R38" s="135">
        <v>3.7999999999999999E-2</v>
      </c>
      <c r="S38" s="135">
        <v>5.2169999999999996</v>
      </c>
      <c r="T38" s="135">
        <v>52.572000000000003</v>
      </c>
      <c r="U38" s="135">
        <v>0.27200000000000002</v>
      </c>
      <c r="V38" s="135">
        <v>7.1999999999999995E-2</v>
      </c>
      <c r="W38" s="135">
        <v>0</v>
      </c>
      <c r="X38" s="135">
        <v>0</v>
      </c>
      <c r="Y38" s="135" t="s">
        <v>1983</v>
      </c>
      <c r="Z38" s="135">
        <v>10.8</v>
      </c>
      <c r="AA38" s="135">
        <v>4300</v>
      </c>
      <c r="AB38" s="135">
        <v>397</v>
      </c>
      <c r="AC38" s="135">
        <v>2.52</v>
      </c>
      <c r="AD38" s="135">
        <v>13.5</v>
      </c>
      <c r="AE38" s="135">
        <v>8150</v>
      </c>
      <c r="AF38" s="135">
        <v>603.20000000000005</v>
      </c>
      <c r="AG38" s="135">
        <v>1.66</v>
      </c>
      <c r="AH38" s="135">
        <v>14</v>
      </c>
      <c r="AI38" s="135">
        <v>4000</v>
      </c>
      <c r="AJ38" s="135">
        <v>286.10000000000002</v>
      </c>
      <c r="AK38" s="135">
        <v>3.49</v>
      </c>
      <c r="AL38" s="135">
        <v>10.9</v>
      </c>
      <c r="AM38" s="135">
        <v>5800</v>
      </c>
      <c r="AN38" s="135">
        <v>531.9</v>
      </c>
      <c r="AO38" s="135">
        <v>1.88</v>
      </c>
      <c r="AP38" s="135"/>
      <c r="AQ38" s="135"/>
      <c r="AR38" s="135"/>
      <c r="AS38" s="135"/>
      <c r="AT38" s="135"/>
      <c r="AU38" s="135"/>
      <c r="AV38" s="135"/>
      <c r="AW38" s="135"/>
      <c r="AX38" s="135">
        <v>10.9</v>
      </c>
      <c r="AY38" s="135">
        <v>15</v>
      </c>
      <c r="AZ38" s="135">
        <v>1.4</v>
      </c>
      <c r="BA38" s="135">
        <v>0.73</v>
      </c>
      <c r="BB38" s="135"/>
      <c r="BC38" s="135"/>
      <c r="BD38" s="135"/>
      <c r="BE38" s="135"/>
      <c r="BF38" s="135">
        <v>14</v>
      </c>
      <c r="BG38" s="135">
        <v>7800</v>
      </c>
      <c r="BH38" s="135">
        <v>558</v>
      </c>
      <c r="BI38" s="135">
        <v>1.79</v>
      </c>
      <c r="BJ38" s="135">
        <v>43</v>
      </c>
      <c r="BK38" s="135">
        <v>8</v>
      </c>
      <c r="BL38" s="135">
        <v>17.5</v>
      </c>
    </row>
    <row r="39" spans="1:64" x14ac:dyDescent="0.3">
      <c r="A39" s="135">
        <v>2016</v>
      </c>
      <c r="B39" s="135">
        <v>4</v>
      </c>
      <c r="C39" s="135" t="s">
        <v>2115</v>
      </c>
      <c r="D39" s="135" t="s">
        <v>219</v>
      </c>
      <c r="E39" s="135" t="s">
        <v>396</v>
      </c>
      <c r="F39" s="135" t="s">
        <v>24</v>
      </c>
      <c r="G39" s="135" t="s">
        <v>409</v>
      </c>
      <c r="H39" s="135">
        <v>23.55</v>
      </c>
      <c r="I39" s="135">
        <v>7.7549999999999999</v>
      </c>
      <c r="J39" s="135">
        <v>10.847</v>
      </c>
      <c r="K39" s="135">
        <v>0</v>
      </c>
      <c r="L39" s="135">
        <v>0</v>
      </c>
      <c r="M39" s="135">
        <v>0</v>
      </c>
      <c r="N39" s="135">
        <v>0</v>
      </c>
      <c r="O39" s="135">
        <v>0</v>
      </c>
      <c r="P39" s="135">
        <v>0</v>
      </c>
      <c r="Q39" s="135">
        <v>0</v>
      </c>
      <c r="R39" s="135">
        <v>0</v>
      </c>
      <c r="S39" s="135">
        <v>3.0920000000000001</v>
      </c>
      <c r="T39" s="135">
        <v>59.372</v>
      </c>
      <c r="U39" s="135">
        <v>0.313</v>
      </c>
      <c r="V39" s="135">
        <v>0.03</v>
      </c>
      <c r="W39" s="135">
        <v>0</v>
      </c>
      <c r="X39" s="135">
        <v>0</v>
      </c>
      <c r="Y39" s="135" t="s">
        <v>1995</v>
      </c>
      <c r="Z39" s="135">
        <v>9.3000000000000007</v>
      </c>
      <c r="AA39" s="135">
        <v>4400</v>
      </c>
      <c r="AB39" s="135">
        <v>474.6</v>
      </c>
      <c r="AC39" s="135">
        <v>2.11</v>
      </c>
      <c r="AD39" s="135">
        <v>10.8</v>
      </c>
      <c r="AE39" s="135">
        <v>9700</v>
      </c>
      <c r="AF39" s="135">
        <v>894.2</v>
      </c>
      <c r="AG39" s="135">
        <v>1.1200000000000001</v>
      </c>
      <c r="AH39" s="135">
        <v>11.2</v>
      </c>
      <c r="AI39" s="135">
        <v>5100</v>
      </c>
      <c r="AJ39" s="135">
        <v>454</v>
      </c>
      <c r="AK39" s="135">
        <v>2.2000000000000002</v>
      </c>
      <c r="AL39" s="135">
        <v>9.3000000000000007</v>
      </c>
      <c r="AM39" s="135">
        <v>6500</v>
      </c>
      <c r="AN39" s="135">
        <v>698.8</v>
      </c>
      <c r="AO39" s="135">
        <v>1.43</v>
      </c>
      <c r="AP39" s="135"/>
      <c r="AQ39" s="135"/>
      <c r="AR39" s="135"/>
      <c r="AS39" s="135"/>
      <c r="AT39" s="135"/>
      <c r="AU39" s="135"/>
      <c r="AV39" s="135"/>
      <c r="AW39" s="135"/>
      <c r="AX39" s="135">
        <v>9.3000000000000007</v>
      </c>
      <c r="AY39" s="135">
        <v>18</v>
      </c>
      <c r="AZ39" s="135">
        <v>1.9</v>
      </c>
      <c r="BA39" s="135">
        <v>0.52</v>
      </c>
      <c r="BB39" s="135"/>
      <c r="BC39" s="135"/>
      <c r="BD39" s="135"/>
      <c r="BE39" s="135"/>
      <c r="BF39" s="135">
        <v>11.2</v>
      </c>
      <c r="BG39" s="135">
        <v>10200</v>
      </c>
      <c r="BH39" s="135">
        <v>908</v>
      </c>
      <c r="BI39" s="135">
        <v>1.1000000000000001</v>
      </c>
      <c r="BJ39" s="135">
        <v>43</v>
      </c>
      <c r="BK39" s="135">
        <v>-8</v>
      </c>
      <c r="BL39" s="135">
        <v>25.5</v>
      </c>
    </row>
    <row r="40" spans="1:64" x14ac:dyDescent="0.3">
      <c r="A40" s="135">
        <v>2016</v>
      </c>
      <c r="B40" s="135">
        <v>4</v>
      </c>
      <c r="C40" s="135" t="s">
        <v>2130</v>
      </c>
      <c r="D40" s="135" t="s">
        <v>224</v>
      </c>
      <c r="E40" s="135" t="s">
        <v>396</v>
      </c>
      <c r="F40" s="135" t="s">
        <v>7</v>
      </c>
      <c r="G40" s="135" t="s">
        <v>2305</v>
      </c>
      <c r="H40" s="135">
        <v>36.82</v>
      </c>
      <c r="I40" s="135">
        <v>7.4850000000000003</v>
      </c>
      <c r="J40" s="135">
        <v>12.553000000000001</v>
      </c>
      <c r="K40" s="135">
        <v>0</v>
      </c>
      <c r="L40" s="135">
        <v>0</v>
      </c>
      <c r="M40" s="135">
        <v>0</v>
      </c>
      <c r="N40" s="135">
        <v>0</v>
      </c>
      <c r="O40" s="135">
        <v>0</v>
      </c>
      <c r="P40" s="135">
        <v>0</v>
      </c>
      <c r="Q40" s="135">
        <v>0</v>
      </c>
      <c r="R40" s="135">
        <v>0</v>
      </c>
      <c r="S40" s="135">
        <v>5.0679999999999996</v>
      </c>
      <c r="T40" s="135">
        <v>60.832000000000001</v>
      </c>
      <c r="U40" s="135">
        <v>0.252</v>
      </c>
      <c r="V40" s="135">
        <v>5.5E-2</v>
      </c>
      <c r="W40" s="135">
        <v>0</v>
      </c>
      <c r="X40" s="135">
        <v>0</v>
      </c>
      <c r="Y40" s="135" t="s">
        <v>1995</v>
      </c>
      <c r="Z40" s="135">
        <v>10</v>
      </c>
      <c r="AA40" s="135">
        <v>4200</v>
      </c>
      <c r="AB40" s="135">
        <v>421.5</v>
      </c>
      <c r="AC40" s="135">
        <v>2.37</v>
      </c>
      <c r="AD40" s="135">
        <v>12.6</v>
      </c>
      <c r="AE40" s="135">
        <v>9100</v>
      </c>
      <c r="AF40" s="135">
        <v>724.9</v>
      </c>
      <c r="AG40" s="135">
        <v>1.38</v>
      </c>
      <c r="AH40" s="135">
        <v>13</v>
      </c>
      <c r="AI40" s="135">
        <v>3900</v>
      </c>
      <c r="AJ40" s="135">
        <v>300.60000000000002</v>
      </c>
      <c r="AK40" s="135">
        <v>3.33</v>
      </c>
      <c r="AL40" s="135">
        <v>10</v>
      </c>
      <c r="AM40" s="135">
        <v>6200</v>
      </c>
      <c r="AN40" s="135">
        <v>618.79999999999995</v>
      </c>
      <c r="AO40" s="135">
        <v>1.62</v>
      </c>
      <c r="AP40" s="135"/>
      <c r="AQ40" s="135"/>
      <c r="AR40" s="135"/>
      <c r="AS40" s="135"/>
      <c r="AT40" s="135"/>
      <c r="AU40" s="135"/>
      <c r="AV40" s="135"/>
      <c r="AW40" s="135"/>
      <c r="AX40" s="135">
        <v>10</v>
      </c>
      <c r="AY40" s="135">
        <v>17</v>
      </c>
      <c r="AZ40" s="135">
        <v>1.7</v>
      </c>
      <c r="BA40" s="135">
        <v>0.59</v>
      </c>
      <c r="BB40" s="135"/>
      <c r="BC40" s="135"/>
      <c r="BD40" s="135"/>
      <c r="BE40" s="135"/>
      <c r="BF40" s="135">
        <v>13</v>
      </c>
      <c r="BG40" s="135">
        <v>7700</v>
      </c>
      <c r="BH40" s="135">
        <v>593.5</v>
      </c>
      <c r="BI40" s="135">
        <v>1.68</v>
      </c>
      <c r="BJ40" s="135">
        <v>40.5</v>
      </c>
      <c r="BK40" s="135">
        <v>-1.5</v>
      </c>
      <c r="BL40" s="135">
        <v>21</v>
      </c>
    </row>
    <row r="41" spans="1:64" x14ac:dyDescent="0.3">
      <c r="A41" s="135">
        <v>2016</v>
      </c>
      <c r="B41" s="135">
        <v>4</v>
      </c>
      <c r="C41" s="135" t="s">
        <v>2106</v>
      </c>
      <c r="D41" s="135" t="s">
        <v>190</v>
      </c>
      <c r="E41" s="135" t="s">
        <v>396</v>
      </c>
      <c r="F41" s="135" t="s">
        <v>34</v>
      </c>
      <c r="G41" s="135" t="s">
        <v>7</v>
      </c>
      <c r="H41" s="135">
        <v>10.17</v>
      </c>
      <c r="I41" s="135">
        <v>7.4249999999999998</v>
      </c>
      <c r="J41" s="135">
        <v>11.244</v>
      </c>
      <c r="K41" s="135">
        <v>0</v>
      </c>
      <c r="L41" s="135">
        <v>0</v>
      </c>
      <c r="M41" s="135">
        <v>0</v>
      </c>
      <c r="N41" s="135">
        <v>0</v>
      </c>
      <c r="O41" s="135">
        <v>0</v>
      </c>
      <c r="P41" s="135">
        <v>0</v>
      </c>
      <c r="Q41" s="135">
        <v>0</v>
      </c>
      <c r="R41" s="135">
        <v>0</v>
      </c>
      <c r="S41" s="135">
        <v>3.819</v>
      </c>
      <c r="T41" s="135">
        <v>49.807000000000002</v>
      </c>
      <c r="U41" s="135">
        <v>0.42299999999999999</v>
      </c>
      <c r="V41" s="135">
        <v>4.7E-2</v>
      </c>
      <c r="W41" s="135">
        <v>0</v>
      </c>
      <c r="X41" s="135">
        <v>0</v>
      </c>
      <c r="Y41" s="135" t="s">
        <v>1995</v>
      </c>
      <c r="Z41" s="135">
        <v>9.3000000000000007</v>
      </c>
      <c r="AA41" s="135">
        <v>5000</v>
      </c>
      <c r="AB41" s="135">
        <v>538.4</v>
      </c>
      <c r="AC41" s="135">
        <v>1.86</v>
      </c>
      <c r="AD41" s="135">
        <v>11.2</v>
      </c>
      <c r="AE41" s="135">
        <v>11800</v>
      </c>
      <c r="AF41" s="135">
        <v>1049.5</v>
      </c>
      <c r="AG41" s="135">
        <v>0.95</v>
      </c>
      <c r="AH41" s="135">
        <v>11.6</v>
      </c>
      <c r="AI41" s="135">
        <v>7000</v>
      </c>
      <c r="AJ41" s="135">
        <v>604</v>
      </c>
      <c r="AK41" s="135">
        <v>1.66</v>
      </c>
      <c r="AL41" s="135">
        <v>9.3000000000000007</v>
      </c>
      <c r="AM41" s="135">
        <v>7500</v>
      </c>
      <c r="AN41" s="135">
        <v>803.5</v>
      </c>
      <c r="AO41" s="135">
        <v>1.24</v>
      </c>
      <c r="AP41" s="135"/>
      <c r="AQ41" s="135"/>
      <c r="AR41" s="135"/>
      <c r="AS41" s="135"/>
      <c r="AT41" s="135"/>
      <c r="AU41" s="135"/>
      <c r="AV41" s="135"/>
      <c r="AW41" s="135"/>
      <c r="AX41" s="135">
        <v>9.3000000000000007</v>
      </c>
      <c r="AY41" s="135">
        <v>28</v>
      </c>
      <c r="AZ41" s="135">
        <v>3</v>
      </c>
      <c r="BA41" s="135">
        <v>0.33</v>
      </c>
      <c r="BB41" s="135"/>
      <c r="BC41" s="135"/>
      <c r="BD41" s="135"/>
      <c r="BE41" s="135"/>
      <c r="BF41" s="135">
        <v>11.6</v>
      </c>
      <c r="BG41" s="135">
        <v>13300</v>
      </c>
      <c r="BH41" s="135">
        <v>1147.5999999999999</v>
      </c>
      <c r="BI41" s="135">
        <v>0.87</v>
      </c>
      <c r="BJ41" s="135">
        <v>40.5</v>
      </c>
      <c r="BK41" s="135">
        <v>1.5</v>
      </c>
      <c r="BL41" s="135">
        <v>19.5</v>
      </c>
    </row>
    <row r="42" spans="1:64" x14ac:dyDescent="0.3">
      <c r="A42" s="135">
        <v>2016</v>
      </c>
      <c r="B42" s="135">
        <v>4</v>
      </c>
      <c r="C42" s="135" t="s">
        <v>2145</v>
      </c>
      <c r="D42" s="135" t="s">
        <v>238</v>
      </c>
      <c r="E42" s="135" t="s">
        <v>396</v>
      </c>
      <c r="F42" s="135" t="s">
        <v>18</v>
      </c>
      <c r="G42" s="135" t="s">
        <v>14</v>
      </c>
      <c r="H42" s="135">
        <v>36.85</v>
      </c>
      <c r="I42" s="135">
        <v>7.4009999999999998</v>
      </c>
      <c r="J42" s="135">
        <v>12.382999999999999</v>
      </c>
      <c r="K42" s="135">
        <v>0</v>
      </c>
      <c r="L42" s="135">
        <v>0</v>
      </c>
      <c r="M42" s="135">
        <v>0</v>
      </c>
      <c r="N42" s="135">
        <v>0</v>
      </c>
      <c r="O42" s="135">
        <v>0</v>
      </c>
      <c r="P42" s="135">
        <v>0</v>
      </c>
      <c r="Q42" s="135">
        <v>0</v>
      </c>
      <c r="R42" s="135">
        <v>0</v>
      </c>
      <c r="S42" s="135">
        <v>4.9820000000000002</v>
      </c>
      <c r="T42" s="135">
        <v>54.933</v>
      </c>
      <c r="U42" s="135">
        <v>0.33100000000000002</v>
      </c>
      <c r="V42" s="135">
        <v>3.9E-2</v>
      </c>
      <c r="W42" s="135">
        <v>0</v>
      </c>
      <c r="X42" s="135">
        <v>0</v>
      </c>
      <c r="Y42" s="135" t="s">
        <v>1995</v>
      </c>
      <c r="Z42" s="135">
        <v>9.9</v>
      </c>
      <c r="AA42" s="135">
        <v>4450</v>
      </c>
      <c r="AB42" s="135">
        <v>451.6</v>
      </c>
      <c r="AC42" s="135">
        <v>2.21</v>
      </c>
      <c r="AD42" s="135">
        <v>12.4</v>
      </c>
      <c r="AE42" s="135">
        <v>6050</v>
      </c>
      <c r="AF42" s="135">
        <v>488.6</v>
      </c>
      <c r="AG42" s="135">
        <v>2.0499999999999998</v>
      </c>
      <c r="AH42" s="135">
        <v>12.8</v>
      </c>
      <c r="AI42" s="135">
        <v>4200</v>
      </c>
      <c r="AJ42" s="135">
        <v>329.4</v>
      </c>
      <c r="AK42" s="135">
        <v>3.04</v>
      </c>
      <c r="AL42" s="135">
        <v>9.9</v>
      </c>
      <c r="AM42" s="135">
        <v>6000</v>
      </c>
      <c r="AN42" s="135">
        <v>606.5</v>
      </c>
      <c r="AO42" s="135">
        <v>1.65</v>
      </c>
      <c r="AP42" s="135"/>
      <c r="AQ42" s="135"/>
      <c r="AR42" s="135"/>
      <c r="AS42" s="135"/>
      <c r="AT42" s="135"/>
      <c r="AU42" s="135"/>
      <c r="AV42" s="135"/>
      <c r="AW42" s="135"/>
      <c r="AX42" s="135">
        <v>9.9</v>
      </c>
      <c r="AY42" s="135">
        <v>19</v>
      </c>
      <c r="AZ42" s="135">
        <v>1.9</v>
      </c>
      <c r="BA42" s="135">
        <v>0.52</v>
      </c>
      <c r="BB42" s="135"/>
      <c r="BC42" s="135"/>
      <c r="BD42" s="135"/>
      <c r="BE42" s="135"/>
      <c r="BF42" s="135">
        <v>12.8</v>
      </c>
      <c r="BG42" s="135">
        <v>8300</v>
      </c>
      <c r="BH42" s="135">
        <v>650.9</v>
      </c>
      <c r="BI42" s="135">
        <v>1.54</v>
      </c>
      <c r="BJ42" s="135">
        <v>45.5</v>
      </c>
      <c r="BK42" s="135">
        <v>-8</v>
      </c>
      <c r="BL42" s="135">
        <v>26.75</v>
      </c>
    </row>
    <row r="43" spans="1:64" x14ac:dyDescent="0.3">
      <c r="A43" s="135">
        <v>2016</v>
      </c>
      <c r="B43" s="135">
        <v>4</v>
      </c>
      <c r="C43" s="135" t="s">
        <v>2151</v>
      </c>
      <c r="D43" s="135" t="s">
        <v>207</v>
      </c>
      <c r="E43" s="135" t="s">
        <v>396</v>
      </c>
      <c r="F43" s="135" t="s">
        <v>24</v>
      </c>
      <c r="G43" s="135" t="s">
        <v>409</v>
      </c>
      <c r="H43" s="135">
        <v>23.55</v>
      </c>
      <c r="I43" s="135">
        <v>7.367</v>
      </c>
      <c r="J43" s="135">
        <v>10.901</v>
      </c>
      <c r="K43" s="135">
        <v>0</v>
      </c>
      <c r="L43" s="135">
        <v>0</v>
      </c>
      <c r="M43" s="135">
        <v>0</v>
      </c>
      <c r="N43" s="135">
        <v>0</v>
      </c>
      <c r="O43" s="135">
        <v>0</v>
      </c>
      <c r="P43" s="135">
        <v>0</v>
      </c>
      <c r="Q43" s="135">
        <v>0</v>
      </c>
      <c r="R43" s="135">
        <v>0</v>
      </c>
      <c r="S43" s="135">
        <v>3.5339999999999998</v>
      </c>
      <c r="T43" s="135">
        <v>55.027999999999999</v>
      </c>
      <c r="U43" s="135">
        <v>0.32200000000000001</v>
      </c>
      <c r="V43" s="135">
        <v>3.4000000000000002E-2</v>
      </c>
      <c r="W43" s="135">
        <v>0</v>
      </c>
      <c r="X43" s="135">
        <v>0</v>
      </c>
      <c r="Y43" s="135" t="s">
        <v>1995</v>
      </c>
      <c r="Z43" s="135">
        <v>9.1</v>
      </c>
      <c r="AA43" s="135">
        <v>4200</v>
      </c>
      <c r="AB43" s="135">
        <v>461.5</v>
      </c>
      <c r="AC43" s="135">
        <v>2.17</v>
      </c>
      <c r="AD43" s="135">
        <v>10.9</v>
      </c>
      <c r="AE43" s="135">
        <v>6850</v>
      </c>
      <c r="AF43" s="135">
        <v>628.4</v>
      </c>
      <c r="AG43" s="135">
        <v>1.59</v>
      </c>
      <c r="AH43" s="135">
        <v>11.3</v>
      </c>
      <c r="AI43" s="135">
        <v>4300</v>
      </c>
      <c r="AJ43" s="135">
        <v>381.7</v>
      </c>
      <c r="AK43" s="135">
        <v>2.62</v>
      </c>
      <c r="AL43" s="135">
        <v>9.1</v>
      </c>
      <c r="AM43" s="135">
        <v>6200</v>
      </c>
      <c r="AN43" s="135">
        <v>678.8</v>
      </c>
      <c r="AO43" s="135">
        <v>1.47</v>
      </c>
      <c r="AP43" s="135"/>
      <c r="AQ43" s="135"/>
      <c r="AR43" s="135"/>
      <c r="AS43" s="135"/>
      <c r="AT43" s="135"/>
      <c r="AU43" s="135"/>
      <c r="AV43" s="135"/>
      <c r="AW43" s="135"/>
      <c r="AX43" s="135">
        <v>9.1</v>
      </c>
      <c r="AY43" s="135">
        <v>14</v>
      </c>
      <c r="AZ43" s="135">
        <v>1.5</v>
      </c>
      <c r="BA43" s="135">
        <v>0.65</v>
      </c>
      <c r="BB43" s="135"/>
      <c r="BC43" s="135"/>
      <c r="BD43" s="135"/>
      <c r="BE43" s="135"/>
      <c r="BF43" s="135">
        <v>11.3</v>
      </c>
      <c r="BG43" s="135">
        <v>8400</v>
      </c>
      <c r="BH43" s="135">
        <v>745.7</v>
      </c>
      <c r="BI43" s="135">
        <v>1.34</v>
      </c>
      <c r="BJ43" s="135">
        <v>43</v>
      </c>
      <c r="BK43" s="135">
        <v>-8</v>
      </c>
      <c r="BL43" s="135">
        <v>25.5</v>
      </c>
    </row>
    <row r="44" spans="1:64" x14ac:dyDescent="0.3">
      <c r="A44" s="135">
        <v>2016</v>
      </c>
      <c r="B44" s="135">
        <v>4</v>
      </c>
      <c r="C44" s="135" t="s">
        <v>2125</v>
      </c>
      <c r="D44" s="135" t="s">
        <v>519</v>
      </c>
      <c r="E44" s="135" t="s">
        <v>396</v>
      </c>
      <c r="F44" s="135" t="s">
        <v>30</v>
      </c>
      <c r="G44" s="135" t="s">
        <v>2302</v>
      </c>
      <c r="H44" s="135">
        <v>17.190000000000001</v>
      </c>
      <c r="I44" s="135">
        <v>7.1289999999999996</v>
      </c>
      <c r="J44" s="135">
        <v>11.388999999999999</v>
      </c>
      <c r="K44" s="135">
        <v>0</v>
      </c>
      <c r="L44" s="135">
        <v>0</v>
      </c>
      <c r="M44" s="135">
        <v>0</v>
      </c>
      <c r="N44" s="135">
        <v>0</v>
      </c>
      <c r="O44" s="135">
        <v>0</v>
      </c>
      <c r="P44" s="135">
        <v>0</v>
      </c>
      <c r="Q44" s="135">
        <v>0</v>
      </c>
      <c r="R44" s="135">
        <v>0</v>
      </c>
      <c r="S44" s="135">
        <v>4.26</v>
      </c>
      <c r="T44" s="135">
        <v>58.085999999999999</v>
      </c>
      <c r="U44" s="135">
        <v>0.23499999999999999</v>
      </c>
      <c r="V44" s="135">
        <v>4.4999999999999998E-2</v>
      </c>
      <c r="W44" s="135">
        <v>0</v>
      </c>
      <c r="X44" s="135">
        <v>0</v>
      </c>
      <c r="Y44" s="135" t="s">
        <v>1995</v>
      </c>
      <c r="Z44" s="135">
        <v>9.1999999999999993</v>
      </c>
      <c r="AA44" s="135">
        <v>4000</v>
      </c>
      <c r="AB44" s="135">
        <v>434.1</v>
      </c>
      <c r="AC44" s="135">
        <v>2.2999999999999998</v>
      </c>
      <c r="AD44" s="135">
        <v>11.4</v>
      </c>
      <c r="AE44" s="135">
        <v>7450</v>
      </c>
      <c r="AF44" s="135">
        <v>654.20000000000005</v>
      </c>
      <c r="AG44" s="135">
        <v>1.53</v>
      </c>
      <c r="AH44" s="135">
        <v>11.8</v>
      </c>
      <c r="AI44" s="135">
        <v>5000</v>
      </c>
      <c r="AJ44" s="135">
        <v>424.4</v>
      </c>
      <c r="AK44" s="135">
        <v>2.36</v>
      </c>
      <c r="AL44" s="135">
        <v>9.3000000000000007</v>
      </c>
      <c r="AM44" s="135">
        <v>5600</v>
      </c>
      <c r="AN44" s="135">
        <v>604.79999999999995</v>
      </c>
      <c r="AO44" s="135">
        <v>1.65</v>
      </c>
      <c r="AP44" s="135"/>
      <c r="AQ44" s="135"/>
      <c r="AR44" s="135"/>
      <c r="AS44" s="135"/>
      <c r="AT44" s="135"/>
      <c r="AU44" s="135"/>
      <c r="AV44" s="135"/>
      <c r="AW44" s="135"/>
      <c r="AX44" s="135">
        <v>9.3000000000000007</v>
      </c>
      <c r="AY44" s="135">
        <v>15</v>
      </c>
      <c r="AZ44" s="135">
        <v>1.6</v>
      </c>
      <c r="BA44" s="135">
        <v>0.62</v>
      </c>
      <c r="BB44" s="135"/>
      <c r="BC44" s="135"/>
      <c r="BD44" s="135"/>
      <c r="BE44" s="135"/>
      <c r="BF44" s="135">
        <v>11.8</v>
      </c>
      <c r="BG44" s="135">
        <v>9800</v>
      </c>
      <c r="BH44" s="135">
        <v>831.8</v>
      </c>
      <c r="BI44" s="135">
        <v>1.2</v>
      </c>
      <c r="BJ44" s="135">
        <v>40.5</v>
      </c>
      <c r="BK44" s="135">
        <v>6.5</v>
      </c>
      <c r="BL44" s="135">
        <v>17</v>
      </c>
    </row>
    <row r="45" spans="1:64" x14ac:dyDescent="0.3">
      <c r="A45" s="135">
        <v>2016</v>
      </c>
      <c r="B45" s="135">
        <v>4</v>
      </c>
      <c r="C45" s="135" t="s">
        <v>2131</v>
      </c>
      <c r="D45" s="135" t="s">
        <v>457</v>
      </c>
      <c r="E45" s="135" t="s">
        <v>396</v>
      </c>
      <c r="F45" s="135" t="s">
        <v>404</v>
      </c>
      <c r="G45" s="135" t="s">
        <v>2308</v>
      </c>
      <c r="H45" s="135">
        <v>29.35</v>
      </c>
      <c r="I45" s="135">
        <v>7.0949999999999998</v>
      </c>
      <c r="J45" s="135">
        <v>12.311</v>
      </c>
      <c r="K45" s="135">
        <v>0</v>
      </c>
      <c r="L45" s="135">
        <v>0</v>
      </c>
      <c r="M45" s="135">
        <v>0</v>
      </c>
      <c r="N45" s="135">
        <v>0</v>
      </c>
      <c r="O45" s="135">
        <v>0</v>
      </c>
      <c r="P45" s="135">
        <v>0</v>
      </c>
      <c r="Q45" s="135">
        <v>0</v>
      </c>
      <c r="R45" s="135">
        <v>0</v>
      </c>
      <c r="S45" s="135">
        <v>5.2160000000000002</v>
      </c>
      <c r="T45" s="135">
        <v>56.511000000000003</v>
      </c>
      <c r="U45" s="135">
        <v>0.254</v>
      </c>
      <c r="V45" s="135">
        <v>0.04</v>
      </c>
      <c r="W45" s="135">
        <v>0</v>
      </c>
      <c r="X45" s="135">
        <v>0</v>
      </c>
      <c r="Y45" s="135" t="s">
        <v>1995</v>
      </c>
      <c r="Z45" s="135">
        <v>9.6999999999999993</v>
      </c>
      <c r="AA45" s="135">
        <v>4300</v>
      </c>
      <c r="AB45" s="135">
        <v>445</v>
      </c>
      <c r="AC45" s="135">
        <v>2.25</v>
      </c>
      <c r="AD45" s="135">
        <v>12.3</v>
      </c>
      <c r="AE45" s="135">
        <v>8100</v>
      </c>
      <c r="AF45" s="135">
        <v>657.9</v>
      </c>
      <c r="AG45" s="135">
        <v>1.52</v>
      </c>
      <c r="AH45" s="135">
        <v>12.7</v>
      </c>
      <c r="AI45" s="135">
        <v>3800</v>
      </c>
      <c r="AJ45" s="135">
        <v>299.39999999999998</v>
      </c>
      <c r="AK45" s="135">
        <v>3.34</v>
      </c>
      <c r="AL45" s="135">
        <v>9.6999999999999993</v>
      </c>
      <c r="AM45" s="135">
        <v>5300</v>
      </c>
      <c r="AN45" s="135">
        <v>546.20000000000005</v>
      </c>
      <c r="AO45" s="135">
        <v>1.83</v>
      </c>
      <c r="AP45" s="135"/>
      <c r="AQ45" s="135"/>
      <c r="AR45" s="135"/>
      <c r="AS45" s="135"/>
      <c r="AT45" s="135"/>
      <c r="AU45" s="135"/>
      <c r="AV45" s="135"/>
      <c r="AW45" s="135"/>
      <c r="AX45" s="135">
        <v>9.6999999999999993</v>
      </c>
      <c r="AY45" s="135">
        <v>19</v>
      </c>
      <c r="AZ45" s="135">
        <v>2</v>
      </c>
      <c r="BA45" s="135">
        <v>0.51</v>
      </c>
      <c r="BB45" s="135"/>
      <c r="BC45" s="135"/>
      <c r="BD45" s="135"/>
      <c r="BE45" s="135"/>
      <c r="BF45" s="135">
        <v>12.7</v>
      </c>
      <c r="BG45" s="135">
        <v>7400</v>
      </c>
      <c r="BH45" s="135">
        <v>583.1</v>
      </c>
      <c r="BI45" s="135">
        <v>1.71</v>
      </c>
      <c r="BJ45" s="135">
        <v>53.5</v>
      </c>
      <c r="BK45" s="135">
        <v>4</v>
      </c>
      <c r="BL45" s="135">
        <v>24.75</v>
      </c>
    </row>
    <row r="46" spans="1:64" x14ac:dyDescent="0.3">
      <c r="A46" s="135">
        <v>2016</v>
      </c>
      <c r="B46" s="135">
        <v>4</v>
      </c>
      <c r="C46" s="135" t="s">
        <v>2136</v>
      </c>
      <c r="D46" s="135" t="s">
        <v>315</v>
      </c>
      <c r="E46" s="135" t="s">
        <v>396</v>
      </c>
      <c r="F46" s="135" t="s">
        <v>20</v>
      </c>
      <c r="G46" s="135" t="s">
        <v>397</v>
      </c>
      <c r="H46" s="135">
        <v>16.2</v>
      </c>
      <c r="I46" s="135">
        <v>7.0629999999999997</v>
      </c>
      <c r="J46" s="135">
        <v>9.4529999999999994</v>
      </c>
      <c r="K46" s="135">
        <v>0</v>
      </c>
      <c r="L46" s="135">
        <v>0</v>
      </c>
      <c r="M46" s="135">
        <v>0</v>
      </c>
      <c r="N46" s="135">
        <v>0</v>
      </c>
      <c r="O46" s="135">
        <v>0</v>
      </c>
      <c r="P46" s="135">
        <v>0.21099999999999999</v>
      </c>
      <c r="Q46" s="135">
        <v>1.1779999999999999</v>
      </c>
      <c r="R46" s="135">
        <v>8.9999999999999993E-3</v>
      </c>
      <c r="S46" s="135">
        <v>2.39</v>
      </c>
      <c r="T46" s="135">
        <v>51.546999999999997</v>
      </c>
      <c r="U46" s="135">
        <v>0.29699999999999999</v>
      </c>
      <c r="V46" s="135">
        <v>2.3E-2</v>
      </c>
      <c r="W46" s="135">
        <v>0</v>
      </c>
      <c r="X46" s="135">
        <v>0</v>
      </c>
      <c r="Y46" s="135" t="s">
        <v>1995</v>
      </c>
      <c r="Z46" s="135">
        <v>8.1999999999999993</v>
      </c>
      <c r="AA46" s="135">
        <v>3900</v>
      </c>
      <c r="AB46" s="135">
        <v>473.6</v>
      </c>
      <c r="AC46" s="135">
        <v>2.11</v>
      </c>
      <c r="AD46" s="135">
        <v>9.5</v>
      </c>
      <c r="AE46" s="135">
        <v>6600</v>
      </c>
      <c r="AF46" s="135">
        <v>698.2</v>
      </c>
      <c r="AG46" s="135">
        <v>1.43</v>
      </c>
      <c r="AH46" s="135">
        <v>9.8000000000000007</v>
      </c>
      <c r="AI46" s="135">
        <v>3600</v>
      </c>
      <c r="AJ46" s="135">
        <v>367.7</v>
      </c>
      <c r="AK46" s="135">
        <v>2.72</v>
      </c>
      <c r="AL46" s="135">
        <v>8.3000000000000007</v>
      </c>
      <c r="AM46" s="135">
        <v>5400</v>
      </c>
      <c r="AN46" s="135">
        <v>654</v>
      </c>
      <c r="AO46" s="135">
        <v>1.53</v>
      </c>
      <c r="AP46" s="135"/>
      <c r="AQ46" s="135"/>
      <c r="AR46" s="135"/>
      <c r="AS46" s="135"/>
      <c r="AT46" s="135"/>
      <c r="AU46" s="135"/>
      <c r="AV46" s="135"/>
      <c r="AW46" s="135"/>
      <c r="AX46" s="135">
        <v>8.3000000000000007</v>
      </c>
      <c r="AY46" s="135">
        <v>12</v>
      </c>
      <c r="AZ46" s="135">
        <v>1.5</v>
      </c>
      <c r="BA46" s="135">
        <v>0.69</v>
      </c>
      <c r="BB46" s="135"/>
      <c r="BC46" s="135"/>
      <c r="BD46" s="135"/>
      <c r="BE46" s="135"/>
      <c r="BF46" s="135">
        <v>9.8000000000000007</v>
      </c>
      <c r="BG46" s="135">
        <v>7000</v>
      </c>
      <c r="BH46" s="135">
        <v>714.9</v>
      </c>
      <c r="BI46" s="135">
        <v>1.4</v>
      </c>
      <c r="BJ46" s="135">
        <v>47.5</v>
      </c>
      <c r="BK46" s="135">
        <v>-5.5</v>
      </c>
      <c r="BL46" s="135">
        <v>26.5</v>
      </c>
    </row>
    <row r="47" spans="1:64" x14ac:dyDescent="0.3">
      <c r="A47" s="135">
        <v>2016</v>
      </c>
      <c r="B47" s="135">
        <v>4</v>
      </c>
      <c r="C47" s="135" t="s">
        <v>2140</v>
      </c>
      <c r="D47" s="135" t="s">
        <v>240</v>
      </c>
      <c r="E47" s="135" t="s">
        <v>396</v>
      </c>
      <c r="F47" s="135" t="s">
        <v>52</v>
      </c>
      <c r="G47" s="135" t="s">
        <v>2309</v>
      </c>
      <c r="H47" s="135">
        <v>26.3</v>
      </c>
      <c r="I47" s="135">
        <v>6.8860000000000001</v>
      </c>
      <c r="J47" s="135">
        <v>11.84</v>
      </c>
      <c r="K47" s="135">
        <v>0</v>
      </c>
      <c r="L47" s="135">
        <v>0</v>
      </c>
      <c r="M47" s="135">
        <v>0</v>
      </c>
      <c r="N47" s="135">
        <v>0</v>
      </c>
      <c r="O47" s="135">
        <v>0</v>
      </c>
      <c r="P47" s="135">
        <v>0</v>
      </c>
      <c r="Q47" s="135">
        <v>0</v>
      </c>
      <c r="R47" s="135">
        <v>0</v>
      </c>
      <c r="S47" s="135">
        <v>4.9539999999999997</v>
      </c>
      <c r="T47" s="135">
        <v>55.904000000000003</v>
      </c>
      <c r="U47" s="135">
        <v>0.22900000000000001</v>
      </c>
      <c r="V47" s="135">
        <v>3.9E-2</v>
      </c>
      <c r="W47" s="135">
        <v>0</v>
      </c>
      <c r="X47" s="135">
        <v>0</v>
      </c>
      <c r="Y47" s="135" t="s">
        <v>1995</v>
      </c>
      <c r="Z47" s="135">
        <v>9.3000000000000007</v>
      </c>
      <c r="AA47" s="135">
        <v>4550</v>
      </c>
      <c r="AB47" s="135">
        <v>488</v>
      </c>
      <c r="AC47" s="135">
        <v>2.0499999999999998</v>
      </c>
      <c r="AD47" s="135">
        <v>11.8</v>
      </c>
      <c r="AE47" s="135">
        <v>6950</v>
      </c>
      <c r="AF47" s="135">
        <v>587</v>
      </c>
      <c r="AG47" s="135">
        <v>1.7</v>
      </c>
      <c r="AH47" s="135">
        <v>12.2</v>
      </c>
      <c r="AI47" s="135">
        <v>3900</v>
      </c>
      <c r="AJ47" s="135">
        <v>319.3</v>
      </c>
      <c r="AK47" s="135">
        <v>3.13</v>
      </c>
      <c r="AL47" s="135">
        <v>9.4</v>
      </c>
      <c r="AM47" s="135">
        <v>5200</v>
      </c>
      <c r="AN47" s="135">
        <v>555.4</v>
      </c>
      <c r="AO47" s="135">
        <v>1.8</v>
      </c>
      <c r="AP47" s="135"/>
      <c r="AQ47" s="135"/>
      <c r="AR47" s="135"/>
      <c r="AS47" s="135"/>
      <c r="AT47" s="135"/>
      <c r="AU47" s="135"/>
      <c r="AV47" s="135"/>
      <c r="AW47" s="135"/>
      <c r="AX47" s="135">
        <v>9.4</v>
      </c>
      <c r="AY47" s="135">
        <v>18</v>
      </c>
      <c r="AZ47" s="135">
        <v>1.9</v>
      </c>
      <c r="BA47" s="135">
        <v>0.52</v>
      </c>
      <c r="BB47" s="135"/>
      <c r="BC47" s="135"/>
      <c r="BD47" s="135"/>
      <c r="BE47" s="135"/>
      <c r="BF47" s="135">
        <v>12.2</v>
      </c>
      <c r="BG47" s="135">
        <v>7700</v>
      </c>
      <c r="BH47" s="135">
        <v>630.4</v>
      </c>
      <c r="BI47" s="135">
        <v>1.59</v>
      </c>
      <c r="BJ47" s="135">
        <v>46</v>
      </c>
      <c r="BK47" s="135">
        <v>-3</v>
      </c>
      <c r="BL47" s="135">
        <v>24.5</v>
      </c>
    </row>
    <row r="48" spans="1:64" x14ac:dyDescent="0.3">
      <c r="A48" s="135">
        <v>2016</v>
      </c>
      <c r="B48" s="135">
        <v>4</v>
      </c>
      <c r="C48" s="135" t="s">
        <v>2153</v>
      </c>
      <c r="D48" s="135" t="s">
        <v>243</v>
      </c>
      <c r="E48" s="135" t="s">
        <v>396</v>
      </c>
      <c r="F48" s="135" t="s">
        <v>398</v>
      </c>
      <c r="G48" s="135" t="s">
        <v>52</v>
      </c>
      <c r="H48" s="135">
        <v>17.72</v>
      </c>
      <c r="I48" s="135">
        <v>6.774</v>
      </c>
      <c r="J48" s="135">
        <v>9.7449999999999992</v>
      </c>
      <c r="K48" s="135">
        <v>0</v>
      </c>
      <c r="L48" s="135">
        <v>0</v>
      </c>
      <c r="M48" s="135">
        <v>0</v>
      </c>
      <c r="N48" s="135">
        <v>0</v>
      </c>
      <c r="O48" s="135">
        <v>0</v>
      </c>
      <c r="P48" s="135">
        <v>0</v>
      </c>
      <c r="Q48" s="135">
        <v>0</v>
      </c>
      <c r="R48" s="135">
        <v>0</v>
      </c>
      <c r="S48" s="135">
        <v>2.9710000000000001</v>
      </c>
      <c r="T48" s="135">
        <v>41.22</v>
      </c>
      <c r="U48" s="135">
        <v>0.45200000000000001</v>
      </c>
      <c r="V48" s="135">
        <v>0.03</v>
      </c>
      <c r="W48" s="135">
        <v>0</v>
      </c>
      <c r="X48" s="135">
        <v>0</v>
      </c>
      <c r="Y48" s="135" t="s">
        <v>1995</v>
      </c>
      <c r="Z48" s="135">
        <v>8.1999999999999993</v>
      </c>
      <c r="AA48" s="135">
        <v>4150</v>
      </c>
      <c r="AB48" s="135">
        <v>504.3</v>
      </c>
      <c r="AC48" s="135">
        <v>1.98</v>
      </c>
      <c r="AD48" s="135">
        <v>9.6999999999999993</v>
      </c>
      <c r="AE48" s="135">
        <v>9750</v>
      </c>
      <c r="AF48" s="135">
        <v>1000.5</v>
      </c>
      <c r="AG48" s="135">
        <v>1</v>
      </c>
      <c r="AH48" s="135">
        <v>10</v>
      </c>
      <c r="AI48" s="135">
        <v>3900</v>
      </c>
      <c r="AJ48" s="135">
        <v>389.1</v>
      </c>
      <c r="AK48" s="135">
        <v>2.57</v>
      </c>
      <c r="AL48" s="135">
        <v>8.3000000000000007</v>
      </c>
      <c r="AM48" s="135">
        <v>5600</v>
      </c>
      <c r="AN48" s="135">
        <v>678</v>
      </c>
      <c r="AO48" s="135">
        <v>1.47</v>
      </c>
      <c r="AP48" s="135"/>
      <c r="AQ48" s="135"/>
      <c r="AR48" s="135"/>
      <c r="AS48" s="135"/>
      <c r="AT48" s="135"/>
      <c r="AU48" s="135"/>
      <c r="AV48" s="135"/>
      <c r="AW48" s="135"/>
      <c r="AX48" s="135">
        <v>8.3000000000000007</v>
      </c>
      <c r="AY48" s="135">
        <v>15</v>
      </c>
      <c r="AZ48" s="135">
        <v>1.8</v>
      </c>
      <c r="BA48" s="135">
        <v>0.55000000000000004</v>
      </c>
      <c r="BB48" s="135"/>
      <c r="BC48" s="135"/>
      <c r="BD48" s="135"/>
      <c r="BE48" s="135"/>
      <c r="BF48" s="135">
        <v>10</v>
      </c>
      <c r="BG48" s="135">
        <v>7700</v>
      </c>
      <c r="BH48" s="135">
        <v>768.3</v>
      </c>
      <c r="BI48" s="135">
        <v>1.3</v>
      </c>
      <c r="BJ48" s="135">
        <v>46</v>
      </c>
      <c r="BK48" s="135">
        <v>3</v>
      </c>
      <c r="BL48" s="135">
        <v>21.5</v>
      </c>
    </row>
    <row r="49" spans="1:64" x14ac:dyDescent="0.3">
      <c r="A49" s="135">
        <v>2016</v>
      </c>
      <c r="B49" s="135">
        <v>4</v>
      </c>
      <c r="C49" s="135" t="s">
        <v>2134</v>
      </c>
      <c r="D49" s="135" t="s">
        <v>269</v>
      </c>
      <c r="E49" s="135" t="s">
        <v>396</v>
      </c>
      <c r="F49" s="135" t="s">
        <v>34</v>
      </c>
      <c r="G49" s="135" t="s">
        <v>7</v>
      </c>
      <c r="H49" s="135">
        <v>10.17</v>
      </c>
      <c r="I49" s="135">
        <v>6.657</v>
      </c>
      <c r="J49" s="135">
        <v>11.567</v>
      </c>
      <c r="K49" s="135">
        <v>0</v>
      </c>
      <c r="L49" s="135">
        <v>0</v>
      </c>
      <c r="M49" s="135">
        <v>0</v>
      </c>
      <c r="N49" s="135">
        <v>0</v>
      </c>
      <c r="O49" s="135">
        <v>0</v>
      </c>
      <c r="P49" s="135">
        <v>0</v>
      </c>
      <c r="Q49" s="135">
        <v>0</v>
      </c>
      <c r="R49" s="135">
        <v>0</v>
      </c>
      <c r="S49" s="135">
        <v>4.91</v>
      </c>
      <c r="T49" s="135">
        <v>50.866999999999997</v>
      </c>
      <c r="U49" s="135">
        <v>0.28199999999999997</v>
      </c>
      <c r="V49" s="135">
        <v>6.0999999999999999E-2</v>
      </c>
      <c r="W49" s="135">
        <v>0</v>
      </c>
      <c r="X49" s="135">
        <v>0</v>
      </c>
      <c r="Y49" s="135" t="s">
        <v>1995</v>
      </c>
      <c r="Z49" s="135">
        <v>9.1</v>
      </c>
      <c r="AA49" s="135">
        <v>4150</v>
      </c>
      <c r="AB49" s="135">
        <v>458.5</v>
      </c>
      <c r="AC49" s="135">
        <v>2.1800000000000002</v>
      </c>
      <c r="AD49" s="135">
        <v>11.6</v>
      </c>
      <c r="AE49" s="135">
        <v>5000</v>
      </c>
      <c r="AF49" s="135">
        <v>432.3</v>
      </c>
      <c r="AG49" s="135">
        <v>2.31</v>
      </c>
      <c r="AH49" s="135">
        <v>11.9</v>
      </c>
      <c r="AI49" s="135">
        <v>4400</v>
      </c>
      <c r="AJ49" s="135">
        <v>368.7</v>
      </c>
      <c r="AK49" s="135">
        <v>2.71</v>
      </c>
      <c r="AL49" s="135">
        <v>9.1</v>
      </c>
      <c r="AM49" s="135">
        <v>5600</v>
      </c>
      <c r="AN49" s="135">
        <v>614.6</v>
      </c>
      <c r="AO49" s="135">
        <v>1.63</v>
      </c>
      <c r="AP49" s="135"/>
      <c r="AQ49" s="135"/>
      <c r="AR49" s="135"/>
      <c r="AS49" s="135"/>
      <c r="AT49" s="135"/>
      <c r="AU49" s="135"/>
      <c r="AV49" s="135"/>
      <c r="AW49" s="135"/>
      <c r="AX49" s="135">
        <v>9.1</v>
      </c>
      <c r="AY49" s="135">
        <v>15</v>
      </c>
      <c r="AZ49" s="135">
        <v>1.6</v>
      </c>
      <c r="BA49" s="135">
        <v>0.61</v>
      </c>
      <c r="BB49" s="135"/>
      <c r="BC49" s="135"/>
      <c r="BD49" s="135"/>
      <c r="BE49" s="135"/>
      <c r="BF49" s="135">
        <v>11.9</v>
      </c>
      <c r="BG49" s="135">
        <v>8700</v>
      </c>
      <c r="BH49" s="135">
        <v>729.1</v>
      </c>
      <c r="BI49" s="135">
        <v>1.37</v>
      </c>
      <c r="BJ49" s="135">
        <v>40.5</v>
      </c>
      <c r="BK49" s="135">
        <v>1.5</v>
      </c>
      <c r="BL49" s="135">
        <v>19.5</v>
      </c>
    </row>
    <row r="50" spans="1:64" x14ac:dyDescent="0.3">
      <c r="A50" s="135">
        <v>2016</v>
      </c>
      <c r="B50" s="135">
        <v>4</v>
      </c>
      <c r="C50" s="135" t="s">
        <v>2148</v>
      </c>
      <c r="D50" s="135" t="s">
        <v>260</v>
      </c>
      <c r="E50" s="135" t="s">
        <v>396</v>
      </c>
      <c r="F50" s="135" t="s">
        <v>28</v>
      </c>
      <c r="G50" s="135" t="s">
        <v>57</v>
      </c>
      <c r="H50" s="135">
        <v>30.59</v>
      </c>
      <c r="I50" s="135">
        <v>6.5039999999999996</v>
      </c>
      <c r="J50" s="135">
        <v>9.1509999999999998</v>
      </c>
      <c r="K50" s="135">
        <v>0</v>
      </c>
      <c r="L50" s="135">
        <v>0</v>
      </c>
      <c r="M50" s="135">
        <v>0</v>
      </c>
      <c r="N50" s="135">
        <v>0</v>
      </c>
      <c r="O50" s="135">
        <v>0</v>
      </c>
      <c r="P50" s="135">
        <v>0</v>
      </c>
      <c r="Q50" s="135">
        <v>0</v>
      </c>
      <c r="R50" s="135">
        <v>0</v>
      </c>
      <c r="S50" s="135">
        <v>2.6469999999999998</v>
      </c>
      <c r="T50" s="135">
        <v>46.057000000000002</v>
      </c>
      <c r="U50" s="135">
        <v>0.32300000000000001</v>
      </c>
      <c r="V50" s="135">
        <v>0.02</v>
      </c>
      <c r="W50" s="135">
        <v>0</v>
      </c>
      <c r="X50" s="135">
        <v>0</v>
      </c>
      <c r="Y50" s="135" t="s">
        <v>1995</v>
      </c>
      <c r="Z50" s="135">
        <v>7.8</v>
      </c>
      <c r="AA50" s="135">
        <v>4150</v>
      </c>
      <c r="AB50" s="135">
        <v>531.6</v>
      </c>
      <c r="AC50" s="135">
        <v>1.88</v>
      </c>
      <c r="AD50" s="135">
        <v>9.1999999999999993</v>
      </c>
      <c r="AE50" s="135">
        <v>7350</v>
      </c>
      <c r="AF50" s="135">
        <v>803.2</v>
      </c>
      <c r="AG50" s="135">
        <v>1.24</v>
      </c>
      <c r="AH50" s="135">
        <v>9.4</v>
      </c>
      <c r="AI50" s="135">
        <v>3200</v>
      </c>
      <c r="AJ50" s="135">
        <v>338.7</v>
      </c>
      <c r="AK50" s="135">
        <v>2.95</v>
      </c>
      <c r="AL50" s="135">
        <v>7.8</v>
      </c>
      <c r="AM50" s="135">
        <v>5500</v>
      </c>
      <c r="AN50" s="135">
        <v>702.7</v>
      </c>
      <c r="AO50" s="135">
        <v>1.42</v>
      </c>
      <c r="AP50" s="135"/>
      <c r="AQ50" s="135"/>
      <c r="AR50" s="135"/>
      <c r="AS50" s="135"/>
      <c r="AT50" s="135"/>
      <c r="AU50" s="135"/>
      <c r="AV50" s="135"/>
      <c r="AW50" s="135"/>
      <c r="AX50" s="135">
        <v>7.8</v>
      </c>
      <c r="AY50" s="135">
        <v>12</v>
      </c>
      <c r="AZ50" s="135">
        <v>1.5</v>
      </c>
      <c r="BA50" s="135">
        <v>0.65</v>
      </c>
      <c r="BB50" s="135"/>
      <c r="BC50" s="135"/>
      <c r="BD50" s="135"/>
      <c r="BE50" s="135"/>
      <c r="BF50" s="135">
        <v>9.4</v>
      </c>
      <c r="BG50" s="135">
        <v>6300</v>
      </c>
      <c r="BH50" s="135">
        <v>666.9</v>
      </c>
      <c r="BI50" s="135">
        <v>1.5</v>
      </c>
      <c r="BJ50" s="135">
        <v>44.5</v>
      </c>
      <c r="BK50" s="135">
        <v>-7</v>
      </c>
      <c r="BL50" s="135">
        <v>25.75</v>
      </c>
    </row>
    <row r="51" spans="1:64" x14ac:dyDescent="0.3">
      <c r="A51" s="135">
        <v>2016</v>
      </c>
      <c r="B51" s="135">
        <v>4</v>
      </c>
      <c r="C51" s="135" t="s">
        <v>2133</v>
      </c>
      <c r="D51" s="135" t="s">
        <v>212</v>
      </c>
      <c r="E51" s="135" t="s">
        <v>396</v>
      </c>
      <c r="F51" s="135" t="s">
        <v>26</v>
      </c>
      <c r="G51" s="135" t="s">
        <v>2298</v>
      </c>
      <c r="H51" s="135">
        <v>26.02</v>
      </c>
      <c r="I51" s="135">
        <v>6.34</v>
      </c>
      <c r="J51" s="135">
        <v>10.497</v>
      </c>
      <c r="K51" s="135">
        <v>0</v>
      </c>
      <c r="L51" s="135">
        <v>0</v>
      </c>
      <c r="M51" s="135">
        <v>0</v>
      </c>
      <c r="N51" s="135">
        <v>0</v>
      </c>
      <c r="O51" s="135">
        <v>0</v>
      </c>
      <c r="P51" s="135">
        <v>0.222</v>
      </c>
      <c r="Q51" s="135">
        <v>1.1619999999999999</v>
      </c>
      <c r="R51" s="135">
        <v>0</v>
      </c>
      <c r="S51" s="135">
        <v>4.157</v>
      </c>
      <c r="T51" s="135">
        <v>44.921999999999997</v>
      </c>
      <c r="U51" s="135">
        <v>0.29799999999999999</v>
      </c>
      <c r="V51" s="135">
        <v>2.8000000000000001E-2</v>
      </c>
      <c r="W51" s="135">
        <v>0</v>
      </c>
      <c r="X51" s="135">
        <v>0</v>
      </c>
      <c r="Y51" s="135" t="s">
        <v>1995</v>
      </c>
      <c r="Z51" s="135">
        <v>8.4</v>
      </c>
      <c r="AA51" s="135">
        <v>4450</v>
      </c>
      <c r="AB51" s="135">
        <v>530.29999999999995</v>
      </c>
      <c r="AC51" s="135">
        <v>1.89</v>
      </c>
      <c r="AD51" s="135">
        <v>10.5</v>
      </c>
      <c r="AE51" s="135">
        <v>12100</v>
      </c>
      <c r="AF51" s="135">
        <v>1152.7</v>
      </c>
      <c r="AG51" s="135">
        <v>0.87</v>
      </c>
      <c r="AH51" s="135">
        <v>10.8</v>
      </c>
      <c r="AI51" s="135">
        <v>5800</v>
      </c>
      <c r="AJ51" s="135">
        <v>536.9</v>
      </c>
      <c r="AK51" s="135">
        <v>1.86</v>
      </c>
      <c r="AL51" s="135">
        <v>8.4</v>
      </c>
      <c r="AM51" s="135">
        <v>6200</v>
      </c>
      <c r="AN51" s="135">
        <v>736.4</v>
      </c>
      <c r="AO51" s="135">
        <v>1.36</v>
      </c>
      <c r="AP51" s="135"/>
      <c r="AQ51" s="135"/>
      <c r="AR51" s="135"/>
      <c r="AS51" s="135"/>
      <c r="AT51" s="135"/>
      <c r="AU51" s="135"/>
      <c r="AV51" s="135"/>
      <c r="AW51" s="135"/>
      <c r="AX51" s="135">
        <v>8.4</v>
      </c>
      <c r="AY51" s="135">
        <v>18</v>
      </c>
      <c r="AZ51" s="135">
        <v>2.1</v>
      </c>
      <c r="BA51" s="135">
        <v>0.47</v>
      </c>
      <c r="BB51" s="135"/>
      <c r="BC51" s="135"/>
      <c r="BD51" s="135"/>
      <c r="BE51" s="135"/>
      <c r="BF51" s="135">
        <v>10.8</v>
      </c>
      <c r="BG51" s="135">
        <v>10900</v>
      </c>
      <c r="BH51" s="135">
        <v>1009.1</v>
      </c>
      <c r="BI51" s="135">
        <v>0.99</v>
      </c>
      <c r="BJ51" s="135">
        <v>46.5</v>
      </c>
      <c r="BK51" s="135">
        <v>-3</v>
      </c>
      <c r="BL51" s="135">
        <v>24.75</v>
      </c>
    </row>
    <row r="52" spans="1:64" x14ac:dyDescent="0.3">
      <c r="A52" s="135">
        <v>2016</v>
      </c>
      <c r="B52" s="135">
        <v>4</v>
      </c>
      <c r="C52" s="135" t="s">
        <v>2144</v>
      </c>
      <c r="D52" s="135" t="s">
        <v>432</v>
      </c>
      <c r="E52" s="135" t="s">
        <v>396</v>
      </c>
      <c r="F52" s="135" t="s">
        <v>46</v>
      </c>
      <c r="G52" s="135" t="s">
        <v>26</v>
      </c>
      <c r="H52" s="135">
        <v>31.1</v>
      </c>
      <c r="I52" s="135">
        <v>6.3289999999999997</v>
      </c>
      <c r="J52" s="135">
        <v>10.510999999999999</v>
      </c>
      <c r="K52" s="135">
        <v>0</v>
      </c>
      <c r="L52" s="135">
        <v>0</v>
      </c>
      <c r="M52" s="135">
        <v>0</v>
      </c>
      <c r="N52" s="135">
        <v>0</v>
      </c>
      <c r="O52" s="135">
        <v>0</v>
      </c>
      <c r="P52" s="135">
        <v>0</v>
      </c>
      <c r="Q52" s="135">
        <v>0</v>
      </c>
      <c r="R52" s="135">
        <v>0</v>
      </c>
      <c r="S52" s="135">
        <v>4.1820000000000004</v>
      </c>
      <c r="T52" s="135">
        <v>45.045000000000002</v>
      </c>
      <c r="U52" s="135">
        <v>0.318</v>
      </c>
      <c r="V52" s="135">
        <v>4.2000000000000003E-2</v>
      </c>
      <c r="W52" s="135">
        <v>0</v>
      </c>
      <c r="X52" s="135">
        <v>0</v>
      </c>
      <c r="Y52" s="135" t="s">
        <v>1995</v>
      </c>
      <c r="Z52" s="135">
        <v>8.4</v>
      </c>
      <c r="AA52" s="135">
        <v>4300</v>
      </c>
      <c r="AB52" s="135">
        <v>513.29999999999995</v>
      </c>
      <c r="AC52" s="135">
        <v>1.95</v>
      </c>
      <c r="AD52" s="135">
        <v>10.5</v>
      </c>
      <c r="AE52" s="135">
        <v>10250</v>
      </c>
      <c r="AF52" s="135">
        <v>975.2</v>
      </c>
      <c r="AG52" s="135">
        <v>1.03</v>
      </c>
      <c r="AH52" s="135">
        <v>10.8</v>
      </c>
      <c r="AI52" s="135">
        <v>3400</v>
      </c>
      <c r="AJ52" s="135">
        <v>314.2</v>
      </c>
      <c r="AK52" s="135">
        <v>3.18</v>
      </c>
      <c r="AL52" s="135">
        <v>8.4</v>
      </c>
      <c r="AM52" s="135">
        <v>5500</v>
      </c>
      <c r="AN52" s="135">
        <v>653.20000000000005</v>
      </c>
      <c r="AO52" s="135">
        <v>1.53</v>
      </c>
      <c r="AP52" s="135"/>
      <c r="AQ52" s="135"/>
      <c r="AR52" s="135"/>
      <c r="AS52" s="135"/>
      <c r="AT52" s="135"/>
      <c r="AU52" s="135"/>
      <c r="AV52" s="135"/>
      <c r="AW52" s="135"/>
      <c r="AX52" s="135">
        <v>8.4</v>
      </c>
      <c r="AY52" s="135">
        <v>13</v>
      </c>
      <c r="AZ52" s="135">
        <v>1.5</v>
      </c>
      <c r="BA52" s="135">
        <v>0.65</v>
      </c>
      <c r="BB52" s="135"/>
      <c r="BC52" s="135"/>
      <c r="BD52" s="135"/>
      <c r="BE52" s="135"/>
      <c r="BF52" s="135">
        <v>10.8</v>
      </c>
      <c r="BG52" s="135">
        <v>6600</v>
      </c>
      <c r="BH52" s="135">
        <v>609.79999999999995</v>
      </c>
      <c r="BI52" s="135">
        <v>1.64</v>
      </c>
      <c r="BJ52" s="135">
        <v>46.5</v>
      </c>
      <c r="BK52" s="135">
        <v>3</v>
      </c>
      <c r="BL52" s="135">
        <v>21.75</v>
      </c>
    </row>
    <row r="53" spans="1:64" x14ac:dyDescent="0.3">
      <c r="A53" s="135">
        <v>2016</v>
      </c>
      <c r="B53" s="135">
        <v>4</v>
      </c>
      <c r="C53" s="135" t="s">
        <v>2138</v>
      </c>
      <c r="D53" s="135" t="s">
        <v>456</v>
      </c>
      <c r="E53" s="135" t="s">
        <v>396</v>
      </c>
      <c r="F53" s="135" t="s">
        <v>37</v>
      </c>
      <c r="G53" s="135" t="s">
        <v>2304</v>
      </c>
      <c r="H53" s="135">
        <v>14.75</v>
      </c>
      <c r="I53" s="135">
        <v>6.2619999999999996</v>
      </c>
      <c r="J53" s="135">
        <v>10.292999999999999</v>
      </c>
      <c r="K53" s="135">
        <v>0</v>
      </c>
      <c r="L53" s="135">
        <v>0</v>
      </c>
      <c r="M53" s="135">
        <v>0</v>
      </c>
      <c r="N53" s="135">
        <v>0</v>
      </c>
      <c r="O53" s="135">
        <v>0</v>
      </c>
      <c r="P53" s="135">
        <v>0</v>
      </c>
      <c r="Q53" s="135">
        <v>0</v>
      </c>
      <c r="R53" s="135">
        <v>0</v>
      </c>
      <c r="S53" s="135">
        <v>4.0309999999999997</v>
      </c>
      <c r="T53" s="135">
        <v>46.838000000000001</v>
      </c>
      <c r="U53" s="135">
        <v>0.27900000000000003</v>
      </c>
      <c r="V53" s="135">
        <v>4.8000000000000001E-2</v>
      </c>
      <c r="W53" s="135">
        <v>0</v>
      </c>
      <c r="X53" s="135">
        <v>0</v>
      </c>
      <c r="Y53" s="135" t="s">
        <v>1995</v>
      </c>
      <c r="Z53" s="135">
        <v>8.1999999999999993</v>
      </c>
      <c r="AA53" s="135">
        <v>4400</v>
      </c>
      <c r="AB53" s="135">
        <v>534.70000000000005</v>
      </c>
      <c r="AC53" s="135">
        <v>1.87</v>
      </c>
      <c r="AD53" s="135">
        <v>10.3</v>
      </c>
      <c r="AE53" s="135">
        <v>6050</v>
      </c>
      <c r="AF53" s="135">
        <v>587.79999999999995</v>
      </c>
      <c r="AG53" s="135">
        <v>1.7</v>
      </c>
      <c r="AH53" s="135">
        <v>10.6</v>
      </c>
      <c r="AI53" s="135">
        <v>4600</v>
      </c>
      <c r="AJ53" s="135">
        <v>433.1</v>
      </c>
      <c r="AK53" s="135">
        <v>2.31</v>
      </c>
      <c r="AL53" s="135">
        <v>8.3000000000000007</v>
      </c>
      <c r="AM53" s="135">
        <v>5700</v>
      </c>
      <c r="AN53" s="135">
        <v>688.6</v>
      </c>
      <c r="AO53" s="135">
        <v>1.45</v>
      </c>
      <c r="AP53" s="135"/>
      <c r="AQ53" s="135"/>
      <c r="AR53" s="135"/>
      <c r="AS53" s="135"/>
      <c r="AT53" s="135"/>
      <c r="AU53" s="135"/>
      <c r="AV53" s="135"/>
      <c r="AW53" s="135"/>
      <c r="AX53" s="135">
        <v>8.3000000000000007</v>
      </c>
      <c r="AY53" s="135">
        <v>18</v>
      </c>
      <c r="AZ53" s="135">
        <v>2.2000000000000002</v>
      </c>
      <c r="BA53" s="135">
        <v>0.46</v>
      </c>
      <c r="BB53" s="135"/>
      <c r="BC53" s="135"/>
      <c r="BD53" s="135"/>
      <c r="BE53" s="135"/>
      <c r="BF53" s="135">
        <v>10.6</v>
      </c>
      <c r="BG53" s="135">
        <v>9100</v>
      </c>
      <c r="BH53" s="135">
        <v>856.7</v>
      </c>
      <c r="BI53" s="135">
        <v>1.17</v>
      </c>
      <c r="BJ53" s="135">
        <v>43.5</v>
      </c>
      <c r="BK53" s="135">
        <v>4</v>
      </c>
      <c r="BL53" s="135">
        <v>19.75</v>
      </c>
    </row>
    <row r="54" spans="1:64" x14ac:dyDescent="0.3">
      <c r="A54" s="135">
        <v>2016</v>
      </c>
      <c r="B54" s="135">
        <v>4</v>
      </c>
      <c r="C54" s="135" t="s">
        <v>2135</v>
      </c>
      <c r="D54" s="135" t="s">
        <v>237</v>
      </c>
      <c r="E54" s="135" t="s">
        <v>396</v>
      </c>
      <c r="F54" s="135" t="s">
        <v>409</v>
      </c>
      <c r="G54" s="135" t="s">
        <v>2295</v>
      </c>
      <c r="H54" s="135">
        <v>21.17</v>
      </c>
      <c r="I54" s="135">
        <v>6.1859999999999999</v>
      </c>
      <c r="J54" s="135">
        <v>10.17</v>
      </c>
      <c r="K54" s="135">
        <v>0</v>
      </c>
      <c r="L54" s="135">
        <v>0</v>
      </c>
      <c r="M54" s="135">
        <v>0</v>
      </c>
      <c r="N54" s="135">
        <v>0</v>
      </c>
      <c r="O54" s="135">
        <v>0</v>
      </c>
      <c r="P54" s="135">
        <v>0</v>
      </c>
      <c r="Q54" s="135">
        <v>0</v>
      </c>
      <c r="R54" s="135">
        <v>0</v>
      </c>
      <c r="S54" s="135">
        <v>3.984</v>
      </c>
      <c r="T54" s="135">
        <v>49.417999999999999</v>
      </c>
      <c r="U54" s="135">
        <v>0.221</v>
      </c>
      <c r="V54" s="135">
        <v>4.1000000000000002E-2</v>
      </c>
      <c r="W54" s="135">
        <v>0</v>
      </c>
      <c r="X54" s="135">
        <v>0</v>
      </c>
      <c r="Y54" s="135" t="s">
        <v>1995</v>
      </c>
      <c r="Z54" s="135">
        <v>8.1</v>
      </c>
      <c r="AA54" s="135">
        <v>4000</v>
      </c>
      <c r="AB54" s="135">
        <v>491.6</v>
      </c>
      <c r="AC54" s="135">
        <v>2.0299999999999998</v>
      </c>
      <c r="AD54" s="135">
        <v>10.199999999999999</v>
      </c>
      <c r="AE54" s="135">
        <v>6050</v>
      </c>
      <c r="AF54" s="135">
        <v>594.9</v>
      </c>
      <c r="AG54" s="135">
        <v>1.68</v>
      </c>
      <c r="AH54" s="135">
        <v>10.5</v>
      </c>
      <c r="AI54" s="135">
        <v>3900</v>
      </c>
      <c r="AJ54" s="135">
        <v>371.2</v>
      </c>
      <c r="AK54" s="135">
        <v>2.69</v>
      </c>
      <c r="AL54" s="135">
        <v>8.1999999999999993</v>
      </c>
      <c r="AM54" s="135">
        <v>5500</v>
      </c>
      <c r="AN54" s="135">
        <v>672.6</v>
      </c>
      <c r="AO54" s="135">
        <v>1.49</v>
      </c>
      <c r="AP54" s="135"/>
      <c r="AQ54" s="135"/>
      <c r="AR54" s="135"/>
      <c r="AS54" s="135"/>
      <c r="AT54" s="135"/>
      <c r="AU54" s="135"/>
      <c r="AV54" s="135"/>
      <c r="AW54" s="135"/>
      <c r="AX54" s="135">
        <v>8.1999999999999993</v>
      </c>
      <c r="AY54" s="135">
        <v>14</v>
      </c>
      <c r="AZ54" s="135">
        <v>1.7</v>
      </c>
      <c r="BA54" s="135">
        <v>0.57999999999999996</v>
      </c>
      <c r="BB54" s="135"/>
      <c r="BC54" s="135"/>
      <c r="BD54" s="135"/>
      <c r="BE54" s="135"/>
      <c r="BF54" s="135">
        <v>10.5</v>
      </c>
      <c r="BG54" s="135">
        <v>7700</v>
      </c>
      <c r="BH54" s="135">
        <v>732.8</v>
      </c>
      <c r="BI54" s="135">
        <v>1.36</v>
      </c>
      <c r="BJ54" s="135">
        <v>43</v>
      </c>
      <c r="BK54" s="135">
        <v>8</v>
      </c>
      <c r="BL54" s="135">
        <v>17.5</v>
      </c>
    </row>
    <row r="55" spans="1:64" x14ac:dyDescent="0.3">
      <c r="A55" s="135">
        <v>2016</v>
      </c>
      <c r="B55" s="135">
        <v>4</v>
      </c>
      <c r="C55" s="135" t="s">
        <v>2127</v>
      </c>
      <c r="D55" s="135" t="s">
        <v>277</v>
      </c>
      <c r="E55" s="135" t="s">
        <v>396</v>
      </c>
      <c r="F55" s="135" t="s">
        <v>50</v>
      </c>
      <c r="G55" s="135" t="s">
        <v>22</v>
      </c>
      <c r="H55" s="135">
        <v>13.55</v>
      </c>
      <c r="I55" s="135">
        <v>6.1840000000000002</v>
      </c>
      <c r="J55" s="135">
        <v>9.641</v>
      </c>
      <c r="K55" s="135">
        <v>0</v>
      </c>
      <c r="L55" s="135">
        <v>0</v>
      </c>
      <c r="M55" s="135">
        <v>0</v>
      </c>
      <c r="N55" s="135">
        <v>0</v>
      </c>
      <c r="O55" s="135">
        <v>0</v>
      </c>
      <c r="P55" s="135">
        <v>0</v>
      </c>
      <c r="Q55" s="135">
        <v>0</v>
      </c>
      <c r="R55" s="135">
        <v>0</v>
      </c>
      <c r="S55" s="135">
        <v>3.4569999999999999</v>
      </c>
      <c r="T55" s="135">
        <v>36.76</v>
      </c>
      <c r="U55" s="135">
        <v>0.42899999999999999</v>
      </c>
      <c r="V55" s="135">
        <v>3.3000000000000002E-2</v>
      </c>
      <c r="W55" s="135">
        <v>0</v>
      </c>
      <c r="X55" s="135">
        <v>0</v>
      </c>
      <c r="Y55" s="135" t="s">
        <v>1995</v>
      </c>
      <c r="Z55" s="135">
        <v>7.9</v>
      </c>
      <c r="AA55" s="135">
        <v>4400</v>
      </c>
      <c r="AB55" s="135">
        <v>558.4</v>
      </c>
      <c r="AC55" s="135">
        <v>1.79</v>
      </c>
      <c r="AD55" s="135">
        <v>9.6</v>
      </c>
      <c r="AE55" s="135">
        <v>8150</v>
      </c>
      <c r="AF55" s="135">
        <v>845.3</v>
      </c>
      <c r="AG55" s="135">
        <v>1.18</v>
      </c>
      <c r="AH55" s="135">
        <v>9.9</v>
      </c>
      <c r="AI55" s="135">
        <v>5700</v>
      </c>
      <c r="AJ55" s="135">
        <v>576.1</v>
      </c>
      <c r="AK55" s="135">
        <v>1.74</v>
      </c>
      <c r="AL55" s="135">
        <v>7.9</v>
      </c>
      <c r="AM55" s="135">
        <v>6200</v>
      </c>
      <c r="AN55" s="135">
        <v>783.6</v>
      </c>
      <c r="AO55" s="135">
        <v>1.28</v>
      </c>
      <c r="AP55" s="135"/>
      <c r="AQ55" s="135"/>
      <c r="AR55" s="135"/>
      <c r="AS55" s="135"/>
      <c r="AT55" s="135"/>
      <c r="AU55" s="135"/>
      <c r="AV55" s="135"/>
      <c r="AW55" s="135"/>
      <c r="AX55" s="135">
        <v>7.9</v>
      </c>
      <c r="AY55" s="135">
        <v>17</v>
      </c>
      <c r="AZ55" s="135">
        <v>2.1</v>
      </c>
      <c r="BA55" s="135">
        <v>0.47</v>
      </c>
      <c r="BB55" s="135"/>
      <c r="BC55" s="135"/>
      <c r="BD55" s="135"/>
      <c r="BE55" s="135"/>
      <c r="BF55" s="135">
        <v>9.9</v>
      </c>
      <c r="BG55" s="135">
        <v>10700</v>
      </c>
      <c r="BH55" s="135">
        <v>1081.4000000000001</v>
      </c>
      <c r="BI55" s="135">
        <v>0.92</v>
      </c>
      <c r="BJ55" s="135">
        <v>50</v>
      </c>
      <c r="BK55" s="135">
        <v>3</v>
      </c>
      <c r="BL55" s="135">
        <v>23.5</v>
      </c>
    </row>
    <row r="56" spans="1:64" x14ac:dyDescent="0.3">
      <c r="A56" s="135">
        <v>2016</v>
      </c>
      <c r="B56" s="135">
        <v>4</v>
      </c>
      <c r="C56" s="135" t="s">
        <v>2162</v>
      </c>
      <c r="D56" s="135" t="s">
        <v>270</v>
      </c>
      <c r="E56" s="135" t="s">
        <v>396</v>
      </c>
      <c r="F56" s="135" t="s">
        <v>401</v>
      </c>
      <c r="G56" s="135" t="s">
        <v>70</v>
      </c>
      <c r="H56" s="135">
        <v>10.94</v>
      </c>
      <c r="I56" s="135">
        <v>6.1130000000000004</v>
      </c>
      <c r="J56" s="135">
        <v>10.945</v>
      </c>
      <c r="K56" s="135">
        <v>0</v>
      </c>
      <c r="L56" s="135">
        <v>0</v>
      </c>
      <c r="M56" s="135">
        <v>0</v>
      </c>
      <c r="N56" s="135">
        <v>0</v>
      </c>
      <c r="O56" s="135">
        <v>0</v>
      </c>
      <c r="P56" s="135">
        <v>0.48099999999999998</v>
      </c>
      <c r="Q56" s="135">
        <v>2.9329999999999998</v>
      </c>
      <c r="R56" s="135">
        <v>0</v>
      </c>
      <c r="S56" s="135">
        <v>4.8319999999999999</v>
      </c>
      <c r="T56" s="135">
        <v>54.654000000000003</v>
      </c>
      <c r="U56" s="135">
        <v>7.8E-2</v>
      </c>
      <c r="V56" s="135">
        <v>5.7000000000000002E-2</v>
      </c>
      <c r="W56" s="135">
        <v>0</v>
      </c>
      <c r="X56" s="135">
        <v>0</v>
      </c>
      <c r="Y56" s="135" t="s">
        <v>1995</v>
      </c>
      <c r="Z56" s="135">
        <v>8.5</v>
      </c>
      <c r="AA56" s="135">
        <v>4000</v>
      </c>
      <c r="AB56" s="135">
        <v>472.2</v>
      </c>
      <c r="AC56" s="135">
        <v>2.12</v>
      </c>
      <c r="AD56" s="135">
        <v>10.9</v>
      </c>
      <c r="AE56" s="135">
        <v>5000</v>
      </c>
      <c r="AF56" s="135">
        <v>456.8</v>
      </c>
      <c r="AG56" s="135">
        <v>2.19</v>
      </c>
      <c r="AH56" s="135">
        <v>11.3</v>
      </c>
      <c r="AI56" s="135">
        <v>3000</v>
      </c>
      <c r="AJ56" s="135">
        <v>264.39999999999998</v>
      </c>
      <c r="AK56" s="135">
        <v>3.78</v>
      </c>
      <c r="AL56" s="135">
        <v>8.5</v>
      </c>
      <c r="AM56" s="135">
        <v>5000</v>
      </c>
      <c r="AN56" s="135">
        <v>586.29999999999995</v>
      </c>
      <c r="AO56" s="135">
        <v>1.71</v>
      </c>
      <c r="AP56" s="135"/>
      <c r="AQ56" s="135"/>
      <c r="AR56" s="135"/>
      <c r="AS56" s="135"/>
      <c r="AT56" s="135"/>
      <c r="AU56" s="135"/>
      <c r="AV56" s="135"/>
      <c r="AW56" s="135"/>
      <c r="AX56" s="135">
        <v>8.5</v>
      </c>
      <c r="AY56" s="135">
        <v>10</v>
      </c>
      <c r="AZ56" s="135">
        <v>1.2</v>
      </c>
      <c r="BA56" s="135">
        <v>0.85</v>
      </c>
      <c r="BB56" s="135"/>
      <c r="BC56" s="135"/>
      <c r="BD56" s="135"/>
      <c r="BE56" s="135"/>
      <c r="BF56" s="135">
        <v>11.3</v>
      </c>
      <c r="BG56" s="135">
        <v>6000</v>
      </c>
      <c r="BH56" s="135">
        <v>528.79999999999995</v>
      </c>
      <c r="BI56" s="135">
        <v>1.89</v>
      </c>
      <c r="BJ56" s="135">
        <v>44</v>
      </c>
      <c r="BK56" s="135">
        <v>3</v>
      </c>
      <c r="BL56" s="135">
        <v>20.5</v>
      </c>
    </row>
    <row r="57" spans="1:64" x14ac:dyDescent="0.3">
      <c r="A57" s="135">
        <v>2016</v>
      </c>
      <c r="B57" s="135">
        <v>4</v>
      </c>
      <c r="C57" s="135" t="s">
        <v>2152</v>
      </c>
      <c r="D57" s="135" t="s">
        <v>292</v>
      </c>
      <c r="E57" s="135" t="s">
        <v>396</v>
      </c>
      <c r="F57" s="135" t="s">
        <v>41</v>
      </c>
      <c r="G57" s="135" t="s">
        <v>37</v>
      </c>
      <c r="H57" s="135">
        <v>18.84</v>
      </c>
      <c r="I57" s="135">
        <v>6.0949999999999998</v>
      </c>
      <c r="J57" s="135">
        <v>10.144</v>
      </c>
      <c r="K57" s="135">
        <v>0</v>
      </c>
      <c r="L57" s="135">
        <v>0</v>
      </c>
      <c r="M57" s="135">
        <v>0</v>
      </c>
      <c r="N57" s="135">
        <v>0</v>
      </c>
      <c r="O57" s="135">
        <v>0</v>
      </c>
      <c r="P57" s="135">
        <v>0</v>
      </c>
      <c r="Q57" s="135">
        <v>0</v>
      </c>
      <c r="R57" s="135">
        <v>0</v>
      </c>
      <c r="S57" s="135">
        <v>4.0490000000000004</v>
      </c>
      <c r="T57" s="135">
        <v>46.093000000000004</v>
      </c>
      <c r="U57" s="135">
        <v>0.26100000000000001</v>
      </c>
      <c r="V57" s="135">
        <v>0.04</v>
      </c>
      <c r="W57" s="135">
        <v>0</v>
      </c>
      <c r="X57" s="135">
        <v>0</v>
      </c>
      <c r="Y57" s="135" t="s">
        <v>1995</v>
      </c>
      <c r="Z57" s="135">
        <v>8.1</v>
      </c>
      <c r="AA57" s="135">
        <v>3800</v>
      </c>
      <c r="AB57" s="135">
        <v>470.3</v>
      </c>
      <c r="AC57" s="135">
        <v>2.13</v>
      </c>
      <c r="AD57" s="135">
        <v>10.1</v>
      </c>
      <c r="AE57" s="135">
        <v>5000</v>
      </c>
      <c r="AF57" s="135">
        <v>492.9</v>
      </c>
      <c r="AG57" s="135">
        <v>2.0299999999999998</v>
      </c>
      <c r="AH57" s="135">
        <v>10.5</v>
      </c>
      <c r="AI57" s="135">
        <v>3100</v>
      </c>
      <c r="AJ57" s="135">
        <v>296.3</v>
      </c>
      <c r="AK57" s="135">
        <v>3.37</v>
      </c>
      <c r="AL57" s="135">
        <v>8.1</v>
      </c>
      <c r="AM57" s="135">
        <v>4900</v>
      </c>
      <c r="AN57" s="135">
        <v>603.5</v>
      </c>
      <c r="AO57" s="135">
        <v>1.66</v>
      </c>
      <c r="AP57" s="135"/>
      <c r="AQ57" s="135"/>
      <c r="AR57" s="135"/>
      <c r="AS57" s="135"/>
      <c r="AT57" s="135"/>
      <c r="AU57" s="135"/>
      <c r="AV57" s="135"/>
      <c r="AW57" s="135"/>
      <c r="AX57" s="135">
        <v>8.1</v>
      </c>
      <c r="AY57" s="135">
        <v>10</v>
      </c>
      <c r="AZ57" s="135">
        <v>1.2</v>
      </c>
      <c r="BA57" s="135">
        <v>0.81</v>
      </c>
      <c r="BB57" s="135"/>
      <c r="BC57" s="135"/>
      <c r="BD57" s="135"/>
      <c r="BE57" s="135"/>
      <c r="BF57" s="135">
        <v>10.5</v>
      </c>
      <c r="BG57" s="135">
        <v>6000</v>
      </c>
      <c r="BH57" s="135">
        <v>573.6</v>
      </c>
      <c r="BI57" s="135">
        <v>1.74</v>
      </c>
      <c r="BJ57" s="135">
        <v>43.5</v>
      </c>
      <c r="BK57" s="135">
        <v>-4</v>
      </c>
      <c r="BL57" s="135">
        <v>23.75</v>
      </c>
    </row>
    <row r="58" spans="1:64" x14ac:dyDescent="0.3">
      <c r="A58" s="135">
        <v>2016</v>
      </c>
      <c r="B58" s="135">
        <v>4</v>
      </c>
      <c r="C58" s="135" t="s">
        <v>2171</v>
      </c>
      <c r="D58" s="135" t="s">
        <v>306</v>
      </c>
      <c r="E58" s="135" t="s">
        <v>396</v>
      </c>
      <c r="F58" s="135" t="s">
        <v>10</v>
      </c>
      <c r="G58" s="135" t="s">
        <v>1992</v>
      </c>
      <c r="H58" s="135">
        <v>19.690000000000001</v>
      </c>
      <c r="I58" s="135">
        <v>5.9889999999999999</v>
      </c>
      <c r="J58" s="135">
        <v>7.9870000000000001</v>
      </c>
      <c r="K58" s="135">
        <v>0</v>
      </c>
      <c r="L58" s="135">
        <v>0</v>
      </c>
      <c r="M58" s="135">
        <v>0</v>
      </c>
      <c r="N58" s="135">
        <v>0</v>
      </c>
      <c r="O58" s="135">
        <v>0</v>
      </c>
      <c r="P58" s="135">
        <v>0</v>
      </c>
      <c r="Q58" s="135">
        <v>0</v>
      </c>
      <c r="R58" s="135">
        <v>0</v>
      </c>
      <c r="S58" s="135">
        <v>1.998</v>
      </c>
      <c r="T58" s="135">
        <v>45.732999999999997</v>
      </c>
      <c r="U58" s="135">
        <v>0.24399999999999999</v>
      </c>
      <c r="V58" s="135">
        <v>2.4E-2</v>
      </c>
      <c r="W58" s="135">
        <v>0</v>
      </c>
      <c r="X58" s="135">
        <v>0</v>
      </c>
      <c r="Y58" s="135" t="s">
        <v>1995</v>
      </c>
      <c r="Z58" s="135">
        <v>7</v>
      </c>
      <c r="AA58" s="135">
        <v>3800</v>
      </c>
      <c r="AB58" s="135">
        <v>545.6</v>
      </c>
      <c r="AC58" s="135">
        <v>1.83</v>
      </c>
      <c r="AD58" s="135">
        <v>8</v>
      </c>
      <c r="AE58" s="135">
        <v>5000</v>
      </c>
      <c r="AF58" s="135">
        <v>626</v>
      </c>
      <c r="AG58" s="135">
        <v>1.6</v>
      </c>
      <c r="AH58" s="135">
        <v>8.3000000000000007</v>
      </c>
      <c r="AI58" s="135">
        <v>3000</v>
      </c>
      <c r="AJ58" s="135">
        <v>362.1</v>
      </c>
      <c r="AK58" s="135">
        <v>2.76</v>
      </c>
      <c r="AL58" s="135">
        <v>7</v>
      </c>
      <c r="AM58" s="135">
        <v>5300</v>
      </c>
      <c r="AN58" s="135">
        <v>758.4</v>
      </c>
      <c r="AO58" s="135">
        <v>1.32</v>
      </c>
      <c r="AP58" s="135"/>
      <c r="AQ58" s="135"/>
      <c r="AR58" s="135"/>
      <c r="AS58" s="135"/>
      <c r="AT58" s="135"/>
      <c r="AU58" s="135"/>
      <c r="AV58" s="135"/>
      <c r="AW58" s="135"/>
      <c r="AX58" s="135">
        <v>7</v>
      </c>
      <c r="AY58" s="135">
        <v>11</v>
      </c>
      <c r="AZ58" s="135">
        <v>1.6</v>
      </c>
      <c r="BA58" s="135">
        <v>0.64</v>
      </c>
      <c r="BB58" s="135"/>
      <c r="BC58" s="135"/>
      <c r="BD58" s="135"/>
      <c r="BE58" s="135"/>
      <c r="BF58" s="135">
        <v>8.3000000000000007</v>
      </c>
      <c r="BG58" s="135">
        <v>6000</v>
      </c>
      <c r="BH58" s="135">
        <v>724.1</v>
      </c>
      <c r="BI58" s="135">
        <v>1.38</v>
      </c>
      <c r="BJ58" s="135">
        <v>44</v>
      </c>
      <c r="BK58" s="135">
        <v>4.5</v>
      </c>
      <c r="BL58" s="135">
        <v>19.75</v>
      </c>
    </row>
    <row r="59" spans="1:64" x14ac:dyDescent="0.3">
      <c r="A59" s="135">
        <v>2016</v>
      </c>
      <c r="B59" s="135">
        <v>4</v>
      </c>
      <c r="C59" s="135" t="s">
        <v>2154</v>
      </c>
      <c r="D59" s="135" t="s">
        <v>256</v>
      </c>
      <c r="E59" s="135" t="s">
        <v>396</v>
      </c>
      <c r="F59" s="135" t="s">
        <v>46</v>
      </c>
      <c r="G59" s="135" t="s">
        <v>26</v>
      </c>
      <c r="H59" s="135">
        <v>31.1</v>
      </c>
      <c r="I59" s="135">
        <v>5.9260000000000002</v>
      </c>
      <c r="J59" s="135">
        <v>9.391</v>
      </c>
      <c r="K59" s="135">
        <v>0</v>
      </c>
      <c r="L59" s="135">
        <v>0</v>
      </c>
      <c r="M59" s="135">
        <v>0</v>
      </c>
      <c r="N59" s="135">
        <v>0</v>
      </c>
      <c r="O59" s="135">
        <v>0</v>
      </c>
      <c r="P59" s="135">
        <v>0</v>
      </c>
      <c r="Q59" s="135">
        <v>0</v>
      </c>
      <c r="R59" s="135">
        <v>0</v>
      </c>
      <c r="S59" s="135">
        <v>3.4649999999999999</v>
      </c>
      <c r="T59" s="135">
        <v>43.758000000000003</v>
      </c>
      <c r="U59" s="135">
        <v>0.27</v>
      </c>
      <c r="V59" s="135">
        <v>3.5000000000000003E-2</v>
      </c>
      <c r="W59" s="135">
        <v>0</v>
      </c>
      <c r="X59" s="135">
        <v>0</v>
      </c>
      <c r="Y59" s="135" t="s">
        <v>1995</v>
      </c>
      <c r="Z59" s="135">
        <v>7.6</v>
      </c>
      <c r="AA59" s="135">
        <v>4100</v>
      </c>
      <c r="AB59" s="135">
        <v>537.79999999999995</v>
      </c>
      <c r="AC59" s="135">
        <v>1.86</v>
      </c>
      <c r="AD59" s="135">
        <v>9.4</v>
      </c>
      <c r="AE59" s="135">
        <v>6000</v>
      </c>
      <c r="AF59" s="135">
        <v>638.9</v>
      </c>
      <c r="AG59" s="135">
        <v>1.57</v>
      </c>
      <c r="AH59" s="135">
        <v>9.6999999999999993</v>
      </c>
      <c r="AI59" s="135">
        <v>3500</v>
      </c>
      <c r="AJ59" s="135">
        <v>361.3</v>
      </c>
      <c r="AK59" s="135">
        <v>2.77</v>
      </c>
      <c r="AL59" s="135">
        <v>7.7</v>
      </c>
      <c r="AM59" s="135">
        <v>5500</v>
      </c>
      <c r="AN59" s="135">
        <v>718.2</v>
      </c>
      <c r="AO59" s="135">
        <v>1.39</v>
      </c>
      <c r="AP59" s="135"/>
      <c r="AQ59" s="135"/>
      <c r="AR59" s="135"/>
      <c r="AS59" s="135"/>
      <c r="AT59" s="135"/>
      <c r="AU59" s="135"/>
      <c r="AV59" s="135"/>
      <c r="AW59" s="135"/>
      <c r="AX59" s="135">
        <v>7.7</v>
      </c>
      <c r="AY59" s="135">
        <v>17</v>
      </c>
      <c r="AZ59" s="135">
        <v>2.2000000000000002</v>
      </c>
      <c r="BA59" s="135">
        <v>0.45</v>
      </c>
      <c r="BB59" s="135"/>
      <c r="BC59" s="135"/>
      <c r="BD59" s="135"/>
      <c r="BE59" s="135"/>
      <c r="BF59" s="135">
        <v>9.6999999999999993</v>
      </c>
      <c r="BG59" s="135">
        <v>7000</v>
      </c>
      <c r="BH59" s="135">
        <v>722.5</v>
      </c>
      <c r="BI59" s="135">
        <v>1.38</v>
      </c>
      <c r="BJ59" s="135">
        <v>46.5</v>
      </c>
      <c r="BK59" s="135">
        <v>3</v>
      </c>
      <c r="BL59" s="135">
        <v>21.75</v>
      </c>
    </row>
    <row r="60" spans="1:64" x14ac:dyDescent="0.3">
      <c r="A60" s="135">
        <v>2016</v>
      </c>
      <c r="B60" s="135">
        <v>4</v>
      </c>
      <c r="C60" s="135" t="s">
        <v>2139</v>
      </c>
      <c r="D60" s="135" t="s">
        <v>258</v>
      </c>
      <c r="E60" s="135" t="s">
        <v>396</v>
      </c>
      <c r="F60" s="135" t="s">
        <v>57</v>
      </c>
      <c r="G60" s="135" t="s">
        <v>1999</v>
      </c>
      <c r="H60" s="135">
        <v>25.34</v>
      </c>
      <c r="I60" s="135">
        <v>5.89</v>
      </c>
      <c r="J60" s="135">
        <v>8.2569999999999997</v>
      </c>
      <c r="K60" s="135">
        <v>0</v>
      </c>
      <c r="L60" s="135">
        <v>0</v>
      </c>
      <c r="M60" s="135">
        <v>0</v>
      </c>
      <c r="N60" s="135">
        <v>0</v>
      </c>
      <c r="O60" s="135">
        <v>0</v>
      </c>
      <c r="P60" s="135">
        <v>0</v>
      </c>
      <c r="Q60" s="135">
        <v>0</v>
      </c>
      <c r="R60" s="135">
        <v>0</v>
      </c>
      <c r="S60" s="135">
        <v>2.367</v>
      </c>
      <c r="T60" s="135">
        <v>40.22</v>
      </c>
      <c r="U60" s="135">
        <v>0.32</v>
      </c>
      <c r="V60" s="135">
        <v>2.5999999999999999E-2</v>
      </c>
      <c r="W60" s="135">
        <v>0</v>
      </c>
      <c r="X60" s="135">
        <v>0</v>
      </c>
      <c r="Y60" s="135" t="s">
        <v>1995</v>
      </c>
      <c r="Z60" s="135">
        <v>7</v>
      </c>
      <c r="AA60" s="135">
        <v>3800</v>
      </c>
      <c r="AB60" s="135">
        <v>539.20000000000005</v>
      </c>
      <c r="AC60" s="135">
        <v>1.85</v>
      </c>
      <c r="AD60" s="135">
        <v>8.3000000000000007</v>
      </c>
      <c r="AE60" s="135">
        <v>5100</v>
      </c>
      <c r="AF60" s="135">
        <v>617.70000000000005</v>
      </c>
      <c r="AG60" s="135">
        <v>1.62</v>
      </c>
      <c r="AH60" s="135">
        <v>8.5</v>
      </c>
      <c r="AI60" s="135">
        <v>3500</v>
      </c>
      <c r="AJ60" s="135">
        <v>410.6</v>
      </c>
      <c r="AK60" s="135">
        <v>2.44</v>
      </c>
      <c r="AL60" s="135">
        <v>7.1</v>
      </c>
      <c r="AM60" s="135">
        <v>5100</v>
      </c>
      <c r="AN60" s="135">
        <v>721</v>
      </c>
      <c r="AO60" s="135">
        <v>1.39</v>
      </c>
      <c r="AP60" s="135"/>
      <c r="AQ60" s="135"/>
      <c r="AR60" s="135"/>
      <c r="AS60" s="135"/>
      <c r="AT60" s="135"/>
      <c r="AU60" s="135"/>
      <c r="AV60" s="135"/>
      <c r="AW60" s="135"/>
      <c r="AX60" s="135">
        <v>7.1</v>
      </c>
      <c r="AY60" s="135">
        <v>11</v>
      </c>
      <c r="AZ60" s="135">
        <v>1.6</v>
      </c>
      <c r="BA60" s="135">
        <v>0.64</v>
      </c>
      <c r="BB60" s="135"/>
      <c r="BC60" s="135"/>
      <c r="BD60" s="135"/>
      <c r="BE60" s="135"/>
      <c r="BF60" s="135">
        <v>8.5</v>
      </c>
      <c r="BG60" s="135">
        <v>7000</v>
      </c>
      <c r="BH60" s="135">
        <v>821.2</v>
      </c>
      <c r="BI60" s="135">
        <v>1.22</v>
      </c>
      <c r="BJ60" s="135">
        <v>44.5</v>
      </c>
      <c r="BK60" s="135">
        <v>7</v>
      </c>
      <c r="BL60" s="135">
        <v>18.75</v>
      </c>
    </row>
    <row r="61" spans="1:64" x14ac:dyDescent="0.3">
      <c r="A61" s="135">
        <v>2016</v>
      </c>
      <c r="B61" s="135">
        <v>4</v>
      </c>
      <c r="C61" s="135" t="s">
        <v>2150</v>
      </c>
      <c r="D61" s="135" t="s">
        <v>294</v>
      </c>
      <c r="E61" s="135" t="s">
        <v>396</v>
      </c>
      <c r="F61" s="135" t="s">
        <v>398</v>
      </c>
      <c r="G61" s="135" t="s">
        <v>52</v>
      </c>
      <c r="H61" s="135">
        <v>17.72</v>
      </c>
      <c r="I61" s="135">
        <v>5.6719999999999997</v>
      </c>
      <c r="J61" s="135">
        <v>10.129</v>
      </c>
      <c r="K61" s="135">
        <v>0</v>
      </c>
      <c r="L61" s="135">
        <v>0</v>
      </c>
      <c r="M61" s="135">
        <v>0</v>
      </c>
      <c r="N61" s="135">
        <v>0</v>
      </c>
      <c r="O61" s="135">
        <v>0</v>
      </c>
      <c r="P61" s="135">
        <v>0</v>
      </c>
      <c r="Q61" s="135">
        <v>0</v>
      </c>
      <c r="R61" s="135">
        <v>0</v>
      </c>
      <c r="S61" s="135">
        <v>4.4569999999999999</v>
      </c>
      <c r="T61" s="135">
        <v>45.341999999999999</v>
      </c>
      <c r="U61" s="135">
        <v>0.20499999999999999</v>
      </c>
      <c r="V61" s="135">
        <v>4.5999999999999999E-2</v>
      </c>
      <c r="W61" s="135">
        <v>0</v>
      </c>
      <c r="X61" s="135">
        <v>0</v>
      </c>
      <c r="Y61" s="135" t="s">
        <v>1995</v>
      </c>
      <c r="Z61" s="135">
        <v>7.9</v>
      </c>
      <c r="AA61" s="135">
        <v>3700</v>
      </c>
      <c r="AB61" s="135">
        <v>471.1</v>
      </c>
      <c r="AC61" s="135">
        <v>2.12</v>
      </c>
      <c r="AD61" s="135">
        <v>10.1</v>
      </c>
      <c r="AE61" s="135">
        <v>5000</v>
      </c>
      <c r="AF61" s="135">
        <v>493.6</v>
      </c>
      <c r="AG61" s="135">
        <v>2.0299999999999998</v>
      </c>
      <c r="AH61" s="135">
        <v>10.4</v>
      </c>
      <c r="AI61" s="135">
        <v>3400</v>
      </c>
      <c r="AJ61" s="135">
        <v>325.39999999999998</v>
      </c>
      <c r="AK61" s="135">
        <v>3.07</v>
      </c>
      <c r="AL61" s="135">
        <v>7.9</v>
      </c>
      <c r="AM61" s="135">
        <v>5200</v>
      </c>
      <c r="AN61" s="135">
        <v>658.2</v>
      </c>
      <c r="AO61" s="135">
        <v>1.52</v>
      </c>
      <c r="AP61" s="135"/>
      <c r="AQ61" s="135"/>
      <c r="AR61" s="135"/>
      <c r="AS61" s="135"/>
      <c r="AT61" s="135"/>
      <c r="AU61" s="135"/>
      <c r="AV61" s="135"/>
      <c r="AW61" s="135"/>
      <c r="AX61" s="135">
        <v>7.9</v>
      </c>
      <c r="AY61" s="135">
        <v>11</v>
      </c>
      <c r="AZ61" s="135">
        <v>1.4</v>
      </c>
      <c r="BA61" s="135">
        <v>0.72</v>
      </c>
      <c r="BB61" s="135"/>
      <c r="BC61" s="135"/>
      <c r="BD61" s="135"/>
      <c r="BE61" s="135"/>
      <c r="BF61" s="135">
        <v>10.4</v>
      </c>
      <c r="BG61" s="135">
        <v>6700</v>
      </c>
      <c r="BH61" s="135">
        <v>641.29999999999995</v>
      </c>
      <c r="BI61" s="135">
        <v>1.56</v>
      </c>
      <c r="BJ61" s="135">
        <v>46</v>
      </c>
      <c r="BK61" s="135">
        <v>3</v>
      </c>
      <c r="BL61" s="135">
        <v>21.5</v>
      </c>
    </row>
    <row r="62" spans="1:64" x14ac:dyDescent="0.3">
      <c r="A62" s="135">
        <v>2016</v>
      </c>
      <c r="B62" s="135">
        <v>4</v>
      </c>
      <c r="C62" s="135" t="s">
        <v>2155</v>
      </c>
      <c r="D62" s="135" t="s">
        <v>410</v>
      </c>
      <c r="E62" s="135" t="s">
        <v>396</v>
      </c>
      <c r="F62" s="135" t="s">
        <v>26</v>
      </c>
      <c r="G62" s="135" t="s">
        <v>2298</v>
      </c>
      <c r="H62" s="135">
        <v>26.02</v>
      </c>
      <c r="I62" s="135">
        <v>5.3360000000000003</v>
      </c>
      <c r="J62" s="135">
        <v>8.6370000000000005</v>
      </c>
      <c r="K62" s="135">
        <v>0</v>
      </c>
      <c r="L62" s="135">
        <v>0</v>
      </c>
      <c r="M62" s="135">
        <v>0</v>
      </c>
      <c r="N62" s="135">
        <v>0</v>
      </c>
      <c r="O62" s="135">
        <v>0</v>
      </c>
      <c r="P62" s="135">
        <v>0</v>
      </c>
      <c r="Q62" s="135">
        <v>0</v>
      </c>
      <c r="R62" s="135">
        <v>0</v>
      </c>
      <c r="S62" s="135">
        <v>3.3010000000000002</v>
      </c>
      <c r="T62" s="135">
        <v>36.499000000000002</v>
      </c>
      <c r="U62" s="135">
        <v>0.28799999999999998</v>
      </c>
      <c r="V62" s="135">
        <v>2.1000000000000001E-2</v>
      </c>
      <c r="W62" s="135">
        <v>0</v>
      </c>
      <c r="X62" s="135">
        <v>0</v>
      </c>
      <c r="Y62" s="135" t="s">
        <v>1995</v>
      </c>
      <c r="Z62" s="135">
        <v>7</v>
      </c>
      <c r="AA62" s="135">
        <v>4100</v>
      </c>
      <c r="AB62" s="135">
        <v>588.6</v>
      </c>
      <c r="AC62" s="135">
        <v>1.7</v>
      </c>
      <c r="AD62" s="135">
        <v>8.6</v>
      </c>
      <c r="AE62" s="135">
        <v>6500</v>
      </c>
      <c r="AF62" s="135">
        <v>752.6</v>
      </c>
      <c r="AG62" s="135">
        <v>1.33</v>
      </c>
      <c r="AH62" s="135">
        <v>8.9</v>
      </c>
      <c r="AI62" s="135">
        <v>4200</v>
      </c>
      <c r="AJ62" s="135">
        <v>473.1</v>
      </c>
      <c r="AK62" s="135">
        <v>2.11</v>
      </c>
      <c r="AL62" s="135">
        <v>7</v>
      </c>
      <c r="AM62" s="135">
        <v>6500</v>
      </c>
      <c r="AN62" s="135">
        <v>930.4</v>
      </c>
      <c r="AO62" s="135">
        <v>1.07</v>
      </c>
      <c r="AP62" s="135"/>
      <c r="AQ62" s="135"/>
      <c r="AR62" s="135"/>
      <c r="AS62" s="135"/>
      <c r="AT62" s="135"/>
      <c r="AU62" s="135"/>
      <c r="AV62" s="135"/>
      <c r="AW62" s="135"/>
      <c r="AX62" s="135">
        <v>7</v>
      </c>
      <c r="AY62" s="135">
        <v>16</v>
      </c>
      <c r="AZ62" s="135">
        <v>2.2999999999999998</v>
      </c>
      <c r="BA62" s="135">
        <v>0.44</v>
      </c>
      <c r="BB62" s="135"/>
      <c r="BC62" s="135"/>
      <c r="BD62" s="135"/>
      <c r="BE62" s="135"/>
      <c r="BF62" s="135">
        <v>8.9</v>
      </c>
      <c r="BG62" s="135">
        <v>8300</v>
      </c>
      <c r="BH62" s="135">
        <v>935</v>
      </c>
      <c r="BI62" s="135">
        <v>1.07</v>
      </c>
      <c r="BJ62" s="135">
        <v>46.5</v>
      </c>
      <c r="BK62" s="135">
        <v>-3</v>
      </c>
      <c r="BL62" s="135">
        <v>24.75</v>
      </c>
    </row>
    <row r="63" spans="1:64" x14ac:dyDescent="0.3">
      <c r="A63" s="135">
        <v>2016</v>
      </c>
      <c r="B63" s="135">
        <v>4</v>
      </c>
      <c r="C63" s="135" t="s">
        <v>2149</v>
      </c>
      <c r="D63" s="135" t="s">
        <v>265</v>
      </c>
      <c r="E63" s="135" t="s">
        <v>396</v>
      </c>
      <c r="F63" s="135" t="s">
        <v>398</v>
      </c>
      <c r="G63" s="135" t="s">
        <v>52</v>
      </c>
      <c r="H63" s="135">
        <v>17.72</v>
      </c>
      <c r="I63" s="135">
        <v>5.2839999999999998</v>
      </c>
      <c r="J63" s="135">
        <v>8.6519999999999992</v>
      </c>
      <c r="K63" s="135">
        <v>0</v>
      </c>
      <c r="L63" s="135">
        <v>0</v>
      </c>
      <c r="M63" s="135">
        <v>0</v>
      </c>
      <c r="N63" s="135">
        <v>0</v>
      </c>
      <c r="O63" s="135">
        <v>0</v>
      </c>
      <c r="P63" s="135">
        <v>0</v>
      </c>
      <c r="Q63" s="135">
        <v>0</v>
      </c>
      <c r="R63" s="135">
        <v>0</v>
      </c>
      <c r="S63" s="135">
        <v>3.3679999999999999</v>
      </c>
      <c r="T63" s="135">
        <v>37.097999999999999</v>
      </c>
      <c r="U63" s="135">
        <v>0.27400000000000002</v>
      </c>
      <c r="V63" s="135">
        <v>3.5000000000000003E-2</v>
      </c>
      <c r="W63" s="135">
        <v>0</v>
      </c>
      <c r="X63" s="135">
        <v>0</v>
      </c>
      <c r="Y63" s="135" t="s">
        <v>1995</v>
      </c>
      <c r="Z63" s="135">
        <v>6.9</v>
      </c>
      <c r="AA63" s="135">
        <v>3000</v>
      </c>
      <c r="AB63" s="135">
        <v>432.7</v>
      </c>
      <c r="AC63" s="135">
        <v>2.31</v>
      </c>
      <c r="AD63" s="135">
        <v>8.6999999999999993</v>
      </c>
      <c r="AE63" s="135">
        <v>5250</v>
      </c>
      <c r="AF63" s="135">
        <v>606.79999999999995</v>
      </c>
      <c r="AG63" s="135">
        <v>1.65</v>
      </c>
      <c r="AH63" s="135">
        <v>8.9</v>
      </c>
      <c r="AI63" s="135">
        <v>3000</v>
      </c>
      <c r="AJ63" s="135">
        <v>336.7</v>
      </c>
      <c r="AK63" s="135">
        <v>2.97</v>
      </c>
      <c r="AL63" s="135">
        <v>7</v>
      </c>
      <c r="AM63" s="135">
        <v>4800</v>
      </c>
      <c r="AN63" s="135">
        <v>688.9</v>
      </c>
      <c r="AO63" s="135">
        <v>1.45</v>
      </c>
      <c r="AP63" s="135"/>
      <c r="AQ63" s="135"/>
      <c r="AR63" s="135"/>
      <c r="AS63" s="135"/>
      <c r="AT63" s="135"/>
      <c r="AU63" s="135"/>
      <c r="AV63" s="135"/>
      <c r="AW63" s="135"/>
      <c r="AX63" s="135">
        <v>7</v>
      </c>
      <c r="AY63" s="135">
        <v>11</v>
      </c>
      <c r="AZ63" s="135">
        <v>1.6</v>
      </c>
      <c r="BA63" s="135">
        <v>0.63</v>
      </c>
      <c r="BB63" s="135"/>
      <c r="BC63" s="135"/>
      <c r="BD63" s="135"/>
      <c r="BE63" s="135"/>
      <c r="BF63" s="135">
        <v>8.9</v>
      </c>
      <c r="BG63" s="135">
        <v>6000</v>
      </c>
      <c r="BH63" s="135">
        <v>673.4</v>
      </c>
      <c r="BI63" s="135">
        <v>1.48</v>
      </c>
      <c r="BJ63" s="135">
        <v>46</v>
      </c>
      <c r="BK63" s="135">
        <v>3</v>
      </c>
      <c r="BL63" s="135">
        <v>21.5</v>
      </c>
    </row>
    <row r="64" spans="1:64" x14ac:dyDescent="0.3">
      <c r="A64" s="135">
        <v>2016</v>
      </c>
      <c r="B64" s="135">
        <v>4</v>
      </c>
      <c r="C64" s="135" t="s">
        <v>2164</v>
      </c>
      <c r="D64" s="135" t="s">
        <v>220</v>
      </c>
      <c r="E64" s="135" t="s">
        <v>396</v>
      </c>
      <c r="F64" s="135" t="s">
        <v>18</v>
      </c>
      <c r="G64" s="135" t="s">
        <v>14</v>
      </c>
      <c r="H64" s="135">
        <v>36.85</v>
      </c>
      <c r="I64" s="135">
        <v>5.2110000000000003</v>
      </c>
      <c r="J64" s="135">
        <v>9.2210000000000001</v>
      </c>
      <c r="K64" s="135">
        <v>0</v>
      </c>
      <c r="L64" s="135">
        <v>0</v>
      </c>
      <c r="M64" s="135">
        <v>0</v>
      </c>
      <c r="N64" s="135">
        <v>0</v>
      </c>
      <c r="O64" s="135">
        <v>0</v>
      </c>
      <c r="P64" s="135">
        <v>0</v>
      </c>
      <c r="Q64" s="135">
        <v>0</v>
      </c>
      <c r="R64" s="135">
        <v>0</v>
      </c>
      <c r="S64" s="135">
        <v>4.01</v>
      </c>
      <c r="T64" s="135">
        <v>43.368000000000002</v>
      </c>
      <c r="U64" s="135">
        <v>0.156</v>
      </c>
      <c r="V64" s="135">
        <v>3.1E-2</v>
      </c>
      <c r="W64" s="135">
        <v>0</v>
      </c>
      <c r="X64" s="135">
        <v>0</v>
      </c>
      <c r="Y64" s="135" t="s">
        <v>1995</v>
      </c>
      <c r="Z64" s="135">
        <v>7.2</v>
      </c>
      <c r="AA64" s="135">
        <v>4250</v>
      </c>
      <c r="AB64" s="135">
        <v>591.5</v>
      </c>
      <c r="AC64" s="135">
        <v>1.69</v>
      </c>
      <c r="AD64" s="135">
        <v>9.1999999999999993</v>
      </c>
      <c r="AE64" s="135">
        <v>8850</v>
      </c>
      <c r="AF64" s="135">
        <v>959.8</v>
      </c>
      <c r="AG64" s="135">
        <v>1.04</v>
      </c>
      <c r="AH64" s="135">
        <v>9.5</v>
      </c>
      <c r="AI64" s="135">
        <v>4000</v>
      </c>
      <c r="AJ64" s="135">
        <v>420.5</v>
      </c>
      <c r="AK64" s="135">
        <v>2.38</v>
      </c>
      <c r="AL64" s="135">
        <v>7.2</v>
      </c>
      <c r="AM64" s="135">
        <v>6000</v>
      </c>
      <c r="AN64" s="135">
        <v>831.5</v>
      </c>
      <c r="AO64" s="135">
        <v>1.2</v>
      </c>
      <c r="AP64" s="135"/>
      <c r="AQ64" s="135"/>
      <c r="AR64" s="135"/>
      <c r="AS64" s="135"/>
      <c r="AT64" s="135"/>
      <c r="AU64" s="135"/>
      <c r="AV64" s="135"/>
      <c r="AW64" s="135"/>
      <c r="AX64" s="135">
        <v>7.2</v>
      </c>
      <c r="AY64" s="135">
        <v>14</v>
      </c>
      <c r="AZ64" s="135">
        <v>1.9</v>
      </c>
      <c r="BA64" s="135">
        <v>0.52</v>
      </c>
      <c r="BB64" s="135"/>
      <c r="BC64" s="135"/>
      <c r="BD64" s="135"/>
      <c r="BE64" s="135"/>
      <c r="BF64" s="135">
        <v>9.5</v>
      </c>
      <c r="BG64" s="135">
        <v>7800</v>
      </c>
      <c r="BH64" s="135">
        <v>820</v>
      </c>
      <c r="BI64" s="135">
        <v>1.22</v>
      </c>
      <c r="BJ64" s="135">
        <v>45.5</v>
      </c>
      <c r="BK64" s="135">
        <v>-8</v>
      </c>
      <c r="BL64" s="135">
        <v>26.75</v>
      </c>
    </row>
    <row r="65" spans="1:64" x14ac:dyDescent="0.3">
      <c r="A65" s="135">
        <v>2016</v>
      </c>
      <c r="B65" s="135">
        <v>4</v>
      </c>
      <c r="C65" s="135" t="s">
        <v>2160</v>
      </c>
      <c r="D65" s="135" t="s">
        <v>474</v>
      </c>
      <c r="E65" s="135" t="s">
        <v>396</v>
      </c>
      <c r="F65" s="135" t="s">
        <v>10</v>
      </c>
      <c r="G65" s="135" t="s">
        <v>1992</v>
      </c>
      <c r="H65" s="135">
        <v>19.690000000000001</v>
      </c>
      <c r="I65" s="135">
        <v>5.1289999999999996</v>
      </c>
      <c r="J65" s="135">
        <v>7.6260000000000003</v>
      </c>
      <c r="K65" s="135">
        <v>0</v>
      </c>
      <c r="L65" s="135">
        <v>0</v>
      </c>
      <c r="M65" s="135">
        <v>0</v>
      </c>
      <c r="N65" s="135">
        <v>0</v>
      </c>
      <c r="O65" s="135">
        <v>0</v>
      </c>
      <c r="P65" s="135">
        <v>0</v>
      </c>
      <c r="Q65" s="135">
        <v>0</v>
      </c>
      <c r="R65" s="135">
        <v>0</v>
      </c>
      <c r="S65" s="135">
        <v>2.4969999999999999</v>
      </c>
      <c r="T65" s="135">
        <v>39.350999999999999</v>
      </c>
      <c r="U65" s="135">
        <v>0.20899999999999999</v>
      </c>
      <c r="V65" s="135">
        <v>0.03</v>
      </c>
      <c r="W65" s="135">
        <v>0</v>
      </c>
      <c r="X65" s="135">
        <v>0</v>
      </c>
      <c r="Y65" s="135" t="s">
        <v>1995</v>
      </c>
      <c r="Z65" s="135">
        <v>6.3</v>
      </c>
      <c r="AA65" s="135">
        <v>3500</v>
      </c>
      <c r="AB65" s="135">
        <v>551.4</v>
      </c>
      <c r="AC65" s="135">
        <v>1.81</v>
      </c>
      <c r="AD65" s="135">
        <v>7.6</v>
      </c>
      <c r="AE65" s="135">
        <v>5000</v>
      </c>
      <c r="AF65" s="135">
        <v>655.6</v>
      </c>
      <c r="AG65" s="135">
        <v>1.53</v>
      </c>
      <c r="AH65" s="135">
        <v>7.9</v>
      </c>
      <c r="AI65" s="135">
        <v>3000</v>
      </c>
      <c r="AJ65" s="135">
        <v>380.1</v>
      </c>
      <c r="AK65" s="135">
        <v>2.63</v>
      </c>
      <c r="AL65" s="135">
        <v>6.4</v>
      </c>
      <c r="AM65" s="135">
        <v>4500</v>
      </c>
      <c r="AN65" s="135">
        <v>705.6</v>
      </c>
      <c r="AO65" s="135">
        <v>1.42</v>
      </c>
      <c r="AP65" s="135"/>
      <c r="AQ65" s="135"/>
      <c r="AR65" s="135"/>
      <c r="AS65" s="135"/>
      <c r="AT65" s="135"/>
      <c r="AU65" s="135"/>
      <c r="AV65" s="135"/>
      <c r="AW65" s="135"/>
      <c r="AX65" s="135">
        <v>6.4</v>
      </c>
      <c r="AY65" s="135">
        <v>10</v>
      </c>
      <c r="AZ65" s="135">
        <v>1.6</v>
      </c>
      <c r="BA65" s="135">
        <v>0.64</v>
      </c>
      <c r="BB65" s="135"/>
      <c r="BC65" s="135"/>
      <c r="BD65" s="135"/>
      <c r="BE65" s="135"/>
      <c r="BF65" s="135">
        <v>7.9</v>
      </c>
      <c r="BG65" s="135">
        <v>6000</v>
      </c>
      <c r="BH65" s="135">
        <v>760.2</v>
      </c>
      <c r="BI65" s="135">
        <v>1.32</v>
      </c>
      <c r="BJ65" s="135">
        <v>44</v>
      </c>
      <c r="BK65" s="135">
        <v>4.5</v>
      </c>
      <c r="BL65" s="135">
        <v>19.75</v>
      </c>
    </row>
    <row r="66" spans="1:64" x14ac:dyDescent="0.3">
      <c r="A66" s="135">
        <v>2016</v>
      </c>
      <c r="B66" s="135">
        <v>4</v>
      </c>
      <c r="C66" s="135" t="s">
        <v>2142</v>
      </c>
      <c r="D66" s="135" t="s">
        <v>233</v>
      </c>
      <c r="E66" s="135" t="s">
        <v>396</v>
      </c>
      <c r="F66" s="135" t="s">
        <v>401</v>
      </c>
      <c r="G66" s="135" t="s">
        <v>70</v>
      </c>
      <c r="H66" s="135">
        <v>10.94</v>
      </c>
      <c r="I66" s="135">
        <v>5.0439999999999996</v>
      </c>
      <c r="J66" s="135">
        <v>7.46</v>
      </c>
      <c r="K66" s="135">
        <v>0</v>
      </c>
      <c r="L66" s="135">
        <v>0</v>
      </c>
      <c r="M66" s="135">
        <v>0</v>
      </c>
      <c r="N66" s="135">
        <v>0</v>
      </c>
      <c r="O66" s="135">
        <v>0</v>
      </c>
      <c r="P66" s="135">
        <v>0</v>
      </c>
      <c r="Q66" s="135">
        <v>0</v>
      </c>
      <c r="R66" s="135">
        <v>0</v>
      </c>
      <c r="S66" s="135">
        <v>2.4159999999999999</v>
      </c>
      <c r="T66" s="135">
        <v>36.86</v>
      </c>
      <c r="U66" s="135">
        <v>0.23499999999999999</v>
      </c>
      <c r="V66" s="135">
        <v>2.5999999999999999E-2</v>
      </c>
      <c r="W66" s="135">
        <v>0</v>
      </c>
      <c r="X66" s="135">
        <v>0</v>
      </c>
      <c r="Y66" s="135" t="s">
        <v>1995</v>
      </c>
      <c r="Z66" s="135">
        <v>6.2</v>
      </c>
      <c r="AA66" s="135">
        <v>4000</v>
      </c>
      <c r="AB66" s="135">
        <v>642.5</v>
      </c>
      <c r="AC66" s="135">
        <v>1.56</v>
      </c>
      <c r="AD66" s="135">
        <v>7.5</v>
      </c>
      <c r="AE66" s="135">
        <v>7000</v>
      </c>
      <c r="AF66" s="135">
        <v>938.3</v>
      </c>
      <c r="AG66" s="135">
        <v>1.07</v>
      </c>
      <c r="AH66" s="135">
        <v>7.7</v>
      </c>
      <c r="AI66" s="135">
        <v>3400</v>
      </c>
      <c r="AJ66" s="135">
        <v>441.1</v>
      </c>
      <c r="AK66" s="135">
        <v>2.27</v>
      </c>
      <c r="AL66" s="135">
        <v>6.3</v>
      </c>
      <c r="AM66" s="135">
        <v>5100</v>
      </c>
      <c r="AN66" s="135">
        <v>815.7</v>
      </c>
      <c r="AO66" s="135">
        <v>1.23</v>
      </c>
      <c r="AP66" s="135"/>
      <c r="AQ66" s="135"/>
      <c r="AR66" s="135"/>
      <c r="AS66" s="135"/>
      <c r="AT66" s="135"/>
      <c r="AU66" s="135"/>
      <c r="AV66" s="135"/>
      <c r="AW66" s="135"/>
      <c r="AX66" s="135">
        <v>6.3</v>
      </c>
      <c r="AY66" s="135">
        <v>11</v>
      </c>
      <c r="AZ66" s="135">
        <v>1.8</v>
      </c>
      <c r="BA66" s="135">
        <v>0.56999999999999995</v>
      </c>
      <c r="BB66" s="135"/>
      <c r="BC66" s="135"/>
      <c r="BD66" s="135"/>
      <c r="BE66" s="135"/>
      <c r="BF66" s="135">
        <v>7.7</v>
      </c>
      <c r="BG66" s="135">
        <v>6700</v>
      </c>
      <c r="BH66" s="135">
        <v>869.3</v>
      </c>
      <c r="BI66" s="135">
        <v>1.1499999999999999</v>
      </c>
      <c r="BJ66" s="135">
        <v>44</v>
      </c>
      <c r="BK66" s="135">
        <v>3</v>
      </c>
      <c r="BL66" s="135">
        <v>20.5</v>
      </c>
    </row>
    <row r="67" spans="1:64" x14ac:dyDescent="0.3">
      <c r="A67" s="135">
        <v>2016</v>
      </c>
      <c r="B67" s="135">
        <v>4</v>
      </c>
      <c r="C67" s="135" t="s">
        <v>2147</v>
      </c>
      <c r="D67" s="135" t="s">
        <v>225</v>
      </c>
      <c r="E67" s="135" t="s">
        <v>396</v>
      </c>
      <c r="F67" s="135" t="s">
        <v>7</v>
      </c>
      <c r="G67" s="135" t="s">
        <v>2305</v>
      </c>
      <c r="H67" s="135">
        <v>36.82</v>
      </c>
      <c r="I67" s="135">
        <v>4.9960000000000004</v>
      </c>
      <c r="J67" s="135">
        <v>8.7040000000000006</v>
      </c>
      <c r="K67" s="135">
        <v>0</v>
      </c>
      <c r="L67" s="135">
        <v>0</v>
      </c>
      <c r="M67" s="135">
        <v>0</v>
      </c>
      <c r="N67" s="135">
        <v>0</v>
      </c>
      <c r="O67" s="135">
        <v>0</v>
      </c>
      <c r="P67" s="135">
        <v>0</v>
      </c>
      <c r="Q67" s="135">
        <v>0</v>
      </c>
      <c r="R67" s="135">
        <v>0</v>
      </c>
      <c r="S67" s="135">
        <v>3.7080000000000002</v>
      </c>
      <c r="T67" s="135">
        <v>43.856000000000002</v>
      </c>
      <c r="U67" s="135">
        <v>0.115</v>
      </c>
      <c r="V67" s="135">
        <v>0.04</v>
      </c>
      <c r="W67" s="135">
        <v>0</v>
      </c>
      <c r="X67" s="135">
        <v>0</v>
      </c>
      <c r="Y67" s="135" t="s">
        <v>1995</v>
      </c>
      <c r="Z67" s="135">
        <v>6.8</v>
      </c>
      <c r="AA67" s="135">
        <v>3900</v>
      </c>
      <c r="AB67" s="135">
        <v>572.70000000000005</v>
      </c>
      <c r="AC67" s="135">
        <v>1.75</v>
      </c>
      <c r="AD67" s="135">
        <v>8.6999999999999993</v>
      </c>
      <c r="AE67" s="135">
        <v>6200</v>
      </c>
      <c r="AF67" s="135">
        <v>712.3</v>
      </c>
      <c r="AG67" s="135">
        <v>1.4</v>
      </c>
      <c r="AH67" s="135">
        <v>9</v>
      </c>
      <c r="AI67" s="135">
        <v>3200</v>
      </c>
      <c r="AJ67" s="135">
        <v>355.3</v>
      </c>
      <c r="AK67" s="135">
        <v>2.81</v>
      </c>
      <c r="AL67" s="135">
        <v>6.8</v>
      </c>
      <c r="AM67" s="135">
        <v>4900</v>
      </c>
      <c r="AN67" s="135">
        <v>715.4</v>
      </c>
      <c r="AO67" s="135">
        <v>1.4</v>
      </c>
      <c r="AP67" s="135"/>
      <c r="AQ67" s="135"/>
      <c r="AR67" s="135"/>
      <c r="AS67" s="135"/>
      <c r="AT67" s="135"/>
      <c r="AU67" s="135"/>
      <c r="AV67" s="135"/>
      <c r="AW67" s="135"/>
      <c r="AX67" s="135">
        <v>6.8</v>
      </c>
      <c r="AY67" s="135">
        <v>11</v>
      </c>
      <c r="AZ67" s="135">
        <v>1.6</v>
      </c>
      <c r="BA67" s="135">
        <v>0.62</v>
      </c>
      <c r="BB67" s="135"/>
      <c r="BC67" s="135"/>
      <c r="BD67" s="135"/>
      <c r="BE67" s="135"/>
      <c r="BF67" s="135">
        <v>9</v>
      </c>
      <c r="BG67" s="135">
        <v>6300</v>
      </c>
      <c r="BH67" s="135">
        <v>699.5</v>
      </c>
      <c r="BI67" s="135">
        <v>1.43</v>
      </c>
      <c r="BJ67" s="135">
        <v>40.5</v>
      </c>
      <c r="BK67" s="135">
        <v>-1.5</v>
      </c>
      <c r="BL67" s="135">
        <v>21</v>
      </c>
    </row>
    <row r="68" spans="1:64" x14ac:dyDescent="0.3">
      <c r="A68" s="135">
        <v>2016</v>
      </c>
      <c r="B68" s="135">
        <v>4</v>
      </c>
      <c r="C68" s="135" t="s">
        <v>2159</v>
      </c>
      <c r="D68" s="135" t="s">
        <v>231</v>
      </c>
      <c r="E68" s="135" t="s">
        <v>396</v>
      </c>
      <c r="F68" s="135" t="s">
        <v>10</v>
      </c>
      <c r="G68" s="135" t="s">
        <v>1992</v>
      </c>
      <c r="H68" s="135">
        <v>19.690000000000001</v>
      </c>
      <c r="I68" s="135">
        <v>4.9340000000000002</v>
      </c>
      <c r="J68" s="135">
        <v>9.5289999999999999</v>
      </c>
      <c r="K68" s="135">
        <v>0</v>
      </c>
      <c r="L68" s="135">
        <v>0</v>
      </c>
      <c r="M68" s="135">
        <v>0</v>
      </c>
      <c r="N68" s="135">
        <v>0</v>
      </c>
      <c r="O68" s="135">
        <v>0</v>
      </c>
      <c r="P68" s="135">
        <v>0</v>
      </c>
      <c r="Q68" s="135">
        <v>0</v>
      </c>
      <c r="R68" s="135">
        <v>0</v>
      </c>
      <c r="S68" s="135">
        <v>4.5949999999999998</v>
      </c>
      <c r="T68" s="135">
        <v>35.097000000000001</v>
      </c>
      <c r="U68" s="135">
        <v>0.25600000000000001</v>
      </c>
      <c r="V68" s="135">
        <v>5.6000000000000001E-2</v>
      </c>
      <c r="W68" s="135">
        <v>0</v>
      </c>
      <c r="X68" s="135">
        <v>0</v>
      </c>
      <c r="Y68" s="135" t="s">
        <v>1995</v>
      </c>
      <c r="Z68" s="135">
        <v>7.2</v>
      </c>
      <c r="AA68" s="135">
        <v>4100</v>
      </c>
      <c r="AB68" s="135">
        <v>571.4</v>
      </c>
      <c r="AC68" s="135">
        <v>1.75</v>
      </c>
      <c r="AD68" s="135">
        <v>9.5</v>
      </c>
      <c r="AE68" s="135">
        <v>6800</v>
      </c>
      <c r="AF68" s="135">
        <v>713.6</v>
      </c>
      <c r="AG68" s="135">
        <v>1.4</v>
      </c>
      <c r="AH68" s="135">
        <v>9.8000000000000007</v>
      </c>
      <c r="AI68" s="135">
        <v>3400</v>
      </c>
      <c r="AJ68" s="135">
        <v>347.1</v>
      </c>
      <c r="AK68" s="135">
        <v>2.88</v>
      </c>
      <c r="AL68" s="135">
        <v>7.2</v>
      </c>
      <c r="AM68" s="135">
        <v>5400</v>
      </c>
      <c r="AN68" s="135">
        <v>746.8</v>
      </c>
      <c r="AO68" s="135">
        <v>1.34</v>
      </c>
      <c r="AP68" s="135"/>
      <c r="AQ68" s="135"/>
      <c r="AR68" s="135"/>
      <c r="AS68" s="135"/>
      <c r="AT68" s="135"/>
      <c r="AU68" s="135"/>
      <c r="AV68" s="135"/>
      <c r="AW68" s="135"/>
      <c r="AX68" s="135">
        <v>7.2</v>
      </c>
      <c r="AY68" s="135">
        <v>10</v>
      </c>
      <c r="AZ68" s="135">
        <v>1.4</v>
      </c>
      <c r="BA68" s="135">
        <v>0.72</v>
      </c>
      <c r="BB68" s="135"/>
      <c r="BC68" s="135"/>
      <c r="BD68" s="135"/>
      <c r="BE68" s="135"/>
      <c r="BF68" s="135">
        <v>9.8000000000000007</v>
      </c>
      <c r="BG68" s="135">
        <v>6600</v>
      </c>
      <c r="BH68" s="135">
        <v>673.8</v>
      </c>
      <c r="BI68" s="135">
        <v>1.48</v>
      </c>
      <c r="BJ68" s="135">
        <v>44</v>
      </c>
      <c r="BK68" s="135">
        <v>4.5</v>
      </c>
      <c r="BL68" s="135">
        <v>19.75</v>
      </c>
    </row>
    <row r="69" spans="1:64" x14ac:dyDescent="0.3">
      <c r="A69" s="135">
        <v>2016</v>
      </c>
      <c r="B69" s="135">
        <v>4</v>
      </c>
      <c r="C69" s="135" t="s">
        <v>2175</v>
      </c>
      <c r="D69" s="135" t="s">
        <v>249</v>
      </c>
      <c r="E69" s="135" t="s">
        <v>396</v>
      </c>
      <c r="F69" s="135" t="s">
        <v>407</v>
      </c>
      <c r="G69" s="135" t="s">
        <v>404</v>
      </c>
      <c r="H69" s="135">
        <v>19.47</v>
      </c>
      <c r="I69" s="135">
        <v>4.8419999999999996</v>
      </c>
      <c r="J69" s="135">
        <v>7.8620000000000001</v>
      </c>
      <c r="K69" s="135">
        <v>0</v>
      </c>
      <c r="L69" s="135">
        <v>0</v>
      </c>
      <c r="M69" s="135">
        <v>0</v>
      </c>
      <c r="N69" s="135">
        <v>0</v>
      </c>
      <c r="O69" s="135">
        <v>0</v>
      </c>
      <c r="P69" s="135">
        <v>0</v>
      </c>
      <c r="Q69" s="135">
        <v>0</v>
      </c>
      <c r="R69" s="135">
        <v>0</v>
      </c>
      <c r="S69" s="135">
        <v>3.02</v>
      </c>
      <c r="T69" s="135">
        <v>34.857999999999997</v>
      </c>
      <c r="U69" s="135">
        <v>0.23300000000000001</v>
      </c>
      <c r="V69" s="135">
        <v>2.1000000000000001E-2</v>
      </c>
      <c r="W69" s="135">
        <v>0</v>
      </c>
      <c r="X69" s="135">
        <v>0</v>
      </c>
      <c r="Y69" s="135" t="s">
        <v>1995</v>
      </c>
      <c r="Z69" s="135">
        <v>6.3</v>
      </c>
      <c r="AA69" s="135">
        <v>3900</v>
      </c>
      <c r="AB69" s="135">
        <v>616</v>
      </c>
      <c r="AC69" s="135">
        <v>1.62</v>
      </c>
      <c r="AD69" s="135">
        <v>7.9</v>
      </c>
      <c r="AE69" s="135">
        <v>5000</v>
      </c>
      <c r="AF69" s="135">
        <v>636</v>
      </c>
      <c r="AG69" s="135">
        <v>1.57</v>
      </c>
      <c r="AH69" s="135">
        <v>8.1</v>
      </c>
      <c r="AI69" s="135">
        <v>3300</v>
      </c>
      <c r="AJ69" s="135">
        <v>407.8</v>
      </c>
      <c r="AK69" s="135">
        <v>2.4500000000000002</v>
      </c>
      <c r="AL69" s="135">
        <v>6.4</v>
      </c>
      <c r="AM69" s="135">
        <v>5700</v>
      </c>
      <c r="AN69" s="135">
        <v>897.4</v>
      </c>
      <c r="AO69" s="135">
        <v>1.1100000000000001</v>
      </c>
      <c r="AP69" s="135"/>
      <c r="AQ69" s="135"/>
      <c r="AR69" s="135"/>
      <c r="AS69" s="135"/>
      <c r="AT69" s="135"/>
      <c r="AU69" s="135"/>
      <c r="AV69" s="135"/>
      <c r="AW69" s="135"/>
      <c r="AX69" s="135">
        <v>6.4</v>
      </c>
      <c r="AY69" s="135">
        <v>10</v>
      </c>
      <c r="AZ69" s="135">
        <v>1.6</v>
      </c>
      <c r="BA69" s="135">
        <v>0.64</v>
      </c>
      <c r="BB69" s="135"/>
      <c r="BC69" s="135"/>
      <c r="BD69" s="135"/>
      <c r="BE69" s="135"/>
      <c r="BF69" s="135">
        <v>8.1</v>
      </c>
      <c r="BG69" s="135">
        <v>6400</v>
      </c>
      <c r="BH69" s="135">
        <v>790.9</v>
      </c>
      <c r="BI69" s="135">
        <v>1.26</v>
      </c>
      <c r="BJ69" s="135">
        <v>53.5</v>
      </c>
      <c r="BK69" s="135">
        <v>-4</v>
      </c>
      <c r="BL69" s="135">
        <v>28.75</v>
      </c>
    </row>
    <row r="70" spans="1:64" x14ac:dyDescent="0.3">
      <c r="A70" s="135">
        <v>2016</v>
      </c>
      <c r="B70" s="135">
        <v>4</v>
      </c>
      <c r="C70" s="135" t="s">
        <v>2565</v>
      </c>
      <c r="D70" s="135" t="s">
        <v>229</v>
      </c>
      <c r="E70" s="135" t="s">
        <v>396</v>
      </c>
      <c r="F70" s="135" t="s">
        <v>20</v>
      </c>
      <c r="G70" s="135" t="s">
        <v>397</v>
      </c>
      <c r="H70" s="135">
        <v>16.2</v>
      </c>
      <c r="I70" s="135">
        <v>4.806</v>
      </c>
      <c r="J70" s="135">
        <v>7.63</v>
      </c>
      <c r="K70" s="135">
        <v>0</v>
      </c>
      <c r="L70" s="135">
        <v>0</v>
      </c>
      <c r="M70" s="135">
        <v>0</v>
      </c>
      <c r="N70" s="135">
        <v>0</v>
      </c>
      <c r="O70" s="135">
        <v>0</v>
      </c>
      <c r="P70" s="135">
        <v>0</v>
      </c>
      <c r="Q70" s="135">
        <v>0</v>
      </c>
      <c r="R70" s="135">
        <v>0</v>
      </c>
      <c r="S70" s="135">
        <v>2.8239999999999998</v>
      </c>
      <c r="T70" s="135">
        <v>31.838000000000001</v>
      </c>
      <c r="U70" s="135">
        <v>0.27900000000000003</v>
      </c>
      <c r="V70" s="135">
        <v>2.5999999999999999E-2</v>
      </c>
      <c r="W70" s="135">
        <v>0</v>
      </c>
      <c r="X70" s="135">
        <v>0</v>
      </c>
      <c r="Y70" s="135" t="s">
        <v>1995</v>
      </c>
      <c r="Z70" s="135">
        <v>6.2</v>
      </c>
      <c r="AA70" s="135">
        <v>4100</v>
      </c>
      <c r="AB70" s="135">
        <v>662.2</v>
      </c>
      <c r="AC70" s="135">
        <v>1.51</v>
      </c>
      <c r="AD70" s="135">
        <v>7.6</v>
      </c>
      <c r="AE70" s="135">
        <v>6950</v>
      </c>
      <c r="AF70" s="135">
        <v>910.9</v>
      </c>
      <c r="AG70" s="135">
        <v>1.1000000000000001</v>
      </c>
      <c r="AH70" s="135">
        <v>7.8</v>
      </c>
      <c r="AI70" s="135">
        <v>4100</v>
      </c>
      <c r="AJ70" s="135">
        <v>522.5</v>
      </c>
      <c r="AK70" s="135">
        <v>1.91</v>
      </c>
      <c r="AL70" s="135">
        <v>6.2</v>
      </c>
      <c r="AM70" s="135">
        <v>5800</v>
      </c>
      <c r="AN70" s="135">
        <v>932.8</v>
      </c>
      <c r="AO70" s="135">
        <v>1.07</v>
      </c>
      <c r="AP70" s="135"/>
      <c r="AQ70" s="135"/>
      <c r="AR70" s="135"/>
      <c r="AS70" s="135"/>
      <c r="AT70" s="135"/>
      <c r="AU70" s="135"/>
      <c r="AV70" s="135"/>
      <c r="AW70" s="135"/>
      <c r="AX70" s="135">
        <v>6.2</v>
      </c>
      <c r="AY70" s="135">
        <v>13</v>
      </c>
      <c r="AZ70" s="135">
        <v>2.1</v>
      </c>
      <c r="BA70" s="135">
        <v>0.48</v>
      </c>
      <c r="BB70" s="135"/>
      <c r="BC70" s="135"/>
      <c r="BD70" s="135"/>
      <c r="BE70" s="135"/>
      <c r="BF70" s="135">
        <v>7.8</v>
      </c>
      <c r="BG70" s="135">
        <v>8000</v>
      </c>
      <c r="BH70" s="135">
        <v>1019.5</v>
      </c>
      <c r="BI70" s="135">
        <v>0.98</v>
      </c>
      <c r="BJ70" s="135">
        <v>47.5</v>
      </c>
      <c r="BK70" s="135">
        <v>-5.5</v>
      </c>
      <c r="BL70" s="135">
        <v>26.5</v>
      </c>
    </row>
    <row r="71" spans="1:64" x14ac:dyDescent="0.3">
      <c r="A71" s="135">
        <v>2016</v>
      </c>
      <c r="B71" s="135">
        <v>4</v>
      </c>
      <c r="C71" s="135" t="s">
        <v>2173</v>
      </c>
      <c r="D71" s="135" t="s">
        <v>278</v>
      </c>
      <c r="E71" s="135" t="s">
        <v>396</v>
      </c>
      <c r="F71" s="135" t="s">
        <v>12</v>
      </c>
      <c r="G71" s="135" t="s">
        <v>16</v>
      </c>
      <c r="H71" s="135">
        <v>11.77</v>
      </c>
      <c r="I71" s="135">
        <v>4.7759999999999998</v>
      </c>
      <c r="J71" s="135">
        <v>9.2680000000000007</v>
      </c>
      <c r="K71" s="135">
        <v>0</v>
      </c>
      <c r="L71" s="135">
        <v>0</v>
      </c>
      <c r="M71" s="135">
        <v>0</v>
      </c>
      <c r="N71" s="135">
        <v>0</v>
      </c>
      <c r="O71" s="135">
        <v>0</v>
      </c>
      <c r="P71" s="135">
        <v>0</v>
      </c>
      <c r="Q71" s="135">
        <v>0</v>
      </c>
      <c r="R71" s="135">
        <v>0</v>
      </c>
      <c r="S71" s="135">
        <v>4.492</v>
      </c>
      <c r="T71" s="135">
        <v>40.722000000000001</v>
      </c>
      <c r="U71" s="135">
        <v>0.13</v>
      </c>
      <c r="V71" s="135">
        <v>3.7999999999999999E-2</v>
      </c>
      <c r="W71" s="135">
        <v>0</v>
      </c>
      <c r="X71" s="135">
        <v>0</v>
      </c>
      <c r="Y71" s="135" t="s">
        <v>1995</v>
      </c>
      <c r="Z71" s="135">
        <v>7</v>
      </c>
      <c r="AA71" s="135">
        <v>4100</v>
      </c>
      <c r="AB71" s="135">
        <v>587</v>
      </c>
      <c r="AC71" s="135">
        <v>1.7</v>
      </c>
      <c r="AD71" s="135">
        <v>9.3000000000000007</v>
      </c>
      <c r="AE71" s="135">
        <v>5000</v>
      </c>
      <c r="AF71" s="135">
        <v>539.5</v>
      </c>
      <c r="AG71" s="135">
        <v>1.85</v>
      </c>
      <c r="AH71" s="135">
        <v>9.6</v>
      </c>
      <c r="AI71" s="135">
        <v>3100</v>
      </c>
      <c r="AJ71" s="135">
        <v>324.60000000000002</v>
      </c>
      <c r="AK71" s="135">
        <v>3.08</v>
      </c>
      <c r="AL71" s="135">
        <v>7</v>
      </c>
      <c r="AM71" s="135">
        <v>4500</v>
      </c>
      <c r="AN71" s="135">
        <v>640.79999999999995</v>
      </c>
      <c r="AO71" s="135">
        <v>1.56</v>
      </c>
      <c r="AP71" s="135"/>
      <c r="AQ71" s="135"/>
      <c r="AR71" s="135"/>
      <c r="AS71" s="135"/>
      <c r="AT71" s="135"/>
      <c r="AU71" s="135"/>
      <c r="AV71" s="135"/>
      <c r="AW71" s="135"/>
      <c r="AX71" s="135">
        <v>7</v>
      </c>
      <c r="AY71" s="135">
        <v>11</v>
      </c>
      <c r="AZ71" s="135">
        <v>1.6</v>
      </c>
      <c r="BA71" s="135">
        <v>0.64</v>
      </c>
      <c r="BB71" s="135"/>
      <c r="BC71" s="135"/>
      <c r="BD71" s="135"/>
      <c r="BE71" s="135"/>
      <c r="BF71" s="135">
        <v>9.6</v>
      </c>
      <c r="BG71" s="135">
        <v>6000</v>
      </c>
      <c r="BH71" s="135">
        <v>628.20000000000005</v>
      </c>
      <c r="BI71" s="135">
        <v>1.59</v>
      </c>
      <c r="BJ71" s="135">
        <v>49.5</v>
      </c>
      <c r="BK71" s="135">
        <v>2.5</v>
      </c>
      <c r="BL71" s="135">
        <v>23.5</v>
      </c>
    </row>
    <row r="72" spans="1:64" x14ac:dyDescent="0.3">
      <c r="A72" s="135">
        <v>2016</v>
      </c>
      <c r="B72" s="135">
        <v>4</v>
      </c>
      <c r="C72" s="135" t="s">
        <v>2167</v>
      </c>
      <c r="D72" s="135" t="s">
        <v>285</v>
      </c>
      <c r="E72" s="135" t="s">
        <v>396</v>
      </c>
      <c r="F72" s="135" t="s">
        <v>397</v>
      </c>
      <c r="G72" s="135" t="s">
        <v>2307</v>
      </c>
      <c r="H72" s="135">
        <v>15.77</v>
      </c>
      <c r="I72" s="135">
        <v>4.726</v>
      </c>
      <c r="J72" s="135">
        <v>7.6509999999999998</v>
      </c>
      <c r="K72" s="135">
        <v>0</v>
      </c>
      <c r="L72" s="135">
        <v>0</v>
      </c>
      <c r="M72" s="135">
        <v>0</v>
      </c>
      <c r="N72" s="135">
        <v>0</v>
      </c>
      <c r="O72" s="135">
        <v>0</v>
      </c>
      <c r="P72" s="135">
        <v>0</v>
      </c>
      <c r="Q72" s="135">
        <v>0</v>
      </c>
      <c r="R72" s="135">
        <v>0</v>
      </c>
      <c r="S72" s="135">
        <v>2.9249999999999998</v>
      </c>
      <c r="T72" s="135">
        <v>34.383000000000003</v>
      </c>
      <c r="U72" s="135">
        <v>0.224</v>
      </c>
      <c r="V72" s="135">
        <v>2.8000000000000001E-2</v>
      </c>
      <c r="W72" s="135">
        <v>0</v>
      </c>
      <c r="X72" s="135">
        <v>0</v>
      </c>
      <c r="Y72" s="135" t="s">
        <v>1995</v>
      </c>
      <c r="Z72" s="135">
        <v>6.2</v>
      </c>
      <c r="AA72" s="135">
        <v>3900</v>
      </c>
      <c r="AB72" s="135">
        <v>633</v>
      </c>
      <c r="AC72" s="135">
        <v>1.58</v>
      </c>
      <c r="AD72" s="135">
        <v>7.7</v>
      </c>
      <c r="AE72" s="135">
        <v>5500</v>
      </c>
      <c r="AF72" s="135">
        <v>718.8</v>
      </c>
      <c r="AG72" s="135">
        <v>1.39</v>
      </c>
      <c r="AH72" s="135">
        <v>7.9</v>
      </c>
      <c r="AI72" s="135">
        <v>3000</v>
      </c>
      <c r="AJ72" s="135">
        <v>380.4</v>
      </c>
      <c r="AK72" s="135">
        <v>2.63</v>
      </c>
      <c r="AL72" s="135">
        <v>6.2</v>
      </c>
      <c r="AM72" s="135">
        <v>4800</v>
      </c>
      <c r="AN72" s="135">
        <v>775.6</v>
      </c>
      <c r="AO72" s="135">
        <v>1.29</v>
      </c>
      <c r="AP72" s="135"/>
      <c r="AQ72" s="135"/>
      <c r="AR72" s="135"/>
      <c r="AS72" s="135"/>
      <c r="AT72" s="135"/>
      <c r="AU72" s="135"/>
      <c r="AV72" s="135"/>
      <c r="AW72" s="135"/>
      <c r="AX72" s="135">
        <v>6.2</v>
      </c>
      <c r="AY72" s="135">
        <v>11</v>
      </c>
      <c r="AZ72" s="135">
        <v>1.8</v>
      </c>
      <c r="BA72" s="135">
        <v>0.56000000000000005</v>
      </c>
      <c r="BB72" s="135"/>
      <c r="BC72" s="135"/>
      <c r="BD72" s="135"/>
      <c r="BE72" s="135"/>
      <c r="BF72" s="135">
        <v>7.9</v>
      </c>
      <c r="BG72" s="135">
        <v>6000</v>
      </c>
      <c r="BH72" s="135">
        <v>760.9</v>
      </c>
      <c r="BI72" s="135">
        <v>1.31</v>
      </c>
      <c r="BJ72" s="135">
        <v>47.5</v>
      </c>
      <c r="BK72" s="135">
        <v>5.5</v>
      </c>
      <c r="BL72" s="135">
        <v>21</v>
      </c>
    </row>
    <row r="73" spans="1:64" x14ac:dyDescent="0.3">
      <c r="A73" s="135">
        <v>2016</v>
      </c>
      <c r="B73" s="135">
        <v>4</v>
      </c>
      <c r="C73" s="135" t="s">
        <v>2161</v>
      </c>
      <c r="D73" s="135" t="s">
        <v>276</v>
      </c>
      <c r="E73" s="135" t="s">
        <v>396</v>
      </c>
      <c r="F73" s="135" t="s">
        <v>402</v>
      </c>
      <c r="G73" s="135" t="s">
        <v>10</v>
      </c>
      <c r="H73" s="135">
        <v>28.75</v>
      </c>
      <c r="I73" s="135">
        <v>4.5949999999999998</v>
      </c>
      <c r="J73" s="135">
        <v>7.1539999999999999</v>
      </c>
      <c r="K73" s="135">
        <v>0</v>
      </c>
      <c r="L73" s="135">
        <v>0</v>
      </c>
      <c r="M73" s="135">
        <v>0</v>
      </c>
      <c r="N73" s="135">
        <v>0</v>
      </c>
      <c r="O73" s="135">
        <v>0</v>
      </c>
      <c r="P73" s="135">
        <v>0</v>
      </c>
      <c r="Q73" s="135">
        <v>0</v>
      </c>
      <c r="R73" s="135">
        <v>0</v>
      </c>
      <c r="S73" s="135">
        <v>2.5590000000000002</v>
      </c>
      <c r="T73" s="135">
        <v>37.085000000000001</v>
      </c>
      <c r="U73" s="135">
        <v>0.156</v>
      </c>
      <c r="V73" s="135">
        <v>2.5000000000000001E-2</v>
      </c>
      <c r="W73" s="135">
        <v>0</v>
      </c>
      <c r="X73" s="135">
        <v>0</v>
      </c>
      <c r="Y73" s="135" t="s">
        <v>1995</v>
      </c>
      <c r="Z73" s="135">
        <v>5.8</v>
      </c>
      <c r="AA73" s="135">
        <v>4000</v>
      </c>
      <c r="AB73" s="135">
        <v>683.9</v>
      </c>
      <c r="AC73" s="135">
        <v>1.46</v>
      </c>
      <c r="AD73" s="135">
        <v>7.2</v>
      </c>
      <c r="AE73" s="135">
        <v>7450</v>
      </c>
      <c r="AF73" s="135">
        <v>1041.4000000000001</v>
      </c>
      <c r="AG73" s="135">
        <v>0.96</v>
      </c>
      <c r="AH73" s="135">
        <v>7.4</v>
      </c>
      <c r="AI73" s="135">
        <v>3700</v>
      </c>
      <c r="AJ73" s="135">
        <v>499.9</v>
      </c>
      <c r="AK73" s="135">
        <v>2</v>
      </c>
      <c r="AL73" s="135">
        <v>5.9</v>
      </c>
      <c r="AM73" s="135">
        <v>5200</v>
      </c>
      <c r="AN73" s="135">
        <v>885.3</v>
      </c>
      <c r="AO73" s="135">
        <v>1.1299999999999999</v>
      </c>
      <c r="AP73" s="135"/>
      <c r="AQ73" s="135"/>
      <c r="AR73" s="135"/>
      <c r="AS73" s="135"/>
      <c r="AT73" s="135"/>
      <c r="AU73" s="135"/>
      <c r="AV73" s="135"/>
      <c r="AW73" s="135"/>
      <c r="AX73" s="135">
        <v>5.9</v>
      </c>
      <c r="AY73" s="135">
        <v>15</v>
      </c>
      <c r="AZ73" s="135">
        <v>2.6</v>
      </c>
      <c r="BA73" s="135">
        <v>0.39</v>
      </c>
      <c r="BB73" s="135"/>
      <c r="BC73" s="135"/>
      <c r="BD73" s="135"/>
      <c r="BE73" s="135"/>
      <c r="BF73" s="135">
        <v>7.4</v>
      </c>
      <c r="BG73" s="135">
        <v>7400</v>
      </c>
      <c r="BH73" s="135">
        <v>999.9</v>
      </c>
      <c r="BI73" s="135">
        <v>1</v>
      </c>
      <c r="BJ73" s="135">
        <v>44</v>
      </c>
      <c r="BK73" s="135">
        <v>-4.5</v>
      </c>
      <c r="BL73" s="135">
        <v>24.25</v>
      </c>
    </row>
    <row r="74" spans="1:64" x14ac:dyDescent="0.3">
      <c r="A74" s="135">
        <v>2016</v>
      </c>
      <c r="B74" s="135">
        <v>4</v>
      </c>
      <c r="C74" s="135" t="s">
        <v>2165</v>
      </c>
      <c r="D74" s="135" t="s">
        <v>465</v>
      </c>
      <c r="E74" s="135" t="s">
        <v>396</v>
      </c>
      <c r="F74" s="135" t="s">
        <v>28</v>
      </c>
      <c r="G74" s="135" t="s">
        <v>57</v>
      </c>
      <c r="H74" s="135">
        <v>30.59</v>
      </c>
      <c r="I74" s="135">
        <v>4.5469999999999997</v>
      </c>
      <c r="J74" s="135">
        <v>8.0359999999999996</v>
      </c>
      <c r="K74" s="135">
        <v>0</v>
      </c>
      <c r="L74" s="135">
        <v>0</v>
      </c>
      <c r="M74" s="135">
        <v>0</v>
      </c>
      <c r="N74" s="135">
        <v>0</v>
      </c>
      <c r="O74" s="135">
        <v>0</v>
      </c>
      <c r="P74" s="135">
        <v>0</v>
      </c>
      <c r="Q74" s="135">
        <v>0</v>
      </c>
      <c r="R74" s="135">
        <v>0</v>
      </c>
      <c r="S74" s="135">
        <v>3.4889999999999999</v>
      </c>
      <c r="T74" s="135">
        <v>36.286999999999999</v>
      </c>
      <c r="U74" s="135">
        <v>0.16200000000000001</v>
      </c>
      <c r="V74" s="135">
        <v>2.7E-2</v>
      </c>
      <c r="W74" s="135">
        <v>0</v>
      </c>
      <c r="X74" s="135">
        <v>0</v>
      </c>
      <c r="Y74" s="135" t="s">
        <v>1995</v>
      </c>
      <c r="Z74" s="135">
        <v>6.3</v>
      </c>
      <c r="AA74" s="135">
        <v>3800</v>
      </c>
      <c r="AB74" s="135">
        <v>606.6</v>
      </c>
      <c r="AC74" s="135">
        <v>1.65</v>
      </c>
      <c r="AD74" s="135">
        <v>8</v>
      </c>
      <c r="AE74" s="135">
        <v>7300</v>
      </c>
      <c r="AF74" s="135">
        <v>908.4</v>
      </c>
      <c r="AG74" s="135">
        <v>1.1000000000000001</v>
      </c>
      <c r="AH74" s="135">
        <v>8.3000000000000007</v>
      </c>
      <c r="AI74" s="135">
        <v>3400</v>
      </c>
      <c r="AJ74" s="135">
        <v>410.6</v>
      </c>
      <c r="AK74" s="135">
        <v>2.44</v>
      </c>
      <c r="AL74" s="135">
        <v>6.3</v>
      </c>
      <c r="AM74" s="135">
        <v>5400</v>
      </c>
      <c r="AN74" s="135">
        <v>858.3</v>
      </c>
      <c r="AO74" s="135">
        <v>1.17</v>
      </c>
      <c r="AP74" s="135"/>
      <c r="AQ74" s="135"/>
      <c r="AR74" s="135"/>
      <c r="AS74" s="135"/>
      <c r="AT74" s="135"/>
      <c r="AU74" s="135"/>
      <c r="AV74" s="135"/>
      <c r="AW74" s="135"/>
      <c r="AX74" s="135">
        <v>6.3</v>
      </c>
      <c r="AY74" s="135">
        <v>11</v>
      </c>
      <c r="AZ74" s="135">
        <v>1.7</v>
      </c>
      <c r="BA74" s="135">
        <v>0.56999999999999995</v>
      </c>
      <c r="BB74" s="135"/>
      <c r="BC74" s="135"/>
      <c r="BD74" s="135"/>
      <c r="BE74" s="135"/>
      <c r="BF74" s="135">
        <v>8.3000000000000007</v>
      </c>
      <c r="BG74" s="135">
        <v>6700</v>
      </c>
      <c r="BH74" s="135">
        <v>809.1</v>
      </c>
      <c r="BI74" s="135">
        <v>1.24</v>
      </c>
      <c r="BJ74" s="135">
        <v>44.5</v>
      </c>
      <c r="BK74" s="135">
        <v>-7</v>
      </c>
      <c r="BL74" s="135">
        <v>25.75</v>
      </c>
    </row>
    <row r="75" spans="1:64" x14ac:dyDescent="0.3">
      <c r="A75" s="135">
        <v>2016</v>
      </c>
      <c r="B75" s="135">
        <v>4</v>
      </c>
      <c r="C75" s="135" t="s">
        <v>2179</v>
      </c>
      <c r="D75" s="135" t="s">
        <v>230</v>
      </c>
      <c r="E75" s="135" t="s">
        <v>396</v>
      </c>
      <c r="F75" s="135" t="s">
        <v>52</v>
      </c>
      <c r="G75" s="135" t="s">
        <v>2309</v>
      </c>
      <c r="H75" s="135">
        <v>26.3</v>
      </c>
      <c r="I75" s="135">
        <v>4.53</v>
      </c>
      <c r="J75" s="135">
        <v>6.7439999999999998</v>
      </c>
      <c r="K75" s="135">
        <v>0</v>
      </c>
      <c r="L75" s="135">
        <v>0</v>
      </c>
      <c r="M75" s="135">
        <v>0</v>
      </c>
      <c r="N75" s="135">
        <v>0</v>
      </c>
      <c r="O75" s="135">
        <v>0</v>
      </c>
      <c r="P75" s="135">
        <v>0</v>
      </c>
      <c r="Q75" s="135">
        <v>0</v>
      </c>
      <c r="R75" s="135">
        <v>0</v>
      </c>
      <c r="S75" s="135">
        <v>2.214</v>
      </c>
      <c r="T75" s="135">
        <v>36.459000000000003</v>
      </c>
      <c r="U75" s="135">
        <v>0.153</v>
      </c>
      <c r="V75" s="135">
        <v>1.7000000000000001E-2</v>
      </c>
      <c r="W75" s="135">
        <v>0</v>
      </c>
      <c r="X75" s="135">
        <v>0</v>
      </c>
      <c r="Y75" s="135" t="s">
        <v>1995</v>
      </c>
      <c r="Z75" s="135">
        <v>5.6</v>
      </c>
      <c r="AA75" s="135">
        <v>4000</v>
      </c>
      <c r="AB75" s="135">
        <v>711.8</v>
      </c>
      <c r="AC75" s="135">
        <v>1.4</v>
      </c>
      <c r="AD75" s="135">
        <v>6.7</v>
      </c>
      <c r="AE75" s="135">
        <v>7750</v>
      </c>
      <c r="AF75" s="135">
        <v>1149.2</v>
      </c>
      <c r="AG75" s="135">
        <v>0.87</v>
      </c>
      <c r="AH75" s="135">
        <v>7</v>
      </c>
      <c r="AI75" s="135">
        <v>3100</v>
      </c>
      <c r="AJ75" s="135">
        <v>444.1</v>
      </c>
      <c r="AK75" s="135">
        <v>2.25</v>
      </c>
      <c r="AL75" s="135">
        <v>5.6</v>
      </c>
      <c r="AM75" s="135">
        <v>4600</v>
      </c>
      <c r="AN75" s="135">
        <v>816.1</v>
      </c>
      <c r="AO75" s="135">
        <v>1.23</v>
      </c>
      <c r="AP75" s="135"/>
      <c r="AQ75" s="135"/>
      <c r="AR75" s="135"/>
      <c r="AS75" s="135"/>
      <c r="AT75" s="135"/>
      <c r="AU75" s="135"/>
      <c r="AV75" s="135"/>
      <c r="AW75" s="135"/>
      <c r="AX75" s="135">
        <v>5.6</v>
      </c>
      <c r="AY75" s="135">
        <v>13</v>
      </c>
      <c r="AZ75" s="135">
        <v>2.2999999999999998</v>
      </c>
      <c r="BA75" s="135">
        <v>0.43</v>
      </c>
      <c r="BB75" s="135"/>
      <c r="BC75" s="135"/>
      <c r="BD75" s="135"/>
      <c r="BE75" s="135"/>
      <c r="BF75" s="135">
        <v>7</v>
      </c>
      <c r="BG75" s="135">
        <v>6000</v>
      </c>
      <c r="BH75" s="135">
        <v>859.6</v>
      </c>
      <c r="BI75" s="135">
        <v>1.1599999999999999</v>
      </c>
      <c r="BJ75" s="135">
        <v>46</v>
      </c>
      <c r="BK75" s="135">
        <v>-3</v>
      </c>
      <c r="BL75" s="135">
        <v>24.5</v>
      </c>
    </row>
    <row r="76" spans="1:64" x14ac:dyDescent="0.3">
      <c r="A76" s="135">
        <v>2016</v>
      </c>
      <c r="B76" s="135">
        <v>4</v>
      </c>
      <c r="C76" s="135" t="s">
        <v>2157</v>
      </c>
      <c r="D76" s="135" t="s">
        <v>462</v>
      </c>
      <c r="E76" s="135" t="s">
        <v>396</v>
      </c>
      <c r="F76" s="135" t="s">
        <v>32</v>
      </c>
      <c r="G76" s="135" t="s">
        <v>4</v>
      </c>
      <c r="H76" s="135">
        <v>34.54</v>
      </c>
      <c r="I76" s="135">
        <v>4.4960000000000004</v>
      </c>
      <c r="J76" s="135">
        <v>6.1150000000000002</v>
      </c>
      <c r="K76" s="135">
        <v>0</v>
      </c>
      <c r="L76" s="135">
        <v>0</v>
      </c>
      <c r="M76" s="135">
        <v>0</v>
      </c>
      <c r="N76" s="135">
        <v>0</v>
      </c>
      <c r="O76" s="135">
        <v>0</v>
      </c>
      <c r="P76" s="135">
        <v>0</v>
      </c>
      <c r="Q76" s="135">
        <v>0</v>
      </c>
      <c r="R76" s="135">
        <v>0</v>
      </c>
      <c r="S76" s="135">
        <v>1.619</v>
      </c>
      <c r="T76" s="135">
        <v>32.478999999999999</v>
      </c>
      <c r="U76" s="135">
        <v>0.21199999999999999</v>
      </c>
      <c r="V76" s="135">
        <v>1.2E-2</v>
      </c>
      <c r="W76" s="135">
        <v>0</v>
      </c>
      <c r="X76" s="135">
        <v>0</v>
      </c>
      <c r="Y76" s="135" t="s">
        <v>1995</v>
      </c>
      <c r="Z76" s="135">
        <v>5.3</v>
      </c>
      <c r="AA76" s="135">
        <v>3800</v>
      </c>
      <c r="AB76" s="135">
        <v>717.9</v>
      </c>
      <c r="AC76" s="135">
        <v>1.39</v>
      </c>
      <c r="AD76" s="135">
        <v>6.1</v>
      </c>
      <c r="AE76" s="135">
        <v>5000</v>
      </c>
      <c r="AF76" s="135">
        <v>817.7</v>
      </c>
      <c r="AG76" s="135">
        <v>1.22</v>
      </c>
      <c r="AH76" s="135">
        <v>6.3</v>
      </c>
      <c r="AI76" s="135">
        <v>3000</v>
      </c>
      <c r="AJ76" s="135">
        <v>474.6</v>
      </c>
      <c r="AK76" s="135">
        <v>2.11</v>
      </c>
      <c r="AL76" s="135">
        <v>5.3</v>
      </c>
      <c r="AM76" s="135">
        <v>5000</v>
      </c>
      <c r="AN76" s="135">
        <v>942.4</v>
      </c>
      <c r="AO76" s="135">
        <v>1.06</v>
      </c>
      <c r="AP76" s="135"/>
      <c r="AQ76" s="135"/>
      <c r="AR76" s="135"/>
      <c r="AS76" s="135"/>
      <c r="AT76" s="135"/>
      <c r="AU76" s="135"/>
      <c r="AV76" s="135"/>
      <c r="AW76" s="135"/>
      <c r="AX76" s="135">
        <v>5.3</v>
      </c>
      <c r="AY76" s="135">
        <v>11</v>
      </c>
      <c r="AZ76" s="135">
        <v>2.1</v>
      </c>
      <c r="BA76" s="135">
        <v>0.48</v>
      </c>
      <c r="BB76" s="135"/>
      <c r="BC76" s="135"/>
      <c r="BD76" s="135"/>
      <c r="BE76" s="135"/>
      <c r="BF76" s="135">
        <v>6.3</v>
      </c>
      <c r="BG76" s="135">
        <v>6000</v>
      </c>
      <c r="BH76" s="135">
        <v>949.1</v>
      </c>
      <c r="BI76" s="135">
        <v>1.05</v>
      </c>
      <c r="BJ76" s="135">
        <v>46.5</v>
      </c>
      <c r="BK76" s="135">
        <v>-3.5</v>
      </c>
      <c r="BL76" s="135">
        <v>25</v>
      </c>
    </row>
    <row r="77" spans="1:64" x14ac:dyDescent="0.3">
      <c r="A77" s="135">
        <v>2016</v>
      </c>
      <c r="B77" s="135">
        <v>4</v>
      </c>
      <c r="C77" s="135" t="s">
        <v>2170</v>
      </c>
      <c r="D77" s="135" t="s">
        <v>291</v>
      </c>
      <c r="E77" s="135" t="s">
        <v>396</v>
      </c>
      <c r="F77" s="135" t="s">
        <v>24</v>
      </c>
      <c r="G77" s="135" t="s">
        <v>409</v>
      </c>
      <c r="H77" s="135">
        <v>23.55</v>
      </c>
      <c r="I77" s="135">
        <v>4.383</v>
      </c>
      <c r="J77" s="135">
        <v>6.15</v>
      </c>
      <c r="K77" s="135">
        <v>0</v>
      </c>
      <c r="L77" s="135">
        <v>0</v>
      </c>
      <c r="M77" s="135">
        <v>0</v>
      </c>
      <c r="N77" s="135">
        <v>0</v>
      </c>
      <c r="O77" s="135">
        <v>0</v>
      </c>
      <c r="P77" s="135">
        <v>0</v>
      </c>
      <c r="Q77" s="135">
        <v>0</v>
      </c>
      <c r="R77" s="135">
        <v>0</v>
      </c>
      <c r="S77" s="135">
        <v>1.7669999999999999</v>
      </c>
      <c r="T77" s="135">
        <v>34.753999999999998</v>
      </c>
      <c r="U77" s="135">
        <v>0.157</v>
      </c>
      <c r="V77" s="135">
        <v>1.7000000000000001E-2</v>
      </c>
      <c r="W77" s="135">
        <v>0</v>
      </c>
      <c r="X77" s="135">
        <v>0</v>
      </c>
      <c r="Y77" s="135" t="s">
        <v>1995</v>
      </c>
      <c r="Z77" s="135">
        <v>5.2</v>
      </c>
      <c r="AA77" s="135">
        <v>3800</v>
      </c>
      <c r="AB77" s="135">
        <v>723.8</v>
      </c>
      <c r="AC77" s="135">
        <v>1.38</v>
      </c>
      <c r="AD77" s="135">
        <v>6.2</v>
      </c>
      <c r="AE77" s="135">
        <v>5000</v>
      </c>
      <c r="AF77" s="135">
        <v>813</v>
      </c>
      <c r="AG77" s="135">
        <v>1.23</v>
      </c>
      <c r="AH77" s="135">
        <v>6.4</v>
      </c>
      <c r="AI77" s="135">
        <v>3300</v>
      </c>
      <c r="AJ77" s="135">
        <v>517.6</v>
      </c>
      <c r="AK77" s="135">
        <v>1.93</v>
      </c>
      <c r="AL77" s="135">
        <v>5.3</v>
      </c>
      <c r="AM77" s="135">
        <v>4700</v>
      </c>
      <c r="AN77" s="135">
        <v>892.4</v>
      </c>
      <c r="AO77" s="135">
        <v>1.1200000000000001</v>
      </c>
      <c r="AP77" s="135"/>
      <c r="AQ77" s="135"/>
      <c r="AR77" s="135"/>
      <c r="AS77" s="135"/>
      <c r="AT77" s="135"/>
      <c r="AU77" s="135"/>
      <c r="AV77" s="135"/>
      <c r="AW77" s="135"/>
      <c r="AX77" s="135">
        <v>5.3</v>
      </c>
      <c r="AY77" s="135">
        <v>11</v>
      </c>
      <c r="AZ77" s="135">
        <v>2.1</v>
      </c>
      <c r="BA77" s="135">
        <v>0.48</v>
      </c>
      <c r="BB77" s="135"/>
      <c r="BC77" s="135"/>
      <c r="BD77" s="135"/>
      <c r="BE77" s="135"/>
      <c r="BF77" s="135">
        <v>6.4</v>
      </c>
      <c r="BG77" s="135">
        <v>6400</v>
      </c>
      <c r="BH77" s="135">
        <v>1003.8</v>
      </c>
      <c r="BI77" s="135">
        <v>1</v>
      </c>
      <c r="BJ77" s="135">
        <v>43</v>
      </c>
      <c r="BK77" s="135">
        <v>-8</v>
      </c>
      <c r="BL77" s="135">
        <v>25.5</v>
      </c>
    </row>
    <row r="78" spans="1:64" x14ac:dyDescent="0.3">
      <c r="A78" s="135">
        <v>2016</v>
      </c>
      <c r="B78" s="135">
        <v>4</v>
      </c>
      <c r="C78" s="135" t="s">
        <v>2169</v>
      </c>
      <c r="D78" s="135" t="s">
        <v>222</v>
      </c>
      <c r="E78" s="135" t="s">
        <v>396</v>
      </c>
      <c r="F78" s="135" t="s">
        <v>22</v>
      </c>
      <c r="G78" s="135" t="s">
        <v>2296</v>
      </c>
      <c r="H78" s="135">
        <v>15.55</v>
      </c>
      <c r="I78" s="135">
        <v>4.2919999999999998</v>
      </c>
      <c r="J78" s="135">
        <v>5.9720000000000004</v>
      </c>
      <c r="K78" s="135">
        <v>0</v>
      </c>
      <c r="L78" s="135">
        <v>0</v>
      </c>
      <c r="M78" s="135">
        <v>0</v>
      </c>
      <c r="N78" s="135">
        <v>0</v>
      </c>
      <c r="O78" s="135">
        <v>0</v>
      </c>
      <c r="P78" s="135">
        <v>0.28100000000000003</v>
      </c>
      <c r="Q78" s="135">
        <v>2.613</v>
      </c>
      <c r="R78" s="135">
        <v>0</v>
      </c>
      <c r="S78" s="135">
        <v>1.68</v>
      </c>
      <c r="T78" s="135">
        <v>29.045999999999999</v>
      </c>
      <c r="U78" s="135">
        <v>0.193</v>
      </c>
      <c r="V78" s="135">
        <v>1.6E-2</v>
      </c>
      <c r="W78" s="135">
        <v>0</v>
      </c>
      <c r="X78" s="135">
        <v>0</v>
      </c>
      <c r="Y78" s="135" t="s">
        <v>1995</v>
      </c>
      <c r="Z78" s="135">
        <v>5.0999999999999996</v>
      </c>
      <c r="AA78" s="135">
        <v>4000</v>
      </c>
      <c r="AB78" s="135">
        <v>781.9</v>
      </c>
      <c r="AC78" s="135">
        <v>1.28</v>
      </c>
      <c r="AD78" s="135">
        <v>6</v>
      </c>
      <c r="AE78" s="135">
        <v>6100</v>
      </c>
      <c r="AF78" s="135">
        <v>1021.5</v>
      </c>
      <c r="AG78" s="135">
        <v>0.98</v>
      </c>
      <c r="AH78" s="135">
        <v>6.2</v>
      </c>
      <c r="AI78" s="135">
        <v>3700</v>
      </c>
      <c r="AJ78" s="135">
        <v>598.9</v>
      </c>
      <c r="AK78" s="135">
        <v>1.67</v>
      </c>
      <c r="AL78" s="135">
        <v>5.0999999999999996</v>
      </c>
      <c r="AM78" s="135">
        <v>5900</v>
      </c>
      <c r="AN78" s="135">
        <v>1149.7</v>
      </c>
      <c r="AO78" s="135">
        <v>0.87</v>
      </c>
      <c r="AP78" s="135"/>
      <c r="AQ78" s="135"/>
      <c r="AR78" s="135"/>
      <c r="AS78" s="135"/>
      <c r="AT78" s="135"/>
      <c r="AU78" s="135"/>
      <c r="AV78" s="135"/>
      <c r="AW78" s="135"/>
      <c r="AX78" s="135">
        <v>5.0999999999999996</v>
      </c>
      <c r="AY78" s="135">
        <v>12</v>
      </c>
      <c r="AZ78" s="135">
        <v>2.2999999999999998</v>
      </c>
      <c r="BA78" s="135">
        <v>0.43</v>
      </c>
      <c r="BB78" s="135"/>
      <c r="BC78" s="135"/>
      <c r="BD78" s="135"/>
      <c r="BE78" s="135"/>
      <c r="BF78" s="135">
        <v>6.2</v>
      </c>
      <c r="BG78" s="135">
        <v>7300</v>
      </c>
      <c r="BH78" s="135">
        <v>1181.5999999999999</v>
      </c>
      <c r="BI78" s="135">
        <v>0.85</v>
      </c>
      <c r="BJ78" s="135">
        <v>50</v>
      </c>
      <c r="BK78" s="135">
        <v>-3</v>
      </c>
      <c r="BL78" s="135">
        <v>26.5</v>
      </c>
    </row>
    <row r="79" spans="1:64" x14ac:dyDescent="0.3">
      <c r="A79" s="135">
        <v>2016</v>
      </c>
      <c r="B79" s="135">
        <v>4</v>
      </c>
      <c r="C79" s="135" t="s">
        <v>2166</v>
      </c>
      <c r="D79" s="135" t="s">
        <v>301</v>
      </c>
      <c r="E79" s="135" t="s">
        <v>396</v>
      </c>
      <c r="F79" s="135" t="s">
        <v>409</v>
      </c>
      <c r="G79" s="135" t="s">
        <v>2295</v>
      </c>
      <c r="H79" s="135">
        <v>21.17</v>
      </c>
      <c r="I79" s="135">
        <v>4.03</v>
      </c>
      <c r="J79" s="135">
        <v>6.306</v>
      </c>
      <c r="K79" s="135">
        <v>0</v>
      </c>
      <c r="L79" s="135">
        <v>0</v>
      </c>
      <c r="M79" s="135">
        <v>0</v>
      </c>
      <c r="N79" s="135">
        <v>0</v>
      </c>
      <c r="O79" s="135">
        <v>0</v>
      </c>
      <c r="P79" s="135">
        <v>0</v>
      </c>
      <c r="Q79" s="135">
        <v>0</v>
      </c>
      <c r="R79" s="135">
        <v>0</v>
      </c>
      <c r="S79" s="135">
        <v>2.2759999999999998</v>
      </c>
      <c r="T79" s="135">
        <v>31.542999999999999</v>
      </c>
      <c r="U79" s="135">
        <v>0.154</v>
      </c>
      <c r="V79" s="135">
        <v>2.4E-2</v>
      </c>
      <c r="W79" s="135">
        <v>0</v>
      </c>
      <c r="X79" s="135">
        <v>0</v>
      </c>
      <c r="Y79" s="135" t="s">
        <v>1995</v>
      </c>
      <c r="Z79" s="135">
        <v>5.0999999999999996</v>
      </c>
      <c r="AA79" s="135">
        <v>3800</v>
      </c>
      <c r="AB79" s="135">
        <v>738.7</v>
      </c>
      <c r="AC79" s="135">
        <v>1.35</v>
      </c>
      <c r="AD79" s="135">
        <v>6.3</v>
      </c>
      <c r="AE79" s="135">
        <v>5000</v>
      </c>
      <c r="AF79" s="135">
        <v>792.9</v>
      </c>
      <c r="AG79" s="135">
        <v>1.26</v>
      </c>
      <c r="AH79" s="135">
        <v>6.5</v>
      </c>
      <c r="AI79" s="135">
        <v>3000</v>
      </c>
      <c r="AJ79" s="135">
        <v>460.2</v>
      </c>
      <c r="AK79" s="135">
        <v>2.17</v>
      </c>
      <c r="AL79" s="135">
        <v>5.2</v>
      </c>
      <c r="AM79" s="135">
        <v>4500</v>
      </c>
      <c r="AN79" s="135">
        <v>870.7</v>
      </c>
      <c r="AO79" s="135">
        <v>1.1499999999999999</v>
      </c>
      <c r="AP79" s="135"/>
      <c r="AQ79" s="135"/>
      <c r="AR79" s="135"/>
      <c r="AS79" s="135"/>
      <c r="AT79" s="135"/>
      <c r="AU79" s="135"/>
      <c r="AV79" s="135"/>
      <c r="AW79" s="135"/>
      <c r="AX79" s="135">
        <v>5.2</v>
      </c>
      <c r="AY79" s="135">
        <v>10</v>
      </c>
      <c r="AZ79" s="135">
        <v>1.9</v>
      </c>
      <c r="BA79" s="135">
        <v>0.52</v>
      </c>
      <c r="BB79" s="135"/>
      <c r="BC79" s="135"/>
      <c r="BD79" s="135"/>
      <c r="BE79" s="135"/>
      <c r="BF79" s="135">
        <v>6.5</v>
      </c>
      <c r="BG79" s="135">
        <v>6000</v>
      </c>
      <c r="BH79" s="135">
        <v>920.3</v>
      </c>
      <c r="BI79" s="135">
        <v>1.0900000000000001</v>
      </c>
      <c r="BJ79" s="135">
        <v>43</v>
      </c>
      <c r="BK79" s="135">
        <v>8</v>
      </c>
      <c r="BL79" s="135">
        <v>17.5</v>
      </c>
    </row>
    <row r="80" spans="1:64" x14ac:dyDescent="0.3">
      <c r="A80" s="135">
        <v>2016</v>
      </c>
      <c r="B80" s="135">
        <v>4</v>
      </c>
      <c r="C80" s="135" t="s">
        <v>2163</v>
      </c>
      <c r="D80" s="135" t="s">
        <v>245</v>
      </c>
      <c r="E80" s="135" t="s">
        <v>396</v>
      </c>
      <c r="F80" s="135" t="s">
        <v>4</v>
      </c>
      <c r="G80" s="135" t="s">
        <v>2297</v>
      </c>
      <c r="H80" s="135">
        <v>22.34</v>
      </c>
      <c r="I80" s="135">
        <v>3.9049999999999998</v>
      </c>
      <c r="J80" s="135">
        <v>6.407</v>
      </c>
      <c r="K80" s="135">
        <v>0</v>
      </c>
      <c r="L80" s="135">
        <v>0</v>
      </c>
      <c r="M80" s="135">
        <v>0</v>
      </c>
      <c r="N80" s="135">
        <v>0</v>
      </c>
      <c r="O80" s="135">
        <v>0</v>
      </c>
      <c r="P80" s="135">
        <v>0</v>
      </c>
      <c r="Q80" s="135">
        <v>0</v>
      </c>
      <c r="R80" s="135">
        <v>0</v>
      </c>
      <c r="S80" s="135">
        <v>2.5019999999999998</v>
      </c>
      <c r="T80" s="135">
        <v>28.971</v>
      </c>
      <c r="U80" s="135">
        <v>0.17599999999999999</v>
      </c>
      <c r="V80" s="135">
        <v>2.4E-2</v>
      </c>
      <c r="W80" s="135">
        <v>0</v>
      </c>
      <c r="X80" s="135">
        <v>0</v>
      </c>
      <c r="Y80" s="135" t="s">
        <v>1995</v>
      </c>
      <c r="Z80" s="135">
        <v>5.0999999999999996</v>
      </c>
      <c r="AA80" s="135">
        <v>3500</v>
      </c>
      <c r="AB80" s="135">
        <v>682</v>
      </c>
      <c r="AC80" s="135">
        <v>1.47</v>
      </c>
      <c r="AD80" s="135">
        <v>6.4</v>
      </c>
      <c r="AE80" s="135">
        <v>6650</v>
      </c>
      <c r="AF80" s="135">
        <v>1037.9000000000001</v>
      </c>
      <c r="AG80" s="135">
        <v>0.96</v>
      </c>
      <c r="AH80" s="135">
        <v>6.6</v>
      </c>
      <c r="AI80" s="135">
        <v>3500</v>
      </c>
      <c r="AJ80" s="135">
        <v>529.9</v>
      </c>
      <c r="AK80" s="135">
        <v>1.89</v>
      </c>
      <c r="AL80" s="135">
        <v>5.2</v>
      </c>
      <c r="AM80" s="135">
        <v>5400</v>
      </c>
      <c r="AN80" s="135">
        <v>1047.3</v>
      </c>
      <c r="AO80" s="135">
        <v>0.95</v>
      </c>
      <c r="AP80" s="135"/>
      <c r="AQ80" s="135"/>
      <c r="AR80" s="135"/>
      <c r="AS80" s="135"/>
      <c r="AT80" s="135"/>
      <c r="AU80" s="135"/>
      <c r="AV80" s="135"/>
      <c r="AW80" s="135"/>
      <c r="AX80" s="135">
        <v>5.2</v>
      </c>
      <c r="AY80" s="135">
        <v>11</v>
      </c>
      <c r="AZ80" s="135">
        <v>2.1</v>
      </c>
      <c r="BA80" s="135">
        <v>0.47</v>
      </c>
      <c r="BB80" s="135"/>
      <c r="BC80" s="135"/>
      <c r="BD80" s="135"/>
      <c r="BE80" s="135"/>
      <c r="BF80" s="135">
        <v>6.6</v>
      </c>
      <c r="BG80" s="135">
        <v>6900</v>
      </c>
      <c r="BH80" s="135">
        <v>1044.7</v>
      </c>
      <c r="BI80" s="135">
        <v>0.96</v>
      </c>
      <c r="BJ80" s="135">
        <v>46.5</v>
      </c>
      <c r="BK80" s="135">
        <v>3.5</v>
      </c>
      <c r="BL80" s="135">
        <v>21.5</v>
      </c>
    </row>
    <row r="81" spans="1:64" x14ac:dyDescent="0.3">
      <c r="A81" s="135">
        <v>2016</v>
      </c>
      <c r="B81" s="135">
        <v>4</v>
      </c>
      <c r="C81" s="135" t="s">
        <v>2156</v>
      </c>
      <c r="D81" s="135" t="s">
        <v>239</v>
      </c>
      <c r="E81" s="135" t="s">
        <v>396</v>
      </c>
      <c r="F81" s="135" t="s">
        <v>30</v>
      </c>
      <c r="G81" s="135" t="s">
        <v>2302</v>
      </c>
      <c r="H81" s="135">
        <v>17.190000000000001</v>
      </c>
      <c r="I81" s="135">
        <v>3.6269999999999998</v>
      </c>
      <c r="J81" s="135">
        <v>6.29</v>
      </c>
      <c r="K81" s="135">
        <v>0</v>
      </c>
      <c r="L81" s="135">
        <v>0</v>
      </c>
      <c r="M81" s="135">
        <v>0</v>
      </c>
      <c r="N81" s="135">
        <v>0</v>
      </c>
      <c r="O81" s="135">
        <v>0</v>
      </c>
      <c r="P81" s="135">
        <v>0</v>
      </c>
      <c r="Q81" s="135">
        <v>0</v>
      </c>
      <c r="R81" s="135">
        <v>0</v>
      </c>
      <c r="S81" s="135">
        <v>2.6629999999999998</v>
      </c>
      <c r="T81" s="135">
        <v>28.006</v>
      </c>
      <c r="U81" s="135">
        <v>0.14699999999999999</v>
      </c>
      <c r="V81" s="135">
        <v>2.8000000000000001E-2</v>
      </c>
      <c r="W81" s="135">
        <v>0</v>
      </c>
      <c r="X81" s="135">
        <v>0</v>
      </c>
      <c r="Y81" s="135" t="s">
        <v>1995</v>
      </c>
      <c r="Z81" s="135">
        <v>4.9000000000000004</v>
      </c>
      <c r="AA81" s="135">
        <v>3800</v>
      </c>
      <c r="AB81" s="135">
        <v>770.8</v>
      </c>
      <c r="AC81" s="135">
        <v>1.3</v>
      </c>
      <c r="AD81" s="135">
        <v>6.3</v>
      </c>
      <c r="AE81" s="135">
        <v>7450</v>
      </c>
      <c r="AF81" s="135">
        <v>1184.5</v>
      </c>
      <c r="AG81" s="135">
        <v>0.84</v>
      </c>
      <c r="AH81" s="135">
        <v>6.5</v>
      </c>
      <c r="AI81" s="135">
        <v>3100</v>
      </c>
      <c r="AJ81" s="135">
        <v>478</v>
      </c>
      <c r="AK81" s="135">
        <v>2.09</v>
      </c>
      <c r="AL81" s="135">
        <v>5</v>
      </c>
      <c r="AM81" s="135">
        <v>5000</v>
      </c>
      <c r="AN81" s="135">
        <v>1008.5</v>
      </c>
      <c r="AO81" s="135">
        <v>0.99</v>
      </c>
      <c r="AP81" s="135"/>
      <c r="AQ81" s="135"/>
      <c r="AR81" s="135"/>
      <c r="AS81" s="135"/>
      <c r="AT81" s="135"/>
      <c r="AU81" s="135"/>
      <c r="AV81" s="135"/>
      <c r="AW81" s="135"/>
      <c r="AX81" s="135">
        <v>5</v>
      </c>
      <c r="AY81" s="135">
        <v>11</v>
      </c>
      <c r="AZ81" s="135">
        <v>2.2000000000000002</v>
      </c>
      <c r="BA81" s="135">
        <v>0.45</v>
      </c>
      <c r="BB81" s="135"/>
      <c r="BC81" s="135"/>
      <c r="BD81" s="135"/>
      <c r="BE81" s="135"/>
      <c r="BF81" s="135">
        <v>6.5</v>
      </c>
      <c r="BG81" s="135">
        <v>6000</v>
      </c>
      <c r="BH81" s="135">
        <v>925.1</v>
      </c>
      <c r="BI81" s="135">
        <v>1.08</v>
      </c>
      <c r="BJ81" s="135">
        <v>40.5</v>
      </c>
      <c r="BK81" s="135">
        <v>6.5</v>
      </c>
      <c r="BL81" s="135">
        <v>17</v>
      </c>
    </row>
    <row r="82" spans="1:64" x14ac:dyDescent="0.3">
      <c r="A82" s="135">
        <v>2016</v>
      </c>
      <c r="B82" s="135">
        <v>4</v>
      </c>
      <c r="C82" s="135" t="s">
        <v>2566</v>
      </c>
      <c r="D82" s="135" t="s">
        <v>514</v>
      </c>
      <c r="E82" s="135" t="s">
        <v>396</v>
      </c>
      <c r="F82" s="135" t="s">
        <v>14</v>
      </c>
      <c r="G82" s="135" t="s">
        <v>2310</v>
      </c>
      <c r="H82" s="135">
        <v>32.14</v>
      </c>
      <c r="I82" s="135">
        <v>3.4630000000000001</v>
      </c>
      <c r="J82" s="135">
        <v>5.7670000000000003</v>
      </c>
      <c r="K82" s="135">
        <v>0</v>
      </c>
      <c r="L82" s="135">
        <v>0</v>
      </c>
      <c r="M82" s="135">
        <v>0</v>
      </c>
      <c r="N82" s="135">
        <v>0</v>
      </c>
      <c r="O82" s="135">
        <v>0</v>
      </c>
      <c r="P82" s="135">
        <v>0</v>
      </c>
      <c r="Q82" s="135">
        <v>0</v>
      </c>
      <c r="R82" s="135">
        <v>0</v>
      </c>
      <c r="S82" s="135">
        <v>2.3039999999999998</v>
      </c>
      <c r="T82" s="135">
        <v>26.626999999999999</v>
      </c>
      <c r="U82" s="135">
        <v>0.14000000000000001</v>
      </c>
      <c r="V82" s="135">
        <v>0.02</v>
      </c>
      <c r="W82" s="135">
        <v>0</v>
      </c>
      <c r="X82" s="135">
        <v>0</v>
      </c>
      <c r="Y82" s="135" t="s">
        <v>1995</v>
      </c>
      <c r="Z82" s="135">
        <v>4.5999999999999996</v>
      </c>
      <c r="AA82" s="135">
        <v>3000</v>
      </c>
      <c r="AB82" s="135">
        <v>652.9</v>
      </c>
      <c r="AC82" s="135">
        <v>1.53</v>
      </c>
      <c r="AD82" s="135">
        <v>5.8</v>
      </c>
      <c r="AE82" s="135">
        <v>5000</v>
      </c>
      <c r="AF82" s="135">
        <v>867</v>
      </c>
      <c r="AG82" s="135">
        <v>1.1499999999999999</v>
      </c>
      <c r="AH82" s="135">
        <v>5.9</v>
      </c>
      <c r="AI82" s="135">
        <v>3000</v>
      </c>
      <c r="AJ82" s="135">
        <v>504.5</v>
      </c>
      <c r="AK82" s="135">
        <v>1.98</v>
      </c>
      <c r="AL82" s="135">
        <v>4.5999999999999996</v>
      </c>
      <c r="AM82" s="135">
        <v>4500</v>
      </c>
      <c r="AN82" s="135">
        <v>975.1</v>
      </c>
      <c r="AO82" s="135">
        <v>1.03</v>
      </c>
      <c r="AP82" s="135"/>
      <c r="AQ82" s="135"/>
      <c r="AR82" s="135"/>
      <c r="AS82" s="135"/>
      <c r="AT82" s="135"/>
      <c r="AU82" s="135"/>
      <c r="AV82" s="135"/>
      <c r="AW82" s="135"/>
      <c r="AX82" s="135">
        <v>4.5999999999999996</v>
      </c>
      <c r="AY82" s="135">
        <v>10</v>
      </c>
      <c r="AZ82" s="135">
        <v>2.2000000000000002</v>
      </c>
      <c r="BA82" s="135">
        <v>0.46</v>
      </c>
      <c r="BB82" s="135"/>
      <c r="BC82" s="135"/>
      <c r="BD82" s="135"/>
      <c r="BE82" s="135"/>
      <c r="BF82" s="135">
        <v>5.9</v>
      </c>
      <c r="BG82" s="135">
        <v>6000</v>
      </c>
      <c r="BH82" s="135">
        <v>1009</v>
      </c>
      <c r="BI82" s="135">
        <v>0.99</v>
      </c>
      <c r="BJ82" s="135">
        <v>45.5</v>
      </c>
      <c r="BK82" s="135">
        <v>8</v>
      </c>
      <c r="BL82" s="135">
        <v>18.75</v>
      </c>
    </row>
    <row r="83" spans="1:64" x14ac:dyDescent="0.3">
      <c r="A83" s="135">
        <v>2016</v>
      </c>
      <c r="B83" s="135">
        <v>4</v>
      </c>
      <c r="C83" s="135" t="s">
        <v>2158</v>
      </c>
      <c r="D83" s="135" t="s">
        <v>254</v>
      </c>
      <c r="E83" s="135" t="s">
        <v>396</v>
      </c>
      <c r="F83" s="135" t="s">
        <v>22</v>
      </c>
      <c r="G83" s="135" t="s">
        <v>2296</v>
      </c>
      <c r="H83" s="135">
        <v>15.55</v>
      </c>
      <c r="I83" s="135">
        <v>3.4470000000000001</v>
      </c>
      <c r="J83" s="135">
        <v>4.5270000000000001</v>
      </c>
      <c r="K83" s="135">
        <v>0</v>
      </c>
      <c r="L83" s="135">
        <v>0</v>
      </c>
      <c r="M83" s="135">
        <v>0</v>
      </c>
      <c r="N83" s="135">
        <v>0</v>
      </c>
      <c r="O83" s="135">
        <v>0</v>
      </c>
      <c r="P83" s="135">
        <v>0</v>
      </c>
      <c r="Q83" s="135">
        <v>0</v>
      </c>
      <c r="R83" s="135">
        <v>0</v>
      </c>
      <c r="S83" s="135">
        <v>1.08</v>
      </c>
      <c r="T83" s="135">
        <v>13.831</v>
      </c>
      <c r="U83" s="135">
        <v>0.34699999999999998</v>
      </c>
      <c r="V83" s="135">
        <v>8.9999999999999993E-3</v>
      </c>
      <c r="W83" s="135">
        <v>0</v>
      </c>
      <c r="X83" s="135">
        <v>0</v>
      </c>
      <c r="Y83" s="135" t="s">
        <v>1995</v>
      </c>
      <c r="Z83" s="135">
        <v>4</v>
      </c>
      <c r="AA83" s="135">
        <v>4000</v>
      </c>
      <c r="AB83" s="135">
        <v>1005.5</v>
      </c>
      <c r="AC83" s="135">
        <v>0.99</v>
      </c>
      <c r="AD83" s="135">
        <v>4.5</v>
      </c>
      <c r="AE83" s="135">
        <v>6950</v>
      </c>
      <c r="AF83" s="135">
        <v>1535.2</v>
      </c>
      <c r="AG83" s="135">
        <v>0.65</v>
      </c>
      <c r="AH83" s="135">
        <v>4.5999999999999996</v>
      </c>
      <c r="AI83" s="135">
        <v>3600</v>
      </c>
      <c r="AJ83" s="135">
        <v>779.4</v>
      </c>
      <c r="AK83" s="135">
        <v>1.28</v>
      </c>
      <c r="AL83" s="135">
        <v>4</v>
      </c>
      <c r="AM83" s="135">
        <v>5300</v>
      </c>
      <c r="AN83" s="135">
        <v>1329.3</v>
      </c>
      <c r="AO83" s="135">
        <v>0.75</v>
      </c>
      <c r="AP83" s="135"/>
      <c r="AQ83" s="135"/>
      <c r="AR83" s="135"/>
      <c r="AS83" s="135"/>
      <c r="AT83" s="135"/>
      <c r="AU83" s="135"/>
      <c r="AV83" s="135"/>
      <c r="AW83" s="135"/>
      <c r="AX83" s="135">
        <v>4</v>
      </c>
      <c r="AY83" s="135">
        <v>11</v>
      </c>
      <c r="AZ83" s="135">
        <v>2.8</v>
      </c>
      <c r="BA83" s="135">
        <v>0.36</v>
      </c>
      <c r="BB83" s="135"/>
      <c r="BC83" s="135"/>
      <c r="BD83" s="135"/>
      <c r="BE83" s="135"/>
      <c r="BF83" s="135">
        <v>4.5999999999999996</v>
      </c>
      <c r="BG83" s="135">
        <v>7000</v>
      </c>
      <c r="BH83" s="135">
        <v>1515.5</v>
      </c>
      <c r="BI83" s="135">
        <v>0.66</v>
      </c>
      <c r="BJ83" s="135">
        <v>50</v>
      </c>
      <c r="BK83" s="135">
        <v>-3</v>
      </c>
      <c r="BL83" s="135">
        <v>26.5</v>
      </c>
    </row>
    <row r="84" spans="1:64" x14ac:dyDescent="0.3">
      <c r="A84" s="135">
        <v>2016</v>
      </c>
      <c r="B84" s="135">
        <v>4</v>
      </c>
      <c r="C84" s="135" t="s">
        <v>2197</v>
      </c>
      <c r="D84" s="135" t="s">
        <v>264</v>
      </c>
      <c r="E84" s="135" t="s">
        <v>396</v>
      </c>
      <c r="F84" s="135" t="s">
        <v>404</v>
      </c>
      <c r="G84" s="135" t="s">
        <v>2308</v>
      </c>
      <c r="H84" s="135">
        <v>29.35</v>
      </c>
      <c r="I84" s="135">
        <v>3.3639999999999999</v>
      </c>
      <c r="J84" s="135">
        <v>5.3920000000000003</v>
      </c>
      <c r="K84" s="135">
        <v>0</v>
      </c>
      <c r="L84" s="135">
        <v>0</v>
      </c>
      <c r="M84" s="135">
        <v>0</v>
      </c>
      <c r="N84" s="135">
        <v>0</v>
      </c>
      <c r="O84" s="135">
        <v>0</v>
      </c>
      <c r="P84" s="135">
        <v>0</v>
      </c>
      <c r="Q84" s="135">
        <v>0</v>
      </c>
      <c r="R84" s="135">
        <v>0</v>
      </c>
      <c r="S84" s="135">
        <v>2.028</v>
      </c>
      <c r="T84" s="135">
        <v>24.219000000000001</v>
      </c>
      <c r="U84" s="135">
        <v>0.16200000000000001</v>
      </c>
      <c r="V84" s="135">
        <v>1.4999999999999999E-2</v>
      </c>
      <c r="W84" s="135">
        <v>0</v>
      </c>
      <c r="X84" s="135">
        <v>0</v>
      </c>
      <c r="Y84" s="135" t="s">
        <v>1995</v>
      </c>
      <c r="Z84" s="135">
        <v>4.4000000000000004</v>
      </c>
      <c r="AA84" s="135">
        <v>3500</v>
      </c>
      <c r="AB84" s="135">
        <v>802.2</v>
      </c>
      <c r="AC84" s="135">
        <v>1.25</v>
      </c>
      <c r="AD84" s="135">
        <v>5.4</v>
      </c>
      <c r="AE84" s="135">
        <v>5900</v>
      </c>
      <c r="AF84" s="135">
        <v>1094.2</v>
      </c>
      <c r="AG84" s="135">
        <v>0.91</v>
      </c>
      <c r="AH84" s="135">
        <v>5.6</v>
      </c>
      <c r="AI84" s="135">
        <v>3000</v>
      </c>
      <c r="AJ84" s="135">
        <v>540.29999999999995</v>
      </c>
      <c r="AK84" s="135">
        <v>1.85</v>
      </c>
      <c r="AL84" s="135">
        <v>4.4000000000000004</v>
      </c>
      <c r="AM84" s="135">
        <v>4600</v>
      </c>
      <c r="AN84" s="135">
        <v>1050.7</v>
      </c>
      <c r="AO84" s="135">
        <v>0.95</v>
      </c>
      <c r="AP84" s="135"/>
      <c r="AQ84" s="135"/>
      <c r="AR84" s="135"/>
      <c r="AS84" s="135"/>
      <c r="AT84" s="135"/>
      <c r="AU84" s="135"/>
      <c r="AV84" s="135"/>
      <c r="AW84" s="135"/>
      <c r="AX84" s="135">
        <v>4.4000000000000004</v>
      </c>
      <c r="AY84" s="135">
        <v>10</v>
      </c>
      <c r="AZ84" s="135">
        <v>2.2999999999999998</v>
      </c>
      <c r="BA84" s="135">
        <v>0.44</v>
      </c>
      <c r="BB84" s="135"/>
      <c r="BC84" s="135"/>
      <c r="BD84" s="135"/>
      <c r="BE84" s="135"/>
      <c r="BF84" s="135">
        <v>5.6</v>
      </c>
      <c r="BG84" s="135">
        <v>6000</v>
      </c>
      <c r="BH84" s="135">
        <v>1080.5999999999999</v>
      </c>
      <c r="BI84" s="135">
        <v>0.93</v>
      </c>
      <c r="BJ84" s="135">
        <v>53.5</v>
      </c>
      <c r="BK84" s="135">
        <v>4</v>
      </c>
      <c r="BL84" s="135">
        <v>24.75</v>
      </c>
    </row>
    <row r="85" spans="1:64" x14ac:dyDescent="0.3">
      <c r="A85" s="135">
        <v>2016</v>
      </c>
      <c r="B85" s="135">
        <v>4</v>
      </c>
      <c r="C85" s="135" t="s">
        <v>2183</v>
      </c>
      <c r="D85" s="135" t="s">
        <v>246</v>
      </c>
      <c r="E85" s="135" t="s">
        <v>396</v>
      </c>
      <c r="F85" s="135" t="s">
        <v>22</v>
      </c>
      <c r="G85" s="135" t="s">
        <v>2296</v>
      </c>
      <c r="H85" s="135">
        <v>15.55</v>
      </c>
      <c r="I85" s="135">
        <v>3.1659999999999999</v>
      </c>
      <c r="J85" s="135">
        <v>5.5670000000000002</v>
      </c>
      <c r="K85" s="135">
        <v>0</v>
      </c>
      <c r="L85" s="135">
        <v>0</v>
      </c>
      <c r="M85" s="135">
        <v>0</v>
      </c>
      <c r="N85" s="135">
        <v>0</v>
      </c>
      <c r="O85" s="135">
        <v>0</v>
      </c>
      <c r="P85" s="135">
        <v>0</v>
      </c>
      <c r="Q85" s="135">
        <v>0</v>
      </c>
      <c r="R85" s="135">
        <v>0</v>
      </c>
      <c r="S85" s="135">
        <v>2.4009999999999998</v>
      </c>
      <c r="T85" s="135">
        <v>26.279</v>
      </c>
      <c r="U85" s="135">
        <v>9.6000000000000002E-2</v>
      </c>
      <c r="V85" s="135">
        <v>1.9E-2</v>
      </c>
      <c r="W85" s="135">
        <v>0</v>
      </c>
      <c r="X85" s="135">
        <v>0</v>
      </c>
      <c r="Y85" s="135" t="s">
        <v>1995</v>
      </c>
      <c r="Z85" s="135">
        <v>4.3</v>
      </c>
      <c r="AA85" s="135">
        <v>3500</v>
      </c>
      <c r="AB85" s="135">
        <v>805.1</v>
      </c>
      <c r="AC85" s="135">
        <v>1.24</v>
      </c>
      <c r="AD85" s="135">
        <v>5.6</v>
      </c>
      <c r="AE85" s="135">
        <v>5000</v>
      </c>
      <c r="AF85" s="135">
        <v>898.2</v>
      </c>
      <c r="AG85" s="135">
        <v>1.1100000000000001</v>
      </c>
      <c r="AH85" s="135">
        <v>5.7</v>
      </c>
      <c r="AI85" s="135">
        <v>3000</v>
      </c>
      <c r="AJ85" s="135">
        <v>522.29999999999995</v>
      </c>
      <c r="AK85" s="135">
        <v>1.91</v>
      </c>
      <c r="AL85" s="135">
        <v>4.4000000000000004</v>
      </c>
      <c r="AM85" s="135">
        <v>4800</v>
      </c>
      <c r="AN85" s="135">
        <v>1099.3</v>
      </c>
      <c r="AO85" s="135">
        <v>0.91</v>
      </c>
      <c r="AP85" s="135"/>
      <c r="AQ85" s="135"/>
      <c r="AR85" s="135"/>
      <c r="AS85" s="135"/>
      <c r="AT85" s="135"/>
      <c r="AU85" s="135"/>
      <c r="AV85" s="135"/>
      <c r="AW85" s="135"/>
      <c r="AX85" s="135">
        <v>4.4000000000000004</v>
      </c>
      <c r="AY85" s="135">
        <v>10</v>
      </c>
      <c r="AZ85" s="135">
        <v>2.2999999999999998</v>
      </c>
      <c r="BA85" s="135">
        <v>0.44</v>
      </c>
      <c r="BB85" s="135"/>
      <c r="BC85" s="135"/>
      <c r="BD85" s="135"/>
      <c r="BE85" s="135"/>
      <c r="BF85" s="135">
        <v>5.7</v>
      </c>
      <c r="BG85" s="135">
        <v>6000</v>
      </c>
      <c r="BH85" s="135">
        <v>1044.5999999999999</v>
      </c>
      <c r="BI85" s="135">
        <v>0.96</v>
      </c>
      <c r="BJ85" s="135">
        <v>50</v>
      </c>
      <c r="BK85" s="135">
        <v>-3</v>
      </c>
      <c r="BL85" s="135">
        <v>26.5</v>
      </c>
    </row>
    <row r="86" spans="1:64" x14ac:dyDescent="0.3">
      <c r="A86" s="135">
        <v>2016</v>
      </c>
      <c r="B86" s="135">
        <v>4</v>
      </c>
      <c r="C86" s="135" t="s">
        <v>2567</v>
      </c>
      <c r="D86" s="135" t="s">
        <v>290</v>
      </c>
      <c r="E86" s="135" t="s">
        <v>396</v>
      </c>
      <c r="F86" s="135" t="s">
        <v>70</v>
      </c>
      <c r="G86" s="135" t="s">
        <v>2005</v>
      </c>
      <c r="H86" s="135">
        <v>32.64</v>
      </c>
      <c r="I86" s="135">
        <v>3.145</v>
      </c>
      <c r="J86" s="135">
        <v>4.7359999999999998</v>
      </c>
      <c r="K86" s="135">
        <v>0</v>
      </c>
      <c r="L86" s="135">
        <v>0</v>
      </c>
      <c r="M86" s="135">
        <v>0</v>
      </c>
      <c r="N86" s="135">
        <v>0</v>
      </c>
      <c r="O86" s="135">
        <v>0</v>
      </c>
      <c r="P86" s="135">
        <v>0</v>
      </c>
      <c r="Q86" s="135">
        <v>0</v>
      </c>
      <c r="R86" s="135">
        <v>0</v>
      </c>
      <c r="S86" s="135">
        <v>1.591</v>
      </c>
      <c r="T86" s="135">
        <v>22.869</v>
      </c>
      <c r="U86" s="135">
        <v>0.14799999999999999</v>
      </c>
      <c r="V86" s="135">
        <v>1.4999999999999999E-2</v>
      </c>
      <c r="W86" s="135">
        <v>0</v>
      </c>
      <c r="X86" s="135">
        <v>0</v>
      </c>
      <c r="Y86" s="135" t="s">
        <v>1995</v>
      </c>
      <c r="Z86" s="135">
        <v>3.9</v>
      </c>
      <c r="AA86" s="135">
        <v>3500</v>
      </c>
      <c r="AB86" s="135">
        <v>891.6</v>
      </c>
      <c r="AC86" s="135">
        <v>1.1200000000000001</v>
      </c>
      <c r="AD86" s="135">
        <v>4.7</v>
      </c>
      <c r="AE86" s="135">
        <v>5000</v>
      </c>
      <c r="AF86" s="135">
        <v>1055.8</v>
      </c>
      <c r="AG86" s="135">
        <v>0.95</v>
      </c>
      <c r="AH86" s="135">
        <v>4.9000000000000004</v>
      </c>
      <c r="AI86" s="135">
        <v>3000</v>
      </c>
      <c r="AJ86" s="135">
        <v>613.70000000000005</v>
      </c>
      <c r="AK86" s="135">
        <v>1.63</v>
      </c>
      <c r="AL86" s="135">
        <v>3.9</v>
      </c>
      <c r="AM86" s="135">
        <v>4500</v>
      </c>
      <c r="AN86" s="135">
        <v>1142</v>
      </c>
      <c r="AO86" s="135">
        <v>0.88</v>
      </c>
      <c r="AP86" s="135"/>
      <c r="AQ86" s="135"/>
      <c r="AR86" s="135"/>
      <c r="AS86" s="135"/>
      <c r="AT86" s="135"/>
      <c r="AU86" s="135"/>
      <c r="AV86" s="135"/>
      <c r="AW86" s="135"/>
      <c r="AX86" s="135">
        <v>3.9</v>
      </c>
      <c r="AY86" s="135">
        <v>10</v>
      </c>
      <c r="AZ86" s="135">
        <v>2.5</v>
      </c>
      <c r="BA86" s="135">
        <v>0.39</v>
      </c>
      <c r="BB86" s="135"/>
      <c r="BC86" s="135"/>
      <c r="BD86" s="135"/>
      <c r="BE86" s="135"/>
      <c r="BF86" s="135">
        <v>4.9000000000000004</v>
      </c>
      <c r="BG86" s="135">
        <v>6000</v>
      </c>
      <c r="BH86" s="135">
        <v>1227.5</v>
      </c>
      <c r="BI86" s="135">
        <v>0.81</v>
      </c>
      <c r="BJ86" s="135">
        <v>44</v>
      </c>
      <c r="BK86" s="135">
        <v>-3</v>
      </c>
      <c r="BL86" s="135">
        <v>23.5</v>
      </c>
    </row>
    <row r="87" spans="1:64" x14ac:dyDescent="0.3">
      <c r="A87" s="135">
        <v>2016</v>
      </c>
      <c r="B87" s="135">
        <v>4</v>
      </c>
      <c r="C87" s="135" t="s">
        <v>2174</v>
      </c>
      <c r="D87" s="135" t="s">
        <v>293</v>
      </c>
      <c r="E87" s="135" t="s">
        <v>396</v>
      </c>
      <c r="F87" s="135" t="s">
        <v>41</v>
      </c>
      <c r="G87" s="135" t="s">
        <v>37</v>
      </c>
      <c r="H87" s="135">
        <v>18.84</v>
      </c>
      <c r="I87" s="135">
        <v>2.931</v>
      </c>
      <c r="J87" s="135">
        <v>4.1680000000000001</v>
      </c>
      <c r="K87" s="135">
        <v>0</v>
      </c>
      <c r="L87" s="135">
        <v>0</v>
      </c>
      <c r="M87" s="135">
        <v>0</v>
      </c>
      <c r="N87" s="135">
        <v>0</v>
      </c>
      <c r="O87" s="135">
        <v>0</v>
      </c>
      <c r="P87" s="135">
        <v>0</v>
      </c>
      <c r="Q87" s="135">
        <v>0</v>
      </c>
      <c r="R87" s="135">
        <v>0</v>
      </c>
      <c r="S87" s="135">
        <v>1.2370000000000001</v>
      </c>
      <c r="T87" s="135">
        <v>20.486000000000001</v>
      </c>
      <c r="U87" s="135">
        <v>0.151</v>
      </c>
      <c r="V87" s="135">
        <v>1.2E-2</v>
      </c>
      <c r="W87" s="135">
        <v>0</v>
      </c>
      <c r="X87" s="135">
        <v>0</v>
      </c>
      <c r="Y87" s="135" t="s">
        <v>1995</v>
      </c>
      <c r="Z87" s="135">
        <v>3.5</v>
      </c>
      <c r="AA87" s="135">
        <v>3500</v>
      </c>
      <c r="AB87" s="135">
        <v>989.5</v>
      </c>
      <c r="AC87" s="135">
        <v>1.01</v>
      </c>
      <c r="AD87" s="135">
        <v>4.2</v>
      </c>
      <c r="AE87" s="135">
        <v>5000</v>
      </c>
      <c r="AF87" s="135">
        <v>1199.7</v>
      </c>
      <c r="AG87" s="135">
        <v>0.83</v>
      </c>
      <c r="AH87" s="135">
        <v>4.3</v>
      </c>
      <c r="AI87" s="135">
        <v>3000</v>
      </c>
      <c r="AJ87" s="135">
        <v>697.3</v>
      </c>
      <c r="AK87" s="135">
        <v>1.43</v>
      </c>
      <c r="AL87" s="135">
        <v>3.5</v>
      </c>
      <c r="AM87" s="135">
        <v>4700</v>
      </c>
      <c r="AN87" s="135">
        <v>1324.3</v>
      </c>
      <c r="AO87" s="135">
        <v>0.76</v>
      </c>
      <c r="AP87" s="135"/>
      <c r="AQ87" s="135"/>
      <c r="AR87" s="135"/>
      <c r="AS87" s="135"/>
      <c r="AT87" s="135"/>
      <c r="AU87" s="135"/>
      <c r="AV87" s="135"/>
      <c r="AW87" s="135"/>
      <c r="AX87" s="135">
        <v>3.5</v>
      </c>
      <c r="AY87" s="135">
        <v>10</v>
      </c>
      <c r="AZ87" s="135">
        <v>2.8</v>
      </c>
      <c r="BA87" s="135">
        <v>0.35</v>
      </c>
      <c r="BB87" s="135"/>
      <c r="BC87" s="135"/>
      <c r="BD87" s="135"/>
      <c r="BE87" s="135"/>
      <c r="BF87" s="135">
        <v>4.3</v>
      </c>
      <c r="BG87" s="135">
        <v>6000</v>
      </c>
      <c r="BH87" s="135">
        <v>1394.5</v>
      </c>
      <c r="BI87" s="135">
        <v>0.72</v>
      </c>
      <c r="BJ87" s="135">
        <v>43.5</v>
      </c>
      <c r="BK87" s="135">
        <v>-4</v>
      </c>
      <c r="BL87" s="135">
        <v>23.75</v>
      </c>
    </row>
    <row r="88" spans="1:64" x14ac:dyDescent="0.3">
      <c r="A88" s="135">
        <v>2016</v>
      </c>
      <c r="B88" s="135">
        <v>4</v>
      </c>
      <c r="C88" s="135" t="s">
        <v>2146</v>
      </c>
      <c r="D88" s="135" t="s">
        <v>1248</v>
      </c>
      <c r="E88" s="135" t="s">
        <v>396</v>
      </c>
      <c r="F88" s="135" t="s">
        <v>20</v>
      </c>
      <c r="G88" s="135" t="s">
        <v>397</v>
      </c>
      <c r="H88" s="135">
        <v>16.2</v>
      </c>
      <c r="I88" s="135">
        <v>2.7690000000000001</v>
      </c>
      <c r="J88" s="135">
        <v>3.855</v>
      </c>
      <c r="K88" s="135">
        <v>0</v>
      </c>
      <c r="L88" s="135">
        <v>0</v>
      </c>
      <c r="M88" s="135">
        <v>0</v>
      </c>
      <c r="N88" s="135">
        <v>0</v>
      </c>
      <c r="O88" s="135">
        <v>0</v>
      </c>
      <c r="P88" s="135">
        <v>0</v>
      </c>
      <c r="Q88" s="135">
        <v>0</v>
      </c>
      <c r="R88" s="135">
        <v>0</v>
      </c>
      <c r="S88" s="135">
        <v>1.0860000000000001</v>
      </c>
      <c r="T88" s="135">
        <v>21.225000000000001</v>
      </c>
      <c r="U88" s="135">
        <v>0.111</v>
      </c>
      <c r="V88" s="135">
        <v>0.01</v>
      </c>
      <c r="W88" s="135">
        <v>0</v>
      </c>
      <c r="X88" s="135">
        <v>0</v>
      </c>
      <c r="Y88" s="135" t="s">
        <v>1995</v>
      </c>
      <c r="Z88" s="135">
        <v>3.3</v>
      </c>
      <c r="AA88" s="135">
        <v>3600</v>
      </c>
      <c r="AB88" s="135">
        <v>1090.4000000000001</v>
      </c>
      <c r="AC88" s="135">
        <v>0.92</v>
      </c>
      <c r="AD88" s="135">
        <v>3.9</v>
      </c>
      <c r="AE88" s="135">
        <v>5000</v>
      </c>
      <c r="AF88" s="135">
        <v>1297.2</v>
      </c>
      <c r="AG88" s="135">
        <v>0.77</v>
      </c>
      <c r="AH88" s="135">
        <v>4</v>
      </c>
      <c r="AI88" s="135">
        <v>3500</v>
      </c>
      <c r="AJ88" s="135">
        <v>876.8</v>
      </c>
      <c r="AK88" s="135">
        <v>1.1399999999999999</v>
      </c>
      <c r="AL88" s="135">
        <v>3.3</v>
      </c>
      <c r="AM88" s="135">
        <v>5400</v>
      </c>
      <c r="AN88" s="135">
        <v>1630.7</v>
      </c>
      <c r="AO88" s="135">
        <v>0.61</v>
      </c>
      <c r="AP88" s="135"/>
      <c r="AQ88" s="135"/>
      <c r="AR88" s="135"/>
      <c r="AS88" s="135"/>
      <c r="AT88" s="135"/>
      <c r="AU88" s="135"/>
      <c r="AV88" s="135"/>
      <c r="AW88" s="135"/>
      <c r="AX88" s="135">
        <v>3.3</v>
      </c>
      <c r="AY88" s="135">
        <v>14</v>
      </c>
      <c r="AZ88" s="135">
        <v>4.2</v>
      </c>
      <c r="BA88" s="135">
        <v>0.24</v>
      </c>
      <c r="BB88" s="135"/>
      <c r="BC88" s="135"/>
      <c r="BD88" s="135"/>
      <c r="BE88" s="135"/>
      <c r="BF88" s="135">
        <v>4</v>
      </c>
      <c r="BG88" s="135">
        <v>7000</v>
      </c>
      <c r="BH88" s="135">
        <v>1753.6</v>
      </c>
      <c r="BI88" s="135">
        <v>0.56999999999999995</v>
      </c>
      <c r="BJ88" s="135">
        <v>47.5</v>
      </c>
      <c r="BK88" s="135">
        <v>-5.5</v>
      </c>
      <c r="BL88" s="135">
        <v>26.5</v>
      </c>
    </row>
    <row r="89" spans="1:64" x14ac:dyDescent="0.3">
      <c r="A89" s="135">
        <v>2016</v>
      </c>
      <c r="B89" s="135">
        <v>4</v>
      </c>
      <c r="C89" s="135" t="s">
        <v>2168</v>
      </c>
      <c r="D89" s="135" t="s">
        <v>257</v>
      </c>
      <c r="E89" s="135" t="s">
        <v>396</v>
      </c>
      <c r="F89" s="135" t="s">
        <v>14</v>
      </c>
      <c r="G89" s="135" t="s">
        <v>2310</v>
      </c>
      <c r="H89" s="135">
        <v>32.14</v>
      </c>
      <c r="I89" s="135">
        <v>2.5950000000000002</v>
      </c>
      <c r="J89" s="135">
        <v>4.4800000000000004</v>
      </c>
      <c r="K89" s="135">
        <v>0</v>
      </c>
      <c r="L89" s="135">
        <v>0</v>
      </c>
      <c r="M89" s="135">
        <v>0</v>
      </c>
      <c r="N89" s="135">
        <v>0</v>
      </c>
      <c r="O89" s="135">
        <v>0</v>
      </c>
      <c r="P89" s="135">
        <v>0</v>
      </c>
      <c r="Q89" s="135">
        <v>0</v>
      </c>
      <c r="R89" s="135">
        <v>0</v>
      </c>
      <c r="S89" s="135">
        <v>1.885</v>
      </c>
      <c r="T89" s="135">
        <v>19.97</v>
      </c>
      <c r="U89" s="135">
        <v>0.105</v>
      </c>
      <c r="V89" s="135">
        <v>1.6E-2</v>
      </c>
      <c r="W89" s="135">
        <v>0</v>
      </c>
      <c r="X89" s="135">
        <v>0</v>
      </c>
      <c r="Y89" s="135" t="s">
        <v>1995</v>
      </c>
      <c r="Z89" s="135">
        <v>3.5</v>
      </c>
      <c r="AA89" s="135">
        <v>3000</v>
      </c>
      <c r="AB89" s="135">
        <v>851.9</v>
      </c>
      <c r="AC89" s="135">
        <v>1.17</v>
      </c>
      <c r="AD89" s="135">
        <v>4.5</v>
      </c>
      <c r="AE89" s="135">
        <v>5000</v>
      </c>
      <c r="AF89" s="135">
        <v>1116.0999999999999</v>
      </c>
      <c r="AG89" s="135">
        <v>0.9</v>
      </c>
      <c r="AH89" s="135">
        <v>4.5999999999999996</v>
      </c>
      <c r="AI89" s="135">
        <v>3000</v>
      </c>
      <c r="AJ89" s="135">
        <v>649.9</v>
      </c>
      <c r="AK89" s="135">
        <v>1.54</v>
      </c>
      <c r="AL89" s="135">
        <v>3.5</v>
      </c>
      <c r="AM89" s="135">
        <v>4500</v>
      </c>
      <c r="AN89" s="135">
        <v>1272.0999999999999</v>
      </c>
      <c r="AO89" s="135">
        <v>0.79</v>
      </c>
      <c r="AP89" s="135"/>
      <c r="AQ89" s="135"/>
      <c r="AR89" s="135"/>
      <c r="AS89" s="135"/>
      <c r="AT89" s="135"/>
      <c r="AU89" s="135"/>
      <c r="AV89" s="135"/>
      <c r="AW89" s="135"/>
      <c r="AX89" s="135">
        <v>3.5</v>
      </c>
      <c r="AY89" s="135">
        <v>10</v>
      </c>
      <c r="AZ89" s="135">
        <v>2.8</v>
      </c>
      <c r="BA89" s="135">
        <v>0.35</v>
      </c>
      <c r="BB89" s="135"/>
      <c r="BC89" s="135"/>
      <c r="BD89" s="135"/>
      <c r="BE89" s="135"/>
      <c r="BF89" s="135">
        <v>4.5999999999999996</v>
      </c>
      <c r="BG89" s="135">
        <v>6000</v>
      </c>
      <c r="BH89" s="135">
        <v>1299.9000000000001</v>
      </c>
      <c r="BI89" s="135">
        <v>0.77</v>
      </c>
      <c r="BJ89" s="135">
        <v>45.5</v>
      </c>
      <c r="BK89" s="135">
        <v>8</v>
      </c>
      <c r="BL89" s="135">
        <v>18.75</v>
      </c>
    </row>
    <row r="90" spans="1:64" x14ac:dyDescent="0.3">
      <c r="A90" s="135">
        <v>2016</v>
      </c>
      <c r="B90" s="135">
        <v>4</v>
      </c>
      <c r="C90" s="135" t="s">
        <v>2177</v>
      </c>
      <c r="D90" s="135" t="s">
        <v>268</v>
      </c>
      <c r="E90" s="135" t="s">
        <v>396</v>
      </c>
      <c r="F90" s="135" t="s">
        <v>43</v>
      </c>
      <c r="G90" s="135" t="s">
        <v>30</v>
      </c>
      <c r="H90" s="135">
        <v>19.5</v>
      </c>
      <c r="I90" s="135">
        <v>2.081</v>
      </c>
      <c r="J90" s="135">
        <v>2.85</v>
      </c>
      <c r="K90" s="135">
        <v>0</v>
      </c>
      <c r="L90" s="135">
        <v>0</v>
      </c>
      <c r="M90" s="135">
        <v>0</v>
      </c>
      <c r="N90" s="135">
        <v>0</v>
      </c>
      <c r="O90" s="135">
        <v>0</v>
      </c>
      <c r="P90" s="135">
        <v>0</v>
      </c>
      <c r="Q90" s="135">
        <v>0</v>
      </c>
      <c r="R90" s="135">
        <v>0</v>
      </c>
      <c r="S90" s="135">
        <v>0.76900000000000002</v>
      </c>
      <c r="T90" s="135">
        <v>14.826000000000001</v>
      </c>
      <c r="U90" s="135">
        <v>0.10199999999999999</v>
      </c>
      <c r="V90" s="135">
        <v>7.0000000000000001E-3</v>
      </c>
      <c r="W90" s="135">
        <v>0</v>
      </c>
      <c r="X90" s="135">
        <v>0</v>
      </c>
      <c r="Y90" s="135" t="s">
        <v>1995</v>
      </c>
      <c r="Z90" s="135">
        <v>2.5</v>
      </c>
      <c r="AA90" s="135">
        <v>3000</v>
      </c>
      <c r="AB90" s="135">
        <v>1220.5</v>
      </c>
      <c r="AC90" s="135">
        <v>0.82</v>
      </c>
      <c r="AD90" s="135">
        <v>2.8</v>
      </c>
      <c r="AE90" s="135">
        <v>5000</v>
      </c>
      <c r="AF90" s="135">
        <v>1754.6</v>
      </c>
      <c r="AG90" s="135">
        <v>0.56999999999999995</v>
      </c>
      <c r="AH90" s="135">
        <v>2.9</v>
      </c>
      <c r="AI90" s="135">
        <v>3100</v>
      </c>
      <c r="AJ90" s="135">
        <v>1052.4000000000001</v>
      </c>
      <c r="AK90" s="135">
        <v>0.95</v>
      </c>
      <c r="AL90" s="135">
        <v>2.5</v>
      </c>
      <c r="AM90" s="135">
        <v>4700</v>
      </c>
      <c r="AN90" s="135">
        <v>1906.6</v>
      </c>
      <c r="AO90" s="135">
        <v>0.52</v>
      </c>
      <c r="AP90" s="135"/>
      <c r="AQ90" s="135"/>
      <c r="AR90" s="135"/>
      <c r="AS90" s="135"/>
      <c r="AT90" s="135"/>
      <c r="AU90" s="135"/>
      <c r="AV90" s="135"/>
      <c r="AW90" s="135"/>
      <c r="AX90" s="135">
        <v>2.5</v>
      </c>
      <c r="AY90" s="135">
        <v>10</v>
      </c>
      <c r="AZ90" s="135">
        <v>4.0999999999999996</v>
      </c>
      <c r="BA90" s="135">
        <v>0.25</v>
      </c>
      <c r="BB90" s="135"/>
      <c r="BC90" s="135"/>
      <c r="BD90" s="135"/>
      <c r="BE90" s="135"/>
      <c r="BF90" s="135">
        <v>2.9</v>
      </c>
      <c r="BG90" s="135">
        <v>6000</v>
      </c>
      <c r="BH90" s="135">
        <v>2037</v>
      </c>
      <c r="BI90" s="135">
        <v>0.49</v>
      </c>
      <c r="BJ90" s="135">
        <v>40.5</v>
      </c>
      <c r="BK90" s="135">
        <v>-6.5</v>
      </c>
      <c r="BL90" s="135">
        <v>23.5</v>
      </c>
    </row>
    <row r="91" spans="1:64" x14ac:dyDescent="0.3">
      <c r="A91" s="135">
        <v>2016</v>
      </c>
      <c r="B91" s="135">
        <v>4</v>
      </c>
      <c r="C91" s="135" t="s">
        <v>2185</v>
      </c>
      <c r="D91" s="135" t="s">
        <v>524</v>
      </c>
      <c r="E91" s="135" t="s">
        <v>396</v>
      </c>
      <c r="F91" s="135" t="s">
        <v>14</v>
      </c>
      <c r="G91" s="135" t="s">
        <v>2310</v>
      </c>
      <c r="H91" s="135">
        <v>32.14</v>
      </c>
      <c r="I91" s="135">
        <v>2.0190000000000001</v>
      </c>
      <c r="J91" s="135">
        <v>3.4849999999999999</v>
      </c>
      <c r="K91" s="135">
        <v>0</v>
      </c>
      <c r="L91" s="135">
        <v>0</v>
      </c>
      <c r="M91" s="135">
        <v>0</v>
      </c>
      <c r="N91" s="135">
        <v>0</v>
      </c>
      <c r="O91" s="135">
        <v>0</v>
      </c>
      <c r="P91" s="135">
        <v>0</v>
      </c>
      <c r="Q91" s="135">
        <v>0</v>
      </c>
      <c r="R91" s="135">
        <v>0</v>
      </c>
      <c r="S91" s="135">
        <v>1.466</v>
      </c>
      <c r="T91" s="135">
        <v>15.532</v>
      </c>
      <c r="U91" s="135">
        <v>8.2000000000000003E-2</v>
      </c>
      <c r="V91" s="135">
        <v>1.2999999999999999E-2</v>
      </c>
      <c r="W91" s="135">
        <v>0</v>
      </c>
      <c r="X91" s="135">
        <v>0</v>
      </c>
      <c r="Y91" s="135" t="s">
        <v>1995</v>
      </c>
      <c r="Z91" s="135">
        <v>2.7</v>
      </c>
      <c r="AA91" s="135">
        <v>3000</v>
      </c>
      <c r="AB91" s="135">
        <v>1095.2</v>
      </c>
      <c r="AC91" s="135">
        <v>0.91</v>
      </c>
      <c r="AD91" s="135">
        <v>3.5</v>
      </c>
      <c r="AE91" s="135">
        <v>5000</v>
      </c>
      <c r="AF91" s="135">
        <v>1434.6</v>
      </c>
      <c r="AG91" s="135">
        <v>0.7</v>
      </c>
      <c r="AH91" s="135">
        <v>3.6</v>
      </c>
      <c r="AI91" s="135">
        <v>3000</v>
      </c>
      <c r="AJ91" s="135">
        <v>835.3</v>
      </c>
      <c r="AK91" s="135">
        <v>1.2</v>
      </c>
      <c r="AL91" s="135">
        <v>2.8</v>
      </c>
      <c r="AM91" s="135">
        <v>4500</v>
      </c>
      <c r="AN91" s="135">
        <v>1635.1</v>
      </c>
      <c r="AO91" s="135">
        <v>0.61</v>
      </c>
      <c r="AP91" s="135"/>
      <c r="AQ91" s="135"/>
      <c r="AR91" s="135"/>
      <c r="AS91" s="135"/>
      <c r="AT91" s="135"/>
      <c r="AU91" s="135"/>
      <c r="AV91" s="135"/>
      <c r="AW91" s="135"/>
      <c r="AX91" s="135">
        <v>2.8</v>
      </c>
      <c r="AY91" s="135">
        <v>10</v>
      </c>
      <c r="AZ91" s="135">
        <v>3.6</v>
      </c>
      <c r="BA91" s="135">
        <v>0.28000000000000003</v>
      </c>
      <c r="BB91" s="135"/>
      <c r="BC91" s="135"/>
      <c r="BD91" s="135"/>
      <c r="BE91" s="135"/>
      <c r="BF91" s="135">
        <v>3.6</v>
      </c>
      <c r="BG91" s="135">
        <v>6000</v>
      </c>
      <c r="BH91" s="135">
        <v>1670.7</v>
      </c>
      <c r="BI91" s="135">
        <v>0.6</v>
      </c>
      <c r="BJ91" s="135">
        <v>45.5</v>
      </c>
      <c r="BK91" s="135">
        <v>8</v>
      </c>
      <c r="BL91" s="135">
        <v>18.75</v>
      </c>
    </row>
    <row r="92" spans="1:64" x14ac:dyDescent="0.3">
      <c r="A92" s="135">
        <v>2016</v>
      </c>
      <c r="B92" s="135">
        <v>4</v>
      </c>
      <c r="C92" s="135" t="s">
        <v>2181</v>
      </c>
      <c r="D92" s="135" t="s">
        <v>267</v>
      </c>
      <c r="E92" s="135" t="s">
        <v>396</v>
      </c>
      <c r="F92" s="135" t="s">
        <v>7</v>
      </c>
      <c r="G92" s="135" t="s">
        <v>2305</v>
      </c>
      <c r="H92" s="135">
        <v>36.82</v>
      </c>
      <c r="I92" s="135">
        <v>1.9970000000000001</v>
      </c>
      <c r="J92" s="135">
        <v>3.109</v>
      </c>
      <c r="K92" s="135">
        <v>0</v>
      </c>
      <c r="L92" s="135">
        <v>0</v>
      </c>
      <c r="M92" s="135">
        <v>0</v>
      </c>
      <c r="N92" s="135">
        <v>0</v>
      </c>
      <c r="O92" s="135">
        <v>0</v>
      </c>
      <c r="P92" s="135">
        <v>0</v>
      </c>
      <c r="Q92" s="135">
        <v>0</v>
      </c>
      <c r="R92" s="135">
        <v>0</v>
      </c>
      <c r="S92" s="135">
        <v>1.1120000000000001</v>
      </c>
      <c r="T92" s="135">
        <v>14.147</v>
      </c>
      <c r="U92" s="135">
        <v>0.10100000000000001</v>
      </c>
      <c r="V92" s="135">
        <v>1.2E-2</v>
      </c>
      <c r="W92" s="135">
        <v>0</v>
      </c>
      <c r="X92" s="135">
        <v>0</v>
      </c>
      <c r="Y92" s="135" t="s">
        <v>1995</v>
      </c>
      <c r="Z92" s="135">
        <v>2.5</v>
      </c>
      <c r="AA92" s="135">
        <v>3500</v>
      </c>
      <c r="AB92" s="135">
        <v>1377.6</v>
      </c>
      <c r="AC92" s="135">
        <v>0.73</v>
      </c>
      <c r="AD92" s="135">
        <v>3.1</v>
      </c>
      <c r="AE92" s="135">
        <v>5000</v>
      </c>
      <c r="AF92" s="135">
        <v>1608.4</v>
      </c>
      <c r="AG92" s="135">
        <v>0.62</v>
      </c>
      <c r="AH92" s="135">
        <v>3.2</v>
      </c>
      <c r="AI92" s="135">
        <v>3000</v>
      </c>
      <c r="AJ92" s="135">
        <v>935.9</v>
      </c>
      <c r="AK92" s="135">
        <v>1.07</v>
      </c>
      <c r="AL92" s="135">
        <v>2.6</v>
      </c>
      <c r="AM92" s="135">
        <v>4500</v>
      </c>
      <c r="AN92" s="135">
        <v>1762.8</v>
      </c>
      <c r="AO92" s="135">
        <v>0.56999999999999995</v>
      </c>
      <c r="AP92" s="135"/>
      <c r="AQ92" s="135"/>
      <c r="AR92" s="135"/>
      <c r="AS92" s="135"/>
      <c r="AT92" s="135"/>
      <c r="AU92" s="135"/>
      <c r="AV92" s="135"/>
      <c r="AW92" s="135"/>
      <c r="AX92" s="135">
        <v>2.6</v>
      </c>
      <c r="AY92" s="135">
        <v>10</v>
      </c>
      <c r="AZ92" s="135">
        <v>3.9</v>
      </c>
      <c r="BA92" s="135">
        <v>0.26</v>
      </c>
      <c r="BB92" s="135"/>
      <c r="BC92" s="135"/>
      <c r="BD92" s="135"/>
      <c r="BE92" s="135"/>
      <c r="BF92" s="135">
        <v>3.2</v>
      </c>
      <c r="BG92" s="135">
        <v>6000</v>
      </c>
      <c r="BH92" s="135">
        <v>1871.7</v>
      </c>
      <c r="BI92" s="135">
        <v>0.53</v>
      </c>
      <c r="BJ92" s="135">
        <v>40.5</v>
      </c>
      <c r="BK92" s="135">
        <v>-1.5</v>
      </c>
      <c r="BL92" s="135">
        <v>21</v>
      </c>
    </row>
    <row r="93" spans="1:64" x14ac:dyDescent="0.3">
      <c r="A93" s="135">
        <v>2016</v>
      </c>
      <c r="B93" s="135">
        <v>4</v>
      </c>
      <c r="C93" s="135" t="s">
        <v>2176</v>
      </c>
      <c r="D93" s="135" t="s">
        <v>408</v>
      </c>
      <c r="E93" s="135" t="s">
        <v>396</v>
      </c>
      <c r="F93" s="135" t="s">
        <v>30</v>
      </c>
      <c r="G93" s="135" t="s">
        <v>2302</v>
      </c>
      <c r="H93" s="135">
        <v>17.190000000000001</v>
      </c>
      <c r="I93" s="135">
        <v>1.9410000000000001</v>
      </c>
      <c r="J93" s="135">
        <v>3.0059999999999998</v>
      </c>
      <c r="K93" s="135">
        <v>0</v>
      </c>
      <c r="L93" s="135">
        <v>0</v>
      </c>
      <c r="M93" s="135">
        <v>0</v>
      </c>
      <c r="N93" s="135">
        <v>0</v>
      </c>
      <c r="O93" s="135">
        <v>0</v>
      </c>
      <c r="P93" s="135">
        <v>0</v>
      </c>
      <c r="Q93" s="135">
        <v>0</v>
      </c>
      <c r="R93" s="135">
        <v>0</v>
      </c>
      <c r="S93" s="135">
        <v>1.0649999999999999</v>
      </c>
      <c r="T93" s="135">
        <v>11.41</v>
      </c>
      <c r="U93" s="135">
        <v>0.13700000000000001</v>
      </c>
      <c r="V93" s="135">
        <v>1.0999999999999999E-2</v>
      </c>
      <c r="W93" s="135">
        <v>0</v>
      </c>
      <c r="X93" s="135">
        <v>0</v>
      </c>
      <c r="Y93" s="135" t="s">
        <v>1995</v>
      </c>
      <c r="Z93" s="135">
        <v>2.5</v>
      </c>
      <c r="AA93" s="135">
        <v>3800</v>
      </c>
      <c r="AB93" s="135">
        <v>1543.1</v>
      </c>
      <c r="AC93" s="135">
        <v>0.65</v>
      </c>
      <c r="AD93" s="135">
        <v>3</v>
      </c>
      <c r="AE93" s="135">
        <v>5000</v>
      </c>
      <c r="AF93" s="135">
        <v>1663.3</v>
      </c>
      <c r="AG93" s="135">
        <v>0.6</v>
      </c>
      <c r="AH93" s="135">
        <v>3.1</v>
      </c>
      <c r="AI93" s="135">
        <v>3200</v>
      </c>
      <c r="AJ93" s="135">
        <v>1037.0999999999999</v>
      </c>
      <c r="AK93" s="135">
        <v>0.96</v>
      </c>
      <c r="AL93" s="135">
        <v>2.5</v>
      </c>
      <c r="AM93" s="135">
        <v>5100</v>
      </c>
      <c r="AN93" s="135">
        <v>2061.9</v>
      </c>
      <c r="AO93" s="135">
        <v>0.49</v>
      </c>
      <c r="AP93" s="135"/>
      <c r="AQ93" s="135"/>
      <c r="AR93" s="135"/>
      <c r="AS93" s="135"/>
      <c r="AT93" s="135"/>
      <c r="AU93" s="135"/>
      <c r="AV93" s="135"/>
      <c r="AW93" s="135"/>
      <c r="AX93" s="135">
        <v>2.5</v>
      </c>
      <c r="AY93" s="135">
        <v>10</v>
      </c>
      <c r="AZ93" s="135">
        <v>4</v>
      </c>
      <c r="BA93" s="135">
        <v>0.25</v>
      </c>
      <c r="BB93" s="135"/>
      <c r="BC93" s="135"/>
      <c r="BD93" s="135"/>
      <c r="BE93" s="135"/>
      <c r="BF93" s="135">
        <v>3.1</v>
      </c>
      <c r="BG93" s="135">
        <v>6300</v>
      </c>
      <c r="BH93" s="135">
        <v>2041.8</v>
      </c>
      <c r="BI93" s="135">
        <v>0.49</v>
      </c>
      <c r="BJ93" s="135">
        <v>40.5</v>
      </c>
      <c r="BK93" s="135">
        <v>6.5</v>
      </c>
      <c r="BL93" s="135">
        <v>17</v>
      </c>
    </row>
    <row r="94" spans="1:64" x14ac:dyDescent="0.3">
      <c r="A94" s="135">
        <v>2016</v>
      </c>
      <c r="B94" s="135">
        <v>4</v>
      </c>
      <c r="C94" s="135" t="s">
        <v>2186</v>
      </c>
      <c r="D94" s="135" t="s">
        <v>248</v>
      </c>
      <c r="E94" s="135" t="s">
        <v>396</v>
      </c>
      <c r="F94" s="135" t="s">
        <v>397</v>
      </c>
      <c r="G94" s="135" t="s">
        <v>2307</v>
      </c>
      <c r="H94" s="135">
        <v>15.77</v>
      </c>
      <c r="I94" s="135">
        <v>1.8240000000000001</v>
      </c>
      <c r="J94" s="135">
        <v>2.8410000000000002</v>
      </c>
      <c r="K94" s="135">
        <v>0</v>
      </c>
      <c r="L94" s="135">
        <v>0</v>
      </c>
      <c r="M94" s="135">
        <v>0</v>
      </c>
      <c r="N94" s="135">
        <v>0</v>
      </c>
      <c r="O94" s="135">
        <v>0</v>
      </c>
      <c r="P94" s="135">
        <v>0</v>
      </c>
      <c r="Q94" s="135">
        <v>0</v>
      </c>
      <c r="R94" s="135">
        <v>0</v>
      </c>
      <c r="S94" s="135">
        <v>1.0169999999999999</v>
      </c>
      <c r="T94" s="135">
        <v>10.579000000000001</v>
      </c>
      <c r="U94" s="135">
        <v>0.13100000000000001</v>
      </c>
      <c r="V94" s="135">
        <v>0.01</v>
      </c>
      <c r="W94" s="135">
        <v>0</v>
      </c>
      <c r="X94" s="135">
        <v>0</v>
      </c>
      <c r="Y94" s="135" t="s">
        <v>1995</v>
      </c>
      <c r="Z94" s="135">
        <v>2.2999999999999998</v>
      </c>
      <c r="AA94" s="135">
        <v>3700</v>
      </c>
      <c r="AB94" s="135">
        <v>1593.2</v>
      </c>
      <c r="AC94" s="135">
        <v>0.63</v>
      </c>
      <c r="AD94" s="135">
        <v>2.8</v>
      </c>
      <c r="AE94" s="135">
        <v>5000</v>
      </c>
      <c r="AF94" s="135">
        <v>1760</v>
      </c>
      <c r="AG94" s="135">
        <v>0.56999999999999995</v>
      </c>
      <c r="AH94" s="135">
        <v>2.9</v>
      </c>
      <c r="AI94" s="135">
        <v>3000</v>
      </c>
      <c r="AJ94" s="135">
        <v>1029.4000000000001</v>
      </c>
      <c r="AK94" s="135">
        <v>0.97</v>
      </c>
      <c r="AL94" s="135">
        <v>2.2999999999999998</v>
      </c>
      <c r="AM94" s="135">
        <v>4700</v>
      </c>
      <c r="AN94" s="135">
        <v>2015.1</v>
      </c>
      <c r="AO94" s="135">
        <v>0.5</v>
      </c>
      <c r="AP94" s="135"/>
      <c r="AQ94" s="135"/>
      <c r="AR94" s="135"/>
      <c r="AS94" s="135"/>
      <c r="AT94" s="135"/>
      <c r="AU94" s="135"/>
      <c r="AV94" s="135"/>
      <c r="AW94" s="135"/>
      <c r="AX94" s="135">
        <v>2.2999999999999998</v>
      </c>
      <c r="AY94" s="135">
        <v>10</v>
      </c>
      <c r="AZ94" s="135">
        <v>4.3</v>
      </c>
      <c r="BA94" s="135">
        <v>0.23</v>
      </c>
      <c r="BB94" s="135"/>
      <c r="BC94" s="135"/>
      <c r="BD94" s="135"/>
      <c r="BE94" s="135"/>
      <c r="BF94" s="135">
        <v>2.9</v>
      </c>
      <c r="BG94" s="135">
        <v>6000</v>
      </c>
      <c r="BH94" s="135">
        <v>2058.8000000000002</v>
      </c>
      <c r="BI94" s="135">
        <v>0.49</v>
      </c>
      <c r="BJ94" s="135">
        <v>47.5</v>
      </c>
      <c r="BK94" s="135">
        <v>5.5</v>
      </c>
      <c r="BL94" s="135">
        <v>21</v>
      </c>
    </row>
    <row r="95" spans="1:64" x14ac:dyDescent="0.3">
      <c r="A95" s="135">
        <v>2016</v>
      </c>
      <c r="B95" s="135">
        <v>4</v>
      </c>
      <c r="C95" s="135" t="s">
        <v>2187</v>
      </c>
      <c r="D95" s="135" t="s">
        <v>529</v>
      </c>
      <c r="E95" s="135" t="s">
        <v>396</v>
      </c>
      <c r="F95" s="135" t="s">
        <v>397</v>
      </c>
      <c r="G95" s="135" t="s">
        <v>2307</v>
      </c>
      <c r="H95" s="135">
        <v>15.77</v>
      </c>
      <c r="I95" s="135">
        <v>1.756</v>
      </c>
      <c r="J95" s="135">
        <v>3.1549999999999998</v>
      </c>
      <c r="K95" s="135">
        <v>0</v>
      </c>
      <c r="L95" s="135">
        <v>0</v>
      </c>
      <c r="M95" s="135">
        <v>0</v>
      </c>
      <c r="N95" s="135">
        <v>0</v>
      </c>
      <c r="O95" s="135">
        <v>0</v>
      </c>
      <c r="P95" s="135">
        <v>0</v>
      </c>
      <c r="Q95" s="135">
        <v>0</v>
      </c>
      <c r="R95" s="135">
        <v>0</v>
      </c>
      <c r="S95" s="135">
        <v>1.399</v>
      </c>
      <c r="T95" s="135">
        <v>13.224</v>
      </c>
      <c r="U95" s="135">
        <v>7.6999999999999999E-2</v>
      </c>
      <c r="V95" s="135">
        <v>1.4E-2</v>
      </c>
      <c r="W95" s="135">
        <v>0</v>
      </c>
      <c r="X95" s="135">
        <v>0</v>
      </c>
      <c r="Y95" s="135" t="s">
        <v>1995</v>
      </c>
      <c r="Z95" s="135">
        <v>2.4</v>
      </c>
      <c r="AA95" s="135">
        <v>3000</v>
      </c>
      <c r="AB95" s="135">
        <v>1228.5999999999999</v>
      </c>
      <c r="AC95" s="135">
        <v>0.81</v>
      </c>
      <c r="AD95" s="135">
        <v>3.2</v>
      </c>
      <c r="AE95" s="135">
        <v>5000</v>
      </c>
      <c r="AF95" s="135">
        <v>1584.6</v>
      </c>
      <c r="AG95" s="135">
        <v>0.63</v>
      </c>
      <c r="AH95" s="135">
        <v>3.2</v>
      </c>
      <c r="AI95" s="135">
        <v>3000</v>
      </c>
      <c r="AJ95" s="135">
        <v>923.4</v>
      </c>
      <c r="AK95" s="135">
        <v>1.08</v>
      </c>
      <c r="AL95" s="135"/>
      <c r="AM95" s="135"/>
      <c r="AN95" s="135"/>
      <c r="AO95" s="135"/>
      <c r="AP95" s="135"/>
      <c r="AQ95" s="135"/>
      <c r="AR95" s="135"/>
      <c r="AS95" s="135"/>
      <c r="AT95" s="135"/>
      <c r="AU95" s="135"/>
      <c r="AV95" s="135"/>
      <c r="AW95" s="135"/>
      <c r="AX95" s="135">
        <v>2.5</v>
      </c>
      <c r="AY95" s="135">
        <v>10</v>
      </c>
      <c r="AZ95" s="135">
        <v>4.0999999999999996</v>
      </c>
      <c r="BA95" s="135">
        <v>0.25</v>
      </c>
      <c r="BB95" s="135"/>
      <c r="BC95" s="135"/>
      <c r="BD95" s="135"/>
      <c r="BE95" s="135"/>
      <c r="BF95" s="135">
        <v>3.2</v>
      </c>
      <c r="BG95" s="135">
        <v>6000</v>
      </c>
      <c r="BH95" s="135">
        <v>1846.9</v>
      </c>
      <c r="BI95" s="135">
        <v>0.54</v>
      </c>
      <c r="BJ95" s="135">
        <v>47.5</v>
      </c>
      <c r="BK95" s="135">
        <v>5.5</v>
      </c>
      <c r="BL95" s="135">
        <v>21</v>
      </c>
    </row>
    <row r="96" spans="1:64" x14ac:dyDescent="0.3">
      <c r="A96" s="135">
        <v>2016</v>
      </c>
      <c r="B96" s="135">
        <v>4</v>
      </c>
      <c r="C96" s="135" t="s">
        <v>2568</v>
      </c>
      <c r="D96" s="135" t="s">
        <v>487</v>
      </c>
      <c r="E96" s="135" t="s">
        <v>396</v>
      </c>
      <c r="F96" s="135" t="s">
        <v>407</v>
      </c>
      <c r="G96" s="135" t="s">
        <v>404</v>
      </c>
      <c r="H96" s="135">
        <v>19.47</v>
      </c>
      <c r="I96" s="135">
        <v>1.7090000000000001</v>
      </c>
      <c r="J96" s="135">
        <v>2.76</v>
      </c>
      <c r="K96" s="135">
        <v>0</v>
      </c>
      <c r="L96" s="135">
        <v>0</v>
      </c>
      <c r="M96" s="135">
        <v>0</v>
      </c>
      <c r="N96" s="135">
        <v>0</v>
      </c>
      <c r="O96" s="135">
        <v>0</v>
      </c>
      <c r="P96" s="135">
        <v>0</v>
      </c>
      <c r="Q96" s="135">
        <v>0</v>
      </c>
      <c r="R96" s="135">
        <v>0</v>
      </c>
      <c r="S96" s="135">
        <v>1.0509999999999999</v>
      </c>
      <c r="T96" s="135">
        <v>12.125</v>
      </c>
      <c r="U96" s="135">
        <v>8.5000000000000006E-2</v>
      </c>
      <c r="V96" s="135">
        <v>7.0000000000000001E-3</v>
      </c>
      <c r="W96" s="135">
        <v>0</v>
      </c>
      <c r="X96" s="135">
        <v>0</v>
      </c>
      <c r="Y96" s="135" t="s">
        <v>1995</v>
      </c>
      <c r="Z96" s="135">
        <v>2.2000000000000002</v>
      </c>
      <c r="AA96" s="135">
        <v>3000</v>
      </c>
      <c r="AB96" s="135">
        <v>1347.1</v>
      </c>
      <c r="AC96" s="135">
        <v>0.74</v>
      </c>
      <c r="AD96" s="135">
        <v>2.8</v>
      </c>
      <c r="AE96" s="135">
        <v>5000</v>
      </c>
      <c r="AF96" s="135">
        <v>1811.9</v>
      </c>
      <c r="AG96" s="135">
        <v>0.55000000000000004</v>
      </c>
      <c r="AH96" s="135"/>
      <c r="AI96" s="135"/>
      <c r="AJ96" s="135"/>
      <c r="AK96" s="135"/>
      <c r="AL96" s="135">
        <v>2.2000000000000002</v>
      </c>
      <c r="AM96" s="135">
        <v>4500</v>
      </c>
      <c r="AN96" s="135">
        <v>2014.3</v>
      </c>
      <c r="AO96" s="135">
        <v>0.5</v>
      </c>
      <c r="AP96" s="135"/>
      <c r="AQ96" s="135"/>
      <c r="AR96" s="135"/>
      <c r="AS96" s="135"/>
      <c r="AT96" s="135"/>
      <c r="AU96" s="135"/>
      <c r="AV96" s="135"/>
      <c r="AW96" s="135"/>
      <c r="AX96" s="135">
        <v>2.2000000000000002</v>
      </c>
      <c r="AY96" s="135">
        <v>10</v>
      </c>
      <c r="AZ96" s="135">
        <v>4.5</v>
      </c>
      <c r="BA96" s="135">
        <v>0.22</v>
      </c>
      <c r="BB96" s="135"/>
      <c r="BC96" s="135"/>
      <c r="BD96" s="135"/>
      <c r="BE96" s="135"/>
      <c r="BF96" s="135"/>
      <c r="BG96" s="135"/>
      <c r="BH96" s="135"/>
      <c r="BI96" s="135"/>
      <c r="BJ96" s="135">
        <v>53.5</v>
      </c>
      <c r="BK96" s="135">
        <v>-4</v>
      </c>
      <c r="BL96" s="135">
        <v>28.75</v>
      </c>
    </row>
    <row r="97" spans="1:64" x14ac:dyDescent="0.3">
      <c r="A97" s="135">
        <v>2016</v>
      </c>
      <c r="B97" s="135">
        <v>4</v>
      </c>
      <c r="C97" s="135" t="s">
        <v>2178</v>
      </c>
      <c r="D97" s="135" t="s">
        <v>228</v>
      </c>
      <c r="E97" s="135" t="s">
        <v>396</v>
      </c>
      <c r="F97" s="135" t="s">
        <v>402</v>
      </c>
      <c r="G97" s="135" t="s">
        <v>10</v>
      </c>
      <c r="H97" s="135">
        <v>28.75</v>
      </c>
      <c r="I97" s="135">
        <v>1.6779999999999999</v>
      </c>
      <c r="J97" s="135">
        <v>3.0089999999999999</v>
      </c>
      <c r="K97" s="135">
        <v>0</v>
      </c>
      <c r="L97" s="135">
        <v>0</v>
      </c>
      <c r="M97" s="135">
        <v>0</v>
      </c>
      <c r="N97" s="135">
        <v>0</v>
      </c>
      <c r="O97" s="135">
        <v>0</v>
      </c>
      <c r="P97" s="135">
        <v>0</v>
      </c>
      <c r="Q97" s="135">
        <v>0</v>
      </c>
      <c r="R97" s="135">
        <v>0</v>
      </c>
      <c r="S97" s="135">
        <v>1.331</v>
      </c>
      <c r="T97" s="135">
        <v>12.362</v>
      </c>
      <c r="U97" s="135">
        <v>7.8E-2</v>
      </c>
      <c r="V97" s="135">
        <v>1.2999999999999999E-2</v>
      </c>
      <c r="W97" s="135">
        <v>0</v>
      </c>
      <c r="X97" s="135">
        <v>0</v>
      </c>
      <c r="Y97" s="135" t="s">
        <v>1995</v>
      </c>
      <c r="Z97" s="135">
        <v>2.2999999999999998</v>
      </c>
      <c r="AA97" s="135">
        <v>4150</v>
      </c>
      <c r="AB97" s="135">
        <v>1780.6</v>
      </c>
      <c r="AC97" s="135">
        <v>0.56000000000000005</v>
      </c>
      <c r="AD97" s="135">
        <v>3</v>
      </c>
      <c r="AE97" s="135">
        <v>5350</v>
      </c>
      <c r="AF97" s="135">
        <v>1777.9</v>
      </c>
      <c r="AG97" s="135">
        <v>0.56000000000000005</v>
      </c>
      <c r="AH97" s="135">
        <v>3.1</v>
      </c>
      <c r="AI97" s="135">
        <v>3600</v>
      </c>
      <c r="AJ97" s="135">
        <v>1162.7</v>
      </c>
      <c r="AK97" s="135">
        <v>0.86</v>
      </c>
      <c r="AL97" s="135">
        <v>2.2999999999999998</v>
      </c>
      <c r="AM97" s="135">
        <v>5400</v>
      </c>
      <c r="AN97" s="135">
        <v>2304</v>
      </c>
      <c r="AO97" s="135">
        <v>0.43</v>
      </c>
      <c r="AP97" s="135"/>
      <c r="AQ97" s="135"/>
      <c r="AR97" s="135"/>
      <c r="AS97" s="135"/>
      <c r="AT97" s="135"/>
      <c r="AU97" s="135"/>
      <c r="AV97" s="135"/>
      <c r="AW97" s="135"/>
      <c r="AX97" s="135">
        <v>2.2999999999999998</v>
      </c>
      <c r="AY97" s="135">
        <v>16</v>
      </c>
      <c r="AZ97" s="135">
        <v>6.8</v>
      </c>
      <c r="BA97" s="135">
        <v>0.15</v>
      </c>
      <c r="BB97" s="135"/>
      <c r="BC97" s="135"/>
      <c r="BD97" s="135"/>
      <c r="BE97" s="135"/>
      <c r="BF97" s="135">
        <v>3.1</v>
      </c>
      <c r="BG97" s="135">
        <v>7000</v>
      </c>
      <c r="BH97" s="135">
        <v>2260.6999999999998</v>
      </c>
      <c r="BI97" s="135">
        <v>0.44</v>
      </c>
      <c r="BJ97" s="135">
        <v>44</v>
      </c>
      <c r="BK97" s="135">
        <v>-4.5</v>
      </c>
      <c r="BL97" s="135">
        <v>24.25</v>
      </c>
    </row>
    <row r="98" spans="1:64" x14ac:dyDescent="0.3">
      <c r="A98" s="135">
        <v>2016</v>
      </c>
      <c r="B98" s="135">
        <v>4</v>
      </c>
      <c r="C98" s="135" t="s">
        <v>2190</v>
      </c>
      <c r="D98" s="135" t="s">
        <v>250</v>
      </c>
      <c r="E98" s="135" t="s">
        <v>396</v>
      </c>
      <c r="F98" s="135" t="s">
        <v>30</v>
      </c>
      <c r="G98" s="135" t="s">
        <v>2302</v>
      </c>
      <c r="H98" s="135">
        <v>17.190000000000001</v>
      </c>
      <c r="I98" s="135">
        <v>1.577</v>
      </c>
      <c r="J98" s="135">
        <v>2.6419999999999999</v>
      </c>
      <c r="K98" s="135">
        <v>0</v>
      </c>
      <c r="L98" s="135">
        <v>0</v>
      </c>
      <c r="M98" s="135">
        <v>0</v>
      </c>
      <c r="N98" s="135">
        <v>0</v>
      </c>
      <c r="O98" s="135">
        <v>0</v>
      </c>
      <c r="P98" s="135">
        <v>0</v>
      </c>
      <c r="Q98" s="135">
        <v>0</v>
      </c>
      <c r="R98" s="135">
        <v>0</v>
      </c>
      <c r="S98" s="135">
        <v>1.0649999999999999</v>
      </c>
      <c r="T98" s="135">
        <v>12.446999999999999</v>
      </c>
      <c r="U98" s="135">
        <v>5.8999999999999997E-2</v>
      </c>
      <c r="V98" s="135">
        <v>1.0999999999999999E-2</v>
      </c>
      <c r="W98" s="135">
        <v>0</v>
      </c>
      <c r="X98" s="135">
        <v>0</v>
      </c>
      <c r="Y98" s="135" t="s">
        <v>1995</v>
      </c>
      <c r="Z98" s="135">
        <v>2.1</v>
      </c>
      <c r="AA98" s="135">
        <v>3600</v>
      </c>
      <c r="AB98" s="135">
        <v>1715.8</v>
      </c>
      <c r="AC98" s="135">
        <v>0.57999999999999996</v>
      </c>
      <c r="AD98" s="135">
        <v>2.6</v>
      </c>
      <c r="AE98" s="135">
        <v>5000</v>
      </c>
      <c r="AF98" s="135">
        <v>1892.7</v>
      </c>
      <c r="AG98" s="135">
        <v>0.53</v>
      </c>
      <c r="AH98" s="135">
        <v>2.7</v>
      </c>
      <c r="AI98" s="135">
        <v>3000</v>
      </c>
      <c r="AJ98" s="135">
        <v>1100</v>
      </c>
      <c r="AK98" s="135">
        <v>0.91</v>
      </c>
      <c r="AL98" s="135">
        <v>2.1</v>
      </c>
      <c r="AM98" s="135">
        <v>4500</v>
      </c>
      <c r="AN98" s="135">
        <v>2133.5</v>
      </c>
      <c r="AO98" s="135">
        <v>0.47</v>
      </c>
      <c r="AP98" s="135"/>
      <c r="AQ98" s="135"/>
      <c r="AR98" s="135"/>
      <c r="AS98" s="135"/>
      <c r="AT98" s="135"/>
      <c r="AU98" s="135"/>
      <c r="AV98" s="135"/>
      <c r="AW98" s="135"/>
      <c r="AX98" s="135">
        <v>2.1</v>
      </c>
      <c r="AY98" s="135">
        <v>10</v>
      </c>
      <c r="AZ98" s="135">
        <v>4.7</v>
      </c>
      <c r="BA98" s="135">
        <v>0.21</v>
      </c>
      <c r="BB98" s="135"/>
      <c r="BC98" s="135"/>
      <c r="BD98" s="135"/>
      <c r="BE98" s="135"/>
      <c r="BF98" s="135">
        <v>2.7</v>
      </c>
      <c r="BG98" s="135">
        <v>6000</v>
      </c>
      <c r="BH98" s="135">
        <v>2199.9</v>
      </c>
      <c r="BI98" s="135">
        <v>0.45</v>
      </c>
      <c r="BJ98" s="135">
        <v>40.5</v>
      </c>
      <c r="BK98" s="135">
        <v>6.5</v>
      </c>
      <c r="BL98" s="135">
        <v>17</v>
      </c>
    </row>
    <row r="99" spans="1:64" x14ac:dyDescent="0.3">
      <c r="A99" s="135">
        <v>2016</v>
      </c>
      <c r="B99" s="135">
        <v>4</v>
      </c>
      <c r="C99" s="135" t="s">
        <v>2195</v>
      </c>
      <c r="D99" s="135" t="s">
        <v>313</v>
      </c>
      <c r="E99" s="135" t="s">
        <v>396</v>
      </c>
      <c r="F99" s="135" t="s">
        <v>398</v>
      </c>
      <c r="G99" s="135" t="s">
        <v>52</v>
      </c>
      <c r="H99" s="135">
        <v>17.72</v>
      </c>
      <c r="I99" s="135">
        <v>1.5509999999999999</v>
      </c>
      <c r="J99" s="135">
        <v>2.343</v>
      </c>
      <c r="K99" s="135">
        <v>0</v>
      </c>
      <c r="L99" s="135">
        <v>0</v>
      </c>
      <c r="M99" s="135">
        <v>0</v>
      </c>
      <c r="N99" s="135">
        <v>0</v>
      </c>
      <c r="O99" s="135">
        <v>0</v>
      </c>
      <c r="P99" s="135">
        <v>0</v>
      </c>
      <c r="Q99" s="135">
        <v>0</v>
      </c>
      <c r="R99" s="135">
        <v>0</v>
      </c>
      <c r="S99" s="135">
        <v>0.79200000000000004</v>
      </c>
      <c r="T99" s="135">
        <v>12.366</v>
      </c>
      <c r="U99" s="135">
        <v>5.5E-2</v>
      </c>
      <c r="V99" s="135">
        <v>8.0000000000000002E-3</v>
      </c>
      <c r="W99" s="135">
        <v>0</v>
      </c>
      <c r="X99" s="135">
        <v>0</v>
      </c>
      <c r="Y99" s="135" t="s">
        <v>1995</v>
      </c>
      <c r="Z99" s="135">
        <v>1.9</v>
      </c>
      <c r="AA99" s="135">
        <v>3400</v>
      </c>
      <c r="AB99" s="135">
        <v>1753.8</v>
      </c>
      <c r="AC99" s="135">
        <v>0.56999999999999995</v>
      </c>
      <c r="AD99" s="135">
        <v>2.2999999999999998</v>
      </c>
      <c r="AE99" s="135">
        <v>5000</v>
      </c>
      <c r="AF99" s="135">
        <v>2134.4</v>
      </c>
      <c r="AG99" s="135">
        <v>0.47</v>
      </c>
      <c r="AH99" s="135">
        <v>2.4</v>
      </c>
      <c r="AI99" s="135">
        <v>3000</v>
      </c>
      <c r="AJ99" s="135">
        <v>1237.2</v>
      </c>
      <c r="AK99" s="135">
        <v>0.81</v>
      </c>
      <c r="AL99" s="135">
        <v>1.9</v>
      </c>
      <c r="AM99" s="135">
        <v>4500</v>
      </c>
      <c r="AN99" s="135">
        <v>2311.6999999999998</v>
      </c>
      <c r="AO99" s="135">
        <v>0.43</v>
      </c>
      <c r="AP99" s="135"/>
      <c r="AQ99" s="135"/>
      <c r="AR99" s="135"/>
      <c r="AS99" s="135"/>
      <c r="AT99" s="135"/>
      <c r="AU99" s="135"/>
      <c r="AV99" s="135"/>
      <c r="AW99" s="135"/>
      <c r="AX99" s="135">
        <v>1.9</v>
      </c>
      <c r="AY99" s="135">
        <v>10</v>
      </c>
      <c r="AZ99" s="135">
        <v>5.0999999999999996</v>
      </c>
      <c r="BA99" s="135">
        <v>0.19</v>
      </c>
      <c r="BB99" s="135"/>
      <c r="BC99" s="135"/>
      <c r="BD99" s="135"/>
      <c r="BE99" s="135"/>
      <c r="BF99" s="135">
        <v>2.4</v>
      </c>
      <c r="BG99" s="135">
        <v>6000</v>
      </c>
      <c r="BH99" s="135">
        <v>2474.4</v>
      </c>
      <c r="BI99" s="135">
        <v>0.4</v>
      </c>
      <c r="BJ99" s="135">
        <v>46</v>
      </c>
      <c r="BK99" s="135">
        <v>3</v>
      </c>
      <c r="BL99" s="135">
        <v>21.5</v>
      </c>
    </row>
    <row r="100" spans="1:64" x14ac:dyDescent="0.3">
      <c r="A100" s="135">
        <v>2016</v>
      </c>
      <c r="B100" s="135">
        <v>4</v>
      </c>
      <c r="C100" s="135" t="s">
        <v>2569</v>
      </c>
      <c r="D100" s="135" t="s">
        <v>1250</v>
      </c>
      <c r="E100" s="135" t="s">
        <v>396</v>
      </c>
      <c r="F100" s="135" t="s">
        <v>10</v>
      </c>
      <c r="G100" s="135" t="s">
        <v>1992</v>
      </c>
      <c r="H100" s="135">
        <v>19.690000000000001</v>
      </c>
      <c r="I100" s="135">
        <v>1.528</v>
      </c>
      <c r="J100" s="135">
        <v>2.5270000000000001</v>
      </c>
      <c r="K100" s="135">
        <v>0</v>
      </c>
      <c r="L100" s="135">
        <v>0</v>
      </c>
      <c r="M100" s="135">
        <v>0</v>
      </c>
      <c r="N100" s="135">
        <v>0</v>
      </c>
      <c r="O100" s="135">
        <v>0</v>
      </c>
      <c r="P100" s="135">
        <v>0</v>
      </c>
      <c r="Q100" s="135">
        <v>0</v>
      </c>
      <c r="R100" s="135">
        <v>0</v>
      </c>
      <c r="S100" s="135">
        <v>0.999</v>
      </c>
      <c r="T100" s="135">
        <v>12.763</v>
      </c>
      <c r="U100" s="135">
        <v>4.5999999999999999E-2</v>
      </c>
      <c r="V100" s="135">
        <v>1.2E-2</v>
      </c>
      <c r="W100" s="135">
        <v>0</v>
      </c>
      <c r="X100" s="135">
        <v>0</v>
      </c>
      <c r="Y100" s="135" t="s">
        <v>1995</v>
      </c>
      <c r="Z100" s="135">
        <v>2</v>
      </c>
      <c r="AA100" s="135">
        <v>3000</v>
      </c>
      <c r="AB100" s="135">
        <v>1488.2</v>
      </c>
      <c r="AC100" s="135">
        <v>0.67</v>
      </c>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v>44</v>
      </c>
      <c r="BK100" s="135">
        <v>4.5</v>
      </c>
      <c r="BL100" s="135">
        <v>19.75</v>
      </c>
    </row>
    <row r="101" spans="1:64" x14ac:dyDescent="0.3">
      <c r="A101" s="135">
        <v>2016</v>
      </c>
      <c r="B101" s="135">
        <v>4</v>
      </c>
      <c r="C101" s="135" t="s">
        <v>2182</v>
      </c>
      <c r="D101" s="135" t="s">
        <v>274</v>
      </c>
      <c r="E101" s="135" t="s">
        <v>396</v>
      </c>
      <c r="F101" s="135" t="s">
        <v>4</v>
      </c>
      <c r="G101" s="135" t="s">
        <v>2297</v>
      </c>
      <c r="H101" s="135">
        <v>22.34</v>
      </c>
      <c r="I101" s="135">
        <v>1.476</v>
      </c>
      <c r="J101" s="135">
        <v>2.2719999999999998</v>
      </c>
      <c r="K101" s="135">
        <v>0</v>
      </c>
      <c r="L101" s="135">
        <v>0</v>
      </c>
      <c r="M101" s="135">
        <v>0</v>
      </c>
      <c r="N101" s="135">
        <v>0</v>
      </c>
      <c r="O101" s="135">
        <v>0</v>
      </c>
      <c r="P101" s="135">
        <v>0</v>
      </c>
      <c r="Q101" s="135">
        <v>0</v>
      </c>
      <c r="R101" s="135">
        <v>0</v>
      </c>
      <c r="S101" s="135">
        <v>0.79600000000000004</v>
      </c>
      <c r="T101" s="135">
        <v>7.9009999999999998</v>
      </c>
      <c r="U101" s="135">
        <v>0.11700000000000001</v>
      </c>
      <c r="V101" s="135">
        <v>8.0000000000000002E-3</v>
      </c>
      <c r="W101" s="135">
        <v>0</v>
      </c>
      <c r="X101" s="135">
        <v>0</v>
      </c>
      <c r="Y101" s="135" t="s">
        <v>1995</v>
      </c>
      <c r="Z101" s="135">
        <v>1.9</v>
      </c>
      <c r="AA101" s="135">
        <v>3800</v>
      </c>
      <c r="AB101" s="135">
        <v>2036.3</v>
      </c>
      <c r="AC101" s="135">
        <v>0.49</v>
      </c>
      <c r="AD101" s="135">
        <v>2.2999999999999998</v>
      </c>
      <c r="AE101" s="135">
        <v>5000</v>
      </c>
      <c r="AF101" s="135">
        <v>2200.6</v>
      </c>
      <c r="AG101" s="135">
        <v>0.45</v>
      </c>
      <c r="AH101" s="135">
        <v>2.2999999999999998</v>
      </c>
      <c r="AI101" s="135">
        <v>3000</v>
      </c>
      <c r="AJ101" s="135">
        <v>1288.9000000000001</v>
      </c>
      <c r="AK101" s="135">
        <v>0.78</v>
      </c>
      <c r="AL101" s="135">
        <v>1.9</v>
      </c>
      <c r="AM101" s="135">
        <v>4600</v>
      </c>
      <c r="AN101" s="135">
        <v>2454.5</v>
      </c>
      <c r="AO101" s="135">
        <v>0.41</v>
      </c>
      <c r="AP101" s="135"/>
      <c r="AQ101" s="135"/>
      <c r="AR101" s="135"/>
      <c r="AS101" s="135"/>
      <c r="AT101" s="135"/>
      <c r="AU101" s="135"/>
      <c r="AV101" s="135"/>
      <c r="AW101" s="135"/>
      <c r="AX101" s="135">
        <v>1.9</v>
      </c>
      <c r="AY101" s="135">
        <v>10</v>
      </c>
      <c r="AZ101" s="135">
        <v>5.3</v>
      </c>
      <c r="BA101" s="135">
        <v>0.19</v>
      </c>
      <c r="BB101" s="135"/>
      <c r="BC101" s="135"/>
      <c r="BD101" s="135"/>
      <c r="BE101" s="135"/>
      <c r="BF101" s="135">
        <v>2.2999999999999998</v>
      </c>
      <c r="BG101" s="135">
        <v>6000</v>
      </c>
      <c r="BH101" s="135">
        <v>2577.9</v>
      </c>
      <c r="BI101" s="135">
        <v>0.39</v>
      </c>
      <c r="BJ101" s="135">
        <v>46.5</v>
      </c>
      <c r="BK101" s="135">
        <v>3.5</v>
      </c>
      <c r="BL101" s="135">
        <v>21.5</v>
      </c>
    </row>
    <row r="102" spans="1:64" x14ac:dyDescent="0.3">
      <c r="A102" s="135">
        <v>2016</v>
      </c>
      <c r="B102" s="135">
        <v>4</v>
      </c>
      <c r="C102" s="135" t="s">
        <v>2191</v>
      </c>
      <c r="D102" s="135" t="s">
        <v>284</v>
      </c>
      <c r="E102" s="135" t="s">
        <v>396</v>
      </c>
      <c r="F102" s="135" t="s">
        <v>50</v>
      </c>
      <c r="G102" s="135" t="s">
        <v>22</v>
      </c>
      <c r="H102" s="135">
        <v>13.55</v>
      </c>
      <c r="I102" s="135">
        <v>1.4650000000000001</v>
      </c>
      <c r="J102" s="135">
        <v>2.617</v>
      </c>
      <c r="K102" s="135">
        <v>0</v>
      </c>
      <c r="L102" s="135">
        <v>0</v>
      </c>
      <c r="M102" s="135">
        <v>0</v>
      </c>
      <c r="N102" s="135">
        <v>0</v>
      </c>
      <c r="O102" s="135">
        <v>0</v>
      </c>
      <c r="P102" s="135">
        <v>0</v>
      </c>
      <c r="Q102" s="135">
        <v>0</v>
      </c>
      <c r="R102" s="135">
        <v>0</v>
      </c>
      <c r="S102" s="135">
        <v>1.1519999999999999</v>
      </c>
      <c r="T102" s="135">
        <v>9.5299999999999994</v>
      </c>
      <c r="U102" s="135">
        <v>8.8999999999999996E-2</v>
      </c>
      <c r="V102" s="135">
        <v>1.0999999999999999E-2</v>
      </c>
      <c r="W102" s="135">
        <v>0</v>
      </c>
      <c r="X102" s="135">
        <v>0</v>
      </c>
      <c r="Y102" s="135" t="s">
        <v>1995</v>
      </c>
      <c r="Z102" s="135">
        <v>2</v>
      </c>
      <c r="AA102" s="135">
        <v>3900</v>
      </c>
      <c r="AB102" s="135">
        <v>1921.2</v>
      </c>
      <c r="AC102" s="135">
        <v>0.52</v>
      </c>
      <c r="AD102" s="135">
        <v>2.6</v>
      </c>
      <c r="AE102" s="135">
        <v>5000</v>
      </c>
      <c r="AF102" s="135">
        <v>1910.6</v>
      </c>
      <c r="AG102" s="135">
        <v>0.52</v>
      </c>
      <c r="AH102" s="135">
        <v>2.7</v>
      </c>
      <c r="AI102" s="135">
        <v>3000</v>
      </c>
      <c r="AJ102" s="135">
        <v>1117.2</v>
      </c>
      <c r="AK102" s="135">
        <v>0.9</v>
      </c>
      <c r="AL102" s="135">
        <v>2</v>
      </c>
      <c r="AM102" s="135">
        <v>4900</v>
      </c>
      <c r="AN102" s="135">
        <v>2400.8000000000002</v>
      </c>
      <c r="AO102" s="135">
        <v>0.42</v>
      </c>
      <c r="AP102" s="135"/>
      <c r="AQ102" s="135"/>
      <c r="AR102" s="135"/>
      <c r="AS102" s="135"/>
      <c r="AT102" s="135"/>
      <c r="AU102" s="135"/>
      <c r="AV102" s="135"/>
      <c r="AW102" s="135"/>
      <c r="AX102" s="135">
        <v>2</v>
      </c>
      <c r="AY102" s="135">
        <v>10</v>
      </c>
      <c r="AZ102" s="135">
        <v>4.9000000000000004</v>
      </c>
      <c r="BA102" s="135">
        <v>0.2</v>
      </c>
      <c r="BB102" s="135"/>
      <c r="BC102" s="135"/>
      <c r="BD102" s="135"/>
      <c r="BE102" s="135"/>
      <c r="BF102" s="135">
        <v>2.7</v>
      </c>
      <c r="BG102" s="135">
        <v>6000</v>
      </c>
      <c r="BH102" s="135">
        <v>2234.5</v>
      </c>
      <c r="BI102" s="135">
        <v>0.45</v>
      </c>
      <c r="BJ102" s="135">
        <v>50</v>
      </c>
      <c r="BK102" s="135">
        <v>3</v>
      </c>
      <c r="BL102" s="135">
        <v>23.5</v>
      </c>
    </row>
    <row r="103" spans="1:64" x14ac:dyDescent="0.3">
      <c r="A103" s="135">
        <v>2016</v>
      </c>
      <c r="B103" s="135">
        <v>4</v>
      </c>
      <c r="C103" s="135" t="s">
        <v>2570</v>
      </c>
      <c r="D103" s="135" t="s">
        <v>296</v>
      </c>
      <c r="E103" s="135" t="s">
        <v>396</v>
      </c>
      <c r="F103" s="135" t="s">
        <v>46</v>
      </c>
      <c r="G103" s="135" t="s">
        <v>26</v>
      </c>
      <c r="H103" s="135">
        <v>31.1</v>
      </c>
      <c r="I103" s="135">
        <v>1.3939999999999999</v>
      </c>
      <c r="J103" s="135">
        <v>2.35</v>
      </c>
      <c r="K103" s="135">
        <v>0</v>
      </c>
      <c r="L103" s="135">
        <v>0</v>
      </c>
      <c r="M103" s="135">
        <v>0</v>
      </c>
      <c r="N103" s="135">
        <v>0</v>
      </c>
      <c r="O103" s="135">
        <v>0</v>
      </c>
      <c r="P103" s="135">
        <v>0</v>
      </c>
      <c r="Q103" s="135">
        <v>0</v>
      </c>
      <c r="R103" s="135">
        <v>0</v>
      </c>
      <c r="S103" s="135">
        <v>0.95599999999999996</v>
      </c>
      <c r="T103" s="135">
        <v>10.295999999999999</v>
      </c>
      <c r="U103" s="135">
        <v>6.4000000000000001E-2</v>
      </c>
      <c r="V103" s="135">
        <v>0.01</v>
      </c>
      <c r="W103" s="135">
        <v>0</v>
      </c>
      <c r="X103" s="135">
        <v>0</v>
      </c>
      <c r="Y103" s="135" t="s">
        <v>1995</v>
      </c>
      <c r="Z103" s="135">
        <v>1.9</v>
      </c>
      <c r="AA103" s="135">
        <v>3000</v>
      </c>
      <c r="AB103" s="135">
        <v>1611.5</v>
      </c>
      <c r="AC103" s="135">
        <v>0.62</v>
      </c>
      <c r="AD103" s="135">
        <v>2.2999999999999998</v>
      </c>
      <c r="AE103" s="135">
        <v>5000</v>
      </c>
      <c r="AF103" s="135">
        <v>2128</v>
      </c>
      <c r="AG103" s="135">
        <v>0.47</v>
      </c>
      <c r="AH103" s="135">
        <v>2.4</v>
      </c>
      <c r="AI103" s="135">
        <v>3000</v>
      </c>
      <c r="AJ103" s="135">
        <v>1239</v>
      </c>
      <c r="AK103" s="135">
        <v>0.81</v>
      </c>
      <c r="AL103" s="135">
        <v>1.9</v>
      </c>
      <c r="AM103" s="135">
        <v>4500</v>
      </c>
      <c r="AN103" s="135">
        <v>2404.4</v>
      </c>
      <c r="AO103" s="135">
        <v>0.42</v>
      </c>
      <c r="AP103" s="135"/>
      <c r="AQ103" s="135"/>
      <c r="AR103" s="135"/>
      <c r="AS103" s="135"/>
      <c r="AT103" s="135"/>
      <c r="AU103" s="135"/>
      <c r="AV103" s="135"/>
      <c r="AW103" s="135"/>
      <c r="AX103" s="135">
        <v>1.9</v>
      </c>
      <c r="AY103" s="135">
        <v>10</v>
      </c>
      <c r="AZ103" s="135">
        <v>5.3</v>
      </c>
      <c r="BA103" s="135">
        <v>0.19</v>
      </c>
      <c r="BB103" s="135"/>
      <c r="BC103" s="135"/>
      <c r="BD103" s="135"/>
      <c r="BE103" s="135"/>
      <c r="BF103" s="135">
        <v>2.4</v>
      </c>
      <c r="BG103" s="135">
        <v>6000</v>
      </c>
      <c r="BH103" s="135">
        <v>2477.9</v>
      </c>
      <c r="BI103" s="135">
        <v>0.4</v>
      </c>
      <c r="BJ103" s="135">
        <v>46.5</v>
      </c>
      <c r="BK103" s="135">
        <v>3</v>
      </c>
      <c r="BL103" s="135">
        <v>21.75</v>
      </c>
    </row>
    <row r="104" spans="1:64" x14ac:dyDescent="0.3">
      <c r="A104" s="135">
        <v>2016</v>
      </c>
      <c r="B104" s="135">
        <v>4</v>
      </c>
      <c r="C104" s="135" t="s">
        <v>2198</v>
      </c>
      <c r="D104" s="135" t="s">
        <v>477</v>
      </c>
      <c r="E104" s="135" t="s">
        <v>396</v>
      </c>
      <c r="F104" s="135" t="s">
        <v>50</v>
      </c>
      <c r="G104" s="135" t="s">
        <v>22</v>
      </c>
      <c r="H104" s="135">
        <v>13.55</v>
      </c>
      <c r="I104" s="135">
        <v>1.2849999999999999</v>
      </c>
      <c r="J104" s="135">
        <v>2.3220000000000001</v>
      </c>
      <c r="K104" s="135">
        <v>0</v>
      </c>
      <c r="L104" s="135">
        <v>0</v>
      </c>
      <c r="M104" s="135">
        <v>0</v>
      </c>
      <c r="N104" s="135">
        <v>0</v>
      </c>
      <c r="O104" s="135">
        <v>0</v>
      </c>
      <c r="P104" s="135">
        <v>0</v>
      </c>
      <c r="Q104" s="135">
        <v>0</v>
      </c>
      <c r="R104" s="135">
        <v>0</v>
      </c>
      <c r="S104" s="135">
        <v>1.0369999999999999</v>
      </c>
      <c r="T104" s="135">
        <v>10.891999999999999</v>
      </c>
      <c r="U104" s="135">
        <v>3.5999999999999997E-2</v>
      </c>
      <c r="V104" s="135">
        <v>0.01</v>
      </c>
      <c r="W104" s="135">
        <v>0</v>
      </c>
      <c r="X104" s="135">
        <v>0</v>
      </c>
      <c r="Y104" s="135" t="s">
        <v>1995</v>
      </c>
      <c r="Z104" s="135">
        <v>1.8</v>
      </c>
      <c r="AA104" s="135">
        <v>3600</v>
      </c>
      <c r="AB104" s="135">
        <v>2007</v>
      </c>
      <c r="AC104" s="135">
        <v>0.5</v>
      </c>
      <c r="AD104" s="135">
        <v>2.2999999999999998</v>
      </c>
      <c r="AE104" s="135">
        <v>5000</v>
      </c>
      <c r="AF104" s="135">
        <v>2153.1</v>
      </c>
      <c r="AG104" s="135">
        <v>0.46</v>
      </c>
      <c r="AH104" s="135">
        <v>2.4</v>
      </c>
      <c r="AI104" s="135">
        <v>3000</v>
      </c>
      <c r="AJ104" s="135">
        <v>1251.3</v>
      </c>
      <c r="AK104" s="135">
        <v>0.8</v>
      </c>
      <c r="AL104" s="135">
        <v>1.8</v>
      </c>
      <c r="AM104" s="135">
        <v>4500</v>
      </c>
      <c r="AN104" s="135">
        <v>2494.9</v>
      </c>
      <c r="AO104" s="135">
        <v>0.4</v>
      </c>
      <c r="AP104" s="135"/>
      <c r="AQ104" s="135"/>
      <c r="AR104" s="135"/>
      <c r="AS104" s="135"/>
      <c r="AT104" s="135"/>
      <c r="AU104" s="135"/>
      <c r="AV104" s="135"/>
      <c r="AW104" s="135"/>
      <c r="AX104" s="135">
        <v>1.8</v>
      </c>
      <c r="AY104" s="135">
        <v>10</v>
      </c>
      <c r="AZ104" s="135">
        <v>5.5</v>
      </c>
      <c r="BA104" s="135">
        <v>0.18</v>
      </c>
      <c r="BB104" s="135"/>
      <c r="BC104" s="135"/>
      <c r="BD104" s="135"/>
      <c r="BE104" s="135"/>
      <c r="BF104" s="135">
        <v>2.4</v>
      </c>
      <c r="BG104" s="135">
        <v>6000</v>
      </c>
      <c r="BH104" s="135">
        <v>2502.6</v>
      </c>
      <c r="BI104" s="135">
        <v>0.4</v>
      </c>
      <c r="BJ104" s="135">
        <v>50</v>
      </c>
      <c r="BK104" s="135">
        <v>3</v>
      </c>
      <c r="BL104" s="135">
        <v>23.5</v>
      </c>
    </row>
    <row r="105" spans="1:64" x14ac:dyDescent="0.3">
      <c r="A105" s="135">
        <v>2016</v>
      </c>
      <c r="B105" s="135">
        <v>4</v>
      </c>
      <c r="C105" s="135" t="s">
        <v>2193</v>
      </c>
      <c r="D105" s="135" t="s">
        <v>523</v>
      </c>
      <c r="E105" s="135" t="s">
        <v>396</v>
      </c>
      <c r="F105" s="135" t="s">
        <v>34</v>
      </c>
      <c r="G105" s="135" t="s">
        <v>7</v>
      </c>
      <c r="H105" s="135">
        <v>10.17</v>
      </c>
      <c r="I105" s="135">
        <v>1.25</v>
      </c>
      <c r="J105" s="135">
        <v>2.1589999999999998</v>
      </c>
      <c r="K105" s="135">
        <v>0</v>
      </c>
      <c r="L105" s="135">
        <v>0</v>
      </c>
      <c r="M105" s="135">
        <v>0</v>
      </c>
      <c r="N105" s="135">
        <v>0</v>
      </c>
      <c r="O105" s="135">
        <v>0</v>
      </c>
      <c r="P105" s="135">
        <v>0</v>
      </c>
      <c r="Q105" s="135">
        <v>0</v>
      </c>
      <c r="R105" s="135">
        <v>0</v>
      </c>
      <c r="S105" s="135">
        <v>0.90900000000000003</v>
      </c>
      <c r="T105" s="135">
        <v>12.717000000000001</v>
      </c>
      <c r="U105" s="135">
        <v>0</v>
      </c>
      <c r="V105" s="135">
        <v>1.0999999999999999E-2</v>
      </c>
      <c r="W105" s="135">
        <v>0</v>
      </c>
      <c r="X105" s="135">
        <v>0</v>
      </c>
      <c r="Y105" s="135" t="s">
        <v>1995</v>
      </c>
      <c r="Z105" s="135">
        <v>1.7</v>
      </c>
      <c r="AA105" s="135">
        <v>3000</v>
      </c>
      <c r="AB105" s="135">
        <v>1771.8</v>
      </c>
      <c r="AC105" s="135">
        <v>0.56000000000000005</v>
      </c>
      <c r="AD105" s="135">
        <v>2.2000000000000002</v>
      </c>
      <c r="AE105" s="135">
        <v>5000</v>
      </c>
      <c r="AF105" s="135">
        <v>2316.1999999999998</v>
      </c>
      <c r="AG105" s="135">
        <v>0.43</v>
      </c>
      <c r="AH105" s="135">
        <v>2.2000000000000002</v>
      </c>
      <c r="AI105" s="135">
        <v>3000</v>
      </c>
      <c r="AJ105" s="135">
        <v>1335.7</v>
      </c>
      <c r="AK105" s="135">
        <v>0.75</v>
      </c>
      <c r="AL105" s="135">
        <v>1.7</v>
      </c>
      <c r="AM105" s="135">
        <v>4700</v>
      </c>
      <c r="AN105" s="135">
        <v>2757.9</v>
      </c>
      <c r="AO105" s="135">
        <v>0.36</v>
      </c>
      <c r="AP105" s="135"/>
      <c r="AQ105" s="135"/>
      <c r="AR105" s="135"/>
      <c r="AS105" s="135"/>
      <c r="AT105" s="135"/>
      <c r="AU105" s="135"/>
      <c r="AV105" s="135"/>
      <c r="AW105" s="135"/>
      <c r="AX105" s="135">
        <v>1.7</v>
      </c>
      <c r="AY105" s="135">
        <v>10</v>
      </c>
      <c r="AZ105" s="135">
        <v>5.9</v>
      </c>
      <c r="BA105" s="135">
        <v>0.17</v>
      </c>
      <c r="BB105" s="135"/>
      <c r="BC105" s="135"/>
      <c r="BD105" s="135"/>
      <c r="BE105" s="135"/>
      <c r="BF105" s="135">
        <v>2.2000000000000002</v>
      </c>
      <c r="BG105" s="135">
        <v>6000</v>
      </c>
      <c r="BH105" s="135">
        <v>2671.4</v>
      </c>
      <c r="BI105" s="135">
        <v>0.37</v>
      </c>
      <c r="BJ105" s="135">
        <v>40.5</v>
      </c>
      <c r="BK105" s="135">
        <v>1.5</v>
      </c>
      <c r="BL105" s="135">
        <v>19.5</v>
      </c>
    </row>
    <row r="106" spans="1:64" x14ac:dyDescent="0.3">
      <c r="A106" s="135">
        <v>2016</v>
      </c>
      <c r="B106" s="135">
        <v>4</v>
      </c>
      <c r="C106" s="135" t="s">
        <v>2188</v>
      </c>
      <c r="D106" s="135" t="s">
        <v>266</v>
      </c>
      <c r="E106" s="135" t="s">
        <v>396</v>
      </c>
      <c r="F106" s="135" t="s">
        <v>52</v>
      </c>
      <c r="G106" s="135" t="s">
        <v>2309</v>
      </c>
      <c r="H106" s="135">
        <v>26.3</v>
      </c>
      <c r="I106" s="135">
        <v>1.175</v>
      </c>
      <c r="J106" s="135">
        <v>1.8069999999999999</v>
      </c>
      <c r="K106" s="135">
        <v>0</v>
      </c>
      <c r="L106" s="135">
        <v>0</v>
      </c>
      <c r="M106" s="135">
        <v>0</v>
      </c>
      <c r="N106" s="135">
        <v>0</v>
      </c>
      <c r="O106" s="135">
        <v>0</v>
      </c>
      <c r="P106" s="135">
        <v>0</v>
      </c>
      <c r="Q106" s="135">
        <v>0</v>
      </c>
      <c r="R106" s="135">
        <v>0</v>
      </c>
      <c r="S106" s="135">
        <v>0.63200000000000001</v>
      </c>
      <c r="T106" s="135">
        <v>7.2919999999999998</v>
      </c>
      <c r="U106" s="135">
        <v>7.5999999999999998E-2</v>
      </c>
      <c r="V106" s="135">
        <v>5.0000000000000001E-3</v>
      </c>
      <c r="W106" s="135">
        <v>0</v>
      </c>
      <c r="X106" s="135">
        <v>0</v>
      </c>
      <c r="Y106" s="135" t="s">
        <v>1995</v>
      </c>
      <c r="Z106" s="135">
        <v>1.5</v>
      </c>
      <c r="AA106" s="135">
        <v>3700</v>
      </c>
      <c r="AB106" s="135">
        <v>2489.6</v>
      </c>
      <c r="AC106" s="135">
        <v>0.4</v>
      </c>
      <c r="AD106" s="135">
        <v>1.8</v>
      </c>
      <c r="AE106" s="135">
        <v>5000</v>
      </c>
      <c r="AF106" s="135">
        <v>2766.7</v>
      </c>
      <c r="AG106" s="135">
        <v>0.36</v>
      </c>
      <c r="AH106" s="135">
        <v>1.9</v>
      </c>
      <c r="AI106" s="135">
        <v>3000</v>
      </c>
      <c r="AJ106" s="135">
        <v>1616.4</v>
      </c>
      <c r="AK106" s="135">
        <v>0.62</v>
      </c>
      <c r="AL106" s="135">
        <v>1.5</v>
      </c>
      <c r="AM106" s="135">
        <v>4500</v>
      </c>
      <c r="AN106" s="135">
        <v>3017.7</v>
      </c>
      <c r="AO106" s="135">
        <v>0.33</v>
      </c>
      <c r="AP106" s="135"/>
      <c r="AQ106" s="135"/>
      <c r="AR106" s="135"/>
      <c r="AS106" s="135"/>
      <c r="AT106" s="135"/>
      <c r="AU106" s="135"/>
      <c r="AV106" s="135"/>
      <c r="AW106" s="135"/>
      <c r="AX106" s="135">
        <v>1.5</v>
      </c>
      <c r="AY106" s="135">
        <v>10</v>
      </c>
      <c r="AZ106" s="135">
        <v>6.7</v>
      </c>
      <c r="BA106" s="135">
        <v>0.15</v>
      </c>
      <c r="BB106" s="135"/>
      <c r="BC106" s="135"/>
      <c r="BD106" s="135"/>
      <c r="BE106" s="135"/>
      <c r="BF106" s="135">
        <v>1.9</v>
      </c>
      <c r="BG106" s="135">
        <v>6000</v>
      </c>
      <c r="BH106" s="135">
        <v>3232.8</v>
      </c>
      <c r="BI106" s="135">
        <v>0.31</v>
      </c>
      <c r="BJ106" s="135">
        <v>46</v>
      </c>
      <c r="BK106" s="135">
        <v>-3</v>
      </c>
      <c r="BL106" s="135">
        <v>24.5</v>
      </c>
    </row>
    <row r="107" spans="1:64" x14ac:dyDescent="0.3">
      <c r="A107" s="135">
        <v>2016</v>
      </c>
      <c r="B107" s="135">
        <v>4</v>
      </c>
      <c r="C107" s="135" t="s">
        <v>2172</v>
      </c>
      <c r="D107" s="135" t="s">
        <v>221</v>
      </c>
      <c r="E107" s="135" t="s">
        <v>396</v>
      </c>
      <c r="F107" s="135" t="s">
        <v>32</v>
      </c>
      <c r="G107" s="135" t="s">
        <v>4</v>
      </c>
      <c r="H107" s="135">
        <v>34.54</v>
      </c>
      <c r="I107" s="135">
        <v>1.163</v>
      </c>
      <c r="J107" s="135">
        <v>2.1589999999999998</v>
      </c>
      <c r="K107" s="135">
        <v>0</v>
      </c>
      <c r="L107" s="135">
        <v>0</v>
      </c>
      <c r="M107" s="135">
        <v>0</v>
      </c>
      <c r="N107" s="135">
        <v>0</v>
      </c>
      <c r="O107" s="135">
        <v>0</v>
      </c>
      <c r="P107" s="135">
        <v>0</v>
      </c>
      <c r="Q107" s="135">
        <v>0</v>
      </c>
      <c r="R107" s="135">
        <v>0</v>
      </c>
      <c r="S107" s="135">
        <v>0.996</v>
      </c>
      <c r="T107" s="135">
        <v>8.4730000000000008</v>
      </c>
      <c r="U107" s="135">
        <v>5.5E-2</v>
      </c>
      <c r="V107" s="135">
        <v>7.0000000000000001E-3</v>
      </c>
      <c r="W107" s="135">
        <v>0</v>
      </c>
      <c r="X107" s="135">
        <v>0</v>
      </c>
      <c r="Y107" s="135" t="s">
        <v>1995</v>
      </c>
      <c r="Z107" s="135">
        <v>1.7</v>
      </c>
      <c r="AA107" s="135">
        <v>3900</v>
      </c>
      <c r="AB107" s="135">
        <v>2357.5</v>
      </c>
      <c r="AC107" s="135">
        <v>0.42</v>
      </c>
      <c r="AD107" s="135">
        <v>2.2000000000000002</v>
      </c>
      <c r="AE107" s="135">
        <v>8300</v>
      </c>
      <c r="AF107" s="135">
        <v>3843.8</v>
      </c>
      <c r="AG107" s="135">
        <v>0.26</v>
      </c>
      <c r="AH107" s="135">
        <v>2.2000000000000002</v>
      </c>
      <c r="AI107" s="135">
        <v>3000</v>
      </c>
      <c r="AJ107" s="135">
        <v>1353.1</v>
      </c>
      <c r="AK107" s="135">
        <v>0.74</v>
      </c>
      <c r="AL107" s="135">
        <v>1.7</v>
      </c>
      <c r="AM107" s="135">
        <v>5400</v>
      </c>
      <c r="AN107" s="135">
        <v>3250.5</v>
      </c>
      <c r="AO107" s="135">
        <v>0.31</v>
      </c>
      <c r="AP107" s="135"/>
      <c r="AQ107" s="135"/>
      <c r="AR107" s="135"/>
      <c r="AS107" s="135"/>
      <c r="AT107" s="135"/>
      <c r="AU107" s="135"/>
      <c r="AV107" s="135"/>
      <c r="AW107" s="135"/>
      <c r="AX107" s="135">
        <v>1.7</v>
      </c>
      <c r="AY107" s="135">
        <v>13</v>
      </c>
      <c r="AZ107" s="135">
        <v>7.8</v>
      </c>
      <c r="BA107" s="135">
        <v>0.13</v>
      </c>
      <c r="BB107" s="135"/>
      <c r="BC107" s="135"/>
      <c r="BD107" s="135"/>
      <c r="BE107" s="135"/>
      <c r="BF107" s="135">
        <v>2.2000000000000002</v>
      </c>
      <c r="BG107" s="135">
        <v>6000</v>
      </c>
      <c r="BH107" s="135">
        <v>2706.2</v>
      </c>
      <c r="BI107" s="135">
        <v>0.37</v>
      </c>
      <c r="BJ107" s="135">
        <v>46.5</v>
      </c>
      <c r="BK107" s="135">
        <v>-3.5</v>
      </c>
      <c r="BL107" s="135">
        <v>25</v>
      </c>
    </row>
    <row r="108" spans="1:64" x14ac:dyDescent="0.3">
      <c r="A108" s="135">
        <v>2016</v>
      </c>
      <c r="B108" s="135">
        <v>4</v>
      </c>
      <c r="C108" s="135" t="s">
        <v>2180</v>
      </c>
      <c r="D108" s="135" t="s">
        <v>498</v>
      </c>
      <c r="E108" s="135" t="s">
        <v>396</v>
      </c>
      <c r="F108" s="135" t="s">
        <v>402</v>
      </c>
      <c r="G108" s="135" t="s">
        <v>10</v>
      </c>
      <c r="H108" s="135">
        <v>28.75</v>
      </c>
      <c r="I108" s="135">
        <v>1.012</v>
      </c>
      <c r="J108" s="135">
        <v>1.6259999999999999</v>
      </c>
      <c r="K108" s="135">
        <v>0</v>
      </c>
      <c r="L108" s="135">
        <v>0</v>
      </c>
      <c r="M108" s="135">
        <v>0</v>
      </c>
      <c r="N108" s="135">
        <v>0</v>
      </c>
      <c r="O108" s="135">
        <v>0</v>
      </c>
      <c r="P108" s="135">
        <v>0</v>
      </c>
      <c r="Q108" s="135">
        <v>0</v>
      </c>
      <c r="R108" s="135">
        <v>0</v>
      </c>
      <c r="S108" s="135">
        <v>0.61399999999999999</v>
      </c>
      <c r="T108" s="135">
        <v>7.4169999999999998</v>
      </c>
      <c r="U108" s="135">
        <v>4.7E-2</v>
      </c>
      <c r="V108" s="135">
        <v>6.0000000000000001E-3</v>
      </c>
      <c r="W108" s="135">
        <v>0</v>
      </c>
      <c r="X108" s="135">
        <v>0</v>
      </c>
      <c r="Y108" s="135" t="s">
        <v>1995</v>
      </c>
      <c r="Z108" s="135">
        <v>1.3</v>
      </c>
      <c r="AA108" s="135">
        <v>3300</v>
      </c>
      <c r="AB108" s="135">
        <v>2513.9</v>
      </c>
      <c r="AC108" s="135">
        <v>0.4</v>
      </c>
      <c r="AD108" s="135">
        <v>1.6</v>
      </c>
      <c r="AE108" s="135">
        <v>5000</v>
      </c>
      <c r="AF108" s="135">
        <v>3075.6</v>
      </c>
      <c r="AG108" s="135">
        <v>0.33</v>
      </c>
      <c r="AH108" s="135">
        <v>1.7</v>
      </c>
      <c r="AI108" s="135">
        <v>3000</v>
      </c>
      <c r="AJ108" s="135">
        <v>1789.8</v>
      </c>
      <c r="AK108" s="135">
        <v>0.56000000000000005</v>
      </c>
      <c r="AL108" s="135">
        <v>1.3</v>
      </c>
      <c r="AM108" s="135">
        <v>4500</v>
      </c>
      <c r="AN108" s="135">
        <v>3412.5</v>
      </c>
      <c r="AO108" s="135">
        <v>0.28999999999999998</v>
      </c>
      <c r="AP108" s="135"/>
      <c r="AQ108" s="135"/>
      <c r="AR108" s="135"/>
      <c r="AS108" s="135"/>
      <c r="AT108" s="135"/>
      <c r="AU108" s="135"/>
      <c r="AV108" s="135"/>
      <c r="AW108" s="135"/>
      <c r="AX108" s="135">
        <v>1.3</v>
      </c>
      <c r="AY108" s="135">
        <v>10</v>
      </c>
      <c r="AZ108" s="135">
        <v>7.6</v>
      </c>
      <c r="BA108" s="135">
        <v>0.13</v>
      </c>
      <c r="BB108" s="135"/>
      <c r="BC108" s="135"/>
      <c r="BD108" s="135"/>
      <c r="BE108" s="135"/>
      <c r="BF108" s="135">
        <v>1.7</v>
      </c>
      <c r="BG108" s="135">
        <v>6000</v>
      </c>
      <c r="BH108" s="135">
        <v>3579.5</v>
      </c>
      <c r="BI108" s="135">
        <v>0.28000000000000003</v>
      </c>
      <c r="BJ108" s="135">
        <v>44</v>
      </c>
      <c r="BK108" s="135">
        <v>-4.5</v>
      </c>
      <c r="BL108" s="135">
        <v>24.25</v>
      </c>
    </row>
    <row r="109" spans="1:64" x14ac:dyDescent="0.3">
      <c r="A109" s="135">
        <v>2016</v>
      </c>
      <c r="B109" s="135">
        <v>4</v>
      </c>
      <c r="C109" s="135" t="s">
        <v>2192</v>
      </c>
      <c r="D109" s="135" t="s">
        <v>304</v>
      </c>
      <c r="E109" s="135" t="s">
        <v>396</v>
      </c>
      <c r="F109" s="135" t="s">
        <v>70</v>
      </c>
      <c r="G109" s="135" t="s">
        <v>2005</v>
      </c>
      <c r="H109" s="135">
        <v>32.64</v>
      </c>
      <c r="I109" s="135">
        <v>0.91700000000000004</v>
      </c>
      <c r="J109" s="135">
        <v>1.5529999999999999</v>
      </c>
      <c r="K109" s="135">
        <v>0</v>
      </c>
      <c r="L109" s="135">
        <v>0</v>
      </c>
      <c r="M109" s="135">
        <v>0</v>
      </c>
      <c r="N109" s="135">
        <v>0</v>
      </c>
      <c r="O109" s="135">
        <v>0</v>
      </c>
      <c r="P109" s="135">
        <v>0</v>
      </c>
      <c r="Q109" s="135">
        <v>0</v>
      </c>
      <c r="R109" s="135">
        <v>0</v>
      </c>
      <c r="S109" s="135">
        <v>0.63600000000000001</v>
      </c>
      <c r="T109" s="135">
        <v>6.3520000000000003</v>
      </c>
      <c r="U109" s="135">
        <v>4.9000000000000002E-2</v>
      </c>
      <c r="V109" s="135">
        <v>6.0000000000000001E-3</v>
      </c>
      <c r="W109" s="135">
        <v>0</v>
      </c>
      <c r="X109" s="135">
        <v>0</v>
      </c>
      <c r="Y109" s="135" t="s">
        <v>1995</v>
      </c>
      <c r="Z109" s="135">
        <v>1.2</v>
      </c>
      <c r="AA109" s="135">
        <v>3700</v>
      </c>
      <c r="AB109" s="135">
        <v>3010.1</v>
      </c>
      <c r="AC109" s="135">
        <v>0.33</v>
      </c>
      <c r="AD109" s="135">
        <v>1.6</v>
      </c>
      <c r="AE109" s="135">
        <v>5000</v>
      </c>
      <c r="AF109" s="135">
        <v>3219.2</v>
      </c>
      <c r="AG109" s="135">
        <v>0.31</v>
      </c>
      <c r="AH109" s="135">
        <v>1.6</v>
      </c>
      <c r="AI109" s="135">
        <v>3000</v>
      </c>
      <c r="AJ109" s="135">
        <v>1878.2</v>
      </c>
      <c r="AK109" s="135">
        <v>0.53</v>
      </c>
      <c r="AL109" s="135">
        <v>1.2</v>
      </c>
      <c r="AM109" s="135">
        <v>4500</v>
      </c>
      <c r="AN109" s="135">
        <v>3643.1</v>
      </c>
      <c r="AO109" s="135">
        <v>0.27</v>
      </c>
      <c r="AP109" s="135"/>
      <c r="AQ109" s="135"/>
      <c r="AR109" s="135"/>
      <c r="AS109" s="135"/>
      <c r="AT109" s="135"/>
      <c r="AU109" s="135"/>
      <c r="AV109" s="135"/>
      <c r="AW109" s="135"/>
      <c r="AX109" s="135">
        <v>1.2</v>
      </c>
      <c r="AY109" s="135">
        <v>10</v>
      </c>
      <c r="AZ109" s="135">
        <v>8.1</v>
      </c>
      <c r="BA109" s="135">
        <v>0.12</v>
      </c>
      <c r="BB109" s="135"/>
      <c r="BC109" s="135"/>
      <c r="BD109" s="135"/>
      <c r="BE109" s="135"/>
      <c r="BF109" s="135">
        <v>1.6</v>
      </c>
      <c r="BG109" s="135">
        <v>6000</v>
      </c>
      <c r="BH109" s="135">
        <v>3756.3</v>
      </c>
      <c r="BI109" s="135">
        <v>0.27</v>
      </c>
      <c r="BJ109" s="135">
        <v>44</v>
      </c>
      <c r="BK109" s="135">
        <v>-3</v>
      </c>
      <c r="BL109" s="135">
        <v>23.5</v>
      </c>
    </row>
    <row r="110" spans="1:64" x14ac:dyDescent="0.3">
      <c r="A110" s="135">
        <v>2016</v>
      </c>
      <c r="B110" s="135">
        <v>4</v>
      </c>
      <c r="C110" s="135" t="s">
        <v>2571</v>
      </c>
      <c r="D110" s="135" t="s">
        <v>312</v>
      </c>
      <c r="E110" s="135" t="s">
        <v>396</v>
      </c>
      <c r="F110" s="135" t="s">
        <v>401</v>
      </c>
      <c r="G110" s="135" t="s">
        <v>70</v>
      </c>
      <c r="H110" s="135">
        <v>10.94</v>
      </c>
      <c r="I110" s="135">
        <v>0.85199999999999998</v>
      </c>
      <c r="J110" s="135">
        <v>1.657</v>
      </c>
      <c r="K110" s="135">
        <v>0</v>
      </c>
      <c r="L110" s="135">
        <v>0</v>
      </c>
      <c r="M110" s="135">
        <v>0</v>
      </c>
      <c r="N110" s="135">
        <v>0</v>
      </c>
      <c r="O110" s="135">
        <v>0</v>
      </c>
      <c r="P110" s="135">
        <v>0</v>
      </c>
      <c r="Q110" s="135">
        <v>0</v>
      </c>
      <c r="R110" s="135">
        <v>0</v>
      </c>
      <c r="S110" s="135">
        <v>0.80500000000000005</v>
      </c>
      <c r="T110" s="135">
        <v>6.3550000000000004</v>
      </c>
      <c r="U110" s="135">
        <v>3.9E-2</v>
      </c>
      <c r="V110" s="135">
        <v>8.9999999999999993E-3</v>
      </c>
      <c r="W110" s="135">
        <v>0</v>
      </c>
      <c r="X110" s="135">
        <v>0</v>
      </c>
      <c r="Y110" s="135" t="s">
        <v>1995</v>
      </c>
      <c r="Z110" s="135">
        <v>1.2</v>
      </c>
      <c r="AA110" s="135">
        <v>3300</v>
      </c>
      <c r="AB110" s="135">
        <v>2650.6</v>
      </c>
      <c r="AC110" s="135">
        <v>0.38</v>
      </c>
      <c r="AD110" s="135">
        <v>1.7</v>
      </c>
      <c r="AE110" s="135">
        <v>5000</v>
      </c>
      <c r="AF110" s="135">
        <v>3018.4</v>
      </c>
      <c r="AG110" s="135">
        <v>0.33</v>
      </c>
      <c r="AH110" s="135">
        <v>1.7</v>
      </c>
      <c r="AI110" s="135">
        <v>3000</v>
      </c>
      <c r="AJ110" s="135">
        <v>1760.9</v>
      </c>
      <c r="AK110" s="135">
        <v>0.56999999999999995</v>
      </c>
      <c r="AL110" s="135"/>
      <c r="AM110" s="135"/>
      <c r="AN110" s="135"/>
      <c r="AO110" s="135"/>
      <c r="AP110" s="135"/>
      <c r="AQ110" s="135"/>
      <c r="AR110" s="135"/>
      <c r="AS110" s="135"/>
      <c r="AT110" s="135"/>
      <c r="AU110" s="135"/>
      <c r="AV110" s="135"/>
      <c r="AW110" s="135"/>
      <c r="AX110" s="135">
        <v>1.3</v>
      </c>
      <c r="AY110" s="135">
        <v>10</v>
      </c>
      <c r="AZ110" s="135">
        <v>8</v>
      </c>
      <c r="BA110" s="135">
        <v>0.13</v>
      </c>
      <c r="BB110" s="135"/>
      <c r="BC110" s="135"/>
      <c r="BD110" s="135"/>
      <c r="BE110" s="135"/>
      <c r="BF110" s="135">
        <v>1.7</v>
      </c>
      <c r="BG110" s="135">
        <v>6000</v>
      </c>
      <c r="BH110" s="135">
        <v>3521.9</v>
      </c>
      <c r="BI110" s="135">
        <v>0.28000000000000003</v>
      </c>
      <c r="BJ110" s="135">
        <v>44</v>
      </c>
      <c r="BK110" s="135">
        <v>3</v>
      </c>
      <c r="BL110" s="135">
        <v>20.5</v>
      </c>
    </row>
    <row r="111" spans="1:64" x14ac:dyDescent="0.3">
      <c r="A111" s="135">
        <v>2016</v>
      </c>
      <c r="B111" s="135">
        <v>4</v>
      </c>
      <c r="C111" s="135" t="s">
        <v>2572</v>
      </c>
      <c r="D111" s="135" t="s">
        <v>481</v>
      </c>
      <c r="E111" s="135" t="s">
        <v>396</v>
      </c>
      <c r="F111" s="135" t="s">
        <v>28</v>
      </c>
      <c r="G111" s="135" t="s">
        <v>57</v>
      </c>
      <c r="H111" s="135">
        <v>30.59</v>
      </c>
      <c r="I111" s="135">
        <v>0.82299999999999995</v>
      </c>
      <c r="J111" s="135">
        <v>1.7849999999999999</v>
      </c>
      <c r="K111" s="135">
        <v>0</v>
      </c>
      <c r="L111" s="135">
        <v>0</v>
      </c>
      <c r="M111" s="135">
        <v>0</v>
      </c>
      <c r="N111" s="135">
        <v>0</v>
      </c>
      <c r="O111" s="135">
        <v>0</v>
      </c>
      <c r="P111" s="135">
        <v>0</v>
      </c>
      <c r="Q111" s="135">
        <v>0</v>
      </c>
      <c r="R111" s="135">
        <v>0</v>
      </c>
      <c r="S111" s="135">
        <v>0.96199999999999997</v>
      </c>
      <c r="T111" s="135">
        <v>8.3740000000000006</v>
      </c>
      <c r="U111" s="135">
        <v>0</v>
      </c>
      <c r="V111" s="135">
        <v>7.0000000000000001E-3</v>
      </c>
      <c r="W111" s="135">
        <v>0</v>
      </c>
      <c r="X111" s="135">
        <v>0</v>
      </c>
      <c r="Y111" s="135" t="s">
        <v>1995</v>
      </c>
      <c r="Z111" s="135">
        <v>1.3</v>
      </c>
      <c r="AA111" s="135">
        <v>3000</v>
      </c>
      <c r="AB111" s="135">
        <v>2312.3000000000002</v>
      </c>
      <c r="AC111" s="135">
        <v>0.43</v>
      </c>
      <c r="AD111" s="135">
        <v>1.8</v>
      </c>
      <c r="AE111" s="135">
        <v>5000</v>
      </c>
      <c r="AF111" s="135">
        <v>2800.5</v>
      </c>
      <c r="AG111" s="135">
        <v>0.36</v>
      </c>
      <c r="AH111" s="135">
        <v>1.8</v>
      </c>
      <c r="AI111" s="135">
        <v>3000</v>
      </c>
      <c r="AJ111" s="135">
        <v>1628.1</v>
      </c>
      <c r="AK111" s="135">
        <v>0.61</v>
      </c>
      <c r="AL111" s="135">
        <v>1.3</v>
      </c>
      <c r="AM111" s="135">
        <v>4500</v>
      </c>
      <c r="AN111" s="135">
        <v>3449.9</v>
      </c>
      <c r="AO111" s="135">
        <v>0.28999999999999998</v>
      </c>
      <c r="AP111" s="135"/>
      <c r="AQ111" s="135"/>
      <c r="AR111" s="135"/>
      <c r="AS111" s="135"/>
      <c r="AT111" s="135"/>
      <c r="AU111" s="135"/>
      <c r="AV111" s="135"/>
      <c r="AW111" s="135"/>
      <c r="AX111" s="135">
        <v>1.3</v>
      </c>
      <c r="AY111" s="135">
        <v>10</v>
      </c>
      <c r="AZ111" s="135">
        <v>7.7</v>
      </c>
      <c r="BA111" s="135">
        <v>0.13</v>
      </c>
      <c r="BB111" s="135"/>
      <c r="BC111" s="135"/>
      <c r="BD111" s="135"/>
      <c r="BE111" s="135"/>
      <c r="BF111" s="135">
        <v>1.8</v>
      </c>
      <c r="BG111" s="135">
        <v>6000</v>
      </c>
      <c r="BH111" s="135">
        <v>3256.2</v>
      </c>
      <c r="BI111" s="135">
        <v>0.31</v>
      </c>
      <c r="BJ111" s="135">
        <v>44.5</v>
      </c>
      <c r="BK111" s="135">
        <v>-7</v>
      </c>
      <c r="BL111" s="135">
        <v>25.75</v>
      </c>
    </row>
    <row r="112" spans="1:64" x14ac:dyDescent="0.3">
      <c r="A112" s="135">
        <v>2016</v>
      </c>
      <c r="B112" s="135">
        <v>4</v>
      </c>
      <c r="C112" s="135" t="s">
        <v>2573</v>
      </c>
      <c r="D112" s="135" t="s">
        <v>279</v>
      </c>
      <c r="E112" s="135" t="s">
        <v>396</v>
      </c>
      <c r="F112" s="135" t="s">
        <v>18</v>
      </c>
      <c r="G112" s="135" t="s">
        <v>14</v>
      </c>
      <c r="H112" s="135">
        <v>36.85</v>
      </c>
      <c r="I112" s="135">
        <v>0.80400000000000005</v>
      </c>
      <c r="J112" s="135">
        <v>1.29</v>
      </c>
      <c r="K112" s="135">
        <v>0</v>
      </c>
      <c r="L112" s="135">
        <v>0</v>
      </c>
      <c r="M112" s="135">
        <v>0</v>
      </c>
      <c r="N112" s="135">
        <v>0</v>
      </c>
      <c r="O112" s="135">
        <v>0</v>
      </c>
      <c r="P112" s="135">
        <v>0</v>
      </c>
      <c r="Q112" s="135">
        <v>0</v>
      </c>
      <c r="R112" s="135">
        <v>0</v>
      </c>
      <c r="S112" s="135">
        <v>0.48599999999999999</v>
      </c>
      <c r="T112" s="135">
        <v>5.782</v>
      </c>
      <c r="U112" s="135">
        <v>3.9E-2</v>
      </c>
      <c r="V112" s="135">
        <v>4.0000000000000001E-3</v>
      </c>
      <c r="W112" s="135">
        <v>0</v>
      </c>
      <c r="X112" s="135">
        <v>0</v>
      </c>
      <c r="Y112" s="135" t="s">
        <v>1995</v>
      </c>
      <c r="Z112" s="135">
        <v>1</v>
      </c>
      <c r="AA112" s="135">
        <v>3000</v>
      </c>
      <c r="AB112" s="135">
        <v>2875.8</v>
      </c>
      <c r="AC112" s="135">
        <v>0.35</v>
      </c>
      <c r="AD112" s="135">
        <v>1.3</v>
      </c>
      <c r="AE112" s="135">
        <v>5000</v>
      </c>
      <c r="AF112" s="135">
        <v>3875.4</v>
      </c>
      <c r="AG112" s="135">
        <v>0.26</v>
      </c>
      <c r="AH112" s="135">
        <v>1.3</v>
      </c>
      <c r="AI112" s="135">
        <v>3000</v>
      </c>
      <c r="AJ112" s="135">
        <v>2257.5</v>
      </c>
      <c r="AK112" s="135">
        <v>0.44</v>
      </c>
      <c r="AL112" s="135">
        <v>1</v>
      </c>
      <c r="AM112" s="135">
        <v>4600</v>
      </c>
      <c r="AN112" s="135">
        <v>4392.7</v>
      </c>
      <c r="AO112" s="135">
        <v>0.23</v>
      </c>
      <c r="AP112" s="135"/>
      <c r="AQ112" s="135"/>
      <c r="AR112" s="135"/>
      <c r="AS112" s="135"/>
      <c r="AT112" s="135"/>
      <c r="AU112" s="135"/>
      <c r="AV112" s="135"/>
      <c r="AW112" s="135"/>
      <c r="AX112" s="135">
        <v>1</v>
      </c>
      <c r="AY112" s="135">
        <v>10</v>
      </c>
      <c r="AZ112" s="135">
        <v>9.5</v>
      </c>
      <c r="BA112" s="135">
        <v>0.1</v>
      </c>
      <c r="BB112" s="135"/>
      <c r="BC112" s="135"/>
      <c r="BD112" s="135"/>
      <c r="BE112" s="135"/>
      <c r="BF112" s="135">
        <v>1.3</v>
      </c>
      <c r="BG112" s="135">
        <v>6000</v>
      </c>
      <c r="BH112" s="135">
        <v>4515</v>
      </c>
      <c r="BI112" s="135">
        <v>0.22</v>
      </c>
      <c r="BJ112" s="135">
        <v>45.5</v>
      </c>
      <c r="BK112" s="135">
        <v>-8</v>
      </c>
      <c r="BL112" s="135">
        <v>26.75</v>
      </c>
    </row>
    <row r="113" spans="1:64" x14ac:dyDescent="0.3">
      <c r="A113" s="135">
        <v>2016</v>
      </c>
      <c r="B113" s="135">
        <v>4</v>
      </c>
      <c r="C113" s="135" t="s">
        <v>2184</v>
      </c>
      <c r="D113" s="135" t="s">
        <v>518</v>
      </c>
      <c r="E113" s="135" t="s">
        <v>396</v>
      </c>
      <c r="F113" s="135" t="s">
        <v>16</v>
      </c>
      <c r="G113" s="135" t="s">
        <v>1980</v>
      </c>
      <c r="H113" s="135">
        <v>26.15</v>
      </c>
      <c r="I113" s="135">
        <v>0.79600000000000004</v>
      </c>
      <c r="J113" s="135">
        <v>1.2969999999999999</v>
      </c>
      <c r="K113" s="135">
        <v>0</v>
      </c>
      <c r="L113" s="135">
        <v>0</v>
      </c>
      <c r="M113" s="135">
        <v>0</v>
      </c>
      <c r="N113" s="135">
        <v>0</v>
      </c>
      <c r="O113" s="135">
        <v>0</v>
      </c>
      <c r="P113" s="135">
        <v>0</v>
      </c>
      <c r="Q113" s="135">
        <v>0</v>
      </c>
      <c r="R113" s="135">
        <v>0</v>
      </c>
      <c r="S113" s="135">
        <v>0.501</v>
      </c>
      <c r="T113" s="135">
        <v>5.6950000000000003</v>
      </c>
      <c r="U113" s="135">
        <v>3.9E-2</v>
      </c>
      <c r="V113" s="135">
        <v>4.0000000000000001E-3</v>
      </c>
      <c r="W113" s="135">
        <v>0</v>
      </c>
      <c r="X113" s="135">
        <v>0</v>
      </c>
      <c r="Y113" s="135" t="s">
        <v>1995</v>
      </c>
      <c r="Z113" s="135">
        <v>1</v>
      </c>
      <c r="AA113" s="135">
        <v>3000</v>
      </c>
      <c r="AB113" s="135">
        <v>2879.1</v>
      </c>
      <c r="AC113" s="135">
        <v>0.35</v>
      </c>
      <c r="AD113" s="135">
        <v>1.3</v>
      </c>
      <c r="AE113" s="135">
        <v>5000</v>
      </c>
      <c r="AF113" s="135">
        <v>3856.5</v>
      </c>
      <c r="AG113" s="135">
        <v>0.26</v>
      </c>
      <c r="AH113" s="135">
        <v>1.3</v>
      </c>
      <c r="AI113" s="135">
        <v>3000</v>
      </c>
      <c r="AJ113" s="135">
        <v>2247.6999999999998</v>
      </c>
      <c r="AK113" s="135">
        <v>0.44</v>
      </c>
      <c r="AL113" s="135"/>
      <c r="AM113" s="135"/>
      <c r="AN113" s="135"/>
      <c r="AO113" s="135"/>
      <c r="AP113" s="135"/>
      <c r="AQ113" s="135"/>
      <c r="AR113" s="135"/>
      <c r="AS113" s="135"/>
      <c r="AT113" s="135"/>
      <c r="AU113" s="135"/>
      <c r="AV113" s="135"/>
      <c r="AW113" s="135"/>
      <c r="AX113" s="135">
        <v>1</v>
      </c>
      <c r="AY113" s="135">
        <v>10</v>
      </c>
      <c r="AZ113" s="135">
        <v>9.6</v>
      </c>
      <c r="BA113" s="135">
        <v>0.1</v>
      </c>
      <c r="BB113" s="135"/>
      <c r="BC113" s="135"/>
      <c r="BD113" s="135"/>
      <c r="BE113" s="135"/>
      <c r="BF113" s="135">
        <v>1.3</v>
      </c>
      <c r="BG113" s="135">
        <v>6000</v>
      </c>
      <c r="BH113" s="135">
        <v>4495.5</v>
      </c>
      <c r="BI113" s="135">
        <v>0.22</v>
      </c>
      <c r="BJ113" s="135">
        <v>49.5</v>
      </c>
      <c r="BK113" s="135">
        <v>-2.5</v>
      </c>
      <c r="BL113" s="135">
        <v>26</v>
      </c>
    </row>
    <row r="114" spans="1:64" x14ac:dyDescent="0.3">
      <c r="A114" s="135">
        <v>2016</v>
      </c>
      <c r="B114" s="135">
        <v>4</v>
      </c>
      <c r="C114" s="135" t="s">
        <v>2194</v>
      </c>
      <c r="D114" s="135" t="s">
        <v>316</v>
      </c>
      <c r="E114" s="135" t="s">
        <v>396</v>
      </c>
      <c r="F114" s="135" t="s">
        <v>41</v>
      </c>
      <c r="G114" s="135" t="s">
        <v>37</v>
      </c>
      <c r="H114" s="135">
        <v>18.84</v>
      </c>
      <c r="I114" s="135">
        <v>0.70199999999999996</v>
      </c>
      <c r="J114" s="135">
        <v>1.377</v>
      </c>
      <c r="K114" s="135">
        <v>0</v>
      </c>
      <c r="L114" s="135">
        <v>0</v>
      </c>
      <c r="M114" s="135">
        <v>0</v>
      </c>
      <c r="N114" s="135">
        <v>0</v>
      </c>
      <c r="O114" s="135">
        <v>0</v>
      </c>
      <c r="P114" s="135">
        <v>0</v>
      </c>
      <c r="Q114" s="135">
        <v>0</v>
      </c>
      <c r="R114" s="135">
        <v>0</v>
      </c>
      <c r="S114" s="135">
        <v>0.67500000000000004</v>
      </c>
      <c r="T114" s="135">
        <v>5.1210000000000004</v>
      </c>
      <c r="U114" s="135">
        <v>3.4000000000000002E-2</v>
      </c>
      <c r="V114" s="135">
        <v>7.0000000000000001E-3</v>
      </c>
      <c r="W114" s="135">
        <v>0</v>
      </c>
      <c r="X114" s="135">
        <v>0</v>
      </c>
      <c r="Y114" s="135" t="s">
        <v>1995</v>
      </c>
      <c r="Z114" s="135">
        <v>1</v>
      </c>
      <c r="AA114" s="135">
        <v>3500</v>
      </c>
      <c r="AB114" s="135">
        <v>3389.5</v>
      </c>
      <c r="AC114" s="135">
        <v>0.3</v>
      </c>
      <c r="AD114" s="135">
        <v>1.4</v>
      </c>
      <c r="AE114" s="135">
        <v>5000</v>
      </c>
      <c r="AF114" s="135">
        <v>3630.8</v>
      </c>
      <c r="AG114" s="135">
        <v>0.28000000000000003</v>
      </c>
      <c r="AH114" s="135">
        <v>1.4</v>
      </c>
      <c r="AI114" s="135">
        <v>3000</v>
      </c>
      <c r="AJ114" s="135">
        <v>2120.4</v>
      </c>
      <c r="AK114" s="135">
        <v>0.47</v>
      </c>
      <c r="AL114" s="135">
        <v>1</v>
      </c>
      <c r="AM114" s="135">
        <v>4700</v>
      </c>
      <c r="AN114" s="135">
        <v>4521</v>
      </c>
      <c r="AO114" s="135">
        <v>0.22</v>
      </c>
      <c r="AP114" s="135"/>
      <c r="AQ114" s="135"/>
      <c r="AR114" s="135"/>
      <c r="AS114" s="135"/>
      <c r="AT114" s="135"/>
      <c r="AU114" s="135"/>
      <c r="AV114" s="135"/>
      <c r="AW114" s="135"/>
      <c r="AX114" s="135">
        <v>1</v>
      </c>
      <c r="AY114" s="135">
        <v>10</v>
      </c>
      <c r="AZ114" s="135">
        <v>9.6</v>
      </c>
      <c r="BA114" s="135">
        <v>0.1</v>
      </c>
      <c r="BB114" s="135"/>
      <c r="BC114" s="135"/>
      <c r="BD114" s="135"/>
      <c r="BE114" s="135"/>
      <c r="BF114" s="135">
        <v>1.4</v>
      </c>
      <c r="BG114" s="135">
        <v>6000</v>
      </c>
      <c r="BH114" s="135">
        <v>4240.8</v>
      </c>
      <c r="BI114" s="135">
        <v>0.24</v>
      </c>
      <c r="BJ114" s="135">
        <v>43.5</v>
      </c>
      <c r="BK114" s="135">
        <v>-4</v>
      </c>
      <c r="BL114" s="135">
        <v>23.75</v>
      </c>
    </row>
    <row r="115" spans="1:64" x14ac:dyDescent="0.3">
      <c r="A115" s="135">
        <v>2016</v>
      </c>
      <c r="B115" s="135">
        <v>4</v>
      </c>
      <c r="C115" s="135" t="s">
        <v>2574</v>
      </c>
      <c r="D115" s="135" t="s">
        <v>506</v>
      </c>
      <c r="E115" s="135" t="s">
        <v>396</v>
      </c>
      <c r="F115" s="135" t="s">
        <v>28</v>
      </c>
      <c r="G115" s="135" t="s">
        <v>57</v>
      </c>
      <c r="H115" s="135">
        <v>30.59</v>
      </c>
      <c r="I115" s="135">
        <v>0.55200000000000005</v>
      </c>
      <c r="J115" s="135">
        <v>0.91300000000000003</v>
      </c>
      <c r="K115" s="135">
        <v>0</v>
      </c>
      <c r="L115" s="135">
        <v>0</v>
      </c>
      <c r="M115" s="135">
        <v>0</v>
      </c>
      <c r="N115" s="135">
        <v>0</v>
      </c>
      <c r="O115" s="135">
        <v>0</v>
      </c>
      <c r="P115" s="135">
        <v>0</v>
      </c>
      <c r="Q115" s="135">
        <v>0</v>
      </c>
      <c r="R115" s="135">
        <v>0</v>
      </c>
      <c r="S115" s="135">
        <v>0.36099999999999999</v>
      </c>
      <c r="T115" s="135">
        <v>5.5830000000000002</v>
      </c>
      <c r="U115" s="135">
        <v>0</v>
      </c>
      <c r="V115" s="135">
        <v>3.0000000000000001E-3</v>
      </c>
      <c r="W115" s="135">
        <v>0</v>
      </c>
      <c r="X115" s="135">
        <v>0</v>
      </c>
      <c r="Y115" s="135" t="s">
        <v>1995</v>
      </c>
      <c r="Z115" s="135">
        <v>0.7</v>
      </c>
      <c r="AA115" s="135">
        <v>3000</v>
      </c>
      <c r="AB115" s="135">
        <v>4110.7</v>
      </c>
      <c r="AC115" s="135">
        <v>0.24</v>
      </c>
      <c r="AD115" s="135">
        <v>0.9</v>
      </c>
      <c r="AE115" s="135">
        <v>5000</v>
      </c>
      <c r="AF115" s="135">
        <v>5474.7</v>
      </c>
      <c r="AG115" s="135">
        <v>0.18</v>
      </c>
      <c r="AH115" s="135">
        <v>0.9</v>
      </c>
      <c r="AI115" s="135">
        <v>3000</v>
      </c>
      <c r="AJ115" s="135">
        <v>3158.6</v>
      </c>
      <c r="AK115" s="135">
        <v>0.32</v>
      </c>
      <c r="AL115" s="135">
        <v>0.7</v>
      </c>
      <c r="AM115" s="135">
        <v>4500</v>
      </c>
      <c r="AN115" s="135">
        <v>6140.8</v>
      </c>
      <c r="AO115" s="135">
        <v>0.16</v>
      </c>
      <c r="AP115" s="135"/>
      <c r="AQ115" s="135"/>
      <c r="AR115" s="135"/>
      <c r="AS115" s="135"/>
      <c r="AT115" s="135"/>
      <c r="AU115" s="135"/>
      <c r="AV115" s="135"/>
      <c r="AW115" s="135"/>
      <c r="AX115" s="135">
        <v>0.7</v>
      </c>
      <c r="AY115" s="135">
        <v>10</v>
      </c>
      <c r="AZ115" s="135">
        <v>13.6</v>
      </c>
      <c r="BA115" s="135">
        <v>7.0000000000000007E-2</v>
      </c>
      <c r="BB115" s="135"/>
      <c r="BC115" s="135"/>
      <c r="BD115" s="135"/>
      <c r="BE115" s="135"/>
      <c r="BF115" s="135">
        <v>0.9</v>
      </c>
      <c r="BG115" s="135">
        <v>6000</v>
      </c>
      <c r="BH115" s="135">
        <v>6317.1</v>
      </c>
      <c r="BI115" s="135">
        <v>0.16</v>
      </c>
      <c r="BJ115" s="135">
        <v>44.5</v>
      </c>
      <c r="BK115" s="135">
        <v>-7</v>
      </c>
      <c r="BL115" s="135">
        <v>25.75</v>
      </c>
    </row>
    <row r="116" spans="1:64" x14ac:dyDescent="0.3">
      <c r="A116" s="135">
        <v>2016</v>
      </c>
      <c r="B116" s="135">
        <v>4</v>
      </c>
      <c r="C116" s="135" t="s">
        <v>2189</v>
      </c>
      <c r="D116" s="135" t="s">
        <v>489</v>
      </c>
      <c r="E116" s="135" t="s">
        <v>396</v>
      </c>
      <c r="F116" s="135" t="s">
        <v>16</v>
      </c>
      <c r="G116" s="135" t="s">
        <v>1980</v>
      </c>
      <c r="H116" s="135">
        <v>26.15</v>
      </c>
      <c r="I116" s="135">
        <v>0.51500000000000001</v>
      </c>
      <c r="J116" s="135">
        <v>0.76500000000000001</v>
      </c>
      <c r="K116" s="135">
        <v>0</v>
      </c>
      <c r="L116" s="135">
        <v>0</v>
      </c>
      <c r="M116" s="135">
        <v>0</v>
      </c>
      <c r="N116" s="135">
        <v>0</v>
      </c>
      <c r="O116" s="135">
        <v>0</v>
      </c>
      <c r="P116" s="135">
        <v>0</v>
      </c>
      <c r="Q116" s="135">
        <v>0</v>
      </c>
      <c r="R116" s="135">
        <v>0</v>
      </c>
      <c r="S116" s="135">
        <v>0.25</v>
      </c>
      <c r="T116" s="135">
        <v>2.847</v>
      </c>
      <c r="U116" s="135">
        <v>3.9E-2</v>
      </c>
      <c r="V116" s="135">
        <v>2E-3</v>
      </c>
      <c r="W116" s="135">
        <v>0</v>
      </c>
      <c r="X116" s="135">
        <v>0</v>
      </c>
      <c r="Y116" s="135" t="s">
        <v>1995</v>
      </c>
      <c r="Z116" s="135">
        <v>0.6</v>
      </c>
      <c r="AA116" s="135">
        <v>3000</v>
      </c>
      <c r="AB116" s="135">
        <v>4704.3999999999996</v>
      </c>
      <c r="AC116" s="135">
        <v>0.21</v>
      </c>
      <c r="AD116" s="135">
        <v>0.8</v>
      </c>
      <c r="AE116" s="135">
        <v>5000</v>
      </c>
      <c r="AF116" s="135">
        <v>6538.5</v>
      </c>
      <c r="AG116" s="135">
        <v>0.15</v>
      </c>
      <c r="AH116" s="135">
        <v>0.8</v>
      </c>
      <c r="AI116" s="135">
        <v>3000</v>
      </c>
      <c r="AJ116" s="135">
        <v>3827.6</v>
      </c>
      <c r="AK116" s="135">
        <v>0.26</v>
      </c>
      <c r="AL116" s="135">
        <v>0.6</v>
      </c>
      <c r="AM116" s="135">
        <v>4500</v>
      </c>
      <c r="AN116" s="135">
        <v>7034.5</v>
      </c>
      <c r="AO116" s="135">
        <v>0.14000000000000001</v>
      </c>
      <c r="AP116" s="135"/>
      <c r="AQ116" s="135"/>
      <c r="AR116" s="135"/>
      <c r="AS116" s="135"/>
      <c r="AT116" s="135"/>
      <c r="AU116" s="135"/>
      <c r="AV116" s="135"/>
      <c r="AW116" s="135"/>
      <c r="AX116" s="135">
        <v>0.6</v>
      </c>
      <c r="AY116" s="135">
        <v>10</v>
      </c>
      <c r="AZ116" s="135">
        <v>15.6</v>
      </c>
      <c r="BA116" s="135">
        <v>0.06</v>
      </c>
      <c r="BB116" s="135"/>
      <c r="BC116" s="135"/>
      <c r="BD116" s="135"/>
      <c r="BE116" s="135"/>
      <c r="BF116" s="135">
        <v>0.8</v>
      </c>
      <c r="BG116" s="135">
        <v>6000</v>
      </c>
      <c r="BH116" s="135">
        <v>7655.2</v>
      </c>
      <c r="BI116" s="135">
        <v>0.13</v>
      </c>
      <c r="BJ116" s="135">
        <v>49.5</v>
      </c>
      <c r="BK116" s="135">
        <v>-2.5</v>
      </c>
      <c r="BL116" s="135">
        <v>26</v>
      </c>
    </row>
    <row r="117" spans="1:64" x14ac:dyDescent="0.3">
      <c r="A117" s="135">
        <v>2016</v>
      </c>
      <c r="B117" s="135">
        <v>3</v>
      </c>
      <c r="C117" s="135" t="s">
        <v>2196</v>
      </c>
      <c r="D117" s="135" t="s">
        <v>314</v>
      </c>
      <c r="E117" s="135" t="s">
        <v>396</v>
      </c>
      <c r="F117" s="135" t="s">
        <v>46</v>
      </c>
      <c r="G117" s="135" t="s">
        <v>1994</v>
      </c>
      <c r="H117" s="135">
        <v>18.75</v>
      </c>
      <c r="I117" s="135">
        <v>0.47</v>
      </c>
      <c r="J117" s="135">
        <v>0.92100000000000004</v>
      </c>
      <c r="K117" s="135">
        <v>0</v>
      </c>
      <c r="L117" s="135">
        <v>0</v>
      </c>
      <c r="M117" s="135">
        <v>0</v>
      </c>
      <c r="N117" s="135">
        <v>0</v>
      </c>
      <c r="O117" s="135">
        <v>0</v>
      </c>
      <c r="P117" s="135">
        <v>0</v>
      </c>
      <c r="Q117" s="135">
        <v>0</v>
      </c>
      <c r="R117" s="135">
        <v>0</v>
      </c>
      <c r="S117" s="135">
        <v>0.45100000000000001</v>
      </c>
      <c r="T117" s="135">
        <v>4.7560000000000002</v>
      </c>
      <c r="U117" s="135">
        <v>0</v>
      </c>
      <c r="V117" s="135">
        <v>3.0000000000000001E-3</v>
      </c>
      <c r="W117" s="135">
        <v>0</v>
      </c>
      <c r="X117" s="135">
        <v>0</v>
      </c>
      <c r="Y117" s="135" t="s">
        <v>1995</v>
      </c>
      <c r="Z117" s="135">
        <v>0.7</v>
      </c>
      <c r="AA117" s="135">
        <v>3000</v>
      </c>
      <c r="AB117" s="135">
        <v>4334.6000000000004</v>
      </c>
      <c r="AC117" s="135">
        <v>0.23</v>
      </c>
      <c r="AD117" s="135">
        <v>0.9</v>
      </c>
      <c r="AE117" s="135">
        <v>5000</v>
      </c>
      <c r="AF117" s="135">
        <v>5431.2</v>
      </c>
      <c r="AG117" s="135">
        <v>0.18</v>
      </c>
      <c r="AH117" s="135">
        <v>1</v>
      </c>
      <c r="AI117" s="135">
        <v>3000</v>
      </c>
      <c r="AJ117" s="135">
        <v>3150.8</v>
      </c>
      <c r="AK117" s="135">
        <v>0.32</v>
      </c>
      <c r="AL117" s="135">
        <v>0.7</v>
      </c>
      <c r="AM117" s="135">
        <v>4500</v>
      </c>
      <c r="AN117" s="135">
        <v>6473.9</v>
      </c>
      <c r="AO117" s="135">
        <v>0.15</v>
      </c>
      <c r="AP117" s="135"/>
      <c r="AQ117" s="135"/>
      <c r="AR117" s="135"/>
      <c r="AS117" s="135"/>
      <c r="AT117" s="135"/>
      <c r="AU117" s="135"/>
      <c r="AV117" s="135"/>
      <c r="AW117" s="135"/>
      <c r="AX117" s="135">
        <v>0.7</v>
      </c>
      <c r="AY117" s="135">
        <v>10</v>
      </c>
      <c r="AZ117" s="135">
        <v>14.4</v>
      </c>
      <c r="BA117" s="135">
        <v>7.0000000000000007E-2</v>
      </c>
      <c r="BB117" s="135"/>
      <c r="BC117" s="135"/>
      <c r="BD117" s="135"/>
      <c r="BE117" s="135"/>
      <c r="BF117" s="135">
        <v>1</v>
      </c>
      <c r="BG117" s="135">
        <v>6000</v>
      </c>
      <c r="BH117" s="135">
        <v>6301.6</v>
      </c>
      <c r="BI117" s="135">
        <v>0.16</v>
      </c>
      <c r="BJ117" s="135">
        <v>45</v>
      </c>
      <c r="BK117" s="135">
        <v>7</v>
      </c>
      <c r="BL117" s="135">
        <v>19</v>
      </c>
    </row>
    <row r="118" spans="1:64" x14ac:dyDescent="0.3">
      <c r="A118" s="135">
        <v>2016</v>
      </c>
      <c r="B118" s="135">
        <v>3</v>
      </c>
      <c r="C118" s="135" t="s">
        <v>2197</v>
      </c>
      <c r="D118" s="135" t="s">
        <v>264</v>
      </c>
      <c r="E118" s="135" t="s">
        <v>396</v>
      </c>
      <c r="F118" s="135" t="s">
        <v>404</v>
      </c>
      <c r="G118" s="135" t="s">
        <v>50</v>
      </c>
      <c r="H118" s="135">
        <v>17.260000000000002</v>
      </c>
      <c r="I118" s="135">
        <v>0.46300000000000002</v>
      </c>
      <c r="J118" s="135">
        <v>0.74</v>
      </c>
      <c r="K118" s="135">
        <v>0</v>
      </c>
      <c r="L118" s="135">
        <v>0</v>
      </c>
      <c r="M118" s="135">
        <v>0</v>
      </c>
      <c r="N118" s="135">
        <v>0</v>
      </c>
      <c r="O118" s="135">
        <v>0</v>
      </c>
      <c r="P118" s="135">
        <v>0</v>
      </c>
      <c r="Q118" s="135">
        <v>0</v>
      </c>
      <c r="R118" s="135">
        <v>0</v>
      </c>
      <c r="S118" s="135">
        <v>0.27700000000000002</v>
      </c>
      <c r="T118" s="135">
        <v>3.3450000000000002</v>
      </c>
      <c r="U118" s="135">
        <v>2.1999999999999999E-2</v>
      </c>
      <c r="V118" s="135">
        <v>2E-3</v>
      </c>
      <c r="W118" s="135">
        <v>0</v>
      </c>
      <c r="X118" s="135">
        <v>0</v>
      </c>
      <c r="Y118" s="135" t="s">
        <v>1995</v>
      </c>
      <c r="Z118" s="135">
        <v>0.6</v>
      </c>
      <c r="AA118" s="135">
        <v>3500</v>
      </c>
      <c r="AB118" s="135">
        <v>5843.1</v>
      </c>
      <c r="AC118" s="135">
        <v>0.17</v>
      </c>
      <c r="AD118" s="135">
        <v>0.7</v>
      </c>
      <c r="AE118" s="135">
        <v>5000</v>
      </c>
      <c r="AF118" s="135">
        <v>6761.3</v>
      </c>
      <c r="AG118" s="135">
        <v>0.15</v>
      </c>
      <c r="AH118" s="135">
        <v>0.8</v>
      </c>
      <c r="AI118" s="135">
        <v>3000</v>
      </c>
      <c r="AJ118" s="135">
        <v>3939.2</v>
      </c>
      <c r="AK118" s="135">
        <v>0.25</v>
      </c>
      <c r="AL118" s="135">
        <v>0.6</v>
      </c>
      <c r="AM118" s="135">
        <v>4600</v>
      </c>
      <c r="AN118" s="135">
        <v>7653.9</v>
      </c>
      <c r="AO118" s="135">
        <v>0.13</v>
      </c>
      <c r="AP118" s="135"/>
      <c r="AQ118" s="135"/>
      <c r="AR118" s="135"/>
      <c r="AS118" s="135"/>
      <c r="AT118" s="135"/>
      <c r="AU118" s="135"/>
      <c r="AV118" s="135"/>
      <c r="AW118" s="135"/>
      <c r="AX118" s="135">
        <v>0.6</v>
      </c>
      <c r="AY118" s="135">
        <v>10</v>
      </c>
      <c r="AZ118" s="135">
        <v>16.600000000000001</v>
      </c>
      <c r="BA118" s="135">
        <v>0.06</v>
      </c>
      <c r="BB118" s="135"/>
      <c r="BC118" s="135"/>
      <c r="BD118" s="135"/>
      <c r="BE118" s="135"/>
      <c r="BF118" s="135">
        <v>0.8</v>
      </c>
      <c r="BG118" s="135">
        <v>6000</v>
      </c>
      <c r="BH118" s="135">
        <v>7878.5</v>
      </c>
      <c r="BI118" s="135">
        <v>0.13</v>
      </c>
      <c r="BJ118" s="135">
        <v>53.5</v>
      </c>
      <c r="BK118" s="135">
        <v>-3</v>
      </c>
      <c r="BL118" s="135">
        <v>28.25</v>
      </c>
    </row>
    <row r="119" spans="1:64" x14ac:dyDescent="0.3">
      <c r="A119" s="135">
        <v>2016</v>
      </c>
      <c r="B119" s="135">
        <v>3</v>
      </c>
      <c r="C119" s="135" t="s">
        <v>2198</v>
      </c>
      <c r="D119" s="135" t="s">
        <v>477</v>
      </c>
      <c r="E119" s="135" t="s">
        <v>396</v>
      </c>
      <c r="F119" s="135" t="s">
        <v>50</v>
      </c>
      <c r="G119" s="135" t="s">
        <v>1963</v>
      </c>
      <c r="H119" s="135">
        <v>25.84</v>
      </c>
      <c r="I119" s="135">
        <v>0.41599999999999998</v>
      </c>
      <c r="J119" s="135">
        <v>0.69199999999999995</v>
      </c>
      <c r="K119" s="135">
        <v>0</v>
      </c>
      <c r="L119" s="135">
        <v>0</v>
      </c>
      <c r="M119" s="135">
        <v>0</v>
      </c>
      <c r="N119" s="135">
        <v>0</v>
      </c>
      <c r="O119" s="135">
        <v>0</v>
      </c>
      <c r="P119" s="135">
        <v>0</v>
      </c>
      <c r="Q119" s="135">
        <v>0</v>
      </c>
      <c r="R119" s="135">
        <v>0</v>
      </c>
      <c r="S119" s="135">
        <v>0.27600000000000002</v>
      </c>
      <c r="T119" s="135">
        <v>2.996</v>
      </c>
      <c r="U119" s="135">
        <v>0.02</v>
      </c>
      <c r="V119" s="135">
        <v>2E-3</v>
      </c>
      <c r="W119" s="135">
        <v>0</v>
      </c>
      <c r="X119" s="135">
        <v>0</v>
      </c>
      <c r="Y119" s="135" t="s">
        <v>1995</v>
      </c>
      <c r="Z119" s="135">
        <v>0.6</v>
      </c>
      <c r="AA119" s="135">
        <v>3600</v>
      </c>
      <c r="AB119" s="135">
        <v>6526.5</v>
      </c>
      <c r="AC119" s="135">
        <v>0.15</v>
      </c>
      <c r="AD119" s="135">
        <v>0.7</v>
      </c>
      <c r="AE119" s="135">
        <v>5000</v>
      </c>
      <c r="AF119" s="135">
        <v>7229.6</v>
      </c>
      <c r="AG119" s="135">
        <v>0.14000000000000001</v>
      </c>
      <c r="AH119" s="135">
        <v>0.7</v>
      </c>
      <c r="AI119" s="135">
        <v>3000</v>
      </c>
      <c r="AJ119" s="135">
        <v>4216</v>
      </c>
      <c r="AK119" s="135">
        <v>0.24</v>
      </c>
      <c r="AL119" s="135">
        <v>0.6</v>
      </c>
      <c r="AM119" s="135">
        <v>4500</v>
      </c>
      <c r="AN119" s="135">
        <v>8128.6</v>
      </c>
      <c r="AO119" s="135">
        <v>0.12</v>
      </c>
      <c r="AP119" s="135"/>
      <c r="AQ119" s="135"/>
      <c r="AR119" s="135"/>
      <c r="AS119" s="135"/>
      <c r="AT119" s="135"/>
      <c r="AU119" s="135"/>
      <c r="AV119" s="135"/>
      <c r="AW119" s="135"/>
      <c r="AX119" s="135">
        <v>0.6</v>
      </c>
      <c r="AY119" s="135">
        <v>10</v>
      </c>
      <c r="AZ119" s="135">
        <v>18.100000000000001</v>
      </c>
      <c r="BA119" s="135">
        <v>0.06</v>
      </c>
      <c r="BB119" s="135"/>
      <c r="BC119" s="135"/>
      <c r="BD119" s="135"/>
      <c r="BE119" s="135"/>
      <c r="BF119" s="135">
        <v>0.7</v>
      </c>
      <c r="BG119" s="135">
        <v>6000</v>
      </c>
      <c r="BH119" s="135">
        <v>8432</v>
      </c>
      <c r="BI119" s="135">
        <v>0.12</v>
      </c>
      <c r="BJ119" s="135">
        <v>53.5</v>
      </c>
      <c r="BK119" s="135">
        <v>3</v>
      </c>
      <c r="BL119" s="135">
        <v>25.25</v>
      </c>
    </row>
    <row r="120" spans="1:64" x14ac:dyDescent="0.3">
      <c r="A120" s="135">
        <v>2016</v>
      </c>
      <c r="B120" s="135">
        <v>3</v>
      </c>
      <c r="C120" s="135" t="s">
        <v>2199</v>
      </c>
      <c r="D120" s="135" t="s">
        <v>455</v>
      </c>
      <c r="E120" s="135" t="s">
        <v>396</v>
      </c>
      <c r="F120" s="135" t="s">
        <v>41</v>
      </c>
      <c r="G120" s="135" t="s">
        <v>1997</v>
      </c>
      <c r="H120" s="135">
        <v>21.03</v>
      </c>
      <c r="I120" s="135">
        <v>0.32900000000000001</v>
      </c>
      <c r="J120" s="135">
        <v>0.54300000000000004</v>
      </c>
      <c r="K120" s="135">
        <v>0</v>
      </c>
      <c r="L120" s="135">
        <v>0</v>
      </c>
      <c r="M120" s="135">
        <v>0</v>
      </c>
      <c r="N120" s="135">
        <v>0</v>
      </c>
      <c r="O120" s="135">
        <v>0</v>
      </c>
      <c r="P120" s="135">
        <v>0</v>
      </c>
      <c r="Q120" s="135">
        <v>0</v>
      </c>
      <c r="R120" s="135">
        <v>0</v>
      </c>
      <c r="S120" s="135">
        <v>0.214</v>
      </c>
      <c r="T120" s="135">
        <v>2.6669999999999998</v>
      </c>
      <c r="U120" s="135">
        <v>1.0999999999999999E-2</v>
      </c>
      <c r="V120" s="135">
        <v>2E-3</v>
      </c>
      <c r="W120" s="135">
        <v>0</v>
      </c>
      <c r="X120" s="135">
        <v>0</v>
      </c>
      <c r="Y120" s="135" t="s">
        <v>1995</v>
      </c>
      <c r="Z120" s="135">
        <v>0.4</v>
      </c>
      <c r="AA120" s="135">
        <v>4000</v>
      </c>
      <c r="AB120" s="135">
        <v>9223</v>
      </c>
      <c r="AC120" s="135">
        <v>0.11</v>
      </c>
      <c r="AD120" s="135">
        <v>0.5</v>
      </c>
      <c r="AE120" s="135">
        <v>6800</v>
      </c>
      <c r="AF120" s="135">
        <v>12529.9</v>
      </c>
      <c r="AG120" s="135">
        <v>0.08</v>
      </c>
      <c r="AH120" s="135">
        <v>0.6</v>
      </c>
      <c r="AI120" s="135">
        <v>3100</v>
      </c>
      <c r="AJ120" s="135">
        <v>5528.8</v>
      </c>
      <c r="AK120" s="135">
        <v>0.18</v>
      </c>
      <c r="AL120" s="135">
        <v>0.4</v>
      </c>
      <c r="AM120" s="135">
        <v>4800</v>
      </c>
      <c r="AN120" s="135">
        <v>11016.8</v>
      </c>
      <c r="AO120" s="135">
        <v>0.09</v>
      </c>
      <c r="AP120" s="135"/>
      <c r="AQ120" s="135"/>
      <c r="AR120" s="135"/>
      <c r="AS120" s="135"/>
      <c r="AT120" s="135"/>
      <c r="AU120" s="135"/>
      <c r="AV120" s="135"/>
      <c r="AW120" s="135"/>
      <c r="AX120" s="135">
        <v>0.4</v>
      </c>
      <c r="AY120" s="135">
        <v>10</v>
      </c>
      <c r="AZ120" s="135">
        <v>23</v>
      </c>
      <c r="BA120" s="135">
        <v>0.04</v>
      </c>
      <c r="BB120" s="135"/>
      <c r="BC120" s="135"/>
      <c r="BD120" s="135"/>
      <c r="BE120" s="135"/>
      <c r="BF120" s="135">
        <v>0.6</v>
      </c>
      <c r="BG120" s="135">
        <v>6000</v>
      </c>
      <c r="BH120" s="135">
        <v>10700.9</v>
      </c>
      <c r="BI120" s="135">
        <v>0.09</v>
      </c>
      <c r="BJ120" s="135">
        <v>43</v>
      </c>
      <c r="BK120" s="135">
        <v>7</v>
      </c>
      <c r="BL120" s="135">
        <v>18</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02"/>
  <sheetViews>
    <sheetView workbookViewId="0">
      <selection activeCell="G21" sqref="A2:M102"/>
    </sheetView>
  </sheetViews>
  <sheetFormatPr defaultRowHeight="14.4" x14ac:dyDescent="0.3"/>
  <cols>
    <col min="1" max="1" width="21.109375" bestFit="1" customWidth="1"/>
    <col min="4" max="4" width="10.109375" style="6" customWidth="1"/>
    <col min="5" max="5" width="12.21875" style="6" customWidth="1"/>
    <col min="6" max="6" width="9.77734375" style="6" customWidth="1"/>
    <col min="7" max="7" width="9.5546875" style="6" customWidth="1"/>
    <col min="8" max="8" width="9.109375" style="6"/>
    <col min="9" max="9" width="11.109375" style="6" customWidth="1"/>
    <col min="10" max="10" width="9.109375" style="6"/>
  </cols>
  <sheetData>
    <row r="1" spans="1:13" x14ac:dyDescent="0.3">
      <c r="A1" t="s">
        <v>1</v>
      </c>
      <c r="B1" t="s">
        <v>757</v>
      </c>
      <c r="C1" t="s">
        <v>413</v>
      </c>
      <c r="D1" s="6" t="s">
        <v>422</v>
      </c>
      <c r="E1" s="6" t="s">
        <v>423</v>
      </c>
      <c r="F1" s="6" t="s">
        <v>424</v>
      </c>
      <c r="G1" s="6" t="s">
        <v>388</v>
      </c>
      <c r="H1" s="6" t="s">
        <v>389</v>
      </c>
      <c r="I1" s="6" t="s">
        <v>600</v>
      </c>
      <c r="J1" s="6" t="s">
        <v>601</v>
      </c>
      <c r="K1" t="s">
        <v>0</v>
      </c>
      <c r="L1" t="s">
        <v>1347</v>
      </c>
      <c r="M1" t="s">
        <v>1543</v>
      </c>
    </row>
    <row r="2" spans="1:13" x14ac:dyDescent="0.3">
      <c r="A2" s="135" t="s">
        <v>195</v>
      </c>
      <c r="B2" s="135" t="s">
        <v>28</v>
      </c>
      <c r="C2" s="135" t="s">
        <v>396</v>
      </c>
      <c r="D2" s="135" t="s">
        <v>753</v>
      </c>
      <c r="E2" s="135" t="s">
        <v>758</v>
      </c>
      <c r="F2" s="135" t="s">
        <v>758</v>
      </c>
      <c r="G2" s="135" t="s">
        <v>758</v>
      </c>
      <c r="H2" s="135">
        <v>7.5</v>
      </c>
      <c r="I2" s="135">
        <v>100.3</v>
      </c>
      <c r="J2" s="135" t="s">
        <v>753</v>
      </c>
      <c r="K2" s="135">
        <v>18.600000000000001</v>
      </c>
      <c r="L2" s="135" t="s">
        <v>1634</v>
      </c>
      <c r="M2" s="135">
        <v>2.2999999999999998</v>
      </c>
    </row>
    <row r="3" spans="1:13" x14ac:dyDescent="0.3">
      <c r="A3" s="135" t="s">
        <v>187</v>
      </c>
      <c r="B3" s="135" t="s">
        <v>20</v>
      </c>
      <c r="C3" s="135" t="s">
        <v>396</v>
      </c>
      <c r="D3" s="135" t="s">
        <v>762</v>
      </c>
      <c r="E3" s="135" t="s">
        <v>750</v>
      </c>
      <c r="F3" s="135" t="s">
        <v>758</v>
      </c>
      <c r="G3" s="135" t="s">
        <v>758</v>
      </c>
      <c r="H3" s="135">
        <v>8.3000000000000007</v>
      </c>
      <c r="I3" s="135">
        <v>100.8</v>
      </c>
      <c r="J3" s="135" t="s">
        <v>762</v>
      </c>
      <c r="K3" s="135">
        <v>17.3</v>
      </c>
      <c r="L3" s="135" t="s">
        <v>2575</v>
      </c>
      <c r="M3" s="135">
        <v>1.84</v>
      </c>
    </row>
    <row r="4" spans="1:13" x14ac:dyDescent="0.3">
      <c r="A4" s="135" t="s">
        <v>188</v>
      </c>
      <c r="B4" s="135" t="s">
        <v>50</v>
      </c>
      <c r="C4" s="135" t="s">
        <v>396</v>
      </c>
      <c r="D4" s="135" t="s">
        <v>763</v>
      </c>
      <c r="E4" s="135" t="s">
        <v>758</v>
      </c>
      <c r="F4" s="135" t="s">
        <v>758</v>
      </c>
      <c r="G4" s="135" t="s">
        <v>758</v>
      </c>
      <c r="H4" s="135">
        <v>6.9</v>
      </c>
      <c r="I4" s="135">
        <v>90.1</v>
      </c>
      <c r="J4" s="135" t="s">
        <v>763</v>
      </c>
      <c r="K4" s="135">
        <v>16.7</v>
      </c>
      <c r="L4" s="135" t="s">
        <v>1612</v>
      </c>
      <c r="M4" s="135">
        <v>1.96</v>
      </c>
    </row>
    <row r="5" spans="1:13" x14ac:dyDescent="0.3">
      <c r="A5" s="135" t="s">
        <v>194</v>
      </c>
      <c r="B5" s="135" t="s">
        <v>561</v>
      </c>
      <c r="C5" s="135" t="s">
        <v>396</v>
      </c>
      <c r="D5" s="135" t="s">
        <v>753</v>
      </c>
      <c r="E5" s="135" t="s">
        <v>758</v>
      </c>
      <c r="F5" s="135" t="s">
        <v>758</v>
      </c>
      <c r="G5" s="135" t="s">
        <v>758</v>
      </c>
      <c r="H5" s="135">
        <v>5.0999999999999996</v>
      </c>
      <c r="I5" s="135">
        <v>83.7</v>
      </c>
      <c r="J5" s="135" t="s">
        <v>753</v>
      </c>
      <c r="K5" s="135">
        <v>15.7</v>
      </c>
      <c r="L5" s="135" t="s">
        <v>2550</v>
      </c>
      <c r="M5" s="135">
        <v>1.89</v>
      </c>
    </row>
    <row r="6" spans="1:13" x14ac:dyDescent="0.3">
      <c r="A6" s="135" t="s">
        <v>189</v>
      </c>
      <c r="B6" s="135" t="s">
        <v>43</v>
      </c>
      <c r="C6" s="135" t="s">
        <v>396</v>
      </c>
      <c r="D6" s="135" t="s">
        <v>760</v>
      </c>
      <c r="E6" s="135" t="s">
        <v>758</v>
      </c>
      <c r="F6" s="135" t="s">
        <v>758</v>
      </c>
      <c r="G6" s="135" t="s">
        <v>758</v>
      </c>
      <c r="H6" s="135">
        <v>6.1</v>
      </c>
      <c r="I6" s="135">
        <v>90.5</v>
      </c>
      <c r="J6" s="135" t="s">
        <v>760</v>
      </c>
      <c r="K6" s="135">
        <v>15.7</v>
      </c>
      <c r="L6" s="135" t="s">
        <v>1616</v>
      </c>
      <c r="M6" s="135">
        <v>1.83</v>
      </c>
    </row>
    <row r="7" spans="1:13" x14ac:dyDescent="0.3">
      <c r="A7" s="135" t="s">
        <v>206</v>
      </c>
      <c r="B7" s="135" t="s">
        <v>404</v>
      </c>
      <c r="C7" s="135" t="s">
        <v>396</v>
      </c>
      <c r="D7" s="135" t="s">
        <v>760</v>
      </c>
      <c r="E7" s="135">
        <v>1.3</v>
      </c>
      <c r="F7" s="135" t="s">
        <v>758</v>
      </c>
      <c r="G7" s="135" t="s">
        <v>758</v>
      </c>
      <c r="H7" s="135">
        <v>6.1</v>
      </c>
      <c r="I7" s="135">
        <v>83.9</v>
      </c>
      <c r="J7" s="135" t="s">
        <v>760</v>
      </c>
      <c r="K7" s="135">
        <v>15.2</v>
      </c>
      <c r="L7" s="135" t="s">
        <v>1632</v>
      </c>
      <c r="M7" s="135">
        <v>1.85</v>
      </c>
    </row>
    <row r="8" spans="1:13" x14ac:dyDescent="0.3">
      <c r="A8" s="135" t="s">
        <v>191</v>
      </c>
      <c r="B8" s="135" t="s">
        <v>37</v>
      </c>
      <c r="C8" s="135" t="s">
        <v>396</v>
      </c>
      <c r="D8" s="135" t="s">
        <v>760</v>
      </c>
      <c r="E8" s="135" t="s">
        <v>758</v>
      </c>
      <c r="F8" s="135" t="s">
        <v>758</v>
      </c>
      <c r="G8" s="135" t="s">
        <v>758</v>
      </c>
      <c r="H8" s="135">
        <v>5.7</v>
      </c>
      <c r="I8" s="135">
        <v>83.3</v>
      </c>
      <c r="J8" s="135" t="s">
        <v>760</v>
      </c>
      <c r="K8" s="135">
        <v>14.8</v>
      </c>
      <c r="L8" s="135" t="s">
        <v>1611</v>
      </c>
      <c r="M8" s="135">
        <v>1.7</v>
      </c>
    </row>
    <row r="9" spans="1:13" x14ac:dyDescent="0.3">
      <c r="A9" s="135" t="s">
        <v>208</v>
      </c>
      <c r="B9" s="135" t="s">
        <v>46</v>
      </c>
      <c r="C9" s="135" t="s">
        <v>396</v>
      </c>
      <c r="D9" s="135" t="s">
        <v>762</v>
      </c>
      <c r="E9" s="135" t="s">
        <v>758</v>
      </c>
      <c r="F9" s="135" t="s">
        <v>758</v>
      </c>
      <c r="G9" s="135" t="s">
        <v>758</v>
      </c>
      <c r="H9" s="135">
        <v>6.1</v>
      </c>
      <c r="I9" s="135">
        <v>86</v>
      </c>
      <c r="J9" s="135" t="s">
        <v>762</v>
      </c>
      <c r="K9" s="135">
        <v>14.7</v>
      </c>
      <c r="L9" s="135" t="s">
        <v>1632</v>
      </c>
      <c r="M9" s="135">
        <v>1.79</v>
      </c>
    </row>
    <row r="10" spans="1:13" x14ac:dyDescent="0.3">
      <c r="A10" s="135" t="s">
        <v>193</v>
      </c>
      <c r="B10" s="135" t="s">
        <v>24</v>
      </c>
      <c r="C10" s="135" t="s">
        <v>396</v>
      </c>
      <c r="D10" s="135" t="s">
        <v>762</v>
      </c>
      <c r="E10" s="135" t="s">
        <v>752</v>
      </c>
      <c r="F10" s="135" t="s">
        <v>758</v>
      </c>
      <c r="G10" s="135" t="s">
        <v>758</v>
      </c>
      <c r="H10" s="135">
        <v>6.6</v>
      </c>
      <c r="I10" s="135">
        <v>81.3</v>
      </c>
      <c r="J10" s="135" t="s">
        <v>762</v>
      </c>
      <c r="K10" s="135">
        <v>14.5</v>
      </c>
      <c r="L10" s="135" t="s">
        <v>1617</v>
      </c>
      <c r="M10" s="135">
        <v>1.93</v>
      </c>
    </row>
    <row r="11" spans="1:13" x14ac:dyDescent="0.3">
      <c r="A11" s="135" t="s">
        <v>213</v>
      </c>
      <c r="B11" s="135" t="s">
        <v>16</v>
      </c>
      <c r="C11" s="135" t="s">
        <v>396</v>
      </c>
      <c r="D11" s="135" t="s">
        <v>760</v>
      </c>
      <c r="E11" s="135" t="s">
        <v>758</v>
      </c>
      <c r="F11" s="135" t="s">
        <v>758</v>
      </c>
      <c r="G11" s="135" t="s">
        <v>758</v>
      </c>
      <c r="H11" s="135">
        <v>5.0999999999999996</v>
      </c>
      <c r="I11" s="135">
        <v>82.2</v>
      </c>
      <c r="J11" s="135" t="s">
        <v>760</v>
      </c>
      <c r="K11" s="135">
        <v>14.4</v>
      </c>
      <c r="L11" s="135" t="s">
        <v>1613</v>
      </c>
      <c r="M11" s="135">
        <v>1.89</v>
      </c>
    </row>
    <row r="12" spans="1:13" x14ac:dyDescent="0.3">
      <c r="A12" s="135" t="s">
        <v>199</v>
      </c>
      <c r="B12" s="135" t="s">
        <v>70</v>
      </c>
      <c r="C12" s="135" t="s">
        <v>396</v>
      </c>
      <c r="D12" s="135" t="s">
        <v>760</v>
      </c>
      <c r="E12" s="135" t="s">
        <v>761</v>
      </c>
      <c r="F12" s="135" t="s">
        <v>758</v>
      </c>
      <c r="G12" s="135" t="s">
        <v>758</v>
      </c>
      <c r="H12" s="135">
        <v>5.7</v>
      </c>
      <c r="I12" s="135">
        <v>79.400000000000006</v>
      </c>
      <c r="J12" s="135" t="s">
        <v>760</v>
      </c>
      <c r="K12" s="135">
        <v>14.4</v>
      </c>
      <c r="L12" s="135" t="s">
        <v>1619</v>
      </c>
      <c r="M12" s="135">
        <v>1.82</v>
      </c>
    </row>
    <row r="13" spans="1:13" x14ac:dyDescent="0.3">
      <c r="A13" s="135" t="s">
        <v>768</v>
      </c>
      <c r="B13" s="135" t="s">
        <v>22</v>
      </c>
      <c r="C13" s="135" t="s">
        <v>396</v>
      </c>
      <c r="D13" s="135" t="s">
        <v>762</v>
      </c>
      <c r="E13" s="135" t="s">
        <v>758</v>
      </c>
      <c r="F13" s="135" t="s">
        <v>758</v>
      </c>
      <c r="G13" s="135" t="s">
        <v>758</v>
      </c>
      <c r="H13" s="135">
        <v>5.4</v>
      </c>
      <c r="I13" s="135">
        <v>80.599999999999994</v>
      </c>
      <c r="J13" s="135" t="s">
        <v>762</v>
      </c>
      <c r="K13" s="135">
        <v>13.8</v>
      </c>
      <c r="L13" s="135" t="s">
        <v>1614</v>
      </c>
      <c r="M13" s="135">
        <v>1.79</v>
      </c>
    </row>
    <row r="14" spans="1:13" x14ac:dyDescent="0.3">
      <c r="A14" s="135" t="s">
        <v>217</v>
      </c>
      <c r="B14" s="135" t="s">
        <v>401</v>
      </c>
      <c r="C14" s="135" t="s">
        <v>396</v>
      </c>
      <c r="D14" s="135" t="s">
        <v>762</v>
      </c>
      <c r="E14" s="135" t="s">
        <v>758</v>
      </c>
      <c r="F14" s="135" t="s">
        <v>758</v>
      </c>
      <c r="G14" s="135" t="s">
        <v>758</v>
      </c>
      <c r="H14" s="135">
        <v>5.2</v>
      </c>
      <c r="I14" s="135">
        <v>77.5</v>
      </c>
      <c r="J14" s="135" t="s">
        <v>762</v>
      </c>
      <c r="K14" s="135">
        <v>13.4</v>
      </c>
      <c r="L14" s="135" t="s">
        <v>1662</v>
      </c>
      <c r="M14" s="135">
        <v>1.68</v>
      </c>
    </row>
    <row r="15" spans="1:13" x14ac:dyDescent="0.3">
      <c r="A15" s="135" t="s">
        <v>173</v>
      </c>
      <c r="B15" s="135" t="s">
        <v>26</v>
      </c>
      <c r="C15" s="135" t="s">
        <v>396</v>
      </c>
      <c r="D15" s="135" t="s">
        <v>762</v>
      </c>
      <c r="E15" s="135">
        <v>1.5</v>
      </c>
      <c r="F15" s="135" t="s">
        <v>758</v>
      </c>
      <c r="G15" s="135" t="s">
        <v>758</v>
      </c>
      <c r="H15" s="135">
        <v>5.3</v>
      </c>
      <c r="I15" s="135">
        <v>72.8</v>
      </c>
      <c r="J15" s="135" t="s">
        <v>762</v>
      </c>
      <c r="K15" s="135">
        <v>13.1</v>
      </c>
      <c r="L15" s="135" t="s">
        <v>1613</v>
      </c>
      <c r="M15" s="135">
        <v>1.72</v>
      </c>
    </row>
    <row r="16" spans="1:13" x14ac:dyDescent="0.3">
      <c r="A16" s="135" t="s">
        <v>192</v>
      </c>
      <c r="B16" s="135" t="s">
        <v>7</v>
      </c>
      <c r="C16" s="135" t="s">
        <v>396</v>
      </c>
      <c r="D16" s="135" t="s">
        <v>763</v>
      </c>
      <c r="E16" s="135" t="s">
        <v>754</v>
      </c>
      <c r="F16" s="135" t="s">
        <v>758</v>
      </c>
      <c r="G16" s="135" t="s">
        <v>758</v>
      </c>
      <c r="H16" s="135">
        <v>4.5</v>
      </c>
      <c r="I16" s="135">
        <v>64.7</v>
      </c>
      <c r="J16" s="135" t="s">
        <v>763</v>
      </c>
      <c r="K16" s="135">
        <v>13</v>
      </c>
      <c r="L16" s="135" t="s">
        <v>1618</v>
      </c>
      <c r="M16" s="135">
        <v>1.76</v>
      </c>
    </row>
    <row r="17" spans="1:13" x14ac:dyDescent="0.3">
      <c r="A17" s="135" t="s">
        <v>205</v>
      </c>
      <c r="B17" s="135" t="s">
        <v>57</v>
      </c>
      <c r="C17" s="135" t="s">
        <v>396</v>
      </c>
      <c r="D17" s="135" t="s">
        <v>752</v>
      </c>
      <c r="E17" s="135">
        <v>2.1</v>
      </c>
      <c r="F17" s="135" t="s">
        <v>758</v>
      </c>
      <c r="G17" s="135" t="s">
        <v>758</v>
      </c>
      <c r="H17" s="135">
        <v>6.6</v>
      </c>
      <c r="I17" s="135">
        <v>70.5</v>
      </c>
      <c r="J17" s="135" t="s">
        <v>752</v>
      </c>
      <c r="K17" s="135">
        <v>13</v>
      </c>
      <c r="L17" s="135" t="s">
        <v>1615</v>
      </c>
      <c r="M17" s="135">
        <v>1.81</v>
      </c>
    </row>
    <row r="18" spans="1:13" x14ac:dyDescent="0.3">
      <c r="A18" s="135" t="s">
        <v>227</v>
      </c>
      <c r="B18" s="135" t="s">
        <v>404</v>
      </c>
      <c r="C18" s="135" t="s">
        <v>396</v>
      </c>
      <c r="D18" s="135" t="s">
        <v>762</v>
      </c>
      <c r="E18" s="135" t="s">
        <v>758</v>
      </c>
      <c r="F18" s="135" t="s">
        <v>758</v>
      </c>
      <c r="G18" s="135" t="s">
        <v>758</v>
      </c>
      <c r="H18" s="135">
        <v>4.8</v>
      </c>
      <c r="I18" s="135">
        <v>69</v>
      </c>
      <c r="J18" s="135" t="s">
        <v>762</v>
      </c>
      <c r="K18" s="135">
        <v>12.3</v>
      </c>
      <c r="L18" s="135" t="s">
        <v>1617</v>
      </c>
      <c r="M18" s="135">
        <v>1.64</v>
      </c>
    </row>
    <row r="19" spans="1:13" x14ac:dyDescent="0.3">
      <c r="A19" s="135" t="s">
        <v>218</v>
      </c>
      <c r="B19" s="135" t="s">
        <v>41</v>
      </c>
      <c r="C19" s="135" t="s">
        <v>396</v>
      </c>
      <c r="D19" s="135" t="s">
        <v>762</v>
      </c>
      <c r="E19" s="135" t="s">
        <v>763</v>
      </c>
      <c r="F19" s="135" t="s">
        <v>758</v>
      </c>
      <c r="G19" s="135" t="s">
        <v>758</v>
      </c>
      <c r="H19" s="135">
        <v>5.0999999999999996</v>
      </c>
      <c r="I19" s="135">
        <v>65.2</v>
      </c>
      <c r="J19" s="135" t="s">
        <v>762</v>
      </c>
      <c r="K19" s="135">
        <v>12.2</v>
      </c>
      <c r="L19" s="135" t="s">
        <v>1625</v>
      </c>
      <c r="M19" s="135">
        <v>1.72</v>
      </c>
    </row>
    <row r="20" spans="1:13" x14ac:dyDescent="0.3">
      <c r="A20" s="135" t="s">
        <v>190</v>
      </c>
      <c r="B20" s="135" t="s">
        <v>34</v>
      </c>
      <c r="C20" s="135" t="s">
        <v>396</v>
      </c>
      <c r="D20" s="135" t="s">
        <v>752</v>
      </c>
      <c r="E20" s="135" t="s">
        <v>758</v>
      </c>
      <c r="F20" s="135" t="s">
        <v>758</v>
      </c>
      <c r="G20" s="135" t="s">
        <v>758</v>
      </c>
      <c r="H20" s="135">
        <v>5.3</v>
      </c>
      <c r="I20" s="135">
        <v>70.8</v>
      </c>
      <c r="J20" s="135" t="s">
        <v>752</v>
      </c>
      <c r="K20" s="135">
        <v>12.1</v>
      </c>
      <c r="L20" s="135" t="s">
        <v>1617</v>
      </c>
      <c r="M20" s="135">
        <v>1.61</v>
      </c>
    </row>
    <row r="21" spans="1:13" x14ac:dyDescent="0.3">
      <c r="A21" s="135" t="s">
        <v>198</v>
      </c>
      <c r="B21" s="135" t="s">
        <v>402</v>
      </c>
      <c r="C21" s="135" t="s">
        <v>396</v>
      </c>
      <c r="D21" s="135" t="s">
        <v>752</v>
      </c>
      <c r="E21" s="135">
        <v>3.8</v>
      </c>
      <c r="F21" s="135" t="s">
        <v>758</v>
      </c>
      <c r="G21" s="135" t="s">
        <v>758</v>
      </c>
      <c r="H21" s="135">
        <v>5.4</v>
      </c>
      <c r="I21" s="135">
        <v>66.2</v>
      </c>
      <c r="J21" s="135" t="s">
        <v>752</v>
      </c>
      <c r="K21" s="135">
        <v>12.1</v>
      </c>
      <c r="L21" s="135" t="s">
        <v>1615</v>
      </c>
      <c r="M21" s="135">
        <v>1.68</v>
      </c>
    </row>
    <row r="22" spans="1:13" x14ac:dyDescent="0.3">
      <c r="A22" s="135" t="s">
        <v>234</v>
      </c>
      <c r="B22" s="135" t="s">
        <v>52</v>
      </c>
      <c r="C22" s="135" t="s">
        <v>396</v>
      </c>
      <c r="D22" s="135" t="s">
        <v>762</v>
      </c>
      <c r="E22" s="135" t="s">
        <v>761</v>
      </c>
      <c r="F22" s="135" t="s">
        <v>758</v>
      </c>
      <c r="G22" s="135" t="s">
        <v>758</v>
      </c>
      <c r="H22" s="135">
        <v>4.2</v>
      </c>
      <c r="I22" s="135">
        <v>65.8</v>
      </c>
      <c r="J22" s="135" t="s">
        <v>762</v>
      </c>
      <c r="K22" s="135">
        <v>11.7</v>
      </c>
      <c r="L22" s="135" t="s">
        <v>1622</v>
      </c>
      <c r="M22" s="135">
        <v>1.5</v>
      </c>
    </row>
    <row r="23" spans="1:13" x14ac:dyDescent="0.3">
      <c r="A23" s="135" t="s">
        <v>203</v>
      </c>
      <c r="B23" s="135" t="s">
        <v>70</v>
      </c>
      <c r="C23" s="135" t="s">
        <v>396</v>
      </c>
      <c r="D23" s="135" t="s">
        <v>752</v>
      </c>
      <c r="E23" s="135" t="s">
        <v>761</v>
      </c>
      <c r="F23" s="135" t="s">
        <v>758</v>
      </c>
      <c r="G23" s="135" t="s">
        <v>758</v>
      </c>
      <c r="H23" s="135">
        <v>5</v>
      </c>
      <c r="I23" s="135">
        <v>68</v>
      </c>
      <c r="J23" s="135" t="s">
        <v>752</v>
      </c>
      <c r="K23" s="135">
        <v>11.7</v>
      </c>
      <c r="L23" s="135" t="s">
        <v>1623</v>
      </c>
      <c r="M23" s="135">
        <v>1.7</v>
      </c>
    </row>
    <row r="24" spans="1:13" x14ac:dyDescent="0.3">
      <c r="A24" s="135" t="s">
        <v>201</v>
      </c>
      <c r="B24" s="135" t="s">
        <v>397</v>
      </c>
      <c r="C24" s="135" t="s">
        <v>396</v>
      </c>
      <c r="D24" s="135" t="s">
        <v>750</v>
      </c>
      <c r="E24" s="135" t="s">
        <v>752</v>
      </c>
      <c r="F24" s="135" t="s">
        <v>758</v>
      </c>
      <c r="G24" s="135" t="s">
        <v>758</v>
      </c>
      <c r="H24" s="135">
        <v>5.7</v>
      </c>
      <c r="I24" s="135">
        <v>68.2</v>
      </c>
      <c r="J24" s="135" t="s">
        <v>750</v>
      </c>
      <c r="K24" s="135">
        <v>11.5</v>
      </c>
      <c r="L24" s="135" t="s">
        <v>1623</v>
      </c>
      <c r="M24" s="135">
        <v>1.67</v>
      </c>
    </row>
    <row r="25" spans="1:13" x14ac:dyDescent="0.3">
      <c r="A25" s="135" t="s">
        <v>210</v>
      </c>
      <c r="B25" s="135" t="s">
        <v>4</v>
      </c>
      <c r="C25" s="135" t="s">
        <v>396</v>
      </c>
      <c r="D25" s="135" t="s">
        <v>752</v>
      </c>
      <c r="E25" s="135" t="s">
        <v>752</v>
      </c>
      <c r="F25" s="135" t="s">
        <v>758</v>
      </c>
      <c r="G25" s="135" t="s">
        <v>758</v>
      </c>
      <c r="H25" s="135">
        <v>5</v>
      </c>
      <c r="I25" s="135">
        <v>64.8</v>
      </c>
      <c r="J25" s="135" t="s">
        <v>752</v>
      </c>
      <c r="K25" s="135">
        <v>11.4</v>
      </c>
      <c r="L25" s="135" t="s">
        <v>1613</v>
      </c>
      <c r="M25" s="135">
        <v>1.5</v>
      </c>
    </row>
    <row r="26" spans="1:13" x14ac:dyDescent="0.3">
      <c r="A26" s="135" t="s">
        <v>196</v>
      </c>
      <c r="B26" s="135" t="s">
        <v>10</v>
      </c>
      <c r="C26" s="135" t="s">
        <v>396</v>
      </c>
      <c r="D26" s="135" t="s">
        <v>750</v>
      </c>
      <c r="E26" s="135" t="s">
        <v>763</v>
      </c>
      <c r="F26" s="135" t="s">
        <v>758</v>
      </c>
      <c r="G26" s="135" t="s">
        <v>758</v>
      </c>
      <c r="H26" s="135">
        <v>5</v>
      </c>
      <c r="I26" s="135">
        <v>68.3</v>
      </c>
      <c r="J26" s="135" t="s">
        <v>750</v>
      </c>
      <c r="K26" s="135">
        <v>11.4</v>
      </c>
      <c r="L26" s="135" t="s">
        <v>1627</v>
      </c>
      <c r="M26" s="135">
        <v>1.7</v>
      </c>
    </row>
    <row r="27" spans="1:13" x14ac:dyDescent="0.3">
      <c r="A27" s="135" t="s">
        <v>241</v>
      </c>
      <c r="B27" s="135" t="s">
        <v>407</v>
      </c>
      <c r="C27" s="135" t="s">
        <v>396</v>
      </c>
      <c r="D27" s="135" t="s">
        <v>762</v>
      </c>
      <c r="E27" s="135" t="s">
        <v>762</v>
      </c>
      <c r="F27" s="135" t="s">
        <v>758</v>
      </c>
      <c r="G27" s="135" t="s">
        <v>758</v>
      </c>
      <c r="H27" s="135">
        <v>4.4000000000000004</v>
      </c>
      <c r="I27" s="135">
        <v>55.8</v>
      </c>
      <c r="J27" s="135" t="s">
        <v>762</v>
      </c>
      <c r="K27" s="135">
        <v>10.8</v>
      </c>
      <c r="L27" s="135" t="s">
        <v>1635</v>
      </c>
      <c r="M27" s="135">
        <v>1.64</v>
      </c>
    </row>
    <row r="28" spans="1:13" x14ac:dyDescent="0.3">
      <c r="A28" s="135" t="s">
        <v>197</v>
      </c>
      <c r="B28" s="135" t="s">
        <v>34</v>
      </c>
      <c r="C28" s="135" t="s">
        <v>396</v>
      </c>
      <c r="D28" s="135" t="s">
        <v>752</v>
      </c>
      <c r="E28" s="135" t="s">
        <v>758</v>
      </c>
      <c r="F28" s="135" t="s">
        <v>758</v>
      </c>
      <c r="G28" s="135" t="s">
        <v>758</v>
      </c>
      <c r="H28" s="135">
        <v>3.7</v>
      </c>
      <c r="I28" s="135">
        <v>61.1</v>
      </c>
      <c r="J28" s="135" t="s">
        <v>752</v>
      </c>
      <c r="K28" s="135">
        <v>10.4</v>
      </c>
      <c r="L28" s="135" t="s">
        <v>1663</v>
      </c>
      <c r="M28" s="135">
        <v>1.53</v>
      </c>
    </row>
    <row r="29" spans="1:13" x14ac:dyDescent="0.3">
      <c r="A29" s="135" t="s">
        <v>212</v>
      </c>
      <c r="B29" s="135" t="s">
        <v>26</v>
      </c>
      <c r="C29" s="135" t="s">
        <v>396</v>
      </c>
      <c r="D29" s="135" t="s">
        <v>750</v>
      </c>
      <c r="E29" s="135">
        <v>1.1000000000000001</v>
      </c>
      <c r="F29" s="135" t="s">
        <v>758</v>
      </c>
      <c r="G29" s="135" t="s">
        <v>758</v>
      </c>
      <c r="H29" s="135">
        <v>5.4</v>
      </c>
      <c r="I29" s="135">
        <v>57.6</v>
      </c>
      <c r="J29" s="135" t="s">
        <v>750</v>
      </c>
      <c r="K29" s="135">
        <v>10.4</v>
      </c>
      <c r="L29" s="135" t="s">
        <v>1630</v>
      </c>
      <c r="M29" s="135">
        <v>1.68</v>
      </c>
    </row>
    <row r="30" spans="1:13" x14ac:dyDescent="0.3">
      <c r="A30" s="135" t="s">
        <v>519</v>
      </c>
      <c r="B30" s="135" t="s">
        <v>30</v>
      </c>
      <c r="C30" s="135" t="s">
        <v>396</v>
      </c>
      <c r="D30" s="135" t="s">
        <v>761</v>
      </c>
      <c r="E30" s="135" t="s">
        <v>758</v>
      </c>
      <c r="F30" s="135" t="s">
        <v>758</v>
      </c>
      <c r="G30" s="135" t="s">
        <v>758</v>
      </c>
      <c r="H30" s="135">
        <v>5.0999999999999996</v>
      </c>
      <c r="I30" s="135">
        <v>64.3</v>
      </c>
      <c r="J30" s="135" t="s">
        <v>761</v>
      </c>
      <c r="K30" s="135">
        <v>10.199999999999999</v>
      </c>
      <c r="L30" s="135" t="s">
        <v>1640</v>
      </c>
      <c r="M30" s="135">
        <v>1.82</v>
      </c>
    </row>
    <row r="31" spans="1:13" x14ac:dyDescent="0.3">
      <c r="A31" s="135" t="s">
        <v>226</v>
      </c>
      <c r="B31" s="135" t="s">
        <v>18</v>
      </c>
      <c r="C31" s="135" t="s">
        <v>396</v>
      </c>
      <c r="D31" s="135" t="s">
        <v>752</v>
      </c>
      <c r="E31" s="135" t="s">
        <v>758</v>
      </c>
      <c r="F31" s="135" t="s">
        <v>758</v>
      </c>
      <c r="G31" s="135" t="s">
        <v>758</v>
      </c>
      <c r="H31" s="135">
        <v>4</v>
      </c>
      <c r="I31" s="135">
        <v>57</v>
      </c>
      <c r="J31" s="135" t="s">
        <v>752</v>
      </c>
      <c r="K31" s="135">
        <v>10.1</v>
      </c>
      <c r="L31" s="135" t="s">
        <v>1623</v>
      </c>
      <c r="M31" s="135">
        <v>1.46</v>
      </c>
    </row>
    <row r="32" spans="1:13" x14ac:dyDescent="0.3">
      <c r="A32" s="135" t="s">
        <v>238</v>
      </c>
      <c r="B32" s="135" t="s">
        <v>18</v>
      </c>
      <c r="C32" s="135" t="s">
        <v>396</v>
      </c>
      <c r="D32" s="135" t="s">
        <v>750</v>
      </c>
      <c r="E32" s="135" t="s">
        <v>758</v>
      </c>
      <c r="F32" s="135" t="s">
        <v>758</v>
      </c>
      <c r="G32" s="135" t="s">
        <v>758</v>
      </c>
      <c r="H32" s="135">
        <v>4.8</v>
      </c>
      <c r="I32" s="135">
        <v>58.4</v>
      </c>
      <c r="J32" s="135" t="s">
        <v>750</v>
      </c>
      <c r="K32" s="135">
        <v>10</v>
      </c>
      <c r="L32" s="135" t="s">
        <v>1629</v>
      </c>
      <c r="M32" s="135">
        <v>1.67</v>
      </c>
    </row>
    <row r="33" spans="1:13" x14ac:dyDescent="0.3">
      <c r="A33" s="135" t="s">
        <v>463</v>
      </c>
      <c r="B33" s="135" t="s">
        <v>43</v>
      </c>
      <c r="C33" s="135" t="s">
        <v>396</v>
      </c>
      <c r="D33" s="135" t="s">
        <v>750</v>
      </c>
      <c r="E33" s="135">
        <v>-0.1</v>
      </c>
      <c r="F33" s="135" t="s">
        <v>758</v>
      </c>
      <c r="G33" s="135" t="s">
        <v>758</v>
      </c>
      <c r="H33" s="135">
        <v>4</v>
      </c>
      <c r="I33" s="135">
        <v>59.6</v>
      </c>
      <c r="J33" s="135" t="s">
        <v>750</v>
      </c>
      <c r="K33" s="135">
        <v>9.8000000000000007</v>
      </c>
      <c r="L33" s="135" t="s">
        <v>1235</v>
      </c>
      <c r="M33" s="135" t="s">
        <v>758</v>
      </c>
    </row>
    <row r="34" spans="1:13" x14ac:dyDescent="0.3">
      <c r="A34" s="135" t="s">
        <v>220</v>
      </c>
      <c r="B34" s="135" t="s">
        <v>18</v>
      </c>
      <c r="C34" s="135" t="s">
        <v>396</v>
      </c>
      <c r="D34" s="135" t="s">
        <v>752</v>
      </c>
      <c r="E34" s="135" t="s">
        <v>758</v>
      </c>
      <c r="F34" s="135" t="s">
        <v>758</v>
      </c>
      <c r="G34" s="135" t="s">
        <v>758</v>
      </c>
      <c r="H34" s="135">
        <v>4</v>
      </c>
      <c r="I34" s="135">
        <v>54.3</v>
      </c>
      <c r="J34" s="135" t="s">
        <v>752</v>
      </c>
      <c r="K34" s="135">
        <v>9.8000000000000007</v>
      </c>
      <c r="L34" s="135" t="s">
        <v>1629</v>
      </c>
      <c r="M34" s="135">
        <v>1.63</v>
      </c>
    </row>
    <row r="35" spans="1:13" x14ac:dyDescent="0.3">
      <c r="A35" s="135" t="s">
        <v>283</v>
      </c>
      <c r="B35" s="135" t="s">
        <v>16</v>
      </c>
      <c r="C35" s="135" t="s">
        <v>396</v>
      </c>
      <c r="D35" s="135" t="s">
        <v>752</v>
      </c>
      <c r="E35" s="135" t="s">
        <v>759</v>
      </c>
      <c r="F35" s="135" t="s">
        <v>758</v>
      </c>
      <c r="G35" s="135" t="s">
        <v>758</v>
      </c>
      <c r="H35" s="135">
        <v>4</v>
      </c>
      <c r="I35" s="135">
        <v>52.1</v>
      </c>
      <c r="J35" s="135" t="s">
        <v>752</v>
      </c>
      <c r="K35" s="135">
        <v>9.6</v>
      </c>
      <c r="L35" s="135" t="s">
        <v>1626</v>
      </c>
      <c r="M35" s="135">
        <v>1.5</v>
      </c>
    </row>
    <row r="36" spans="1:13" x14ac:dyDescent="0.3">
      <c r="A36" s="135" t="s">
        <v>219</v>
      </c>
      <c r="B36" s="135" t="s">
        <v>24</v>
      </c>
      <c r="C36" s="135" t="s">
        <v>396</v>
      </c>
      <c r="D36" s="135" t="s">
        <v>752</v>
      </c>
      <c r="E36" s="135">
        <v>0</v>
      </c>
      <c r="F36" s="135" t="s">
        <v>758</v>
      </c>
      <c r="G36" s="135" t="s">
        <v>758</v>
      </c>
      <c r="H36" s="135">
        <v>3.4</v>
      </c>
      <c r="I36" s="135">
        <v>52.7</v>
      </c>
      <c r="J36" s="135" t="s">
        <v>752</v>
      </c>
      <c r="K36" s="135">
        <v>9.4</v>
      </c>
      <c r="L36" s="135" t="s">
        <v>1638</v>
      </c>
      <c r="M36" s="135">
        <v>1.45</v>
      </c>
    </row>
    <row r="37" spans="1:13" x14ac:dyDescent="0.3">
      <c r="A37" s="135" t="s">
        <v>479</v>
      </c>
      <c r="B37" s="135" t="s">
        <v>14</v>
      </c>
      <c r="C37" s="135" t="s">
        <v>396</v>
      </c>
      <c r="D37" s="135" t="s">
        <v>759</v>
      </c>
      <c r="E37" s="135">
        <v>2.6</v>
      </c>
      <c r="F37" s="135" t="s">
        <v>758</v>
      </c>
      <c r="G37" s="135" t="s">
        <v>758</v>
      </c>
      <c r="H37" s="135">
        <v>4.5</v>
      </c>
      <c r="I37" s="135">
        <v>62.6</v>
      </c>
      <c r="J37" s="135" t="s">
        <v>759</v>
      </c>
      <c r="K37" s="135">
        <v>9.4</v>
      </c>
      <c r="L37" s="135" t="s">
        <v>1624</v>
      </c>
      <c r="M37" s="135">
        <v>1.34</v>
      </c>
    </row>
    <row r="38" spans="1:13" x14ac:dyDescent="0.3">
      <c r="A38" s="135" t="s">
        <v>204</v>
      </c>
      <c r="B38" s="135" t="s">
        <v>4</v>
      </c>
      <c r="C38" s="135" t="s">
        <v>396</v>
      </c>
      <c r="D38" s="135" t="s">
        <v>752</v>
      </c>
      <c r="E38" s="135" t="s">
        <v>758</v>
      </c>
      <c r="F38" s="135" t="s">
        <v>758</v>
      </c>
      <c r="G38" s="135" t="s">
        <v>758</v>
      </c>
      <c r="H38" s="135">
        <v>3.8</v>
      </c>
      <c r="I38" s="135">
        <v>51.4</v>
      </c>
      <c r="J38" s="135" t="s">
        <v>752</v>
      </c>
      <c r="K38" s="135">
        <v>9.4</v>
      </c>
      <c r="L38" s="135" t="s">
        <v>1638</v>
      </c>
      <c r="M38" s="135">
        <v>1.45</v>
      </c>
    </row>
    <row r="39" spans="1:13" x14ac:dyDescent="0.3">
      <c r="A39" s="135" t="s">
        <v>202</v>
      </c>
      <c r="B39" s="135" t="s">
        <v>561</v>
      </c>
      <c r="C39" s="135" t="s">
        <v>396</v>
      </c>
      <c r="D39" s="135" t="s">
        <v>750</v>
      </c>
      <c r="E39" s="135" t="s">
        <v>758</v>
      </c>
      <c r="F39" s="135" t="s">
        <v>758</v>
      </c>
      <c r="G39" s="135" t="s">
        <v>758</v>
      </c>
      <c r="H39" s="135">
        <v>3.5</v>
      </c>
      <c r="I39" s="135">
        <v>50.8</v>
      </c>
      <c r="J39" s="135" t="s">
        <v>750</v>
      </c>
      <c r="K39" s="135">
        <v>8.6</v>
      </c>
      <c r="L39" s="135" t="s">
        <v>1637</v>
      </c>
      <c r="M39" s="135">
        <v>1.41</v>
      </c>
    </row>
    <row r="40" spans="1:13" x14ac:dyDescent="0.3">
      <c r="A40" s="135" t="s">
        <v>454</v>
      </c>
      <c r="B40" s="135" t="s">
        <v>37</v>
      </c>
      <c r="C40" s="135" t="s">
        <v>396</v>
      </c>
      <c r="D40" s="135" t="s">
        <v>750</v>
      </c>
      <c r="E40" s="135" t="s">
        <v>758</v>
      </c>
      <c r="F40" s="135" t="s">
        <v>758</v>
      </c>
      <c r="G40" s="135" t="s">
        <v>758</v>
      </c>
      <c r="H40" s="135">
        <v>3.6</v>
      </c>
      <c r="I40" s="135">
        <v>49.7</v>
      </c>
      <c r="J40" s="135" t="s">
        <v>750</v>
      </c>
      <c r="K40" s="135">
        <v>8.6</v>
      </c>
      <c r="L40" s="135" t="s">
        <v>1623</v>
      </c>
      <c r="M40" s="135">
        <v>1.25</v>
      </c>
    </row>
    <row r="41" spans="1:13" x14ac:dyDescent="0.3">
      <c r="A41" s="135" t="s">
        <v>260</v>
      </c>
      <c r="B41" s="135" t="s">
        <v>28</v>
      </c>
      <c r="C41" s="135" t="s">
        <v>396</v>
      </c>
      <c r="D41" s="135" t="s">
        <v>752</v>
      </c>
      <c r="E41" s="135" t="s">
        <v>758</v>
      </c>
      <c r="F41" s="135" t="s">
        <v>758</v>
      </c>
      <c r="G41" s="135" t="s">
        <v>758</v>
      </c>
      <c r="H41" s="135">
        <v>2.8</v>
      </c>
      <c r="I41" s="135">
        <v>46.3</v>
      </c>
      <c r="J41" s="135" t="s">
        <v>752</v>
      </c>
      <c r="K41" s="135">
        <v>8.4</v>
      </c>
      <c r="L41" s="135" t="s">
        <v>1646</v>
      </c>
      <c r="M41" s="135">
        <v>1.53</v>
      </c>
    </row>
    <row r="42" spans="1:13" x14ac:dyDescent="0.3">
      <c r="A42" s="135" t="s">
        <v>275</v>
      </c>
      <c r="B42" s="135" t="s">
        <v>32</v>
      </c>
      <c r="C42" s="135" t="s">
        <v>396</v>
      </c>
      <c r="D42" s="135" t="s">
        <v>752</v>
      </c>
      <c r="E42" s="135" t="s">
        <v>759</v>
      </c>
      <c r="F42" s="135" t="s">
        <v>758</v>
      </c>
      <c r="G42" s="135" t="s">
        <v>758</v>
      </c>
      <c r="H42" s="135">
        <v>2.9</v>
      </c>
      <c r="I42" s="135">
        <v>43.8</v>
      </c>
      <c r="J42" s="135" t="s">
        <v>752</v>
      </c>
      <c r="K42" s="135">
        <v>8.3000000000000007</v>
      </c>
      <c r="L42" s="135" t="s">
        <v>1627</v>
      </c>
      <c r="M42" s="135">
        <v>1.24</v>
      </c>
    </row>
    <row r="43" spans="1:13" x14ac:dyDescent="0.3">
      <c r="A43" s="135" t="s">
        <v>432</v>
      </c>
      <c r="B43" s="135" t="s">
        <v>46</v>
      </c>
      <c r="C43" s="135" t="s">
        <v>396</v>
      </c>
      <c r="D43" s="135" t="s">
        <v>750</v>
      </c>
      <c r="E43" s="135" t="s">
        <v>753</v>
      </c>
      <c r="F43" s="135" t="s">
        <v>758</v>
      </c>
      <c r="G43" s="135" t="s">
        <v>758</v>
      </c>
      <c r="H43" s="135">
        <v>3.5</v>
      </c>
      <c r="I43" s="135">
        <v>46.1</v>
      </c>
      <c r="J43" s="135" t="s">
        <v>750</v>
      </c>
      <c r="K43" s="135">
        <v>8.1999999999999993</v>
      </c>
      <c r="L43" s="135" t="s">
        <v>1235</v>
      </c>
      <c r="M43" s="135" t="s">
        <v>758</v>
      </c>
    </row>
    <row r="44" spans="1:13" x14ac:dyDescent="0.3">
      <c r="A44" s="135" t="s">
        <v>237</v>
      </c>
      <c r="B44" s="135" t="s">
        <v>409</v>
      </c>
      <c r="C44" s="135" t="s">
        <v>396</v>
      </c>
      <c r="D44" s="135" t="s">
        <v>750</v>
      </c>
      <c r="E44" s="135">
        <v>-0.1</v>
      </c>
      <c r="F44" s="135" t="s">
        <v>758</v>
      </c>
      <c r="G44" s="135" t="s">
        <v>758</v>
      </c>
      <c r="H44" s="135">
        <v>3.1</v>
      </c>
      <c r="I44" s="135">
        <v>47.5</v>
      </c>
      <c r="J44" s="135" t="s">
        <v>750</v>
      </c>
      <c r="K44" s="135">
        <v>8.1</v>
      </c>
      <c r="L44" s="135" t="s">
        <v>1646</v>
      </c>
      <c r="M44" s="135">
        <v>1.47</v>
      </c>
    </row>
    <row r="45" spans="1:13" x14ac:dyDescent="0.3">
      <c r="A45" s="135" t="s">
        <v>209</v>
      </c>
      <c r="B45" s="135" t="s">
        <v>32</v>
      </c>
      <c r="C45" s="135" t="s">
        <v>396</v>
      </c>
      <c r="D45" s="135" t="s">
        <v>761</v>
      </c>
      <c r="E45" s="135" t="s">
        <v>758</v>
      </c>
      <c r="F45" s="135" t="s">
        <v>758</v>
      </c>
      <c r="G45" s="135" t="s">
        <v>758</v>
      </c>
      <c r="H45" s="135">
        <v>3.6</v>
      </c>
      <c r="I45" s="135">
        <v>47.5</v>
      </c>
      <c r="J45" s="135" t="s">
        <v>761</v>
      </c>
      <c r="K45" s="135">
        <v>7.8</v>
      </c>
      <c r="L45" s="135" t="s">
        <v>1637</v>
      </c>
      <c r="M45" s="135">
        <v>1.28</v>
      </c>
    </row>
    <row r="46" spans="1:13" x14ac:dyDescent="0.3">
      <c r="A46" s="135" t="s">
        <v>262</v>
      </c>
      <c r="B46" s="135" t="s">
        <v>57</v>
      </c>
      <c r="C46" s="135" t="s">
        <v>396</v>
      </c>
      <c r="D46" s="135" t="s">
        <v>750</v>
      </c>
      <c r="E46" s="135" t="s">
        <v>758</v>
      </c>
      <c r="F46" s="135" t="s">
        <v>758</v>
      </c>
      <c r="G46" s="135" t="s">
        <v>758</v>
      </c>
      <c r="H46" s="135">
        <v>2.9</v>
      </c>
      <c r="I46" s="135">
        <v>44.2</v>
      </c>
      <c r="J46" s="135" t="s">
        <v>750</v>
      </c>
      <c r="K46" s="135">
        <v>7.7</v>
      </c>
      <c r="L46" s="135" t="s">
        <v>1643</v>
      </c>
      <c r="M46" s="135">
        <v>1.22</v>
      </c>
    </row>
    <row r="47" spans="1:13" x14ac:dyDescent="0.3">
      <c r="A47" s="135" t="s">
        <v>269</v>
      </c>
      <c r="B47" s="135" t="s">
        <v>34</v>
      </c>
      <c r="C47" s="135" t="s">
        <v>396</v>
      </c>
      <c r="D47" s="135" t="s">
        <v>761</v>
      </c>
      <c r="E47" s="135" t="s">
        <v>758</v>
      </c>
      <c r="F47" s="135" t="s">
        <v>758</v>
      </c>
      <c r="G47" s="135" t="s">
        <v>758</v>
      </c>
      <c r="H47" s="135">
        <v>4</v>
      </c>
      <c r="I47" s="135">
        <v>45.3</v>
      </c>
      <c r="J47" s="135" t="s">
        <v>761</v>
      </c>
      <c r="K47" s="135">
        <v>7.7</v>
      </c>
      <c r="L47" s="135" t="s">
        <v>1640</v>
      </c>
      <c r="M47" s="135">
        <v>1.38</v>
      </c>
    </row>
    <row r="48" spans="1:13" x14ac:dyDescent="0.3">
      <c r="A48" s="135" t="s">
        <v>505</v>
      </c>
      <c r="B48" s="135" t="s">
        <v>407</v>
      </c>
      <c r="C48" s="135" t="s">
        <v>396</v>
      </c>
      <c r="D48" s="135" t="s">
        <v>752</v>
      </c>
      <c r="E48" s="135" t="s">
        <v>758</v>
      </c>
      <c r="F48" s="135" t="s">
        <v>758</v>
      </c>
      <c r="G48" s="135" t="s">
        <v>758</v>
      </c>
      <c r="H48" s="135">
        <v>2.1</v>
      </c>
      <c r="I48" s="135">
        <v>41.4</v>
      </c>
      <c r="J48" s="135" t="s">
        <v>752</v>
      </c>
      <c r="K48" s="135">
        <v>7.6</v>
      </c>
      <c r="L48" s="135" t="s">
        <v>1626</v>
      </c>
      <c r="M48" s="135">
        <v>1.19</v>
      </c>
    </row>
    <row r="49" spans="1:13" x14ac:dyDescent="0.3">
      <c r="A49" s="135" t="s">
        <v>456</v>
      </c>
      <c r="B49" s="135" t="s">
        <v>37</v>
      </c>
      <c r="C49" s="135" t="s">
        <v>396</v>
      </c>
      <c r="D49" s="135" t="s">
        <v>761</v>
      </c>
      <c r="E49" s="135" t="s">
        <v>758</v>
      </c>
      <c r="F49" s="135" t="s">
        <v>758</v>
      </c>
      <c r="G49" s="135" t="s">
        <v>758</v>
      </c>
      <c r="H49" s="135">
        <v>3.5</v>
      </c>
      <c r="I49" s="135">
        <v>45.4</v>
      </c>
      <c r="J49" s="135" t="s">
        <v>761</v>
      </c>
      <c r="K49" s="135">
        <v>7.5</v>
      </c>
      <c r="L49" s="135" t="s">
        <v>1644</v>
      </c>
      <c r="M49" s="135">
        <v>1.32</v>
      </c>
    </row>
    <row r="50" spans="1:13" x14ac:dyDescent="0.3">
      <c r="A50" s="135" t="s">
        <v>243</v>
      </c>
      <c r="B50" s="135" t="s">
        <v>398</v>
      </c>
      <c r="C50" s="135" t="s">
        <v>396</v>
      </c>
      <c r="D50" s="135" t="s">
        <v>750</v>
      </c>
      <c r="E50" s="135" t="s">
        <v>758</v>
      </c>
      <c r="F50" s="135" t="s">
        <v>758</v>
      </c>
      <c r="G50" s="135" t="s">
        <v>758</v>
      </c>
      <c r="H50" s="135">
        <v>2.7</v>
      </c>
      <c r="I50" s="135">
        <v>39.4</v>
      </c>
      <c r="J50" s="135" t="s">
        <v>750</v>
      </c>
      <c r="K50" s="135">
        <v>7.1</v>
      </c>
      <c r="L50" s="135" t="s">
        <v>1640</v>
      </c>
      <c r="M50" s="135">
        <v>1.27</v>
      </c>
    </row>
    <row r="51" spans="1:13" x14ac:dyDescent="0.3">
      <c r="A51" s="135" t="s">
        <v>410</v>
      </c>
      <c r="B51" s="135" t="s">
        <v>26</v>
      </c>
      <c r="C51" s="135" t="s">
        <v>396</v>
      </c>
      <c r="D51" s="135" t="s">
        <v>761</v>
      </c>
      <c r="E51" s="135" t="s">
        <v>758</v>
      </c>
      <c r="F51" s="135" t="s">
        <v>758</v>
      </c>
      <c r="G51" s="135" t="s">
        <v>758</v>
      </c>
      <c r="H51" s="135">
        <v>3.3</v>
      </c>
      <c r="I51" s="135">
        <v>40.299999999999997</v>
      </c>
      <c r="J51" s="135" t="s">
        <v>761</v>
      </c>
      <c r="K51" s="135">
        <v>6.9</v>
      </c>
      <c r="L51" s="135" t="s">
        <v>1638</v>
      </c>
      <c r="M51" s="135">
        <v>1.06</v>
      </c>
    </row>
    <row r="52" spans="1:13" x14ac:dyDescent="0.3">
      <c r="A52" s="135" t="s">
        <v>228</v>
      </c>
      <c r="B52" s="135" t="s">
        <v>402</v>
      </c>
      <c r="C52" s="135" t="s">
        <v>396</v>
      </c>
      <c r="D52" s="135" t="s">
        <v>761</v>
      </c>
      <c r="E52" s="135" t="s">
        <v>754</v>
      </c>
      <c r="F52" s="135" t="s">
        <v>758</v>
      </c>
      <c r="G52" s="135" t="s">
        <v>758</v>
      </c>
      <c r="H52" s="135">
        <v>3.2</v>
      </c>
      <c r="I52" s="135">
        <v>35.700000000000003</v>
      </c>
      <c r="J52" s="135" t="s">
        <v>761</v>
      </c>
      <c r="K52" s="135">
        <v>6.5</v>
      </c>
      <c r="L52" s="135" t="s">
        <v>1636</v>
      </c>
      <c r="M52" s="135">
        <v>1.2</v>
      </c>
    </row>
    <row r="53" spans="1:13" x14ac:dyDescent="0.3">
      <c r="A53" s="135" t="s">
        <v>233</v>
      </c>
      <c r="B53" s="135" t="s">
        <v>401</v>
      </c>
      <c r="C53" s="135" t="s">
        <v>396</v>
      </c>
      <c r="D53" s="135" t="s">
        <v>750</v>
      </c>
      <c r="E53" s="135" t="s">
        <v>758</v>
      </c>
      <c r="F53" s="135" t="s">
        <v>758</v>
      </c>
      <c r="G53" s="135" t="s">
        <v>758</v>
      </c>
      <c r="H53" s="135">
        <v>2.2000000000000002</v>
      </c>
      <c r="I53" s="135">
        <v>33.9</v>
      </c>
      <c r="J53" s="135" t="s">
        <v>750</v>
      </c>
      <c r="K53" s="135">
        <v>6.3</v>
      </c>
      <c r="L53" s="135" t="s">
        <v>1645</v>
      </c>
      <c r="M53" s="135">
        <v>1.24</v>
      </c>
    </row>
    <row r="54" spans="1:13" x14ac:dyDescent="0.3">
      <c r="A54" s="135" t="s">
        <v>224</v>
      </c>
      <c r="B54" s="135" t="s">
        <v>7</v>
      </c>
      <c r="C54" s="135" t="s">
        <v>396</v>
      </c>
      <c r="D54" s="135" t="s">
        <v>761</v>
      </c>
      <c r="E54" s="135" t="s">
        <v>758</v>
      </c>
      <c r="F54" s="135" t="s">
        <v>758</v>
      </c>
      <c r="G54" s="135" t="s">
        <v>758</v>
      </c>
      <c r="H54" s="135">
        <v>2.7</v>
      </c>
      <c r="I54" s="135">
        <v>37</v>
      </c>
      <c r="J54" s="135" t="s">
        <v>761</v>
      </c>
      <c r="K54" s="135">
        <v>6.3</v>
      </c>
      <c r="L54" s="135" t="s">
        <v>1630</v>
      </c>
      <c r="M54" s="135">
        <v>1.02</v>
      </c>
    </row>
    <row r="55" spans="1:13" x14ac:dyDescent="0.3">
      <c r="A55" s="135" t="s">
        <v>240</v>
      </c>
      <c r="B55" s="135" t="s">
        <v>52</v>
      </c>
      <c r="C55" s="135" t="s">
        <v>396</v>
      </c>
      <c r="D55" s="135" t="s">
        <v>761</v>
      </c>
      <c r="E55" s="135" t="s">
        <v>758</v>
      </c>
      <c r="F55" s="135" t="s">
        <v>758</v>
      </c>
      <c r="G55" s="135" t="s">
        <v>758</v>
      </c>
      <c r="H55" s="135">
        <v>3.1</v>
      </c>
      <c r="I55" s="135">
        <v>35.5</v>
      </c>
      <c r="J55" s="135" t="s">
        <v>761</v>
      </c>
      <c r="K55" s="135">
        <v>6.3</v>
      </c>
      <c r="L55" s="135" t="s">
        <v>1648</v>
      </c>
      <c r="M55" s="135">
        <v>1.21</v>
      </c>
    </row>
    <row r="56" spans="1:13" x14ac:dyDescent="0.3">
      <c r="A56" s="135" t="s">
        <v>207</v>
      </c>
      <c r="B56" s="135" t="s">
        <v>24</v>
      </c>
      <c r="C56" s="135" t="s">
        <v>396</v>
      </c>
      <c r="D56" s="135" t="s">
        <v>761</v>
      </c>
      <c r="E56" s="135" t="s">
        <v>761</v>
      </c>
      <c r="F56" s="135" t="s">
        <v>758</v>
      </c>
      <c r="G56" s="135" t="s">
        <v>758</v>
      </c>
      <c r="H56" s="135">
        <v>2.6</v>
      </c>
      <c r="I56" s="135">
        <v>35.4</v>
      </c>
      <c r="J56" s="135" t="s">
        <v>761</v>
      </c>
      <c r="K56" s="135">
        <v>6.1</v>
      </c>
      <c r="L56" s="135" t="s">
        <v>1630</v>
      </c>
      <c r="M56" s="135" t="s">
        <v>1666</v>
      </c>
    </row>
    <row r="57" spans="1:13" x14ac:dyDescent="0.3">
      <c r="A57" s="135" t="s">
        <v>457</v>
      </c>
      <c r="B57" s="135" t="s">
        <v>404</v>
      </c>
      <c r="C57" s="135" t="s">
        <v>396</v>
      </c>
      <c r="D57" s="135" t="s">
        <v>761</v>
      </c>
      <c r="E57" s="135" t="s">
        <v>758</v>
      </c>
      <c r="F57" s="135" t="s">
        <v>758</v>
      </c>
      <c r="G57" s="135" t="s">
        <v>758</v>
      </c>
      <c r="H57" s="135">
        <v>2.7</v>
      </c>
      <c r="I57" s="135">
        <v>34.9</v>
      </c>
      <c r="J57" s="135" t="s">
        <v>761</v>
      </c>
      <c r="K57" s="135">
        <v>6</v>
      </c>
      <c r="L57" s="135" t="s">
        <v>1647</v>
      </c>
      <c r="M57" s="135">
        <v>1.1299999999999999</v>
      </c>
    </row>
    <row r="58" spans="1:13" x14ac:dyDescent="0.3">
      <c r="A58" s="135" t="s">
        <v>277</v>
      </c>
      <c r="B58" s="135" t="s">
        <v>50</v>
      </c>
      <c r="C58" s="135" t="s">
        <v>396</v>
      </c>
      <c r="D58" s="135" t="s">
        <v>761</v>
      </c>
      <c r="E58" s="135" t="s">
        <v>753</v>
      </c>
      <c r="F58" s="135" t="s">
        <v>758</v>
      </c>
      <c r="G58" s="135" t="s">
        <v>758</v>
      </c>
      <c r="H58" s="135">
        <v>2.7</v>
      </c>
      <c r="I58" s="135">
        <v>33.299999999999997</v>
      </c>
      <c r="J58" s="135" t="s">
        <v>761</v>
      </c>
      <c r="K58" s="135">
        <v>6</v>
      </c>
      <c r="L58" s="135" t="s">
        <v>1630</v>
      </c>
      <c r="M58" s="135" t="s">
        <v>2560</v>
      </c>
    </row>
    <row r="59" spans="1:13" x14ac:dyDescent="0.3">
      <c r="A59" s="135" t="s">
        <v>231</v>
      </c>
      <c r="B59" s="135" t="s">
        <v>10</v>
      </c>
      <c r="C59" s="135" t="s">
        <v>396</v>
      </c>
      <c r="D59" s="135" t="s">
        <v>761</v>
      </c>
      <c r="E59" s="135">
        <v>-0.1</v>
      </c>
      <c r="F59" s="135" t="s">
        <v>758</v>
      </c>
      <c r="G59" s="135" t="s">
        <v>758</v>
      </c>
      <c r="H59" s="135">
        <v>3.1</v>
      </c>
      <c r="I59" s="135">
        <v>31.9</v>
      </c>
      <c r="J59" s="135" t="s">
        <v>761</v>
      </c>
      <c r="K59" s="135">
        <v>5.9</v>
      </c>
      <c r="L59" s="135" t="s">
        <v>1636</v>
      </c>
      <c r="M59" s="135">
        <v>1.0900000000000001</v>
      </c>
    </row>
    <row r="60" spans="1:13" x14ac:dyDescent="0.3">
      <c r="A60" s="135" t="s">
        <v>292</v>
      </c>
      <c r="B60" s="135" t="s">
        <v>41</v>
      </c>
      <c r="C60" s="135" t="s">
        <v>396</v>
      </c>
      <c r="D60" s="135" t="s">
        <v>761</v>
      </c>
      <c r="E60" s="135">
        <v>1.5</v>
      </c>
      <c r="F60" s="135" t="s">
        <v>758</v>
      </c>
      <c r="G60" s="135" t="s">
        <v>758</v>
      </c>
      <c r="H60" s="135">
        <v>2.8</v>
      </c>
      <c r="I60" s="135">
        <v>30</v>
      </c>
      <c r="J60" s="135" t="s">
        <v>761</v>
      </c>
      <c r="K60" s="135">
        <v>5.8</v>
      </c>
      <c r="L60" s="135" t="s">
        <v>1649</v>
      </c>
      <c r="M60" s="135">
        <v>1.18</v>
      </c>
    </row>
    <row r="61" spans="1:13" x14ac:dyDescent="0.3">
      <c r="A61" s="135" t="s">
        <v>214</v>
      </c>
      <c r="B61" s="135" t="s">
        <v>409</v>
      </c>
      <c r="C61" s="135" t="s">
        <v>396</v>
      </c>
      <c r="D61" s="135" t="s">
        <v>759</v>
      </c>
      <c r="E61" s="135">
        <v>7.5</v>
      </c>
      <c r="F61" s="135" t="s">
        <v>758</v>
      </c>
      <c r="G61" s="135" t="s">
        <v>758</v>
      </c>
      <c r="H61" s="135">
        <v>2.8</v>
      </c>
      <c r="I61" s="135">
        <v>29.5</v>
      </c>
      <c r="J61" s="135" t="s">
        <v>759</v>
      </c>
      <c r="K61" s="135">
        <v>5.7</v>
      </c>
      <c r="L61" s="135" t="s">
        <v>1642</v>
      </c>
      <c r="M61" s="135" t="s">
        <v>1666</v>
      </c>
    </row>
    <row r="62" spans="1:13" x14ac:dyDescent="0.3">
      <c r="A62" s="135" t="s">
        <v>465</v>
      </c>
      <c r="B62" s="135" t="s">
        <v>28</v>
      </c>
      <c r="C62" s="135" t="s">
        <v>396</v>
      </c>
      <c r="D62" s="135" t="s">
        <v>759</v>
      </c>
      <c r="E62" s="135" t="s">
        <v>758</v>
      </c>
      <c r="F62" s="135" t="s">
        <v>758</v>
      </c>
      <c r="G62" s="135" t="s">
        <v>758</v>
      </c>
      <c r="H62" s="135">
        <v>2.8</v>
      </c>
      <c r="I62" s="135">
        <v>35.4</v>
      </c>
      <c r="J62" s="135" t="s">
        <v>759</v>
      </c>
      <c r="K62" s="135">
        <v>5.5</v>
      </c>
      <c r="L62" s="135" t="s">
        <v>1636</v>
      </c>
      <c r="M62" s="135">
        <v>1.02</v>
      </c>
    </row>
    <row r="63" spans="1:13" x14ac:dyDescent="0.3">
      <c r="A63" s="135" t="s">
        <v>222</v>
      </c>
      <c r="B63" s="135" t="s">
        <v>22</v>
      </c>
      <c r="C63" s="135" t="s">
        <v>396</v>
      </c>
      <c r="D63" s="135" t="s">
        <v>759</v>
      </c>
      <c r="E63" s="135">
        <v>1.7</v>
      </c>
      <c r="F63" s="135" t="s">
        <v>758</v>
      </c>
      <c r="G63" s="135" t="s">
        <v>758</v>
      </c>
      <c r="H63" s="135">
        <v>1.9</v>
      </c>
      <c r="I63" s="135">
        <v>36.799999999999997</v>
      </c>
      <c r="J63" s="135" t="s">
        <v>759</v>
      </c>
      <c r="K63" s="135">
        <v>5.4</v>
      </c>
      <c r="L63" s="135" t="s">
        <v>1664</v>
      </c>
      <c r="M63" s="135" t="s">
        <v>1764</v>
      </c>
    </row>
    <row r="64" spans="1:13" x14ac:dyDescent="0.3">
      <c r="A64" s="135" t="s">
        <v>249</v>
      </c>
      <c r="B64" s="135" t="s">
        <v>407</v>
      </c>
      <c r="C64" s="135" t="s">
        <v>396</v>
      </c>
      <c r="D64" s="135" t="s">
        <v>761</v>
      </c>
      <c r="E64" s="135">
        <v>0</v>
      </c>
      <c r="F64" s="135" t="s">
        <v>758</v>
      </c>
      <c r="G64" s="135" t="s">
        <v>758</v>
      </c>
      <c r="H64" s="135">
        <v>2</v>
      </c>
      <c r="I64" s="135">
        <v>30.3</v>
      </c>
      <c r="J64" s="135" t="s">
        <v>761</v>
      </c>
      <c r="K64" s="135">
        <v>5.2</v>
      </c>
      <c r="L64" s="135" t="s">
        <v>1644</v>
      </c>
      <c r="M64" s="135" t="s">
        <v>1759</v>
      </c>
    </row>
    <row r="65" spans="1:13" x14ac:dyDescent="0.3">
      <c r="A65" s="135" t="s">
        <v>524</v>
      </c>
      <c r="B65" s="135" t="s">
        <v>14</v>
      </c>
      <c r="C65" s="135" t="s">
        <v>396</v>
      </c>
      <c r="D65" s="135" t="s">
        <v>759</v>
      </c>
      <c r="E65" s="135" t="s">
        <v>758</v>
      </c>
      <c r="F65" s="135" t="s">
        <v>758</v>
      </c>
      <c r="G65" s="135" t="s">
        <v>758</v>
      </c>
      <c r="H65" s="135">
        <v>2.7</v>
      </c>
      <c r="I65" s="135">
        <v>31.3</v>
      </c>
      <c r="J65" s="135" t="s">
        <v>759</v>
      </c>
      <c r="K65" s="135">
        <v>5.0999999999999996</v>
      </c>
      <c r="L65" s="135" t="s">
        <v>1652</v>
      </c>
      <c r="M65" s="135">
        <v>1.1299999999999999</v>
      </c>
    </row>
    <row r="66" spans="1:13" x14ac:dyDescent="0.3">
      <c r="A66" s="135" t="s">
        <v>276</v>
      </c>
      <c r="B66" s="135" t="s">
        <v>402</v>
      </c>
      <c r="C66" s="135" t="s">
        <v>396</v>
      </c>
      <c r="D66" s="135" t="s">
        <v>761</v>
      </c>
      <c r="E66" s="135" t="s">
        <v>752</v>
      </c>
      <c r="F66" s="135" t="s">
        <v>758</v>
      </c>
      <c r="G66" s="135" t="s">
        <v>758</v>
      </c>
      <c r="H66" s="135">
        <v>1.9</v>
      </c>
      <c r="I66" s="135">
        <v>28.5</v>
      </c>
      <c r="J66" s="135" t="s">
        <v>761</v>
      </c>
      <c r="K66" s="135">
        <v>5</v>
      </c>
      <c r="L66" s="135" t="s">
        <v>1648</v>
      </c>
      <c r="M66" s="135" t="s">
        <v>1665</v>
      </c>
    </row>
    <row r="67" spans="1:13" x14ac:dyDescent="0.3">
      <c r="A67" s="135" t="s">
        <v>245</v>
      </c>
      <c r="B67" s="135" t="s">
        <v>4</v>
      </c>
      <c r="C67" s="135" t="s">
        <v>396</v>
      </c>
      <c r="D67" s="135" t="s">
        <v>761</v>
      </c>
      <c r="E67" s="135" t="s">
        <v>758</v>
      </c>
      <c r="F67" s="135" t="s">
        <v>758</v>
      </c>
      <c r="G67" s="135" t="s">
        <v>758</v>
      </c>
      <c r="H67" s="135">
        <v>1.9</v>
      </c>
      <c r="I67" s="135">
        <v>28.2</v>
      </c>
      <c r="J67" s="135" t="s">
        <v>761</v>
      </c>
      <c r="K67" s="135">
        <v>5</v>
      </c>
      <c r="L67" s="135" t="s">
        <v>1636</v>
      </c>
      <c r="M67" s="135" t="s">
        <v>1673</v>
      </c>
    </row>
    <row r="68" spans="1:13" x14ac:dyDescent="0.3">
      <c r="A68" s="135" t="s">
        <v>225</v>
      </c>
      <c r="B68" s="135" t="s">
        <v>7</v>
      </c>
      <c r="C68" s="135" t="s">
        <v>396</v>
      </c>
      <c r="D68" s="135" t="s">
        <v>761</v>
      </c>
      <c r="E68" s="135" t="s">
        <v>758</v>
      </c>
      <c r="F68" s="135" t="s">
        <v>758</v>
      </c>
      <c r="G68" s="135" t="s">
        <v>758</v>
      </c>
      <c r="H68" s="135">
        <v>2.2000000000000002</v>
      </c>
      <c r="I68" s="135">
        <v>26.5</v>
      </c>
      <c r="J68" s="135" t="s">
        <v>761</v>
      </c>
      <c r="K68" s="135">
        <v>5</v>
      </c>
      <c r="L68" s="135" t="s">
        <v>1649</v>
      </c>
      <c r="M68" s="135">
        <v>1.02</v>
      </c>
    </row>
    <row r="69" spans="1:13" x14ac:dyDescent="0.3">
      <c r="A69" s="135" t="s">
        <v>258</v>
      </c>
      <c r="B69" s="135" t="s">
        <v>57</v>
      </c>
      <c r="C69" s="135" t="s">
        <v>396</v>
      </c>
      <c r="D69" s="135" t="s">
        <v>761</v>
      </c>
      <c r="E69" s="135" t="s">
        <v>758</v>
      </c>
      <c r="F69" s="135" t="s">
        <v>758</v>
      </c>
      <c r="G69" s="135" t="s">
        <v>758</v>
      </c>
      <c r="H69" s="135">
        <v>1.9</v>
      </c>
      <c r="I69" s="135">
        <v>27.3</v>
      </c>
      <c r="J69" s="135" t="s">
        <v>761</v>
      </c>
      <c r="K69" s="135">
        <v>4.9000000000000004</v>
      </c>
      <c r="L69" s="135" t="s">
        <v>1645</v>
      </c>
      <c r="M69" s="135" t="s">
        <v>1665</v>
      </c>
    </row>
    <row r="70" spans="1:13" x14ac:dyDescent="0.3">
      <c r="A70" s="135" t="s">
        <v>230</v>
      </c>
      <c r="B70" s="135" t="s">
        <v>52</v>
      </c>
      <c r="C70" s="135" t="s">
        <v>396</v>
      </c>
      <c r="D70" s="135" t="s">
        <v>761</v>
      </c>
      <c r="E70" s="135" t="s">
        <v>758</v>
      </c>
      <c r="F70" s="135" t="s">
        <v>758</v>
      </c>
      <c r="G70" s="135" t="s">
        <v>758</v>
      </c>
      <c r="H70" s="135">
        <v>2.1</v>
      </c>
      <c r="I70" s="135">
        <v>26.2</v>
      </c>
      <c r="J70" s="135" t="s">
        <v>761</v>
      </c>
      <c r="K70" s="135">
        <v>4.9000000000000004</v>
      </c>
      <c r="L70" s="135" t="s">
        <v>1654</v>
      </c>
      <c r="M70" s="135">
        <v>1.07</v>
      </c>
    </row>
    <row r="71" spans="1:13" x14ac:dyDescent="0.3">
      <c r="A71" s="135" t="s">
        <v>229</v>
      </c>
      <c r="B71" s="135" t="s">
        <v>20</v>
      </c>
      <c r="C71" s="135" t="s">
        <v>396</v>
      </c>
      <c r="D71" s="135" t="s">
        <v>761</v>
      </c>
      <c r="E71" s="135" t="s">
        <v>758</v>
      </c>
      <c r="F71" s="135" t="s">
        <v>758</v>
      </c>
      <c r="G71" s="135" t="s">
        <v>758</v>
      </c>
      <c r="H71" s="135">
        <v>1.6</v>
      </c>
      <c r="I71" s="135">
        <v>26.6</v>
      </c>
      <c r="J71" s="135" t="s">
        <v>761</v>
      </c>
      <c r="K71" s="135">
        <v>4.7</v>
      </c>
      <c r="L71" s="135" t="s">
        <v>1642</v>
      </c>
      <c r="M71" s="135" t="s">
        <v>1653</v>
      </c>
    </row>
    <row r="72" spans="1:13" x14ac:dyDescent="0.3">
      <c r="A72" s="135" t="s">
        <v>766</v>
      </c>
      <c r="B72" s="135" t="s">
        <v>22</v>
      </c>
      <c r="C72" s="135" t="s">
        <v>396</v>
      </c>
      <c r="D72" s="135" t="s">
        <v>761</v>
      </c>
      <c r="E72" s="135" t="s">
        <v>759</v>
      </c>
      <c r="F72" s="135" t="s">
        <v>758</v>
      </c>
      <c r="G72" s="135" t="s">
        <v>758</v>
      </c>
      <c r="H72" s="135">
        <v>1.7</v>
      </c>
      <c r="I72" s="135">
        <v>25.3</v>
      </c>
      <c r="J72" s="135" t="s">
        <v>761</v>
      </c>
      <c r="K72" s="135">
        <v>4.5999999999999996</v>
      </c>
      <c r="L72" s="135" t="s">
        <v>1639</v>
      </c>
      <c r="M72" s="135" t="s">
        <v>1665</v>
      </c>
    </row>
    <row r="73" spans="1:13" x14ac:dyDescent="0.3">
      <c r="A73" s="135" t="s">
        <v>239</v>
      </c>
      <c r="B73" s="135" t="s">
        <v>30</v>
      </c>
      <c r="C73" s="135" t="s">
        <v>396</v>
      </c>
      <c r="D73" s="135" t="s">
        <v>759</v>
      </c>
      <c r="E73" s="135">
        <v>0</v>
      </c>
      <c r="F73" s="135" t="s">
        <v>758</v>
      </c>
      <c r="G73" s="135" t="s">
        <v>758</v>
      </c>
      <c r="H73" s="135">
        <v>2.4</v>
      </c>
      <c r="I73" s="135">
        <v>27.8</v>
      </c>
      <c r="J73" s="135" t="s">
        <v>759</v>
      </c>
      <c r="K73" s="135">
        <v>4.5999999999999996</v>
      </c>
      <c r="L73" s="135" t="s">
        <v>1628</v>
      </c>
      <c r="M73" s="135" t="s">
        <v>1764</v>
      </c>
    </row>
    <row r="74" spans="1:13" x14ac:dyDescent="0.3">
      <c r="A74" s="135" t="s">
        <v>254</v>
      </c>
      <c r="B74" s="135" t="s">
        <v>22</v>
      </c>
      <c r="C74" s="135" t="s">
        <v>396</v>
      </c>
      <c r="D74" s="135" t="s">
        <v>761</v>
      </c>
      <c r="E74" s="135" t="s">
        <v>758</v>
      </c>
      <c r="F74" s="135" t="s">
        <v>758</v>
      </c>
      <c r="G74" s="135" t="s">
        <v>758</v>
      </c>
      <c r="H74" s="135">
        <v>1.6</v>
      </c>
      <c r="I74" s="135">
        <v>25</v>
      </c>
      <c r="J74" s="135" t="s">
        <v>761</v>
      </c>
      <c r="K74" s="135">
        <v>4.5</v>
      </c>
      <c r="L74" s="135" t="s">
        <v>1647</v>
      </c>
      <c r="M74" s="135" t="s">
        <v>1668</v>
      </c>
    </row>
    <row r="75" spans="1:13" x14ac:dyDescent="0.3">
      <c r="A75" s="135" t="s">
        <v>270</v>
      </c>
      <c r="B75" s="135" t="s">
        <v>401</v>
      </c>
      <c r="C75" s="135" t="s">
        <v>396</v>
      </c>
      <c r="D75" s="135" t="s">
        <v>759</v>
      </c>
      <c r="E75" s="135">
        <v>-0.1</v>
      </c>
      <c r="F75" s="135" t="s">
        <v>758</v>
      </c>
      <c r="G75" s="135" t="s">
        <v>758</v>
      </c>
      <c r="H75" s="135">
        <v>2.2999999999999998</v>
      </c>
      <c r="I75" s="135">
        <v>24.4</v>
      </c>
      <c r="J75" s="135" t="s">
        <v>759</v>
      </c>
      <c r="K75" s="135">
        <v>4.2</v>
      </c>
      <c r="L75" s="135" t="s">
        <v>1628</v>
      </c>
      <c r="M75" s="135" t="s">
        <v>1755</v>
      </c>
    </row>
    <row r="76" spans="1:13" x14ac:dyDescent="0.3">
      <c r="A76" s="135" t="s">
        <v>221</v>
      </c>
      <c r="B76" s="135" t="s">
        <v>32</v>
      </c>
      <c r="C76" s="135" t="s">
        <v>396</v>
      </c>
      <c r="D76" s="135" t="s">
        <v>759</v>
      </c>
      <c r="E76" s="135" t="s">
        <v>758</v>
      </c>
      <c r="F76" s="135" t="s">
        <v>758</v>
      </c>
      <c r="G76" s="135" t="s">
        <v>758</v>
      </c>
      <c r="H76" s="135">
        <v>2.2000000000000002</v>
      </c>
      <c r="I76" s="135">
        <v>24.8</v>
      </c>
      <c r="J76" s="135" t="s">
        <v>759</v>
      </c>
      <c r="K76" s="135">
        <v>4.2</v>
      </c>
      <c r="L76" s="135" t="s">
        <v>1636</v>
      </c>
      <c r="M76" s="135" t="s">
        <v>1760</v>
      </c>
    </row>
    <row r="77" spans="1:13" x14ac:dyDescent="0.3">
      <c r="A77" s="135" t="s">
        <v>462</v>
      </c>
      <c r="B77" s="135" t="s">
        <v>32</v>
      </c>
      <c r="C77" s="135" t="s">
        <v>396</v>
      </c>
      <c r="D77" s="135" t="s">
        <v>759</v>
      </c>
      <c r="E77" s="135" t="s">
        <v>761</v>
      </c>
      <c r="F77" s="135" t="s">
        <v>758</v>
      </c>
      <c r="G77" s="135" t="s">
        <v>758</v>
      </c>
      <c r="H77" s="135">
        <v>1.8</v>
      </c>
      <c r="I77" s="135">
        <v>25.9</v>
      </c>
      <c r="J77" s="135" t="s">
        <v>759</v>
      </c>
      <c r="K77" s="135">
        <v>4.0999999999999996</v>
      </c>
      <c r="L77" s="135" t="s">
        <v>1628</v>
      </c>
      <c r="M77" s="135" t="s">
        <v>1750</v>
      </c>
    </row>
    <row r="78" spans="1:13" x14ac:dyDescent="0.3">
      <c r="A78" s="135" t="s">
        <v>256</v>
      </c>
      <c r="B78" s="135" t="s">
        <v>46</v>
      </c>
      <c r="C78" s="135" t="s">
        <v>396</v>
      </c>
      <c r="D78" s="135" t="s">
        <v>759</v>
      </c>
      <c r="E78" s="135" t="s">
        <v>752</v>
      </c>
      <c r="F78" s="135" t="s">
        <v>758</v>
      </c>
      <c r="G78" s="135" t="s">
        <v>758</v>
      </c>
      <c r="H78" s="135">
        <v>1.9</v>
      </c>
      <c r="I78" s="135">
        <v>21.1</v>
      </c>
      <c r="J78" s="135" t="s">
        <v>759</v>
      </c>
      <c r="K78" s="135">
        <v>3.7</v>
      </c>
      <c r="L78" s="135" t="s">
        <v>1646</v>
      </c>
      <c r="M78" s="135" t="s">
        <v>1655</v>
      </c>
    </row>
    <row r="79" spans="1:13" x14ac:dyDescent="0.3">
      <c r="A79" s="135" t="s">
        <v>455</v>
      </c>
      <c r="B79" s="135" t="s">
        <v>41</v>
      </c>
      <c r="C79" s="135" t="s">
        <v>396</v>
      </c>
      <c r="D79" s="135" t="s">
        <v>759</v>
      </c>
      <c r="E79" s="135" t="s">
        <v>758</v>
      </c>
      <c r="F79" s="135" t="s">
        <v>758</v>
      </c>
      <c r="G79" s="135" t="s">
        <v>758</v>
      </c>
      <c r="H79" s="135">
        <v>1.6</v>
      </c>
      <c r="I79" s="135">
        <v>20.8</v>
      </c>
      <c r="J79" s="135" t="s">
        <v>759</v>
      </c>
      <c r="K79" s="135">
        <v>3.5</v>
      </c>
      <c r="L79" s="135" t="s">
        <v>1654</v>
      </c>
      <c r="M79" s="135" t="s">
        <v>1651</v>
      </c>
    </row>
    <row r="80" spans="1:13" x14ac:dyDescent="0.3">
      <c r="A80" s="135" t="s">
        <v>252</v>
      </c>
      <c r="B80" s="135" t="s">
        <v>41</v>
      </c>
      <c r="C80" s="135" t="s">
        <v>396</v>
      </c>
      <c r="D80" s="135" t="s">
        <v>759</v>
      </c>
      <c r="E80" s="135" t="s">
        <v>758</v>
      </c>
      <c r="F80" s="135" t="s">
        <v>758</v>
      </c>
      <c r="G80" s="135" t="s">
        <v>758</v>
      </c>
      <c r="H80" s="135">
        <v>1.7</v>
      </c>
      <c r="I80" s="135">
        <v>20.2</v>
      </c>
      <c r="J80" s="135" t="s">
        <v>759</v>
      </c>
      <c r="K80" s="135">
        <v>3.5</v>
      </c>
      <c r="L80" s="135" t="s">
        <v>1641</v>
      </c>
      <c r="M80" s="135" t="s">
        <v>1669</v>
      </c>
    </row>
    <row r="81" spans="1:13" x14ac:dyDescent="0.3">
      <c r="A81" s="135" t="s">
        <v>490</v>
      </c>
      <c r="B81" s="135" t="s">
        <v>43</v>
      </c>
      <c r="C81" s="135" t="s">
        <v>396</v>
      </c>
      <c r="D81" s="135" t="s">
        <v>759</v>
      </c>
      <c r="E81" s="135" t="s">
        <v>761</v>
      </c>
      <c r="F81" s="135" t="s">
        <v>758</v>
      </c>
      <c r="G81" s="135" t="s">
        <v>758</v>
      </c>
      <c r="H81" s="135">
        <v>1.5</v>
      </c>
      <c r="I81" s="135">
        <v>21.5</v>
      </c>
      <c r="J81" s="135" t="s">
        <v>759</v>
      </c>
      <c r="K81" s="135">
        <v>3.5</v>
      </c>
      <c r="L81" s="135" t="s">
        <v>1652</v>
      </c>
      <c r="M81" s="135" t="s">
        <v>1760</v>
      </c>
    </row>
    <row r="82" spans="1:13" x14ac:dyDescent="0.3">
      <c r="A82" s="135" t="s">
        <v>767</v>
      </c>
      <c r="B82" s="135" t="s">
        <v>18</v>
      </c>
      <c r="C82" s="135" t="s">
        <v>396</v>
      </c>
      <c r="D82" s="135" t="s">
        <v>759</v>
      </c>
      <c r="E82" s="135" t="s">
        <v>758</v>
      </c>
      <c r="F82" s="135" t="s">
        <v>758</v>
      </c>
      <c r="G82" s="135" t="s">
        <v>758</v>
      </c>
      <c r="H82" s="135">
        <v>1.4</v>
      </c>
      <c r="I82" s="135">
        <v>21.1</v>
      </c>
      <c r="J82" s="135" t="s">
        <v>759</v>
      </c>
      <c r="K82" s="135">
        <v>3.4</v>
      </c>
      <c r="L82" s="135" t="s">
        <v>1639</v>
      </c>
      <c r="M82" s="135" t="s">
        <v>1670</v>
      </c>
    </row>
    <row r="83" spans="1:13" x14ac:dyDescent="0.3">
      <c r="A83" s="135" t="s">
        <v>265</v>
      </c>
      <c r="B83" s="135" t="s">
        <v>398</v>
      </c>
      <c r="C83" s="135" t="s">
        <v>396</v>
      </c>
      <c r="D83" s="135" t="s">
        <v>758</v>
      </c>
      <c r="E83" s="135" t="s">
        <v>761</v>
      </c>
      <c r="F83" s="135" t="s">
        <v>758</v>
      </c>
      <c r="G83" s="135" t="s">
        <v>758</v>
      </c>
      <c r="H83" s="135">
        <v>1.9</v>
      </c>
      <c r="I83" s="135">
        <v>23.2</v>
      </c>
      <c r="J83" s="135" t="s">
        <v>758</v>
      </c>
      <c r="K83" s="135">
        <v>3.3</v>
      </c>
      <c r="L83" s="135" t="s">
        <v>1639</v>
      </c>
      <c r="M83" s="135" t="s">
        <v>1756</v>
      </c>
    </row>
    <row r="84" spans="1:13" x14ac:dyDescent="0.3">
      <c r="A84" s="135" t="s">
        <v>293</v>
      </c>
      <c r="B84" s="135" t="s">
        <v>41</v>
      </c>
      <c r="C84" s="135" t="s">
        <v>396</v>
      </c>
      <c r="D84" s="135" t="s">
        <v>759</v>
      </c>
      <c r="E84" s="135" t="s">
        <v>758</v>
      </c>
      <c r="F84" s="135" t="s">
        <v>758</v>
      </c>
      <c r="G84" s="135" t="s">
        <v>758</v>
      </c>
      <c r="H84" s="135">
        <v>1.5</v>
      </c>
      <c r="I84" s="135">
        <v>18.2</v>
      </c>
      <c r="J84" s="135" t="s">
        <v>759</v>
      </c>
      <c r="K84" s="135">
        <v>3.2</v>
      </c>
      <c r="L84" s="135" t="s">
        <v>1641</v>
      </c>
      <c r="M84" s="135" t="s">
        <v>2576</v>
      </c>
    </row>
    <row r="85" spans="1:13" x14ac:dyDescent="0.3">
      <c r="A85" s="135" t="s">
        <v>765</v>
      </c>
      <c r="B85" s="135" t="s">
        <v>409</v>
      </c>
      <c r="C85" s="135" t="s">
        <v>396</v>
      </c>
      <c r="D85" s="135" t="s">
        <v>759</v>
      </c>
      <c r="E85" s="135" t="s">
        <v>758</v>
      </c>
      <c r="F85" s="135" t="s">
        <v>758</v>
      </c>
      <c r="G85" s="135" t="s">
        <v>758</v>
      </c>
      <c r="H85" s="135">
        <v>1.5</v>
      </c>
      <c r="I85" s="135">
        <v>18.399999999999999</v>
      </c>
      <c r="J85" s="135" t="s">
        <v>759</v>
      </c>
      <c r="K85" s="135">
        <v>3.2</v>
      </c>
      <c r="L85" s="135" t="s">
        <v>1652</v>
      </c>
      <c r="M85" s="135" t="s">
        <v>1670</v>
      </c>
    </row>
    <row r="86" spans="1:13" x14ac:dyDescent="0.3">
      <c r="A86" s="135" t="s">
        <v>290</v>
      </c>
      <c r="B86" s="135" t="s">
        <v>70</v>
      </c>
      <c r="C86" s="135" t="s">
        <v>396</v>
      </c>
      <c r="D86" s="135" t="s">
        <v>759</v>
      </c>
      <c r="E86" s="135" t="s">
        <v>758</v>
      </c>
      <c r="F86" s="135" t="s">
        <v>758</v>
      </c>
      <c r="G86" s="135" t="s">
        <v>758</v>
      </c>
      <c r="H86" s="135">
        <v>1.6</v>
      </c>
      <c r="I86" s="135">
        <v>18.399999999999999</v>
      </c>
      <c r="J86" s="135" t="s">
        <v>759</v>
      </c>
      <c r="K86" s="135">
        <v>3.2</v>
      </c>
      <c r="L86" s="135" t="s">
        <v>1652</v>
      </c>
      <c r="M86" s="135" t="s">
        <v>1670</v>
      </c>
    </row>
    <row r="87" spans="1:13" x14ac:dyDescent="0.3">
      <c r="A87" s="135" t="s">
        <v>489</v>
      </c>
      <c r="B87" s="135" t="s">
        <v>16</v>
      </c>
      <c r="C87" s="135" t="s">
        <v>396</v>
      </c>
      <c r="D87" s="135" t="s">
        <v>759</v>
      </c>
      <c r="E87" s="135" t="s">
        <v>758</v>
      </c>
      <c r="F87" s="135" t="s">
        <v>758</v>
      </c>
      <c r="G87" s="135" t="s">
        <v>758</v>
      </c>
      <c r="H87" s="135">
        <v>1.5</v>
      </c>
      <c r="I87" s="135">
        <v>18.100000000000001</v>
      </c>
      <c r="J87" s="135" t="s">
        <v>759</v>
      </c>
      <c r="K87" s="135">
        <v>3.2</v>
      </c>
      <c r="L87" s="135" t="s">
        <v>1652</v>
      </c>
      <c r="M87" s="135" t="s">
        <v>1670</v>
      </c>
    </row>
    <row r="88" spans="1:13" x14ac:dyDescent="0.3">
      <c r="A88" s="135" t="s">
        <v>1248</v>
      </c>
      <c r="B88" s="135" t="s">
        <v>20</v>
      </c>
      <c r="C88" s="135" t="s">
        <v>396</v>
      </c>
      <c r="D88" s="135" t="s">
        <v>759</v>
      </c>
      <c r="E88" s="135" t="s">
        <v>758</v>
      </c>
      <c r="F88" s="135" t="s">
        <v>758</v>
      </c>
      <c r="G88" s="135" t="s">
        <v>758</v>
      </c>
      <c r="H88" s="135">
        <v>1.6</v>
      </c>
      <c r="I88" s="135">
        <v>18.2</v>
      </c>
      <c r="J88" s="135" t="s">
        <v>759</v>
      </c>
      <c r="K88" s="135">
        <v>3.2</v>
      </c>
      <c r="L88" s="135" t="s">
        <v>1636</v>
      </c>
      <c r="M88" s="135" t="s">
        <v>1658</v>
      </c>
    </row>
    <row r="89" spans="1:13" x14ac:dyDescent="0.3">
      <c r="A89" s="135" t="s">
        <v>294</v>
      </c>
      <c r="B89" s="135" t="s">
        <v>398</v>
      </c>
      <c r="C89" s="135" t="s">
        <v>396</v>
      </c>
      <c r="D89" s="135" t="s">
        <v>759</v>
      </c>
      <c r="E89" s="135" t="s">
        <v>758</v>
      </c>
      <c r="F89" s="135" t="s">
        <v>758</v>
      </c>
      <c r="G89" s="135" t="s">
        <v>758</v>
      </c>
      <c r="H89" s="135">
        <v>1.5</v>
      </c>
      <c r="I89" s="135">
        <v>17.3</v>
      </c>
      <c r="J89" s="135" t="s">
        <v>759</v>
      </c>
      <c r="K89" s="135">
        <v>3.1</v>
      </c>
      <c r="L89" s="135" t="s">
        <v>1648</v>
      </c>
      <c r="M89" s="135" t="s">
        <v>1762</v>
      </c>
    </row>
    <row r="90" spans="1:13" x14ac:dyDescent="0.3">
      <c r="A90" s="135" t="s">
        <v>278</v>
      </c>
      <c r="B90" s="135" t="s">
        <v>561</v>
      </c>
      <c r="C90" s="135" t="s">
        <v>396</v>
      </c>
      <c r="D90" s="135" t="s">
        <v>759</v>
      </c>
      <c r="E90" s="135" t="s">
        <v>761</v>
      </c>
      <c r="F90" s="135" t="s">
        <v>758</v>
      </c>
      <c r="G90" s="135" t="s">
        <v>758</v>
      </c>
      <c r="H90" s="135">
        <v>1.5</v>
      </c>
      <c r="I90" s="135">
        <v>17.100000000000001</v>
      </c>
      <c r="J90" s="135" t="s">
        <v>759</v>
      </c>
      <c r="K90" s="135">
        <v>3.1</v>
      </c>
      <c r="L90" s="135" t="s">
        <v>1652</v>
      </c>
      <c r="M90" s="135" t="s">
        <v>1756</v>
      </c>
    </row>
    <row r="91" spans="1:13" x14ac:dyDescent="0.3">
      <c r="A91" s="135" t="s">
        <v>248</v>
      </c>
      <c r="B91" s="135" t="s">
        <v>397</v>
      </c>
      <c r="C91" s="135" t="s">
        <v>396</v>
      </c>
      <c r="D91" s="135" t="s">
        <v>759</v>
      </c>
      <c r="E91" s="135" t="s">
        <v>752</v>
      </c>
      <c r="F91" s="135" t="s">
        <v>758</v>
      </c>
      <c r="G91" s="135" t="s">
        <v>758</v>
      </c>
      <c r="H91" s="135">
        <v>1.6</v>
      </c>
      <c r="I91" s="135">
        <v>16.899999999999999</v>
      </c>
      <c r="J91" s="135" t="s">
        <v>759</v>
      </c>
      <c r="K91" s="135">
        <v>3.1</v>
      </c>
      <c r="L91" s="135" t="s">
        <v>1641</v>
      </c>
      <c r="M91" s="135" t="s">
        <v>2577</v>
      </c>
    </row>
    <row r="92" spans="1:13" x14ac:dyDescent="0.3">
      <c r="A92" s="135" t="s">
        <v>314</v>
      </c>
      <c r="B92" s="135" t="s">
        <v>46</v>
      </c>
      <c r="C92" s="135" t="s">
        <v>396</v>
      </c>
      <c r="D92" s="135" t="s">
        <v>759</v>
      </c>
      <c r="E92" s="135" t="s">
        <v>758</v>
      </c>
      <c r="F92" s="135" t="s">
        <v>758</v>
      </c>
      <c r="G92" s="135" t="s">
        <v>758</v>
      </c>
      <c r="H92" s="135">
        <v>1.2</v>
      </c>
      <c r="I92" s="135">
        <v>18.399999999999999</v>
      </c>
      <c r="J92" s="135" t="s">
        <v>759</v>
      </c>
      <c r="K92" s="135">
        <v>3</v>
      </c>
      <c r="L92" s="135" t="s">
        <v>1652</v>
      </c>
      <c r="M92" s="135" t="s">
        <v>1655</v>
      </c>
    </row>
    <row r="93" spans="1:13" x14ac:dyDescent="0.3">
      <c r="A93" s="135" t="s">
        <v>306</v>
      </c>
      <c r="B93" s="135" t="s">
        <v>10</v>
      </c>
      <c r="C93" s="135" t="s">
        <v>396</v>
      </c>
      <c r="D93" s="135" t="s">
        <v>759</v>
      </c>
      <c r="E93" s="135" t="s">
        <v>752</v>
      </c>
      <c r="F93" s="135" t="s">
        <v>758</v>
      </c>
      <c r="G93" s="135" t="s">
        <v>758</v>
      </c>
      <c r="H93" s="135">
        <v>1.1000000000000001</v>
      </c>
      <c r="I93" s="135">
        <v>17.600000000000001</v>
      </c>
      <c r="J93" s="135" t="s">
        <v>759</v>
      </c>
      <c r="K93" s="135">
        <v>3</v>
      </c>
      <c r="L93" s="135" t="s">
        <v>1647</v>
      </c>
      <c r="M93" s="135" t="s">
        <v>1765</v>
      </c>
    </row>
    <row r="94" spans="1:13" x14ac:dyDescent="0.3">
      <c r="A94" s="135" t="s">
        <v>301</v>
      </c>
      <c r="B94" s="135" t="s">
        <v>409</v>
      </c>
      <c r="C94" s="135" t="s">
        <v>396</v>
      </c>
      <c r="D94" s="135" t="s">
        <v>759</v>
      </c>
      <c r="E94" s="135" t="s">
        <v>758</v>
      </c>
      <c r="F94" s="135" t="s">
        <v>758</v>
      </c>
      <c r="G94" s="135" t="s">
        <v>758</v>
      </c>
      <c r="H94" s="135">
        <v>1.3</v>
      </c>
      <c r="I94" s="135">
        <v>17.5</v>
      </c>
      <c r="J94" s="135" t="s">
        <v>759</v>
      </c>
      <c r="K94" s="135">
        <v>3</v>
      </c>
      <c r="L94" s="135" t="s">
        <v>1652</v>
      </c>
      <c r="M94" s="135" t="s">
        <v>1655</v>
      </c>
    </row>
    <row r="95" spans="1:13" x14ac:dyDescent="0.3">
      <c r="A95" s="135" t="s">
        <v>274</v>
      </c>
      <c r="B95" s="135" t="s">
        <v>4</v>
      </c>
      <c r="C95" s="135" t="s">
        <v>396</v>
      </c>
      <c r="D95" s="135" t="s">
        <v>759</v>
      </c>
      <c r="E95" s="135" t="s">
        <v>758</v>
      </c>
      <c r="F95" s="135" t="s">
        <v>758</v>
      </c>
      <c r="G95" s="135" t="s">
        <v>758</v>
      </c>
      <c r="H95" s="135">
        <v>1.2</v>
      </c>
      <c r="I95" s="135">
        <v>16</v>
      </c>
      <c r="J95" s="135" t="s">
        <v>759</v>
      </c>
      <c r="K95" s="135">
        <v>2.8</v>
      </c>
      <c r="L95" s="135" t="s">
        <v>1654</v>
      </c>
      <c r="M95" s="135" t="s">
        <v>1751</v>
      </c>
    </row>
    <row r="96" spans="1:13" x14ac:dyDescent="0.3">
      <c r="A96" s="135" t="s">
        <v>285</v>
      </c>
      <c r="B96" s="135" t="s">
        <v>397</v>
      </c>
      <c r="C96" s="135" t="s">
        <v>396</v>
      </c>
      <c r="D96" s="135" t="s">
        <v>759</v>
      </c>
      <c r="E96" s="135" t="s">
        <v>758</v>
      </c>
      <c r="F96" s="135" t="s">
        <v>758</v>
      </c>
      <c r="G96" s="135" t="s">
        <v>758</v>
      </c>
      <c r="H96" s="135">
        <v>1.2</v>
      </c>
      <c r="I96" s="135">
        <v>15.1</v>
      </c>
      <c r="J96" s="135" t="s">
        <v>759</v>
      </c>
      <c r="K96" s="135">
        <v>2.7</v>
      </c>
      <c r="L96" s="135" t="s">
        <v>1639</v>
      </c>
      <c r="M96" s="135" t="s">
        <v>2578</v>
      </c>
    </row>
    <row r="97" spans="1:13" x14ac:dyDescent="0.3">
      <c r="A97" s="135" t="s">
        <v>315</v>
      </c>
      <c r="B97" s="135" t="s">
        <v>20</v>
      </c>
      <c r="C97" s="135" t="s">
        <v>396</v>
      </c>
      <c r="D97" s="135" t="s">
        <v>759</v>
      </c>
      <c r="E97" s="135" t="s">
        <v>750</v>
      </c>
      <c r="F97" s="135" t="s">
        <v>758</v>
      </c>
      <c r="G97" s="135" t="s">
        <v>758</v>
      </c>
      <c r="H97" s="135">
        <v>1.2</v>
      </c>
      <c r="I97" s="135">
        <v>14.6</v>
      </c>
      <c r="J97" s="135" t="s">
        <v>759</v>
      </c>
      <c r="K97" s="135">
        <v>2.7</v>
      </c>
      <c r="L97" s="135" t="s">
        <v>1636</v>
      </c>
      <c r="M97" s="135" t="s">
        <v>1659</v>
      </c>
    </row>
    <row r="98" spans="1:13" x14ac:dyDescent="0.3">
      <c r="A98" s="135" t="s">
        <v>312</v>
      </c>
      <c r="B98" s="135" t="s">
        <v>401</v>
      </c>
      <c r="C98" s="135" t="s">
        <v>396</v>
      </c>
      <c r="D98" s="135" t="s">
        <v>759</v>
      </c>
      <c r="E98" s="135" t="s">
        <v>750</v>
      </c>
      <c r="F98" s="135" t="s">
        <v>758</v>
      </c>
      <c r="G98" s="135" t="s">
        <v>758</v>
      </c>
      <c r="H98" s="135">
        <v>1.3</v>
      </c>
      <c r="I98" s="135">
        <v>14.2</v>
      </c>
      <c r="J98" s="135" t="s">
        <v>759</v>
      </c>
      <c r="K98" s="135">
        <v>2.7</v>
      </c>
      <c r="L98" s="135" t="s">
        <v>1235</v>
      </c>
      <c r="M98" s="135" t="s">
        <v>758</v>
      </c>
    </row>
    <row r="99" spans="1:13" x14ac:dyDescent="0.3">
      <c r="A99" s="135" t="s">
        <v>284</v>
      </c>
      <c r="B99" s="135" t="s">
        <v>50</v>
      </c>
      <c r="C99" s="135" t="s">
        <v>396</v>
      </c>
      <c r="D99" s="135" t="s">
        <v>759</v>
      </c>
      <c r="E99" s="135" t="s">
        <v>759</v>
      </c>
      <c r="F99" s="135" t="s">
        <v>758</v>
      </c>
      <c r="G99" s="135" t="s">
        <v>758</v>
      </c>
      <c r="H99" s="135">
        <v>1.3</v>
      </c>
      <c r="I99" s="135">
        <v>14.1</v>
      </c>
      <c r="J99" s="135" t="s">
        <v>759</v>
      </c>
      <c r="K99" s="135">
        <v>2.7</v>
      </c>
      <c r="L99" s="135" t="s">
        <v>1649</v>
      </c>
      <c r="M99" s="135" t="s">
        <v>1766</v>
      </c>
    </row>
    <row r="100" spans="1:13" x14ac:dyDescent="0.3">
      <c r="A100" s="135" t="s">
        <v>236</v>
      </c>
      <c r="B100" s="135" t="s">
        <v>30</v>
      </c>
      <c r="C100" s="135" t="s">
        <v>396</v>
      </c>
      <c r="D100" s="135" t="s">
        <v>758</v>
      </c>
      <c r="E100" s="135" t="s">
        <v>762</v>
      </c>
      <c r="F100" s="135" t="s">
        <v>758</v>
      </c>
      <c r="G100" s="135" t="s">
        <v>758</v>
      </c>
      <c r="H100" s="135">
        <v>1.5</v>
      </c>
      <c r="I100" s="135">
        <v>17.8</v>
      </c>
      <c r="J100" s="135" t="s">
        <v>758</v>
      </c>
      <c r="K100" s="135">
        <v>2.6</v>
      </c>
      <c r="L100" s="135" t="s">
        <v>1639</v>
      </c>
      <c r="M100" s="135" t="s">
        <v>1752</v>
      </c>
    </row>
    <row r="101" spans="1:13" x14ac:dyDescent="0.3">
      <c r="A101" s="135" t="s">
        <v>268</v>
      </c>
      <c r="B101" s="135" t="s">
        <v>43</v>
      </c>
      <c r="C101" s="135" t="s">
        <v>396</v>
      </c>
      <c r="D101" s="135" t="s">
        <v>759</v>
      </c>
      <c r="E101" s="135" t="s">
        <v>758</v>
      </c>
      <c r="F101" s="135" t="s">
        <v>758</v>
      </c>
      <c r="G101" s="135" t="s">
        <v>758</v>
      </c>
      <c r="H101" s="135" t="s">
        <v>754</v>
      </c>
      <c r="I101" s="135">
        <v>13.3</v>
      </c>
      <c r="J101" s="135" t="s">
        <v>759</v>
      </c>
      <c r="K101" s="135">
        <v>2.4</v>
      </c>
      <c r="L101" s="135" t="s">
        <v>1641</v>
      </c>
      <c r="M101" s="135" t="s">
        <v>2579</v>
      </c>
    </row>
    <row r="102" spans="1:13" x14ac:dyDescent="0.3">
      <c r="A102" s="135" t="s">
        <v>267</v>
      </c>
      <c r="B102" s="135" t="s">
        <v>7</v>
      </c>
      <c r="C102" s="135" t="s">
        <v>396</v>
      </c>
      <c r="D102" s="6" t="s">
        <v>758</v>
      </c>
      <c r="E102" s="6" t="s">
        <v>758</v>
      </c>
      <c r="F102" s="6" t="s">
        <v>758</v>
      </c>
      <c r="G102" s="6" t="s">
        <v>758</v>
      </c>
      <c r="H102" s="6">
        <v>1.2</v>
      </c>
      <c r="I102" s="6">
        <v>16.2</v>
      </c>
      <c r="J102" s="6" t="s">
        <v>758</v>
      </c>
      <c r="K102" s="6">
        <v>2.2000000000000002</v>
      </c>
      <c r="L102" s="6" t="s">
        <v>1652</v>
      </c>
      <c r="M102" s="6" t="s">
        <v>2580</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6"/>
  <sheetViews>
    <sheetView workbookViewId="0">
      <selection activeCell="H31" sqref="H31"/>
    </sheetView>
  </sheetViews>
  <sheetFormatPr defaultRowHeight="14.4" x14ac:dyDescent="0.3"/>
  <cols>
    <col min="2" max="2" width="22.77734375" bestFit="1" customWidth="1"/>
    <col min="6" max="6" width="9.77734375" customWidth="1"/>
    <col min="8" max="8" width="11.44140625" customWidth="1"/>
    <col min="10" max="10" width="10.88671875" customWidth="1"/>
    <col min="11" max="11" width="12.5546875" customWidth="1"/>
    <col min="12" max="12" width="9.77734375" customWidth="1"/>
    <col min="13" max="13" width="10" customWidth="1"/>
    <col min="14" max="14" width="9.88671875" customWidth="1"/>
  </cols>
  <sheetData>
    <row r="1" spans="1:20" x14ac:dyDescent="0.3">
      <c r="A1" s="100" t="s">
        <v>863</v>
      </c>
      <c r="B1" s="100" t="s">
        <v>1</v>
      </c>
      <c r="C1" s="100" t="s">
        <v>387</v>
      </c>
      <c r="D1" s="100" t="s">
        <v>81</v>
      </c>
      <c r="E1" s="100" t="s">
        <v>1228</v>
      </c>
      <c r="F1" s="100" t="s">
        <v>388</v>
      </c>
      <c r="G1" s="100" t="s">
        <v>389</v>
      </c>
      <c r="H1" s="100" t="s">
        <v>600</v>
      </c>
      <c r="I1" s="100" t="s">
        <v>601</v>
      </c>
      <c r="J1" s="100" t="s">
        <v>1252</v>
      </c>
      <c r="K1" s="100" t="s">
        <v>423</v>
      </c>
      <c r="L1" s="100" t="s">
        <v>424</v>
      </c>
      <c r="M1" s="100" t="s">
        <v>1243</v>
      </c>
      <c r="N1" s="100" t="s">
        <v>1244</v>
      </c>
      <c r="O1" s="100" t="s">
        <v>1230</v>
      </c>
      <c r="P1" s="100" t="s">
        <v>1231</v>
      </c>
      <c r="Q1" s="100" t="s">
        <v>1232</v>
      </c>
      <c r="R1" s="100" t="s">
        <v>1233</v>
      </c>
      <c r="S1" s="100" t="s">
        <v>1234</v>
      </c>
      <c r="T1" s="100" t="s">
        <v>1235</v>
      </c>
    </row>
    <row r="2" spans="1:20" x14ac:dyDescent="0.3">
      <c r="A2" s="135">
        <v>1</v>
      </c>
      <c r="B2" s="135" t="s">
        <v>187</v>
      </c>
      <c r="C2" s="135" t="s">
        <v>20</v>
      </c>
      <c r="D2" s="135" t="s">
        <v>397</v>
      </c>
      <c r="E2" s="135">
        <v>1</v>
      </c>
      <c r="F2" s="135">
        <v>11.9</v>
      </c>
      <c r="G2" s="135">
        <v>8.3000000000000007</v>
      </c>
      <c r="H2" s="135">
        <v>117.4</v>
      </c>
      <c r="I2" s="135">
        <v>0.7</v>
      </c>
      <c r="J2" s="135">
        <v>0.2</v>
      </c>
      <c r="K2" s="135">
        <v>1.3</v>
      </c>
      <c r="L2" s="135">
        <v>0</v>
      </c>
      <c r="M2" s="135">
        <v>0</v>
      </c>
      <c r="N2" s="135">
        <v>0</v>
      </c>
      <c r="O2" s="135">
        <v>0.1</v>
      </c>
      <c r="P2" s="135">
        <v>0.1</v>
      </c>
      <c r="Q2" s="135">
        <v>0</v>
      </c>
      <c r="R2" s="135">
        <v>24.4</v>
      </c>
      <c r="S2" s="135">
        <v>24.4</v>
      </c>
      <c r="T2" s="135">
        <v>43</v>
      </c>
    </row>
    <row r="3" spans="1:20" x14ac:dyDescent="0.3">
      <c r="A3" s="135">
        <v>2</v>
      </c>
      <c r="B3" s="135" t="s">
        <v>188</v>
      </c>
      <c r="C3" s="135" t="s">
        <v>50</v>
      </c>
      <c r="D3" s="135" t="s">
        <v>22</v>
      </c>
      <c r="E3" s="135">
        <v>1</v>
      </c>
      <c r="F3" s="135">
        <v>12.7</v>
      </c>
      <c r="G3" s="135">
        <v>9</v>
      </c>
      <c r="H3" s="135">
        <v>117.7</v>
      </c>
      <c r="I3" s="135">
        <v>0.5</v>
      </c>
      <c r="J3" s="135">
        <v>0</v>
      </c>
      <c r="K3" s="135">
        <v>0</v>
      </c>
      <c r="L3" s="135">
        <v>0</v>
      </c>
      <c r="M3" s="135">
        <v>0</v>
      </c>
      <c r="N3" s="135">
        <v>0</v>
      </c>
      <c r="O3" s="135">
        <v>0.1</v>
      </c>
      <c r="P3" s="135">
        <v>0.1</v>
      </c>
      <c r="Q3" s="135">
        <v>0</v>
      </c>
      <c r="R3" s="135">
        <v>23.8</v>
      </c>
      <c r="S3" s="135">
        <v>23.8</v>
      </c>
      <c r="T3" s="135">
        <v>41</v>
      </c>
    </row>
    <row r="4" spans="1:20" x14ac:dyDescent="0.3">
      <c r="A4" s="135">
        <v>3</v>
      </c>
      <c r="B4" s="135" t="s">
        <v>191</v>
      </c>
      <c r="C4" s="135" t="s">
        <v>37</v>
      </c>
      <c r="D4" s="135" t="s">
        <v>41</v>
      </c>
      <c r="E4" s="135">
        <v>1</v>
      </c>
      <c r="F4" s="135">
        <v>9.9</v>
      </c>
      <c r="G4" s="135">
        <v>6.3</v>
      </c>
      <c r="H4" s="135">
        <v>92.2</v>
      </c>
      <c r="I4" s="135">
        <v>0.6</v>
      </c>
      <c r="J4" s="135">
        <v>0</v>
      </c>
      <c r="K4" s="135">
        <v>0</v>
      </c>
      <c r="L4" s="135">
        <v>0</v>
      </c>
      <c r="M4" s="135">
        <v>0</v>
      </c>
      <c r="N4" s="135">
        <v>0</v>
      </c>
      <c r="O4" s="135">
        <v>0</v>
      </c>
      <c r="P4" s="135">
        <v>0</v>
      </c>
      <c r="Q4" s="135">
        <v>0</v>
      </c>
      <c r="R4" s="135">
        <v>19.3</v>
      </c>
      <c r="S4" s="135">
        <v>19.3</v>
      </c>
      <c r="T4" s="135">
        <v>28</v>
      </c>
    </row>
    <row r="5" spans="1:20" x14ac:dyDescent="0.3">
      <c r="A5" s="135">
        <v>4</v>
      </c>
      <c r="B5" s="135" t="s">
        <v>208</v>
      </c>
      <c r="C5" s="135" t="s">
        <v>46</v>
      </c>
      <c r="D5" s="135" t="s">
        <v>26</v>
      </c>
      <c r="E5" s="135">
        <v>1</v>
      </c>
      <c r="F5" s="135">
        <v>10.1</v>
      </c>
      <c r="G5" s="135">
        <v>5.8</v>
      </c>
      <c r="H5" s="135">
        <v>89.2</v>
      </c>
      <c r="I5" s="135">
        <v>0.6</v>
      </c>
      <c r="J5" s="135">
        <v>0</v>
      </c>
      <c r="K5" s="135">
        <v>0</v>
      </c>
      <c r="L5" s="135">
        <v>0</v>
      </c>
      <c r="M5" s="135">
        <v>0</v>
      </c>
      <c r="N5" s="135">
        <v>0</v>
      </c>
      <c r="O5" s="135">
        <v>0.1</v>
      </c>
      <c r="P5" s="135">
        <v>0</v>
      </c>
      <c r="Q5" s="135">
        <v>0</v>
      </c>
      <c r="R5" s="135">
        <v>18.5</v>
      </c>
      <c r="S5" s="135">
        <v>18.5</v>
      </c>
      <c r="T5" s="135">
        <v>26</v>
      </c>
    </row>
    <row r="6" spans="1:20" x14ac:dyDescent="0.3">
      <c r="A6" s="135">
        <v>5</v>
      </c>
      <c r="B6" s="135" t="s">
        <v>173</v>
      </c>
      <c r="C6" s="135" t="s">
        <v>26</v>
      </c>
      <c r="D6" s="135" t="s">
        <v>46</v>
      </c>
      <c r="E6" s="135">
        <v>1</v>
      </c>
      <c r="F6" s="135">
        <v>8.8000000000000007</v>
      </c>
      <c r="G6" s="135">
        <v>6</v>
      </c>
      <c r="H6" s="135">
        <v>85.9</v>
      </c>
      <c r="I6" s="135">
        <v>0.6</v>
      </c>
      <c r="J6" s="135">
        <v>0</v>
      </c>
      <c r="K6" s="135">
        <v>0</v>
      </c>
      <c r="L6" s="135">
        <v>0</v>
      </c>
      <c r="M6" s="135">
        <v>0</v>
      </c>
      <c r="N6" s="135">
        <v>0</v>
      </c>
      <c r="O6" s="135">
        <v>0</v>
      </c>
      <c r="P6" s="135">
        <v>0</v>
      </c>
      <c r="Q6" s="135">
        <v>0</v>
      </c>
      <c r="R6" s="135">
        <v>18.3</v>
      </c>
      <c r="S6" s="135">
        <v>18.3</v>
      </c>
      <c r="T6" s="135">
        <v>26</v>
      </c>
    </row>
    <row r="7" spans="1:20" x14ac:dyDescent="0.3">
      <c r="A7" s="135">
        <v>6</v>
      </c>
      <c r="B7" s="135" t="s">
        <v>195</v>
      </c>
      <c r="C7" s="135" t="s">
        <v>28</v>
      </c>
      <c r="D7" s="135" t="s">
        <v>57</v>
      </c>
      <c r="E7" s="135">
        <v>1</v>
      </c>
      <c r="F7" s="135">
        <v>8</v>
      </c>
      <c r="G7" s="135">
        <v>5.5</v>
      </c>
      <c r="H7" s="135">
        <v>90.7</v>
      </c>
      <c r="I7" s="135">
        <v>0.6</v>
      </c>
      <c r="J7" s="135">
        <v>0</v>
      </c>
      <c r="K7" s="135">
        <v>0</v>
      </c>
      <c r="L7" s="135">
        <v>0</v>
      </c>
      <c r="M7" s="135">
        <v>0</v>
      </c>
      <c r="N7" s="135">
        <v>0</v>
      </c>
      <c r="O7" s="135">
        <v>0</v>
      </c>
      <c r="P7" s="135">
        <v>0</v>
      </c>
      <c r="Q7" s="135">
        <v>0</v>
      </c>
      <c r="R7" s="135">
        <v>18.2</v>
      </c>
      <c r="S7" s="135">
        <v>18.2</v>
      </c>
      <c r="T7" s="135">
        <v>25</v>
      </c>
    </row>
    <row r="8" spans="1:20" x14ac:dyDescent="0.3">
      <c r="A8" s="135">
        <v>7</v>
      </c>
      <c r="B8" s="135" t="s">
        <v>189</v>
      </c>
      <c r="C8" s="135" t="s">
        <v>1238</v>
      </c>
      <c r="D8" s="135" t="s">
        <v>30</v>
      </c>
      <c r="E8" s="135">
        <v>1</v>
      </c>
      <c r="F8" s="135">
        <v>9.3000000000000007</v>
      </c>
      <c r="G8" s="135">
        <v>5.7</v>
      </c>
      <c r="H8" s="135">
        <v>85.1</v>
      </c>
      <c r="I8" s="135">
        <v>0.6</v>
      </c>
      <c r="J8" s="135">
        <v>0</v>
      </c>
      <c r="K8" s="135">
        <v>0</v>
      </c>
      <c r="L8" s="135">
        <v>0</v>
      </c>
      <c r="M8" s="135">
        <v>0</v>
      </c>
      <c r="N8" s="135">
        <v>0</v>
      </c>
      <c r="O8" s="135">
        <v>0</v>
      </c>
      <c r="P8" s="135">
        <v>0</v>
      </c>
      <c r="Q8" s="135">
        <v>0</v>
      </c>
      <c r="R8" s="135">
        <v>17.899999999999999</v>
      </c>
      <c r="S8" s="135">
        <v>17.899999999999999</v>
      </c>
      <c r="T8" s="135">
        <v>25</v>
      </c>
    </row>
    <row r="9" spans="1:20" x14ac:dyDescent="0.3">
      <c r="A9" s="135">
        <v>8</v>
      </c>
      <c r="B9" s="135" t="s">
        <v>205</v>
      </c>
      <c r="C9" s="135" t="s">
        <v>57</v>
      </c>
      <c r="D9" s="135" t="s">
        <v>28</v>
      </c>
      <c r="E9" s="135">
        <v>1</v>
      </c>
      <c r="F9" s="135">
        <v>9.6999999999999993</v>
      </c>
      <c r="G9" s="135">
        <v>6.8</v>
      </c>
      <c r="H9" s="135">
        <v>73.099999999999994</v>
      </c>
      <c r="I9" s="135">
        <v>0.5</v>
      </c>
      <c r="J9" s="135">
        <v>1</v>
      </c>
      <c r="K9" s="135">
        <v>5.5</v>
      </c>
      <c r="L9" s="135">
        <v>0</v>
      </c>
      <c r="M9" s="135">
        <v>10.199999999999999</v>
      </c>
      <c r="N9" s="135">
        <v>0</v>
      </c>
      <c r="O9" s="135">
        <v>0.1</v>
      </c>
      <c r="P9" s="135">
        <v>0</v>
      </c>
      <c r="Q9" s="135">
        <v>0</v>
      </c>
      <c r="R9" s="135">
        <v>17.7</v>
      </c>
      <c r="S9" s="135">
        <v>17.7</v>
      </c>
      <c r="T9" s="135">
        <v>24</v>
      </c>
    </row>
    <row r="10" spans="1:20" x14ac:dyDescent="0.3">
      <c r="A10" s="135">
        <v>9</v>
      </c>
      <c r="B10" s="135" t="s">
        <v>213</v>
      </c>
      <c r="C10" s="135" t="s">
        <v>16</v>
      </c>
      <c r="D10" s="135" t="s">
        <v>12</v>
      </c>
      <c r="E10" s="135">
        <v>1</v>
      </c>
      <c r="F10" s="135">
        <v>8.8000000000000007</v>
      </c>
      <c r="G10" s="135">
        <v>5.6</v>
      </c>
      <c r="H10" s="135">
        <v>79.599999999999994</v>
      </c>
      <c r="I10" s="135">
        <v>0.6</v>
      </c>
      <c r="J10" s="135">
        <v>0.2</v>
      </c>
      <c r="K10" s="135">
        <v>1.5</v>
      </c>
      <c r="L10" s="135">
        <v>0</v>
      </c>
      <c r="M10" s="135">
        <v>0</v>
      </c>
      <c r="N10" s="135">
        <v>0</v>
      </c>
      <c r="O10" s="135">
        <v>0</v>
      </c>
      <c r="P10" s="135">
        <v>0</v>
      </c>
      <c r="Q10" s="135">
        <v>0</v>
      </c>
      <c r="R10" s="135">
        <v>17.2</v>
      </c>
      <c r="S10" s="135">
        <v>17.2</v>
      </c>
      <c r="T10" s="135">
        <v>22</v>
      </c>
    </row>
    <row r="11" spans="1:20" x14ac:dyDescent="0.3">
      <c r="A11" s="135">
        <v>10</v>
      </c>
      <c r="B11" s="135" t="s">
        <v>199</v>
      </c>
      <c r="C11" s="135" t="s">
        <v>70</v>
      </c>
      <c r="D11" s="135" t="s">
        <v>401</v>
      </c>
      <c r="E11" s="135">
        <v>1</v>
      </c>
      <c r="F11" s="135">
        <v>9.1999999999999993</v>
      </c>
      <c r="G11" s="135">
        <v>5.6</v>
      </c>
      <c r="H11" s="135">
        <v>77.2</v>
      </c>
      <c r="I11" s="135">
        <v>0.6</v>
      </c>
      <c r="J11" s="135">
        <v>0</v>
      </c>
      <c r="K11" s="135">
        <v>0</v>
      </c>
      <c r="L11" s="135">
        <v>0</v>
      </c>
      <c r="M11" s="135">
        <v>0</v>
      </c>
      <c r="N11" s="135">
        <v>0</v>
      </c>
      <c r="O11" s="135">
        <v>0.1</v>
      </c>
      <c r="P11" s="135">
        <v>0.1</v>
      </c>
      <c r="Q11" s="135">
        <v>0</v>
      </c>
      <c r="R11" s="135">
        <v>17.100000000000001</v>
      </c>
      <c r="S11" s="135">
        <v>17.100000000000001</v>
      </c>
      <c r="T11" s="135">
        <v>22</v>
      </c>
    </row>
    <row r="12" spans="1:20" x14ac:dyDescent="0.3">
      <c r="A12" s="135">
        <v>11</v>
      </c>
      <c r="B12" s="135" t="s">
        <v>201</v>
      </c>
      <c r="C12" s="135" t="s">
        <v>397</v>
      </c>
      <c r="D12" s="135" t="s">
        <v>20</v>
      </c>
      <c r="E12" s="135">
        <v>1</v>
      </c>
      <c r="F12" s="135">
        <v>7.9</v>
      </c>
      <c r="G12" s="135">
        <v>5.6</v>
      </c>
      <c r="H12" s="135">
        <v>85.5</v>
      </c>
      <c r="I12" s="135">
        <v>0.4</v>
      </c>
      <c r="J12" s="135">
        <v>0.2</v>
      </c>
      <c r="K12" s="135">
        <v>1</v>
      </c>
      <c r="L12" s="135">
        <v>0</v>
      </c>
      <c r="M12" s="135">
        <v>0</v>
      </c>
      <c r="N12" s="135">
        <v>0</v>
      </c>
      <c r="O12" s="135">
        <v>0.1</v>
      </c>
      <c r="P12" s="135">
        <v>0</v>
      </c>
      <c r="Q12" s="135">
        <v>0</v>
      </c>
      <c r="R12" s="135">
        <v>17</v>
      </c>
      <c r="S12" s="135">
        <v>17</v>
      </c>
      <c r="T12" s="135">
        <v>22</v>
      </c>
    </row>
    <row r="13" spans="1:20" x14ac:dyDescent="0.3">
      <c r="A13" s="135">
        <v>12</v>
      </c>
      <c r="B13" s="135" t="s">
        <v>218</v>
      </c>
      <c r="C13" s="135" t="s">
        <v>41</v>
      </c>
      <c r="D13" s="135" t="s">
        <v>37</v>
      </c>
      <c r="E13" s="135">
        <v>1</v>
      </c>
      <c r="F13" s="135">
        <v>9.1</v>
      </c>
      <c r="G13" s="135">
        <v>6.2</v>
      </c>
      <c r="H13" s="135">
        <v>77.5</v>
      </c>
      <c r="I13" s="135">
        <v>0.5</v>
      </c>
      <c r="J13" s="135">
        <v>0.2</v>
      </c>
      <c r="K13" s="135">
        <v>1.2</v>
      </c>
      <c r="L13" s="135">
        <v>0</v>
      </c>
      <c r="M13" s="135">
        <v>1.1000000000000001</v>
      </c>
      <c r="N13" s="135">
        <v>0</v>
      </c>
      <c r="O13" s="135">
        <v>0.1</v>
      </c>
      <c r="P13" s="135">
        <v>0.1</v>
      </c>
      <c r="Q13" s="135">
        <v>0</v>
      </c>
      <c r="R13" s="135">
        <v>16.899999999999999</v>
      </c>
      <c r="S13" s="135">
        <v>16.899999999999999</v>
      </c>
      <c r="T13" s="135">
        <v>22</v>
      </c>
    </row>
    <row r="14" spans="1:20" x14ac:dyDescent="0.3">
      <c r="A14" s="135">
        <v>13</v>
      </c>
      <c r="B14" s="135" t="s">
        <v>194</v>
      </c>
      <c r="C14" s="135" t="s">
        <v>12</v>
      </c>
      <c r="D14" s="135" t="s">
        <v>16</v>
      </c>
      <c r="E14" s="135">
        <v>1</v>
      </c>
      <c r="F14" s="135">
        <v>8.6</v>
      </c>
      <c r="G14" s="135">
        <v>4.8</v>
      </c>
      <c r="H14" s="135">
        <v>81.7</v>
      </c>
      <c r="I14" s="135">
        <v>0.7</v>
      </c>
      <c r="J14" s="135">
        <v>0</v>
      </c>
      <c r="K14" s="135">
        <v>0</v>
      </c>
      <c r="L14" s="135">
        <v>0</v>
      </c>
      <c r="M14" s="135">
        <v>0</v>
      </c>
      <c r="N14" s="135">
        <v>0</v>
      </c>
      <c r="O14" s="135">
        <v>0</v>
      </c>
      <c r="P14" s="135">
        <v>0</v>
      </c>
      <c r="Q14" s="135">
        <v>0</v>
      </c>
      <c r="R14" s="135">
        <v>16.8</v>
      </c>
      <c r="S14" s="135">
        <v>16.8</v>
      </c>
      <c r="T14" s="135">
        <v>21</v>
      </c>
    </row>
    <row r="15" spans="1:20" x14ac:dyDescent="0.3">
      <c r="A15" s="135">
        <v>14</v>
      </c>
      <c r="B15" s="135" t="s">
        <v>193</v>
      </c>
      <c r="C15" s="135" t="s">
        <v>1236</v>
      </c>
      <c r="D15" s="135" t="s">
        <v>409</v>
      </c>
      <c r="E15" s="135">
        <v>1</v>
      </c>
      <c r="F15" s="135">
        <v>7.9</v>
      </c>
      <c r="G15" s="135">
        <v>6.2</v>
      </c>
      <c r="H15" s="135">
        <v>74.400000000000006</v>
      </c>
      <c r="I15" s="135">
        <v>0.5</v>
      </c>
      <c r="J15" s="135">
        <v>0</v>
      </c>
      <c r="K15" s="135">
        <v>0</v>
      </c>
      <c r="L15" s="135">
        <v>0</v>
      </c>
      <c r="M15" s="135">
        <v>0</v>
      </c>
      <c r="N15" s="135">
        <v>0</v>
      </c>
      <c r="O15" s="135">
        <v>0.1</v>
      </c>
      <c r="P15" s="135">
        <v>0.1</v>
      </c>
      <c r="Q15" s="135">
        <v>0</v>
      </c>
      <c r="R15" s="135">
        <v>16.7</v>
      </c>
      <c r="S15" s="135">
        <v>16.7</v>
      </c>
      <c r="T15" s="135">
        <v>21</v>
      </c>
    </row>
    <row r="16" spans="1:20" x14ac:dyDescent="0.3">
      <c r="A16" s="135">
        <v>15</v>
      </c>
      <c r="B16" s="135" t="s">
        <v>241</v>
      </c>
      <c r="C16" s="135" t="s">
        <v>407</v>
      </c>
      <c r="D16" s="135" t="s">
        <v>404</v>
      </c>
      <c r="E16" s="135">
        <v>1</v>
      </c>
      <c r="F16" s="135">
        <v>8.1</v>
      </c>
      <c r="G16" s="135">
        <v>4.7</v>
      </c>
      <c r="H16" s="135">
        <v>84.6</v>
      </c>
      <c r="I16" s="135">
        <v>0.5</v>
      </c>
      <c r="J16" s="135">
        <v>0</v>
      </c>
      <c r="K16" s="135">
        <v>0</v>
      </c>
      <c r="L16" s="135">
        <v>0</v>
      </c>
      <c r="M16" s="135">
        <v>10.4</v>
      </c>
      <c r="N16" s="135">
        <v>0</v>
      </c>
      <c r="O16" s="135">
        <v>0.1</v>
      </c>
      <c r="P16" s="135">
        <v>0</v>
      </c>
      <c r="Q16" s="135">
        <v>0</v>
      </c>
      <c r="R16" s="135">
        <v>16.399999999999999</v>
      </c>
      <c r="S16" s="135">
        <v>16.399999999999999</v>
      </c>
      <c r="T16" s="135">
        <v>20</v>
      </c>
    </row>
    <row r="17" spans="1:20" x14ac:dyDescent="0.3">
      <c r="A17" s="135">
        <v>16</v>
      </c>
      <c r="B17" s="135" t="s">
        <v>210</v>
      </c>
      <c r="C17" s="135" t="s">
        <v>4</v>
      </c>
      <c r="D17" s="135" t="s">
        <v>1237</v>
      </c>
      <c r="E17" s="135">
        <v>1</v>
      </c>
      <c r="F17" s="135">
        <v>8.6</v>
      </c>
      <c r="G17" s="135">
        <v>5</v>
      </c>
      <c r="H17" s="135">
        <v>72.400000000000006</v>
      </c>
      <c r="I17" s="135">
        <v>0.6</v>
      </c>
      <c r="J17" s="135">
        <v>0.2</v>
      </c>
      <c r="K17" s="135">
        <v>0.5</v>
      </c>
      <c r="L17" s="135">
        <v>0</v>
      </c>
      <c r="M17" s="135">
        <v>0</v>
      </c>
      <c r="N17" s="135">
        <v>0</v>
      </c>
      <c r="O17" s="135">
        <v>0</v>
      </c>
      <c r="P17" s="135">
        <v>0</v>
      </c>
      <c r="Q17" s="135">
        <v>0</v>
      </c>
      <c r="R17" s="135">
        <v>16</v>
      </c>
      <c r="S17" s="135">
        <v>16</v>
      </c>
      <c r="T17" s="135">
        <v>19</v>
      </c>
    </row>
    <row r="18" spans="1:20" x14ac:dyDescent="0.3">
      <c r="A18" s="135">
        <v>17</v>
      </c>
      <c r="B18" s="135" t="s">
        <v>234</v>
      </c>
      <c r="C18" s="135" t="s">
        <v>52</v>
      </c>
      <c r="D18" s="135" t="s">
        <v>398</v>
      </c>
      <c r="E18" s="135">
        <v>1</v>
      </c>
      <c r="F18" s="135">
        <v>8.1</v>
      </c>
      <c r="G18" s="135">
        <v>4.9000000000000004</v>
      </c>
      <c r="H18" s="135">
        <v>71</v>
      </c>
      <c r="I18" s="135">
        <v>0.6</v>
      </c>
      <c r="J18" s="135">
        <v>0</v>
      </c>
      <c r="K18" s="135">
        <v>0</v>
      </c>
      <c r="L18" s="135">
        <v>0</v>
      </c>
      <c r="M18" s="135">
        <v>0</v>
      </c>
      <c r="N18" s="135">
        <v>0</v>
      </c>
      <c r="O18" s="135">
        <v>0</v>
      </c>
      <c r="P18" s="135">
        <v>0</v>
      </c>
      <c r="Q18" s="135">
        <v>0</v>
      </c>
      <c r="R18" s="135">
        <v>15.7</v>
      </c>
      <c r="S18" s="135">
        <v>15.7</v>
      </c>
      <c r="T18" s="135">
        <v>18</v>
      </c>
    </row>
    <row r="19" spans="1:20" x14ac:dyDescent="0.3">
      <c r="A19" s="135">
        <v>18</v>
      </c>
      <c r="B19" s="135" t="s">
        <v>192</v>
      </c>
      <c r="C19" s="135" t="s">
        <v>7</v>
      </c>
      <c r="D19" s="135" t="s">
        <v>34</v>
      </c>
      <c r="E19" s="135">
        <v>1</v>
      </c>
      <c r="F19" s="135">
        <v>7.1</v>
      </c>
      <c r="G19" s="135">
        <v>5.4</v>
      </c>
      <c r="H19" s="135">
        <v>72.400000000000006</v>
      </c>
      <c r="I19" s="135">
        <v>0.5</v>
      </c>
      <c r="J19" s="135">
        <v>0</v>
      </c>
      <c r="K19" s="135">
        <v>0</v>
      </c>
      <c r="L19" s="135">
        <v>0</v>
      </c>
      <c r="M19" s="135">
        <v>0</v>
      </c>
      <c r="N19" s="135">
        <v>0</v>
      </c>
      <c r="O19" s="135">
        <v>0.1</v>
      </c>
      <c r="P19" s="135">
        <v>0</v>
      </c>
      <c r="Q19" s="135">
        <v>0</v>
      </c>
      <c r="R19" s="135">
        <v>15.5</v>
      </c>
      <c r="S19" s="135">
        <v>15.5</v>
      </c>
      <c r="T19" s="135">
        <v>18</v>
      </c>
    </row>
    <row r="20" spans="1:20" x14ac:dyDescent="0.3">
      <c r="A20" s="135">
        <v>19</v>
      </c>
      <c r="B20" s="135" t="s">
        <v>206</v>
      </c>
      <c r="C20" s="135" t="s">
        <v>404</v>
      </c>
      <c r="D20" s="135" t="s">
        <v>407</v>
      </c>
      <c r="E20" s="135">
        <v>1</v>
      </c>
      <c r="F20" s="135">
        <v>7.2</v>
      </c>
      <c r="G20" s="135">
        <v>4.7</v>
      </c>
      <c r="H20" s="135">
        <v>73.900000000000006</v>
      </c>
      <c r="I20" s="135">
        <v>0.5</v>
      </c>
      <c r="J20" s="135">
        <v>0.2</v>
      </c>
      <c r="K20" s="135">
        <v>1.1000000000000001</v>
      </c>
      <c r="L20" s="135">
        <v>0</v>
      </c>
      <c r="M20" s="135">
        <v>0</v>
      </c>
      <c r="N20" s="135">
        <v>0</v>
      </c>
      <c r="O20" s="135">
        <v>0</v>
      </c>
      <c r="P20" s="135">
        <v>0</v>
      </c>
      <c r="Q20" s="135">
        <v>0</v>
      </c>
      <c r="R20" s="135">
        <v>15.4</v>
      </c>
      <c r="S20" s="135">
        <v>15.4</v>
      </c>
      <c r="T20" s="135">
        <v>17</v>
      </c>
    </row>
    <row r="21" spans="1:20" x14ac:dyDescent="0.3">
      <c r="A21" s="135">
        <v>20</v>
      </c>
      <c r="B21" s="135" t="s">
        <v>190</v>
      </c>
      <c r="C21" s="135" t="s">
        <v>34</v>
      </c>
      <c r="D21" s="135" t="s">
        <v>7</v>
      </c>
      <c r="E21" s="135">
        <v>1</v>
      </c>
      <c r="F21" s="135">
        <v>8.8000000000000007</v>
      </c>
      <c r="G21" s="135">
        <v>5.6</v>
      </c>
      <c r="H21" s="135">
        <v>74.2</v>
      </c>
      <c r="I21" s="135">
        <v>0.4</v>
      </c>
      <c r="J21" s="135">
        <v>0</v>
      </c>
      <c r="K21" s="135">
        <v>0</v>
      </c>
      <c r="L21" s="135">
        <v>0</v>
      </c>
      <c r="M21" s="135">
        <v>0</v>
      </c>
      <c r="N21" s="135">
        <v>0</v>
      </c>
      <c r="O21" s="135">
        <v>0.1</v>
      </c>
      <c r="P21" s="135">
        <v>0</v>
      </c>
      <c r="Q21" s="135">
        <v>0</v>
      </c>
      <c r="R21" s="135">
        <v>15.4</v>
      </c>
      <c r="S21" s="135">
        <v>15.4</v>
      </c>
      <c r="T21" s="135">
        <v>17</v>
      </c>
    </row>
    <row r="22" spans="1:20" x14ac:dyDescent="0.3">
      <c r="A22" s="135">
        <v>21</v>
      </c>
      <c r="B22" s="135" t="s">
        <v>768</v>
      </c>
      <c r="C22" s="135" t="s">
        <v>22</v>
      </c>
      <c r="D22" s="135" t="s">
        <v>50</v>
      </c>
      <c r="E22" s="135">
        <v>1</v>
      </c>
      <c r="F22" s="135">
        <v>7.8</v>
      </c>
      <c r="G22" s="135">
        <v>4.9000000000000004</v>
      </c>
      <c r="H22" s="135">
        <v>66.900000000000006</v>
      </c>
      <c r="I22" s="135">
        <v>0.6</v>
      </c>
      <c r="J22" s="135">
        <v>0</v>
      </c>
      <c r="K22" s="135">
        <v>0</v>
      </c>
      <c r="L22" s="135">
        <v>0</v>
      </c>
      <c r="M22" s="135">
        <v>0</v>
      </c>
      <c r="N22" s="135">
        <v>0</v>
      </c>
      <c r="O22" s="135">
        <v>0</v>
      </c>
      <c r="P22" s="135">
        <v>0</v>
      </c>
      <c r="Q22" s="135">
        <v>0</v>
      </c>
      <c r="R22" s="135">
        <v>15.2</v>
      </c>
      <c r="S22" s="135">
        <v>15.2</v>
      </c>
      <c r="T22" s="135">
        <v>17</v>
      </c>
    </row>
    <row r="23" spans="1:20" x14ac:dyDescent="0.3">
      <c r="A23" s="135">
        <v>22</v>
      </c>
      <c r="B23" s="135" t="s">
        <v>227</v>
      </c>
      <c r="C23" s="135" t="s">
        <v>404</v>
      </c>
      <c r="D23" s="135" t="s">
        <v>407</v>
      </c>
      <c r="E23" s="135">
        <v>1</v>
      </c>
      <c r="F23" s="135">
        <v>7.2</v>
      </c>
      <c r="G23" s="135">
        <v>5.0999999999999996</v>
      </c>
      <c r="H23" s="135">
        <v>74.3</v>
      </c>
      <c r="I23" s="135">
        <v>0.4</v>
      </c>
      <c r="J23" s="135">
        <v>0</v>
      </c>
      <c r="K23" s="135">
        <v>0</v>
      </c>
      <c r="L23" s="135">
        <v>0</v>
      </c>
      <c r="M23" s="135">
        <v>0</v>
      </c>
      <c r="N23" s="135">
        <v>0</v>
      </c>
      <c r="O23" s="135">
        <v>0</v>
      </c>
      <c r="P23" s="135">
        <v>0</v>
      </c>
      <c r="Q23" s="135">
        <v>0</v>
      </c>
      <c r="R23" s="135">
        <v>15</v>
      </c>
      <c r="S23" s="135">
        <v>15</v>
      </c>
      <c r="T23" s="135">
        <v>16</v>
      </c>
    </row>
    <row r="24" spans="1:20" x14ac:dyDescent="0.3">
      <c r="A24" s="135">
        <v>23</v>
      </c>
      <c r="B24" s="135" t="s">
        <v>203</v>
      </c>
      <c r="C24" s="135" t="s">
        <v>70</v>
      </c>
      <c r="D24" s="135" t="s">
        <v>401</v>
      </c>
      <c r="E24" s="135">
        <v>1</v>
      </c>
      <c r="F24" s="135">
        <v>8.6</v>
      </c>
      <c r="G24" s="135">
        <v>4.9000000000000004</v>
      </c>
      <c r="H24" s="135">
        <v>69.7</v>
      </c>
      <c r="I24" s="135">
        <v>0.5</v>
      </c>
      <c r="J24" s="135">
        <v>0.3</v>
      </c>
      <c r="K24" s="135">
        <v>1.7</v>
      </c>
      <c r="L24" s="135">
        <v>0</v>
      </c>
      <c r="M24" s="135">
        <v>0</v>
      </c>
      <c r="N24" s="135">
        <v>0</v>
      </c>
      <c r="O24" s="135">
        <v>0.1</v>
      </c>
      <c r="P24" s="135">
        <v>0</v>
      </c>
      <c r="Q24" s="135">
        <v>0</v>
      </c>
      <c r="R24" s="135">
        <v>15</v>
      </c>
      <c r="S24" s="135">
        <v>15</v>
      </c>
      <c r="T24" s="135">
        <v>16</v>
      </c>
    </row>
    <row r="25" spans="1:20" x14ac:dyDescent="0.3">
      <c r="A25" s="135">
        <v>24</v>
      </c>
      <c r="B25" s="135" t="s">
        <v>217</v>
      </c>
      <c r="C25" s="135" t="s">
        <v>401</v>
      </c>
      <c r="D25" s="135" t="s">
        <v>70</v>
      </c>
      <c r="E25" s="135">
        <v>1</v>
      </c>
      <c r="F25" s="135">
        <v>9.9</v>
      </c>
      <c r="G25" s="135">
        <v>5</v>
      </c>
      <c r="H25" s="135">
        <v>70.599999999999994</v>
      </c>
      <c r="I25" s="135">
        <v>0.5</v>
      </c>
      <c r="J25" s="135">
        <v>0</v>
      </c>
      <c r="K25" s="135">
        <v>0</v>
      </c>
      <c r="L25" s="135">
        <v>0</v>
      </c>
      <c r="M25" s="135">
        <v>0</v>
      </c>
      <c r="N25" s="135">
        <v>0</v>
      </c>
      <c r="O25" s="135">
        <v>0.1</v>
      </c>
      <c r="P25" s="135">
        <v>0.1</v>
      </c>
      <c r="Q25" s="135">
        <v>0</v>
      </c>
      <c r="R25" s="135">
        <v>15</v>
      </c>
      <c r="S25" s="135">
        <v>15</v>
      </c>
      <c r="T25" s="135">
        <v>16</v>
      </c>
    </row>
    <row r="26" spans="1:20" x14ac:dyDescent="0.3">
      <c r="A26" s="135">
        <v>25</v>
      </c>
      <c r="B26" s="135" t="s">
        <v>196</v>
      </c>
      <c r="C26" s="135" t="s">
        <v>10</v>
      </c>
      <c r="D26" s="135" t="s">
        <v>402</v>
      </c>
      <c r="E26" s="135">
        <v>1</v>
      </c>
      <c r="F26" s="135">
        <v>7.7</v>
      </c>
      <c r="G26" s="135">
        <v>5</v>
      </c>
      <c r="H26" s="135">
        <v>74.900000000000006</v>
      </c>
      <c r="I26" s="135">
        <v>0.4</v>
      </c>
      <c r="J26" s="135">
        <v>0</v>
      </c>
      <c r="K26" s="135">
        <v>0</v>
      </c>
      <c r="L26" s="135">
        <v>0</v>
      </c>
      <c r="M26" s="135">
        <v>0</v>
      </c>
      <c r="N26" s="135">
        <v>0</v>
      </c>
      <c r="O26" s="135">
        <v>0.1</v>
      </c>
      <c r="P26" s="135">
        <v>0</v>
      </c>
      <c r="Q26" s="135">
        <v>0</v>
      </c>
      <c r="R26" s="135">
        <v>14.8</v>
      </c>
      <c r="S26" s="135">
        <v>14.8</v>
      </c>
      <c r="T26" s="135">
        <v>16</v>
      </c>
    </row>
    <row r="27" spans="1:20" x14ac:dyDescent="0.3">
      <c r="A27" s="135">
        <v>26</v>
      </c>
      <c r="B27" s="135" t="s">
        <v>1435</v>
      </c>
      <c r="C27" s="135" t="s">
        <v>1237</v>
      </c>
      <c r="D27" s="135" t="s">
        <v>4</v>
      </c>
      <c r="E27" s="135">
        <v>1</v>
      </c>
      <c r="F27" s="135">
        <v>8.3000000000000007</v>
      </c>
      <c r="G27" s="135">
        <v>5.4</v>
      </c>
      <c r="H27" s="135">
        <v>68.099999999999994</v>
      </c>
      <c r="I27" s="135">
        <v>0.4</v>
      </c>
      <c r="J27" s="135">
        <v>0</v>
      </c>
      <c r="K27" s="135">
        <v>0</v>
      </c>
      <c r="L27" s="135">
        <v>0</v>
      </c>
      <c r="M27" s="135">
        <v>0</v>
      </c>
      <c r="N27" s="135">
        <v>0</v>
      </c>
      <c r="O27" s="135">
        <v>0.1</v>
      </c>
      <c r="P27" s="135">
        <v>0</v>
      </c>
      <c r="Q27" s="135">
        <v>0</v>
      </c>
      <c r="R27" s="135">
        <v>14.7</v>
      </c>
      <c r="S27" s="135">
        <v>14.7</v>
      </c>
      <c r="T27" s="135">
        <v>15</v>
      </c>
    </row>
    <row r="28" spans="1:20" x14ac:dyDescent="0.3">
      <c r="A28" s="135">
        <v>27</v>
      </c>
      <c r="B28" s="135" t="s">
        <v>204</v>
      </c>
      <c r="C28" s="135" t="s">
        <v>4</v>
      </c>
      <c r="D28" s="135" t="s">
        <v>1237</v>
      </c>
      <c r="E28" s="135">
        <v>1</v>
      </c>
      <c r="F28" s="135">
        <v>8.3000000000000007</v>
      </c>
      <c r="G28" s="135">
        <v>4.8</v>
      </c>
      <c r="H28" s="135">
        <v>62.1</v>
      </c>
      <c r="I28" s="135">
        <v>0.6</v>
      </c>
      <c r="J28" s="135">
        <v>0</v>
      </c>
      <c r="K28" s="135">
        <v>0</v>
      </c>
      <c r="L28" s="135">
        <v>0</v>
      </c>
      <c r="M28" s="135">
        <v>0</v>
      </c>
      <c r="N28" s="135">
        <v>0</v>
      </c>
      <c r="O28" s="135">
        <v>0</v>
      </c>
      <c r="P28" s="135">
        <v>0</v>
      </c>
      <c r="Q28" s="135">
        <v>0</v>
      </c>
      <c r="R28" s="135">
        <v>14.6</v>
      </c>
      <c r="S28" s="135">
        <v>14.6</v>
      </c>
      <c r="T28" s="135">
        <v>15</v>
      </c>
    </row>
    <row r="29" spans="1:20" x14ac:dyDescent="0.3">
      <c r="A29" s="135">
        <v>28</v>
      </c>
      <c r="B29" s="135" t="s">
        <v>479</v>
      </c>
      <c r="C29" s="135" t="s">
        <v>1239</v>
      </c>
      <c r="D29" s="135" t="s">
        <v>18</v>
      </c>
      <c r="E29" s="135">
        <v>1</v>
      </c>
      <c r="F29" s="135">
        <v>8.5</v>
      </c>
      <c r="G29" s="135">
        <v>5.0999999999999996</v>
      </c>
      <c r="H29" s="135">
        <v>57.5</v>
      </c>
      <c r="I29" s="135">
        <v>0.4</v>
      </c>
      <c r="J29" s="135">
        <v>1.4</v>
      </c>
      <c r="K29" s="135">
        <v>4.5</v>
      </c>
      <c r="L29" s="135">
        <v>0</v>
      </c>
      <c r="M29" s="135">
        <v>0</v>
      </c>
      <c r="N29" s="135">
        <v>0</v>
      </c>
      <c r="O29" s="135">
        <v>0.1</v>
      </c>
      <c r="P29" s="135">
        <v>0.1</v>
      </c>
      <c r="Q29" s="135">
        <v>0</v>
      </c>
      <c r="R29" s="135">
        <v>14.3</v>
      </c>
      <c r="S29" s="135">
        <v>14.3</v>
      </c>
      <c r="T29" s="135">
        <v>14</v>
      </c>
    </row>
    <row r="30" spans="1:20" x14ac:dyDescent="0.3">
      <c r="A30" s="135">
        <v>29</v>
      </c>
      <c r="B30" s="135" t="s">
        <v>198</v>
      </c>
      <c r="C30" s="135" t="s">
        <v>402</v>
      </c>
      <c r="D30" s="135" t="s">
        <v>10</v>
      </c>
      <c r="E30" s="135">
        <v>1</v>
      </c>
      <c r="F30" s="135">
        <v>8</v>
      </c>
      <c r="G30" s="135">
        <v>5.6</v>
      </c>
      <c r="H30" s="135">
        <v>53.2</v>
      </c>
      <c r="I30" s="135">
        <v>0.5</v>
      </c>
      <c r="J30" s="135">
        <v>0.2</v>
      </c>
      <c r="K30" s="135">
        <v>1.4</v>
      </c>
      <c r="L30" s="135">
        <v>0</v>
      </c>
      <c r="M30" s="135">
        <v>0</v>
      </c>
      <c r="N30" s="135">
        <v>0</v>
      </c>
      <c r="O30" s="135">
        <v>0</v>
      </c>
      <c r="P30" s="135">
        <v>0</v>
      </c>
      <c r="Q30" s="135">
        <v>0</v>
      </c>
      <c r="R30" s="135">
        <v>14.2</v>
      </c>
      <c r="S30" s="135">
        <v>14.2</v>
      </c>
      <c r="T30" s="135">
        <v>14</v>
      </c>
    </row>
    <row r="31" spans="1:20" x14ac:dyDescent="0.3">
      <c r="A31" s="135">
        <v>30</v>
      </c>
      <c r="B31" s="135" t="s">
        <v>283</v>
      </c>
      <c r="C31" s="135" t="s">
        <v>16</v>
      </c>
      <c r="D31" s="135" t="s">
        <v>12</v>
      </c>
      <c r="E31" s="135">
        <v>1</v>
      </c>
      <c r="F31" s="135">
        <v>7.3</v>
      </c>
      <c r="G31" s="135">
        <v>4.5999999999999996</v>
      </c>
      <c r="H31" s="135">
        <v>65.099999999999994</v>
      </c>
      <c r="I31" s="135">
        <v>0.5</v>
      </c>
      <c r="J31" s="135">
        <v>0.2</v>
      </c>
      <c r="K31" s="135">
        <v>1</v>
      </c>
      <c r="L31" s="135">
        <v>0</v>
      </c>
      <c r="M31" s="135">
        <v>0</v>
      </c>
      <c r="N31" s="135">
        <v>0</v>
      </c>
      <c r="O31" s="135">
        <v>0</v>
      </c>
      <c r="P31" s="135">
        <v>0</v>
      </c>
      <c r="Q31" s="135">
        <v>0</v>
      </c>
      <c r="R31" s="135">
        <v>14.2</v>
      </c>
      <c r="S31" s="135">
        <v>14.2</v>
      </c>
      <c r="T31" s="135">
        <v>14</v>
      </c>
    </row>
    <row r="32" spans="1:20" x14ac:dyDescent="0.3">
      <c r="A32" s="135">
        <v>31</v>
      </c>
      <c r="B32" s="135" t="s">
        <v>262</v>
      </c>
      <c r="C32" s="135" t="s">
        <v>57</v>
      </c>
      <c r="D32" s="135" t="s">
        <v>28</v>
      </c>
      <c r="E32" s="135">
        <v>1</v>
      </c>
      <c r="F32" s="135">
        <v>7.5</v>
      </c>
      <c r="G32" s="135">
        <v>4.4000000000000004</v>
      </c>
      <c r="H32" s="135">
        <v>66.400000000000006</v>
      </c>
      <c r="I32" s="135">
        <v>0.4</v>
      </c>
      <c r="J32" s="135">
        <v>0</v>
      </c>
      <c r="K32" s="135">
        <v>0</v>
      </c>
      <c r="L32" s="135">
        <v>0</v>
      </c>
      <c r="M32" s="135">
        <v>0</v>
      </c>
      <c r="N32" s="135">
        <v>0</v>
      </c>
      <c r="O32" s="135">
        <v>0</v>
      </c>
      <c r="P32" s="135">
        <v>0</v>
      </c>
      <c r="Q32" s="135">
        <v>0</v>
      </c>
      <c r="R32" s="135">
        <v>13.1</v>
      </c>
      <c r="S32" s="135">
        <v>13.1</v>
      </c>
      <c r="T32" s="135">
        <v>11</v>
      </c>
    </row>
    <row r="33" spans="1:20" x14ac:dyDescent="0.3">
      <c r="A33" s="135">
        <v>32</v>
      </c>
      <c r="B33" s="135" t="s">
        <v>197</v>
      </c>
      <c r="C33" s="135" t="s">
        <v>34</v>
      </c>
      <c r="D33" s="135" t="s">
        <v>7</v>
      </c>
      <c r="E33" s="135">
        <v>1</v>
      </c>
      <c r="F33" s="135">
        <v>7.8</v>
      </c>
      <c r="G33" s="135">
        <v>4.8</v>
      </c>
      <c r="H33" s="135">
        <v>61.6</v>
      </c>
      <c r="I33" s="135">
        <v>0.3</v>
      </c>
      <c r="J33" s="135">
        <v>0</v>
      </c>
      <c r="K33" s="135">
        <v>0</v>
      </c>
      <c r="L33" s="135">
        <v>0</v>
      </c>
      <c r="M33" s="135">
        <v>0</v>
      </c>
      <c r="N33" s="135">
        <v>0</v>
      </c>
      <c r="O33" s="135">
        <v>0.1</v>
      </c>
      <c r="P33" s="135">
        <v>0</v>
      </c>
      <c r="Q33" s="135">
        <v>0</v>
      </c>
      <c r="R33" s="135">
        <v>13</v>
      </c>
      <c r="S33" s="135">
        <v>13</v>
      </c>
      <c r="T33" s="135">
        <v>10</v>
      </c>
    </row>
    <row r="34" spans="1:20" x14ac:dyDescent="0.3">
      <c r="A34" s="135">
        <v>33</v>
      </c>
      <c r="B34" s="135" t="s">
        <v>212</v>
      </c>
      <c r="C34" s="135" t="s">
        <v>26</v>
      </c>
      <c r="D34" s="135" t="s">
        <v>46</v>
      </c>
      <c r="E34" s="135">
        <v>1</v>
      </c>
      <c r="F34" s="135">
        <v>6.1</v>
      </c>
      <c r="G34" s="135">
        <v>4.4000000000000004</v>
      </c>
      <c r="H34" s="135">
        <v>53.2</v>
      </c>
      <c r="I34" s="135">
        <v>0.4</v>
      </c>
      <c r="J34" s="135">
        <v>0.5</v>
      </c>
      <c r="K34" s="135">
        <v>2.6</v>
      </c>
      <c r="L34" s="135">
        <v>0</v>
      </c>
      <c r="M34" s="135">
        <v>0</v>
      </c>
      <c r="N34" s="135">
        <v>0</v>
      </c>
      <c r="O34" s="135">
        <v>0</v>
      </c>
      <c r="P34" s="135">
        <v>0</v>
      </c>
      <c r="Q34" s="135">
        <v>0</v>
      </c>
      <c r="R34" s="135">
        <v>12.6</v>
      </c>
      <c r="S34" s="135">
        <v>12.6</v>
      </c>
      <c r="T34" s="135">
        <v>9</v>
      </c>
    </row>
    <row r="35" spans="1:20" x14ac:dyDescent="0.3">
      <c r="A35" s="135">
        <v>34</v>
      </c>
      <c r="B35" s="135" t="s">
        <v>207</v>
      </c>
      <c r="C35" s="135" t="s">
        <v>1236</v>
      </c>
      <c r="D35" s="135" t="s">
        <v>409</v>
      </c>
      <c r="E35" s="135">
        <v>1</v>
      </c>
      <c r="F35" s="135">
        <v>5.9</v>
      </c>
      <c r="G35" s="135">
        <v>4</v>
      </c>
      <c r="H35" s="135">
        <v>61.9</v>
      </c>
      <c r="I35" s="135">
        <v>0.4</v>
      </c>
      <c r="J35" s="135">
        <v>0.3</v>
      </c>
      <c r="K35" s="135">
        <v>1.5</v>
      </c>
      <c r="L35" s="135">
        <v>0</v>
      </c>
      <c r="M35" s="135">
        <v>0</v>
      </c>
      <c r="N35" s="135">
        <v>0</v>
      </c>
      <c r="O35" s="135">
        <v>0.1</v>
      </c>
      <c r="P35" s="135">
        <v>0</v>
      </c>
      <c r="Q35" s="135">
        <v>0</v>
      </c>
      <c r="R35" s="135">
        <v>12.6</v>
      </c>
      <c r="S35" s="135">
        <v>12.6</v>
      </c>
      <c r="T35" s="135">
        <v>9</v>
      </c>
    </row>
    <row r="36" spans="1:20" x14ac:dyDescent="0.3">
      <c r="A36" s="135">
        <v>35</v>
      </c>
      <c r="B36" s="135" t="s">
        <v>219</v>
      </c>
      <c r="C36" s="135" t="s">
        <v>1236</v>
      </c>
      <c r="D36" s="135" t="s">
        <v>409</v>
      </c>
      <c r="E36" s="135">
        <v>1</v>
      </c>
      <c r="F36" s="135">
        <v>6.3</v>
      </c>
      <c r="G36" s="135">
        <v>3.8</v>
      </c>
      <c r="H36" s="135">
        <v>64</v>
      </c>
      <c r="I36" s="135">
        <v>0.4</v>
      </c>
      <c r="J36" s="135">
        <v>0</v>
      </c>
      <c r="K36" s="135">
        <v>0</v>
      </c>
      <c r="L36" s="135">
        <v>0</v>
      </c>
      <c r="M36" s="135">
        <v>0</v>
      </c>
      <c r="N36" s="135">
        <v>0</v>
      </c>
      <c r="O36" s="135">
        <v>0.1</v>
      </c>
      <c r="P36" s="135">
        <v>0</v>
      </c>
      <c r="Q36" s="135">
        <v>0</v>
      </c>
      <c r="R36" s="135">
        <v>12.5</v>
      </c>
      <c r="S36" s="135">
        <v>12.5</v>
      </c>
      <c r="T36" s="135">
        <v>9</v>
      </c>
    </row>
    <row r="37" spans="1:20" x14ac:dyDescent="0.3">
      <c r="A37" s="135">
        <v>36</v>
      </c>
      <c r="B37" s="135" t="s">
        <v>202</v>
      </c>
      <c r="C37" s="135" t="s">
        <v>12</v>
      </c>
      <c r="D37" s="135" t="s">
        <v>16</v>
      </c>
      <c r="E37" s="135">
        <v>1</v>
      </c>
      <c r="F37" s="135">
        <v>6</v>
      </c>
      <c r="G37" s="135">
        <v>3.8</v>
      </c>
      <c r="H37" s="135">
        <v>58.9</v>
      </c>
      <c r="I37" s="135">
        <v>0.4</v>
      </c>
      <c r="J37" s="135">
        <v>0</v>
      </c>
      <c r="K37" s="135">
        <v>0</v>
      </c>
      <c r="L37" s="135">
        <v>0</v>
      </c>
      <c r="M37" s="135">
        <v>0</v>
      </c>
      <c r="N37" s="135">
        <v>0</v>
      </c>
      <c r="O37" s="135">
        <v>0</v>
      </c>
      <c r="P37" s="135">
        <v>0</v>
      </c>
      <c r="Q37" s="135">
        <v>0</v>
      </c>
      <c r="R37" s="135">
        <v>12.4</v>
      </c>
      <c r="S37" s="135">
        <v>12.4</v>
      </c>
      <c r="T37" s="135">
        <v>9</v>
      </c>
    </row>
    <row r="38" spans="1:20" x14ac:dyDescent="0.3">
      <c r="A38" s="135">
        <v>37</v>
      </c>
      <c r="B38" s="135" t="s">
        <v>505</v>
      </c>
      <c r="C38" s="135" t="s">
        <v>407</v>
      </c>
      <c r="D38" s="135" t="s">
        <v>404</v>
      </c>
      <c r="E38" s="135">
        <v>1</v>
      </c>
      <c r="F38" s="135">
        <v>6.1</v>
      </c>
      <c r="G38" s="135">
        <v>3.7</v>
      </c>
      <c r="H38" s="135">
        <v>64.099999999999994</v>
      </c>
      <c r="I38" s="135">
        <v>0.4</v>
      </c>
      <c r="J38" s="135">
        <v>0</v>
      </c>
      <c r="K38" s="135">
        <v>0</v>
      </c>
      <c r="L38" s="135">
        <v>0</v>
      </c>
      <c r="M38" s="135">
        <v>0</v>
      </c>
      <c r="N38" s="135">
        <v>0</v>
      </c>
      <c r="O38" s="135">
        <v>0</v>
      </c>
      <c r="P38" s="135">
        <v>0</v>
      </c>
      <c r="Q38" s="135">
        <v>0</v>
      </c>
      <c r="R38" s="135">
        <v>12.4</v>
      </c>
      <c r="S38" s="135">
        <v>12.4</v>
      </c>
      <c r="T38" s="135">
        <v>9</v>
      </c>
    </row>
    <row r="39" spans="1:20" x14ac:dyDescent="0.3">
      <c r="A39" s="135">
        <v>38</v>
      </c>
      <c r="B39" s="135" t="s">
        <v>454</v>
      </c>
      <c r="C39" s="135" t="s">
        <v>37</v>
      </c>
      <c r="D39" s="135" t="s">
        <v>41</v>
      </c>
      <c r="E39" s="135">
        <v>1</v>
      </c>
      <c r="F39" s="135">
        <v>6.7</v>
      </c>
      <c r="G39" s="135">
        <v>4.2</v>
      </c>
      <c r="H39" s="135">
        <v>54.6</v>
      </c>
      <c r="I39" s="135">
        <v>0.4</v>
      </c>
      <c r="J39" s="135">
        <v>0</v>
      </c>
      <c r="K39" s="135">
        <v>0</v>
      </c>
      <c r="L39" s="135">
        <v>0</v>
      </c>
      <c r="M39" s="135">
        <v>0</v>
      </c>
      <c r="N39" s="135">
        <v>0</v>
      </c>
      <c r="O39" s="135">
        <v>0</v>
      </c>
      <c r="P39" s="135">
        <v>0</v>
      </c>
      <c r="Q39" s="135">
        <v>0</v>
      </c>
      <c r="R39" s="135">
        <v>12.1</v>
      </c>
      <c r="S39" s="135">
        <v>12.1</v>
      </c>
      <c r="T39" s="135">
        <v>8</v>
      </c>
    </row>
    <row r="40" spans="1:20" x14ac:dyDescent="0.3">
      <c r="A40" s="135">
        <v>39</v>
      </c>
      <c r="B40" s="135" t="s">
        <v>519</v>
      </c>
      <c r="C40" s="135" t="s">
        <v>30</v>
      </c>
      <c r="D40" s="135" t="s">
        <v>1238</v>
      </c>
      <c r="E40" s="135">
        <v>1</v>
      </c>
      <c r="F40" s="135">
        <v>6.3</v>
      </c>
      <c r="G40" s="135">
        <v>4.5999999999999996</v>
      </c>
      <c r="H40" s="135">
        <v>56.8</v>
      </c>
      <c r="I40" s="135">
        <v>0.3</v>
      </c>
      <c r="J40" s="135">
        <v>0</v>
      </c>
      <c r="K40" s="135">
        <v>0</v>
      </c>
      <c r="L40" s="135">
        <v>0</v>
      </c>
      <c r="M40" s="135">
        <v>0</v>
      </c>
      <c r="N40" s="135">
        <v>0</v>
      </c>
      <c r="O40" s="135">
        <v>0</v>
      </c>
      <c r="P40" s="135">
        <v>0</v>
      </c>
      <c r="Q40" s="135">
        <v>0</v>
      </c>
      <c r="R40" s="135">
        <v>12.1</v>
      </c>
      <c r="S40" s="135">
        <v>12.1</v>
      </c>
      <c r="T40" s="135">
        <v>8</v>
      </c>
    </row>
    <row r="41" spans="1:20" x14ac:dyDescent="0.3">
      <c r="A41" s="135">
        <v>40</v>
      </c>
      <c r="B41" s="135" t="s">
        <v>226</v>
      </c>
      <c r="C41" s="135" t="s">
        <v>18</v>
      </c>
      <c r="D41" s="135" t="s">
        <v>1239</v>
      </c>
      <c r="E41" s="135">
        <v>1</v>
      </c>
      <c r="F41" s="135">
        <v>5.3</v>
      </c>
      <c r="G41" s="135">
        <v>3.5</v>
      </c>
      <c r="H41" s="135">
        <v>62.9</v>
      </c>
      <c r="I41" s="135">
        <v>0.4</v>
      </c>
      <c r="J41" s="135">
        <v>0</v>
      </c>
      <c r="K41" s="135">
        <v>0</v>
      </c>
      <c r="L41" s="135">
        <v>0</v>
      </c>
      <c r="M41" s="135">
        <v>0</v>
      </c>
      <c r="N41" s="135">
        <v>0</v>
      </c>
      <c r="O41" s="135">
        <v>0</v>
      </c>
      <c r="P41" s="135">
        <v>0</v>
      </c>
      <c r="Q41" s="135">
        <v>0</v>
      </c>
      <c r="R41" s="135">
        <v>11.9</v>
      </c>
      <c r="S41" s="135">
        <v>11.9</v>
      </c>
      <c r="T41" s="135">
        <v>7</v>
      </c>
    </row>
    <row r="42" spans="1:20" x14ac:dyDescent="0.3">
      <c r="A42" s="135">
        <v>41</v>
      </c>
      <c r="B42" s="135" t="s">
        <v>463</v>
      </c>
      <c r="C42" s="135" t="s">
        <v>1238</v>
      </c>
      <c r="D42" s="135" t="s">
        <v>30</v>
      </c>
      <c r="E42" s="135">
        <v>1</v>
      </c>
      <c r="F42" s="135">
        <v>5.8</v>
      </c>
      <c r="G42" s="135">
        <v>3.6</v>
      </c>
      <c r="H42" s="135">
        <v>59</v>
      </c>
      <c r="I42" s="135">
        <v>0.4</v>
      </c>
      <c r="J42" s="135">
        <v>0</v>
      </c>
      <c r="K42" s="135">
        <v>0</v>
      </c>
      <c r="L42" s="135">
        <v>0</v>
      </c>
      <c r="M42" s="135">
        <v>0</v>
      </c>
      <c r="N42" s="135">
        <v>0</v>
      </c>
      <c r="O42" s="135">
        <v>0</v>
      </c>
      <c r="P42" s="135">
        <v>0</v>
      </c>
      <c r="Q42" s="135">
        <v>0</v>
      </c>
      <c r="R42" s="135">
        <v>11.8</v>
      </c>
      <c r="S42" s="135">
        <v>11.8</v>
      </c>
      <c r="T42" s="135">
        <v>7</v>
      </c>
    </row>
    <row r="43" spans="1:20" x14ac:dyDescent="0.3">
      <c r="A43" s="135">
        <v>42</v>
      </c>
      <c r="B43" s="135" t="s">
        <v>277</v>
      </c>
      <c r="C43" s="135" t="s">
        <v>50</v>
      </c>
      <c r="D43" s="135" t="s">
        <v>22</v>
      </c>
      <c r="E43" s="135">
        <v>1</v>
      </c>
      <c r="F43" s="135">
        <v>6.8</v>
      </c>
      <c r="G43" s="135">
        <v>4.7</v>
      </c>
      <c r="H43" s="135">
        <v>54.1</v>
      </c>
      <c r="I43" s="135">
        <v>0.3</v>
      </c>
      <c r="J43" s="135">
        <v>0</v>
      </c>
      <c r="K43" s="135">
        <v>0</v>
      </c>
      <c r="L43" s="135">
        <v>0</v>
      </c>
      <c r="M43" s="135">
        <v>0</v>
      </c>
      <c r="N43" s="135">
        <v>0</v>
      </c>
      <c r="O43" s="135">
        <v>0.1</v>
      </c>
      <c r="P43" s="135">
        <v>0</v>
      </c>
      <c r="Q43" s="135">
        <v>0</v>
      </c>
      <c r="R43" s="135">
        <v>11.6</v>
      </c>
      <c r="S43" s="135">
        <v>11.6</v>
      </c>
      <c r="T43" s="135">
        <v>6</v>
      </c>
    </row>
    <row r="44" spans="1:20" x14ac:dyDescent="0.3">
      <c r="A44" s="135">
        <v>43</v>
      </c>
      <c r="B44" s="135" t="s">
        <v>432</v>
      </c>
      <c r="C44" s="135" t="s">
        <v>46</v>
      </c>
      <c r="D44" s="135" t="s">
        <v>26</v>
      </c>
      <c r="E44" s="135">
        <v>1</v>
      </c>
      <c r="F44" s="135">
        <v>6.4</v>
      </c>
      <c r="G44" s="135">
        <v>3.9</v>
      </c>
      <c r="H44" s="135">
        <v>51.7</v>
      </c>
      <c r="I44" s="135">
        <v>0.4</v>
      </c>
      <c r="J44" s="135">
        <v>0.2</v>
      </c>
      <c r="K44" s="135">
        <v>1.8</v>
      </c>
      <c r="L44" s="135">
        <v>0</v>
      </c>
      <c r="M44" s="135">
        <v>0</v>
      </c>
      <c r="N44" s="135">
        <v>0</v>
      </c>
      <c r="O44" s="135">
        <v>0</v>
      </c>
      <c r="P44" s="135">
        <v>0</v>
      </c>
      <c r="Q44" s="135">
        <v>0</v>
      </c>
      <c r="R44" s="135">
        <v>11.5</v>
      </c>
      <c r="S44" s="135">
        <v>11.5</v>
      </c>
      <c r="T44" s="135">
        <v>6</v>
      </c>
    </row>
    <row r="45" spans="1:20" x14ac:dyDescent="0.3">
      <c r="A45" s="135">
        <v>44</v>
      </c>
      <c r="B45" s="135" t="s">
        <v>1483</v>
      </c>
      <c r="C45" s="135" t="s">
        <v>404</v>
      </c>
      <c r="D45" s="135" t="s">
        <v>407</v>
      </c>
      <c r="E45" s="135">
        <v>1</v>
      </c>
      <c r="F45" s="135">
        <v>5.5</v>
      </c>
      <c r="G45" s="135">
        <v>3.3</v>
      </c>
      <c r="H45" s="135">
        <v>49.5</v>
      </c>
      <c r="I45" s="135">
        <v>0.5</v>
      </c>
      <c r="J45" s="135">
        <v>0</v>
      </c>
      <c r="K45" s="135">
        <v>0</v>
      </c>
      <c r="L45" s="135">
        <v>0</v>
      </c>
      <c r="M45" s="135">
        <v>0</v>
      </c>
      <c r="N45" s="135">
        <v>0</v>
      </c>
      <c r="O45" s="135">
        <v>0</v>
      </c>
      <c r="P45" s="135">
        <v>0</v>
      </c>
      <c r="Q45" s="135">
        <v>0</v>
      </c>
      <c r="R45" s="135">
        <v>11.4</v>
      </c>
      <c r="S45" s="135">
        <v>11.4</v>
      </c>
      <c r="T45" s="135">
        <v>6</v>
      </c>
    </row>
    <row r="46" spans="1:20" x14ac:dyDescent="0.3">
      <c r="A46" s="135">
        <v>45</v>
      </c>
      <c r="B46" s="135" t="s">
        <v>224</v>
      </c>
      <c r="C46" s="135" t="s">
        <v>7</v>
      </c>
      <c r="D46" s="135" t="s">
        <v>34</v>
      </c>
      <c r="E46" s="135">
        <v>1</v>
      </c>
      <c r="F46" s="135">
        <v>5.3</v>
      </c>
      <c r="G46" s="135">
        <v>3.9</v>
      </c>
      <c r="H46" s="135">
        <v>50.9</v>
      </c>
      <c r="I46" s="135">
        <v>0.3</v>
      </c>
      <c r="J46" s="135">
        <v>0</v>
      </c>
      <c r="K46" s="135">
        <v>0</v>
      </c>
      <c r="L46" s="135">
        <v>0</v>
      </c>
      <c r="M46" s="135">
        <v>67</v>
      </c>
      <c r="N46" s="135">
        <v>0.1</v>
      </c>
      <c r="O46" s="135">
        <v>0</v>
      </c>
      <c r="P46" s="135">
        <v>0</v>
      </c>
      <c r="Q46" s="135">
        <v>0</v>
      </c>
      <c r="R46" s="135">
        <v>11.4</v>
      </c>
      <c r="S46" s="135">
        <v>11.4</v>
      </c>
      <c r="T46" s="135">
        <v>6</v>
      </c>
    </row>
    <row r="47" spans="1:20" x14ac:dyDescent="0.3">
      <c r="A47" s="135">
        <v>46</v>
      </c>
      <c r="B47" s="135" t="s">
        <v>243</v>
      </c>
      <c r="C47" s="135" t="s">
        <v>398</v>
      </c>
      <c r="D47" s="135" t="s">
        <v>52</v>
      </c>
      <c r="E47" s="135">
        <v>1</v>
      </c>
      <c r="F47" s="135">
        <v>6</v>
      </c>
      <c r="G47" s="135">
        <v>3.5</v>
      </c>
      <c r="H47" s="135">
        <v>62.8</v>
      </c>
      <c r="I47" s="135">
        <v>0.3</v>
      </c>
      <c r="J47" s="135">
        <v>0</v>
      </c>
      <c r="K47" s="135">
        <v>0</v>
      </c>
      <c r="L47" s="135">
        <v>0</v>
      </c>
      <c r="M47" s="135">
        <v>0</v>
      </c>
      <c r="N47" s="135">
        <v>0</v>
      </c>
      <c r="O47" s="135">
        <v>0</v>
      </c>
      <c r="P47" s="135">
        <v>0</v>
      </c>
      <c r="Q47" s="135">
        <v>0</v>
      </c>
      <c r="R47" s="135">
        <v>11.3</v>
      </c>
      <c r="S47" s="135">
        <v>11.3</v>
      </c>
      <c r="T47" s="135">
        <v>5</v>
      </c>
    </row>
    <row r="48" spans="1:20" x14ac:dyDescent="0.3">
      <c r="A48" s="135">
        <v>47</v>
      </c>
      <c r="B48" s="135" t="s">
        <v>239</v>
      </c>
      <c r="C48" s="135" t="s">
        <v>30</v>
      </c>
      <c r="D48" s="135" t="s">
        <v>1238</v>
      </c>
      <c r="E48" s="135">
        <v>1</v>
      </c>
      <c r="F48" s="135">
        <v>5.7</v>
      </c>
      <c r="G48" s="135">
        <v>4.2</v>
      </c>
      <c r="H48" s="135">
        <v>53.4</v>
      </c>
      <c r="I48" s="135">
        <v>0.3</v>
      </c>
      <c r="J48" s="135">
        <v>0</v>
      </c>
      <c r="K48" s="135">
        <v>0</v>
      </c>
      <c r="L48" s="135">
        <v>0</v>
      </c>
      <c r="M48" s="135">
        <v>0</v>
      </c>
      <c r="N48" s="135">
        <v>0</v>
      </c>
      <c r="O48" s="135">
        <v>0</v>
      </c>
      <c r="P48" s="135">
        <v>0</v>
      </c>
      <c r="Q48" s="135">
        <v>0</v>
      </c>
      <c r="R48" s="135">
        <v>11.1</v>
      </c>
      <c r="S48" s="135">
        <v>11.1</v>
      </c>
      <c r="T48" s="135">
        <v>5</v>
      </c>
    </row>
    <row r="49" spans="1:20" x14ac:dyDescent="0.3">
      <c r="A49" s="135">
        <v>48</v>
      </c>
      <c r="B49" s="135" t="s">
        <v>214</v>
      </c>
      <c r="C49" s="135" t="s">
        <v>409</v>
      </c>
      <c r="D49" s="135" t="s">
        <v>1236</v>
      </c>
      <c r="E49" s="135">
        <v>1</v>
      </c>
      <c r="F49" s="135">
        <v>5.9</v>
      </c>
      <c r="G49" s="135">
        <v>3.8</v>
      </c>
      <c r="H49" s="135">
        <v>45.2</v>
      </c>
      <c r="I49" s="135">
        <v>0.2</v>
      </c>
      <c r="J49" s="135">
        <v>2</v>
      </c>
      <c r="K49" s="135">
        <v>11.4</v>
      </c>
      <c r="L49" s="135">
        <v>0.1</v>
      </c>
      <c r="M49" s="135">
        <v>11.3</v>
      </c>
      <c r="N49" s="135">
        <v>0</v>
      </c>
      <c r="O49" s="135">
        <v>0.1</v>
      </c>
      <c r="P49" s="135">
        <v>0.1</v>
      </c>
      <c r="Q49" s="135">
        <v>0</v>
      </c>
      <c r="R49" s="135">
        <v>10.9</v>
      </c>
      <c r="S49" s="135">
        <v>10.9</v>
      </c>
      <c r="T49" s="135">
        <v>4</v>
      </c>
    </row>
    <row r="50" spans="1:20" x14ac:dyDescent="0.3">
      <c r="A50" s="135">
        <v>49</v>
      </c>
      <c r="B50" s="135" t="s">
        <v>275</v>
      </c>
      <c r="C50" s="135" t="s">
        <v>1237</v>
      </c>
      <c r="D50" s="135" t="s">
        <v>4</v>
      </c>
      <c r="E50" s="135">
        <v>1</v>
      </c>
      <c r="F50" s="135">
        <v>6.4</v>
      </c>
      <c r="G50" s="135">
        <v>3.6</v>
      </c>
      <c r="H50" s="135">
        <v>47.9</v>
      </c>
      <c r="I50" s="135">
        <v>0.3</v>
      </c>
      <c r="J50" s="135">
        <v>0.2</v>
      </c>
      <c r="K50" s="135">
        <v>1.2</v>
      </c>
      <c r="L50" s="135">
        <v>0</v>
      </c>
      <c r="M50" s="135">
        <v>0</v>
      </c>
      <c r="N50" s="135">
        <v>0</v>
      </c>
      <c r="O50" s="135">
        <v>0</v>
      </c>
      <c r="P50" s="135">
        <v>0</v>
      </c>
      <c r="Q50" s="135">
        <v>0</v>
      </c>
      <c r="R50" s="135">
        <v>10.5</v>
      </c>
      <c r="S50" s="135">
        <v>10.5</v>
      </c>
      <c r="T50" s="135">
        <v>3</v>
      </c>
    </row>
    <row r="51" spans="1:20" x14ac:dyDescent="0.3">
      <c r="A51" s="135">
        <v>50</v>
      </c>
      <c r="B51" s="135" t="s">
        <v>240</v>
      </c>
      <c r="C51" s="135" t="s">
        <v>52</v>
      </c>
      <c r="D51" s="135" t="s">
        <v>398</v>
      </c>
      <c r="E51" s="135">
        <v>1</v>
      </c>
      <c r="F51" s="135">
        <v>5.4</v>
      </c>
      <c r="G51" s="135">
        <v>3.8</v>
      </c>
      <c r="H51" s="135">
        <v>40.6</v>
      </c>
      <c r="I51" s="135">
        <v>0.4</v>
      </c>
      <c r="J51" s="135">
        <v>0</v>
      </c>
      <c r="K51" s="135">
        <v>0</v>
      </c>
      <c r="L51" s="135">
        <v>0</v>
      </c>
      <c r="M51" s="135">
        <v>0</v>
      </c>
      <c r="N51" s="135">
        <v>0</v>
      </c>
      <c r="O51" s="135">
        <v>0</v>
      </c>
      <c r="P51" s="135">
        <v>0</v>
      </c>
      <c r="Q51" s="135">
        <v>0</v>
      </c>
      <c r="R51" s="135">
        <v>10.3</v>
      </c>
      <c r="S51" s="135">
        <v>10.3</v>
      </c>
      <c r="T51" s="135">
        <v>2</v>
      </c>
    </row>
    <row r="52" spans="1:20" x14ac:dyDescent="0.3">
      <c r="A52" s="135">
        <v>51</v>
      </c>
      <c r="B52" s="135" t="s">
        <v>233</v>
      </c>
      <c r="C52" s="135" t="s">
        <v>401</v>
      </c>
      <c r="D52" s="135" t="s">
        <v>70</v>
      </c>
      <c r="E52" s="135">
        <v>1</v>
      </c>
      <c r="F52" s="135">
        <v>6.1</v>
      </c>
      <c r="G52" s="135">
        <v>3.5</v>
      </c>
      <c r="H52" s="135">
        <v>47.4</v>
      </c>
      <c r="I52" s="135">
        <v>0.3</v>
      </c>
      <c r="J52" s="135">
        <v>0</v>
      </c>
      <c r="K52" s="135">
        <v>0</v>
      </c>
      <c r="L52" s="135">
        <v>0</v>
      </c>
      <c r="M52" s="135">
        <v>0</v>
      </c>
      <c r="N52" s="135">
        <v>0</v>
      </c>
      <c r="O52" s="135">
        <v>0.1</v>
      </c>
      <c r="P52" s="135">
        <v>0</v>
      </c>
      <c r="Q52" s="135">
        <v>0</v>
      </c>
      <c r="R52" s="135">
        <v>9.9</v>
      </c>
      <c r="S52" s="135">
        <v>9.9</v>
      </c>
      <c r="T52" s="135">
        <v>1</v>
      </c>
    </row>
    <row r="53" spans="1:20" x14ac:dyDescent="0.3">
      <c r="A53" s="135">
        <v>52</v>
      </c>
      <c r="B53" s="135" t="s">
        <v>256</v>
      </c>
      <c r="C53" s="135" t="s">
        <v>46</v>
      </c>
      <c r="D53" s="135" t="s">
        <v>26</v>
      </c>
      <c r="E53" s="135">
        <v>1</v>
      </c>
      <c r="F53" s="135">
        <v>4.7</v>
      </c>
      <c r="G53" s="135">
        <v>3.5</v>
      </c>
      <c r="H53" s="135">
        <v>40.799999999999997</v>
      </c>
      <c r="I53" s="135">
        <v>0.3</v>
      </c>
      <c r="J53" s="135">
        <v>0.2</v>
      </c>
      <c r="K53" s="135">
        <v>0.7</v>
      </c>
      <c r="L53" s="135">
        <v>0</v>
      </c>
      <c r="M53" s="135">
        <v>15.6</v>
      </c>
      <c r="N53" s="135">
        <v>0</v>
      </c>
      <c r="O53" s="135">
        <v>0</v>
      </c>
      <c r="P53" s="135">
        <v>0</v>
      </c>
      <c r="Q53" s="135">
        <v>0</v>
      </c>
      <c r="R53" s="135">
        <v>9.4</v>
      </c>
      <c r="S53" s="135">
        <v>9.4</v>
      </c>
      <c r="T53" s="135">
        <v>0</v>
      </c>
    </row>
    <row r="54" spans="1:20" x14ac:dyDescent="0.3">
      <c r="A54" s="135">
        <v>53</v>
      </c>
      <c r="B54" s="135" t="s">
        <v>229</v>
      </c>
      <c r="C54" s="135" t="s">
        <v>20</v>
      </c>
      <c r="D54" s="135" t="s">
        <v>397</v>
      </c>
      <c r="E54" s="135">
        <v>1</v>
      </c>
      <c r="F54" s="135">
        <v>5.4</v>
      </c>
      <c r="G54" s="135">
        <v>3.1</v>
      </c>
      <c r="H54" s="135">
        <v>43.9</v>
      </c>
      <c r="I54" s="135">
        <v>0.3</v>
      </c>
      <c r="J54" s="135">
        <v>0.2</v>
      </c>
      <c r="K54" s="135">
        <v>1.5</v>
      </c>
      <c r="L54" s="135">
        <v>0</v>
      </c>
      <c r="M54" s="135">
        <v>0</v>
      </c>
      <c r="N54" s="135">
        <v>0</v>
      </c>
      <c r="O54" s="135">
        <v>0</v>
      </c>
      <c r="P54" s="135">
        <v>0</v>
      </c>
      <c r="Q54" s="135">
        <v>0</v>
      </c>
      <c r="R54" s="135">
        <v>9.4</v>
      </c>
      <c r="S54" s="135">
        <v>9.4</v>
      </c>
      <c r="T54" s="135">
        <v>0</v>
      </c>
    </row>
    <row r="55" spans="1:20" x14ac:dyDescent="0.3">
      <c r="A55" s="135">
        <v>54</v>
      </c>
      <c r="B55" s="135" t="s">
        <v>258</v>
      </c>
      <c r="C55" s="135" t="s">
        <v>57</v>
      </c>
      <c r="D55" s="135" t="s">
        <v>28</v>
      </c>
      <c r="E55" s="135">
        <v>1</v>
      </c>
      <c r="F55" s="135">
        <v>5.6</v>
      </c>
      <c r="G55" s="135">
        <v>3.4</v>
      </c>
      <c r="H55" s="135">
        <v>42.8</v>
      </c>
      <c r="I55" s="135">
        <v>0.3</v>
      </c>
      <c r="J55" s="135">
        <v>0</v>
      </c>
      <c r="K55" s="135">
        <v>0</v>
      </c>
      <c r="L55" s="135">
        <v>0</v>
      </c>
      <c r="M55" s="135">
        <v>0</v>
      </c>
      <c r="N55" s="135">
        <v>0</v>
      </c>
      <c r="O55" s="135">
        <v>0</v>
      </c>
      <c r="P55" s="135">
        <v>0</v>
      </c>
      <c r="Q55" s="135">
        <v>0</v>
      </c>
      <c r="R55" s="135">
        <v>9.1999999999999993</v>
      </c>
      <c r="S55" s="135">
        <v>9.1999999999999993</v>
      </c>
      <c r="T55" s="135">
        <v>0</v>
      </c>
    </row>
    <row r="56" spans="1:20" x14ac:dyDescent="0.3">
      <c r="A56" s="135">
        <v>55</v>
      </c>
      <c r="B56" s="135" t="s">
        <v>410</v>
      </c>
      <c r="C56" s="135" t="s">
        <v>26</v>
      </c>
      <c r="D56" s="135" t="s">
        <v>46</v>
      </c>
      <c r="E56" s="135">
        <v>1</v>
      </c>
      <c r="F56" s="135">
        <v>4.7</v>
      </c>
      <c r="G56" s="135">
        <v>3</v>
      </c>
      <c r="H56" s="135">
        <v>42.7</v>
      </c>
      <c r="I56" s="135">
        <v>0.3</v>
      </c>
      <c r="J56" s="135">
        <v>0</v>
      </c>
      <c r="K56" s="135">
        <v>0</v>
      </c>
      <c r="L56" s="135">
        <v>0</v>
      </c>
      <c r="M56" s="135">
        <v>0</v>
      </c>
      <c r="N56" s="135">
        <v>0</v>
      </c>
      <c r="O56" s="135">
        <v>0</v>
      </c>
      <c r="P56" s="135">
        <v>0</v>
      </c>
      <c r="Q56" s="135">
        <v>0</v>
      </c>
      <c r="R56" s="135">
        <v>9.1999999999999993</v>
      </c>
      <c r="S56" s="135">
        <v>9.1999999999999993</v>
      </c>
      <c r="T56" s="135">
        <v>0</v>
      </c>
    </row>
    <row r="57" spans="1:20" x14ac:dyDescent="0.3">
      <c r="A57" s="135">
        <v>56</v>
      </c>
      <c r="B57" s="135" t="s">
        <v>222</v>
      </c>
      <c r="C57" s="135" t="s">
        <v>22</v>
      </c>
      <c r="D57" s="135" t="s">
        <v>50</v>
      </c>
      <c r="E57" s="135">
        <v>1</v>
      </c>
      <c r="F57" s="135">
        <v>4.5999999999999996</v>
      </c>
      <c r="G57" s="135">
        <v>2.9</v>
      </c>
      <c r="H57" s="135">
        <v>40.700000000000003</v>
      </c>
      <c r="I57" s="135">
        <v>0.3</v>
      </c>
      <c r="J57" s="135">
        <v>0</v>
      </c>
      <c r="K57" s="135">
        <v>0</v>
      </c>
      <c r="L57" s="135">
        <v>0</v>
      </c>
      <c r="M57" s="135">
        <v>42.4</v>
      </c>
      <c r="N57" s="135">
        <v>0</v>
      </c>
      <c r="O57" s="135">
        <v>0</v>
      </c>
      <c r="P57" s="135">
        <v>0</v>
      </c>
      <c r="Q57" s="135">
        <v>0</v>
      </c>
      <c r="R57" s="135">
        <v>9.1999999999999993</v>
      </c>
      <c r="S57" s="135">
        <v>9.1999999999999993</v>
      </c>
      <c r="T57" s="135">
        <v>0</v>
      </c>
    </row>
    <row r="58" spans="1:20" x14ac:dyDescent="0.3">
      <c r="A58" s="135">
        <v>57</v>
      </c>
      <c r="B58" s="135" t="s">
        <v>249</v>
      </c>
      <c r="C58" s="135" t="s">
        <v>407</v>
      </c>
      <c r="D58" s="135" t="s">
        <v>404</v>
      </c>
      <c r="E58" s="135">
        <v>1</v>
      </c>
      <c r="F58" s="135">
        <v>5.0999999999999996</v>
      </c>
      <c r="G58" s="135">
        <v>2.9</v>
      </c>
      <c r="H58" s="135">
        <v>43.6</v>
      </c>
      <c r="I58" s="135">
        <v>0.3</v>
      </c>
      <c r="J58" s="135">
        <v>0</v>
      </c>
      <c r="K58" s="135">
        <v>0</v>
      </c>
      <c r="L58" s="135">
        <v>0</v>
      </c>
      <c r="M58" s="135">
        <v>0</v>
      </c>
      <c r="N58" s="135">
        <v>0</v>
      </c>
      <c r="O58" s="135">
        <v>0</v>
      </c>
      <c r="P58" s="135">
        <v>0</v>
      </c>
      <c r="Q58" s="135">
        <v>0</v>
      </c>
      <c r="R58" s="135">
        <v>9.1999999999999993</v>
      </c>
      <c r="S58" s="135">
        <v>9.1999999999999993</v>
      </c>
      <c r="T58" s="135">
        <v>0</v>
      </c>
    </row>
    <row r="59" spans="1:20" x14ac:dyDescent="0.3">
      <c r="A59" s="135">
        <v>58</v>
      </c>
      <c r="B59" s="135" t="s">
        <v>220</v>
      </c>
      <c r="C59" s="135" t="s">
        <v>18</v>
      </c>
      <c r="D59" s="135" t="s">
        <v>1239</v>
      </c>
      <c r="E59" s="135">
        <v>1</v>
      </c>
      <c r="F59" s="135">
        <v>4.7</v>
      </c>
      <c r="G59" s="135">
        <v>3.1</v>
      </c>
      <c r="H59" s="135">
        <v>42.4</v>
      </c>
      <c r="I59" s="135">
        <v>0.3</v>
      </c>
      <c r="J59" s="135">
        <v>0</v>
      </c>
      <c r="K59" s="135">
        <v>0</v>
      </c>
      <c r="L59" s="135">
        <v>0</v>
      </c>
      <c r="M59" s="135">
        <v>0</v>
      </c>
      <c r="N59" s="135">
        <v>0</v>
      </c>
      <c r="O59" s="135">
        <v>0</v>
      </c>
      <c r="P59" s="135">
        <v>0</v>
      </c>
      <c r="Q59" s="135">
        <v>0</v>
      </c>
      <c r="R59" s="135">
        <v>9.1</v>
      </c>
      <c r="S59" s="135">
        <v>9.1</v>
      </c>
      <c r="T59" s="135">
        <v>0</v>
      </c>
    </row>
    <row r="60" spans="1:20" x14ac:dyDescent="0.3">
      <c r="A60" s="135">
        <v>59</v>
      </c>
      <c r="B60" s="135" t="s">
        <v>456</v>
      </c>
      <c r="C60" s="135" t="s">
        <v>37</v>
      </c>
      <c r="D60" s="135" t="s">
        <v>41</v>
      </c>
      <c r="E60" s="135">
        <v>1</v>
      </c>
      <c r="F60" s="135">
        <v>5</v>
      </c>
      <c r="G60" s="135">
        <v>3.1</v>
      </c>
      <c r="H60" s="135">
        <v>40.200000000000003</v>
      </c>
      <c r="I60" s="135">
        <v>0.3</v>
      </c>
      <c r="J60" s="135">
        <v>0</v>
      </c>
      <c r="K60" s="135">
        <v>0</v>
      </c>
      <c r="L60" s="135">
        <v>0</v>
      </c>
      <c r="M60" s="135">
        <v>0</v>
      </c>
      <c r="N60" s="135">
        <v>0</v>
      </c>
      <c r="O60" s="135">
        <v>0</v>
      </c>
      <c r="P60" s="135">
        <v>0</v>
      </c>
      <c r="Q60" s="135">
        <v>0</v>
      </c>
      <c r="R60" s="135">
        <v>8.9</v>
      </c>
      <c r="S60" s="135">
        <v>8.9</v>
      </c>
      <c r="T60" s="135">
        <v>0</v>
      </c>
    </row>
    <row r="61" spans="1:20" x14ac:dyDescent="0.3">
      <c r="A61" s="135">
        <v>60</v>
      </c>
      <c r="B61" s="135" t="s">
        <v>257</v>
      </c>
      <c r="C61" s="135" t="s">
        <v>1239</v>
      </c>
      <c r="D61" s="135" t="s">
        <v>18</v>
      </c>
      <c r="E61" s="135">
        <v>1</v>
      </c>
      <c r="F61" s="135">
        <v>5</v>
      </c>
      <c r="G61" s="135">
        <v>3.3</v>
      </c>
      <c r="H61" s="135">
        <v>39.700000000000003</v>
      </c>
      <c r="I61" s="135">
        <v>0.2</v>
      </c>
      <c r="J61" s="135">
        <v>0.3</v>
      </c>
      <c r="K61" s="135">
        <v>2.4</v>
      </c>
      <c r="L61" s="135">
        <v>0</v>
      </c>
      <c r="M61" s="135">
        <v>0</v>
      </c>
      <c r="N61" s="135">
        <v>0</v>
      </c>
      <c r="O61" s="135">
        <v>0</v>
      </c>
      <c r="P61" s="135">
        <v>0</v>
      </c>
      <c r="Q61" s="135">
        <v>0</v>
      </c>
      <c r="R61" s="135">
        <v>8.6999999999999993</v>
      </c>
      <c r="S61" s="135">
        <v>8.6999999999999993</v>
      </c>
      <c r="T61" s="135">
        <v>0</v>
      </c>
    </row>
    <row r="62" spans="1:20" x14ac:dyDescent="0.3">
      <c r="A62" s="135">
        <v>61</v>
      </c>
      <c r="B62" s="135" t="s">
        <v>238</v>
      </c>
      <c r="C62" s="135" t="s">
        <v>18</v>
      </c>
      <c r="D62" s="135" t="s">
        <v>1239</v>
      </c>
      <c r="E62" s="135">
        <v>1</v>
      </c>
      <c r="F62" s="135">
        <v>3.7</v>
      </c>
      <c r="G62" s="135">
        <v>2.9</v>
      </c>
      <c r="H62" s="135">
        <v>39.200000000000003</v>
      </c>
      <c r="I62" s="135">
        <v>0.2</v>
      </c>
      <c r="J62" s="135">
        <v>0</v>
      </c>
      <c r="K62" s="135">
        <v>0</v>
      </c>
      <c r="L62" s="135">
        <v>0</v>
      </c>
      <c r="M62" s="135">
        <v>16.3</v>
      </c>
      <c r="N62" s="135">
        <v>0</v>
      </c>
      <c r="O62" s="135">
        <v>0</v>
      </c>
      <c r="P62" s="135">
        <v>0</v>
      </c>
      <c r="Q62" s="135">
        <v>0</v>
      </c>
      <c r="R62" s="135">
        <v>8.4</v>
      </c>
      <c r="S62" s="135">
        <v>8.4</v>
      </c>
      <c r="T62" s="135">
        <v>0</v>
      </c>
    </row>
    <row r="63" spans="1:20" x14ac:dyDescent="0.3">
      <c r="A63" s="135">
        <v>62</v>
      </c>
      <c r="B63" s="135" t="s">
        <v>462</v>
      </c>
      <c r="C63" s="135" t="s">
        <v>1237</v>
      </c>
      <c r="D63" s="135" t="s">
        <v>4</v>
      </c>
      <c r="E63" s="135">
        <v>1</v>
      </c>
      <c r="F63" s="135">
        <v>4.9000000000000004</v>
      </c>
      <c r="G63" s="135">
        <v>3</v>
      </c>
      <c r="H63" s="135">
        <v>38.200000000000003</v>
      </c>
      <c r="I63" s="135">
        <v>0.2</v>
      </c>
      <c r="J63" s="135">
        <v>0.2</v>
      </c>
      <c r="K63" s="135">
        <v>1.7</v>
      </c>
      <c r="L63" s="135">
        <v>0</v>
      </c>
      <c r="M63" s="135">
        <v>0</v>
      </c>
      <c r="N63" s="135">
        <v>0</v>
      </c>
      <c r="O63" s="135">
        <v>0</v>
      </c>
      <c r="P63" s="135">
        <v>0</v>
      </c>
      <c r="Q63" s="135">
        <v>0</v>
      </c>
      <c r="R63" s="135">
        <v>8.4</v>
      </c>
      <c r="S63" s="135">
        <v>8.4</v>
      </c>
      <c r="T63" s="135">
        <v>0</v>
      </c>
    </row>
    <row r="64" spans="1:20" x14ac:dyDescent="0.3">
      <c r="A64" s="135">
        <v>63</v>
      </c>
      <c r="B64" s="135" t="s">
        <v>278</v>
      </c>
      <c r="C64" s="135" t="s">
        <v>12</v>
      </c>
      <c r="D64" s="135" t="s">
        <v>16</v>
      </c>
      <c r="E64" s="135">
        <v>1</v>
      </c>
      <c r="F64" s="135">
        <v>4.8</v>
      </c>
      <c r="G64" s="135">
        <v>2.5</v>
      </c>
      <c r="H64" s="135">
        <v>35.799999999999997</v>
      </c>
      <c r="I64" s="135">
        <v>0.3</v>
      </c>
      <c r="J64" s="135">
        <v>0.2</v>
      </c>
      <c r="K64" s="135">
        <v>1.5</v>
      </c>
      <c r="L64" s="135">
        <v>0</v>
      </c>
      <c r="M64" s="135">
        <v>0</v>
      </c>
      <c r="N64" s="135">
        <v>0</v>
      </c>
      <c r="O64" s="135">
        <v>0</v>
      </c>
      <c r="P64" s="135">
        <v>0</v>
      </c>
      <c r="Q64" s="135">
        <v>0</v>
      </c>
      <c r="R64" s="135">
        <v>8.3000000000000007</v>
      </c>
      <c r="S64" s="135">
        <v>8.3000000000000007</v>
      </c>
      <c r="T64" s="135">
        <v>0</v>
      </c>
    </row>
    <row r="65" spans="1:20" x14ac:dyDescent="0.3">
      <c r="A65" s="135">
        <v>64</v>
      </c>
      <c r="B65" s="135" t="s">
        <v>465</v>
      </c>
      <c r="C65" s="135" t="s">
        <v>28</v>
      </c>
      <c r="D65" s="135" t="s">
        <v>57</v>
      </c>
      <c r="E65" s="135">
        <v>1</v>
      </c>
      <c r="F65" s="135">
        <v>4.3</v>
      </c>
      <c r="G65" s="135">
        <v>2.6</v>
      </c>
      <c r="H65" s="135">
        <v>36.700000000000003</v>
      </c>
      <c r="I65" s="135">
        <v>0.3</v>
      </c>
      <c r="J65" s="135">
        <v>0.3</v>
      </c>
      <c r="K65" s="135">
        <v>2.1</v>
      </c>
      <c r="L65" s="135">
        <v>0</v>
      </c>
      <c r="M65" s="135">
        <v>0</v>
      </c>
      <c r="N65" s="135">
        <v>0</v>
      </c>
      <c r="O65" s="135">
        <v>0</v>
      </c>
      <c r="P65" s="135">
        <v>0</v>
      </c>
      <c r="Q65" s="135">
        <v>0</v>
      </c>
      <c r="R65" s="135">
        <v>8.3000000000000007</v>
      </c>
      <c r="S65" s="135">
        <v>8.3000000000000007</v>
      </c>
      <c r="T65" s="135">
        <v>0</v>
      </c>
    </row>
    <row r="66" spans="1:20" x14ac:dyDescent="0.3">
      <c r="A66" s="135">
        <v>65</v>
      </c>
      <c r="B66" s="135" t="s">
        <v>269</v>
      </c>
      <c r="C66" s="135" t="s">
        <v>34</v>
      </c>
      <c r="D66" s="135" t="s">
        <v>7</v>
      </c>
      <c r="E66" s="135">
        <v>1</v>
      </c>
      <c r="F66" s="135">
        <v>6.1</v>
      </c>
      <c r="G66" s="135">
        <v>3.1</v>
      </c>
      <c r="H66" s="135">
        <v>34.9</v>
      </c>
      <c r="I66" s="135">
        <v>0.3</v>
      </c>
      <c r="J66" s="135">
        <v>0</v>
      </c>
      <c r="K66" s="135">
        <v>0</v>
      </c>
      <c r="L66" s="135">
        <v>0</v>
      </c>
      <c r="M66" s="135">
        <v>0</v>
      </c>
      <c r="N66" s="135">
        <v>0</v>
      </c>
      <c r="O66" s="135">
        <v>0</v>
      </c>
      <c r="P66" s="135">
        <v>0</v>
      </c>
      <c r="Q66" s="135">
        <v>0</v>
      </c>
      <c r="R66" s="135">
        <v>8.1999999999999993</v>
      </c>
      <c r="S66" s="135">
        <v>8.1999999999999993</v>
      </c>
      <c r="T66" s="135">
        <v>0</v>
      </c>
    </row>
    <row r="67" spans="1:20" x14ac:dyDescent="0.3">
      <c r="A67" s="135">
        <v>66</v>
      </c>
      <c r="B67" s="135" t="s">
        <v>294</v>
      </c>
      <c r="C67" s="135" t="s">
        <v>398</v>
      </c>
      <c r="D67" s="135" t="s">
        <v>52</v>
      </c>
      <c r="E67" s="135">
        <v>1</v>
      </c>
      <c r="F67" s="135">
        <v>4.9000000000000004</v>
      </c>
      <c r="G67" s="135">
        <v>2.9</v>
      </c>
      <c r="H67" s="135">
        <v>37.200000000000003</v>
      </c>
      <c r="I67" s="135">
        <v>0.2</v>
      </c>
      <c r="J67" s="135">
        <v>0</v>
      </c>
      <c r="K67" s="135">
        <v>0</v>
      </c>
      <c r="L67" s="135">
        <v>0</v>
      </c>
      <c r="M67" s="135">
        <v>9.4</v>
      </c>
      <c r="N67" s="135">
        <v>0</v>
      </c>
      <c r="O67" s="135">
        <v>0</v>
      </c>
      <c r="P67" s="135">
        <v>0</v>
      </c>
      <c r="Q67" s="135">
        <v>0</v>
      </c>
      <c r="R67" s="135">
        <v>8</v>
      </c>
      <c r="S67" s="135">
        <v>8</v>
      </c>
      <c r="T67" s="135">
        <v>0</v>
      </c>
    </row>
    <row r="68" spans="1:20" x14ac:dyDescent="0.3">
      <c r="A68" s="135">
        <v>67</v>
      </c>
      <c r="B68" s="135" t="s">
        <v>225</v>
      </c>
      <c r="C68" s="135" t="s">
        <v>7</v>
      </c>
      <c r="D68" s="135" t="s">
        <v>34</v>
      </c>
      <c r="E68" s="135">
        <v>1</v>
      </c>
      <c r="F68" s="135">
        <v>3.8</v>
      </c>
      <c r="G68" s="135">
        <v>2.8</v>
      </c>
      <c r="H68" s="135">
        <v>35.200000000000003</v>
      </c>
      <c r="I68" s="135">
        <v>0.2</v>
      </c>
      <c r="J68" s="135">
        <v>0</v>
      </c>
      <c r="K68" s="135">
        <v>0</v>
      </c>
      <c r="L68" s="135">
        <v>0</v>
      </c>
      <c r="M68" s="135">
        <v>0</v>
      </c>
      <c r="N68" s="135">
        <v>0</v>
      </c>
      <c r="O68" s="135">
        <v>0</v>
      </c>
      <c r="P68" s="135">
        <v>0</v>
      </c>
      <c r="Q68" s="135">
        <v>0</v>
      </c>
      <c r="R68" s="135">
        <v>7.7</v>
      </c>
      <c r="S68" s="135">
        <v>7.7</v>
      </c>
      <c r="T68" s="135">
        <v>0</v>
      </c>
    </row>
    <row r="69" spans="1:20" x14ac:dyDescent="0.3">
      <c r="A69" s="135">
        <v>68</v>
      </c>
      <c r="B69" s="135" t="s">
        <v>518</v>
      </c>
      <c r="C69" s="135" t="s">
        <v>16</v>
      </c>
      <c r="D69" s="135" t="s">
        <v>12</v>
      </c>
      <c r="E69" s="135">
        <v>1</v>
      </c>
      <c r="F69" s="135">
        <v>3.3</v>
      </c>
      <c r="G69" s="135">
        <v>2.6</v>
      </c>
      <c r="H69" s="135">
        <v>35.799999999999997</v>
      </c>
      <c r="I69" s="135">
        <v>0.2</v>
      </c>
      <c r="J69" s="135">
        <v>0</v>
      </c>
      <c r="K69" s="135">
        <v>0</v>
      </c>
      <c r="L69" s="135">
        <v>0</v>
      </c>
      <c r="M69" s="135">
        <v>0</v>
      </c>
      <c r="N69" s="135">
        <v>0</v>
      </c>
      <c r="O69" s="135">
        <v>0</v>
      </c>
      <c r="P69" s="135">
        <v>0</v>
      </c>
      <c r="Q69" s="135">
        <v>0</v>
      </c>
      <c r="R69" s="135">
        <v>7.5</v>
      </c>
      <c r="S69" s="135">
        <v>7.5</v>
      </c>
      <c r="T69" s="135">
        <v>0</v>
      </c>
    </row>
    <row r="70" spans="1:20" x14ac:dyDescent="0.3">
      <c r="A70" s="135">
        <v>69</v>
      </c>
      <c r="B70" s="135" t="s">
        <v>230</v>
      </c>
      <c r="C70" s="135" t="s">
        <v>52</v>
      </c>
      <c r="D70" s="135" t="s">
        <v>398</v>
      </c>
      <c r="E70" s="135">
        <v>1</v>
      </c>
      <c r="F70" s="135">
        <v>3.9</v>
      </c>
      <c r="G70" s="135">
        <v>2.2000000000000002</v>
      </c>
      <c r="H70" s="135">
        <v>36.200000000000003</v>
      </c>
      <c r="I70" s="135">
        <v>0.3</v>
      </c>
      <c r="J70" s="135">
        <v>0</v>
      </c>
      <c r="K70" s="135">
        <v>0</v>
      </c>
      <c r="L70" s="135">
        <v>0</v>
      </c>
      <c r="M70" s="135">
        <v>0</v>
      </c>
      <c r="N70" s="135">
        <v>0</v>
      </c>
      <c r="O70" s="135">
        <v>0</v>
      </c>
      <c r="P70" s="135">
        <v>0</v>
      </c>
      <c r="Q70" s="135">
        <v>0</v>
      </c>
      <c r="R70" s="135">
        <v>7.5</v>
      </c>
      <c r="S70" s="135">
        <v>7.5</v>
      </c>
      <c r="T70" s="135">
        <v>0</v>
      </c>
    </row>
    <row r="71" spans="1:20" x14ac:dyDescent="0.3">
      <c r="A71" s="135">
        <v>70</v>
      </c>
      <c r="B71" s="135" t="s">
        <v>260</v>
      </c>
      <c r="C71" s="135" t="s">
        <v>28</v>
      </c>
      <c r="D71" s="135" t="s">
        <v>57</v>
      </c>
      <c r="E71" s="135">
        <v>1</v>
      </c>
      <c r="F71" s="135">
        <v>4.3</v>
      </c>
      <c r="G71" s="135">
        <v>2.2999999999999998</v>
      </c>
      <c r="H71" s="135">
        <v>32.799999999999997</v>
      </c>
      <c r="I71" s="135">
        <v>0.3</v>
      </c>
      <c r="J71" s="135">
        <v>0</v>
      </c>
      <c r="K71" s="135">
        <v>0</v>
      </c>
      <c r="L71" s="135">
        <v>0</v>
      </c>
      <c r="M71" s="135">
        <v>0</v>
      </c>
      <c r="N71" s="135">
        <v>0</v>
      </c>
      <c r="O71" s="135">
        <v>0</v>
      </c>
      <c r="P71" s="135">
        <v>0</v>
      </c>
      <c r="Q71" s="135">
        <v>0</v>
      </c>
      <c r="R71" s="135">
        <v>7.4</v>
      </c>
      <c r="S71" s="135">
        <v>7.4</v>
      </c>
      <c r="T71" s="135">
        <v>0</v>
      </c>
    </row>
    <row r="72" spans="1:20" x14ac:dyDescent="0.3">
      <c r="A72" s="135">
        <v>71</v>
      </c>
      <c r="B72" s="135" t="s">
        <v>767</v>
      </c>
      <c r="C72" s="135" t="s">
        <v>18</v>
      </c>
      <c r="D72" s="135" t="s">
        <v>1239</v>
      </c>
      <c r="E72" s="135">
        <v>1</v>
      </c>
      <c r="F72" s="135">
        <v>4.0999999999999996</v>
      </c>
      <c r="G72" s="135">
        <v>2.4</v>
      </c>
      <c r="H72" s="135">
        <v>33.700000000000003</v>
      </c>
      <c r="I72" s="135">
        <v>0.3</v>
      </c>
      <c r="J72" s="135">
        <v>0</v>
      </c>
      <c r="K72" s="135">
        <v>0</v>
      </c>
      <c r="L72" s="135">
        <v>0</v>
      </c>
      <c r="M72" s="135">
        <v>0</v>
      </c>
      <c r="N72" s="135">
        <v>0</v>
      </c>
      <c r="O72" s="135">
        <v>0</v>
      </c>
      <c r="P72" s="135">
        <v>0</v>
      </c>
      <c r="Q72" s="135">
        <v>0</v>
      </c>
      <c r="R72" s="135">
        <v>7.4</v>
      </c>
      <c r="S72" s="135">
        <v>7.4</v>
      </c>
      <c r="T72" s="135">
        <v>0</v>
      </c>
    </row>
    <row r="73" spans="1:20" x14ac:dyDescent="0.3">
      <c r="A73" s="135">
        <v>72</v>
      </c>
      <c r="B73" s="135" t="s">
        <v>231</v>
      </c>
      <c r="C73" s="135" t="s">
        <v>10</v>
      </c>
      <c r="D73" s="135" t="s">
        <v>402</v>
      </c>
      <c r="E73" s="135">
        <v>1</v>
      </c>
      <c r="F73" s="135">
        <v>4.5999999999999996</v>
      </c>
      <c r="G73" s="135">
        <v>2.7</v>
      </c>
      <c r="H73" s="135">
        <v>33.1</v>
      </c>
      <c r="I73" s="135">
        <v>0.2</v>
      </c>
      <c r="J73" s="135">
        <v>0</v>
      </c>
      <c r="K73" s="135">
        <v>0</v>
      </c>
      <c r="L73" s="135">
        <v>0</v>
      </c>
      <c r="M73" s="135">
        <v>0</v>
      </c>
      <c r="N73" s="135">
        <v>0</v>
      </c>
      <c r="O73" s="135">
        <v>0</v>
      </c>
      <c r="P73" s="135">
        <v>0</v>
      </c>
      <c r="Q73" s="135">
        <v>0</v>
      </c>
      <c r="R73" s="135">
        <v>7.3</v>
      </c>
      <c r="S73" s="135">
        <v>7.3</v>
      </c>
      <c r="T73" s="135">
        <v>0</v>
      </c>
    </row>
    <row r="74" spans="1:20" x14ac:dyDescent="0.3">
      <c r="A74" s="135">
        <v>73</v>
      </c>
      <c r="B74" s="135" t="s">
        <v>237</v>
      </c>
      <c r="C74" s="135" t="s">
        <v>409</v>
      </c>
      <c r="D74" s="135" t="s">
        <v>1236</v>
      </c>
      <c r="E74" s="135">
        <v>1</v>
      </c>
      <c r="F74" s="135">
        <v>5.3</v>
      </c>
      <c r="G74" s="135">
        <v>2.8</v>
      </c>
      <c r="H74" s="135">
        <v>35.9</v>
      </c>
      <c r="I74" s="135">
        <v>0.1</v>
      </c>
      <c r="J74" s="135">
        <v>0</v>
      </c>
      <c r="K74" s="135">
        <v>0</v>
      </c>
      <c r="L74" s="135">
        <v>0</v>
      </c>
      <c r="M74" s="135">
        <v>0</v>
      </c>
      <c r="N74" s="135">
        <v>0</v>
      </c>
      <c r="O74" s="135">
        <v>0</v>
      </c>
      <c r="P74" s="135">
        <v>0</v>
      </c>
      <c r="Q74" s="135">
        <v>0</v>
      </c>
      <c r="R74" s="135">
        <v>7.2</v>
      </c>
      <c r="S74" s="135">
        <v>7.2</v>
      </c>
      <c r="T74" s="135">
        <v>0</v>
      </c>
    </row>
    <row r="75" spans="1:20" x14ac:dyDescent="0.3">
      <c r="A75" s="135">
        <v>74</v>
      </c>
      <c r="B75" s="135" t="s">
        <v>306</v>
      </c>
      <c r="C75" s="135" t="s">
        <v>10</v>
      </c>
      <c r="D75" s="135" t="s">
        <v>402</v>
      </c>
      <c r="E75" s="135">
        <v>1</v>
      </c>
      <c r="F75" s="135">
        <v>3.4</v>
      </c>
      <c r="G75" s="135">
        <v>2.7</v>
      </c>
      <c r="H75" s="135">
        <v>34.700000000000003</v>
      </c>
      <c r="I75" s="135">
        <v>0.2</v>
      </c>
      <c r="J75" s="135">
        <v>0</v>
      </c>
      <c r="K75" s="135">
        <v>0</v>
      </c>
      <c r="L75" s="135">
        <v>0</v>
      </c>
      <c r="M75" s="135">
        <v>0</v>
      </c>
      <c r="N75" s="135">
        <v>0</v>
      </c>
      <c r="O75" s="135">
        <v>0</v>
      </c>
      <c r="P75" s="135">
        <v>0</v>
      </c>
      <c r="Q75" s="135">
        <v>0</v>
      </c>
      <c r="R75" s="135">
        <v>7.1</v>
      </c>
      <c r="S75" s="135">
        <v>7.1</v>
      </c>
      <c r="T75" s="135">
        <v>0</v>
      </c>
    </row>
    <row r="76" spans="1:20" x14ac:dyDescent="0.3">
      <c r="A76" s="135">
        <v>75</v>
      </c>
      <c r="B76" s="135" t="s">
        <v>276</v>
      </c>
      <c r="C76" s="135" t="s">
        <v>402</v>
      </c>
      <c r="D76" s="135" t="s">
        <v>10</v>
      </c>
      <c r="E76" s="135">
        <v>1</v>
      </c>
      <c r="F76" s="135">
        <v>4.3</v>
      </c>
      <c r="G76" s="135">
        <v>2.6</v>
      </c>
      <c r="H76" s="135">
        <v>29.6</v>
      </c>
      <c r="I76" s="135">
        <v>0.2</v>
      </c>
      <c r="J76" s="135">
        <v>0</v>
      </c>
      <c r="K76" s="135">
        <v>0</v>
      </c>
      <c r="L76" s="135">
        <v>0</v>
      </c>
      <c r="M76" s="135">
        <v>0</v>
      </c>
      <c r="N76" s="135">
        <v>0</v>
      </c>
      <c r="O76" s="135">
        <v>0</v>
      </c>
      <c r="P76" s="135">
        <v>0</v>
      </c>
      <c r="Q76" s="135">
        <v>0</v>
      </c>
      <c r="R76" s="135">
        <v>6.9</v>
      </c>
      <c r="S76" s="135">
        <v>6.9</v>
      </c>
      <c r="T76" s="135">
        <v>0</v>
      </c>
    </row>
    <row r="77" spans="1:20" x14ac:dyDescent="0.3">
      <c r="A77" s="135">
        <v>76</v>
      </c>
      <c r="B77" s="135" t="s">
        <v>265</v>
      </c>
      <c r="C77" s="135" t="s">
        <v>398</v>
      </c>
      <c r="D77" s="135" t="s">
        <v>52</v>
      </c>
      <c r="E77" s="135">
        <v>1</v>
      </c>
      <c r="F77" s="135">
        <v>4.3</v>
      </c>
      <c r="G77" s="135">
        <v>2.4</v>
      </c>
      <c r="H77" s="135">
        <v>33.4</v>
      </c>
      <c r="I77" s="135">
        <v>0.2</v>
      </c>
      <c r="J77" s="135">
        <v>0</v>
      </c>
      <c r="K77" s="135">
        <v>0</v>
      </c>
      <c r="L77" s="135">
        <v>0</v>
      </c>
      <c r="M77" s="135">
        <v>0</v>
      </c>
      <c r="N77" s="135">
        <v>0</v>
      </c>
      <c r="O77" s="135">
        <v>0</v>
      </c>
      <c r="P77" s="135">
        <v>0</v>
      </c>
      <c r="Q77" s="135">
        <v>0</v>
      </c>
      <c r="R77" s="135">
        <v>6.8</v>
      </c>
      <c r="S77" s="135">
        <v>6.8</v>
      </c>
      <c r="T77" s="135">
        <v>0</v>
      </c>
    </row>
    <row r="78" spans="1:20" x14ac:dyDescent="0.3">
      <c r="A78" s="135">
        <v>77</v>
      </c>
      <c r="B78" s="135" t="s">
        <v>285</v>
      </c>
      <c r="C78" s="135" t="s">
        <v>397</v>
      </c>
      <c r="D78" s="135" t="s">
        <v>20</v>
      </c>
      <c r="E78" s="135">
        <v>1</v>
      </c>
      <c r="F78" s="135">
        <v>4.3</v>
      </c>
      <c r="G78" s="135">
        <v>2.4</v>
      </c>
      <c r="H78" s="135">
        <v>30.5</v>
      </c>
      <c r="I78" s="135">
        <v>0.2</v>
      </c>
      <c r="J78" s="135">
        <v>0</v>
      </c>
      <c r="K78" s="135">
        <v>0</v>
      </c>
      <c r="L78" s="135">
        <v>0</v>
      </c>
      <c r="M78" s="135">
        <v>0</v>
      </c>
      <c r="N78" s="135">
        <v>0</v>
      </c>
      <c r="O78" s="135">
        <v>0</v>
      </c>
      <c r="P78" s="135">
        <v>0</v>
      </c>
      <c r="Q78" s="135">
        <v>0</v>
      </c>
      <c r="R78" s="135">
        <v>6.8</v>
      </c>
      <c r="S78" s="135">
        <v>6.8</v>
      </c>
      <c r="T78" s="135">
        <v>0</v>
      </c>
    </row>
    <row r="79" spans="1:20" x14ac:dyDescent="0.3">
      <c r="A79" s="135">
        <v>78</v>
      </c>
      <c r="B79" s="135" t="s">
        <v>292</v>
      </c>
      <c r="C79" s="135" t="s">
        <v>41</v>
      </c>
      <c r="D79" s="135" t="s">
        <v>37</v>
      </c>
      <c r="E79" s="135">
        <v>1</v>
      </c>
      <c r="F79" s="135">
        <v>3.1</v>
      </c>
      <c r="G79" s="135">
        <v>2.5</v>
      </c>
      <c r="H79" s="135">
        <v>32.5</v>
      </c>
      <c r="I79" s="135">
        <v>0.1</v>
      </c>
      <c r="J79" s="135">
        <v>0</v>
      </c>
      <c r="K79" s="135">
        <v>0</v>
      </c>
      <c r="L79" s="135">
        <v>0</v>
      </c>
      <c r="M79" s="135">
        <v>0</v>
      </c>
      <c r="N79" s="135">
        <v>0</v>
      </c>
      <c r="O79" s="135">
        <v>0</v>
      </c>
      <c r="P79" s="135">
        <v>0</v>
      </c>
      <c r="Q79" s="135">
        <v>0</v>
      </c>
      <c r="R79" s="135">
        <v>6.6</v>
      </c>
      <c r="S79" s="135">
        <v>6.6</v>
      </c>
      <c r="T79" s="135">
        <v>0</v>
      </c>
    </row>
    <row r="80" spans="1:20" x14ac:dyDescent="0.3">
      <c r="A80" s="135">
        <v>79</v>
      </c>
      <c r="B80" s="135" t="s">
        <v>245</v>
      </c>
      <c r="C80" s="135" t="s">
        <v>4</v>
      </c>
      <c r="D80" s="135" t="s">
        <v>1237</v>
      </c>
      <c r="E80" s="135">
        <v>1</v>
      </c>
      <c r="F80" s="135">
        <v>3.4</v>
      </c>
      <c r="G80" s="135">
        <v>2.1</v>
      </c>
      <c r="H80" s="135">
        <v>27.9</v>
      </c>
      <c r="I80" s="135">
        <v>0.2</v>
      </c>
      <c r="J80" s="135">
        <v>0</v>
      </c>
      <c r="K80" s="135">
        <v>0</v>
      </c>
      <c r="L80" s="135">
        <v>0</v>
      </c>
      <c r="M80" s="135">
        <v>0</v>
      </c>
      <c r="N80" s="135">
        <v>0</v>
      </c>
      <c r="O80" s="135">
        <v>0</v>
      </c>
      <c r="P80" s="135">
        <v>0</v>
      </c>
      <c r="Q80" s="135">
        <v>0</v>
      </c>
      <c r="R80" s="135">
        <v>6.2</v>
      </c>
      <c r="S80" s="135">
        <v>6.2</v>
      </c>
      <c r="T80" s="135">
        <v>0</v>
      </c>
    </row>
    <row r="81" spans="1:20" x14ac:dyDescent="0.3">
      <c r="A81" s="135">
        <v>80</v>
      </c>
      <c r="B81" s="135" t="s">
        <v>1248</v>
      </c>
      <c r="C81" s="135" t="s">
        <v>20</v>
      </c>
      <c r="D81" s="135" t="s">
        <v>397</v>
      </c>
      <c r="E81" s="135">
        <v>1</v>
      </c>
      <c r="F81" s="135">
        <v>3.6</v>
      </c>
      <c r="G81" s="135">
        <v>2.2000000000000002</v>
      </c>
      <c r="H81" s="135">
        <v>28</v>
      </c>
      <c r="I81" s="135">
        <v>0.2</v>
      </c>
      <c r="J81" s="135">
        <v>0</v>
      </c>
      <c r="K81" s="135">
        <v>0</v>
      </c>
      <c r="L81" s="135">
        <v>0</v>
      </c>
      <c r="M81" s="135">
        <v>10.1</v>
      </c>
      <c r="N81" s="135">
        <v>0</v>
      </c>
      <c r="O81" s="135">
        <v>0</v>
      </c>
      <c r="P81" s="135">
        <v>0</v>
      </c>
      <c r="Q81" s="135">
        <v>0</v>
      </c>
      <c r="R81" s="135">
        <v>6.2</v>
      </c>
      <c r="S81" s="135">
        <v>6.2</v>
      </c>
      <c r="T81" s="135">
        <v>0</v>
      </c>
    </row>
    <row r="82" spans="1:20" x14ac:dyDescent="0.3">
      <c r="A82" s="135">
        <v>81</v>
      </c>
      <c r="B82" s="135" t="s">
        <v>514</v>
      </c>
      <c r="C82" s="135" t="s">
        <v>1239</v>
      </c>
      <c r="D82" s="135" t="s">
        <v>18</v>
      </c>
      <c r="E82" s="135">
        <v>1</v>
      </c>
      <c r="F82" s="135">
        <v>4</v>
      </c>
      <c r="G82" s="135">
        <v>2.4</v>
      </c>
      <c r="H82" s="135">
        <v>32.299999999999997</v>
      </c>
      <c r="I82" s="135">
        <v>0.1</v>
      </c>
      <c r="J82" s="135">
        <v>0</v>
      </c>
      <c r="K82" s="135">
        <v>0</v>
      </c>
      <c r="L82" s="135">
        <v>0</v>
      </c>
      <c r="M82" s="135">
        <v>0</v>
      </c>
      <c r="N82" s="135">
        <v>0</v>
      </c>
      <c r="O82" s="135">
        <v>0</v>
      </c>
      <c r="P82" s="135">
        <v>0</v>
      </c>
      <c r="Q82" s="135">
        <v>0</v>
      </c>
      <c r="R82" s="135">
        <v>6.1</v>
      </c>
      <c r="S82" s="135">
        <v>6.1</v>
      </c>
      <c r="T82" s="135">
        <v>0</v>
      </c>
    </row>
    <row r="83" spans="1:20" x14ac:dyDescent="0.3">
      <c r="A83" s="135">
        <v>82</v>
      </c>
      <c r="B83" s="135" t="s">
        <v>248</v>
      </c>
      <c r="C83" s="135" t="s">
        <v>397</v>
      </c>
      <c r="D83" s="135" t="s">
        <v>20</v>
      </c>
      <c r="E83" s="135">
        <v>1</v>
      </c>
      <c r="F83" s="135">
        <v>3.3</v>
      </c>
      <c r="G83" s="135">
        <v>2.1</v>
      </c>
      <c r="H83" s="135">
        <v>29</v>
      </c>
      <c r="I83" s="135">
        <v>0.2</v>
      </c>
      <c r="J83" s="135">
        <v>0</v>
      </c>
      <c r="K83" s="135">
        <v>0</v>
      </c>
      <c r="L83" s="135">
        <v>0</v>
      </c>
      <c r="M83" s="135">
        <v>0</v>
      </c>
      <c r="N83" s="135">
        <v>0</v>
      </c>
      <c r="O83" s="135">
        <v>0</v>
      </c>
      <c r="P83" s="135">
        <v>0</v>
      </c>
      <c r="Q83" s="135">
        <v>0</v>
      </c>
      <c r="R83" s="135">
        <v>6</v>
      </c>
      <c r="S83" s="135">
        <v>6</v>
      </c>
      <c r="T83" s="135">
        <v>0</v>
      </c>
    </row>
    <row r="84" spans="1:20" x14ac:dyDescent="0.3">
      <c r="A84" s="135">
        <v>83</v>
      </c>
      <c r="B84" s="135" t="s">
        <v>228</v>
      </c>
      <c r="C84" s="135" t="s">
        <v>402</v>
      </c>
      <c r="D84" s="135" t="s">
        <v>10</v>
      </c>
      <c r="E84" s="135">
        <v>1</v>
      </c>
      <c r="F84" s="135">
        <v>2.9</v>
      </c>
      <c r="G84" s="135">
        <v>2.2999999999999998</v>
      </c>
      <c r="H84" s="135">
        <v>26.9</v>
      </c>
      <c r="I84" s="135">
        <v>0.1</v>
      </c>
      <c r="J84" s="135">
        <v>0.2</v>
      </c>
      <c r="K84" s="135">
        <v>1.2</v>
      </c>
      <c r="L84" s="135">
        <v>0</v>
      </c>
      <c r="M84" s="135">
        <v>0</v>
      </c>
      <c r="N84" s="135">
        <v>0</v>
      </c>
      <c r="O84" s="135">
        <v>0</v>
      </c>
      <c r="P84" s="135">
        <v>0</v>
      </c>
      <c r="Q84" s="135">
        <v>0</v>
      </c>
      <c r="R84" s="135">
        <v>5.9</v>
      </c>
      <c r="S84" s="135">
        <v>5.9</v>
      </c>
      <c r="T84" s="135">
        <v>0</v>
      </c>
    </row>
    <row r="85" spans="1:20" x14ac:dyDescent="0.3">
      <c r="A85" s="135">
        <v>84</v>
      </c>
      <c r="B85" s="135" t="s">
        <v>1785</v>
      </c>
      <c r="C85" s="135" t="s">
        <v>41</v>
      </c>
      <c r="D85" s="135" t="s">
        <v>37</v>
      </c>
      <c r="E85" s="135">
        <v>1</v>
      </c>
      <c r="F85" s="135">
        <v>3.1</v>
      </c>
      <c r="G85" s="135">
        <v>2.2000000000000002</v>
      </c>
      <c r="H85" s="135">
        <v>28.6</v>
      </c>
      <c r="I85" s="135">
        <v>0.1</v>
      </c>
      <c r="J85" s="135">
        <v>0</v>
      </c>
      <c r="K85" s="135">
        <v>0</v>
      </c>
      <c r="L85" s="135">
        <v>0</v>
      </c>
      <c r="M85" s="135">
        <v>0</v>
      </c>
      <c r="N85" s="135">
        <v>0</v>
      </c>
      <c r="O85" s="135">
        <v>0</v>
      </c>
      <c r="P85" s="135">
        <v>0</v>
      </c>
      <c r="Q85" s="135">
        <v>0</v>
      </c>
      <c r="R85" s="135">
        <v>5.9</v>
      </c>
      <c r="S85" s="135">
        <v>5.9</v>
      </c>
      <c r="T85" s="135">
        <v>0</v>
      </c>
    </row>
    <row r="86" spans="1:20" x14ac:dyDescent="0.3">
      <c r="A86" s="135">
        <v>85</v>
      </c>
      <c r="B86" s="135" t="s">
        <v>765</v>
      </c>
      <c r="C86" s="135" t="s">
        <v>409</v>
      </c>
      <c r="D86" s="135" t="s">
        <v>1236</v>
      </c>
      <c r="E86" s="135">
        <v>1</v>
      </c>
      <c r="F86" s="135">
        <v>3.5</v>
      </c>
      <c r="G86" s="135">
        <v>2.2000000000000002</v>
      </c>
      <c r="H86" s="135">
        <v>27.5</v>
      </c>
      <c r="I86" s="135">
        <v>0.1</v>
      </c>
      <c r="J86" s="135">
        <v>0.2</v>
      </c>
      <c r="K86" s="135">
        <v>1.7</v>
      </c>
      <c r="L86" s="135">
        <v>0</v>
      </c>
      <c r="M86" s="135">
        <v>0</v>
      </c>
      <c r="N86" s="135">
        <v>0</v>
      </c>
      <c r="O86" s="135">
        <v>0</v>
      </c>
      <c r="P86" s="135">
        <v>0</v>
      </c>
      <c r="Q86" s="135">
        <v>0</v>
      </c>
      <c r="R86" s="135">
        <v>5.7</v>
      </c>
      <c r="S86" s="135">
        <v>5.7</v>
      </c>
      <c r="T86" s="135">
        <v>0</v>
      </c>
    </row>
    <row r="87" spans="1:20" x14ac:dyDescent="0.3">
      <c r="A87" s="135">
        <v>86</v>
      </c>
      <c r="B87" s="135" t="s">
        <v>236</v>
      </c>
      <c r="C87" s="135" t="s">
        <v>30</v>
      </c>
      <c r="D87" s="135" t="s">
        <v>1238</v>
      </c>
      <c r="E87" s="135">
        <v>1</v>
      </c>
      <c r="F87" s="135">
        <v>3.3</v>
      </c>
      <c r="G87" s="135">
        <v>2</v>
      </c>
      <c r="H87" s="135">
        <v>25.3</v>
      </c>
      <c r="I87" s="135">
        <v>0.1</v>
      </c>
      <c r="J87" s="135">
        <v>0</v>
      </c>
      <c r="K87" s="135">
        <v>0</v>
      </c>
      <c r="L87" s="135">
        <v>0</v>
      </c>
      <c r="M87" s="135">
        <v>0</v>
      </c>
      <c r="N87" s="135">
        <v>0</v>
      </c>
      <c r="O87" s="135">
        <v>0</v>
      </c>
      <c r="P87" s="135">
        <v>0</v>
      </c>
      <c r="Q87" s="135">
        <v>0</v>
      </c>
      <c r="R87" s="135">
        <v>5.4</v>
      </c>
      <c r="S87" s="135">
        <v>5.4</v>
      </c>
      <c r="T87" s="135">
        <v>0</v>
      </c>
    </row>
    <row r="88" spans="1:20" x14ac:dyDescent="0.3">
      <c r="A88" s="135">
        <v>87</v>
      </c>
      <c r="B88" s="135" t="s">
        <v>490</v>
      </c>
      <c r="C88" s="135" t="s">
        <v>1238</v>
      </c>
      <c r="D88" s="135" t="s">
        <v>30</v>
      </c>
      <c r="E88" s="135">
        <v>1</v>
      </c>
      <c r="F88" s="135">
        <v>2.9</v>
      </c>
      <c r="G88" s="135">
        <v>1.8</v>
      </c>
      <c r="H88" s="135">
        <v>21.6</v>
      </c>
      <c r="I88" s="135">
        <v>0.2</v>
      </c>
      <c r="J88" s="135">
        <v>0.3</v>
      </c>
      <c r="K88" s="135">
        <v>1.9</v>
      </c>
      <c r="L88" s="135">
        <v>0</v>
      </c>
      <c r="M88" s="135">
        <v>0</v>
      </c>
      <c r="N88" s="135">
        <v>0</v>
      </c>
      <c r="O88" s="135">
        <v>0</v>
      </c>
      <c r="P88" s="135">
        <v>0</v>
      </c>
      <c r="Q88" s="135">
        <v>0</v>
      </c>
      <c r="R88" s="135">
        <v>5.2</v>
      </c>
      <c r="S88" s="135">
        <v>5.2</v>
      </c>
      <c r="T88" s="135">
        <v>0</v>
      </c>
    </row>
    <row r="89" spans="1:20" x14ac:dyDescent="0.3">
      <c r="A89" s="135">
        <v>88</v>
      </c>
      <c r="B89" s="135" t="s">
        <v>315</v>
      </c>
      <c r="C89" s="135" t="s">
        <v>20</v>
      </c>
      <c r="D89" s="135" t="s">
        <v>397</v>
      </c>
      <c r="E89" s="135">
        <v>1</v>
      </c>
      <c r="F89" s="135">
        <v>2.9</v>
      </c>
      <c r="G89" s="135">
        <v>1.7</v>
      </c>
      <c r="H89" s="135">
        <v>26.5</v>
      </c>
      <c r="I89" s="135">
        <v>0.1</v>
      </c>
      <c r="J89" s="135">
        <v>0</v>
      </c>
      <c r="K89" s="135">
        <v>0</v>
      </c>
      <c r="L89" s="135">
        <v>0</v>
      </c>
      <c r="M89" s="135">
        <v>0</v>
      </c>
      <c r="N89" s="135">
        <v>0</v>
      </c>
      <c r="O89" s="135">
        <v>0</v>
      </c>
      <c r="P89" s="135">
        <v>0</v>
      </c>
      <c r="Q89" s="135">
        <v>0</v>
      </c>
      <c r="R89" s="135">
        <v>5.2</v>
      </c>
      <c r="S89" s="135">
        <v>5.2</v>
      </c>
      <c r="T89" s="135">
        <v>0</v>
      </c>
    </row>
    <row r="90" spans="1:20" x14ac:dyDescent="0.3">
      <c r="A90" s="135">
        <v>89</v>
      </c>
      <c r="B90" s="135" t="s">
        <v>766</v>
      </c>
      <c r="C90" s="135" t="s">
        <v>22</v>
      </c>
      <c r="D90" s="135" t="s">
        <v>50</v>
      </c>
      <c r="E90" s="135">
        <v>1</v>
      </c>
      <c r="F90" s="135">
        <v>2.6</v>
      </c>
      <c r="G90" s="135">
        <v>1.7</v>
      </c>
      <c r="H90" s="135">
        <v>21.8</v>
      </c>
      <c r="I90" s="135">
        <v>0.2</v>
      </c>
      <c r="J90" s="135">
        <v>0</v>
      </c>
      <c r="K90" s="135">
        <v>0</v>
      </c>
      <c r="L90" s="135">
        <v>0</v>
      </c>
      <c r="M90" s="135">
        <v>0</v>
      </c>
      <c r="N90" s="135">
        <v>0</v>
      </c>
      <c r="O90" s="135">
        <v>0</v>
      </c>
      <c r="P90" s="135">
        <v>0</v>
      </c>
      <c r="Q90" s="135">
        <v>0</v>
      </c>
      <c r="R90" s="135">
        <v>4.9000000000000004</v>
      </c>
      <c r="S90" s="135">
        <v>4.9000000000000004</v>
      </c>
      <c r="T90" s="135">
        <v>0</v>
      </c>
    </row>
    <row r="91" spans="1:20" x14ac:dyDescent="0.3">
      <c r="A91" s="135">
        <v>90</v>
      </c>
      <c r="B91" s="135" t="s">
        <v>284</v>
      </c>
      <c r="C91" s="135" t="s">
        <v>50</v>
      </c>
      <c r="D91" s="135" t="s">
        <v>22</v>
      </c>
      <c r="E91" s="135">
        <v>1</v>
      </c>
      <c r="F91" s="135">
        <v>3.2</v>
      </c>
      <c r="G91" s="135">
        <v>2</v>
      </c>
      <c r="H91" s="135">
        <v>22.2</v>
      </c>
      <c r="I91" s="135">
        <v>0.1</v>
      </c>
      <c r="J91" s="135">
        <v>0</v>
      </c>
      <c r="K91" s="135">
        <v>0</v>
      </c>
      <c r="L91" s="135">
        <v>0</v>
      </c>
      <c r="M91" s="135">
        <v>0</v>
      </c>
      <c r="N91" s="135">
        <v>0</v>
      </c>
      <c r="O91" s="135">
        <v>0</v>
      </c>
      <c r="P91" s="135">
        <v>0</v>
      </c>
      <c r="Q91" s="135">
        <v>0</v>
      </c>
      <c r="R91" s="135">
        <v>4.8</v>
      </c>
      <c r="S91" s="135">
        <v>4.8</v>
      </c>
      <c r="T91" s="135">
        <v>0</v>
      </c>
    </row>
    <row r="92" spans="1:20" x14ac:dyDescent="0.3">
      <c r="A92" s="135">
        <v>91</v>
      </c>
      <c r="B92" s="135" t="s">
        <v>523</v>
      </c>
      <c r="C92" s="135" t="s">
        <v>34</v>
      </c>
      <c r="D92" s="135" t="s">
        <v>7</v>
      </c>
      <c r="E92" s="135">
        <v>1</v>
      </c>
      <c r="F92" s="135">
        <v>2.7</v>
      </c>
      <c r="G92" s="135">
        <v>1.6</v>
      </c>
      <c r="H92" s="135">
        <v>20.3</v>
      </c>
      <c r="I92" s="135">
        <v>0.1</v>
      </c>
      <c r="J92" s="135">
        <v>0</v>
      </c>
      <c r="K92" s="135">
        <v>0</v>
      </c>
      <c r="L92" s="135">
        <v>0</v>
      </c>
      <c r="M92" s="135">
        <v>56.7</v>
      </c>
      <c r="N92" s="135">
        <v>0</v>
      </c>
      <c r="O92" s="135">
        <v>0</v>
      </c>
      <c r="P92" s="135">
        <v>0</v>
      </c>
      <c r="Q92" s="135">
        <v>0</v>
      </c>
      <c r="R92" s="135">
        <v>4.5</v>
      </c>
      <c r="S92" s="135">
        <v>4.5</v>
      </c>
      <c r="T92" s="135">
        <v>0</v>
      </c>
    </row>
    <row r="93" spans="1:20" x14ac:dyDescent="0.3">
      <c r="A93" s="135">
        <v>92</v>
      </c>
      <c r="B93" s="135" t="s">
        <v>270</v>
      </c>
      <c r="C93" s="135" t="s">
        <v>401</v>
      </c>
      <c r="D93" s="135" t="s">
        <v>70</v>
      </c>
      <c r="E93" s="135">
        <v>1</v>
      </c>
      <c r="F93" s="135">
        <v>2.6</v>
      </c>
      <c r="G93" s="135">
        <v>1.7</v>
      </c>
      <c r="H93" s="135">
        <v>19.899999999999999</v>
      </c>
      <c r="I93" s="135">
        <v>0.1</v>
      </c>
      <c r="J93" s="135">
        <v>0</v>
      </c>
      <c r="K93" s="135">
        <v>0</v>
      </c>
      <c r="L93" s="135">
        <v>0</v>
      </c>
      <c r="M93" s="135">
        <v>42.4</v>
      </c>
      <c r="N93" s="135">
        <v>0</v>
      </c>
      <c r="O93" s="135">
        <v>0</v>
      </c>
      <c r="P93" s="135">
        <v>0</v>
      </c>
      <c r="Q93" s="135">
        <v>0</v>
      </c>
      <c r="R93" s="135">
        <v>4.5</v>
      </c>
      <c r="S93" s="135">
        <v>4.5</v>
      </c>
      <c r="T93" s="135">
        <v>0</v>
      </c>
    </row>
    <row r="94" spans="1:20" x14ac:dyDescent="0.3">
      <c r="A94" s="135">
        <v>93</v>
      </c>
      <c r="B94" s="135" t="s">
        <v>300</v>
      </c>
      <c r="C94" s="135" t="s">
        <v>407</v>
      </c>
      <c r="D94" s="135" t="s">
        <v>404</v>
      </c>
      <c r="E94" s="135">
        <v>1</v>
      </c>
      <c r="F94" s="135">
        <v>1.7</v>
      </c>
      <c r="G94" s="135">
        <v>1.3</v>
      </c>
      <c r="H94" s="135">
        <v>20.7</v>
      </c>
      <c r="I94" s="135">
        <v>0.1</v>
      </c>
      <c r="J94" s="135">
        <v>0</v>
      </c>
      <c r="K94" s="135">
        <v>0</v>
      </c>
      <c r="L94" s="135">
        <v>0</v>
      </c>
      <c r="M94" s="135">
        <v>0</v>
      </c>
      <c r="N94" s="135">
        <v>0</v>
      </c>
      <c r="O94" s="135">
        <v>0</v>
      </c>
      <c r="P94" s="135">
        <v>0</v>
      </c>
      <c r="Q94" s="135">
        <v>0</v>
      </c>
      <c r="R94" s="135">
        <v>3.8</v>
      </c>
      <c r="S94" s="135">
        <v>3.8</v>
      </c>
      <c r="T94" s="135">
        <v>0</v>
      </c>
    </row>
    <row r="95" spans="1:20" x14ac:dyDescent="0.3">
      <c r="A95" s="135">
        <v>94</v>
      </c>
      <c r="B95" s="135" t="s">
        <v>254</v>
      </c>
      <c r="C95" s="135" t="s">
        <v>22</v>
      </c>
      <c r="D95" s="135" t="s">
        <v>50</v>
      </c>
      <c r="E95" s="135">
        <v>1</v>
      </c>
      <c r="F95" s="135">
        <v>2.2999999999999998</v>
      </c>
      <c r="G95" s="135">
        <v>1.2</v>
      </c>
      <c r="H95" s="135">
        <v>17.3</v>
      </c>
      <c r="I95" s="135">
        <v>0.1</v>
      </c>
      <c r="J95" s="135">
        <v>0</v>
      </c>
      <c r="K95" s="135">
        <v>0</v>
      </c>
      <c r="L95" s="135">
        <v>0</v>
      </c>
      <c r="M95" s="135">
        <v>0</v>
      </c>
      <c r="N95" s="135">
        <v>0</v>
      </c>
      <c r="O95" s="135">
        <v>0</v>
      </c>
      <c r="P95" s="135">
        <v>0</v>
      </c>
      <c r="Q95" s="135">
        <v>0</v>
      </c>
      <c r="R95" s="135">
        <v>3.8</v>
      </c>
      <c r="S95" s="135">
        <v>3.8</v>
      </c>
      <c r="T95" s="135">
        <v>0</v>
      </c>
    </row>
    <row r="96" spans="1:20" x14ac:dyDescent="0.3">
      <c r="A96" s="135">
        <v>95</v>
      </c>
      <c r="B96" s="135" t="s">
        <v>268</v>
      </c>
      <c r="C96" s="135" t="s">
        <v>1238</v>
      </c>
      <c r="D96" s="135" t="s">
        <v>30</v>
      </c>
      <c r="E96" s="135">
        <v>1</v>
      </c>
      <c r="F96" s="135">
        <v>2</v>
      </c>
      <c r="G96" s="135">
        <v>1.3</v>
      </c>
      <c r="H96" s="135">
        <v>17.100000000000001</v>
      </c>
      <c r="I96" s="135">
        <v>0.1</v>
      </c>
      <c r="J96" s="135">
        <v>0</v>
      </c>
      <c r="K96" s="135">
        <v>0</v>
      </c>
      <c r="L96" s="135">
        <v>0</v>
      </c>
      <c r="M96" s="135">
        <v>0</v>
      </c>
      <c r="N96" s="135">
        <v>0</v>
      </c>
      <c r="O96" s="135">
        <v>0</v>
      </c>
      <c r="P96" s="135">
        <v>0</v>
      </c>
      <c r="Q96" s="135">
        <v>0</v>
      </c>
      <c r="R96" s="135">
        <v>3.7</v>
      </c>
      <c r="S96" s="135">
        <v>3.7</v>
      </c>
      <c r="T96" s="135">
        <v>0</v>
      </c>
    </row>
    <row r="97" spans="1:20" x14ac:dyDescent="0.3">
      <c r="A97" s="135">
        <v>96</v>
      </c>
      <c r="B97" s="135" t="s">
        <v>524</v>
      </c>
      <c r="C97" s="135" t="s">
        <v>1239</v>
      </c>
      <c r="D97" s="135" t="s">
        <v>18</v>
      </c>
      <c r="E97" s="135">
        <v>1</v>
      </c>
      <c r="F97" s="135">
        <v>2.5</v>
      </c>
      <c r="G97" s="135">
        <v>1.5</v>
      </c>
      <c r="H97" s="135">
        <v>20.2</v>
      </c>
      <c r="I97" s="135">
        <v>0</v>
      </c>
      <c r="J97" s="135">
        <v>0</v>
      </c>
      <c r="K97" s="135">
        <v>0</v>
      </c>
      <c r="L97" s="135">
        <v>0</v>
      </c>
      <c r="M97" s="135">
        <v>0</v>
      </c>
      <c r="N97" s="135">
        <v>0</v>
      </c>
      <c r="O97" s="135">
        <v>0</v>
      </c>
      <c r="P97" s="135">
        <v>0</v>
      </c>
      <c r="Q97" s="135">
        <v>0</v>
      </c>
      <c r="R97" s="135">
        <v>3.6</v>
      </c>
      <c r="S97" s="135">
        <v>3.6</v>
      </c>
      <c r="T97" s="135">
        <v>0</v>
      </c>
    </row>
    <row r="98" spans="1:20" x14ac:dyDescent="0.3">
      <c r="A98" s="135">
        <v>97</v>
      </c>
      <c r="B98" s="135" t="s">
        <v>313</v>
      </c>
      <c r="C98" s="135" t="s">
        <v>398</v>
      </c>
      <c r="D98" s="135" t="s">
        <v>52</v>
      </c>
      <c r="E98" s="135">
        <v>1</v>
      </c>
      <c r="F98" s="135">
        <v>1.4</v>
      </c>
      <c r="G98" s="135">
        <v>1.4</v>
      </c>
      <c r="H98" s="135">
        <v>18.899999999999999</v>
      </c>
      <c r="I98" s="135">
        <v>0</v>
      </c>
      <c r="J98" s="135">
        <v>0</v>
      </c>
      <c r="K98" s="135">
        <v>0</v>
      </c>
      <c r="L98" s="135">
        <v>0</v>
      </c>
      <c r="M98" s="135">
        <v>0</v>
      </c>
      <c r="N98" s="135">
        <v>0</v>
      </c>
      <c r="O98" s="135">
        <v>0</v>
      </c>
      <c r="P98" s="135">
        <v>0</v>
      </c>
      <c r="Q98" s="135">
        <v>0</v>
      </c>
      <c r="R98" s="135">
        <v>3.5</v>
      </c>
      <c r="S98" s="135">
        <v>3.5</v>
      </c>
      <c r="T98" s="135">
        <v>0</v>
      </c>
    </row>
    <row r="99" spans="1:20" x14ac:dyDescent="0.3">
      <c r="A99" s="135">
        <v>98</v>
      </c>
      <c r="B99" s="135" t="s">
        <v>489</v>
      </c>
      <c r="C99" s="135" t="s">
        <v>16</v>
      </c>
      <c r="D99" s="135" t="s">
        <v>12</v>
      </c>
      <c r="E99" s="135">
        <v>1</v>
      </c>
      <c r="F99" s="135">
        <v>1.8</v>
      </c>
      <c r="G99" s="135">
        <v>1.1000000000000001</v>
      </c>
      <c r="H99" s="135">
        <v>14.6</v>
      </c>
      <c r="I99" s="135">
        <v>0.1</v>
      </c>
      <c r="J99" s="135">
        <v>0</v>
      </c>
      <c r="K99" s="135">
        <v>0</v>
      </c>
      <c r="L99" s="135">
        <v>0</v>
      </c>
      <c r="M99" s="135">
        <v>44.7</v>
      </c>
      <c r="N99" s="135">
        <v>0</v>
      </c>
      <c r="O99" s="135">
        <v>0</v>
      </c>
      <c r="P99" s="135">
        <v>0</v>
      </c>
      <c r="Q99" s="135">
        <v>0</v>
      </c>
      <c r="R99" s="135">
        <v>3.4</v>
      </c>
      <c r="S99" s="135">
        <v>3.4</v>
      </c>
      <c r="T99" s="135">
        <v>0</v>
      </c>
    </row>
    <row r="100" spans="1:20" x14ac:dyDescent="0.3">
      <c r="A100" s="135">
        <v>99</v>
      </c>
      <c r="B100" s="135" t="s">
        <v>301</v>
      </c>
      <c r="C100" s="135" t="s">
        <v>409</v>
      </c>
      <c r="D100" s="135" t="s">
        <v>1236</v>
      </c>
      <c r="E100" s="135">
        <v>1</v>
      </c>
      <c r="F100" s="135">
        <v>2.2999999999999998</v>
      </c>
      <c r="G100" s="135">
        <v>1.5</v>
      </c>
      <c r="H100" s="135">
        <v>14.2</v>
      </c>
      <c r="I100" s="135">
        <v>0.1</v>
      </c>
      <c r="J100" s="135">
        <v>0</v>
      </c>
      <c r="K100" s="135">
        <v>0</v>
      </c>
      <c r="L100" s="135">
        <v>0</v>
      </c>
      <c r="M100" s="135">
        <v>0</v>
      </c>
      <c r="N100" s="135">
        <v>0</v>
      </c>
      <c r="O100" s="135">
        <v>0</v>
      </c>
      <c r="P100" s="135">
        <v>0</v>
      </c>
      <c r="Q100" s="135">
        <v>0</v>
      </c>
      <c r="R100" s="135">
        <v>3.2</v>
      </c>
      <c r="S100" s="135">
        <v>3.2</v>
      </c>
      <c r="T100" s="135">
        <v>0</v>
      </c>
    </row>
    <row r="101" spans="1:20" x14ac:dyDescent="0.3">
      <c r="A101" s="135">
        <v>100</v>
      </c>
      <c r="B101" s="135" t="s">
        <v>221</v>
      </c>
      <c r="C101" s="135" t="s">
        <v>1237</v>
      </c>
      <c r="D101" s="135" t="s">
        <v>4</v>
      </c>
      <c r="E101" s="135">
        <v>1</v>
      </c>
      <c r="F101" s="135">
        <v>1.9</v>
      </c>
      <c r="G101" s="135">
        <v>1.2</v>
      </c>
      <c r="H101" s="135">
        <v>15</v>
      </c>
      <c r="I101" s="135">
        <v>0.1</v>
      </c>
      <c r="J101" s="135">
        <v>0</v>
      </c>
      <c r="K101" s="135">
        <v>0</v>
      </c>
      <c r="L101" s="135">
        <v>0</v>
      </c>
      <c r="M101" s="135">
        <v>0</v>
      </c>
      <c r="N101" s="135">
        <v>0</v>
      </c>
      <c r="O101" s="135">
        <v>0</v>
      </c>
      <c r="P101" s="135">
        <v>0</v>
      </c>
      <c r="Q101" s="135">
        <v>0</v>
      </c>
      <c r="R101" s="135">
        <v>3.1</v>
      </c>
      <c r="S101" s="135">
        <v>3.1</v>
      </c>
      <c r="T101" s="135">
        <v>0</v>
      </c>
    </row>
    <row r="102" spans="1:20" x14ac:dyDescent="0.3">
      <c r="A102" s="135">
        <v>101</v>
      </c>
      <c r="B102" s="135" t="s">
        <v>474</v>
      </c>
      <c r="C102" s="135" t="s">
        <v>10</v>
      </c>
      <c r="D102" s="135" t="s">
        <v>402</v>
      </c>
      <c r="E102" s="135">
        <v>1</v>
      </c>
      <c r="F102" s="135">
        <v>2</v>
      </c>
      <c r="G102" s="135">
        <v>1.2</v>
      </c>
      <c r="H102" s="135">
        <v>14.3</v>
      </c>
      <c r="I102" s="135">
        <v>0.1</v>
      </c>
      <c r="J102" s="135">
        <v>0</v>
      </c>
      <c r="K102" s="135">
        <v>0</v>
      </c>
      <c r="L102" s="135">
        <v>0</v>
      </c>
      <c r="M102" s="135">
        <v>0</v>
      </c>
      <c r="N102" s="135">
        <v>0</v>
      </c>
      <c r="O102" s="135">
        <v>0</v>
      </c>
      <c r="P102" s="135">
        <v>0</v>
      </c>
      <c r="Q102" s="135">
        <v>0</v>
      </c>
      <c r="R102" s="135">
        <v>3.1</v>
      </c>
      <c r="S102" s="135">
        <v>3.1</v>
      </c>
      <c r="T102" s="135">
        <v>0</v>
      </c>
    </row>
    <row r="103" spans="1:20" x14ac:dyDescent="0.3">
      <c r="A103" s="135">
        <v>102</v>
      </c>
      <c r="B103" s="135" t="s">
        <v>471</v>
      </c>
      <c r="C103" s="135" t="s">
        <v>57</v>
      </c>
      <c r="D103" s="135" t="s">
        <v>28</v>
      </c>
      <c r="E103" s="135">
        <v>1</v>
      </c>
      <c r="F103" s="135">
        <v>1.9</v>
      </c>
      <c r="G103" s="135">
        <v>1.1000000000000001</v>
      </c>
      <c r="H103" s="135">
        <v>15.3</v>
      </c>
      <c r="I103" s="135">
        <v>0.1</v>
      </c>
      <c r="J103" s="135">
        <v>0</v>
      </c>
      <c r="K103" s="135">
        <v>0</v>
      </c>
      <c r="L103" s="135">
        <v>0</v>
      </c>
      <c r="M103" s="135">
        <v>0</v>
      </c>
      <c r="N103" s="135">
        <v>0</v>
      </c>
      <c r="O103" s="135">
        <v>0</v>
      </c>
      <c r="P103" s="135">
        <v>0</v>
      </c>
      <c r="Q103" s="135">
        <v>0</v>
      </c>
      <c r="R103" s="135">
        <v>3.1</v>
      </c>
      <c r="S103" s="135">
        <v>3.1</v>
      </c>
      <c r="T103" s="135">
        <v>0</v>
      </c>
    </row>
    <row r="104" spans="1:20" x14ac:dyDescent="0.3">
      <c r="A104" s="135">
        <v>103</v>
      </c>
      <c r="B104" s="135" t="s">
        <v>316</v>
      </c>
      <c r="C104" s="135" t="s">
        <v>41</v>
      </c>
      <c r="D104" s="135" t="s">
        <v>37</v>
      </c>
      <c r="E104" s="135">
        <v>1</v>
      </c>
      <c r="F104" s="135">
        <v>1.3</v>
      </c>
      <c r="G104" s="135">
        <v>1.2</v>
      </c>
      <c r="H104" s="135">
        <v>12</v>
      </c>
      <c r="I104" s="135">
        <v>0</v>
      </c>
      <c r="J104" s="135">
        <v>0</v>
      </c>
      <c r="K104" s="135">
        <v>0</v>
      </c>
      <c r="L104" s="135">
        <v>0</v>
      </c>
      <c r="M104" s="135">
        <v>59.8</v>
      </c>
      <c r="N104" s="135">
        <v>0</v>
      </c>
      <c r="O104" s="135">
        <v>0</v>
      </c>
      <c r="P104" s="135">
        <v>0</v>
      </c>
      <c r="Q104" s="135">
        <v>0</v>
      </c>
      <c r="R104" s="135">
        <v>2.9</v>
      </c>
      <c r="S104" s="135">
        <v>2.9</v>
      </c>
      <c r="T104" s="135">
        <v>0</v>
      </c>
    </row>
    <row r="105" spans="1:20" x14ac:dyDescent="0.3">
      <c r="A105" s="135">
        <v>104</v>
      </c>
      <c r="B105" s="135" t="s">
        <v>291</v>
      </c>
      <c r="C105" s="135" t="s">
        <v>1236</v>
      </c>
      <c r="D105" s="135" t="s">
        <v>409</v>
      </c>
      <c r="E105" s="135">
        <v>1</v>
      </c>
      <c r="F105" s="135">
        <v>1.7</v>
      </c>
      <c r="G105" s="135">
        <v>0.9</v>
      </c>
      <c r="H105" s="135">
        <v>11.6</v>
      </c>
      <c r="I105" s="135">
        <v>0.1</v>
      </c>
      <c r="J105" s="135">
        <v>0</v>
      </c>
      <c r="K105" s="135">
        <v>0</v>
      </c>
      <c r="L105" s="135">
        <v>0</v>
      </c>
      <c r="M105" s="135">
        <v>0</v>
      </c>
      <c r="N105" s="135">
        <v>0</v>
      </c>
      <c r="O105" s="135">
        <v>0</v>
      </c>
      <c r="P105" s="135">
        <v>0</v>
      </c>
      <c r="Q105" s="135">
        <v>0</v>
      </c>
      <c r="R105" s="135">
        <v>2.5</v>
      </c>
      <c r="S105" s="135">
        <v>2.5</v>
      </c>
      <c r="T105" s="135">
        <v>0</v>
      </c>
    </row>
    <row r="106" spans="1:20" x14ac:dyDescent="0.3">
      <c r="A106" s="135">
        <v>105</v>
      </c>
      <c r="B106" s="135" t="s">
        <v>274</v>
      </c>
      <c r="C106" s="135" t="s">
        <v>4</v>
      </c>
      <c r="D106" s="135" t="s">
        <v>1237</v>
      </c>
      <c r="E106" s="135">
        <v>1</v>
      </c>
      <c r="F106" s="135">
        <v>1.4</v>
      </c>
      <c r="G106" s="135">
        <v>0.8</v>
      </c>
      <c r="H106" s="135">
        <v>10.5</v>
      </c>
      <c r="I106" s="135">
        <v>0.1</v>
      </c>
      <c r="J106" s="135">
        <v>0</v>
      </c>
      <c r="K106" s="135">
        <v>0</v>
      </c>
      <c r="L106" s="135">
        <v>0</v>
      </c>
      <c r="M106" s="135">
        <v>0</v>
      </c>
      <c r="N106" s="135">
        <v>0</v>
      </c>
      <c r="O106" s="135">
        <v>0</v>
      </c>
      <c r="P106" s="135">
        <v>0</v>
      </c>
      <c r="Q106" s="135">
        <v>0</v>
      </c>
      <c r="R106" s="135">
        <v>2.2999999999999998</v>
      </c>
      <c r="S106" s="135">
        <v>2.2999999999999998</v>
      </c>
      <c r="T106" s="135">
        <v>0</v>
      </c>
    </row>
    <row r="107" spans="1:20" x14ac:dyDescent="0.3">
      <c r="A107" s="135">
        <v>106</v>
      </c>
      <c r="B107" s="135" t="s">
        <v>273</v>
      </c>
      <c r="C107" s="135" t="s">
        <v>20</v>
      </c>
      <c r="D107" s="135" t="s">
        <v>397</v>
      </c>
      <c r="E107" s="135">
        <v>1</v>
      </c>
      <c r="F107" s="135">
        <v>1.4</v>
      </c>
      <c r="G107" s="135">
        <v>0.8</v>
      </c>
      <c r="H107" s="135">
        <v>11</v>
      </c>
      <c r="I107" s="135">
        <v>0.1</v>
      </c>
      <c r="J107" s="135">
        <v>0</v>
      </c>
      <c r="K107" s="135">
        <v>0</v>
      </c>
      <c r="L107" s="135">
        <v>0</v>
      </c>
      <c r="M107" s="135">
        <v>0</v>
      </c>
      <c r="N107" s="135">
        <v>0</v>
      </c>
      <c r="O107" s="135">
        <v>0</v>
      </c>
      <c r="P107" s="135">
        <v>0</v>
      </c>
      <c r="Q107" s="135">
        <v>0</v>
      </c>
      <c r="R107" s="135">
        <v>2.2000000000000002</v>
      </c>
      <c r="S107" s="135">
        <v>2.2000000000000002</v>
      </c>
      <c r="T107" s="135">
        <v>0</v>
      </c>
    </row>
    <row r="108" spans="1:20" x14ac:dyDescent="0.3">
      <c r="A108" s="135">
        <v>107</v>
      </c>
      <c r="B108" s="135" t="s">
        <v>267</v>
      </c>
      <c r="C108" s="135" t="s">
        <v>7</v>
      </c>
      <c r="D108" s="135" t="s">
        <v>34</v>
      </c>
      <c r="E108" s="135">
        <v>1</v>
      </c>
      <c r="F108" s="135">
        <v>0.9</v>
      </c>
      <c r="G108" s="135">
        <v>0.9</v>
      </c>
      <c r="H108" s="135">
        <v>11</v>
      </c>
      <c r="I108" s="135">
        <v>0</v>
      </c>
      <c r="J108" s="135">
        <v>0</v>
      </c>
      <c r="K108" s="135">
        <v>0</v>
      </c>
      <c r="L108" s="135">
        <v>0</v>
      </c>
      <c r="M108" s="135">
        <v>0</v>
      </c>
      <c r="N108" s="135">
        <v>0</v>
      </c>
      <c r="O108" s="135">
        <v>0</v>
      </c>
      <c r="P108" s="135">
        <v>0</v>
      </c>
      <c r="Q108" s="135">
        <v>0</v>
      </c>
      <c r="R108" s="135">
        <v>2.1</v>
      </c>
      <c r="S108" s="135">
        <v>2.1</v>
      </c>
      <c r="T108" s="135">
        <v>0</v>
      </c>
    </row>
    <row r="109" spans="1:20" x14ac:dyDescent="0.3">
      <c r="A109" s="135">
        <v>108</v>
      </c>
      <c r="B109" s="135" t="s">
        <v>408</v>
      </c>
      <c r="C109" s="135" t="s">
        <v>30</v>
      </c>
      <c r="D109" s="135" t="s">
        <v>1238</v>
      </c>
      <c r="E109" s="135">
        <v>1</v>
      </c>
      <c r="F109" s="135">
        <v>1.5</v>
      </c>
      <c r="G109" s="135">
        <v>0.8</v>
      </c>
      <c r="H109" s="135">
        <v>9.5</v>
      </c>
      <c r="I109" s="135">
        <v>0</v>
      </c>
      <c r="J109" s="135">
        <v>0</v>
      </c>
      <c r="K109" s="135">
        <v>0</v>
      </c>
      <c r="L109" s="135">
        <v>0</v>
      </c>
      <c r="M109" s="135">
        <v>0</v>
      </c>
      <c r="N109" s="135">
        <v>0</v>
      </c>
      <c r="O109" s="135">
        <v>0</v>
      </c>
      <c r="P109" s="135">
        <v>0</v>
      </c>
      <c r="Q109" s="135">
        <v>0</v>
      </c>
      <c r="R109" s="135">
        <v>2.1</v>
      </c>
      <c r="S109" s="135">
        <v>2.1</v>
      </c>
      <c r="T109" s="135">
        <v>0</v>
      </c>
    </row>
    <row r="110" spans="1:20" x14ac:dyDescent="0.3">
      <c r="A110" s="135">
        <v>109</v>
      </c>
      <c r="B110" s="135" t="s">
        <v>469</v>
      </c>
      <c r="C110" s="135" t="s">
        <v>1236</v>
      </c>
      <c r="D110" s="135" t="s">
        <v>409</v>
      </c>
      <c r="E110" s="135">
        <v>1</v>
      </c>
      <c r="F110" s="135">
        <v>1</v>
      </c>
      <c r="G110" s="135">
        <v>0.6</v>
      </c>
      <c r="H110" s="135">
        <v>10.1</v>
      </c>
      <c r="I110" s="135">
        <v>0</v>
      </c>
      <c r="J110" s="135">
        <v>0.3</v>
      </c>
      <c r="K110" s="135">
        <v>2</v>
      </c>
      <c r="L110" s="135">
        <v>0</v>
      </c>
      <c r="M110" s="135">
        <v>0</v>
      </c>
      <c r="N110" s="135">
        <v>0</v>
      </c>
      <c r="O110" s="135">
        <v>0</v>
      </c>
      <c r="P110" s="135">
        <v>0</v>
      </c>
      <c r="Q110" s="135">
        <v>0</v>
      </c>
      <c r="R110" s="135">
        <v>2</v>
      </c>
      <c r="S110" s="135">
        <v>2</v>
      </c>
      <c r="T110" s="135">
        <v>0</v>
      </c>
    </row>
    <row r="111" spans="1:20" x14ac:dyDescent="0.3">
      <c r="A111" s="135">
        <v>110</v>
      </c>
      <c r="B111" s="135" t="s">
        <v>235</v>
      </c>
      <c r="C111" s="135" t="s">
        <v>401</v>
      </c>
      <c r="D111" s="135" t="s">
        <v>70</v>
      </c>
      <c r="E111" s="135">
        <v>1</v>
      </c>
      <c r="F111" s="135">
        <v>1.3</v>
      </c>
      <c r="G111" s="135">
        <v>0.8</v>
      </c>
      <c r="H111" s="135">
        <v>10.3</v>
      </c>
      <c r="I111" s="135">
        <v>0</v>
      </c>
      <c r="J111" s="135">
        <v>0</v>
      </c>
      <c r="K111" s="135">
        <v>0</v>
      </c>
      <c r="L111" s="135">
        <v>0</v>
      </c>
      <c r="M111" s="135">
        <v>0</v>
      </c>
      <c r="N111" s="135">
        <v>0</v>
      </c>
      <c r="O111" s="135">
        <v>0</v>
      </c>
      <c r="P111" s="135">
        <v>0</v>
      </c>
      <c r="Q111" s="135">
        <v>0</v>
      </c>
      <c r="R111" s="135">
        <v>2</v>
      </c>
      <c r="S111" s="135">
        <v>2</v>
      </c>
      <c r="T111" s="135">
        <v>0</v>
      </c>
    </row>
    <row r="112" spans="1:20" x14ac:dyDescent="0.3">
      <c r="A112" s="135">
        <v>111</v>
      </c>
      <c r="B112" s="135" t="s">
        <v>266</v>
      </c>
      <c r="C112" s="135" t="s">
        <v>52</v>
      </c>
      <c r="D112" s="135" t="s">
        <v>398</v>
      </c>
      <c r="E112" s="135">
        <v>1</v>
      </c>
      <c r="F112" s="135">
        <v>1.2</v>
      </c>
      <c r="G112" s="135">
        <v>0.6</v>
      </c>
      <c r="H112" s="135">
        <v>8.1999999999999993</v>
      </c>
      <c r="I112" s="135">
        <v>0.1</v>
      </c>
      <c r="J112" s="135">
        <v>0</v>
      </c>
      <c r="K112" s="135">
        <v>0</v>
      </c>
      <c r="L112" s="135">
        <v>0</v>
      </c>
      <c r="M112" s="135">
        <v>0</v>
      </c>
      <c r="N112" s="135">
        <v>0</v>
      </c>
      <c r="O112" s="135">
        <v>0</v>
      </c>
      <c r="P112" s="135">
        <v>0</v>
      </c>
      <c r="Q112" s="135">
        <v>0</v>
      </c>
      <c r="R112" s="135">
        <v>1.8</v>
      </c>
      <c r="S112" s="135">
        <v>1.8</v>
      </c>
      <c r="T112" s="135">
        <v>0</v>
      </c>
    </row>
    <row r="113" spans="1:20" x14ac:dyDescent="0.3">
      <c r="A113" s="135">
        <v>112</v>
      </c>
      <c r="B113" s="135" t="s">
        <v>286</v>
      </c>
      <c r="C113" s="135" t="s">
        <v>70</v>
      </c>
      <c r="D113" s="135" t="s">
        <v>401</v>
      </c>
      <c r="E113" s="135">
        <v>1</v>
      </c>
      <c r="F113" s="135">
        <v>0.9</v>
      </c>
      <c r="G113" s="135">
        <v>0.6</v>
      </c>
      <c r="H113" s="135">
        <v>7.1</v>
      </c>
      <c r="I113" s="135">
        <v>0</v>
      </c>
      <c r="J113" s="135">
        <v>0</v>
      </c>
      <c r="K113" s="135">
        <v>0</v>
      </c>
      <c r="L113" s="135">
        <v>0</v>
      </c>
      <c r="M113" s="135">
        <v>53.2</v>
      </c>
      <c r="N113" s="135">
        <v>0</v>
      </c>
      <c r="O113" s="135">
        <v>0</v>
      </c>
      <c r="P113" s="135">
        <v>0</v>
      </c>
      <c r="Q113" s="135">
        <v>0</v>
      </c>
      <c r="R113" s="135">
        <v>1.7</v>
      </c>
      <c r="S113" s="135">
        <v>1.7</v>
      </c>
      <c r="T113" s="135">
        <v>0</v>
      </c>
    </row>
    <row r="114" spans="1:20" x14ac:dyDescent="0.3">
      <c r="A114" s="135">
        <v>113</v>
      </c>
      <c r="B114" s="135" t="s">
        <v>290</v>
      </c>
      <c r="C114" s="135" t="s">
        <v>70</v>
      </c>
      <c r="D114" s="135" t="s">
        <v>401</v>
      </c>
      <c r="E114" s="135">
        <v>1</v>
      </c>
      <c r="F114" s="135">
        <v>0.9</v>
      </c>
      <c r="G114" s="135">
        <v>0.7</v>
      </c>
      <c r="H114" s="135">
        <v>8.6999999999999993</v>
      </c>
      <c r="I114" s="135">
        <v>0</v>
      </c>
      <c r="J114" s="135">
        <v>0</v>
      </c>
      <c r="K114" s="135">
        <v>0</v>
      </c>
      <c r="L114" s="135">
        <v>0</v>
      </c>
      <c r="M114" s="135">
        <v>0</v>
      </c>
      <c r="N114" s="135">
        <v>0</v>
      </c>
      <c r="O114" s="135">
        <v>0</v>
      </c>
      <c r="P114" s="135">
        <v>0</v>
      </c>
      <c r="Q114" s="135">
        <v>0</v>
      </c>
      <c r="R114" s="135">
        <v>1.7</v>
      </c>
      <c r="S114" s="135">
        <v>1.7</v>
      </c>
      <c r="T114" s="135">
        <v>0</v>
      </c>
    </row>
    <row r="115" spans="1:20" x14ac:dyDescent="0.3">
      <c r="A115" s="135">
        <v>114</v>
      </c>
      <c r="B115" s="135" t="s">
        <v>498</v>
      </c>
      <c r="C115" s="135" t="s">
        <v>402</v>
      </c>
      <c r="D115" s="135" t="s">
        <v>10</v>
      </c>
      <c r="E115" s="135">
        <v>1</v>
      </c>
      <c r="F115" s="135">
        <v>1.1000000000000001</v>
      </c>
      <c r="G115" s="135">
        <v>0.7</v>
      </c>
      <c r="H115" s="135">
        <v>7.6</v>
      </c>
      <c r="I115" s="135">
        <v>0</v>
      </c>
      <c r="J115" s="135">
        <v>0</v>
      </c>
      <c r="K115" s="135">
        <v>0</v>
      </c>
      <c r="L115" s="135">
        <v>0</v>
      </c>
      <c r="M115" s="135">
        <v>0</v>
      </c>
      <c r="N115" s="135">
        <v>0</v>
      </c>
      <c r="O115" s="135">
        <v>0</v>
      </c>
      <c r="P115" s="135">
        <v>0</v>
      </c>
      <c r="Q115" s="135">
        <v>0</v>
      </c>
      <c r="R115" s="135">
        <v>1.6</v>
      </c>
      <c r="S115" s="135">
        <v>1.6</v>
      </c>
      <c r="T115" s="135">
        <v>0</v>
      </c>
    </row>
    <row r="116" spans="1:20" x14ac:dyDescent="0.3">
      <c r="A116" s="135">
        <v>115</v>
      </c>
      <c r="B116" s="135" t="s">
        <v>250</v>
      </c>
      <c r="C116" s="135" t="s">
        <v>30</v>
      </c>
      <c r="D116" s="135" t="s">
        <v>1238</v>
      </c>
      <c r="E116" s="135">
        <v>1</v>
      </c>
      <c r="F116" s="135">
        <v>1.2</v>
      </c>
      <c r="G116" s="135">
        <v>0.6</v>
      </c>
      <c r="H116" s="135">
        <v>7</v>
      </c>
      <c r="I116" s="135">
        <v>0</v>
      </c>
      <c r="J116" s="135">
        <v>0</v>
      </c>
      <c r="K116" s="135">
        <v>0</v>
      </c>
      <c r="L116" s="135">
        <v>0</v>
      </c>
      <c r="M116" s="135">
        <v>0</v>
      </c>
      <c r="N116" s="135">
        <v>0</v>
      </c>
      <c r="O116" s="135">
        <v>0</v>
      </c>
      <c r="P116" s="135">
        <v>0</v>
      </c>
      <c r="Q116" s="135">
        <v>0</v>
      </c>
      <c r="R116" s="135">
        <v>1.5</v>
      </c>
      <c r="S116" s="135">
        <v>1.5</v>
      </c>
      <c r="T116" s="135">
        <v>0</v>
      </c>
    </row>
    <row r="117" spans="1:20" x14ac:dyDescent="0.3">
      <c r="A117" s="135">
        <v>116</v>
      </c>
      <c r="B117" s="135" t="s">
        <v>251</v>
      </c>
      <c r="C117" s="135" t="s">
        <v>37</v>
      </c>
      <c r="D117" s="135" t="s">
        <v>41</v>
      </c>
      <c r="E117" s="135">
        <v>1</v>
      </c>
      <c r="F117" s="135">
        <v>0.7</v>
      </c>
      <c r="G117" s="135">
        <v>0.5</v>
      </c>
      <c r="H117" s="135">
        <v>5.7</v>
      </c>
      <c r="I117" s="135">
        <v>0</v>
      </c>
      <c r="J117" s="135">
        <v>0.2</v>
      </c>
      <c r="K117" s="135">
        <v>1.2</v>
      </c>
      <c r="L117" s="135">
        <v>0</v>
      </c>
      <c r="M117" s="135">
        <v>59.1</v>
      </c>
      <c r="N117" s="135">
        <v>0</v>
      </c>
      <c r="O117" s="135">
        <v>0</v>
      </c>
      <c r="P117" s="135">
        <v>0</v>
      </c>
      <c r="Q117" s="135">
        <v>0</v>
      </c>
      <c r="R117" s="135">
        <v>1.5</v>
      </c>
      <c r="S117" s="135">
        <v>1.5</v>
      </c>
      <c r="T117" s="135">
        <v>0</v>
      </c>
    </row>
    <row r="118" spans="1:20" x14ac:dyDescent="0.3">
      <c r="A118" s="135">
        <v>117</v>
      </c>
      <c r="B118" s="135" t="s">
        <v>1249</v>
      </c>
      <c r="C118" s="135" t="s">
        <v>398</v>
      </c>
      <c r="D118" s="135" t="s">
        <v>52</v>
      </c>
      <c r="E118" s="135">
        <v>1</v>
      </c>
      <c r="F118" s="135">
        <v>0.9</v>
      </c>
      <c r="G118" s="135">
        <v>0.5</v>
      </c>
      <c r="H118" s="135">
        <v>7.5</v>
      </c>
      <c r="I118" s="135">
        <v>0</v>
      </c>
      <c r="J118" s="135">
        <v>0</v>
      </c>
      <c r="K118" s="135">
        <v>0</v>
      </c>
      <c r="L118" s="135">
        <v>0</v>
      </c>
      <c r="M118" s="135">
        <v>0</v>
      </c>
      <c r="N118" s="135">
        <v>0</v>
      </c>
      <c r="O118" s="135">
        <v>0</v>
      </c>
      <c r="P118" s="135">
        <v>0</v>
      </c>
      <c r="Q118" s="135">
        <v>0</v>
      </c>
      <c r="R118" s="135">
        <v>1.4</v>
      </c>
      <c r="S118" s="135">
        <v>1.4</v>
      </c>
      <c r="T118" s="135">
        <v>0</v>
      </c>
    </row>
    <row r="119" spans="1:20" x14ac:dyDescent="0.3">
      <c r="A119" s="135">
        <v>118</v>
      </c>
      <c r="B119" s="135" t="s">
        <v>526</v>
      </c>
      <c r="C119" s="135" t="s">
        <v>4</v>
      </c>
      <c r="D119" s="135" t="s">
        <v>1237</v>
      </c>
      <c r="E119" s="135">
        <v>1</v>
      </c>
      <c r="F119" s="135">
        <v>0.7</v>
      </c>
      <c r="G119" s="135">
        <v>0.5</v>
      </c>
      <c r="H119" s="135">
        <v>7.4</v>
      </c>
      <c r="I119" s="135">
        <v>0</v>
      </c>
      <c r="J119" s="135">
        <v>0</v>
      </c>
      <c r="K119" s="135">
        <v>0</v>
      </c>
      <c r="L119" s="135">
        <v>0</v>
      </c>
      <c r="M119" s="135">
        <v>0</v>
      </c>
      <c r="N119" s="135">
        <v>0</v>
      </c>
      <c r="O119" s="135">
        <v>0</v>
      </c>
      <c r="P119" s="135">
        <v>0</v>
      </c>
      <c r="Q119" s="135">
        <v>0</v>
      </c>
      <c r="R119" s="135">
        <v>1.3</v>
      </c>
      <c r="S119" s="135">
        <v>1.3</v>
      </c>
      <c r="T119" s="135">
        <v>0</v>
      </c>
    </row>
    <row r="120" spans="1:20" x14ac:dyDescent="0.3">
      <c r="A120" s="135">
        <v>119</v>
      </c>
      <c r="B120" s="135" t="s">
        <v>501</v>
      </c>
      <c r="C120" s="135" t="s">
        <v>34</v>
      </c>
      <c r="D120" s="135" t="s">
        <v>7</v>
      </c>
      <c r="E120" s="135">
        <v>1</v>
      </c>
      <c r="F120" s="135">
        <v>0.7</v>
      </c>
      <c r="G120" s="135">
        <v>0.5</v>
      </c>
      <c r="H120" s="135">
        <v>6.5</v>
      </c>
      <c r="I120" s="135">
        <v>0</v>
      </c>
      <c r="J120" s="135">
        <v>0</v>
      </c>
      <c r="K120" s="135">
        <v>0</v>
      </c>
      <c r="L120" s="135">
        <v>0</v>
      </c>
      <c r="M120" s="135">
        <v>11.6</v>
      </c>
      <c r="N120" s="135">
        <v>0</v>
      </c>
      <c r="O120" s="135">
        <v>0</v>
      </c>
      <c r="P120" s="135">
        <v>0</v>
      </c>
      <c r="Q120" s="135">
        <v>0</v>
      </c>
      <c r="R120" s="135">
        <v>1.3</v>
      </c>
      <c r="S120" s="135">
        <v>1.3</v>
      </c>
      <c r="T120" s="135">
        <v>0</v>
      </c>
    </row>
    <row r="121" spans="1:20" x14ac:dyDescent="0.3">
      <c r="A121" s="135">
        <v>120</v>
      </c>
      <c r="B121" s="135" t="s">
        <v>1757</v>
      </c>
      <c r="C121" s="135" t="s">
        <v>409</v>
      </c>
      <c r="D121" s="135" t="s">
        <v>1236</v>
      </c>
      <c r="E121" s="135">
        <v>1</v>
      </c>
      <c r="F121" s="135">
        <v>0.9</v>
      </c>
      <c r="G121" s="135">
        <v>0.5</v>
      </c>
      <c r="H121" s="135">
        <v>6.9</v>
      </c>
      <c r="I121" s="135">
        <v>0</v>
      </c>
      <c r="J121" s="135">
        <v>0</v>
      </c>
      <c r="K121" s="135">
        <v>0</v>
      </c>
      <c r="L121" s="135">
        <v>0</v>
      </c>
      <c r="M121" s="135">
        <v>0</v>
      </c>
      <c r="N121" s="135">
        <v>0</v>
      </c>
      <c r="O121" s="135">
        <v>0</v>
      </c>
      <c r="P121" s="135">
        <v>0</v>
      </c>
      <c r="Q121" s="135">
        <v>0</v>
      </c>
      <c r="R121" s="135">
        <v>1.3</v>
      </c>
      <c r="S121" s="135">
        <v>1.3</v>
      </c>
      <c r="T121" s="135">
        <v>0</v>
      </c>
    </row>
    <row r="122" spans="1:20" x14ac:dyDescent="0.3">
      <c r="A122" s="135">
        <v>121</v>
      </c>
      <c r="B122" s="135" t="s">
        <v>304</v>
      </c>
      <c r="C122" s="135" t="s">
        <v>70</v>
      </c>
      <c r="D122" s="135" t="s">
        <v>401</v>
      </c>
      <c r="E122" s="135">
        <v>1</v>
      </c>
      <c r="F122" s="135">
        <v>0.9</v>
      </c>
      <c r="G122" s="135">
        <v>0.5</v>
      </c>
      <c r="H122" s="135">
        <v>5.2</v>
      </c>
      <c r="I122" s="135">
        <v>0</v>
      </c>
      <c r="J122" s="135">
        <v>0.3</v>
      </c>
      <c r="K122" s="135">
        <v>0.8</v>
      </c>
      <c r="L122" s="135">
        <v>0</v>
      </c>
      <c r="M122" s="135">
        <v>0</v>
      </c>
      <c r="N122" s="135">
        <v>0</v>
      </c>
      <c r="O122" s="135">
        <v>0</v>
      </c>
      <c r="P122" s="135">
        <v>0</v>
      </c>
      <c r="Q122" s="135">
        <v>0</v>
      </c>
      <c r="R122" s="135">
        <v>1.3</v>
      </c>
      <c r="S122" s="135">
        <v>1.3</v>
      </c>
      <c r="T122" s="135">
        <v>0</v>
      </c>
    </row>
    <row r="123" spans="1:20" x14ac:dyDescent="0.3">
      <c r="A123" s="135">
        <v>122</v>
      </c>
      <c r="B123" s="135" t="s">
        <v>298</v>
      </c>
      <c r="C123" s="135" t="s">
        <v>409</v>
      </c>
      <c r="D123" s="135" t="s">
        <v>1236</v>
      </c>
      <c r="E123" s="135">
        <v>1</v>
      </c>
      <c r="F123" s="135">
        <v>0.9</v>
      </c>
      <c r="G123" s="135">
        <v>0.6</v>
      </c>
      <c r="H123" s="135">
        <v>5.8</v>
      </c>
      <c r="I123" s="135">
        <v>0</v>
      </c>
      <c r="J123" s="135">
        <v>0</v>
      </c>
      <c r="K123" s="135">
        <v>0</v>
      </c>
      <c r="L123" s="135">
        <v>0</v>
      </c>
      <c r="M123" s="135">
        <v>0</v>
      </c>
      <c r="N123" s="135">
        <v>0</v>
      </c>
      <c r="O123" s="135">
        <v>0</v>
      </c>
      <c r="P123" s="135">
        <v>0</v>
      </c>
      <c r="Q123" s="135">
        <v>0</v>
      </c>
      <c r="R123" s="135">
        <v>1.2</v>
      </c>
      <c r="S123" s="135">
        <v>1.2</v>
      </c>
      <c r="T123" s="135">
        <v>0</v>
      </c>
    </row>
    <row r="124" spans="1:20" x14ac:dyDescent="0.3">
      <c r="A124" s="135">
        <v>123</v>
      </c>
      <c r="B124" s="135" t="s">
        <v>477</v>
      </c>
      <c r="C124" s="135" t="s">
        <v>50</v>
      </c>
      <c r="D124" s="135" t="s">
        <v>22</v>
      </c>
      <c r="E124" s="135">
        <v>1</v>
      </c>
      <c r="F124" s="135">
        <v>0.8</v>
      </c>
      <c r="G124" s="135">
        <v>0.5</v>
      </c>
      <c r="H124" s="135">
        <v>6.3</v>
      </c>
      <c r="I124" s="135">
        <v>0</v>
      </c>
      <c r="J124" s="135">
        <v>0</v>
      </c>
      <c r="K124" s="135">
        <v>0</v>
      </c>
      <c r="L124" s="135">
        <v>0</v>
      </c>
      <c r="M124" s="135">
        <v>0</v>
      </c>
      <c r="N124" s="135">
        <v>0</v>
      </c>
      <c r="O124" s="135">
        <v>0</v>
      </c>
      <c r="P124" s="135">
        <v>0</v>
      </c>
      <c r="Q124" s="135">
        <v>0</v>
      </c>
      <c r="R124" s="135">
        <v>1.2</v>
      </c>
      <c r="S124" s="135">
        <v>1.2</v>
      </c>
      <c r="T124" s="135">
        <v>0</v>
      </c>
    </row>
    <row r="125" spans="1:20" x14ac:dyDescent="0.3">
      <c r="A125" s="135">
        <v>124</v>
      </c>
      <c r="B125" s="135" t="s">
        <v>264</v>
      </c>
      <c r="C125" s="135" t="s">
        <v>404</v>
      </c>
      <c r="D125" s="135" t="s">
        <v>407</v>
      </c>
      <c r="E125" s="135">
        <v>1</v>
      </c>
      <c r="F125" s="135">
        <v>0.7</v>
      </c>
      <c r="G125" s="135">
        <v>0.4</v>
      </c>
      <c r="H125" s="135">
        <v>6.3</v>
      </c>
      <c r="I125" s="135">
        <v>0</v>
      </c>
      <c r="J125" s="135">
        <v>0</v>
      </c>
      <c r="K125" s="135">
        <v>0</v>
      </c>
      <c r="L125" s="135">
        <v>0</v>
      </c>
      <c r="M125" s="135">
        <v>0</v>
      </c>
      <c r="N125" s="135">
        <v>0</v>
      </c>
      <c r="O125" s="135">
        <v>0</v>
      </c>
      <c r="P125" s="135">
        <v>0</v>
      </c>
      <c r="Q125" s="135">
        <v>0</v>
      </c>
      <c r="R125" s="135">
        <v>1.1000000000000001</v>
      </c>
      <c r="S125" s="135">
        <v>1.1000000000000001</v>
      </c>
      <c r="T125" s="135">
        <v>0</v>
      </c>
    </row>
    <row r="126" spans="1:20" x14ac:dyDescent="0.3">
      <c r="A126" s="135">
        <v>125</v>
      </c>
      <c r="B126" s="135" t="s">
        <v>497</v>
      </c>
      <c r="C126" s="135" t="s">
        <v>1237</v>
      </c>
      <c r="D126" s="135" t="s">
        <v>4</v>
      </c>
      <c r="E126" s="135">
        <v>1</v>
      </c>
      <c r="F126" s="135">
        <v>0.8</v>
      </c>
      <c r="G126" s="135">
        <v>0.5</v>
      </c>
      <c r="H126" s="135">
        <v>5.9</v>
      </c>
      <c r="I126" s="135">
        <v>0</v>
      </c>
      <c r="J126" s="135">
        <v>0</v>
      </c>
      <c r="K126" s="135">
        <v>0</v>
      </c>
      <c r="L126" s="135">
        <v>0</v>
      </c>
      <c r="M126" s="135">
        <v>0</v>
      </c>
      <c r="N126" s="135">
        <v>0</v>
      </c>
      <c r="O126" s="135">
        <v>0</v>
      </c>
      <c r="P126" s="135">
        <v>0</v>
      </c>
      <c r="Q126" s="135">
        <v>0</v>
      </c>
      <c r="R126" s="135">
        <v>1.1000000000000001</v>
      </c>
      <c r="S126" s="135">
        <v>1.1000000000000001</v>
      </c>
      <c r="T126" s="135">
        <v>0</v>
      </c>
    </row>
    <row r="127" spans="1:20" x14ac:dyDescent="0.3">
      <c r="A127" s="135">
        <v>126</v>
      </c>
      <c r="B127" s="135" t="s">
        <v>305</v>
      </c>
      <c r="C127" s="135" t="s">
        <v>26</v>
      </c>
      <c r="D127" s="135" t="s">
        <v>46</v>
      </c>
      <c r="E127" s="135">
        <v>1</v>
      </c>
      <c r="F127" s="135">
        <v>0.7</v>
      </c>
      <c r="G127" s="135">
        <v>0.3</v>
      </c>
      <c r="H127" s="135">
        <v>4.2</v>
      </c>
      <c r="I127" s="135">
        <v>0</v>
      </c>
      <c r="J127" s="135">
        <v>0</v>
      </c>
      <c r="K127" s="135">
        <v>0</v>
      </c>
      <c r="L127" s="135">
        <v>0</v>
      </c>
      <c r="M127" s="135">
        <v>58.7</v>
      </c>
      <c r="N127" s="135">
        <v>0</v>
      </c>
      <c r="O127" s="135">
        <v>0</v>
      </c>
      <c r="P127" s="135">
        <v>0</v>
      </c>
      <c r="Q127" s="135">
        <v>0</v>
      </c>
      <c r="R127" s="135">
        <v>1.1000000000000001</v>
      </c>
      <c r="S127" s="135">
        <v>1.1000000000000001</v>
      </c>
      <c r="T127" s="135">
        <v>0</v>
      </c>
    </row>
    <row r="128" spans="1:20" x14ac:dyDescent="0.3">
      <c r="A128" s="135">
        <v>127</v>
      </c>
      <c r="B128" s="135" t="s">
        <v>529</v>
      </c>
      <c r="C128" s="135" t="s">
        <v>397</v>
      </c>
      <c r="D128" s="135" t="s">
        <v>20</v>
      </c>
      <c r="E128" s="135">
        <v>1</v>
      </c>
      <c r="F128" s="135">
        <v>0.6</v>
      </c>
      <c r="G128" s="135">
        <v>0.4</v>
      </c>
      <c r="H128" s="135">
        <v>5.4</v>
      </c>
      <c r="I128" s="135">
        <v>0</v>
      </c>
      <c r="J128" s="135">
        <v>0</v>
      </c>
      <c r="K128" s="135">
        <v>0</v>
      </c>
      <c r="L128" s="135">
        <v>0</v>
      </c>
      <c r="M128" s="135">
        <v>8.6</v>
      </c>
      <c r="N128" s="135">
        <v>0</v>
      </c>
      <c r="O128" s="135">
        <v>0</v>
      </c>
      <c r="P128" s="135">
        <v>0</v>
      </c>
      <c r="Q128" s="135">
        <v>0</v>
      </c>
      <c r="R128" s="135">
        <v>1</v>
      </c>
      <c r="S128" s="135">
        <v>1</v>
      </c>
      <c r="T128" s="135">
        <v>0</v>
      </c>
    </row>
    <row r="129" spans="1:20" x14ac:dyDescent="0.3">
      <c r="A129" s="135">
        <v>128</v>
      </c>
      <c r="B129" s="135" t="s">
        <v>280</v>
      </c>
      <c r="C129" s="135" t="s">
        <v>12</v>
      </c>
      <c r="D129" s="135" t="s">
        <v>16</v>
      </c>
      <c r="E129" s="135">
        <v>1</v>
      </c>
      <c r="F129" s="135">
        <v>0.6</v>
      </c>
      <c r="G129" s="135">
        <v>0.4</v>
      </c>
      <c r="H129" s="135">
        <v>4.0999999999999996</v>
      </c>
      <c r="I129" s="135">
        <v>0</v>
      </c>
      <c r="J129" s="135">
        <v>0</v>
      </c>
      <c r="K129" s="135">
        <v>0</v>
      </c>
      <c r="L129" s="135">
        <v>0</v>
      </c>
      <c r="M129" s="135">
        <v>11.5</v>
      </c>
      <c r="N129" s="135">
        <v>0</v>
      </c>
      <c r="O129" s="135">
        <v>0</v>
      </c>
      <c r="P129" s="135">
        <v>0</v>
      </c>
      <c r="Q129" s="135">
        <v>0</v>
      </c>
      <c r="R129" s="135">
        <v>0.9</v>
      </c>
      <c r="S129" s="135">
        <v>0.9</v>
      </c>
      <c r="T129" s="135">
        <v>0</v>
      </c>
    </row>
    <row r="130" spans="1:20" x14ac:dyDescent="0.3">
      <c r="A130" s="135">
        <v>129</v>
      </c>
      <c r="B130" s="135" t="s">
        <v>455</v>
      </c>
      <c r="C130" s="135" t="s">
        <v>41</v>
      </c>
      <c r="D130" s="135" t="s">
        <v>37</v>
      </c>
      <c r="E130" s="135">
        <v>1</v>
      </c>
      <c r="F130" s="135">
        <v>0.6</v>
      </c>
      <c r="G130" s="135">
        <v>0.4</v>
      </c>
      <c r="H130" s="135">
        <v>5.2</v>
      </c>
      <c r="I130" s="135">
        <v>0</v>
      </c>
      <c r="J130" s="135">
        <v>0</v>
      </c>
      <c r="K130" s="135">
        <v>0</v>
      </c>
      <c r="L130" s="135">
        <v>0</v>
      </c>
      <c r="M130" s="135">
        <v>0</v>
      </c>
      <c r="N130" s="135">
        <v>0</v>
      </c>
      <c r="O130" s="135">
        <v>0</v>
      </c>
      <c r="P130" s="135">
        <v>0</v>
      </c>
      <c r="Q130" s="135">
        <v>0</v>
      </c>
      <c r="R130" s="135">
        <v>0.9</v>
      </c>
      <c r="S130" s="135">
        <v>0.9</v>
      </c>
      <c r="T130" s="135">
        <v>0</v>
      </c>
    </row>
    <row r="131" spans="1:20" x14ac:dyDescent="0.3">
      <c r="A131" s="135">
        <v>130</v>
      </c>
      <c r="B131" s="135" t="s">
        <v>279</v>
      </c>
      <c r="C131" s="135" t="s">
        <v>18</v>
      </c>
      <c r="D131" s="135" t="s">
        <v>1239</v>
      </c>
      <c r="E131" s="135">
        <v>1</v>
      </c>
      <c r="F131" s="135">
        <v>0.6</v>
      </c>
      <c r="G131" s="135">
        <v>0.4</v>
      </c>
      <c r="H131" s="135">
        <v>4.8</v>
      </c>
      <c r="I131" s="135">
        <v>0</v>
      </c>
      <c r="J131" s="135">
        <v>0</v>
      </c>
      <c r="K131" s="135">
        <v>0</v>
      </c>
      <c r="L131" s="135">
        <v>0</v>
      </c>
      <c r="M131" s="135">
        <v>0</v>
      </c>
      <c r="N131" s="135">
        <v>0</v>
      </c>
      <c r="O131" s="135">
        <v>0</v>
      </c>
      <c r="P131" s="135">
        <v>0</v>
      </c>
      <c r="Q131" s="135">
        <v>0</v>
      </c>
      <c r="R131" s="135">
        <v>0.9</v>
      </c>
      <c r="S131" s="135">
        <v>0.9</v>
      </c>
      <c r="T131" s="135">
        <v>0</v>
      </c>
    </row>
    <row r="132" spans="1:20" x14ac:dyDescent="0.3">
      <c r="A132" s="135">
        <v>131</v>
      </c>
      <c r="B132" s="135" t="s">
        <v>307</v>
      </c>
      <c r="C132" s="135" t="s">
        <v>52</v>
      </c>
      <c r="D132" s="135" t="s">
        <v>398</v>
      </c>
      <c r="E132" s="135">
        <v>1</v>
      </c>
      <c r="F132" s="135">
        <v>0.3</v>
      </c>
      <c r="G132" s="135">
        <v>0.2</v>
      </c>
      <c r="H132" s="135">
        <v>1.8</v>
      </c>
      <c r="I132" s="135">
        <v>0</v>
      </c>
      <c r="J132" s="135">
        <v>0.3</v>
      </c>
      <c r="K132" s="135">
        <v>1.9</v>
      </c>
      <c r="L132" s="135">
        <v>0</v>
      </c>
      <c r="M132" s="135">
        <v>48.6</v>
      </c>
      <c r="N132" s="135">
        <v>0</v>
      </c>
      <c r="O132" s="135">
        <v>0</v>
      </c>
      <c r="P132" s="135">
        <v>0</v>
      </c>
      <c r="Q132" s="135">
        <v>0</v>
      </c>
      <c r="R132" s="135">
        <v>0.8</v>
      </c>
      <c r="S132" s="135">
        <v>0.8</v>
      </c>
      <c r="T132" s="135">
        <v>0</v>
      </c>
    </row>
    <row r="133" spans="1:20" x14ac:dyDescent="0.3">
      <c r="A133" s="135">
        <v>132</v>
      </c>
      <c r="B133" s="135" t="s">
        <v>500</v>
      </c>
      <c r="C133" s="135" t="s">
        <v>404</v>
      </c>
      <c r="D133" s="135" t="s">
        <v>407</v>
      </c>
      <c r="E133" s="135">
        <v>1</v>
      </c>
      <c r="F133" s="135">
        <v>0.3</v>
      </c>
      <c r="G133" s="135">
        <v>0.3</v>
      </c>
      <c r="H133" s="135">
        <v>4</v>
      </c>
      <c r="I133" s="135">
        <v>0</v>
      </c>
      <c r="J133" s="135">
        <v>0</v>
      </c>
      <c r="K133" s="135">
        <v>0</v>
      </c>
      <c r="L133" s="135">
        <v>0</v>
      </c>
      <c r="M133" s="135">
        <v>14.9</v>
      </c>
      <c r="N133" s="135">
        <v>0</v>
      </c>
      <c r="O133" s="135">
        <v>0</v>
      </c>
      <c r="P133" s="135">
        <v>0</v>
      </c>
      <c r="Q133" s="135">
        <v>0</v>
      </c>
      <c r="R133" s="135">
        <v>0.8</v>
      </c>
      <c r="S133" s="135">
        <v>0.8</v>
      </c>
      <c r="T133" s="135">
        <v>0</v>
      </c>
    </row>
    <row r="134" spans="1:20" x14ac:dyDescent="0.3">
      <c r="A134" s="135">
        <v>133</v>
      </c>
      <c r="B134" s="135" t="s">
        <v>506</v>
      </c>
      <c r="C134" s="135" t="s">
        <v>28</v>
      </c>
      <c r="D134" s="135" t="s">
        <v>57</v>
      </c>
      <c r="E134" s="135">
        <v>1</v>
      </c>
      <c r="F134" s="135">
        <v>0.3</v>
      </c>
      <c r="G134" s="135">
        <v>0.2</v>
      </c>
      <c r="H134" s="135">
        <v>3.3</v>
      </c>
      <c r="I134" s="135">
        <v>0</v>
      </c>
      <c r="J134" s="135">
        <v>0</v>
      </c>
      <c r="K134" s="135">
        <v>0</v>
      </c>
      <c r="L134" s="135">
        <v>0</v>
      </c>
      <c r="M134" s="135">
        <v>23.6</v>
      </c>
      <c r="N134" s="135">
        <v>0</v>
      </c>
      <c r="O134" s="135">
        <v>0</v>
      </c>
      <c r="P134" s="135">
        <v>0</v>
      </c>
      <c r="Q134" s="135">
        <v>0</v>
      </c>
      <c r="R134" s="135">
        <v>0.6</v>
      </c>
      <c r="S134" s="135">
        <v>0.6</v>
      </c>
      <c r="T134" s="135">
        <v>0</v>
      </c>
    </row>
    <row r="135" spans="1:20" x14ac:dyDescent="0.3">
      <c r="A135" s="135">
        <v>134</v>
      </c>
      <c r="B135" s="135" t="s">
        <v>281</v>
      </c>
      <c r="C135" s="135" t="s">
        <v>397</v>
      </c>
      <c r="D135" s="135" t="s">
        <v>20</v>
      </c>
      <c r="E135" s="135">
        <v>1</v>
      </c>
      <c r="F135" s="135">
        <v>0.3</v>
      </c>
      <c r="G135" s="135">
        <v>0.2</v>
      </c>
      <c r="H135" s="135">
        <v>3.4</v>
      </c>
      <c r="I135" s="135">
        <v>0</v>
      </c>
      <c r="J135" s="135">
        <v>0</v>
      </c>
      <c r="K135" s="135">
        <v>0</v>
      </c>
      <c r="L135" s="135">
        <v>0</v>
      </c>
      <c r="M135" s="135">
        <v>0</v>
      </c>
      <c r="N135" s="135">
        <v>0</v>
      </c>
      <c r="O135" s="135">
        <v>0</v>
      </c>
      <c r="P135" s="135">
        <v>0</v>
      </c>
      <c r="Q135" s="135">
        <v>0</v>
      </c>
      <c r="R135" s="135">
        <v>0.6</v>
      </c>
      <c r="S135" s="135">
        <v>0.6</v>
      </c>
      <c r="T135" s="135">
        <v>0</v>
      </c>
    </row>
    <row r="136" spans="1:20" x14ac:dyDescent="0.3">
      <c r="A136" s="135">
        <v>135</v>
      </c>
      <c r="B136" s="135" t="s">
        <v>478</v>
      </c>
      <c r="C136" s="135" t="s">
        <v>37</v>
      </c>
      <c r="D136" s="135" t="s">
        <v>41</v>
      </c>
      <c r="E136" s="135">
        <v>1</v>
      </c>
      <c r="F136" s="135">
        <v>0.4</v>
      </c>
      <c r="G136" s="135">
        <v>0.2</v>
      </c>
      <c r="H136" s="135">
        <v>2.9</v>
      </c>
      <c r="I136" s="135">
        <v>0</v>
      </c>
      <c r="J136" s="135">
        <v>0</v>
      </c>
      <c r="K136" s="135">
        <v>0</v>
      </c>
      <c r="L136" s="135">
        <v>0</v>
      </c>
      <c r="M136" s="135">
        <v>0</v>
      </c>
      <c r="N136" s="135">
        <v>0</v>
      </c>
      <c r="O136" s="135">
        <v>0</v>
      </c>
      <c r="P136" s="135">
        <v>0</v>
      </c>
      <c r="Q136" s="135">
        <v>0</v>
      </c>
      <c r="R136" s="135">
        <v>0.5</v>
      </c>
      <c r="S136" s="135">
        <v>0.5</v>
      </c>
      <c r="T136" s="135">
        <v>0</v>
      </c>
    </row>
    <row r="137" spans="1:20" x14ac:dyDescent="0.3">
      <c r="A137" s="135">
        <v>136</v>
      </c>
      <c r="B137" s="135" t="s">
        <v>311</v>
      </c>
      <c r="C137" s="135" t="s">
        <v>10</v>
      </c>
      <c r="D137" s="135" t="s">
        <v>402</v>
      </c>
      <c r="E137" s="135">
        <v>1</v>
      </c>
      <c r="F137" s="135">
        <v>0.3</v>
      </c>
      <c r="G137" s="135">
        <v>0.2</v>
      </c>
      <c r="H137" s="135">
        <v>2.4</v>
      </c>
      <c r="I137" s="135">
        <v>0</v>
      </c>
      <c r="J137" s="135">
        <v>0</v>
      </c>
      <c r="K137" s="135">
        <v>0</v>
      </c>
      <c r="L137" s="135">
        <v>0</v>
      </c>
      <c r="M137" s="135">
        <v>7.4</v>
      </c>
      <c r="N137" s="135">
        <v>0</v>
      </c>
      <c r="O137" s="135">
        <v>0</v>
      </c>
      <c r="P137" s="135">
        <v>0</v>
      </c>
      <c r="Q137" s="135">
        <v>0</v>
      </c>
      <c r="R137" s="135">
        <v>0.5</v>
      </c>
      <c r="S137" s="135">
        <v>0.5</v>
      </c>
      <c r="T137" s="135">
        <v>0</v>
      </c>
    </row>
    <row r="138" spans="1:20" x14ac:dyDescent="0.3">
      <c r="A138" s="135">
        <v>137</v>
      </c>
      <c r="B138" s="135" t="s">
        <v>476</v>
      </c>
      <c r="C138" s="135" t="s">
        <v>12</v>
      </c>
      <c r="D138" s="135" t="s">
        <v>16</v>
      </c>
      <c r="E138" s="135">
        <v>1</v>
      </c>
      <c r="F138" s="135">
        <v>0.3</v>
      </c>
      <c r="G138" s="135">
        <v>0.2</v>
      </c>
      <c r="H138" s="135">
        <v>2.9</v>
      </c>
      <c r="I138" s="135">
        <v>0</v>
      </c>
      <c r="J138" s="135">
        <v>0</v>
      </c>
      <c r="K138" s="135">
        <v>0</v>
      </c>
      <c r="L138" s="135">
        <v>0</v>
      </c>
      <c r="M138" s="135">
        <v>0</v>
      </c>
      <c r="N138" s="135">
        <v>0</v>
      </c>
      <c r="O138" s="135">
        <v>0</v>
      </c>
      <c r="P138" s="135">
        <v>0</v>
      </c>
      <c r="Q138" s="135">
        <v>0</v>
      </c>
      <c r="R138" s="135">
        <v>0.5</v>
      </c>
      <c r="S138" s="135">
        <v>0.5</v>
      </c>
      <c r="T138" s="135">
        <v>0</v>
      </c>
    </row>
    <row r="139" spans="1:20" x14ac:dyDescent="0.3">
      <c r="A139" s="135">
        <v>138</v>
      </c>
      <c r="B139" s="135" t="s">
        <v>521</v>
      </c>
      <c r="C139" s="135" t="s">
        <v>397</v>
      </c>
      <c r="D139" s="135" t="s">
        <v>20</v>
      </c>
      <c r="E139" s="135">
        <v>1</v>
      </c>
      <c r="F139" s="135">
        <v>0.3</v>
      </c>
      <c r="G139" s="135">
        <v>0.2</v>
      </c>
      <c r="H139" s="135">
        <v>2.7</v>
      </c>
      <c r="I139" s="135">
        <v>0</v>
      </c>
      <c r="J139" s="135">
        <v>0</v>
      </c>
      <c r="K139" s="135">
        <v>0</v>
      </c>
      <c r="L139" s="135">
        <v>0</v>
      </c>
      <c r="M139" s="135">
        <v>0</v>
      </c>
      <c r="N139" s="135">
        <v>0</v>
      </c>
      <c r="O139" s="135">
        <v>0</v>
      </c>
      <c r="P139" s="135">
        <v>0</v>
      </c>
      <c r="Q139" s="135">
        <v>0</v>
      </c>
      <c r="R139" s="135">
        <v>0.5</v>
      </c>
      <c r="S139" s="135">
        <v>0.5</v>
      </c>
      <c r="T139" s="135">
        <v>0</v>
      </c>
    </row>
    <row r="140" spans="1:20" x14ac:dyDescent="0.3">
      <c r="A140" s="135">
        <v>139</v>
      </c>
      <c r="B140" s="135" t="s">
        <v>1550</v>
      </c>
      <c r="C140" s="135" t="s">
        <v>70</v>
      </c>
      <c r="D140" s="135" t="s">
        <v>401</v>
      </c>
      <c r="E140" s="135">
        <v>1</v>
      </c>
      <c r="F140" s="135">
        <v>0.3</v>
      </c>
      <c r="G140" s="135">
        <v>0.2</v>
      </c>
      <c r="H140" s="135">
        <v>2.5</v>
      </c>
      <c r="I140" s="135">
        <v>0</v>
      </c>
      <c r="J140" s="135">
        <v>0</v>
      </c>
      <c r="K140" s="135">
        <v>0</v>
      </c>
      <c r="L140" s="135">
        <v>0</v>
      </c>
      <c r="M140" s="135">
        <v>0</v>
      </c>
      <c r="N140" s="135">
        <v>0</v>
      </c>
      <c r="O140" s="135">
        <v>0</v>
      </c>
      <c r="P140" s="135">
        <v>0</v>
      </c>
      <c r="Q140" s="135">
        <v>0</v>
      </c>
      <c r="R140" s="135">
        <v>0.4</v>
      </c>
      <c r="S140" s="135">
        <v>0.4</v>
      </c>
      <c r="T140" s="135">
        <v>0</v>
      </c>
    </row>
    <row r="141" spans="1:20" x14ac:dyDescent="0.3">
      <c r="A141" s="135">
        <v>140</v>
      </c>
      <c r="B141" s="135" t="s">
        <v>481</v>
      </c>
      <c r="C141" s="135" t="s">
        <v>28</v>
      </c>
      <c r="D141" s="135" t="s">
        <v>57</v>
      </c>
      <c r="E141" s="135">
        <v>1</v>
      </c>
      <c r="F141" s="135">
        <v>0.3</v>
      </c>
      <c r="G141" s="135">
        <v>0.2</v>
      </c>
      <c r="H141" s="135">
        <v>2.6</v>
      </c>
      <c r="I141" s="135">
        <v>0</v>
      </c>
      <c r="J141" s="135">
        <v>0</v>
      </c>
      <c r="K141" s="135">
        <v>0</v>
      </c>
      <c r="L141" s="135">
        <v>0</v>
      </c>
      <c r="M141" s="135">
        <v>0</v>
      </c>
      <c r="N141" s="135">
        <v>0</v>
      </c>
      <c r="O141" s="135">
        <v>0</v>
      </c>
      <c r="P141" s="135">
        <v>0</v>
      </c>
      <c r="Q141" s="135">
        <v>0</v>
      </c>
      <c r="R141" s="135">
        <v>0.4</v>
      </c>
      <c r="S141" s="135">
        <v>0.4</v>
      </c>
      <c r="T141" s="135">
        <v>0</v>
      </c>
    </row>
    <row r="142" spans="1:20" x14ac:dyDescent="0.3">
      <c r="A142" s="135">
        <v>141</v>
      </c>
      <c r="B142" s="135" t="s">
        <v>287</v>
      </c>
      <c r="C142" s="135" t="s">
        <v>46</v>
      </c>
      <c r="D142" s="135" t="s">
        <v>26</v>
      </c>
      <c r="E142" s="135">
        <v>1</v>
      </c>
      <c r="F142" s="135">
        <v>0.3</v>
      </c>
      <c r="G142" s="135">
        <v>0.2</v>
      </c>
      <c r="H142" s="135">
        <v>2.4</v>
      </c>
      <c r="I142" s="135">
        <v>0</v>
      </c>
      <c r="J142" s="135">
        <v>0</v>
      </c>
      <c r="K142" s="135">
        <v>0</v>
      </c>
      <c r="L142" s="135">
        <v>0</v>
      </c>
      <c r="M142" s="135">
        <v>0</v>
      </c>
      <c r="N142" s="135">
        <v>0</v>
      </c>
      <c r="O142" s="135">
        <v>0</v>
      </c>
      <c r="P142" s="135">
        <v>0</v>
      </c>
      <c r="Q142" s="135">
        <v>0</v>
      </c>
      <c r="R142" s="135">
        <v>0.4</v>
      </c>
      <c r="S142" s="135">
        <v>0.4</v>
      </c>
      <c r="T142" s="135">
        <v>0</v>
      </c>
    </row>
    <row r="143" spans="1:20" x14ac:dyDescent="0.3">
      <c r="A143" s="135">
        <v>142</v>
      </c>
      <c r="B143" s="135" t="s">
        <v>1250</v>
      </c>
      <c r="C143" s="135" t="s">
        <v>10</v>
      </c>
      <c r="D143" s="135" t="s">
        <v>402</v>
      </c>
      <c r="E143" s="135">
        <v>1</v>
      </c>
      <c r="F143" s="135">
        <v>0.3</v>
      </c>
      <c r="G143" s="135">
        <v>0.2</v>
      </c>
      <c r="H143" s="135">
        <v>2.2000000000000002</v>
      </c>
      <c r="I143" s="135">
        <v>0</v>
      </c>
      <c r="J143" s="135">
        <v>0</v>
      </c>
      <c r="K143" s="135">
        <v>0</v>
      </c>
      <c r="L143" s="135">
        <v>0</v>
      </c>
      <c r="M143" s="135">
        <v>3</v>
      </c>
      <c r="N143" s="135">
        <v>0</v>
      </c>
      <c r="O143" s="135">
        <v>0</v>
      </c>
      <c r="P143" s="135">
        <v>0</v>
      </c>
      <c r="Q143" s="135">
        <v>0</v>
      </c>
      <c r="R143" s="135">
        <v>0.4</v>
      </c>
      <c r="S143" s="135">
        <v>0.4</v>
      </c>
      <c r="T143" s="135">
        <v>0</v>
      </c>
    </row>
    <row r="144" spans="1:20" x14ac:dyDescent="0.3">
      <c r="A144" s="135">
        <v>143</v>
      </c>
      <c r="B144" s="135" t="s">
        <v>295</v>
      </c>
      <c r="C144" s="135" t="s">
        <v>1238</v>
      </c>
      <c r="D144" s="135" t="s">
        <v>30</v>
      </c>
      <c r="E144" s="135">
        <v>1</v>
      </c>
      <c r="F144" s="135">
        <v>0.3</v>
      </c>
      <c r="G144" s="135">
        <v>0.2</v>
      </c>
      <c r="H144" s="135">
        <v>2</v>
      </c>
      <c r="I144" s="135">
        <v>0</v>
      </c>
      <c r="J144" s="135">
        <v>0</v>
      </c>
      <c r="K144" s="135">
        <v>0</v>
      </c>
      <c r="L144" s="135">
        <v>0</v>
      </c>
      <c r="M144" s="135">
        <v>0</v>
      </c>
      <c r="N144" s="135">
        <v>0</v>
      </c>
      <c r="O144" s="135">
        <v>0</v>
      </c>
      <c r="P144" s="135">
        <v>0</v>
      </c>
      <c r="Q144" s="135">
        <v>0</v>
      </c>
      <c r="R144" s="135">
        <v>0.4</v>
      </c>
      <c r="S144" s="135">
        <v>0.4</v>
      </c>
      <c r="T144" s="135">
        <v>0</v>
      </c>
    </row>
    <row r="145" spans="1:20" x14ac:dyDescent="0.3">
      <c r="A145" s="135">
        <v>144</v>
      </c>
      <c r="B145" s="135" t="s">
        <v>312</v>
      </c>
      <c r="C145" s="135" t="s">
        <v>401</v>
      </c>
      <c r="D145" s="135" t="s">
        <v>70</v>
      </c>
      <c r="E145" s="135">
        <v>1</v>
      </c>
      <c r="F145" s="135">
        <v>0.3</v>
      </c>
      <c r="G145" s="135">
        <v>0.2</v>
      </c>
      <c r="H145" s="135">
        <v>1.4</v>
      </c>
      <c r="I145" s="135">
        <v>0</v>
      </c>
      <c r="J145" s="135">
        <v>0</v>
      </c>
      <c r="K145" s="135">
        <v>0</v>
      </c>
      <c r="L145" s="135">
        <v>0</v>
      </c>
      <c r="M145" s="135">
        <v>0</v>
      </c>
      <c r="N145" s="135">
        <v>0</v>
      </c>
      <c r="O145" s="135">
        <v>0</v>
      </c>
      <c r="P145" s="135">
        <v>0</v>
      </c>
      <c r="Q145" s="135">
        <v>0</v>
      </c>
      <c r="R145" s="135">
        <v>0.3</v>
      </c>
      <c r="S145" s="135">
        <v>0.3</v>
      </c>
      <c r="T145" s="135">
        <v>0</v>
      </c>
    </row>
    <row r="146" spans="1:20" x14ac:dyDescent="0.3">
      <c r="A146" s="135">
        <v>145</v>
      </c>
      <c r="B146" s="135" t="s">
        <v>288</v>
      </c>
      <c r="C146" s="135" t="s">
        <v>30</v>
      </c>
      <c r="D146" s="135" t="s">
        <v>1238</v>
      </c>
      <c r="E146" s="135">
        <v>1</v>
      </c>
      <c r="F146" s="135">
        <v>0</v>
      </c>
      <c r="G146" s="135">
        <v>0</v>
      </c>
      <c r="H146" s="135">
        <v>0</v>
      </c>
      <c r="I146" s="135">
        <v>0</v>
      </c>
      <c r="J146" s="135">
        <v>0</v>
      </c>
      <c r="K146" s="135">
        <v>0</v>
      </c>
      <c r="L146" s="135">
        <v>0</v>
      </c>
      <c r="M146" s="135">
        <v>70.7</v>
      </c>
      <c r="N146" s="135">
        <v>0.1</v>
      </c>
      <c r="O146" s="135">
        <v>0</v>
      </c>
      <c r="P146" s="135">
        <v>0</v>
      </c>
      <c r="Q146" s="135">
        <v>0</v>
      </c>
      <c r="R146" s="135">
        <v>0.3</v>
      </c>
      <c r="S146" s="135">
        <v>0.3</v>
      </c>
      <c r="T146" s="135">
        <v>0</v>
      </c>
    </row>
    <row r="147" spans="1:20" x14ac:dyDescent="0.3">
      <c r="A147" s="135">
        <v>146</v>
      </c>
      <c r="B147" s="135" t="s">
        <v>1521</v>
      </c>
      <c r="C147" s="135" t="s">
        <v>1237</v>
      </c>
      <c r="D147" s="135" t="s">
        <v>4</v>
      </c>
      <c r="E147" s="135">
        <v>1</v>
      </c>
      <c r="F147" s="135">
        <v>0</v>
      </c>
      <c r="G147" s="135">
        <v>0</v>
      </c>
      <c r="H147" s="135">
        <v>0</v>
      </c>
      <c r="I147" s="135">
        <v>0</v>
      </c>
      <c r="J147" s="135">
        <v>0</v>
      </c>
      <c r="K147" s="135">
        <v>0</v>
      </c>
      <c r="L147" s="135">
        <v>0</v>
      </c>
      <c r="M147" s="135">
        <v>53.9</v>
      </c>
      <c r="N147" s="135">
        <v>0</v>
      </c>
      <c r="O147" s="135">
        <v>0</v>
      </c>
      <c r="P147" s="135">
        <v>0</v>
      </c>
      <c r="Q147" s="135">
        <v>0</v>
      </c>
      <c r="R147" s="135">
        <v>0.2</v>
      </c>
      <c r="S147" s="135">
        <v>0.2</v>
      </c>
      <c r="T147" s="135">
        <v>0</v>
      </c>
    </row>
    <row r="148" spans="1:20" x14ac:dyDescent="0.3">
      <c r="A148" s="135">
        <v>147</v>
      </c>
      <c r="B148" s="135" t="s">
        <v>317</v>
      </c>
      <c r="C148" s="135" t="s">
        <v>50</v>
      </c>
      <c r="D148" s="135" t="s">
        <v>22</v>
      </c>
      <c r="E148" s="135">
        <v>1</v>
      </c>
      <c r="F148" s="135">
        <v>0</v>
      </c>
      <c r="G148" s="135">
        <v>0</v>
      </c>
      <c r="H148" s="135">
        <v>0</v>
      </c>
      <c r="I148" s="135">
        <v>0</v>
      </c>
      <c r="J148" s="135">
        <v>0</v>
      </c>
      <c r="K148" s="135">
        <v>0</v>
      </c>
      <c r="L148" s="135">
        <v>0</v>
      </c>
      <c r="M148" s="135">
        <v>50.7</v>
      </c>
      <c r="N148" s="135">
        <v>0</v>
      </c>
      <c r="O148" s="135">
        <v>0</v>
      </c>
      <c r="P148" s="135">
        <v>0</v>
      </c>
      <c r="Q148" s="135">
        <v>0</v>
      </c>
      <c r="R148" s="135">
        <v>0.2</v>
      </c>
      <c r="S148" s="135">
        <v>0.2</v>
      </c>
      <c r="T148" s="135">
        <v>0</v>
      </c>
    </row>
    <row r="149" spans="1:20" x14ac:dyDescent="0.3">
      <c r="A149" s="135">
        <v>148</v>
      </c>
      <c r="B149" s="135" t="s">
        <v>314</v>
      </c>
      <c r="C149" s="135" t="s">
        <v>46</v>
      </c>
      <c r="D149" s="135" t="s">
        <v>26</v>
      </c>
      <c r="E149" s="135">
        <v>1</v>
      </c>
      <c r="F149" s="135">
        <v>0</v>
      </c>
      <c r="G149" s="135">
        <v>0</v>
      </c>
      <c r="H149" s="135">
        <v>0</v>
      </c>
      <c r="I149" s="135">
        <v>0</v>
      </c>
      <c r="J149" s="135">
        <v>0</v>
      </c>
      <c r="K149" s="135">
        <v>0</v>
      </c>
      <c r="L149" s="135">
        <v>0</v>
      </c>
      <c r="M149" s="135">
        <v>41.3</v>
      </c>
      <c r="N149" s="135">
        <v>0</v>
      </c>
      <c r="O149" s="135">
        <v>0</v>
      </c>
      <c r="P149" s="135">
        <v>0</v>
      </c>
      <c r="Q149" s="135">
        <v>0</v>
      </c>
      <c r="R149" s="135">
        <v>0.1</v>
      </c>
      <c r="S149" s="135">
        <v>0.1</v>
      </c>
      <c r="T149" s="135">
        <v>0</v>
      </c>
    </row>
    <row r="150" spans="1:20" x14ac:dyDescent="0.3">
      <c r="A150" s="135">
        <v>149</v>
      </c>
      <c r="B150" s="135" t="s">
        <v>495</v>
      </c>
      <c r="C150" s="135" t="s">
        <v>57</v>
      </c>
      <c r="D150" s="135" t="s">
        <v>28</v>
      </c>
      <c r="E150" s="135">
        <v>1</v>
      </c>
      <c r="F150" s="135">
        <v>0</v>
      </c>
      <c r="G150" s="135">
        <v>0</v>
      </c>
      <c r="H150" s="135">
        <v>0</v>
      </c>
      <c r="I150" s="135">
        <v>0</v>
      </c>
      <c r="J150" s="135">
        <v>0</v>
      </c>
      <c r="K150" s="135">
        <v>0</v>
      </c>
      <c r="L150" s="135">
        <v>0</v>
      </c>
      <c r="M150" s="135">
        <v>16.399999999999999</v>
      </c>
      <c r="N150" s="135">
        <v>0</v>
      </c>
      <c r="O150" s="135">
        <v>0</v>
      </c>
      <c r="P150" s="135">
        <v>0</v>
      </c>
      <c r="Q150" s="135">
        <v>0</v>
      </c>
      <c r="R150" s="135">
        <v>0.1</v>
      </c>
      <c r="S150" s="135">
        <v>0.1</v>
      </c>
      <c r="T150" s="135">
        <v>0</v>
      </c>
    </row>
    <row r="151" spans="1:20" x14ac:dyDescent="0.3">
      <c r="A151" s="135">
        <v>150</v>
      </c>
      <c r="B151" s="135" t="s">
        <v>491</v>
      </c>
      <c r="C151" s="135" t="s">
        <v>34</v>
      </c>
      <c r="D151" s="135" t="s">
        <v>10</v>
      </c>
      <c r="E151" s="135">
        <v>1</v>
      </c>
      <c r="F151" s="135">
        <v>0.4</v>
      </c>
      <c r="G151" s="135">
        <v>0.2</v>
      </c>
      <c r="H151" s="135">
        <v>2.8</v>
      </c>
      <c r="I151" s="135">
        <v>0</v>
      </c>
      <c r="J151" s="135">
        <v>0</v>
      </c>
      <c r="K151" s="135">
        <v>0</v>
      </c>
      <c r="L151" s="135">
        <v>0</v>
      </c>
      <c r="M151" s="135">
        <v>0</v>
      </c>
      <c r="N151" s="135">
        <v>0</v>
      </c>
      <c r="O151" s="135">
        <v>0</v>
      </c>
      <c r="P151" s="135">
        <v>0</v>
      </c>
      <c r="Q151" s="135">
        <v>0</v>
      </c>
      <c r="R151" s="135">
        <v>0.5</v>
      </c>
      <c r="S151" s="135">
        <v>0.5</v>
      </c>
      <c r="T151" s="135">
        <v>0</v>
      </c>
    </row>
    <row r="152" spans="1:20" x14ac:dyDescent="0.3">
      <c r="A152" s="135">
        <v>151</v>
      </c>
      <c r="B152" s="135" t="s">
        <v>299</v>
      </c>
      <c r="C152" s="135" t="s">
        <v>37</v>
      </c>
      <c r="D152" s="135" t="s">
        <v>404</v>
      </c>
      <c r="E152" s="135">
        <v>1</v>
      </c>
      <c r="F152" s="135">
        <v>0.4</v>
      </c>
      <c r="G152" s="135">
        <v>0.2</v>
      </c>
      <c r="H152" s="135">
        <v>2.6</v>
      </c>
      <c r="I152" s="135">
        <v>0</v>
      </c>
      <c r="J152" s="135">
        <v>0</v>
      </c>
      <c r="K152" s="135">
        <v>0</v>
      </c>
      <c r="L152" s="135">
        <v>0</v>
      </c>
      <c r="M152" s="135">
        <v>0</v>
      </c>
      <c r="N152" s="135">
        <v>0</v>
      </c>
      <c r="O152" s="135">
        <v>0</v>
      </c>
      <c r="P152" s="135">
        <v>0</v>
      </c>
      <c r="Q152" s="135">
        <v>0</v>
      </c>
      <c r="R152" s="135">
        <v>0.5</v>
      </c>
      <c r="S152" s="135">
        <v>0.5</v>
      </c>
      <c r="T152" s="135">
        <v>0</v>
      </c>
    </row>
    <row r="153" spans="1:20" x14ac:dyDescent="0.3">
      <c r="A153" s="135">
        <v>152</v>
      </c>
      <c r="B153" s="135" t="s">
        <v>504</v>
      </c>
      <c r="C153" s="135" t="s">
        <v>395</v>
      </c>
      <c r="D153" s="135" t="s">
        <v>41</v>
      </c>
      <c r="E153" s="135">
        <v>1</v>
      </c>
      <c r="F153" s="135">
        <v>0.3</v>
      </c>
      <c r="G153" s="135">
        <v>0.2</v>
      </c>
      <c r="H153" s="135">
        <v>2.7</v>
      </c>
      <c r="I153" s="135">
        <v>0</v>
      </c>
      <c r="J153" s="135">
        <v>0</v>
      </c>
      <c r="K153" s="135">
        <v>0</v>
      </c>
      <c r="L153" s="135">
        <v>0</v>
      </c>
      <c r="M153" s="135">
        <v>0</v>
      </c>
      <c r="N153" s="135">
        <v>0</v>
      </c>
      <c r="O153" s="135">
        <v>0</v>
      </c>
      <c r="P153" s="135">
        <v>0</v>
      </c>
      <c r="Q153" s="135">
        <v>0</v>
      </c>
      <c r="R153" s="135">
        <v>0.5</v>
      </c>
      <c r="S153" s="135">
        <v>0.5</v>
      </c>
      <c r="T153" s="135">
        <v>0</v>
      </c>
    </row>
    <row r="154" spans="1:20" x14ac:dyDescent="0.3">
      <c r="A154" s="135">
        <v>153</v>
      </c>
      <c r="B154" s="135" t="s">
        <v>517</v>
      </c>
      <c r="C154" s="135" t="s">
        <v>28</v>
      </c>
      <c r="D154" s="135" t="s">
        <v>20</v>
      </c>
      <c r="E154" s="135">
        <v>1</v>
      </c>
      <c r="F154" s="135">
        <v>0.3</v>
      </c>
      <c r="G154" s="135">
        <v>0.2</v>
      </c>
      <c r="H154" s="135">
        <v>2.7</v>
      </c>
      <c r="I154" s="135">
        <v>0</v>
      </c>
      <c r="J154" s="135">
        <v>0</v>
      </c>
      <c r="K154" s="135">
        <v>0</v>
      </c>
      <c r="L154" s="135">
        <v>0</v>
      </c>
      <c r="M154" s="135">
        <v>0</v>
      </c>
      <c r="N154" s="135">
        <v>0</v>
      </c>
      <c r="O154" s="135">
        <v>0</v>
      </c>
      <c r="P154" s="135">
        <v>0</v>
      </c>
      <c r="Q154" s="135">
        <v>0</v>
      </c>
      <c r="R154" s="135">
        <v>0.5</v>
      </c>
      <c r="S154" s="135">
        <v>0.5</v>
      </c>
      <c r="T154" s="135">
        <v>0</v>
      </c>
    </row>
    <row r="155" spans="1:20" x14ac:dyDescent="0.3">
      <c r="A155" s="135">
        <v>154</v>
      </c>
      <c r="B155" s="135" t="s">
        <v>1550</v>
      </c>
      <c r="C155" s="135" t="s">
        <v>70</v>
      </c>
      <c r="D155" s="135" t="s">
        <v>16</v>
      </c>
      <c r="E155" s="135">
        <v>1</v>
      </c>
      <c r="F155" s="135">
        <v>0.3</v>
      </c>
      <c r="G155" s="135">
        <v>0.2</v>
      </c>
      <c r="H155" s="135">
        <v>2.2999999999999998</v>
      </c>
      <c r="I155" s="135">
        <v>0</v>
      </c>
      <c r="J155" s="135">
        <v>0</v>
      </c>
      <c r="K155" s="135">
        <v>0</v>
      </c>
      <c r="L155" s="135">
        <v>0</v>
      </c>
      <c r="M155" s="135">
        <v>0</v>
      </c>
      <c r="N155" s="135">
        <v>0</v>
      </c>
      <c r="O155" s="135">
        <v>0</v>
      </c>
      <c r="P155" s="135">
        <v>0</v>
      </c>
      <c r="Q155" s="135">
        <v>0</v>
      </c>
      <c r="R155" s="135">
        <v>0.4</v>
      </c>
      <c r="S155" s="135">
        <v>0.4</v>
      </c>
      <c r="T155" s="135">
        <v>0</v>
      </c>
    </row>
    <row r="156" spans="1:20" x14ac:dyDescent="0.3">
      <c r="A156" s="135">
        <v>155</v>
      </c>
      <c r="B156" s="135" t="s">
        <v>287</v>
      </c>
      <c r="C156" s="135" t="s">
        <v>46</v>
      </c>
      <c r="D156" s="135" t="s">
        <v>39</v>
      </c>
      <c r="E156" s="135">
        <v>1</v>
      </c>
      <c r="F156" s="135">
        <v>0.3</v>
      </c>
      <c r="G156" s="135">
        <v>0.2</v>
      </c>
      <c r="H156" s="135">
        <v>2.2999999999999998</v>
      </c>
      <c r="I156" s="135">
        <v>0</v>
      </c>
      <c r="J156" s="135">
        <v>0</v>
      </c>
      <c r="K156" s="135">
        <v>0</v>
      </c>
      <c r="L156" s="135">
        <v>0</v>
      </c>
      <c r="M156" s="135">
        <v>0</v>
      </c>
      <c r="N156" s="135">
        <v>0</v>
      </c>
      <c r="O156" s="135">
        <v>0</v>
      </c>
      <c r="P156" s="135">
        <v>0</v>
      </c>
      <c r="Q156" s="135">
        <v>0</v>
      </c>
      <c r="R156" s="135">
        <v>0.4</v>
      </c>
      <c r="S156" s="135">
        <v>0.4</v>
      </c>
      <c r="T156" s="135">
        <v>0</v>
      </c>
    </row>
    <row r="157" spans="1:20" x14ac:dyDescent="0.3">
      <c r="A157" s="135">
        <v>156</v>
      </c>
      <c r="B157" s="135" t="s">
        <v>312</v>
      </c>
      <c r="C157" s="135" t="s">
        <v>401</v>
      </c>
      <c r="D157" s="135" t="s">
        <v>1236</v>
      </c>
      <c r="E157" s="135">
        <v>1</v>
      </c>
      <c r="F157" s="135">
        <v>0.3</v>
      </c>
      <c r="G157" s="135">
        <v>0.2</v>
      </c>
      <c r="H157" s="135">
        <v>1.4</v>
      </c>
      <c r="I157" s="135">
        <v>0</v>
      </c>
      <c r="J157" s="135">
        <v>0</v>
      </c>
      <c r="K157" s="135">
        <v>0</v>
      </c>
      <c r="L157" s="135">
        <v>0</v>
      </c>
      <c r="M157" s="135">
        <v>0</v>
      </c>
      <c r="N157" s="135">
        <v>0</v>
      </c>
      <c r="O157" s="135">
        <v>0</v>
      </c>
      <c r="P157" s="135">
        <v>0</v>
      </c>
      <c r="Q157" s="135">
        <v>0</v>
      </c>
      <c r="R157" s="135">
        <v>0.3</v>
      </c>
      <c r="S157" s="135">
        <v>0.3</v>
      </c>
      <c r="T157" s="135">
        <v>0</v>
      </c>
    </row>
    <row r="158" spans="1:20" x14ac:dyDescent="0.3">
      <c r="A158" s="135">
        <v>157</v>
      </c>
      <c r="B158" s="135" t="s">
        <v>523</v>
      </c>
      <c r="C158" s="135" t="s">
        <v>34</v>
      </c>
      <c r="D158" s="135" t="s">
        <v>10</v>
      </c>
      <c r="E158" s="135">
        <v>1</v>
      </c>
      <c r="F158" s="135">
        <v>0</v>
      </c>
      <c r="G158" s="135">
        <v>0</v>
      </c>
      <c r="H158" s="135">
        <v>0</v>
      </c>
      <c r="I158" s="135">
        <v>0</v>
      </c>
      <c r="J158" s="135">
        <v>0</v>
      </c>
      <c r="K158" s="135">
        <v>0</v>
      </c>
      <c r="L158" s="135">
        <v>0</v>
      </c>
      <c r="M158" s="135">
        <v>57.7</v>
      </c>
      <c r="N158" s="135">
        <v>0</v>
      </c>
      <c r="O158" s="135">
        <v>0</v>
      </c>
      <c r="P158" s="135">
        <v>0</v>
      </c>
      <c r="Q158" s="135">
        <v>0</v>
      </c>
      <c r="R158" s="135">
        <v>0.2</v>
      </c>
      <c r="S158" s="135">
        <v>0.2</v>
      </c>
      <c r="T158" s="135">
        <v>0</v>
      </c>
    </row>
    <row r="159" spans="1:20" x14ac:dyDescent="0.3">
      <c r="A159" s="135">
        <v>158</v>
      </c>
      <c r="B159" s="135" t="s">
        <v>317</v>
      </c>
      <c r="C159" s="135" t="s">
        <v>50</v>
      </c>
      <c r="D159" s="135" t="s">
        <v>4</v>
      </c>
      <c r="E159" s="135">
        <v>1</v>
      </c>
      <c r="F159" s="135">
        <v>0</v>
      </c>
      <c r="G159" s="135">
        <v>0</v>
      </c>
      <c r="H159" s="135">
        <v>0</v>
      </c>
      <c r="I159" s="135">
        <v>0</v>
      </c>
      <c r="J159" s="135">
        <v>0</v>
      </c>
      <c r="K159" s="135">
        <v>0</v>
      </c>
      <c r="L159" s="135">
        <v>0</v>
      </c>
      <c r="M159" s="135">
        <v>46.6</v>
      </c>
      <c r="N159" s="135">
        <v>0</v>
      </c>
      <c r="O159" s="135">
        <v>0</v>
      </c>
      <c r="P159" s="135">
        <v>0</v>
      </c>
      <c r="Q159" s="135">
        <v>0</v>
      </c>
      <c r="R159" s="135">
        <v>0.2</v>
      </c>
      <c r="S159" s="135">
        <v>0.2</v>
      </c>
      <c r="T159" s="135">
        <v>0</v>
      </c>
    </row>
    <row r="160" spans="1:20" x14ac:dyDescent="0.3">
      <c r="A160" s="135">
        <v>159</v>
      </c>
      <c r="B160" s="135" t="s">
        <v>302</v>
      </c>
      <c r="C160" s="135" t="s">
        <v>398</v>
      </c>
      <c r="D160" s="135" t="s">
        <v>22</v>
      </c>
      <c r="E160" s="135">
        <v>1</v>
      </c>
      <c r="F160" s="135">
        <v>0</v>
      </c>
      <c r="G160" s="135">
        <v>0</v>
      </c>
      <c r="H160" s="135">
        <v>0</v>
      </c>
      <c r="I160" s="135">
        <v>0</v>
      </c>
      <c r="J160" s="135">
        <v>0</v>
      </c>
      <c r="K160" s="135">
        <v>0</v>
      </c>
      <c r="L160" s="135">
        <v>0</v>
      </c>
      <c r="M160" s="135">
        <v>46.2</v>
      </c>
      <c r="N160" s="135">
        <v>0</v>
      </c>
      <c r="O160" s="135">
        <v>0</v>
      </c>
      <c r="P160" s="135">
        <v>0</v>
      </c>
      <c r="Q160" s="135">
        <v>0</v>
      </c>
      <c r="R160" s="135">
        <v>0.2</v>
      </c>
      <c r="S160" s="135">
        <v>0.2</v>
      </c>
      <c r="T160" s="135">
        <v>0</v>
      </c>
    </row>
    <row r="161" spans="1:20" x14ac:dyDescent="0.3">
      <c r="A161" s="135">
        <v>160</v>
      </c>
      <c r="B161" s="135" t="s">
        <v>486</v>
      </c>
      <c r="C161" s="135" t="s">
        <v>1237</v>
      </c>
      <c r="D161" s="135" t="s">
        <v>1239</v>
      </c>
      <c r="E161" s="135">
        <v>1</v>
      </c>
      <c r="F161" s="135">
        <v>0</v>
      </c>
      <c r="G161" s="135">
        <v>0</v>
      </c>
      <c r="H161" s="135">
        <v>0</v>
      </c>
      <c r="I161" s="135">
        <v>0</v>
      </c>
      <c r="J161" s="135">
        <v>0</v>
      </c>
      <c r="K161" s="135">
        <v>0</v>
      </c>
      <c r="L161" s="135">
        <v>0</v>
      </c>
      <c r="M161" s="135">
        <v>52.2</v>
      </c>
      <c r="N161" s="135">
        <v>0</v>
      </c>
      <c r="O161" s="135">
        <v>0</v>
      </c>
      <c r="P161" s="135">
        <v>0</v>
      </c>
      <c r="Q161" s="135">
        <v>0</v>
      </c>
      <c r="R161" s="135">
        <v>0.2</v>
      </c>
      <c r="S161" s="135">
        <v>0.2</v>
      </c>
      <c r="T161" s="135">
        <v>0</v>
      </c>
    </row>
    <row r="162" spans="1:20" x14ac:dyDescent="0.3">
      <c r="A162" s="135">
        <v>161</v>
      </c>
      <c r="B162" s="135" t="s">
        <v>282</v>
      </c>
      <c r="C162" s="135" t="s">
        <v>407</v>
      </c>
      <c r="D162" s="135" t="s">
        <v>12</v>
      </c>
      <c r="E162" s="135">
        <v>1</v>
      </c>
      <c r="F162" s="135">
        <v>0</v>
      </c>
      <c r="G162" s="135">
        <v>0</v>
      </c>
      <c r="H162" s="135">
        <v>0</v>
      </c>
      <c r="I162" s="135">
        <v>0</v>
      </c>
      <c r="J162" s="135">
        <v>0</v>
      </c>
      <c r="K162" s="135">
        <v>0</v>
      </c>
      <c r="L162" s="135">
        <v>0</v>
      </c>
      <c r="M162" s="135">
        <v>39.1</v>
      </c>
      <c r="N162" s="135">
        <v>0</v>
      </c>
      <c r="O162" s="135">
        <v>0</v>
      </c>
      <c r="P162" s="135">
        <v>0</v>
      </c>
      <c r="Q162" s="135">
        <v>0</v>
      </c>
      <c r="R162" s="135">
        <v>0.2</v>
      </c>
      <c r="S162" s="135">
        <v>0.2</v>
      </c>
      <c r="T162" s="135">
        <v>0</v>
      </c>
    </row>
    <row r="163" spans="1:20" x14ac:dyDescent="0.3">
      <c r="A163" s="135">
        <v>162</v>
      </c>
      <c r="B163" s="135" t="s">
        <v>527</v>
      </c>
      <c r="C163" s="135" t="s">
        <v>26</v>
      </c>
      <c r="D163" s="135" t="s">
        <v>30</v>
      </c>
      <c r="E163" s="135">
        <v>1</v>
      </c>
      <c r="F163" s="135">
        <v>0</v>
      </c>
      <c r="G163" s="135">
        <v>0</v>
      </c>
      <c r="H163" s="135">
        <v>0</v>
      </c>
      <c r="I163" s="135">
        <v>0</v>
      </c>
      <c r="J163" s="135">
        <v>0</v>
      </c>
      <c r="K163" s="135">
        <v>0</v>
      </c>
      <c r="L163" s="135">
        <v>0</v>
      </c>
      <c r="M163" s="135">
        <v>14.8</v>
      </c>
      <c r="N163" s="135">
        <v>0</v>
      </c>
      <c r="O163" s="135">
        <v>0</v>
      </c>
      <c r="P163" s="135">
        <v>0</v>
      </c>
      <c r="Q163" s="135">
        <v>0</v>
      </c>
      <c r="R163" s="135">
        <v>0.1</v>
      </c>
      <c r="S163" s="135">
        <v>0.1</v>
      </c>
      <c r="T163" s="135">
        <v>0</v>
      </c>
    </row>
    <row r="164" spans="1:20" x14ac:dyDescent="0.3">
      <c r="A164" s="135">
        <v>163</v>
      </c>
      <c r="B164" s="135" t="s">
        <v>526</v>
      </c>
      <c r="C164" s="135" t="s">
        <v>4</v>
      </c>
      <c r="D164" s="135" t="s">
        <v>50</v>
      </c>
      <c r="E164" s="135">
        <v>1</v>
      </c>
      <c r="F164" s="135">
        <v>0</v>
      </c>
      <c r="G164" s="135">
        <v>0</v>
      </c>
      <c r="H164" s="135">
        <v>0</v>
      </c>
      <c r="I164" s="135">
        <v>0</v>
      </c>
      <c r="J164" s="135">
        <v>0</v>
      </c>
      <c r="K164" s="135">
        <v>0</v>
      </c>
      <c r="L164" s="135">
        <v>0</v>
      </c>
      <c r="M164" s="135">
        <v>14.5</v>
      </c>
      <c r="N164" s="135">
        <v>0</v>
      </c>
      <c r="O164" s="135">
        <v>0</v>
      </c>
      <c r="P164" s="135">
        <v>0</v>
      </c>
      <c r="Q164" s="135">
        <v>0</v>
      </c>
      <c r="R164" s="135">
        <v>0.1</v>
      </c>
      <c r="S164" s="135">
        <v>0.1</v>
      </c>
      <c r="T164" s="135">
        <v>0</v>
      </c>
    </row>
    <row r="165" spans="1:20" x14ac:dyDescent="0.3">
      <c r="A165" s="135">
        <v>164</v>
      </c>
      <c r="B165" s="135" t="s">
        <v>482</v>
      </c>
      <c r="C165" s="135" t="s">
        <v>395</v>
      </c>
      <c r="D165" s="135" t="s">
        <v>41</v>
      </c>
      <c r="E165" s="135">
        <v>1</v>
      </c>
      <c r="F165" s="135">
        <v>0</v>
      </c>
      <c r="G165" s="135">
        <v>0</v>
      </c>
      <c r="H165" s="135">
        <v>0</v>
      </c>
      <c r="I165" s="135">
        <v>0</v>
      </c>
      <c r="J165" s="135">
        <v>0</v>
      </c>
      <c r="K165" s="135">
        <v>0</v>
      </c>
      <c r="L165" s="135">
        <v>0</v>
      </c>
      <c r="M165" s="135">
        <v>13.1</v>
      </c>
      <c r="N165" s="135">
        <v>0</v>
      </c>
      <c r="O165" s="135">
        <v>0</v>
      </c>
      <c r="P165" s="135">
        <v>0</v>
      </c>
      <c r="Q165" s="135">
        <v>0</v>
      </c>
      <c r="R165" s="135">
        <v>0.1</v>
      </c>
      <c r="S165" s="135">
        <v>0.1</v>
      </c>
      <c r="T165" s="135">
        <v>0</v>
      </c>
    </row>
    <row r="166" spans="1:20" x14ac:dyDescent="0.3">
      <c r="A166" s="135">
        <v>165</v>
      </c>
      <c r="B166" s="135" t="s">
        <v>518</v>
      </c>
      <c r="C166" s="135" t="s">
        <v>16</v>
      </c>
      <c r="D166" s="135" t="s">
        <v>70</v>
      </c>
      <c r="E166" s="135">
        <v>1</v>
      </c>
      <c r="F166" s="135">
        <v>0</v>
      </c>
      <c r="G166" s="135">
        <v>0</v>
      </c>
      <c r="H166" s="135">
        <v>0</v>
      </c>
      <c r="I166" s="135">
        <v>0</v>
      </c>
      <c r="J166" s="135">
        <v>0</v>
      </c>
      <c r="K166" s="135">
        <v>0</v>
      </c>
      <c r="L166" s="135">
        <v>0</v>
      </c>
      <c r="M166" s="135">
        <v>12.5</v>
      </c>
      <c r="N166" s="135">
        <v>0</v>
      </c>
      <c r="O166" s="135">
        <v>0</v>
      </c>
      <c r="P166" s="135">
        <v>0</v>
      </c>
      <c r="Q166" s="135">
        <v>0</v>
      </c>
      <c r="R166" s="135">
        <v>0.1</v>
      </c>
      <c r="S166" s="135">
        <v>0.1</v>
      </c>
      <c r="T166" s="135">
        <v>0</v>
      </c>
    </row>
    <row r="167" spans="1:20" x14ac:dyDescent="0.3">
      <c r="A167" s="135">
        <v>166</v>
      </c>
      <c r="B167" s="135" t="s">
        <v>511</v>
      </c>
      <c r="C167" s="135" t="s">
        <v>16</v>
      </c>
      <c r="D167" s="135" t="s">
        <v>70</v>
      </c>
      <c r="E167" s="135">
        <v>1</v>
      </c>
      <c r="F167" s="135">
        <v>0</v>
      </c>
      <c r="G167" s="135">
        <v>0</v>
      </c>
      <c r="H167" s="135">
        <v>0</v>
      </c>
      <c r="I167" s="135">
        <v>0</v>
      </c>
      <c r="J167" s="135">
        <v>0</v>
      </c>
      <c r="K167" s="135">
        <v>0</v>
      </c>
      <c r="L167" s="135">
        <v>0</v>
      </c>
      <c r="M167" s="135">
        <v>12.5</v>
      </c>
      <c r="N167" s="135">
        <v>0</v>
      </c>
      <c r="O167" s="135">
        <v>0</v>
      </c>
      <c r="P167" s="135">
        <v>0</v>
      </c>
      <c r="Q167" s="135">
        <v>0</v>
      </c>
      <c r="R167" s="135">
        <v>0.1</v>
      </c>
      <c r="S167" s="135">
        <v>0.1</v>
      </c>
      <c r="T167" s="135">
        <v>0</v>
      </c>
    </row>
    <row r="168" spans="1:20" x14ac:dyDescent="0.3">
      <c r="A168" s="135">
        <v>167</v>
      </c>
      <c r="B168" s="135" t="s">
        <v>1554</v>
      </c>
      <c r="C168" s="135" t="s">
        <v>70</v>
      </c>
      <c r="D168" s="135" t="s">
        <v>16</v>
      </c>
      <c r="E168" s="135">
        <v>1</v>
      </c>
      <c r="F168" s="135">
        <v>0</v>
      </c>
      <c r="G168" s="135">
        <v>0</v>
      </c>
      <c r="H168" s="135">
        <v>0</v>
      </c>
      <c r="I168" s="135">
        <v>0</v>
      </c>
      <c r="J168" s="135">
        <v>0</v>
      </c>
      <c r="K168" s="135">
        <v>0</v>
      </c>
      <c r="L168" s="135">
        <v>0</v>
      </c>
      <c r="M168" s="135">
        <v>11.8</v>
      </c>
      <c r="N168" s="135">
        <v>0</v>
      </c>
      <c r="O168" s="135">
        <v>0</v>
      </c>
      <c r="P168" s="135">
        <v>0</v>
      </c>
      <c r="Q168" s="135">
        <v>0</v>
      </c>
      <c r="R168" s="135">
        <v>0.1</v>
      </c>
      <c r="S168" s="135">
        <v>0.1</v>
      </c>
      <c r="T168" s="135">
        <v>0</v>
      </c>
    </row>
    <row r="169" spans="1:20" x14ac:dyDescent="0.3">
      <c r="A169" s="135">
        <v>168</v>
      </c>
      <c r="B169" s="135" t="s">
        <v>488</v>
      </c>
      <c r="C169" s="135" t="s">
        <v>39</v>
      </c>
      <c r="D169" s="135" t="s">
        <v>46</v>
      </c>
      <c r="E169" s="135">
        <v>1</v>
      </c>
      <c r="F169" s="135">
        <v>0</v>
      </c>
      <c r="G169" s="135">
        <v>0</v>
      </c>
      <c r="H169" s="135">
        <v>0</v>
      </c>
      <c r="I169" s="135">
        <v>0</v>
      </c>
      <c r="J169" s="135">
        <v>0</v>
      </c>
      <c r="K169" s="135">
        <v>0</v>
      </c>
      <c r="L169" s="135">
        <v>0</v>
      </c>
      <c r="M169" s="135">
        <v>10.7</v>
      </c>
      <c r="N169" s="135">
        <v>0</v>
      </c>
      <c r="O169" s="135">
        <v>0</v>
      </c>
      <c r="P169" s="135">
        <v>0</v>
      </c>
      <c r="Q169" s="135">
        <v>0</v>
      </c>
      <c r="R169" s="135">
        <v>0.1</v>
      </c>
      <c r="S169" s="135">
        <v>0.1</v>
      </c>
      <c r="T169" s="135">
        <v>0</v>
      </c>
    </row>
    <row r="170" spans="1:20" x14ac:dyDescent="0.3">
      <c r="A170" s="135">
        <v>169</v>
      </c>
      <c r="B170" s="135" t="s">
        <v>500</v>
      </c>
      <c r="C170" s="135" t="s">
        <v>404</v>
      </c>
      <c r="D170" s="135" t="s">
        <v>37</v>
      </c>
      <c r="E170" s="135">
        <v>1</v>
      </c>
      <c r="F170" s="135">
        <v>0</v>
      </c>
      <c r="G170" s="135">
        <v>0</v>
      </c>
      <c r="H170" s="135">
        <v>0</v>
      </c>
      <c r="I170" s="135">
        <v>0</v>
      </c>
      <c r="J170" s="135">
        <v>0</v>
      </c>
      <c r="K170" s="135">
        <v>0</v>
      </c>
      <c r="L170" s="135">
        <v>0</v>
      </c>
      <c r="M170" s="135">
        <v>9.6</v>
      </c>
      <c r="N170" s="135">
        <v>0</v>
      </c>
      <c r="O170" s="135">
        <v>0</v>
      </c>
      <c r="P170" s="135">
        <v>0</v>
      </c>
      <c r="Q170" s="135">
        <v>0</v>
      </c>
      <c r="R170" s="135">
        <v>0.1</v>
      </c>
      <c r="S170" s="135">
        <v>0.1</v>
      </c>
      <c r="T170" s="135">
        <v>0</v>
      </c>
    </row>
    <row r="171" spans="1:20" x14ac:dyDescent="0.3">
      <c r="A171" s="135">
        <v>170</v>
      </c>
      <c r="B171" s="135" t="s">
        <v>509</v>
      </c>
      <c r="C171" s="135" t="s">
        <v>37</v>
      </c>
      <c r="D171" s="135" t="s">
        <v>404</v>
      </c>
      <c r="E171" s="135">
        <v>1</v>
      </c>
      <c r="F171" s="135">
        <v>0</v>
      </c>
      <c r="G171" s="135">
        <v>0</v>
      </c>
      <c r="H171" s="135">
        <v>0</v>
      </c>
      <c r="I171" s="135">
        <v>0</v>
      </c>
      <c r="J171" s="135">
        <v>0</v>
      </c>
      <c r="K171" s="135">
        <v>0</v>
      </c>
      <c r="L171" s="135">
        <v>0</v>
      </c>
      <c r="M171" s="135">
        <v>9.4</v>
      </c>
      <c r="N171" s="135">
        <v>0</v>
      </c>
      <c r="O171" s="135">
        <v>0</v>
      </c>
      <c r="P171" s="135">
        <v>0</v>
      </c>
      <c r="Q171" s="135">
        <v>0</v>
      </c>
      <c r="R171" s="135">
        <v>0.1</v>
      </c>
      <c r="S171" s="135">
        <v>0.1</v>
      </c>
      <c r="T171" s="135">
        <v>0</v>
      </c>
    </row>
    <row r="172" spans="1:20" x14ac:dyDescent="0.3">
      <c r="A172" s="135">
        <v>171</v>
      </c>
      <c r="B172" s="135" t="s">
        <v>1552</v>
      </c>
      <c r="C172" s="135" t="s">
        <v>18</v>
      </c>
      <c r="D172" s="135" t="s">
        <v>52</v>
      </c>
      <c r="E172" s="135">
        <v>1</v>
      </c>
      <c r="F172" s="135">
        <v>0</v>
      </c>
      <c r="G172" s="135">
        <v>0</v>
      </c>
      <c r="H172" s="135">
        <v>0</v>
      </c>
      <c r="I172" s="135">
        <v>0</v>
      </c>
      <c r="J172" s="135">
        <v>0</v>
      </c>
      <c r="K172" s="135">
        <v>0</v>
      </c>
      <c r="L172" s="135">
        <v>0</v>
      </c>
      <c r="M172" s="135">
        <v>8.8000000000000007</v>
      </c>
      <c r="N172" s="135">
        <v>0</v>
      </c>
      <c r="O172" s="135">
        <v>0</v>
      </c>
      <c r="P172" s="135">
        <v>0</v>
      </c>
      <c r="Q172" s="135">
        <v>0</v>
      </c>
      <c r="R172" s="135">
        <v>0.1</v>
      </c>
      <c r="S172" s="135">
        <v>0.1</v>
      </c>
      <c r="T172" s="135">
        <v>0</v>
      </c>
    </row>
    <row r="173" spans="1:20" x14ac:dyDescent="0.3">
      <c r="A173" s="135">
        <v>172</v>
      </c>
      <c r="B173" s="135" t="s">
        <v>506</v>
      </c>
      <c r="C173" s="135" t="s">
        <v>28</v>
      </c>
      <c r="D173" s="135" t="s">
        <v>20</v>
      </c>
      <c r="E173" s="135">
        <v>1</v>
      </c>
      <c r="F173" s="135">
        <v>0</v>
      </c>
      <c r="G173" s="135">
        <v>0</v>
      </c>
      <c r="H173" s="135">
        <v>0</v>
      </c>
      <c r="I173" s="135">
        <v>0</v>
      </c>
      <c r="J173" s="135">
        <v>0</v>
      </c>
      <c r="K173" s="135">
        <v>0</v>
      </c>
      <c r="L173" s="135">
        <v>0</v>
      </c>
      <c r="M173" s="135">
        <v>8.3000000000000007</v>
      </c>
      <c r="N173" s="135">
        <v>0</v>
      </c>
      <c r="O173" s="135">
        <v>0</v>
      </c>
      <c r="P173" s="135">
        <v>0</v>
      </c>
      <c r="Q173" s="135">
        <v>0</v>
      </c>
      <c r="R173" s="135">
        <v>0.1</v>
      </c>
      <c r="S173" s="135">
        <v>0.1</v>
      </c>
      <c r="T173" s="135">
        <v>0</v>
      </c>
    </row>
    <row r="174" spans="1:20" x14ac:dyDescent="0.3">
      <c r="A174" s="135">
        <v>173</v>
      </c>
      <c r="B174" s="135" t="s">
        <v>303</v>
      </c>
      <c r="C174" s="135" t="s">
        <v>18</v>
      </c>
      <c r="D174" s="135" t="s">
        <v>52</v>
      </c>
      <c r="E174" s="135">
        <v>1</v>
      </c>
      <c r="F174" s="135">
        <v>0</v>
      </c>
      <c r="G174" s="135">
        <v>0</v>
      </c>
      <c r="H174" s="135">
        <v>0</v>
      </c>
      <c r="I174" s="135">
        <v>0</v>
      </c>
      <c r="J174" s="135">
        <v>0</v>
      </c>
      <c r="K174" s="135">
        <v>0</v>
      </c>
      <c r="L174" s="135">
        <v>0</v>
      </c>
      <c r="M174" s="135">
        <v>30.4</v>
      </c>
      <c r="N174" s="135">
        <v>0</v>
      </c>
      <c r="O174" s="135">
        <v>0</v>
      </c>
      <c r="P174" s="135">
        <v>0</v>
      </c>
      <c r="Q174" s="135">
        <v>0</v>
      </c>
      <c r="R174" s="135">
        <v>0</v>
      </c>
      <c r="S174" s="135">
        <v>0</v>
      </c>
      <c r="T174" s="135">
        <v>0</v>
      </c>
    </row>
    <row r="175" spans="1:20" x14ac:dyDescent="0.3">
      <c r="A175" s="135">
        <v>174</v>
      </c>
      <c r="B175" s="135" t="s">
        <v>1250</v>
      </c>
      <c r="C175" s="135" t="s">
        <v>10</v>
      </c>
      <c r="D175" s="135" t="s">
        <v>34</v>
      </c>
      <c r="E175" s="135">
        <v>1</v>
      </c>
      <c r="F175" s="135">
        <v>0</v>
      </c>
      <c r="G175" s="135">
        <v>0</v>
      </c>
      <c r="H175" s="135">
        <v>0</v>
      </c>
      <c r="I175" s="135">
        <v>0</v>
      </c>
      <c r="J175" s="135">
        <v>0</v>
      </c>
      <c r="K175" s="135">
        <v>0</v>
      </c>
      <c r="L175" s="135">
        <v>0</v>
      </c>
      <c r="M175" s="135">
        <v>6.9</v>
      </c>
      <c r="N175" s="135">
        <v>0</v>
      </c>
      <c r="O175" s="135">
        <v>0</v>
      </c>
      <c r="P175" s="135">
        <v>0</v>
      </c>
      <c r="Q175" s="135">
        <v>0</v>
      </c>
      <c r="R175" s="135">
        <v>0</v>
      </c>
      <c r="S175" s="135">
        <v>0</v>
      </c>
      <c r="T175" s="135">
        <v>0</v>
      </c>
    </row>
    <row r="176" spans="1:20" x14ac:dyDescent="0.3">
      <c r="A176" s="135">
        <v>175</v>
      </c>
      <c r="B176" s="135" t="s">
        <v>1251</v>
      </c>
      <c r="C176" s="135" t="s">
        <v>402</v>
      </c>
      <c r="D176" s="135" t="s">
        <v>57</v>
      </c>
      <c r="E176" s="135">
        <v>1</v>
      </c>
      <c r="F176" s="135">
        <v>0</v>
      </c>
      <c r="G176" s="135">
        <v>0</v>
      </c>
      <c r="H176" s="135">
        <v>0</v>
      </c>
      <c r="I176" s="135">
        <v>0</v>
      </c>
      <c r="J176" s="135">
        <v>0</v>
      </c>
      <c r="K176" s="135">
        <v>0</v>
      </c>
      <c r="L176" s="135">
        <v>0</v>
      </c>
      <c r="M176" s="135">
        <v>26.1</v>
      </c>
      <c r="N176" s="135">
        <v>0</v>
      </c>
      <c r="O176" s="135">
        <v>0</v>
      </c>
      <c r="P176" s="135">
        <v>0</v>
      </c>
      <c r="Q176" s="135">
        <v>0</v>
      </c>
      <c r="R176" s="135">
        <v>0</v>
      </c>
      <c r="S176" s="135">
        <v>0</v>
      </c>
      <c r="T176" s="135">
        <v>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workbookViewId="0">
      <selection activeCell="O2" sqref="O2:O33"/>
    </sheetView>
  </sheetViews>
  <sheetFormatPr defaultRowHeight="14.4" x14ac:dyDescent="0.3"/>
  <cols>
    <col min="1" max="1" width="29.88671875" bestFit="1" customWidth="1"/>
    <col min="2" max="2" width="4.77734375" bestFit="1" customWidth="1"/>
    <col min="3" max="3" width="6.44140625" bestFit="1" customWidth="1"/>
    <col min="4" max="4" width="7.21875" bestFit="1" customWidth="1"/>
    <col min="5" max="5" width="5.5546875" bestFit="1" customWidth="1"/>
    <col min="6" max="6" width="7" bestFit="1" customWidth="1"/>
    <col min="7" max="7" width="9.21875" bestFit="1" customWidth="1"/>
    <col min="8" max="8" width="4.77734375" bestFit="1" customWidth="1"/>
    <col min="9" max="9" width="29.88671875" bestFit="1" customWidth="1"/>
    <col min="10" max="10" width="7.21875" bestFit="1" customWidth="1"/>
    <col min="11" max="11" width="6.21875" customWidth="1"/>
    <col min="12" max="12" width="7.109375" customWidth="1"/>
    <col min="13" max="13" width="9.21875" bestFit="1" customWidth="1"/>
    <col min="14" max="15" width="11" customWidth="1"/>
  </cols>
  <sheetData>
    <row r="1" spans="1:16" x14ac:dyDescent="0.3">
      <c r="A1" s="3" t="s">
        <v>387</v>
      </c>
      <c r="B1" s="3" t="s">
        <v>412</v>
      </c>
      <c r="C1" s="3" t="s">
        <v>389</v>
      </c>
      <c r="D1" s="3" t="s">
        <v>609</v>
      </c>
      <c r="E1" s="3" t="s">
        <v>391</v>
      </c>
      <c r="F1" s="3" t="s">
        <v>613</v>
      </c>
      <c r="G1" s="2" t="s">
        <v>614</v>
      </c>
      <c r="I1" s="30" t="s">
        <v>615</v>
      </c>
      <c r="J1" s="24" t="s">
        <v>412</v>
      </c>
      <c r="K1" s="24" t="s">
        <v>389</v>
      </c>
      <c r="L1" s="24" t="s">
        <v>609</v>
      </c>
      <c r="M1" s="24" t="s">
        <v>391</v>
      </c>
      <c r="N1" t="s">
        <v>387</v>
      </c>
      <c r="O1" t="s">
        <v>81</v>
      </c>
      <c r="P1" s="133" t="s">
        <v>1346</v>
      </c>
    </row>
    <row r="2" spans="1:16" x14ac:dyDescent="0.3">
      <c r="A2" s="3" t="s">
        <v>682</v>
      </c>
      <c r="B2" s="3">
        <v>16</v>
      </c>
      <c r="C2" s="3">
        <v>198</v>
      </c>
      <c r="D2" s="3">
        <v>2962</v>
      </c>
      <c r="E2" s="3">
        <v>22</v>
      </c>
      <c r="F2" s="3">
        <v>439.6</v>
      </c>
      <c r="G2" s="2">
        <v>27.5</v>
      </c>
      <c r="I2" s="26" t="s">
        <v>705</v>
      </c>
      <c r="J2" s="26">
        <v>16</v>
      </c>
      <c r="K2">
        <f>SUM(Table_3__3[[#This Row],[Rec]]/$J$2)</f>
        <v>12.375</v>
      </c>
      <c r="L2">
        <f>SUM(Table_3__3[[#This Row],[Yard]]/$J$2)</f>
        <v>185.125</v>
      </c>
      <c r="M2">
        <f>SUM(Table_3__3[[#This Row],[TD]]/$J$2)</f>
        <v>1.375</v>
      </c>
      <c r="N2" t="s">
        <v>24</v>
      </c>
      <c r="O2" s="135" t="s">
        <v>2295</v>
      </c>
      <c r="P2" s="103">
        <v>9</v>
      </c>
    </row>
    <row r="3" spans="1:16" x14ac:dyDescent="0.3">
      <c r="A3" s="3" t="s">
        <v>683</v>
      </c>
      <c r="B3" s="3">
        <v>16</v>
      </c>
      <c r="C3" s="3">
        <v>230</v>
      </c>
      <c r="D3" s="3">
        <v>2894</v>
      </c>
      <c r="E3" s="3">
        <v>24</v>
      </c>
      <c r="F3" s="3">
        <v>439.4</v>
      </c>
      <c r="G3" s="2">
        <v>27.5</v>
      </c>
      <c r="I3" s="25" t="s">
        <v>712</v>
      </c>
      <c r="J3" s="25">
        <v>16</v>
      </c>
      <c r="K3">
        <f>SUM(Table_3__3[[#This Row],[Rec]]/$J$2)</f>
        <v>14.375</v>
      </c>
      <c r="L3">
        <f>SUM(Table_3__3[[#This Row],[Yard]]/$J$2)</f>
        <v>180.875</v>
      </c>
      <c r="M3">
        <f>SUM(Table_3__3[[#This Row],[TD]]/$J$2)</f>
        <v>1.5</v>
      </c>
      <c r="N3" t="s">
        <v>50</v>
      </c>
      <c r="O3" s="135" t="s">
        <v>2296</v>
      </c>
      <c r="P3" s="103">
        <v>2</v>
      </c>
    </row>
    <row r="4" spans="1:16" x14ac:dyDescent="0.3">
      <c r="A4" s="3" t="s">
        <v>684</v>
      </c>
      <c r="B4" s="3">
        <v>16</v>
      </c>
      <c r="C4" s="3">
        <v>235</v>
      </c>
      <c r="D4" s="3">
        <v>3071</v>
      </c>
      <c r="E4" s="3">
        <v>19</v>
      </c>
      <c r="F4" s="3">
        <v>433.2</v>
      </c>
      <c r="G4" s="2">
        <v>27.1</v>
      </c>
      <c r="I4" s="25" t="s">
        <v>686</v>
      </c>
      <c r="J4" s="25">
        <v>16</v>
      </c>
      <c r="K4">
        <f>SUM(Table_3__3[[#This Row],[Rec]]/$J$2)</f>
        <v>14.6875</v>
      </c>
      <c r="L4">
        <f>SUM(Table_3__3[[#This Row],[Yard]]/$J$2)</f>
        <v>191.9375</v>
      </c>
      <c r="M4">
        <f>SUM(Table_3__3[[#This Row],[TD]]/$J$2)</f>
        <v>1.1875</v>
      </c>
      <c r="N4" t="s">
        <v>32</v>
      </c>
      <c r="O4" s="135" t="s">
        <v>2297</v>
      </c>
      <c r="P4" s="103">
        <v>28</v>
      </c>
    </row>
    <row r="5" spans="1:16" x14ac:dyDescent="0.3">
      <c r="A5" s="3" t="s">
        <v>685</v>
      </c>
      <c r="B5" s="3">
        <v>16</v>
      </c>
      <c r="C5" s="3">
        <v>185</v>
      </c>
      <c r="D5" s="3">
        <v>2818</v>
      </c>
      <c r="E5" s="3">
        <v>23</v>
      </c>
      <c r="F5" s="3">
        <v>431.9</v>
      </c>
      <c r="G5" s="2">
        <v>27</v>
      </c>
      <c r="I5" s="26" t="s">
        <v>691</v>
      </c>
      <c r="J5" s="26">
        <v>16</v>
      </c>
      <c r="K5">
        <f>SUM(Table_3__3[[#This Row],[Rec]]/$J$2)</f>
        <v>11.5625</v>
      </c>
      <c r="L5">
        <f>SUM(Table_3__3[[#This Row],[Yard]]/$J$2)</f>
        <v>176.125</v>
      </c>
      <c r="M5">
        <f>SUM(Table_3__3[[#This Row],[TD]]/$J$2)</f>
        <v>1.4375</v>
      </c>
      <c r="N5" t="s">
        <v>10</v>
      </c>
      <c r="O5" s="135" t="s">
        <v>1969</v>
      </c>
      <c r="P5" s="103">
        <v>23</v>
      </c>
    </row>
    <row r="6" spans="1:16" x14ac:dyDescent="0.3">
      <c r="A6" s="3" t="s">
        <v>686</v>
      </c>
      <c r="B6" s="3">
        <v>16</v>
      </c>
      <c r="C6" s="3">
        <v>211</v>
      </c>
      <c r="D6" s="3">
        <v>2647</v>
      </c>
      <c r="E6" s="3">
        <v>26</v>
      </c>
      <c r="F6" s="3">
        <v>426.5</v>
      </c>
      <c r="G6" s="2">
        <v>26.7</v>
      </c>
      <c r="I6" s="25" t="s">
        <v>706</v>
      </c>
      <c r="J6" s="25">
        <v>16</v>
      </c>
      <c r="K6">
        <f>SUM(Table_3__3[[#This Row],[Rec]]/$J$2)</f>
        <v>13.1875</v>
      </c>
      <c r="L6">
        <f>SUM(Table_3__3[[#This Row],[Yard]]/$J$2)</f>
        <v>165.4375</v>
      </c>
      <c r="M6">
        <f>SUM(Table_3__3[[#This Row],[TD]]/$J$2)</f>
        <v>1.625</v>
      </c>
      <c r="N6" t="s">
        <v>22</v>
      </c>
      <c r="O6" s="135" t="s">
        <v>1997</v>
      </c>
      <c r="P6" s="103">
        <v>8</v>
      </c>
    </row>
    <row r="7" spans="1:16" x14ac:dyDescent="0.3">
      <c r="A7" s="3" t="s">
        <v>687</v>
      </c>
      <c r="B7" s="3">
        <v>16</v>
      </c>
      <c r="C7" s="3">
        <v>182</v>
      </c>
      <c r="D7" s="3">
        <v>2526</v>
      </c>
      <c r="E7" s="3">
        <v>27</v>
      </c>
      <c r="F7" s="3">
        <v>418.7</v>
      </c>
      <c r="G7" s="2">
        <v>26.2</v>
      </c>
      <c r="I7" s="25" t="s">
        <v>704</v>
      </c>
      <c r="J7" s="25">
        <v>16</v>
      </c>
      <c r="K7">
        <f>SUM(Table_3__3[[#This Row],[Rec]]/$J$2)</f>
        <v>11.375</v>
      </c>
      <c r="L7">
        <f>SUM(Table_3__3[[#This Row],[Yard]]/$J$2)</f>
        <v>157.875</v>
      </c>
      <c r="M7">
        <f>SUM(Table_3__3[[#This Row],[TD]]/$J$2)</f>
        <v>1.6875</v>
      </c>
      <c r="N7" t="s">
        <v>46</v>
      </c>
      <c r="O7" s="135" t="s">
        <v>2298</v>
      </c>
      <c r="P7" s="103">
        <v>10</v>
      </c>
    </row>
    <row r="8" spans="1:16" x14ac:dyDescent="0.3">
      <c r="A8" s="3" t="s">
        <v>688</v>
      </c>
      <c r="B8" s="3">
        <v>16</v>
      </c>
      <c r="C8" s="3">
        <v>210</v>
      </c>
      <c r="D8" s="3">
        <v>2690</v>
      </c>
      <c r="E8" s="3">
        <v>22</v>
      </c>
      <c r="F8" s="3">
        <v>409.8</v>
      </c>
      <c r="G8" s="2">
        <v>25.6</v>
      </c>
      <c r="I8" s="25" t="s">
        <v>702</v>
      </c>
      <c r="J8" s="25">
        <v>16</v>
      </c>
      <c r="K8">
        <f>SUM(Table_3__3[[#This Row],[Rec]]/$J$2)</f>
        <v>13.125</v>
      </c>
      <c r="L8">
        <f>SUM(Table_3__3[[#This Row],[Yard]]/$J$2)</f>
        <v>168.125</v>
      </c>
      <c r="M8">
        <f>SUM(Table_3__3[[#This Row],[TD]]/$J$2)</f>
        <v>1.375</v>
      </c>
      <c r="N8" t="s">
        <v>28</v>
      </c>
      <c r="O8" s="135" t="s">
        <v>1999</v>
      </c>
      <c r="P8" s="103">
        <v>12</v>
      </c>
    </row>
    <row r="9" spans="1:16" x14ac:dyDescent="0.3">
      <c r="A9" s="3" t="s">
        <v>689</v>
      </c>
      <c r="B9" s="3">
        <v>16</v>
      </c>
      <c r="C9" s="3">
        <v>198</v>
      </c>
      <c r="D9" s="3">
        <v>2830</v>
      </c>
      <c r="E9" s="3">
        <v>20</v>
      </c>
      <c r="F9" s="3">
        <v>408.4</v>
      </c>
      <c r="G9" s="2">
        <v>25.5</v>
      </c>
      <c r="I9" s="25" t="s">
        <v>682</v>
      </c>
      <c r="J9" s="25">
        <v>16</v>
      </c>
      <c r="K9">
        <f>SUM(Table_3__3[[#This Row],[Rec]]/$J$2)</f>
        <v>12.375</v>
      </c>
      <c r="L9">
        <f>SUM(Table_3__3[[#This Row],[Yard]]/$J$2)</f>
        <v>176.875</v>
      </c>
      <c r="M9">
        <f>SUM(Table_3__3[[#This Row],[TD]]/$J$2)</f>
        <v>1.25</v>
      </c>
      <c r="N9" t="s">
        <v>14</v>
      </c>
      <c r="O9" s="135" t="s">
        <v>2299</v>
      </c>
      <c r="P9" s="103">
        <v>32</v>
      </c>
    </row>
    <row r="10" spans="1:16" x14ac:dyDescent="0.3">
      <c r="A10" s="3" t="s">
        <v>690</v>
      </c>
      <c r="B10" s="3">
        <v>16</v>
      </c>
      <c r="C10" s="3">
        <v>212</v>
      </c>
      <c r="D10" s="3">
        <v>2844</v>
      </c>
      <c r="E10" s="3">
        <v>19</v>
      </c>
      <c r="F10" s="3">
        <v>401.2</v>
      </c>
      <c r="G10" s="2">
        <v>25.1</v>
      </c>
      <c r="I10" s="26" t="s">
        <v>707</v>
      </c>
      <c r="J10" s="26">
        <v>16</v>
      </c>
      <c r="K10">
        <f>SUM(Table_3__3[[#This Row],[Rec]]/$J$2)</f>
        <v>13.25</v>
      </c>
      <c r="L10">
        <f>SUM(Table_3__3[[#This Row],[Yard]]/$J$2)</f>
        <v>177.75</v>
      </c>
      <c r="M10">
        <f>SUM(Table_3__3[[#This Row],[TD]]/$J$2)</f>
        <v>1.1875</v>
      </c>
      <c r="N10" t="s">
        <v>52</v>
      </c>
      <c r="O10" s="135" t="s">
        <v>1994</v>
      </c>
      <c r="P10" s="103">
        <v>7</v>
      </c>
    </row>
    <row r="11" spans="1:16" x14ac:dyDescent="0.3">
      <c r="A11" s="3" t="s">
        <v>691</v>
      </c>
      <c r="B11" s="3">
        <v>16</v>
      </c>
      <c r="C11" s="3">
        <v>223</v>
      </c>
      <c r="D11" s="3">
        <v>2821</v>
      </c>
      <c r="E11" s="3">
        <v>19</v>
      </c>
      <c r="F11" s="3">
        <v>401.1</v>
      </c>
      <c r="G11" s="2">
        <v>25.1</v>
      </c>
      <c r="I11" s="26" t="s">
        <v>713</v>
      </c>
      <c r="J11" s="26">
        <v>16</v>
      </c>
      <c r="K11">
        <f>SUM(Table_3__3[[#This Row],[Rec]]/$J$2)</f>
        <v>13.9375</v>
      </c>
      <c r="L11">
        <f>SUM(Table_3__3[[#This Row],[Yard]]/$J$2)</f>
        <v>176.3125</v>
      </c>
      <c r="M11">
        <f>SUM(Table_3__3[[#This Row],[TD]]/$J$2)</f>
        <v>1.1875</v>
      </c>
      <c r="N11" t="s">
        <v>70</v>
      </c>
      <c r="O11" s="135" t="s">
        <v>2300</v>
      </c>
      <c r="P11" s="103">
        <v>1</v>
      </c>
    </row>
    <row r="12" spans="1:16" x14ac:dyDescent="0.3">
      <c r="A12" s="3" t="s">
        <v>692</v>
      </c>
      <c r="B12" s="3">
        <v>16</v>
      </c>
      <c r="C12" s="3">
        <v>185</v>
      </c>
      <c r="D12" s="3">
        <v>2627</v>
      </c>
      <c r="E12" s="3">
        <v>21</v>
      </c>
      <c r="F12" s="3">
        <v>398.5</v>
      </c>
      <c r="G12" s="2">
        <v>24.9</v>
      </c>
      <c r="I12" s="26" t="s">
        <v>699</v>
      </c>
      <c r="J12" s="26">
        <v>16</v>
      </c>
      <c r="K12">
        <f>SUM(Table_3__3[[#This Row],[Rec]]/$J$2)</f>
        <v>11.5625</v>
      </c>
      <c r="L12">
        <f>SUM(Table_3__3[[#This Row],[Yard]]/$J$2)</f>
        <v>164.1875</v>
      </c>
      <c r="M12">
        <f>SUM(Table_3__3[[#This Row],[TD]]/$J$2)</f>
        <v>1.3125</v>
      </c>
      <c r="N12" t="s">
        <v>26</v>
      </c>
      <c r="O12" s="135" t="s">
        <v>2301</v>
      </c>
      <c r="P12" s="103">
        <v>15</v>
      </c>
    </row>
    <row r="13" spans="1:16" x14ac:dyDescent="0.3">
      <c r="A13" s="3" t="s">
        <v>693</v>
      </c>
      <c r="B13" s="3">
        <v>16</v>
      </c>
      <c r="C13" s="3">
        <v>231</v>
      </c>
      <c r="D13" s="3">
        <v>2855</v>
      </c>
      <c r="E13" s="3">
        <v>18</v>
      </c>
      <c r="F13" s="3">
        <v>396.7</v>
      </c>
      <c r="G13" s="2">
        <v>24.8</v>
      </c>
      <c r="I13" s="26" t="s">
        <v>703</v>
      </c>
      <c r="J13" s="26">
        <v>16</v>
      </c>
      <c r="K13">
        <f>SUM(Table_3__3[[#This Row],[Rec]]/$J$2)</f>
        <v>14.4375</v>
      </c>
      <c r="L13">
        <f>SUM(Table_3__3[[#This Row],[Yard]]/$J$2)</f>
        <v>178.4375</v>
      </c>
      <c r="M13">
        <f>SUM(Table_3__3[[#This Row],[TD]]/$J$2)</f>
        <v>1.125</v>
      </c>
      <c r="N13" t="s">
        <v>395</v>
      </c>
      <c r="O13" s="135" t="s">
        <v>1976</v>
      </c>
      <c r="P13" s="103">
        <v>11</v>
      </c>
    </row>
    <row r="14" spans="1:16" x14ac:dyDescent="0.3">
      <c r="A14" s="3" t="s">
        <v>694</v>
      </c>
      <c r="B14" s="3">
        <v>16</v>
      </c>
      <c r="C14" s="3">
        <v>205</v>
      </c>
      <c r="D14" s="3">
        <v>2943</v>
      </c>
      <c r="E14" s="3">
        <v>16</v>
      </c>
      <c r="F14" s="3">
        <v>391.6</v>
      </c>
      <c r="G14" s="2">
        <v>24.5</v>
      </c>
      <c r="I14" s="25" t="s">
        <v>708</v>
      </c>
      <c r="J14" s="25">
        <v>16</v>
      </c>
      <c r="K14">
        <f>SUM(Table_3__3[[#This Row],[Rec]]/$J$2)</f>
        <v>12.8125</v>
      </c>
      <c r="L14">
        <f>SUM(Table_3__3[[#This Row],[Yard]]/$J$2)</f>
        <v>183.9375</v>
      </c>
      <c r="M14">
        <f>SUM(Table_3__3[[#This Row],[TD]]/$J$2)</f>
        <v>1</v>
      </c>
      <c r="N14" t="s">
        <v>43</v>
      </c>
      <c r="O14" s="135" t="s">
        <v>2302</v>
      </c>
      <c r="P14" s="103">
        <v>6</v>
      </c>
    </row>
    <row r="15" spans="1:16" x14ac:dyDescent="0.3">
      <c r="A15" s="3" t="s">
        <v>695</v>
      </c>
      <c r="B15" s="3">
        <v>16</v>
      </c>
      <c r="C15" s="3">
        <v>195</v>
      </c>
      <c r="D15" s="3">
        <v>2666</v>
      </c>
      <c r="E15" s="3">
        <v>19</v>
      </c>
      <c r="F15" s="3">
        <v>383.8</v>
      </c>
      <c r="G15" s="2">
        <v>24</v>
      </c>
      <c r="I15" s="26" t="s">
        <v>689</v>
      </c>
      <c r="J15" s="26">
        <v>16</v>
      </c>
      <c r="K15">
        <f>SUM(Table_3__3[[#This Row],[Rec]]/$J$2)</f>
        <v>12.1875</v>
      </c>
      <c r="L15">
        <f>SUM(Table_3__3[[#This Row],[Yard]]/$J$2)</f>
        <v>166.625</v>
      </c>
      <c r="M15">
        <f>SUM(Table_3__3[[#This Row],[TD]]/$J$2)</f>
        <v>1.1875</v>
      </c>
      <c r="N15" t="s">
        <v>16</v>
      </c>
      <c r="O15" s="135" t="s">
        <v>1967</v>
      </c>
      <c r="P15" s="103">
        <v>25</v>
      </c>
    </row>
    <row r="16" spans="1:16" x14ac:dyDescent="0.3">
      <c r="A16" s="3" t="s">
        <v>696</v>
      </c>
      <c r="B16" s="3">
        <v>16</v>
      </c>
      <c r="C16" s="3">
        <v>200</v>
      </c>
      <c r="D16" s="3">
        <v>2871</v>
      </c>
      <c r="E16" s="3">
        <v>13</v>
      </c>
      <c r="F16" s="3">
        <v>378.6</v>
      </c>
      <c r="G16" s="2">
        <v>23.7</v>
      </c>
      <c r="I16" s="25" t="s">
        <v>698</v>
      </c>
      <c r="J16" s="25">
        <v>16</v>
      </c>
      <c r="K16">
        <f>SUM(Table_3__3[[#This Row],[Rec]]/$J$2)</f>
        <v>12.5</v>
      </c>
      <c r="L16">
        <f>SUM(Table_3__3[[#This Row],[Yard]]/$J$2)</f>
        <v>179.4375</v>
      </c>
      <c r="M16">
        <f>SUM(Table_3__3[[#This Row],[TD]]/$J$2)</f>
        <v>0.8125</v>
      </c>
      <c r="N16" t="s">
        <v>561</v>
      </c>
      <c r="O16" s="135" t="s">
        <v>1980</v>
      </c>
      <c r="P16" s="103">
        <v>16</v>
      </c>
    </row>
    <row r="17" spans="1:16" x14ac:dyDescent="0.3">
      <c r="A17" s="3" t="s">
        <v>697</v>
      </c>
      <c r="B17" s="3">
        <v>16</v>
      </c>
      <c r="C17" s="3">
        <v>193</v>
      </c>
      <c r="D17" s="3">
        <v>2585</v>
      </c>
      <c r="E17" s="3">
        <v>17</v>
      </c>
      <c r="F17" s="3">
        <v>371.7</v>
      </c>
      <c r="G17" s="2">
        <v>23.2</v>
      </c>
      <c r="I17" s="25" t="s">
        <v>690</v>
      </c>
      <c r="J17" s="25">
        <v>16</v>
      </c>
      <c r="K17">
        <f>SUM(Table_3__3[[#This Row],[Rec]]/$J$2)</f>
        <v>12.0625</v>
      </c>
      <c r="L17">
        <f>SUM(Table_3__3[[#This Row],[Yard]]/$J$2)</f>
        <v>161.5625</v>
      </c>
      <c r="M17">
        <f>SUM(Table_3__3[[#This Row],[TD]]/$J$2)</f>
        <v>1.0625</v>
      </c>
      <c r="N17" t="s">
        <v>397</v>
      </c>
      <c r="O17" s="135" t="s">
        <v>1982</v>
      </c>
      <c r="P17" s="103">
        <v>24</v>
      </c>
    </row>
    <row r="18" spans="1:16" x14ac:dyDescent="0.3">
      <c r="A18" s="3" t="s">
        <v>698</v>
      </c>
      <c r="B18" s="3">
        <v>16</v>
      </c>
      <c r="C18" s="3">
        <v>204</v>
      </c>
      <c r="D18" s="3">
        <v>2666</v>
      </c>
      <c r="E18" s="3">
        <v>15</v>
      </c>
      <c r="F18" s="3">
        <v>359</v>
      </c>
      <c r="G18" s="2">
        <v>22.4</v>
      </c>
      <c r="I18" s="26" t="s">
        <v>709</v>
      </c>
      <c r="J18" s="26">
        <v>16</v>
      </c>
      <c r="K18">
        <f>SUM(Table_3__3[[#This Row],[Rec]]/$J$2)</f>
        <v>12.75</v>
      </c>
      <c r="L18">
        <f>SUM(Table_3__3[[#This Row],[Yard]]/$J$2)</f>
        <v>166.625</v>
      </c>
      <c r="M18">
        <f>SUM(Table_3__3[[#This Row],[TD]]/$J$2)</f>
        <v>0.9375</v>
      </c>
      <c r="N18" t="s">
        <v>409</v>
      </c>
      <c r="O18" s="135" t="s">
        <v>2303</v>
      </c>
      <c r="P18" s="103">
        <v>5</v>
      </c>
    </row>
    <row r="19" spans="1:16" x14ac:dyDescent="0.3">
      <c r="A19" s="3" t="s">
        <v>699</v>
      </c>
      <c r="B19" s="3">
        <v>16</v>
      </c>
      <c r="C19" s="3">
        <v>212</v>
      </c>
      <c r="D19" s="3">
        <v>2643</v>
      </c>
      <c r="E19" s="3">
        <v>14</v>
      </c>
      <c r="F19" s="3">
        <v>355.5</v>
      </c>
      <c r="G19" s="2">
        <v>22.2</v>
      </c>
      <c r="I19" s="26" t="s">
        <v>695</v>
      </c>
      <c r="J19" s="26">
        <v>16</v>
      </c>
      <c r="K19">
        <f>SUM(Table_3__3[[#This Row],[Rec]]/$J$2)</f>
        <v>13.25</v>
      </c>
      <c r="L19">
        <f>SUM(Table_3__3[[#This Row],[Yard]]/$J$2)</f>
        <v>165.1875</v>
      </c>
      <c r="M19">
        <f>SUM(Table_3__3[[#This Row],[TD]]/$J$2)</f>
        <v>0.875</v>
      </c>
      <c r="N19" t="s">
        <v>57</v>
      </c>
      <c r="O19" s="135" t="s">
        <v>2003</v>
      </c>
      <c r="P19" s="103">
        <v>19</v>
      </c>
    </row>
    <row r="20" spans="1:16" x14ac:dyDescent="0.3">
      <c r="A20" s="3" t="s">
        <v>700</v>
      </c>
      <c r="B20" s="3">
        <v>16</v>
      </c>
      <c r="C20" s="3">
        <v>197</v>
      </c>
      <c r="D20" s="3">
        <v>2442</v>
      </c>
      <c r="E20" s="3">
        <v>17</v>
      </c>
      <c r="F20" s="3">
        <v>353.7</v>
      </c>
      <c r="G20" s="2">
        <v>22.1</v>
      </c>
      <c r="I20" s="25" t="s">
        <v>700</v>
      </c>
      <c r="J20" s="25">
        <v>16</v>
      </c>
      <c r="K20">
        <f>SUM(Table_3__3[[#This Row],[Rec]]/$J$2)</f>
        <v>12.3125</v>
      </c>
      <c r="L20">
        <f>SUM(Table_3__3[[#This Row],[Yard]]/$J$2)</f>
        <v>152.625</v>
      </c>
      <c r="M20">
        <f>SUM(Table_3__3[[#This Row],[TD]]/$J$2)</f>
        <v>1.0625</v>
      </c>
      <c r="N20" t="s">
        <v>41</v>
      </c>
      <c r="O20" s="135" t="s">
        <v>2304</v>
      </c>
      <c r="P20" s="103">
        <v>14</v>
      </c>
    </row>
    <row r="21" spans="1:16" x14ac:dyDescent="0.3">
      <c r="A21" s="3" t="s">
        <v>701</v>
      </c>
      <c r="B21" s="3">
        <v>16</v>
      </c>
      <c r="C21" s="3">
        <v>225</v>
      </c>
      <c r="D21" s="3">
        <v>2692</v>
      </c>
      <c r="E21" s="3">
        <v>10</v>
      </c>
      <c r="F21" s="3">
        <v>337.5</v>
      </c>
      <c r="G21" s="2">
        <v>21.1</v>
      </c>
      <c r="I21" s="25" t="s">
        <v>694</v>
      </c>
      <c r="J21" s="25">
        <v>16</v>
      </c>
      <c r="K21">
        <f>SUM(Table_3__3[[#This Row],[Rec]]/$J$2)</f>
        <v>14.0625</v>
      </c>
      <c r="L21">
        <f>SUM(Table_3__3[[#This Row],[Yard]]/$J$2)</f>
        <v>168.25</v>
      </c>
      <c r="M21">
        <f>SUM(Table_3__3[[#This Row],[TD]]/$J$2)</f>
        <v>0.625</v>
      </c>
      <c r="N21" t="s">
        <v>402</v>
      </c>
      <c r="O21" s="135" t="s">
        <v>1992</v>
      </c>
      <c r="P21" s="103">
        <v>20</v>
      </c>
    </row>
    <row r="22" spans="1:16" x14ac:dyDescent="0.3">
      <c r="A22" s="3" t="s">
        <v>702</v>
      </c>
      <c r="B22" s="3">
        <v>16</v>
      </c>
      <c r="C22" s="3">
        <v>212</v>
      </c>
      <c r="D22" s="3">
        <v>2456</v>
      </c>
      <c r="E22" s="3">
        <v>12</v>
      </c>
      <c r="F22" s="3">
        <v>331.7</v>
      </c>
      <c r="G22" s="2">
        <v>20.7</v>
      </c>
      <c r="I22" s="26" t="s">
        <v>687</v>
      </c>
      <c r="J22" s="26">
        <v>16</v>
      </c>
      <c r="K22">
        <f>SUM(Table_3__3[[#This Row],[Rec]]/$J$2)</f>
        <v>13.25</v>
      </c>
      <c r="L22">
        <f>SUM(Table_3__3[[#This Row],[Yard]]/$J$2)</f>
        <v>153.5</v>
      </c>
      <c r="M22">
        <f>SUM(Table_3__3[[#This Row],[TD]]/$J$2)</f>
        <v>0.75</v>
      </c>
      <c r="N22" t="s">
        <v>404</v>
      </c>
      <c r="O22" s="135" t="s">
        <v>1963</v>
      </c>
      <c r="P22" s="103">
        <v>27</v>
      </c>
    </row>
    <row r="23" spans="1:16" x14ac:dyDescent="0.3">
      <c r="A23" s="3" t="s">
        <v>703</v>
      </c>
      <c r="B23" s="3">
        <v>16</v>
      </c>
      <c r="C23" s="3">
        <v>177</v>
      </c>
      <c r="D23" s="3">
        <v>2487</v>
      </c>
      <c r="E23" s="3">
        <v>12</v>
      </c>
      <c r="F23" s="3">
        <v>330.6</v>
      </c>
      <c r="G23" s="2">
        <v>20.7</v>
      </c>
      <c r="I23" s="26" t="s">
        <v>693</v>
      </c>
      <c r="J23" s="26">
        <v>16</v>
      </c>
      <c r="K23">
        <f>SUM(Table_3__3[[#This Row],[Rec]]/$J$2)</f>
        <v>11.0625</v>
      </c>
      <c r="L23">
        <f>SUM(Table_3__3[[#This Row],[Yard]]/$J$2)</f>
        <v>155.4375</v>
      </c>
      <c r="M23">
        <f>SUM(Table_3__3[[#This Row],[TD]]/$J$2)</f>
        <v>0.75</v>
      </c>
      <c r="N23" t="s">
        <v>37</v>
      </c>
      <c r="O23" s="135" t="s">
        <v>1987</v>
      </c>
      <c r="P23" s="103">
        <v>21</v>
      </c>
    </row>
    <row r="24" spans="1:16" x14ac:dyDescent="0.3">
      <c r="A24" s="3" t="s">
        <v>704</v>
      </c>
      <c r="B24" s="3">
        <v>16</v>
      </c>
      <c r="C24" s="3">
        <v>164</v>
      </c>
      <c r="D24" s="3">
        <v>2165</v>
      </c>
      <c r="E24" s="3">
        <v>18</v>
      </c>
      <c r="F24" s="3">
        <v>327.3</v>
      </c>
      <c r="G24" s="2">
        <v>20.5</v>
      </c>
      <c r="I24" s="26" t="s">
        <v>697</v>
      </c>
      <c r="J24" s="26">
        <v>16</v>
      </c>
      <c r="K24">
        <f>SUM(Table_3__3[[#This Row],[Rec]]/$J$2)</f>
        <v>10.25</v>
      </c>
      <c r="L24">
        <f>SUM(Table_3__3[[#This Row],[Yard]]/$J$2)</f>
        <v>135.3125</v>
      </c>
      <c r="M24">
        <f>SUM(Table_3__3[[#This Row],[TD]]/$J$2)</f>
        <v>1.125</v>
      </c>
      <c r="N24" t="s">
        <v>34</v>
      </c>
      <c r="O24" s="135" t="s">
        <v>2305</v>
      </c>
      <c r="P24" s="103">
        <v>17</v>
      </c>
    </row>
    <row r="25" spans="1:16" x14ac:dyDescent="0.3">
      <c r="A25" s="3" t="s">
        <v>705</v>
      </c>
      <c r="B25" s="3">
        <v>16</v>
      </c>
      <c r="C25" s="3">
        <v>178</v>
      </c>
      <c r="D25" s="3">
        <v>2332</v>
      </c>
      <c r="E25" s="3">
        <v>14</v>
      </c>
      <c r="F25" s="3">
        <v>324.10000000000002</v>
      </c>
      <c r="G25" s="2">
        <v>20.3</v>
      </c>
      <c r="I25" s="26" t="s">
        <v>701</v>
      </c>
      <c r="J25" s="26">
        <v>16</v>
      </c>
      <c r="K25">
        <f>SUM(Table_3__3[[#This Row],[Rec]]/$J$2)</f>
        <v>11.125</v>
      </c>
      <c r="L25">
        <f>SUM(Table_3__3[[#This Row],[Yard]]/$J$2)</f>
        <v>145.75</v>
      </c>
      <c r="M25">
        <f>SUM(Table_3__3[[#This Row],[TD]]/$J$2)</f>
        <v>0.875</v>
      </c>
      <c r="N25" t="s">
        <v>4</v>
      </c>
      <c r="O25" s="135" t="s">
        <v>2306</v>
      </c>
      <c r="P25" s="103">
        <v>13</v>
      </c>
    </row>
    <row r="26" spans="1:16" x14ac:dyDescent="0.3">
      <c r="A26" s="3" t="s">
        <v>706</v>
      </c>
      <c r="B26" s="3">
        <v>16</v>
      </c>
      <c r="C26" s="3">
        <v>199</v>
      </c>
      <c r="D26" s="3">
        <v>2465</v>
      </c>
      <c r="E26" s="3">
        <v>12</v>
      </c>
      <c r="F26" s="3">
        <v>318.5</v>
      </c>
      <c r="G26" s="2">
        <v>19.899999999999999</v>
      </c>
      <c r="I26" s="26" t="s">
        <v>683</v>
      </c>
      <c r="J26" s="26">
        <v>16</v>
      </c>
      <c r="K26">
        <f>SUM(Table_3__3[[#This Row],[Rec]]/$J$2)</f>
        <v>12.4375</v>
      </c>
      <c r="L26">
        <f>SUM(Table_3__3[[#This Row],[Yard]]/$J$2)</f>
        <v>154.0625</v>
      </c>
      <c r="M26">
        <f>SUM(Table_3__3[[#This Row],[TD]]/$J$2)</f>
        <v>0.75</v>
      </c>
      <c r="N26" t="s">
        <v>39</v>
      </c>
      <c r="O26" s="135" t="s">
        <v>1965</v>
      </c>
      <c r="P26" s="103">
        <v>31</v>
      </c>
    </row>
    <row r="27" spans="1:16" x14ac:dyDescent="0.3">
      <c r="A27" s="3" t="s">
        <v>707</v>
      </c>
      <c r="B27" s="3">
        <v>16</v>
      </c>
      <c r="C27" s="3">
        <v>177</v>
      </c>
      <c r="D27" s="3">
        <v>2443</v>
      </c>
      <c r="E27" s="3">
        <v>12</v>
      </c>
      <c r="F27" s="3">
        <v>318.3</v>
      </c>
      <c r="G27" s="2">
        <v>19.899999999999999</v>
      </c>
      <c r="I27" s="25" t="s">
        <v>684</v>
      </c>
      <c r="J27" s="25">
        <v>16</v>
      </c>
      <c r="K27">
        <f>SUM(Table_3__3[[#This Row],[Rec]]/$J$2)</f>
        <v>11.0625</v>
      </c>
      <c r="L27">
        <f>SUM(Table_3__3[[#This Row],[Yard]]/$J$2)</f>
        <v>152.6875</v>
      </c>
      <c r="M27">
        <f>SUM(Table_3__3[[#This Row],[TD]]/$J$2)</f>
        <v>0.75</v>
      </c>
      <c r="N27" t="s">
        <v>20</v>
      </c>
      <c r="O27" s="135" t="s">
        <v>2307</v>
      </c>
      <c r="P27" s="103">
        <v>30</v>
      </c>
    </row>
    <row r="28" spans="1:16" x14ac:dyDescent="0.3">
      <c r="A28" s="3" t="s">
        <v>708</v>
      </c>
      <c r="B28" s="3">
        <v>16</v>
      </c>
      <c r="C28" s="3">
        <v>179</v>
      </c>
      <c r="D28" s="3">
        <v>2201</v>
      </c>
      <c r="E28" s="3">
        <v>16</v>
      </c>
      <c r="F28" s="3">
        <v>316.5</v>
      </c>
      <c r="G28" s="2">
        <v>19.8</v>
      </c>
      <c r="I28" s="25" t="s">
        <v>710</v>
      </c>
      <c r="J28" s="25">
        <v>16</v>
      </c>
      <c r="K28">
        <f>SUM(Table_3__3[[#This Row],[Rec]]/$J$2)</f>
        <v>11.1875</v>
      </c>
      <c r="L28">
        <f>SUM(Table_3__3[[#This Row],[Yard]]/$J$2)</f>
        <v>137.5625</v>
      </c>
      <c r="M28">
        <f>SUM(Table_3__3[[#This Row],[TD]]/$J$2)</f>
        <v>1</v>
      </c>
      <c r="N28" t="s">
        <v>407</v>
      </c>
      <c r="O28" s="135" t="s">
        <v>2308</v>
      </c>
      <c r="P28" s="103">
        <v>4</v>
      </c>
    </row>
    <row r="29" spans="1:16" x14ac:dyDescent="0.3">
      <c r="A29" s="3" t="s">
        <v>709</v>
      </c>
      <c r="B29" s="3">
        <v>16</v>
      </c>
      <c r="C29" s="3">
        <v>208</v>
      </c>
      <c r="D29" s="3">
        <v>2377</v>
      </c>
      <c r="E29" s="3">
        <v>12</v>
      </c>
      <c r="F29" s="3">
        <v>315.5</v>
      </c>
      <c r="G29" s="2">
        <v>19.7</v>
      </c>
      <c r="I29" s="26" t="s">
        <v>711</v>
      </c>
      <c r="J29" s="26">
        <v>16</v>
      </c>
      <c r="K29">
        <f>SUM(Table_3__3[[#This Row],[Rec]]/$J$2)</f>
        <v>13</v>
      </c>
      <c r="L29">
        <f>SUM(Table_3__3[[#This Row],[Yard]]/$J$2)</f>
        <v>148.5625</v>
      </c>
      <c r="M29">
        <f>SUM(Table_3__3[[#This Row],[TD]]/$J$2)</f>
        <v>0.75</v>
      </c>
      <c r="N29" t="s">
        <v>7</v>
      </c>
      <c r="O29" s="135" t="s">
        <v>2001</v>
      </c>
      <c r="P29" s="103">
        <v>3</v>
      </c>
    </row>
    <row r="30" spans="1:16" x14ac:dyDescent="0.3">
      <c r="A30" s="3" t="s">
        <v>710</v>
      </c>
      <c r="B30" s="3">
        <v>16</v>
      </c>
      <c r="C30" s="3">
        <v>175</v>
      </c>
      <c r="D30" s="3">
        <v>2383</v>
      </c>
      <c r="E30" s="3">
        <v>11</v>
      </c>
      <c r="F30" s="3">
        <v>307.5</v>
      </c>
      <c r="G30" s="2">
        <v>19.2</v>
      </c>
      <c r="I30" s="25" t="s">
        <v>696</v>
      </c>
      <c r="J30" s="25">
        <v>16</v>
      </c>
      <c r="K30">
        <f>SUM(Table_3__3[[#This Row],[Rec]]/$J$2)</f>
        <v>10.9375</v>
      </c>
      <c r="L30">
        <f>SUM(Table_3__3[[#This Row],[Yard]]/$J$2)</f>
        <v>148.9375</v>
      </c>
      <c r="M30">
        <f>SUM(Table_3__3[[#This Row],[TD]]/$J$2)</f>
        <v>0.6875</v>
      </c>
      <c r="N30" t="s">
        <v>398</v>
      </c>
      <c r="O30" s="135" t="s">
        <v>2309</v>
      </c>
      <c r="P30" s="103">
        <v>18</v>
      </c>
    </row>
    <row r="31" spans="1:16" x14ac:dyDescent="0.3">
      <c r="A31" s="3" t="s">
        <v>711</v>
      </c>
      <c r="B31" s="3">
        <v>16</v>
      </c>
      <c r="C31" s="3">
        <v>171</v>
      </c>
      <c r="D31" s="3">
        <v>2123</v>
      </c>
      <c r="E31" s="3">
        <v>6</v>
      </c>
      <c r="F31" s="3">
        <v>266.8</v>
      </c>
      <c r="G31" s="2">
        <v>16.7</v>
      </c>
      <c r="I31" s="25" t="s">
        <v>688</v>
      </c>
      <c r="J31" s="25">
        <v>16</v>
      </c>
      <c r="K31">
        <f>SUM(Table_3__3[[#This Row],[Rec]]/$J$2)</f>
        <v>10.6875</v>
      </c>
      <c r="L31">
        <f>SUM(Table_3__3[[#This Row],[Yard]]/$J$2)</f>
        <v>132.6875</v>
      </c>
      <c r="M31">
        <f>SUM(Table_3__3[[#This Row],[TD]]/$J$2)</f>
        <v>0.375</v>
      </c>
      <c r="N31" t="s">
        <v>401</v>
      </c>
      <c r="O31" s="135" t="s">
        <v>2005</v>
      </c>
      <c r="P31" s="103">
        <v>26</v>
      </c>
    </row>
    <row r="32" spans="1:16" x14ac:dyDescent="0.3">
      <c r="A32" s="3" t="s">
        <v>712</v>
      </c>
      <c r="B32" s="3">
        <v>16</v>
      </c>
      <c r="C32" s="3">
        <v>157</v>
      </c>
      <c r="D32" s="3">
        <v>2041</v>
      </c>
      <c r="E32" s="3">
        <v>7</v>
      </c>
      <c r="F32" s="3">
        <v>249.8</v>
      </c>
      <c r="G32" s="2">
        <v>15.6</v>
      </c>
      <c r="I32" s="25" t="s">
        <v>692</v>
      </c>
      <c r="J32" s="25">
        <v>16</v>
      </c>
      <c r="K32">
        <f>SUM(Table_3__3[[#This Row],[Rec]]/$J$2)</f>
        <v>9.8125</v>
      </c>
      <c r="L32">
        <f>SUM(Table_3__3[[#This Row],[Yard]]/$J$2)</f>
        <v>127.5625</v>
      </c>
      <c r="M32">
        <f>SUM(Table_3__3[[#This Row],[TD]]/$J$2)</f>
        <v>0.4375</v>
      </c>
      <c r="N32" t="s">
        <v>30</v>
      </c>
      <c r="O32" s="135" t="s">
        <v>1978</v>
      </c>
      <c r="P32" s="103">
        <v>22</v>
      </c>
    </row>
    <row r="33" spans="1:16" x14ac:dyDescent="0.3">
      <c r="A33" s="3" t="s">
        <v>713</v>
      </c>
      <c r="B33" s="3">
        <v>16</v>
      </c>
      <c r="C33" s="3">
        <v>166</v>
      </c>
      <c r="D33" s="3">
        <v>1906</v>
      </c>
      <c r="E33" s="3">
        <v>7</v>
      </c>
      <c r="F33" s="3">
        <v>241.6</v>
      </c>
      <c r="G33" s="2">
        <v>15.1</v>
      </c>
      <c r="I33" s="26" t="s">
        <v>685</v>
      </c>
      <c r="J33" s="26">
        <v>16</v>
      </c>
      <c r="K33">
        <f>SUM(Table_3__3[[#This Row],[Rec]]/$J$2)</f>
        <v>10.375</v>
      </c>
      <c r="L33">
        <f>SUM(Table_3__3[[#This Row],[Yard]]/$J$2)</f>
        <v>119.125</v>
      </c>
      <c r="M33">
        <f>SUM(Table_3__3[[#This Row],[TD]]/$J$2)</f>
        <v>0.4375</v>
      </c>
      <c r="N33" t="s">
        <v>18</v>
      </c>
      <c r="O33" s="135" t="s">
        <v>2310</v>
      </c>
      <c r="P33" s="103">
        <v>29</v>
      </c>
    </row>
  </sheetData>
  <pageMargins left="0.7" right="0.7" top="0.75" bottom="0.75" header="0.3" footer="0.3"/>
  <tableParts count="2">
    <tablePart r:id="rId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V146"/>
  <sheetViews>
    <sheetView zoomScale="85" zoomScaleNormal="85" workbookViewId="0">
      <pane xSplit="4" ySplit="10" topLeftCell="E11" activePane="bottomRight" state="frozen"/>
      <selection activeCell="A2" sqref="A2"/>
      <selection pane="topRight" activeCell="A2" sqref="A2"/>
      <selection pane="bottomLeft" activeCell="A2" sqref="A2"/>
      <selection pane="bottomRight" activeCell="R11" sqref="R11:R72"/>
    </sheetView>
  </sheetViews>
  <sheetFormatPr defaultColWidth="9.109375" defaultRowHeight="14.4" x14ac:dyDescent="0.3"/>
  <cols>
    <col min="1" max="1" width="2.77734375" style="9" customWidth="1"/>
    <col min="2" max="2" width="23.109375" style="9" bestFit="1" customWidth="1"/>
    <col min="3" max="3" width="9.88671875" style="10" bestFit="1" customWidth="1"/>
    <col min="4" max="4" width="10.88671875" style="9" bestFit="1" customWidth="1"/>
    <col min="5" max="5" width="7.44140625" style="9" bestFit="1" customWidth="1"/>
    <col min="6" max="6" width="11" style="9" bestFit="1" customWidth="1"/>
    <col min="7" max="7" width="13.21875" style="9" bestFit="1" customWidth="1"/>
    <col min="8" max="8" width="11.109375" style="9" customWidth="1"/>
    <col min="9" max="9" width="11.109375" style="40" customWidth="1"/>
    <col min="10" max="10" width="11.109375" style="9" customWidth="1"/>
    <col min="11" max="11" width="11.33203125" style="9" customWidth="1"/>
    <col min="12" max="12" width="11.77734375" style="9" bestFit="1" customWidth="1"/>
    <col min="13" max="13" width="11.109375" style="40" bestFit="1" customWidth="1"/>
    <col min="14" max="14" width="11" style="9" bestFit="1" customWidth="1"/>
    <col min="15" max="15" width="10.77734375" style="9" customWidth="1"/>
    <col min="16" max="16" width="11.77734375" style="9" bestFit="1" customWidth="1"/>
    <col min="17" max="17" width="11.44140625" style="9" bestFit="1" customWidth="1"/>
    <col min="18" max="18" width="12.44140625" style="9" bestFit="1" customWidth="1"/>
    <col min="19" max="19" width="11.77734375" style="9" bestFit="1" customWidth="1"/>
    <col min="20" max="20" width="12.44140625" style="9" bestFit="1" customWidth="1"/>
    <col min="21" max="23" width="13.21875" style="9" bestFit="1" customWidth="1"/>
    <col min="24" max="24" width="10.21875" style="9" bestFit="1" customWidth="1"/>
    <col min="25" max="25" width="16.88671875" style="9" customWidth="1"/>
    <col min="26" max="26" width="13.109375" style="9" customWidth="1"/>
    <col min="27" max="27" width="10.5546875" style="9" bestFit="1" customWidth="1"/>
    <col min="28" max="28" width="11.109375" style="40" customWidth="1"/>
    <col min="29" max="29" width="7.5546875" style="49" hidden="1" customWidth="1"/>
    <col min="30" max="30" width="7.5546875" style="9" hidden="1" customWidth="1"/>
    <col min="31" max="31" width="7.5546875" style="9" customWidth="1"/>
    <col min="32" max="35" width="7.88671875" style="9" hidden="1" customWidth="1"/>
    <col min="36" max="39" width="9.44140625" style="9" hidden="1" customWidth="1"/>
    <col min="40" max="42" width="7.109375" style="9" hidden="1" customWidth="1"/>
    <col min="43" max="43" width="6.88671875" style="9" hidden="1" customWidth="1"/>
    <col min="44" max="44" width="7.88671875" style="9" hidden="1" customWidth="1"/>
    <col min="45" max="48" width="0" style="9" hidden="1" customWidth="1"/>
    <col min="49" max="16384" width="9.109375" style="9"/>
  </cols>
  <sheetData>
    <row r="1" spans="1:48" x14ac:dyDescent="0.3">
      <c r="A1" s="269"/>
      <c r="B1" s="273"/>
      <c r="C1" s="279"/>
      <c r="D1" s="275"/>
    </row>
    <row r="2" spans="1:48" x14ac:dyDescent="0.3">
      <c r="A2" s="271"/>
      <c r="B2" s="105"/>
      <c r="C2" s="280"/>
      <c r="D2" s="277"/>
    </row>
    <row r="3" spans="1:48" x14ac:dyDescent="0.3">
      <c r="A3" s="271"/>
      <c r="B3" s="105"/>
      <c r="C3" s="280"/>
      <c r="D3" s="277"/>
    </row>
    <row r="4" spans="1:48" x14ac:dyDescent="0.3">
      <c r="A4" s="271"/>
      <c r="B4" s="105"/>
      <c r="C4" s="280"/>
      <c r="D4" s="277"/>
    </row>
    <row r="5" spans="1:48" x14ac:dyDescent="0.3">
      <c r="A5" s="271"/>
      <c r="B5" s="535" t="s">
        <v>414</v>
      </c>
      <c r="C5" s="535"/>
      <c r="D5" s="536"/>
      <c r="E5" s="13"/>
      <c r="F5" s="13"/>
    </row>
    <row r="6" spans="1:48" x14ac:dyDescent="0.3">
      <c r="A6" s="271"/>
      <c r="B6" s="105"/>
      <c r="C6" s="280"/>
      <c r="D6" s="277"/>
    </row>
    <row r="7" spans="1:48" x14ac:dyDescent="0.3">
      <c r="A7" s="271"/>
      <c r="B7" s="105"/>
      <c r="C7" s="280"/>
      <c r="D7" s="277"/>
    </row>
    <row r="8" spans="1:48" ht="15" thickBot="1" x14ac:dyDescent="0.35">
      <c r="A8" s="528" t="s">
        <v>1910</v>
      </c>
      <c r="B8" s="529"/>
      <c r="C8" s="529"/>
      <c r="D8" s="530"/>
      <c r="E8" s="12"/>
      <c r="F8" s="12"/>
    </row>
    <row r="9" spans="1:48" ht="15" thickBot="1" x14ac:dyDescent="0.35">
      <c r="A9" s="531">
        <f>QB_matchups!A9</f>
        <v>42641</v>
      </c>
      <c r="B9" s="532"/>
      <c r="C9" s="532"/>
      <c r="D9" s="533"/>
      <c r="E9" s="20"/>
      <c r="F9" s="20"/>
      <c r="G9" s="537" t="s">
        <v>2454</v>
      </c>
      <c r="H9" s="538"/>
      <c r="I9" s="538"/>
      <c r="J9" s="539"/>
      <c r="K9" s="540" t="s">
        <v>2457</v>
      </c>
      <c r="L9" s="541"/>
      <c r="M9" s="542"/>
      <c r="O9" s="550" t="s">
        <v>2511</v>
      </c>
      <c r="P9" s="551"/>
      <c r="Q9" s="552" t="s">
        <v>2512</v>
      </c>
      <c r="R9" s="553"/>
      <c r="S9" s="543" t="s">
        <v>2593</v>
      </c>
      <c r="T9" s="544"/>
      <c r="U9" s="544"/>
      <c r="V9" s="544"/>
      <c r="W9" s="544"/>
      <c r="X9" s="544"/>
      <c r="Y9" s="544"/>
      <c r="Z9" s="544"/>
      <c r="AA9" s="544"/>
      <c r="AB9" s="545"/>
    </row>
    <row r="10" spans="1:48" ht="15" thickBot="1" x14ac:dyDescent="0.35">
      <c r="A10" s="35" t="s">
        <v>0</v>
      </c>
      <c r="B10" s="35" t="s">
        <v>415</v>
      </c>
      <c r="C10" s="102" t="s">
        <v>416</v>
      </c>
      <c r="D10" s="197" t="s">
        <v>1912</v>
      </c>
      <c r="E10" s="46" t="s">
        <v>387</v>
      </c>
      <c r="F10" s="46" t="s">
        <v>81</v>
      </c>
      <c r="G10" s="400" t="s">
        <v>389</v>
      </c>
      <c r="H10" s="400" t="s">
        <v>388</v>
      </c>
      <c r="I10" s="400" t="s">
        <v>2459</v>
      </c>
      <c r="J10" s="401" t="s">
        <v>601</v>
      </c>
      <c r="K10" s="399" t="s">
        <v>1606</v>
      </c>
      <c r="L10" s="400" t="s">
        <v>1607</v>
      </c>
      <c r="M10" s="401" t="s">
        <v>2294</v>
      </c>
      <c r="N10" s="35" t="s">
        <v>425</v>
      </c>
      <c r="O10" s="481" t="s">
        <v>1544</v>
      </c>
      <c r="P10" s="401" t="s">
        <v>1545</v>
      </c>
      <c r="Q10" s="402" t="s">
        <v>1530</v>
      </c>
      <c r="R10" s="404" t="s">
        <v>1531</v>
      </c>
      <c r="S10" s="481" t="s">
        <v>2464</v>
      </c>
      <c r="T10" s="450" t="s">
        <v>2462</v>
      </c>
      <c r="U10" s="400" t="s">
        <v>597</v>
      </c>
      <c r="V10" s="400" t="s">
        <v>390</v>
      </c>
      <c r="W10" s="400" t="s">
        <v>807</v>
      </c>
      <c r="X10" s="400" t="s">
        <v>391</v>
      </c>
      <c r="Y10" s="403" t="s">
        <v>1672</v>
      </c>
      <c r="Z10" s="450" t="s">
        <v>604</v>
      </c>
      <c r="AA10" s="450" t="s">
        <v>1592</v>
      </c>
      <c r="AB10" s="483" t="s">
        <v>749</v>
      </c>
      <c r="AC10" s="50" t="s">
        <v>1674</v>
      </c>
      <c r="AD10" s="50" t="s">
        <v>1676</v>
      </c>
      <c r="AE10" s="201" t="s">
        <v>1412</v>
      </c>
      <c r="AF10" s="201" t="s">
        <v>1347</v>
      </c>
      <c r="AG10" s="35" t="s">
        <v>811</v>
      </c>
      <c r="AH10" s="35" t="s">
        <v>812</v>
      </c>
      <c r="AI10" s="35" t="s">
        <v>1348</v>
      </c>
      <c r="AJ10" s="35" t="s">
        <v>802</v>
      </c>
      <c r="AK10" s="35" t="s">
        <v>785</v>
      </c>
      <c r="AL10" s="35" t="s">
        <v>782</v>
      </c>
      <c r="AM10" s="35" t="s">
        <v>1343</v>
      </c>
      <c r="AN10" s="35" t="s">
        <v>788</v>
      </c>
      <c r="AO10" s="35" t="s">
        <v>776</v>
      </c>
      <c r="AP10" s="35" t="s">
        <v>777</v>
      </c>
      <c r="AQ10" s="35" t="s">
        <v>1334</v>
      </c>
      <c r="AR10" s="35" t="s">
        <v>789</v>
      </c>
      <c r="AS10" s="35" t="s">
        <v>778</v>
      </c>
      <c r="AT10" s="35" t="s">
        <v>779</v>
      </c>
      <c r="AU10" s="35" t="s">
        <v>1335</v>
      </c>
      <c r="AV10" s="35" t="s">
        <v>1563</v>
      </c>
    </row>
    <row r="11" spans="1:48" ht="15" thickBot="1" x14ac:dyDescent="0.35">
      <c r="A11" s="37">
        <f>TEstats1!AL2</f>
        <v>14.4</v>
      </c>
      <c r="B11" s="5" t="str">
        <f>TEstats1!D2</f>
        <v>Greg Olsen</v>
      </c>
      <c r="C11" s="195">
        <f>IFERROR(INDEX(Salaries[DraftKings (Price)],MATCH(TEmatchups[[#This Row],[Name]],Salaries[Player],0)),"")</f>
        <v>6000</v>
      </c>
      <c r="D11" s="195">
        <f>IFERROR(INDEX(DK_Salary_Changes[WeekChange],MATCH(TEmatchups[[#This Row],[Name]],DK_Salary_Changes[Player],0)),"")</f>
        <v>200</v>
      </c>
      <c r="E11" s="14" t="str">
        <f>IFERROR(INDEX(Salaries[Team],MATCH(TEmatchups[[#This Row],[Name]],Salaries[Player],0)),"")</f>
        <v>CAR</v>
      </c>
      <c r="F11" s="14" t="str">
        <f>IFERROR(INDEX(Salaries[Opp],MATCH(TEmatchups[[#This Row],[Team]],Salaries[Team],0)),"")</f>
        <v>@ATL</v>
      </c>
      <c r="G11" s="457">
        <f>IFERROR(INDEX(TightEndYTD[Rec],MATCH(TEmatchups[Name],TightEndYTD[Player],0)),"0")</f>
        <v>18</v>
      </c>
      <c r="H11" s="191">
        <f>IFERROR(INDEX(targettracker54[TTL],MATCH(TEmatchups[Name],targettracker54[Name],0)),"0")</f>
        <v>27</v>
      </c>
      <c r="I11" s="458">
        <f>IFERROR(INDEX(TightEndYTD[Rec Yds],MATCH(TEmatchups[Name],TightEndYTD[Player],0)),"0")</f>
        <v>259</v>
      </c>
      <c r="J11" s="459">
        <f>IFERROR(INDEX(TightEndYTD[Rec TD],MATCH(TEmatchups[Name],TightEndYTD[Player],0)),"0")</f>
        <v>1</v>
      </c>
      <c r="K11" s="431">
        <f>IFERROR(INDEX(Salaries[O/U],MATCH(TEmatchups[[#This Row],[Team]],Salaries[Team],0)),"")</f>
        <v>50</v>
      </c>
      <c r="L11" s="32">
        <f>IFERROR(INDEX(Salaries[Team O/U],MATCH(TEmatchups[[#This Row],[Team]],Salaries[Team],0)),"")</f>
        <v>26.5</v>
      </c>
      <c r="M11" s="417">
        <f>IFERROR(INDEX(Salaries[Spread],MATCH(TEmatchups[[#This Row],[Team]],Salaries[Team],0)),"")</f>
        <v>-3</v>
      </c>
      <c r="N11" s="424">
        <f>IFERROR(INDEX(TEallowed[DVP],MATCH(TEmatchups[[#This Row],[Opp]],TEallowed[Team],0)),IFERROR(INDEX(TEallowed[DVP],MATCH(TEmatchups[[#This Row],[Opp]],TEallowed[Opp],0)),""))</f>
        <v>28</v>
      </c>
      <c r="O11" s="17">
        <f>IFERROR(INDEX(YAtCData[YAtC],MATCH(TEmatchups[[#This Row],[Name]],YAtCData[Player],0)),"0")</f>
        <v>151</v>
      </c>
      <c r="P11" s="497">
        <f>IFERROR(INDEX(YAtCData[YAtC/Rec],MATCH(TEmatchups[[#This Row],[Name]],YAtCData[Player],0)),"0")</f>
        <v>8.39</v>
      </c>
      <c r="Q11" s="17">
        <f>IFERROR(INDEX(YAtCData[YAC],MATCH(TEmatchups[[#This Row],[Name]],YAtCData[Player],0)),"0")</f>
        <v>108</v>
      </c>
      <c r="R11" s="497">
        <f>IFERROR(INDEX(YACDATA[YAC per Reception],MATCH(TEmatchups[[#This Row],[Name]],YACDATA[Player],0)),"0")</f>
        <v>6</v>
      </c>
      <c r="S11" s="418">
        <f>AVERAGE(TEmatchups[[#This Row],[Tar1]:[Tar3]])</f>
        <v>6.4</v>
      </c>
      <c r="T11" s="19">
        <f>AVERAGE(TEmatchups[[#This Row],[Rec1]:[Rec3]])</f>
        <v>5.1403333333333334</v>
      </c>
      <c r="U11" s="202">
        <f>SUM(TEmatchups[[#This Row],[Rec4]]/TEmatchups[[#This Row],[Targets2]])</f>
        <v>0.80317708333333326</v>
      </c>
      <c r="V11" s="32">
        <f>AVERAGE(TEmatchups[[#This Row],[Yards1]:[Yards3]])</f>
        <v>68.506666666666661</v>
      </c>
      <c r="W11" s="19">
        <f>SUM(TEmatchups[[#This Row],[Yards]]/TEmatchups[[#This Row],[Targets2]])</f>
        <v>10.704166666666666</v>
      </c>
      <c r="X11" s="32">
        <f>AVERAGE(TEmatchups[[#This Row],[TD1]:[TD3]])</f>
        <v>0.443</v>
      </c>
      <c r="Y11" s="14">
        <v>1</v>
      </c>
      <c r="Z11" s="19">
        <f>SUM(TEmatchups[[#This Row],[Yards]]*0.1)+(TEmatchups[[#This Row],[TD]]*6)+(TEmatchups[[#This Row],[Rec4]]*1)+(TEmatchups[[#This Row],[100+]])</f>
        <v>14.649000000000001</v>
      </c>
      <c r="AA11" s="8">
        <f>_xlfn.RANK.EQ(TEmatchups[[#This Row],[$/FP]],TEmatchups[$/FP],1)</f>
        <v>21</v>
      </c>
      <c r="AB11" s="484">
        <f>SUM(TEmatchups[[#This Row],[Salary]]/TEmatchups[[#This Row],[Projection]])</f>
        <v>409.58427196395655</v>
      </c>
      <c r="AC11" s="482">
        <f>_xlfn.RANK.EQ(TEmatchups[[#This Row],[Average2]],TEmatchups[Average2],1)</f>
        <v>8</v>
      </c>
      <c r="AD11" s="241">
        <f>AVERAGE(TEmatchups[[#This Row],[Proj Rank]],TEmatchups[[#This Row],[Value Rank]])</f>
        <v>11</v>
      </c>
      <c r="AE11" s="210">
        <f>TEmatchups[[#This Row],[Salary]]/50000</f>
        <v>0.12</v>
      </c>
      <c r="AF11" s="202"/>
      <c r="AG11" s="14">
        <f>IFERROR(INDEX(TEstats3[Targets],MATCH(TEmatchups[[#This Row],[Name]],TEstats3[Player],0)),"0")</f>
        <v>6.4</v>
      </c>
      <c r="AH11" s="14" t="str">
        <f>IFERROR(INDEX(TEstats2[Targets],MATCH(TEmatchups[[#This Row],[Name]],TEstats2[Player],0)),"0")</f>
        <v>0</v>
      </c>
      <c r="AI11" s="14">
        <f>IFERROR(INDEX(TEstats3[Targets],MATCH(TEmatchups[[#This Row],[Name]],TEstats3[Player],0)),"0")</f>
        <v>6.4</v>
      </c>
      <c r="AJ11" s="14">
        <f>IFERROR(INDEX(TEstats1[Rec],MATCH(TEmatchups[[#This Row],[Name]],TEstats1[Player],0)),"0")</f>
        <v>6.7210000000000001</v>
      </c>
      <c r="AK11" s="14">
        <f>IFERROR(INDEX(TEstats2[Rec],MATCH(TEmatchups[[#This Row],[Name]],TEstats2[Player],0)),"0")</f>
        <v>4.4000000000000004</v>
      </c>
      <c r="AL11" s="14">
        <f>IFERROR(INDEX(TEstats3[Rec],MATCH(TEmatchups[[#This Row],[Name]],TEstats3[Player],0)),"0")</f>
        <v>4.3</v>
      </c>
      <c r="AM11" s="32" t="str">
        <f>IFERROR(INDEX(TEallowed[Rec],MATCH(TEmatchups[[#This Row],[Opp]],TEallowed[Team],0)),"0")</f>
        <v>0</v>
      </c>
      <c r="AN11" s="14">
        <f>IFERROR(INDEX(TEstats1[Rec Yds],MATCH(TEmatchups[[#This Row],[Name]],TEstats1[Player],0)),"0")</f>
        <v>88.52</v>
      </c>
      <c r="AO11" s="14">
        <f>IFERROR(INDEX(TEstats2[RecYards],MATCH(TEmatchups[[#This Row],[Name]],TEstats2[Player],0)),"0")</f>
        <v>58.9</v>
      </c>
      <c r="AP11" s="14">
        <f>IFERROR(INDEX(TEstats3[RecYards],MATCH(TEmatchups[[#This Row],[Name]],TEstats3[Player],0)),"0")</f>
        <v>58.1</v>
      </c>
      <c r="AQ11" s="32" t="str">
        <f>IFERROR(INDEX(TEallowed[Yard],MATCH(TEmatchups[[#This Row],[Opp]],TEallowed[Team],0)),"0")</f>
        <v>0</v>
      </c>
      <c r="AR11" s="14">
        <f>IFERROR(INDEX(TEstats1[Rec TD],MATCH(TEmatchups[[#This Row],[Name]],TEstats1[Player],0)),"0")</f>
        <v>0.38600000000000001</v>
      </c>
      <c r="AS11" s="14" t="str">
        <f>IFERROR(INDEX(TEstats2[RecTD],MATCH(TEmatchups[[#This Row],[Name]],TEstats2[Player],0)),"0")</f>
        <v>0.4</v>
      </c>
      <c r="AT11" s="14">
        <f>IFERROR(INDEX(TEstats3[RecTD],MATCH(TEmatchups[[#This Row],[Name]],TEstats3[Player],0)),"0")</f>
        <v>0.5</v>
      </c>
      <c r="AU11" s="32" t="str">
        <f>IFERROR(INDEX(TEallowed[TD],MATCH(TEmatchups[[#This Row],[Opp]],TEallowed[Team],0)),"0")</f>
        <v>0</v>
      </c>
      <c r="AV11" s="32">
        <f>IF(TEmatchups[[#This Row],[Yards]]&gt;=100,3,0)</f>
        <v>0</v>
      </c>
    </row>
    <row r="12" spans="1:48" ht="15" thickBot="1" x14ac:dyDescent="0.35">
      <c r="A12" s="37">
        <f>TEstats1!AL3</f>
        <v>12.7</v>
      </c>
      <c r="B12" s="5" t="str">
        <f>TEstats1!D3</f>
        <v>Jordan Reed</v>
      </c>
      <c r="C12" s="172">
        <f>IFERROR(INDEX(Salaries[DraftKings (Price)],MATCH(TEmatchups[[#This Row],[Name]],Salaries[Player],0)),"")</f>
        <v>6300</v>
      </c>
      <c r="D12" s="172">
        <f>IFERROR(INDEX(DK_Salary_Changes[WeekChange],MATCH(TEmatchups[[#This Row],[Name]],DK_Salary_Changes[Player],0)),"")</f>
        <v>-200</v>
      </c>
      <c r="E12" s="14" t="str">
        <f>IFERROR(INDEX(Salaries[Team],MATCH(TEmatchups[[#This Row],[Name]],Salaries[Player],0)),"")</f>
        <v>WAS</v>
      </c>
      <c r="F12" s="14" t="str">
        <f>IFERROR(INDEX(Salaries[Opp],MATCH(TEmatchups[[#This Row],[Team]],Salaries[Team],0)),"")</f>
        <v>CLE</v>
      </c>
      <c r="G12" s="457">
        <f>IFERROR(INDEX(TightEndYTD[Rec],MATCH(TEmatchups[Name],TightEndYTD[Player],0)),"0")</f>
        <v>16</v>
      </c>
      <c r="H12" s="191">
        <f>IFERROR(INDEX(targettracker54[TTL],MATCH(TEmatchups[Name],targettracker54[Name],0)),"0")</f>
        <v>25</v>
      </c>
      <c r="I12" s="458">
        <f>IFERROR(INDEX(TightEndYTD[Rec Yds],MATCH(TEmatchups[Name],TightEndYTD[Player],0)),"0")</f>
        <v>190</v>
      </c>
      <c r="J12" s="459">
        <f>IFERROR(INDEX(TightEndYTD[Rec TD],MATCH(TEmatchups[Name],TightEndYTD[Player],0)),"0")</f>
        <v>0</v>
      </c>
      <c r="K12" s="431">
        <f>IFERROR(INDEX(Salaries[O/U],MATCH(TEmatchups[[#This Row],[Team]],Salaries[Team],0)),"")</f>
        <v>45.5</v>
      </c>
      <c r="L12" s="32">
        <f>IFERROR(INDEX(Salaries[Team O/U],MATCH(TEmatchups[[#This Row],[Team]],Salaries[Team],0)),"")</f>
        <v>26.75</v>
      </c>
      <c r="M12" s="417">
        <f>IFERROR(INDEX(Salaries[Spread],MATCH(TEmatchups[[#This Row],[Team]],Salaries[Team],0)),"")</f>
        <v>-8</v>
      </c>
      <c r="N12" s="424">
        <f>IFERROR(INDEX(TEallowed[DVP],MATCH(TEmatchups[[#This Row],[Opp]],TEallowed[Team],0)),IFERROR(INDEX(TEallowed[DVP],MATCH(TEmatchups[[#This Row],[Opp]],TEallowed[Opp],0)),""))</f>
        <v>14</v>
      </c>
      <c r="O12" s="17">
        <f>IFERROR(INDEX(YAtCData[YAtC],MATCH(TEmatchups[[#This Row],[Name]],YAtCData[Player],0)),"0")</f>
        <v>125</v>
      </c>
      <c r="P12" s="497">
        <f>IFERROR(INDEX(YAtCData[YAtC/Rec],MATCH(TEmatchups[[#This Row],[Name]],YAtCData[Player],0)),"0")</f>
        <v>7.81</v>
      </c>
      <c r="Q12" s="17">
        <f>IFERROR(INDEX(YAtCData[YAC],MATCH(TEmatchups[[#This Row],[Name]],YAtCData[Player],0)),"0")</f>
        <v>65</v>
      </c>
      <c r="R12" s="497">
        <f>IFERROR(INDEX(YACDATA[YAC per Reception],MATCH(TEmatchups[[#This Row],[Name]],YACDATA[Player],0)),"0")</f>
        <v>4.0999999999999996</v>
      </c>
      <c r="S12" s="418">
        <f>AVERAGE(TEmatchups[[#This Row],[Tar1]:[Tar3]])</f>
        <v>6.6</v>
      </c>
      <c r="T12" s="19">
        <f>AVERAGE(TEmatchups[[#This Row],[Rec1]:[Rec3]])</f>
        <v>5.2226666666666661</v>
      </c>
      <c r="U12" s="202">
        <f>SUM(TEmatchups[[#This Row],[Rec4]]/TEmatchups[[#This Row],[Targets2]])</f>
        <v>0.7913131313131313</v>
      </c>
      <c r="V12" s="32">
        <f>AVERAGE(TEmatchups[[#This Row],[Yards1]:[Yards3]])</f>
        <v>63.198999999999991</v>
      </c>
      <c r="W12" s="19">
        <f>SUM(TEmatchups[[#This Row],[Yards]]/TEmatchups[[#This Row],[Targets2]])</f>
        <v>9.5756060606060593</v>
      </c>
      <c r="X12" s="32">
        <f>AVERAGE(TEmatchups[[#This Row],[TD1]:[TD3]])</f>
        <v>0.63249999999999995</v>
      </c>
      <c r="Y12" s="14">
        <v>2</v>
      </c>
      <c r="Z12" s="19">
        <f>SUM(TEmatchups[[#This Row],[Yards]]*0.1)+(TEmatchups[[#This Row],[TD]]*6)+(TEmatchups[[#This Row],[Rec4]]*1)+(TEmatchups[[#This Row],[100+]])</f>
        <v>15.337566666666664</v>
      </c>
      <c r="AA12" s="8">
        <f>_xlfn.RANK.EQ(TEmatchups[[#This Row],[$/FP]],TEmatchups[$/FP],1)</f>
        <v>23</v>
      </c>
      <c r="AB12" s="484">
        <f>SUM(TEmatchups[[#This Row],[Salary]]/TEmatchups[[#This Row],[Projection]])</f>
        <v>410.75616079908383</v>
      </c>
      <c r="AC12" s="482">
        <f>_xlfn.RANK.EQ(TEmatchups[[#This Row],[Average2]],TEmatchups[Average2],1)</f>
        <v>10</v>
      </c>
      <c r="AD12" s="241">
        <f>AVERAGE(TEmatchups[[#This Row],[Proj Rank]],TEmatchups[[#This Row],[Value Rank]])</f>
        <v>12.5</v>
      </c>
      <c r="AE12" s="202">
        <f>TEmatchups[[#This Row],[Salary]]/50000</f>
        <v>0.126</v>
      </c>
      <c r="AF12" s="210"/>
      <c r="AG12" s="14">
        <f>IFERROR(INDEX(TEstats3[Targets],MATCH(TEmatchups[[#This Row],[Name]],TEstats3[Player],0)),"0")</f>
        <v>6.6</v>
      </c>
      <c r="AH12" s="14" t="str">
        <f>IFERROR(INDEX(TEstats2[Targets],MATCH(TEmatchups[[#This Row],[Name]],TEstats2[Player],0)),"0")</f>
        <v>0</v>
      </c>
      <c r="AI12" s="14">
        <f>IFERROR(INDEX(TEstats3[Targets],MATCH(TEmatchups[[#This Row],[Name]],TEstats3[Player],0)),"0")</f>
        <v>6.6</v>
      </c>
      <c r="AJ12" s="14">
        <f>IFERROR(INDEX(TEstats1[Rec],MATCH(TEmatchups[[#This Row],[Name]],TEstats1[Player],0)),"0")</f>
        <v>5.468</v>
      </c>
      <c r="AK12" s="14">
        <f>IFERROR(INDEX(TEstats2[Rec],MATCH(TEmatchups[[#This Row],[Name]],TEstats2[Player],0)),"0")</f>
        <v>5.2</v>
      </c>
      <c r="AL12" s="14">
        <f>IFERROR(INDEX(TEstats3[Rec],MATCH(TEmatchups[[#This Row],[Name]],TEstats3[Player],0)),"0")</f>
        <v>5</v>
      </c>
      <c r="AM12" s="32">
        <f>IFERROR(INDEX(TEallowed[Rec],MATCH(TEmatchups[[#This Row],[Opp]],TEallowed[Team],0)),"0")</f>
        <v>5.5</v>
      </c>
      <c r="AN12" s="14">
        <f>IFERROR(INDEX(TEstats1[Rec Yds],MATCH(TEmatchups[[#This Row],[Name]],TEstats1[Player],0)),"0")</f>
        <v>66.497</v>
      </c>
      <c r="AO12" s="14">
        <f>IFERROR(INDEX(TEstats2[RecYards],MATCH(TEmatchups[[#This Row],[Name]],TEstats2[Player],0)),"0")</f>
        <v>60.3</v>
      </c>
      <c r="AP12" s="14">
        <f>IFERROR(INDEX(TEstats3[RecYards],MATCH(TEmatchups[[#This Row],[Name]],TEstats3[Player],0)),"0")</f>
        <v>62.8</v>
      </c>
      <c r="AQ12" s="32">
        <f>IFERROR(INDEX(TEallowed[Yard],MATCH(TEmatchups[[#This Row],[Opp]],TEallowed[Team],0)),"0")</f>
        <v>58.1875</v>
      </c>
      <c r="AR12" s="14">
        <f>IFERROR(INDEX(TEstats1[Rec TD],MATCH(TEmatchups[[#This Row],[Name]],TEstats1[Player],0)),"0")</f>
        <v>0.56499999999999995</v>
      </c>
      <c r="AS12" s="14" t="str">
        <f>IFERROR(INDEX(TEstats2[RecTD],MATCH(TEmatchups[[#This Row],[Name]],TEstats2[Player],0)),"0")</f>
        <v>0.4</v>
      </c>
      <c r="AT12" s="14">
        <f>IFERROR(INDEX(TEstats3[RecTD],MATCH(TEmatchups[[#This Row],[Name]],TEstats3[Player],0)),"0")</f>
        <v>0.7</v>
      </c>
      <c r="AU12" s="32">
        <f>IFERROR(INDEX(TEallowed[TD],MATCH(TEmatchups[[#This Row],[Opp]],TEallowed[Team],0)),"0")</f>
        <v>0.5</v>
      </c>
      <c r="AV12" s="32">
        <f>IF(TEmatchups[[#This Row],[Yards]]&gt;=100,3,0)</f>
        <v>0</v>
      </c>
    </row>
    <row r="13" spans="1:48" ht="15" thickBot="1" x14ac:dyDescent="0.35">
      <c r="A13" s="37">
        <f>TEstats1!AL4</f>
        <v>12</v>
      </c>
      <c r="B13" s="5" t="str">
        <f>TEstats1!D4</f>
        <v>Travis Kelce</v>
      </c>
      <c r="C13" s="172">
        <f>IFERROR(INDEX(Salaries[DraftKings (Price)],MATCH(TEmatchups[[#This Row],[Name]],Salaries[Player],0)),"")</f>
        <v>4800</v>
      </c>
      <c r="D13" s="172">
        <f>IFERROR(INDEX(DK_Salary_Changes[WeekChange],MATCH(TEmatchups[[#This Row],[Name]],DK_Salary_Changes[Player],0)),"")</f>
        <v>100</v>
      </c>
      <c r="E13" s="14" t="str">
        <f>IFERROR(INDEX(Salaries[Team],MATCH(TEmatchups[[#This Row],[Name]],Salaries[Player],0)),"")</f>
        <v>KC</v>
      </c>
      <c r="F13" s="14" t="str">
        <f>IFERROR(INDEX(Salaries[Opp],MATCH(TEmatchups[[#This Row],[Team]],Salaries[Team],0)),"")</f>
        <v>@PIT</v>
      </c>
      <c r="G13" s="457">
        <f>IFERROR(INDEX(TightEndYTD[Rec],MATCH(TEmatchups[Name],TightEndYTD[Player],0)),"0")</f>
        <v>17</v>
      </c>
      <c r="H13" s="191">
        <f>IFERROR(INDEX(targettracker54[TTL],MATCH(TEmatchups[Name],targettracker54[Name],0)),"0")</f>
        <v>21</v>
      </c>
      <c r="I13" s="458">
        <f>IFERROR(INDEX(TightEndYTD[Rec Yds],MATCH(TEmatchups[Name],TightEndYTD[Player],0)),"0")</f>
        <v>197</v>
      </c>
      <c r="J13" s="459">
        <f>IFERROR(INDEX(TightEndYTD[Rec TD],MATCH(TEmatchups[Name],TightEndYTD[Player],0)),"0")</f>
        <v>1</v>
      </c>
      <c r="K13" s="431">
        <f>IFERROR(INDEX(Salaries[O/U],MATCH(TEmatchups[[#This Row],[Team]],Salaries[Team],0)),"")</f>
        <v>47.5</v>
      </c>
      <c r="L13" s="32">
        <f>IFERROR(INDEX(Salaries[Team O/U],MATCH(TEmatchups[[#This Row],[Team]],Salaries[Team],0)),"")</f>
        <v>21</v>
      </c>
      <c r="M13" s="417">
        <f>IFERROR(INDEX(Salaries[Spread],MATCH(TEmatchups[[#This Row],[Team]],Salaries[Team],0)),"")</f>
        <v>5.5</v>
      </c>
      <c r="N13" s="424">
        <f>IFERROR(INDEX(TEallowed[DVP],MATCH(TEmatchups[[#This Row],[Opp]],TEallowed[Team],0)),IFERROR(INDEX(TEallowed[DVP],MATCH(TEmatchups[[#This Row],[Opp]],TEallowed[Opp],0)),""))</f>
        <v>25</v>
      </c>
      <c r="O13" s="17">
        <f>IFERROR(INDEX(YAtCData[YAtC],MATCH(TEmatchups[[#This Row],[Name]],YAtCData[Player],0)),"0")</f>
        <v>88</v>
      </c>
      <c r="P13" s="497">
        <f>IFERROR(INDEX(YAtCData[YAtC/Rec],MATCH(TEmatchups[[#This Row],[Name]],YAtCData[Player],0)),"0")</f>
        <v>5.18</v>
      </c>
      <c r="Q13" s="17">
        <f>IFERROR(INDEX(YAtCData[YAC],MATCH(TEmatchups[[#This Row],[Name]],YAtCData[Player],0)),"0")</f>
        <v>109</v>
      </c>
      <c r="R13" s="497">
        <f>IFERROR(INDEX(YACDATA[YAC per Reception],MATCH(TEmatchups[[#This Row],[Name]],YACDATA[Player],0)),"0")</f>
        <v>6.4</v>
      </c>
      <c r="S13" s="418">
        <f>AVERAGE(TEmatchups[[#This Row],[Tar1]:[Tar3]])</f>
        <v>7</v>
      </c>
      <c r="T13" s="19">
        <f>AVERAGE(TEmatchups[[#This Row],[Rec1]:[Rec3]])</f>
        <v>5.2590000000000003</v>
      </c>
      <c r="U13" s="202">
        <f>SUM(TEmatchups[[#This Row],[Rec4]]/TEmatchups[[#This Row],[Targets2]])</f>
        <v>0.75128571428571433</v>
      </c>
      <c r="V13" s="32">
        <f>AVERAGE(TEmatchups[[#This Row],[Yards1]:[Yards3]])</f>
        <v>64.547666666666672</v>
      </c>
      <c r="W13" s="19">
        <f>SUM(TEmatchups[[#This Row],[Yards]]/TEmatchups[[#This Row],[Targets2]])</f>
        <v>9.2210952380952396</v>
      </c>
      <c r="X13" s="32">
        <f>AVERAGE(TEmatchups[[#This Row],[TD1]:[TD3]])</f>
        <v>0.39700000000000002</v>
      </c>
      <c r="Y13" s="14">
        <v>3</v>
      </c>
      <c r="Z13" s="19">
        <f>SUM(TEmatchups[[#This Row],[Yards]]*0.1)+(TEmatchups[[#This Row],[TD]]*6)+(TEmatchups[[#This Row],[Rec4]]*1)+(TEmatchups[[#This Row],[100+]])</f>
        <v>14.095766666666668</v>
      </c>
      <c r="AA13" s="8">
        <f>_xlfn.RANK.EQ(TEmatchups[[#This Row],[$/FP]],TEmatchups[$/FP],1)</f>
        <v>10</v>
      </c>
      <c r="AB13" s="484">
        <f>SUM(TEmatchups[[#This Row],[Salary]]/TEmatchups[[#This Row],[Projection]])</f>
        <v>340.5277707491374</v>
      </c>
      <c r="AC13" s="482">
        <f>_xlfn.RANK.EQ(TEmatchups[[#This Row],[Average2]],TEmatchups[Average2],1)</f>
        <v>2</v>
      </c>
      <c r="AD13" s="241">
        <f>AVERAGE(TEmatchups[[#This Row],[Proj Rank]],TEmatchups[[#This Row],[Value Rank]])</f>
        <v>6.5</v>
      </c>
      <c r="AE13" s="210">
        <f>TEmatchups[[#This Row],[Salary]]/50000</f>
        <v>9.6000000000000002E-2</v>
      </c>
      <c r="AF13" s="210"/>
      <c r="AG13" s="14">
        <f>IFERROR(INDEX(TEstats3[Targets],MATCH(TEmatchups[[#This Row],[Name]],TEstats3[Player],0)),"0")</f>
        <v>7</v>
      </c>
      <c r="AH13" s="14" t="str">
        <f>IFERROR(INDEX(TEstats2[Targets],MATCH(TEmatchups[[#This Row],[Name]],TEstats2[Player],0)),"0")</f>
        <v>0</v>
      </c>
      <c r="AI13" s="14">
        <f>IFERROR(INDEX(TEstats3[Targets],MATCH(TEmatchups[[#This Row],[Name]],TEstats3[Player],0)),"0")</f>
        <v>7</v>
      </c>
      <c r="AJ13" s="14">
        <f>IFERROR(INDEX(TEstats1[Rec],MATCH(TEmatchups[[#This Row],[Name]],TEstats1[Player],0)),"0")</f>
        <v>5.9770000000000003</v>
      </c>
      <c r="AK13" s="14">
        <f>IFERROR(INDEX(TEstats2[Rec],MATCH(TEmatchups[[#This Row],[Name]],TEstats2[Player],0)),"0")</f>
        <v>4.8</v>
      </c>
      <c r="AL13" s="14">
        <f>IFERROR(INDEX(TEstats3[Rec],MATCH(TEmatchups[[#This Row],[Name]],TEstats3[Player],0)),"0")</f>
        <v>5</v>
      </c>
      <c r="AM13" s="32" t="str">
        <f>IFERROR(INDEX(TEallowed[Rec],MATCH(TEmatchups[[#This Row],[Opp]],TEallowed[Team],0)),"0")</f>
        <v>0</v>
      </c>
      <c r="AN13" s="14">
        <f>IFERROR(INDEX(TEstats1[Rec Yds],MATCH(TEmatchups[[#This Row],[Name]],TEstats1[Player],0)),"0")</f>
        <v>67.442999999999998</v>
      </c>
      <c r="AO13" s="14">
        <f>IFERROR(INDEX(TEstats2[RecYards],MATCH(TEmatchups[[#This Row],[Name]],TEstats2[Player],0)),"0")</f>
        <v>58.1</v>
      </c>
      <c r="AP13" s="14">
        <f>IFERROR(INDEX(TEstats3[RecYards],MATCH(TEmatchups[[#This Row],[Name]],TEstats3[Player],0)),"0")</f>
        <v>68.099999999999994</v>
      </c>
      <c r="AQ13" s="32" t="str">
        <f>IFERROR(INDEX(TEallowed[Yard],MATCH(TEmatchups[[#This Row],[Opp]],TEallowed[Team],0)),"0")</f>
        <v>0</v>
      </c>
      <c r="AR13" s="14">
        <f>IFERROR(INDEX(TEstats1[Rec TD],MATCH(TEmatchups[[#This Row],[Name]],TEstats1[Player],0)),"0")</f>
        <v>0.39400000000000002</v>
      </c>
      <c r="AS13" s="14" t="str">
        <f>IFERROR(INDEX(TEstats2[RecTD],MATCH(TEmatchups[[#This Row],[Name]],TEstats2[Player],0)),"0")</f>
        <v>0.1</v>
      </c>
      <c r="AT13" s="14">
        <f>IFERROR(INDEX(TEstats3[RecTD],MATCH(TEmatchups[[#This Row],[Name]],TEstats3[Player],0)),"0")</f>
        <v>0.4</v>
      </c>
      <c r="AU13" s="32" t="str">
        <f>IFERROR(INDEX(TEallowed[TD],MATCH(TEmatchups[[#This Row],[Opp]],TEallowed[Team],0)),"0")</f>
        <v>0</v>
      </c>
      <c r="AV13" s="32">
        <f>IF(TEmatchups[[#This Row],[Yards]]&gt;=100,3,0)</f>
        <v>0</v>
      </c>
    </row>
    <row r="14" spans="1:48" ht="15" thickBot="1" x14ac:dyDescent="0.35">
      <c r="A14" s="37">
        <f>TEstats1!AL5</f>
        <v>10</v>
      </c>
      <c r="B14" s="5" t="str">
        <f>TEstats1!D5</f>
        <v>Rob Gronkowski</v>
      </c>
      <c r="C14" s="172">
        <f>IFERROR(INDEX(Salaries[DraftKings (Price)],MATCH(TEmatchups[[#This Row],[Name]],Salaries[Player],0)),"")</f>
        <v>6500</v>
      </c>
      <c r="D14" s="172">
        <f>IFERROR(INDEX(DK_Salary_Changes[WeekChange],MATCH(TEmatchups[[#This Row],[Name]],DK_Salary_Changes[Player],0)),"")</f>
        <v>-300</v>
      </c>
      <c r="E14" s="14" t="str">
        <f>IFERROR(INDEX(Salaries[Team],MATCH(TEmatchups[[#This Row],[Name]],Salaries[Player],0)),"")</f>
        <v>NE</v>
      </c>
      <c r="F14" s="14" t="str">
        <f>IFERROR(INDEX(Salaries[Opp],MATCH(TEmatchups[[#This Row],[Team]],Salaries[Team],0)),"")</f>
        <v>BUF</v>
      </c>
      <c r="G14" s="457" t="str">
        <f>IFERROR(INDEX(TightEndYTD[Rec],MATCH(TEmatchups[Name],TightEndYTD[Player],0)),"0")</f>
        <v>0</v>
      </c>
      <c r="H14" s="191">
        <f>IFERROR(INDEX(targettracker54[TTL],MATCH(TEmatchups[Name],targettracker54[Name],0)),"0")</f>
        <v>1</v>
      </c>
      <c r="I14" s="458" t="str">
        <f>IFERROR(INDEX(TightEndYTD[Rec Yds],MATCH(TEmatchups[Name],TightEndYTD[Player],0)),"0")</f>
        <v>0</v>
      </c>
      <c r="J14" s="459" t="str">
        <f>IFERROR(INDEX(TightEndYTD[Rec TD],MATCH(TEmatchups[Name],TightEndYTD[Player],0)),"0")</f>
        <v>0</v>
      </c>
      <c r="K14" s="431">
        <f>IFERROR(INDEX(Salaries[O/U],MATCH(TEmatchups[[#This Row],[Team]],Salaries[Team],0)),"")</f>
        <v>44</v>
      </c>
      <c r="L14" s="32">
        <f>IFERROR(INDEX(Salaries[Team O/U],MATCH(TEmatchups[[#This Row],[Team]],Salaries[Team],0)),"")</f>
        <v>24.25</v>
      </c>
      <c r="M14" s="417">
        <f>IFERROR(INDEX(Salaries[Spread],MATCH(TEmatchups[[#This Row],[Team]],Salaries[Team],0)),"")</f>
        <v>-4.5</v>
      </c>
      <c r="N14" s="424">
        <f>IFERROR(INDEX(TEallowed[DVP],MATCH(TEmatchups[[#This Row],[Opp]],TEallowed[Team],0)),IFERROR(INDEX(TEallowed[DVP],MATCH(TEmatchups[[#This Row],[Opp]],TEallowed[Opp],0)),""))</f>
        <v>10</v>
      </c>
      <c r="O14" s="17" t="str">
        <f>IFERROR(INDEX(YAtCData[YAtC],MATCH(TEmatchups[[#This Row],[Name]],YAtCData[Player],0)),"0")</f>
        <v>0</v>
      </c>
      <c r="P14" s="497" t="str">
        <f>IFERROR(INDEX(YAtCData[YAtC/Rec],MATCH(TEmatchups[[#This Row],[Name]],YAtCData[Player],0)),"0")</f>
        <v>0</v>
      </c>
      <c r="Q14" s="17" t="str">
        <f>IFERROR(INDEX(YAtCData[YAC],MATCH(TEmatchups[[#This Row],[Name]],YAtCData[Player],0)),"0")</f>
        <v>0</v>
      </c>
      <c r="R14" s="497" t="str">
        <f>IFERROR(INDEX(YACDATA[YAC per Reception],MATCH(TEmatchups[[#This Row],[Name]],YACDATA[Player],0)),"0")</f>
        <v>0</v>
      </c>
      <c r="S14" s="418">
        <f>AVERAGE(TEmatchups[[#This Row],[Tar1]:[Tar3]])</f>
        <v>8</v>
      </c>
      <c r="T14" s="19">
        <f>AVERAGE(TEmatchups[[#This Row],[Rec1]:[Rec3]])</f>
        <v>4.8956666666666671</v>
      </c>
      <c r="U14" s="202">
        <f>SUM(TEmatchups[[#This Row],[Rec4]]/TEmatchups[[#This Row],[Targets2]])</f>
        <v>0.61195833333333338</v>
      </c>
      <c r="V14" s="32">
        <f>AVERAGE(TEmatchups[[#This Row],[Yards1]:[Yards3]])</f>
        <v>60.885333333333335</v>
      </c>
      <c r="W14" s="19">
        <f>SUM(TEmatchups[[#This Row],[Yards]]/TEmatchups[[#This Row],[Targets2]])</f>
        <v>7.6106666666666669</v>
      </c>
      <c r="X14" s="32">
        <f>AVERAGE(TEmatchups[[#This Row],[TD1]:[TD3]])</f>
        <v>0.53699999999999992</v>
      </c>
      <c r="Y14" s="14">
        <v>4</v>
      </c>
      <c r="Z14" s="19">
        <f>SUM(TEmatchups[[#This Row],[Yards]]*0.1)+(TEmatchups[[#This Row],[TD]]*6)+(TEmatchups[[#This Row],[Rec4]]*1)+(TEmatchups[[#This Row],[100+]])</f>
        <v>14.206200000000001</v>
      </c>
      <c r="AA14" s="8">
        <f>_xlfn.RANK.EQ(TEmatchups[[#This Row],[$/FP]],TEmatchups[$/FP],1)</f>
        <v>26</v>
      </c>
      <c r="AB14" s="484">
        <f>SUM(TEmatchups[[#This Row],[Salary]]/TEmatchups[[#This Row],[Projection]])</f>
        <v>457.54670495980628</v>
      </c>
      <c r="AC14" s="482">
        <f>_xlfn.RANK.EQ(TEmatchups[[#This Row],[Average2]],TEmatchups[Average2],1)</f>
        <v>15</v>
      </c>
      <c r="AD14" s="241">
        <f>AVERAGE(TEmatchups[[#This Row],[Proj Rank]],TEmatchups[[#This Row],[Value Rank]])</f>
        <v>15</v>
      </c>
      <c r="AE14" s="210">
        <f>TEmatchups[[#This Row],[Salary]]/50000</f>
        <v>0.13</v>
      </c>
      <c r="AF14" s="210"/>
      <c r="AG14" s="14">
        <f>IFERROR(INDEX(TEstats3[Targets],MATCH(TEmatchups[[#This Row],[Name]],TEstats3[Player],0)),"0")</f>
        <v>8</v>
      </c>
      <c r="AH14" s="14" t="str">
        <f>IFERROR(INDEX(TEstats2[Targets],MATCH(TEmatchups[[#This Row],[Name]],TEstats2[Player],0)),"0")</f>
        <v>0</v>
      </c>
      <c r="AI14" s="14">
        <f>IFERROR(INDEX(TEstats3[Targets],MATCH(TEmatchups[[#This Row],[Name]],TEstats3[Player],0)),"0")</f>
        <v>8</v>
      </c>
      <c r="AJ14" s="14">
        <f>IFERROR(INDEX(TEstats1[Rec],MATCH(TEmatchups[[#This Row],[Name]],TEstats1[Player],0)),"0")</f>
        <v>3.7869999999999999</v>
      </c>
      <c r="AK14" s="14">
        <f>IFERROR(INDEX(TEstats2[Rec],MATCH(TEmatchups[[#This Row],[Name]],TEstats2[Player],0)),"0")</f>
        <v>5.9</v>
      </c>
      <c r="AL14" s="14">
        <f>IFERROR(INDEX(TEstats3[Rec],MATCH(TEmatchups[[#This Row],[Name]],TEstats3[Player],0)),"0")</f>
        <v>5</v>
      </c>
      <c r="AM14" s="32">
        <f>IFERROR(INDEX(TEallowed[Rec],MATCH(TEmatchups[[#This Row],[Opp]],TEallowed[Team],0)),"0")</f>
        <v>4.875</v>
      </c>
      <c r="AN14" s="14">
        <f>IFERROR(INDEX(TEstats1[Rec Yds],MATCH(TEmatchups[[#This Row],[Name]],TEstats1[Player],0)),"0")</f>
        <v>53.155999999999999</v>
      </c>
      <c r="AO14" s="14">
        <f>IFERROR(INDEX(TEstats2[RecYards],MATCH(TEmatchups[[#This Row],[Name]],TEstats2[Player],0)),"0")</f>
        <v>65.8</v>
      </c>
      <c r="AP14" s="14">
        <f>IFERROR(INDEX(TEstats3[RecYards],MATCH(TEmatchups[[#This Row],[Name]],TEstats3[Player],0)),"0")</f>
        <v>63.7</v>
      </c>
      <c r="AQ14" s="32">
        <f>IFERROR(INDEX(TEallowed[Yard],MATCH(TEmatchups[[#This Row],[Opp]],TEallowed[Team],0)),"0")</f>
        <v>52.375</v>
      </c>
      <c r="AR14" s="14">
        <f>IFERROR(INDEX(TEstats1[Rec TD],MATCH(TEmatchups[[#This Row],[Name]],TEstats1[Player],0)),"0")</f>
        <v>0.47399999999999998</v>
      </c>
      <c r="AS14" s="14" t="str">
        <f>IFERROR(INDEX(TEstats2[RecTD],MATCH(TEmatchups[[#This Row],[Name]],TEstats2[Player],0)),"0")</f>
        <v>0.4</v>
      </c>
      <c r="AT14" s="14">
        <f>IFERROR(INDEX(TEstats3[RecTD],MATCH(TEmatchups[[#This Row],[Name]],TEstats3[Player],0)),"0")</f>
        <v>0.6</v>
      </c>
      <c r="AU14" s="32">
        <f>IFERROR(INDEX(TEallowed[TD],MATCH(TEmatchups[[#This Row],[Opp]],TEallowed[Team],0)),"0")</f>
        <v>0.75</v>
      </c>
      <c r="AV14" s="32">
        <f>IF(TEmatchups[[#This Row],[Yards]]&gt;=100,3,0)</f>
        <v>0</v>
      </c>
    </row>
    <row r="15" spans="1:48" ht="15" thickBot="1" x14ac:dyDescent="0.35">
      <c r="A15" s="37">
        <f>TEstats1!AL6</f>
        <v>10.199999999999999</v>
      </c>
      <c r="B15" s="5" t="str">
        <f>TEstats1!D6</f>
        <v>Kyle Rudolph</v>
      </c>
      <c r="C15" s="172">
        <f>IFERROR(INDEX(Salaries[DraftKings (Price)],MATCH(TEmatchups[[#This Row],[Name]],Salaries[Player],0)),"")</f>
        <v>3400</v>
      </c>
      <c r="D15" s="172">
        <f>IFERROR(INDEX(DK_Salary_Changes[WeekChange],MATCH(TEmatchups[[#This Row],[Name]],DK_Salary_Changes[Player],0)),"")</f>
        <v>300</v>
      </c>
      <c r="E15" s="14" t="str">
        <f>IFERROR(INDEX(Salaries[Team],MATCH(TEmatchups[[#This Row],[Name]],Salaries[Player],0)),"")</f>
        <v>MIN</v>
      </c>
      <c r="F15" s="14" t="str">
        <f>IFERROR(INDEX(Salaries[Opp],MATCH(TEmatchups[[#This Row],[Team]],Salaries[Team],0)),"")</f>
        <v>NYG</v>
      </c>
      <c r="G15" s="457">
        <f>IFERROR(INDEX(TightEndYTD[Rec],MATCH(TEmatchups[Name],TightEndYTD[Player],0)),"0")</f>
        <v>14</v>
      </c>
      <c r="H15" s="191">
        <f>IFERROR(INDEX(targettracker54[TTL],MATCH(TEmatchups[Name],targettracker54[Name],0)),"0")</f>
        <v>26</v>
      </c>
      <c r="I15" s="458">
        <f>IFERROR(INDEX(TightEndYTD[Rec Yds],MATCH(TEmatchups[Name],TightEndYTD[Player],0)),"0")</f>
        <v>166</v>
      </c>
      <c r="J15" s="459">
        <f>IFERROR(INDEX(TightEndYTD[Rec TD],MATCH(TEmatchups[Name],TightEndYTD[Player],0)),"0")</f>
        <v>2</v>
      </c>
      <c r="K15" s="431">
        <f>IFERROR(INDEX(Salaries[O/U],MATCH(TEmatchups[[#This Row],[Team]],Salaries[Team],0)),"")</f>
        <v>43.5</v>
      </c>
      <c r="L15" s="32">
        <f>IFERROR(INDEX(Salaries[Team O/U],MATCH(TEmatchups[[#This Row],[Team]],Salaries[Team],0)),"")</f>
        <v>23.75</v>
      </c>
      <c r="M15" s="417">
        <f>IFERROR(INDEX(Salaries[Spread],MATCH(TEmatchups[[#This Row],[Team]],Salaries[Team],0)),"")</f>
        <v>-4</v>
      </c>
      <c r="N15" s="424">
        <f>IFERROR(INDEX(TEallowed[DVP],MATCH(TEmatchups[[#This Row],[Opp]],TEallowed[Team],0)),IFERROR(INDEX(TEallowed[DVP],MATCH(TEmatchups[[#This Row],[Opp]],TEallowed[Opp],0)),""))</f>
        <v>31</v>
      </c>
      <c r="O15" s="17">
        <f>IFERROR(INDEX(YAtCData[YAtC],MATCH(TEmatchups[[#This Row],[Name]],YAtCData[Player],0)),"0")</f>
        <v>124</v>
      </c>
      <c r="P15" s="497">
        <f>IFERROR(INDEX(YAtCData[YAtC/Rec],MATCH(TEmatchups[[#This Row],[Name]],YAtCData[Player],0)),"0")</f>
        <v>8.86</v>
      </c>
      <c r="Q15" s="17">
        <f>IFERROR(INDEX(YAtCData[YAC],MATCH(TEmatchups[[#This Row],[Name]],YAtCData[Player],0)),"0")</f>
        <v>42</v>
      </c>
      <c r="R15" s="497">
        <f>IFERROR(INDEX(YACDATA[YAC per Reception],MATCH(TEmatchups[[#This Row],[Name]],YACDATA[Player],0)),"0")</f>
        <v>3</v>
      </c>
      <c r="S15" s="418">
        <f>AVERAGE(TEmatchups[[#This Row],[Tar1]:[Tar3]])</f>
        <v>6</v>
      </c>
      <c r="T15" s="19">
        <f>AVERAGE(TEmatchups[[#This Row],[Rec1]:[Rec3]])</f>
        <v>4.2996666666666661</v>
      </c>
      <c r="U15" s="202">
        <f>SUM(TEmatchups[[#This Row],[Rec4]]/TEmatchups[[#This Row],[Targets2]])</f>
        <v>0.71661111111111098</v>
      </c>
      <c r="V15" s="32">
        <f>AVERAGE(TEmatchups[[#This Row],[Yards1]:[Yards3]])</f>
        <v>46.471333333333327</v>
      </c>
      <c r="W15" s="19">
        <f>SUM(TEmatchups[[#This Row],[Yards]]/TEmatchups[[#This Row],[Targets2]])</f>
        <v>7.7452222222222211</v>
      </c>
      <c r="X15" s="32">
        <f>AVERAGE(TEmatchups[[#This Row],[TD1]:[TD3]])</f>
        <v>0.39400000000000002</v>
      </c>
      <c r="Y15" s="14">
        <v>5</v>
      </c>
      <c r="Z15" s="19">
        <f>SUM(TEmatchups[[#This Row],[Yards]]*0.1)+(TEmatchups[[#This Row],[TD]]*6)+(TEmatchups[[#This Row],[Rec4]]*1)+(TEmatchups[[#This Row],[100+]])</f>
        <v>11.310799999999999</v>
      </c>
      <c r="AA15" s="8">
        <f>_xlfn.RANK.EQ(TEmatchups[[#This Row],[$/FP]],TEmatchups[$/FP],1)</f>
        <v>5</v>
      </c>
      <c r="AB15" s="484">
        <f>SUM(TEmatchups[[#This Row],[Salary]]/TEmatchups[[#This Row],[Projection]])</f>
        <v>300.59765887470388</v>
      </c>
      <c r="AC15" s="482">
        <f>_xlfn.RANK.EQ(TEmatchups[[#This Row],[Average2]],TEmatchups[Average2],1)</f>
        <v>1</v>
      </c>
      <c r="AD15" s="241">
        <f>AVERAGE(TEmatchups[[#This Row],[Proj Rank]],TEmatchups[[#This Row],[Value Rank]])</f>
        <v>5</v>
      </c>
      <c r="AE15" s="210">
        <f>TEmatchups[[#This Row],[Salary]]/50000</f>
        <v>6.8000000000000005E-2</v>
      </c>
      <c r="AF15" s="210"/>
      <c r="AG15" s="14">
        <f>IFERROR(INDEX(TEstats3[Targets],MATCH(TEmatchups[[#This Row],[Name]],TEstats3[Player],0)),"0")</f>
        <v>6</v>
      </c>
      <c r="AH15" s="14" t="str">
        <f>IFERROR(INDEX(TEstats2[Targets],MATCH(TEmatchups[[#This Row],[Name]],TEstats2[Player],0)),"0")</f>
        <v>0</v>
      </c>
      <c r="AI15" s="14">
        <f>IFERROR(INDEX(TEstats3[Targets],MATCH(TEmatchups[[#This Row],[Name]],TEstats3[Player],0)),"0")</f>
        <v>6</v>
      </c>
      <c r="AJ15" s="14">
        <f>IFERROR(INDEX(TEstats1[Rec],MATCH(TEmatchups[[#This Row],[Name]],TEstats1[Player],0)),"0")</f>
        <v>4.4989999999999997</v>
      </c>
      <c r="AK15" s="14">
        <f>IFERROR(INDEX(TEstats2[Rec],MATCH(TEmatchups[[#This Row],[Name]],TEstats2[Player],0)),"0")</f>
        <v>3.8</v>
      </c>
      <c r="AL15" s="14">
        <f>IFERROR(INDEX(TEstats3[Rec],MATCH(TEmatchups[[#This Row],[Name]],TEstats3[Player],0)),"0")</f>
        <v>4.5999999999999996</v>
      </c>
      <c r="AM15" s="32">
        <f>IFERROR(INDEX(TEallowed[Rec],MATCH(TEmatchups[[#This Row],[Opp]],TEallowed[Team],0)),"0")</f>
        <v>4.5</v>
      </c>
      <c r="AN15" s="14">
        <f>IFERROR(INDEX(TEstats1[Rec Yds],MATCH(TEmatchups[[#This Row],[Name]],TEstats1[Player],0)),"0")</f>
        <v>51.213999999999999</v>
      </c>
      <c r="AO15" s="14">
        <f>IFERROR(INDEX(TEstats2[RecYards],MATCH(TEmatchups[[#This Row],[Name]],TEstats2[Player],0)),"0")</f>
        <v>39.200000000000003</v>
      </c>
      <c r="AP15" s="14">
        <f>IFERROR(INDEX(TEstats3[RecYards],MATCH(TEmatchups[[#This Row],[Name]],TEstats3[Player],0)),"0")</f>
        <v>49</v>
      </c>
      <c r="AQ15" s="32">
        <f>IFERROR(INDEX(TEallowed[Yard],MATCH(TEmatchups[[#This Row],[Opp]],TEallowed[Team],0)),"0")</f>
        <v>51.8125</v>
      </c>
      <c r="AR15" s="14">
        <f>IFERROR(INDEX(TEstats1[Rec TD],MATCH(TEmatchups[[#This Row],[Name]],TEstats1[Player],0)),"0")</f>
        <v>0.48799999999999999</v>
      </c>
      <c r="AS15" s="14" t="str">
        <f>IFERROR(INDEX(TEstats2[RecTD],MATCH(TEmatchups[[#This Row],[Name]],TEstats2[Player],0)),"0")</f>
        <v>0.3</v>
      </c>
      <c r="AT15" s="14">
        <f>IFERROR(INDEX(TEstats3[RecTD],MATCH(TEmatchups[[#This Row],[Name]],TEstats3[Player],0)),"0")</f>
        <v>0.3</v>
      </c>
      <c r="AU15" s="32">
        <f>IFERROR(INDEX(TEallowed[TD],MATCH(TEmatchups[[#This Row],[Opp]],TEallowed[Team],0)),"0")</f>
        <v>0.3125</v>
      </c>
      <c r="AV15" s="32">
        <f>IF(TEmatchups[[#This Row],[Yards]]&gt;=100,3,0)</f>
        <v>0</v>
      </c>
    </row>
    <row r="16" spans="1:48" ht="15" thickBot="1" x14ac:dyDescent="0.35">
      <c r="A16" s="37">
        <f>TEstats1!AL7</f>
        <v>10.1</v>
      </c>
      <c r="B16" s="5" t="str">
        <f>TEstats1!D7</f>
        <v>Dennis Pitta</v>
      </c>
      <c r="C16" s="172">
        <f>IFERROR(INDEX(Salaries[DraftKings (Price)],MATCH(TEmatchups[[#This Row],[Name]],Salaries[Player],0)),"")</f>
        <v>3900</v>
      </c>
      <c r="D16" s="172">
        <f>IFERROR(INDEX(DK_Salary_Changes[WeekChange],MATCH(TEmatchups[[#This Row],[Name]],DK_Salary_Changes[Player],0)),"")</f>
        <v>500</v>
      </c>
      <c r="E16" s="14" t="str">
        <f>IFERROR(INDEX(Salaries[Team],MATCH(TEmatchups[[#This Row],[Name]],Salaries[Player],0)),"")</f>
        <v>BAL</v>
      </c>
      <c r="F16" s="14" t="str">
        <f>IFERROR(INDEX(Salaries[Opp],MATCH(TEmatchups[[#This Row],[Team]],Salaries[Team],0)),"")</f>
        <v>OAK</v>
      </c>
      <c r="G16" s="457">
        <f>IFERROR(INDEX(TightEndYTD[Rec],MATCH(TEmatchups[Name],TightEndYTD[Player],0)),"0")</f>
        <v>18</v>
      </c>
      <c r="H16" s="191">
        <f>IFERROR(INDEX(targettracker54[TTL],MATCH(TEmatchups[Name],targettracker54[Name],0)),"0")</f>
        <v>24</v>
      </c>
      <c r="I16" s="458">
        <f>IFERROR(INDEX(TightEndYTD[Rec Yds],MATCH(TEmatchups[Name],TightEndYTD[Player],0)),"0")</f>
        <v>183</v>
      </c>
      <c r="J16" s="459">
        <f>IFERROR(INDEX(TightEndYTD[Rec TD],MATCH(TEmatchups[Name],TightEndYTD[Player],0)),"0")</f>
        <v>0</v>
      </c>
      <c r="K16" s="431">
        <f>IFERROR(INDEX(Salaries[O/U],MATCH(TEmatchups[[#This Row],[Team]],Salaries[Team],0)),"")</f>
        <v>46.5</v>
      </c>
      <c r="L16" s="32">
        <f>IFERROR(INDEX(Salaries[Team O/U],MATCH(TEmatchups[[#This Row],[Team]],Salaries[Team],0)),"")</f>
        <v>25</v>
      </c>
      <c r="M16" s="417">
        <f>IFERROR(INDEX(Salaries[Spread],MATCH(TEmatchups[[#This Row],[Team]],Salaries[Team],0)),"")</f>
        <v>-3.5</v>
      </c>
      <c r="N16" s="424">
        <f>IFERROR(INDEX(TEallowed[DVP],MATCH(TEmatchups[[#This Row],[Opp]],TEallowed[Team],0)),IFERROR(INDEX(TEallowed[DVP],MATCH(TEmatchups[[#This Row],[Opp]],TEallowed[Opp],0)),""))</f>
        <v>30</v>
      </c>
      <c r="O16" s="17">
        <f>IFERROR(INDEX(YAtCData[YAtC],MATCH(TEmatchups[[#This Row],[Name]],YAtCData[Player],0)),"0")</f>
        <v>102</v>
      </c>
      <c r="P16" s="497">
        <f>IFERROR(INDEX(YAtCData[YAtC/Rec],MATCH(TEmatchups[[#This Row],[Name]],YAtCData[Player],0)),"0")</f>
        <v>5.67</v>
      </c>
      <c r="Q16" s="17">
        <f>IFERROR(INDEX(YAtCData[YAC],MATCH(TEmatchups[[#This Row],[Name]],YAtCData[Player],0)),"0")</f>
        <v>81</v>
      </c>
      <c r="R16" s="497">
        <f>IFERROR(INDEX(YACDATA[YAC per Reception],MATCH(TEmatchups[[#This Row],[Name]],YACDATA[Player],0)),"0")</f>
        <v>4.5</v>
      </c>
      <c r="S16" s="418">
        <f>AVERAGE(TEmatchups[[#This Row],[Tar1]:[Tar3]])</f>
        <v>6.8</v>
      </c>
      <c r="T16" s="19">
        <f>AVERAGE(TEmatchups[[#This Row],[Rec1]:[Rec3]])</f>
        <v>4.6773333333333333</v>
      </c>
      <c r="U16" s="202">
        <f>SUM(TEmatchups[[#This Row],[Rec4]]/TEmatchups[[#This Row],[Targets2]])</f>
        <v>0.68784313725490198</v>
      </c>
      <c r="V16" s="32">
        <f>AVERAGE(TEmatchups[[#This Row],[Yards1]:[Yards3]])</f>
        <v>47.524000000000001</v>
      </c>
      <c r="W16" s="19">
        <f>SUM(TEmatchups[[#This Row],[Yards]]/TEmatchups[[#This Row],[Targets2]])</f>
        <v>6.9888235294117651</v>
      </c>
      <c r="X16" s="32">
        <f>AVERAGE(TEmatchups[[#This Row],[TD1]:[TD3]])</f>
        <v>0.375</v>
      </c>
      <c r="Y16" s="14">
        <v>6</v>
      </c>
      <c r="Z16" s="19">
        <f>SUM(TEmatchups[[#This Row],[Yards]]*0.1)+(TEmatchups[[#This Row],[TD]]*6)+(TEmatchups[[#This Row],[Rec4]]*1)+(TEmatchups[[#This Row],[100+]])</f>
        <v>11.679733333333335</v>
      </c>
      <c r="AA16" s="8">
        <f>_xlfn.RANK.EQ(TEmatchups[[#This Row],[$/FP]],TEmatchups[$/FP],1)</f>
        <v>8</v>
      </c>
      <c r="AB16" s="484">
        <f>SUM(TEmatchups[[#This Row],[Salary]]/TEmatchups[[#This Row],[Projection]])</f>
        <v>333.91173314459229</v>
      </c>
      <c r="AC16" s="482">
        <f>_xlfn.RANK.EQ(TEmatchups[[#This Row],[Average2]],TEmatchups[Average2],1)</f>
        <v>4</v>
      </c>
      <c r="AD16" s="241">
        <f>AVERAGE(TEmatchups[[#This Row],[Proj Rank]],TEmatchups[[#This Row],[Value Rank]])</f>
        <v>7</v>
      </c>
      <c r="AE16" s="210">
        <f>TEmatchups[[#This Row],[Salary]]/50000</f>
        <v>7.8E-2</v>
      </c>
      <c r="AF16" s="210"/>
      <c r="AG16" s="14">
        <f>IFERROR(INDEX(TEstats3[Targets],MATCH(TEmatchups[[#This Row],[Name]],TEstats3[Player],0)),"0")</f>
        <v>6.8</v>
      </c>
      <c r="AH16" s="14" t="str">
        <f>IFERROR(INDEX(TEstats2[Targets],MATCH(TEmatchups[[#This Row],[Name]],TEstats2[Player],0)),"0")</f>
        <v>0</v>
      </c>
      <c r="AI16" s="14">
        <f>IFERROR(INDEX(TEstats3[Targets],MATCH(TEmatchups[[#This Row],[Name]],TEstats3[Player],0)),"0")</f>
        <v>6.8</v>
      </c>
      <c r="AJ16" s="14">
        <f>IFERROR(INDEX(TEstats1[Rec],MATCH(TEmatchups[[#This Row],[Name]],TEstats1[Player],0)),"0")</f>
        <v>5.2320000000000002</v>
      </c>
      <c r="AK16" s="14">
        <f>IFERROR(INDEX(TEstats2[Rec],MATCH(TEmatchups[[#This Row],[Name]],TEstats2[Player],0)),"0")</f>
        <v>4.2</v>
      </c>
      <c r="AL16" s="14">
        <f>IFERROR(INDEX(TEstats3[Rec],MATCH(TEmatchups[[#This Row],[Name]],TEstats3[Player],0)),"0")</f>
        <v>4.5999999999999996</v>
      </c>
      <c r="AM16" s="32">
        <f>IFERROR(INDEX(TEallowed[Rec],MATCH(TEmatchups[[#This Row],[Opp]],TEallowed[Team],0)),"0")</f>
        <v>5.6875</v>
      </c>
      <c r="AN16" s="14">
        <f>IFERROR(INDEX(TEstats1[Rec Yds],MATCH(TEmatchups[[#This Row],[Name]],TEstats1[Player],0)),"0")</f>
        <v>55.072000000000003</v>
      </c>
      <c r="AO16" s="14">
        <f>IFERROR(INDEX(TEstats2[RecYards],MATCH(TEmatchups[[#This Row],[Name]],TEstats2[Player],0)),"0")</f>
        <v>41.5</v>
      </c>
      <c r="AP16" s="14">
        <f>IFERROR(INDEX(TEstats3[RecYards],MATCH(TEmatchups[[#This Row],[Name]],TEstats3[Player],0)),"0")</f>
        <v>46</v>
      </c>
      <c r="AQ16" s="32">
        <f>IFERROR(INDEX(TEallowed[Yard],MATCH(TEmatchups[[#This Row],[Opp]],TEallowed[Team],0)),"0")</f>
        <v>53.3125</v>
      </c>
      <c r="AR16" s="14">
        <f>IFERROR(INDEX(TEstats1[Rec TD],MATCH(TEmatchups[[#This Row],[Name]],TEstats1[Player],0)),"0")</f>
        <v>0.35</v>
      </c>
      <c r="AS16" s="14" t="str">
        <f>IFERROR(INDEX(TEstats2[RecTD],MATCH(TEmatchups[[#This Row],[Name]],TEstats2[Player],0)),"0")</f>
        <v>0.3</v>
      </c>
      <c r="AT16" s="14">
        <f>IFERROR(INDEX(TEstats3[RecTD],MATCH(TEmatchups[[#This Row],[Name]],TEstats3[Player],0)),"0")</f>
        <v>0.4</v>
      </c>
      <c r="AU16" s="32">
        <f>IFERROR(INDEX(TEallowed[TD],MATCH(TEmatchups[[#This Row],[Opp]],TEallowed[Team],0)),"0")</f>
        <v>0.25</v>
      </c>
      <c r="AV16" s="32">
        <f>IF(TEmatchups[[#This Row],[Yards]]&gt;=100,3,0)</f>
        <v>0</v>
      </c>
    </row>
    <row r="17" spans="1:48" ht="15" thickBot="1" x14ac:dyDescent="0.35">
      <c r="A17" s="37">
        <f>TEstats1!AL8</f>
        <v>9.4</v>
      </c>
      <c r="B17" s="5" t="str">
        <f>TEstats1!D8</f>
        <v>Eric Ebron</v>
      </c>
      <c r="C17" s="172">
        <f>IFERROR(INDEX(Salaries[DraftKings (Price)],MATCH(TEmatchups[[#This Row],[Name]],Salaries[Player],0)),"")</f>
        <v>3700</v>
      </c>
      <c r="D17" s="172">
        <f>IFERROR(INDEX(DK_Salary_Changes[WeekChange],MATCH(TEmatchups[[#This Row],[Name]],DK_Salary_Changes[Player],0)),"")</f>
        <v>0</v>
      </c>
      <c r="E17" s="14" t="str">
        <f>IFERROR(INDEX(Salaries[Team],MATCH(TEmatchups[[#This Row],[Name]],Salaries[Player],0)),"")</f>
        <v>DET</v>
      </c>
      <c r="F17" s="14" t="str">
        <f>IFERROR(INDEX(Salaries[Opp],MATCH(TEmatchups[[#This Row],[Team]],Salaries[Team],0)),"")</f>
        <v>@CHI</v>
      </c>
      <c r="G17" s="457">
        <f>IFERROR(INDEX(TightEndYTD[Rec],MATCH(TEmatchups[Name],TightEndYTD[Player],0)),"0")</f>
        <v>14</v>
      </c>
      <c r="H17" s="191">
        <f>IFERROR(INDEX(targettracker54[TTL],MATCH(TEmatchups[Name],targettracker54[Name],0)),"0")</f>
        <v>20</v>
      </c>
      <c r="I17" s="458">
        <f>IFERROR(INDEX(TightEndYTD[Rec Yds],MATCH(TEmatchups[Name],TightEndYTD[Player],0)),"0")</f>
        <v>168</v>
      </c>
      <c r="J17" s="459">
        <f>IFERROR(INDEX(TightEndYTD[Rec TD],MATCH(TEmatchups[Name],TightEndYTD[Player],0)),"0")</f>
        <v>1</v>
      </c>
      <c r="K17" s="431">
        <f>IFERROR(INDEX(Salaries[O/U],MATCH(TEmatchups[[#This Row],[Team]],Salaries[Team],0)),"")</f>
        <v>46.5</v>
      </c>
      <c r="L17" s="32">
        <f>IFERROR(INDEX(Salaries[Team O/U],MATCH(TEmatchups[[#This Row],[Team]],Salaries[Team],0)),"")</f>
        <v>24.75</v>
      </c>
      <c r="M17" s="417">
        <f>IFERROR(INDEX(Salaries[Spread],MATCH(TEmatchups[[#This Row],[Team]],Salaries[Team],0)),"")</f>
        <v>-3</v>
      </c>
      <c r="N17" s="424">
        <f>IFERROR(INDEX(TEallowed[DVP],MATCH(TEmatchups[[#This Row],[Opp]],TEallowed[Team],0)),IFERROR(INDEX(TEallowed[DVP],MATCH(TEmatchups[[#This Row],[Opp]],TEallowed[Opp],0)),""))</f>
        <v>17</v>
      </c>
      <c r="O17" s="17">
        <f>IFERROR(INDEX(YAtCData[YAtC],MATCH(TEmatchups[[#This Row],[Name]],YAtCData[Player],0)),"0")</f>
        <v>115</v>
      </c>
      <c r="P17" s="497">
        <f>IFERROR(INDEX(YAtCData[YAtC/Rec],MATCH(TEmatchups[[#This Row],[Name]],YAtCData[Player],0)),"0")</f>
        <v>8.2100000000000009</v>
      </c>
      <c r="Q17" s="17">
        <f>IFERROR(INDEX(YAtCData[YAC],MATCH(TEmatchups[[#This Row],[Name]],YAtCData[Player],0)),"0")</f>
        <v>53</v>
      </c>
      <c r="R17" s="497">
        <f>IFERROR(INDEX(YACDATA[YAC per Reception],MATCH(TEmatchups[[#This Row],[Name]],YACDATA[Player],0)),"0")</f>
        <v>3.8</v>
      </c>
      <c r="S17" s="418">
        <f>AVERAGE(TEmatchups[[#This Row],[Tar1]:[Tar3]])</f>
        <v>5.2</v>
      </c>
      <c r="T17" s="19">
        <f>AVERAGE(TEmatchups[[#This Row],[Rec1]:[Rec3]])</f>
        <v>3.9263333333333335</v>
      </c>
      <c r="U17" s="202">
        <f>SUM(TEmatchups[[#This Row],[Rec4]]/TEmatchups[[#This Row],[Targets2]])</f>
        <v>0.75506410256410261</v>
      </c>
      <c r="V17" s="32">
        <f>AVERAGE(TEmatchups[[#This Row],[Yards1]:[Yards3]])</f>
        <v>46.109666666666669</v>
      </c>
      <c r="W17" s="19">
        <f>SUM(TEmatchups[[#This Row],[Yards]]/TEmatchups[[#This Row],[Targets2]])</f>
        <v>8.8672435897435893</v>
      </c>
      <c r="X17" s="32">
        <f>AVERAGE(TEmatchups[[#This Row],[TD1]:[TD3]])</f>
        <v>0.35949999999999999</v>
      </c>
      <c r="Y17" s="14">
        <v>7</v>
      </c>
      <c r="Z17" s="19">
        <f>SUM(TEmatchups[[#This Row],[Yards]]*0.1)+(TEmatchups[[#This Row],[TD]]*6)+(TEmatchups[[#This Row],[Rec4]]*1)+(TEmatchups[[#This Row],[100+]])</f>
        <v>10.6943</v>
      </c>
      <c r="AA17" s="8">
        <f>_xlfn.RANK.EQ(TEmatchups[[#This Row],[$/FP]],TEmatchups[$/FP],1)</f>
        <v>13</v>
      </c>
      <c r="AB17" s="484">
        <f>SUM(TEmatchups[[#This Row],[Salary]]/TEmatchups[[#This Row],[Projection]])</f>
        <v>345.97869893307649</v>
      </c>
      <c r="AC17" s="482">
        <f>_xlfn.RANK.EQ(TEmatchups[[#This Row],[Average2]],TEmatchups[Average2],1)</f>
        <v>7</v>
      </c>
      <c r="AD17" s="241">
        <f>AVERAGE(TEmatchups[[#This Row],[Proj Rank]],TEmatchups[[#This Row],[Value Rank]])</f>
        <v>10</v>
      </c>
      <c r="AE17" s="210">
        <f>TEmatchups[[#This Row],[Salary]]/50000</f>
        <v>7.3999999999999996E-2</v>
      </c>
      <c r="AF17" s="210"/>
      <c r="AG17" s="14">
        <f>IFERROR(INDEX(TEstats3[Targets],MATCH(TEmatchups[[#This Row],[Name]],TEstats3[Player],0)),"0")</f>
        <v>5.2</v>
      </c>
      <c r="AH17" s="14" t="str">
        <f>IFERROR(INDEX(TEstats2[Targets],MATCH(TEmatchups[[#This Row],[Name]],TEstats2[Player],0)),"0")</f>
        <v>0</v>
      </c>
      <c r="AI17" s="14">
        <f>IFERROR(INDEX(TEstats3[Targets],MATCH(TEmatchups[[#This Row],[Name]],TEstats3[Player],0)),"0")</f>
        <v>5.2</v>
      </c>
      <c r="AJ17" s="14">
        <f>IFERROR(INDEX(TEstats1[Rec],MATCH(TEmatchups[[#This Row],[Name]],TEstats1[Player],0)),"0")</f>
        <v>4.2789999999999999</v>
      </c>
      <c r="AK17" s="14">
        <f>IFERROR(INDEX(TEstats2[Rec],MATCH(TEmatchups[[#This Row],[Name]],TEstats2[Player],0)),"0")</f>
        <v>3.8</v>
      </c>
      <c r="AL17" s="14">
        <f>IFERROR(INDEX(TEstats3[Rec],MATCH(TEmatchups[[#This Row],[Name]],TEstats3[Player],0)),"0")</f>
        <v>3.7</v>
      </c>
      <c r="AM17" s="32" t="str">
        <f>IFERROR(INDEX(TEallowed[Rec],MATCH(TEmatchups[[#This Row],[Opp]],TEallowed[Team],0)),"0")</f>
        <v>0</v>
      </c>
      <c r="AN17" s="14">
        <f>IFERROR(INDEX(TEstats1[Rec Yds],MATCH(TEmatchups[[#This Row],[Name]],TEstats1[Player],0)),"0")</f>
        <v>47.728999999999999</v>
      </c>
      <c r="AO17" s="14">
        <f>IFERROR(INDEX(TEstats2[RecYards],MATCH(TEmatchups[[#This Row],[Name]],TEstats2[Player],0)),"0")</f>
        <v>46.6</v>
      </c>
      <c r="AP17" s="14">
        <f>IFERROR(INDEX(TEstats3[RecYards],MATCH(TEmatchups[[#This Row],[Name]],TEstats3[Player],0)),"0")</f>
        <v>44</v>
      </c>
      <c r="AQ17" s="32" t="str">
        <f>IFERROR(INDEX(TEallowed[Yard],MATCH(TEmatchups[[#This Row],[Opp]],TEallowed[Team],0)),"0")</f>
        <v>0</v>
      </c>
      <c r="AR17" s="14">
        <f>IFERROR(INDEX(TEstats1[Rec TD],MATCH(TEmatchups[[#This Row],[Name]],TEstats1[Player],0)),"0")</f>
        <v>0.41899999999999998</v>
      </c>
      <c r="AS17" s="14" t="str">
        <f>IFERROR(INDEX(TEstats2[RecTD],MATCH(TEmatchups[[#This Row],[Name]],TEstats2[Player],0)),"0")</f>
        <v>0.3</v>
      </c>
      <c r="AT17" s="14">
        <f>IFERROR(INDEX(TEstats3[RecTD],MATCH(TEmatchups[[#This Row],[Name]],TEstats3[Player],0)),"0")</f>
        <v>0.3</v>
      </c>
      <c r="AU17" s="32" t="str">
        <f>IFERROR(INDEX(TEallowed[TD],MATCH(TEmatchups[[#This Row],[Opp]],TEallowed[Team],0)),"0")</f>
        <v>0</v>
      </c>
      <c r="AV17" s="32">
        <f>IF(TEmatchups[[#This Row],[Yards]]&gt;=100,3,0)</f>
        <v>0</v>
      </c>
    </row>
    <row r="18" spans="1:48" ht="15" thickBot="1" x14ac:dyDescent="0.35">
      <c r="A18" s="37">
        <f>TEstats1!AL9</f>
        <v>8.8000000000000007</v>
      </c>
      <c r="B18" s="5" t="str">
        <f>TEstats1!D9</f>
        <v>Julius Thomas</v>
      </c>
      <c r="C18" s="172">
        <f>IFERROR(INDEX(Salaries[DraftKings (Price)],MATCH(TEmatchups[[#This Row],[Name]],Salaries[Player],0)),"")</f>
        <v>4400</v>
      </c>
      <c r="D18" s="172">
        <f>IFERROR(INDEX(DK_Salary_Changes[WeekChange],MATCH(TEmatchups[[#This Row],[Name]],DK_Salary_Changes[Player],0)),"")</f>
        <v>-200</v>
      </c>
      <c r="E18" s="14" t="str">
        <f>IFERROR(INDEX(Salaries[Team],MATCH(TEmatchups[[#This Row],[Name]],Salaries[Player],0)),"")</f>
        <v>JAX</v>
      </c>
      <c r="F18" s="14" t="str">
        <f>IFERROR(INDEX(Salaries[Opp],MATCH(TEmatchups[[#This Row],[Team]],Salaries[Team],0)),"")</f>
        <v>IND</v>
      </c>
      <c r="G18" s="457">
        <f>IFERROR(INDEX(TightEndYTD[Rec],MATCH(TEmatchups[Name],TightEndYTD[Player],0)),"0")</f>
        <v>11</v>
      </c>
      <c r="H18" s="191">
        <f>IFERROR(INDEX(targettracker54[TTL],MATCH(TEmatchups[Name],targettracker54[Name],0)),"0")</f>
        <v>17</v>
      </c>
      <c r="I18" s="458">
        <f>IFERROR(INDEX(TightEndYTD[Rec Yds],MATCH(TEmatchups[Name],TightEndYTD[Player],0)),"0")</f>
        <v>148</v>
      </c>
      <c r="J18" s="459">
        <f>IFERROR(INDEX(TightEndYTD[Rec TD],MATCH(TEmatchups[Name],TightEndYTD[Player],0)),"0")</f>
        <v>1</v>
      </c>
      <c r="K18" s="431">
        <f>IFERROR(INDEX(Salaries[O/U],MATCH(TEmatchups[[#This Row],[Team]],Salaries[Team],0)),"")</f>
        <v>49.5</v>
      </c>
      <c r="L18" s="32">
        <f>IFERROR(INDEX(Salaries[Team O/U],MATCH(TEmatchups[[#This Row],[Team]],Salaries[Team],0)),"")</f>
        <v>23.5</v>
      </c>
      <c r="M18" s="417">
        <f>IFERROR(INDEX(Salaries[Spread],MATCH(TEmatchups[[#This Row],[Team]],Salaries[Team],0)),"")</f>
        <v>2.5</v>
      </c>
      <c r="N18" s="424">
        <f>IFERROR(INDEX(TEallowed[DVP],MATCH(TEmatchups[[#This Row],[Opp]],TEallowed[Team],0)),IFERROR(INDEX(TEallowed[DVP],MATCH(TEmatchups[[#This Row],[Opp]],TEallowed[Opp],0)),""))</f>
        <v>24</v>
      </c>
      <c r="O18" s="17">
        <f>IFERROR(INDEX(YAtCData[YAtC],MATCH(TEmatchups[[#This Row],[Name]],YAtCData[Player],0)),"0")</f>
        <v>89</v>
      </c>
      <c r="P18" s="497">
        <f>IFERROR(INDEX(YAtCData[YAtC/Rec],MATCH(TEmatchups[[#This Row],[Name]],YAtCData[Player],0)),"0")</f>
        <v>8.09</v>
      </c>
      <c r="Q18" s="17">
        <f>IFERROR(INDEX(YAtCData[YAC],MATCH(TEmatchups[[#This Row],[Name]],YAtCData[Player],0)),"0")</f>
        <v>59</v>
      </c>
      <c r="R18" s="497">
        <f>IFERROR(INDEX(YACDATA[YAC per Reception],MATCH(TEmatchups[[#This Row],[Name]],YACDATA[Player],0)),"0")</f>
        <v>5.4</v>
      </c>
      <c r="S18" s="418">
        <f>AVERAGE(TEmatchups[[#This Row],[Tar1]:[Tar3]])</f>
        <v>5.0999999999999996</v>
      </c>
      <c r="T18" s="19">
        <f>AVERAGE(TEmatchups[[#This Row],[Rec1]:[Rec3]])</f>
        <v>3.9369999999999998</v>
      </c>
      <c r="U18" s="202">
        <f>SUM(TEmatchups[[#This Row],[Rec4]]/TEmatchups[[#This Row],[Targets2]])</f>
        <v>0.7719607843137255</v>
      </c>
      <c r="V18" s="32">
        <f>AVERAGE(TEmatchups[[#This Row],[Yards1]:[Yards3]])</f>
        <v>45.831333333333333</v>
      </c>
      <c r="W18" s="19">
        <f>SUM(TEmatchups[[#This Row],[Yards]]/TEmatchups[[#This Row],[Targets2]])</f>
        <v>8.9865359477124187</v>
      </c>
      <c r="X18" s="32">
        <f>AVERAGE(TEmatchups[[#This Row],[TD1]:[TD3]])</f>
        <v>0.3765</v>
      </c>
      <c r="Y18" s="14">
        <v>8</v>
      </c>
      <c r="Z18" s="19">
        <f>SUM(TEmatchups[[#This Row],[Yards]]*0.1)+(TEmatchups[[#This Row],[TD]]*6)+(TEmatchups[[#This Row],[Rec4]]*1)+(TEmatchups[[#This Row],[100+]])</f>
        <v>10.779133333333332</v>
      </c>
      <c r="AA18" s="8">
        <f>_xlfn.RANK.EQ(TEmatchups[[#This Row],[$/FP]],TEmatchups[$/FP],1)</f>
        <v>19</v>
      </c>
      <c r="AB18" s="484">
        <f>SUM(TEmatchups[[#This Row],[Salary]]/TEmatchups[[#This Row],[Projection]])</f>
        <v>408.19608255456535</v>
      </c>
      <c r="AC18" s="482">
        <f>_xlfn.RANK.EQ(TEmatchups[[#This Row],[Average2]],TEmatchups[Average2],1)</f>
        <v>12</v>
      </c>
      <c r="AD18" s="241">
        <f>AVERAGE(TEmatchups[[#This Row],[Proj Rank]],TEmatchups[[#This Row],[Value Rank]])</f>
        <v>13.5</v>
      </c>
      <c r="AE18" s="210">
        <f>TEmatchups[[#This Row],[Salary]]/50000</f>
        <v>8.7999999999999995E-2</v>
      </c>
      <c r="AF18" s="210"/>
      <c r="AG18" s="14">
        <f>IFERROR(INDEX(TEstats3[Targets],MATCH(TEmatchups[[#This Row],[Name]],TEstats3[Player],0)),"0")</f>
        <v>5.0999999999999996</v>
      </c>
      <c r="AH18" s="14" t="str">
        <f>IFERROR(INDEX(TEstats2[Targets],MATCH(TEmatchups[[#This Row],[Name]],TEstats2[Player],0)),"0")</f>
        <v>0</v>
      </c>
      <c r="AI18" s="14">
        <f>IFERROR(INDEX(TEstats3[Targets],MATCH(TEmatchups[[#This Row],[Name]],TEstats3[Player],0)),"0")</f>
        <v>5.0999999999999996</v>
      </c>
      <c r="AJ18" s="14">
        <f>IFERROR(INDEX(TEstats1[Rec],MATCH(TEmatchups[[#This Row],[Name]],TEstats1[Player],0)),"0")</f>
        <v>3.8109999999999999</v>
      </c>
      <c r="AK18" s="14">
        <f>IFERROR(INDEX(TEstats2[Rec],MATCH(TEmatchups[[#This Row],[Name]],TEstats2[Player],0)),"0")</f>
        <v>4.9000000000000004</v>
      </c>
      <c r="AL18" s="14">
        <f>IFERROR(INDEX(TEstats3[Rec],MATCH(TEmatchups[[#This Row],[Name]],TEstats3[Player],0)),"0")</f>
        <v>3.1</v>
      </c>
      <c r="AM18" s="32">
        <f>IFERROR(INDEX(TEallowed[Rec],MATCH(TEmatchups[[#This Row],[Opp]],TEallowed[Team],0)),"0")</f>
        <v>5.4375</v>
      </c>
      <c r="AN18" s="14">
        <f>IFERROR(INDEX(TEstats1[Rec Yds],MATCH(TEmatchups[[#This Row],[Name]],TEstats1[Player],0)),"0")</f>
        <v>47.994</v>
      </c>
      <c r="AO18" s="14">
        <f>IFERROR(INDEX(TEstats2[RecYards],MATCH(TEmatchups[[#This Row],[Name]],TEstats2[Player],0)),"0")</f>
        <v>52.2</v>
      </c>
      <c r="AP18" s="14">
        <f>IFERROR(INDEX(TEstats3[RecYards],MATCH(TEmatchups[[#This Row],[Name]],TEstats3[Player],0)),"0")</f>
        <v>37.299999999999997</v>
      </c>
      <c r="AQ18" s="32">
        <f>IFERROR(INDEX(TEallowed[Yard],MATCH(TEmatchups[[#This Row],[Opp]],TEallowed[Team],0)),"0")</f>
        <v>54.875</v>
      </c>
      <c r="AR18" s="14">
        <f>IFERROR(INDEX(TEstats1[Rec TD],MATCH(TEmatchups[[#This Row],[Name]],TEstats1[Player],0)),"0")</f>
        <v>0.35299999999999998</v>
      </c>
      <c r="AS18" s="14" t="str">
        <f>IFERROR(INDEX(TEstats2[RecTD],MATCH(TEmatchups[[#This Row],[Name]],TEstats2[Player],0)),"0")</f>
        <v>0.4</v>
      </c>
      <c r="AT18" s="14">
        <f>IFERROR(INDEX(TEstats3[RecTD],MATCH(TEmatchups[[#This Row],[Name]],TEstats3[Player],0)),"0")</f>
        <v>0.4</v>
      </c>
      <c r="AU18" s="32">
        <f>IFERROR(INDEX(TEallowed[TD],MATCH(TEmatchups[[#This Row],[Opp]],TEallowed[Team],0)),"0")</f>
        <v>0.375</v>
      </c>
      <c r="AV18" s="32">
        <f>IF(TEmatchups[[#This Row],[Yards]]&gt;=100,3,0)</f>
        <v>0</v>
      </c>
    </row>
    <row r="19" spans="1:48" ht="15" thickBot="1" x14ac:dyDescent="0.35">
      <c r="A19" s="37">
        <f>TEstats1!AL10</f>
        <v>8.8000000000000007</v>
      </c>
      <c r="B19" s="5" t="str">
        <f>TEstats1!D10</f>
        <v>Coby Fleener</v>
      </c>
      <c r="C19" s="172">
        <f>IFERROR(INDEX(Salaries[DraftKings (Price)],MATCH(TEmatchups[[#This Row],[Name]],Salaries[Player],0)),"")</f>
        <v>3200</v>
      </c>
      <c r="D19" s="172">
        <f>IFERROR(INDEX(DK_Salary_Changes[WeekChange],MATCH(TEmatchups[[#This Row],[Name]],DK_Salary_Changes[Player],0)),"")</f>
        <v>-100</v>
      </c>
      <c r="E19" s="14" t="str">
        <f>IFERROR(INDEX(Salaries[Team],MATCH(TEmatchups[[#This Row],[Name]],Salaries[Player],0)),"")</f>
        <v>NO</v>
      </c>
      <c r="F19" s="14" t="str">
        <f>IFERROR(INDEX(Salaries[Opp],MATCH(TEmatchups[[#This Row],[Team]],Salaries[Team],0)),"")</f>
        <v>@SD</v>
      </c>
      <c r="G19" s="457">
        <f>IFERROR(INDEX(TightEndYTD[Rec],MATCH(TEmatchups[Name],TightEndYTD[Player],0)),"0")</f>
        <v>10</v>
      </c>
      <c r="H19" s="191">
        <f>IFERROR(INDEX(targettracker54[TTL],MATCH(TEmatchups[Name],targettracker54[Name],0)),"0")</f>
        <v>23</v>
      </c>
      <c r="I19" s="458">
        <f>IFERROR(INDEX(TightEndYTD[Rec Yds],MATCH(TEmatchups[Name],TightEndYTD[Player],0)),"0")</f>
        <v>144</v>
      </c>
      <c r="J19" s="459">
        <f>IFERROR(INDEX(TightEndYTD[Rec TD],MATCH(TEmatchups[Name],TightEndYTD[Player],0)),"0")</f>
        <v>1</v>
      </c>
      <c r="K19" s="431">
        <f>IFERROR(INDEX(Salaries[O/U],MATCH(TEmatchups[[#This Row],[Team]],Salaries[Team],0)),"")</f>
        <v>53.5</v>
      </c>
      <c r="L19" s="32">
        <f>IFERROR(INDEX(Salaries[Team O/U],MATCH(TEmatchups[[#This Row],[Team]],Salaries[Team],0)),"")</f>
        <v>24.75</v>
      </c>
      <c r="M19" s="417">
        <f>IFERROR(INDEX(Salaries[Spread],MATCH(TEmatchups[[#This Row],[Team]],Salaries[Team],0)),"")</f>
        <v>4</v>
      </c>
      <c r="N19" s="424">
        <f>IFERROR(INDEX(TEallowed[DVP],MATCH(TEmatchups[[#This Row],[Opp]],TEallowed[Team],0)),IFERROR(INDEX(TEallowed[DVP],MATCH(TEmatchups[[#This Row],[Opp]],TEallowed[Opp],0)),""))</f>
        <v>21</v>
      </c>
      <c r="O19" s="17">
        <f>IFERROR(INDEX(YAtCData[YAtC],MATCH(TEmatchups[[#This Row],[Name]],YAtCData[Player],0)),"0")</f>
        <v>134</v>
      </c>
      <c r="P19" s="497">
        <f>IFERROR(INDEX(YAtCData[YAtC/Rec],MATCH(TEmatchups[[#This Row],[Name]],YAtCData[Player],0)),"0")</f>
        <v>13.4</v>
      </c>
      <c r="Q19" s="17">
        <f>IFERROR(INDEX(YAtCData[YAC],MATCH(TEmatchups[[#This Row],[Name]],YAtCData[Player],0)),"0")</f>
        <v>10</v>
      </c>
      <c r="R19" s="497">
        <f>IFERROR(INDEX(YACDATA[YAC per Reception],MATCH(TEmatchups[[#This Row],[Name]],YACDATA[Player],0)),"0")</f>
        <v>1</v>
      </c>
      <c r="S19" s="418">
        <f>AVERAGE(TEmatchups[[#This Row],[Tar1]:[Tar3]])</f>
        <v>5.5</v>
      </c>
      <c r="T19" s="19">
        <f>AVERAGE(TEmatchups[[#This Row],[Rec1]:[Rec3]])</f>
        <v>3.9373333333333331</v>
      </c>
      <c r="U19" s="202">
        <f>SUM(TEmatchups[[#This Row],[Rec4]]/TEmatchups[[#This Row],[Targets2]])</f>
        <v>0.71587878787878789</v>
      </c>
      <c r="V19" s="32">
        <f>AVERAGE(TEmatchups[[#This Row],[Yards1]:[Yards3]])</f>
        <v>47.184333333333335</v>
      </c>
      <c r="W19" s="19">
        <f>SUM(TEmatchups[[#This Row],[Yards]]/TEmatchups[[#This Row],[Targets2]])</f>
        <v>8.5789696969696969</v>
      </c>
      <c r="X19" s="32">
        <f>AVERAGE(TEmatchups[[#This Row],[TD1]:[TD3]])</f>
        <v>0.35750000000000004</v>
      </c>
      <c r="Y19" s="14">
        <v>9</v>
      </c>
      <c r="Z19" s="19">
        <f>SUM(TEmatchups[[#This Row],[Yards]]*0.1)+(TEmatchups[[#This Row],[TD]]*6)+(TEmatchups[[#This Row],[Rec4]]*1)+(TEmatchups[[#This Row],[100+]])</f>
        <v>10.800766666666668</v>
      </c>
      <c r="AA19" s="8">
        <f>_xlfn.RANK.EQ(TEmatchups[[#This Row],[$/FP]],TEmatchups[$/FP],1)</f>
        <v>4</v>
      </c>
      <c r="AB19" s="484">
        <f>SUM(TEmatchups[[#This Row],[Salary]]/TEmatchups[[#This Row],[Projection]])</f>
        <v>296.27526441024247</v>
      </c>
      <c r="AC19" s="482">
        <f>_xlfn.RANK.EQ(TEmatchups[[#This Row],[Average2]],TEmatchups[Average2],1)</f>
        <v>2</v>
      </c>
      <c r="AD19" s="241">
        <f>AVERAGE(TEmatchups[[#This Row],[Proj Rank]],TEmatchups[[#This Row],[Value Rank]])</f>
        <v>6.5</v>
      </c>
      <c r="AE19" s="210">
        <f>TEmatchups[[#This Row],[Salary]]/50000</f>
        <v>6.4000000000000001E-2</v>
      </c>
      <c r="AF19" s="210"/>
      <c r="AG19" s="14">
        <f>IFERROR(INDEX(TEstats3[Targets],MATCH(TEmatchups[[#This Row],[Name]],TEstats3[Player],0)),"0")</f>
        <v>5.5</v>
      </c>
      <c r="AH19" s="14" t="str">
        <f>IFERROR(INDEX(TEstats2[Targets],MATCH(TEmatchups[[#This Row],[Name]],TEstats2[Player],0)),"0")</f>
        <v>0</v>
      </c>
      <c r="AI19" s="14">
        <f>IFERROR(INDEX(TEstats3[Targets],MATCH(TEmatchups[[#This Row],[Name]],TEstats3[Player],0)),"0")</f>
        <v>5.5</v>
      </c>
      <c r="AJ19" s="14">
        <f>IFERROR(INDEX(TEstats1[Rec],MATCH(TEmatchups[[#This Row],[Name]],TEstats1[Player],0)),"0")</f>
        <v>3.9119999999999999</v>
      </c>
      <c r="AK19" s="14">
        <f>IFERROR(INDEX(TEstats2[Rec],MATCH(TEmatchups[[#This Row],[Name]],TEstats2[Player],0)),"0")</f>
        <v>4.3</v>
      </c>
      <c r="AL19" s="14">
        <f>IFERROR(INDEX(TEstats3[Rec],MATCH(TEmatchups[[#This Row],[Name]],TEstats3[Player],0)),"0")</f>
        <v>3.6</v>
      </c>
      <c r="AM19" s="32" t="str">
        <f>IFERROR(INDEX(TEallowed[Rec],MATCH(TEmatchups[[#This Row],[Opp]],TEallowed[Team],0)),"0")</f>
        <v>0</v>
      </c>
      <c r="AN19" s="14">
        <f>IFERROR(INDEX(TEstats1[Rec Yds],MATCH(TEmatchups[[#This Row],[Name]],TEstats1[Player],0)),"0")</f>
        <v>50.052999999999997</v>
      </c>
      <c r="AO19" s="14">
        <f>IFERROR(INDEX(TEstats2[RecYards],MATCH(TEmatchups[[#This Row],[Name]],TEstats2[Player],0)),"0")</f>
        <v>44.3</v>
      </c>
      <c r="AP19" s="14">
        <f>IFERROR(INDEX(TEstats3[RecYards],MATCH(TEmatchups[[#This Row],[Name]],TEstats3[Player],0)),"0")</f>
        <v>47.2</v>
      </c>
      <c r="AQ19" s="32" t="str">
        <f>IFERROR(INDEX(TEallowed[Yard],MATCH(TEmatchups[[#This Row],[Opp]],TEallowed[Team],0)),"0")</f>
        <v>0</v>
      </c>
      <c r="AR19" s="14">
        <f>IFERROR(INDEX(TEstats1[Rec TD],MATCH(TEmatchups[[#This Row],[Name]],TEstats1[Player],0)),"0")</f>
        <v>0.315</v>
      </c>
      <c r="AS19" s="14" t="str">
        <f>IFERROR(INDEX(TEstats2[RecTD],MATCH(TEmatchups[[#This Row],[Name]],TEstats2[Player],0)),"0")</f>
        <v>0.4</v>
      </c>
      <c r="AT19" s="14">
        <f>IFERROR(INDEX(TEstats3[RecTD],MATCH(TEmatchups[[#This Row],[Name]],TEstats3[Player],0)),"0")</f>
        <v>0.4</v>
      </c>
      <c r="AU19" s="32" t="str">
        <f>IFERROR(INDEX(TEallowed[TD],MATCH(TEmatchups[[#This Row],[Opp]],TEallowed[Team],0)),"0")</f>
        <v>0</v>
      </c>
      <c r="AV19" s="32">
        <f>IF(TEmatchups[[#This Row],[Yards]]&gt;=100,3,0)</f>
        <v>0</v>
      </c>
    </row>
    <row r="20" spans="1:48" ht="15" thickBot="1" x14ac:dyDescent="0.35">
      <c r="A20" s="37">
        <f>TEstats1!AL11</f>
        <v>8.6999999999999993</v>
      </c>
      <c r="B20" s="5" t="str">
        <f>TEstats1!D11</f>
        <v>Delanie Walker</v>
      </c>
      <c r="C20" s="172">
        <f>IFERROR(INDEX(Salaries[DraftKings (Price)],MATCH(TEmatchups[[#This Row],[Name]],Salaries[Player],0)),"")</f>
        <v>5000</v>
      </c>
      <c r="D20" s="172">
        <f>IFERROR(INDEX(DK_Salary_Changes[WeekChange],MATCH(TEmatchups[[#This Row],[Name]],DK_Salary_Changes[Player],0)),"")</f>
        <v>0</v>
      </c>
      <c r="E20" s="14" t="str">
        <f>IFERROR(INDEX(Salaries[Team],MATCH(TEmatchups[[#This Row],[Name]],Salaries[Player],0)),"")</f>
        <v>TEN</v>
      </c>
      <c r="F20" s="14" t="str">
        <f>IFERROR(INDEX(Salaries[Opp],MATCH(TEmatchups[[#This Row],[Team]],Salaries[Team],0)),"")</f>
        <v>@HOU</v>
      </c>
      <c r="G20" s="457">
        <f>IFERROR(INDEX(TightEndYTD[Rec],MATCH(TEmatchups[Name],TightEndYTD[Player],0)),"0")</f>
        <v>9</v>
      </c>
      <c r="H20" s="191">
        <f>IFERROR(INDEX(targettracker54[TTL],MATCH(TEmatchups[Name],targettracker54[Name],0)),"0")</f>
        <v>11</v>
      </c>
      <c r="I20" s="458">
        <f>IFERROR(INDEX(TightEndYTD[Rec Yds],MATCH(TEmatchups[Name],TightEndYTD[Player],0)),"0")</f>
        <v>125</v>
      </c>
      <c r="J20" s="459">
        <f>IFERROR(INDEX(TightEndYTD[Rec TD],MATCH(TEmatchups[Name],TightEndYTD[Player],0)),"0")</f>
        <v>1</v>
      </c>
      <c r="K20" s="431">
        <f>IFERROR(INDEX(Salaries[O/U],MATCH(TEmatchups[[#This Row],[Team]],Salaries[Team],0)),"")</f>
        <v>40.5</v>
      </c>
      <c r="L20" s="32">
        <f>IFERROR(INDEX(Salaries[Team O/U],MATCH(TEmatchups[[#This Row],[Team]],Salaries[Team],0)),"")</f>
        <v>17</v>
      </c>
      <c r="M20" s="417">
        <f>IFERROR(INDEX(Salaries[Spread],MATCH(TEmatchups[[#This Row],[Team]],Salaries[Team],0)),"")</f>
        <v>6.5</v>
      </c>
      <c r="N20" s="424">
        <f>IFERROR(INDEX(TEallowed[DVP],MATCH(TEmatchups[[#This Row],[Opp]],TEallowed[Team],0)),IFERROR(INDEX(TEallowed[DVP],MATCH(TEmatchups[[#This Row],[Opp]],TEallowed[Opp],0)),""))</f>
        <v>11</v>
      </c>
      <c r="O20" s="17">
        <f>IFERROR(INDEX(YAtCData[YAtC],MATCH(TEmatchups[[#This Row],[Name]],YAtCData[Player],0)),"0")</f>
        <v>72</v>
      </c>
      <c r="P20" s="497">
        <f>IFERROR(INDEX(YAtCData[YAtC/Rec],MATCH(TEmatchups[[#This Row],[Name]],YAtCData[Player],0)),"0")</f>
        <v>8</v>
      </c>
      <c r="Q20" s="17">
        <f>IFERROR(INDEX(YAtCData[YAC],MATCH(TEmatchups[[#This Row],[Name]],YAtCData[Player],0)),"0")</f>
        <v>53</v>
      </c>
      <c r="R20" s="497">
        <f>IFERROR(INDEX(YACDATA[YAC per Reception],MATCH(TEmatchups[[#This Row],[Name]],YACDATA[Player],0)),"0")</f>
        <v>5.9</v>
      </c>
      <c r="S20" s="418">
        <f>AVERAGE(TEmatchups[[#This Row],[Tar1]:[Tar3]])</f>
        <v>6</v>
      </c>
      <c r="T20" s="19">
        <f>AVERAGE(TEmatchups[[#This Row],[Rec1]:[Rec3]])</f>
        <v>4.3016666666666667</v>
      </c>
      <c r="U20" s="202">
        <f>SUM(TEmatchups[[#This Row],[Rec4]]/TEmatchups[[#This Row],[Targets2]])</f>
        <v>0.7169444444444445</v>
      </c>
      <c r="V20" s="32">
        <f>AVERAGE(TEmatchups[[#This Row],[Yards1]:[Yards3]])</f>
        <v>51.466666666666661</v>
      </c>
      <c r="W20" s="19">
        <f>SUM(TEmatchups[[#This Row],[Yards]]/TEmatchups[[#This Row],[Targets2]])</f>
        <v>8.5777777777777775</v>
      </c>
      <c r="X20" s="32">
        <f>AVERAGE(TEmatchups[[#This Row],[TD1]:[TD3]])</f>
        <v>0.28249999999999997</v>
      </c>
      <c r="Y20" s="14">
        <v>10</v>
      </c>
      <c r="Z20" s="19">
        <f>SUM(TEmatchups[[#This Row],[Yards]]*0.1)+(TEmatchups[[#This Row],[TD]]*6)+(TEmatchups[[#This Row],[Rec4]]*1)+(TEmatchups[[#This Row],[100+]])</f>
        <v>11.143333333333334</v>
      </c>
      <c r="AA20" s="8">
        <f>_xlfn.RANK.EQ(TEmatchups[[#This Row],[$/FP]],TEmatchups[$/FP],1)</f>
        <v>24</v>
      </c>
      <c r="AB20" s="484">
        <f>SUM(TEmatchups[[#This Row],[Salary]]/TEmatchups[[#This Row],[Projection]])</f>
        <v>448.69877355668558</v>
      </c>
      <c r="AC20" s="482">
        <f>_xlfn.RANK.EQ(TEmatchups[[#This Row],[Average2]],TEmatchups[Average2],1)</f>
        <v>22</v>
      </c>
      <c r="AD20" s="241">
        <f>AVERAGE(TEmatchups[[#This Row],[Proj Rank]],TEmatchups[[#This Row],[Value Rank]])</f>
        <v>17</v>
      </c>
      <c r="AE20" s="210">
        <f>TEmatchups[[#This Row],[Salary]]/50000</f>
        <v>0.1</v>
      </c>
      <c r="AF20" s="210"/>
      <c r="AG20" s="14">
        <f>IFERROR(INDEX(TEstats3[Targets],MATCH(TEmatchups[[#This Row],[Name]],TEstats3[Player],0)),"0")</f>
        <v>6</v>
      </c>
      <c r="AH20" s="14" t="str">
        <f>IFERROR(INDEX(TEstats2[Targets],MATCH(TEmatchups[[#This Row],[Name]],TEstats2[Player],0)),"0")</f>
        <v>0</v>
      </c>
      <c r="AI20" s="14">
        <f>IFERROR(INDEX(TEstats3[Targets],MATCH(TEmatchups[[#This Row],[Name]],TEstats3[Player],0)),"0")</f>
        <v>6</v>
      </c>
      <c r="AJ20" s="14">
        <f>IFERROR(INDEX(TEstats1[Rec],MATCH(TEmatchups[[#This Row],[Name]],TEstats1[Player],0)),"0")</f>
        <v>3.9049999999999998</v>
      </c>
      <c r="AK20" s="14">
        <f>IFERROR(INDEX(TEstats2[Rec],MATCH(TEmatchups[[#This Row],[Name]],TEstats2[Player],0)),"0")</f>
        <v>4.5999999999999996</v>
      </c>
      <c r="AL20" s="14">
        <f>IFERROR(INDEX(TEstats3[Rec],MATCH(TEmatchups[[#This Row],[Name]],TEstats3[Player],0)),"0")</f>
        <v>4.4000000000000004</v>
      </c>
      <c r="AM20" s="32" t="str">
        <f>IFERROR(INDEX(TEallowed[Rec],MATCH(TEmatchups[[#This Row],[Opp]],TEallowed[Team],0)),"0")</f>
        <v>0</v>
      </c>
      <c r="AN20" s="14">
        <f>IFERROR(INDEX(TEstats1[Rec Yds],MATCH(TEmatchups[[#This Row],[Name]],TEstats1[Player],0)),"0")</f>
        <v>52.9</v>
      </c>
      <c r="AO20" s="14">
        <f>IFERROR(INDEX(TEstats2[RecYards],MATCH(TEmatchups[[#This Row],[Name]],TEstats2[Player],0)),"0")</f>
        <v>48.8</v>
      </c>
      <c r="AP20" s="14">
        <f>IFERROR(INDEX(TEstats3[RecYards],MATCH(TEmatchups[[#This Row],[Name]],TEstats3[Player],0)),"0")</f>
        <v>52.7</v>
      </c>
      <c r="AQ20" s="32" t="str">
        <f>IFERROR(INDEX(TEallowed[Yard],MATCH(TEmatchups[[#This Row],[Opp]],TEallowed[Team],0)),"0")</f>
        <v>0</v>
      </c>
      <c r="AR20" s="14">
        <f>IFERROR(INDEX(TEstats1[Rec TD],MATCH(TEmatchups[[#This Row],[Name]],TEstats1[Player],0)),"0")</f>
        <v>0.26500000000000001</v>
      </c>
      <c r="AS20" s="14" t="str">
        <f>IFERROR(INDEX(TEstats2[RecTD],MATCH(TEmatchups[[#This Row],[Name]],TEstats2[Player],0)),"0")</f>
        <v>0.3</v>
      </c>
      <c r="AT20" s="14">
        <f>IFERROR(INDEX(TEstats3[RecTD],MATCH(TEmatchups[[#This Row],[Name]],TEstats3[Player],0)),"0")</f>
        <v>0.3</v>
      </c>
      <c r="AU20" s="32" t="str">
        <f>IFERROR(INDEX(TEallowed[TD],MATCH(TEmatchups[[#This Row],[Opp]],TEallowed[Team],0)),"0")</f>
        <v>0</v>
      </c>
      <c r="AV20" s="32">
        <f>IF(TEmatchups[[#This Row],[Yards]]&gt;=100,3,0)</f>
        <v>0</v>
      </c>
    </row>
    <row r="21" spans="1:48" ht="15" thickBot="1" x14ac:dyDescent="0.35">
      <c r="A21" s="37">
        <f>TEstats1!AL12</f>
        <v>8.6999999999999993</v>
      </c>
      <c r="B21" s="5" t="str">
        <f>TEstats1!D12</f>
        <v>Jason Witten</v>
      </c>
      <c r="C21" s="172">
        <f>IFERROR(INDEX(Salaries[DraftKings (Price)],MATCH(TEmatchups[[#This Row],[Name]],Salaries[Player],0)),"")</f>
        <v>4500</v>
      </c>
      <c r="D21" s="172">
        <f>IFERROR(INDEX(DK_Salary_Changes[WeekChange],MATCH(TEmatchups[[#This Row],[Name]],DK_Salary_Changes[Player],0)),"")</f>
        <v>200</v>
      </c>
      <c r="E21" s="14" t="str">
        <f>IFERROR(INDEX(Salaries[Team],MATCH(TEmatchups[[#This Row],[Name]],Salaries[Player],0)),"")</f>
        <v>DAL</v>
      </c>
      <c r="F21" s="14" t="str">
        <f>IFERROR(INDEX(Salaries[Opp],MATCH(TEmatchups[[#This Row],[Team]],Salaries[Team],0)),"")</f>
        <v>@SF</v>
      </c>
      <c r="G21" s="457">
        <f>IFERROR(INDEX(TightEndYTD[Rec],MATCH(TEmatchups[Name],TightEndYTD[Player],0)),"0")</f>
        <v>14</v>
      </c>
      <c r="H21" s="191">
        <f>IFERROR(INDEX(targettracker54[TTL],MATCH(TEmatchups[Name],targettracker54[Name],0)),"0")</f>
        <v>20</v>
      </c>
      <c r="I21" s="458">
        <f>IFERROR(INDEX(TightEndYTD[Rec Yds],MATCH(TEmatchups[Name],TightEndYTD[Player],0)),"0")</f>
        <v>142</v>
      </c>
      <c r="J21" s="459">
        <f>IFERROR(INDEX(TightEndYTD[Rec TD],MATCH(TEmatchups[Name],TightEndYTD[Player],0)),"0")</f>
        <v>0</v>
      </c>
      <c r="K21" s="431">
        <f>IFERROR(INDEX(Salaries[O/U],MATCH(TEmatchups[[#This Row],[Team]],Salaries[Team],0)),"")</f>
        <v>46</v>
      </c>
      <c r="L21" s="32">
        <f>IFERROR(INDEX(Salaries[Team O/U],MATCH(TEmatchups[[#This Row],[Team]],Salaries[Team],0)),"")</f>
        <v>24.5</v>
      </c>
      <c r="M21" s="417">
        <f>IFERROR(INDEX(Salaries[Spread],MATCH(TEmatchups[[#This Row],[Team]],Salaries[Team],0)),"")</f>
        <v>-3</v>
      </c>
      <c r="N21" s="424">
        <f>IFERROR(INDEX(TEallowed[DVP],MATCH(TEmatchups[[#This Row],[Opp]],TEallowed[Team],0)),IFERROR(INDEX(TEallowed[DVP],MATCH(TEmatchups[[#This Row],[Opp]],TEallowed[Opp],0)),""))</f>
        <v>7</v>
      </c>
      <c r="O21" s="17">
        <f>IFERROR(INDEX(YAtCData[YAtC],MATCH(TEmatchups[[#This Row],[Name]],YAtCData[Player],0)),"0")</f>
        <v>62</v>
      </c>
      <c r="P21" s="497">
        <f>IFERROR(INDEX(YAtCData[YAtC/Rec],MATCH(TEmatchups[[#This Row],[Name]],YAtCData[Player],0)),"0")</f>
        <v>4.43</v>
      </c>
      <c r="Q21" s="17">
        <f>IFERROR(INDEX(YAtCData[YAC],MATCH(TEmatchups[[#This Row],[Name]],YAtCData[Player],0)),"0")</f>
        <v>80</v>
      </c>
      <c r="R21" s="497">
        <f>IFERROR(INDEX(YACDATA[YAC per Reception],MATCH(TEmatchups[[#This Row],[Name]],YACDATA[Player],0)),"0")</f>
        <v>5.7</v>
      </c>
      <c r="S21" s="418">
        <f>AVERAGE(TEmatchups[[#This Row],[Tar1]:[Tar3]])</f>
        <v>5.0999999999999996</v>
      </c>
      <c r="T21" s="19">
        <f>AVERAGE(TEmatchups[[#This Row],[Rec1]:[Rec3]])</f>
        <v>4.2369999999999992</v>
      </c>
      <c r="U21" s="202">
        <f>SUM(TEmatchups[[#This Row],[Rec4]]/TEmatchups[[#This Row],[Targets2]])</f>
        <v>0.83078431372549011</v>
      </c>
      <c r="V21" s="32">
        <f>AVERAGE(TEmatchups[[#This Row],[Yards1]:[Yards3]])</f>
        <v>43.750333333333323</v>
      </c>
      <c r="W21" s="19">
        <f>SUM(TEmatchups[[#This Row],[Yards]]/TEmatchups[[#This Row],[Targets2]])</f>
        <v>8.5784967320261423</v>
      </c>
      <c r="X21" s="32">
        <f>AVERAGE(TEmatchups[[#This Row],[TD1]:[TD3]])</f>
        <v>0.39100000000000001</v>
      </c>
      <c r="Y21" s="14">
        <v>11</v>
      </c>
      <c r="Z21" s="19">
        <f>SUM(TEmatchups[[#This Row],[Yards]]*0.1)+(TEmatchups[[#This Row],[TD]]*6)+(TEmatchups[[#This Row],[Rec4]]*1)+(TEmatchups[[#This Row],[100+]])</f>
        <v>10.958033333333333</v>
      </c>
      <c r="AA21" s="8">
        <f>_xlfn.RANK.EQ(TEmatchups[[#This Row],[$/FP]],TEmatchups[$/FP],1)</f>
        <v>22</v>
      </c>
      <c r="AB21" s="484">
        <f>SUM(TEmatchups[[#This Row],[Salary]]/TEmatchups[[#This Row],[Projection]])</f>
        <v>410.65763017086402</v>
      </c>
      <c r="AC21" s="482">
        <f>_xlfn.RANK.EQ(TEmatchups[[#This Row],[Average2]],TEmatchups[Average2],1)</f>
        <v>20</v>
      </c>
      <c r="AD21" s="241">
        <f>AVERAGE(TEmatchups[[#This Row],[Proj Rank]],TEmatchups[[#This Row],[Value Rank]])</f>
        <v>16.5</v>
      </c>
      <c r="AE21" s="210">
        <f>TEmatchups[[#This Row],[Salary]]/50000</f>
        <v>0.09</v>
      </c>
      <c r="AF21" s="210"/>
      <c r="AG21" s="14">
        <f>IFERROR(INDEX(TEstats3[Targets],MATCH(TEmatchups[[#This Row],[Name]],TEstats3[Player],0)),"0")</f>
        <v>5.0999999999999996</v>
      </c>
      <c r="AH21" s="14" t="str">
        <f>IFERROR(INDEX(TEstats2[Targets],MATCH(TEmatchups[[#This Row],[Name]],TEstats2[Player],0)),"0")</f>
        <v>0</v>
      </c>
      <c r="AI21" s="14">
        <f>IFERROR(INDEX(TEstats3[Targets],MATCH(TEmatchups[[#This Row],[Name]],TEstats3[Player],0)),"0")</f>
        <v>5.0999999999999996</v>
      </c>
      <c r="AJ21" s="14">
        <f>IFERROR(INDEX(TEstats1[Rec],MATCH(TEmatchups[[#This Row],[Name]],TEstats1[Player],0)),"0")</f>
        <v>4.1109999999999998</v>
      </c>
      <c r="AK21" s="14">
        <f>IFERROR(INDEX(TEstats2[Rec],MATCH(TEmatchups[[#This Row],[Name]],TEstats2[Player],0)),"0")</f>
        <v>4.8</v>
      </c>
      <c r="AL21" s="14">
        <f>IFERROR(INDEX(TEstats3[Rec],MATCH(TEmatchups[[#This Row],[Name]],TEstats3[Player],0)),"0")</f>
        <v>3.8</v>
      </c>
      <c r="AM21" s="32" t="str">
        <f>IFERROR(INDEX(TEallowed[Rec],MATCH(TEmatchups[[#This Row],[Opp]],TEallowed[Team],0)),"0")</f>
        <v>0</v>
      </c>
      <c r="AN21" s="14">
        <f>IFERROR(INDEX(TEstats1[Rec Yds],MATCH(TEmatchups[[#This Row],[Name]],TEstats1[Player],0)),"0")</f>
        <v>43.750999999999998</v>
      </c>
      <c r="AO21" s="14">
        <f>IFERROR(INDEX(TEstats2[RecYards],MATCH(TEmatchups[[#This Row],[Name]],TEstats2[Player],0)),"0")</f>
        <v>47.3</v>
      </c>
      <c r="AP21" s="14">
        <f>IFERROR(INDEX(TEstats3[RecYards],MATCH(TEmatchups[[#This Row],[Name]],TEstats3[Player],0)),"0")</f>
        <v>40.200000000000003</v>
      </c>
      <c r="AQ21" s="32" t="str">
        <f>IFERROR(INDEX(TEallowed[Yard],MATCH(TEmatchups[[#This Row],[Opp]],TEallowed[Team],0)),"0")</f>
        <v>0</v>
      </c>
      <c r="AR21" s="14">
        <f>IFERROR(INDEX(TEstats1[Rec TD],MATCH(TEmatchups[[#This Row],[Name]],TEstats1[Player],0)),"0")</f>
        <v>0.38200000000000001</v>
      </c>
      <c r="AS21" s="14" t="str">
        <f>IFERROR(INDEX(TEstats2[RecTD],MATCH(TEmatchups[[#This Row],[Name]],TEstats2[Player],0)),"0")</f>
        <v>0.3</v>
      </c>
      <c r="AT21" s="14">
        <f>IFERROR(INDEX(TEstats3[RecTD],MATCH(TEmatchups[[#This Row],[Name]],TEstats3[Player],0)),"0")</f>
        <v>0.4</v>
      </c>
      <c r="AU21" s="32" t="str">
        <f>IFERROR(INDEX(TEallowed[TD],MATCH(TEmatchups[[#This Row],[Opp]],TEallowed[Team],0)),"0")</f>
        <v>0</v>
      </c>
      <c r="AV21" s="32">
        <f>IF(TEmatchups[[#This Row],[Yards]]&gt;=100,3,0)</f>
        <v>0</v>
      </c>
    </row>
    <row r="22" spans="1:48" ht="15" thickBot="1" x14ac:dyDescent="0.35">
      <c r="A22" s="37">
        <f>TEstats1!AL13</f>
        <v>8.5</v>
      </c>
      <c r="B22" s="5" t="str">
        <f>TEstats1!D13</f>
        <v>Jimmy Graham</v>
      </c>
      <c r="C22" s="172">
        <f>IFERROR(INDEX(Salaries[DraftKings (Price)],MATCH(TEmatchups[[#This Row],[Name]],Salaries[Player],0)),"")</f>
        <v>4000</v>
      </c>
      <c r="D22" s="172">
        <f>IFERROR(INDEX(DK_Salary_Changes[WeekChange],MATCH(TEmatchups[[#This Row],[Name]],DK_Salary_Changes[Player],0)),"")</f>
        <v>1000</v>
      </c>
      <c r="E22" s="14" t="str">
        <f>IFERROR(INDEX(Salaries[Team],MATCH(TEmatchups[[#This Row],[Name]],Salaries[Player],0)),"")</f>
        <v>SEA</v>
      </c>
      <c r="F22" s="14" t="str">
        <f>IFERROR(INDEX(Salaries[Opp],MATCH(TEmatchups[[#This Row],[Team]],Salaries[Team],0)),"")</f>
        <v>@NYJ</v>
      </c>
      <c r="G22" s="457">
        <f>IFERROR(INDEX(TightEndYTD[Rec],MATCH(TEmatchups[Name],TightEndYTD[Player],0)),"0")</f>
        <v>10</v>
      </c>
      <c r="H22" s="191">
        <f>IFERROR(INDEX(targettracker54[TTL],MATCH(TEmatchups[Name],targettracker54[Name],0)),"0")</f>
        <v>14</v>
      </c>
      <c r="I22" s="458">
        <f>IFERROR(INDEX(TightEndYTD[Rec Yds],MATCH(TEmatchups[Name],TightEndYTD[Player],0)),"0")</f>
        <v>153</v>
      </c>
      <c r="J22" s="459">
        <f>IFERROR(INDEX(TightEndYTD[Rec TD],MATCH(TEmatchups[Name],TightEndYTD[Player],0)),"0")</f>
        <v>1</v>
      </c>
      <c r="K22" s="431">
        <f>IFERROR(INDEX(Salaries[O/U],MATCH(TEmatchups[[#This Row],[Team]],Salaries[Team],0)),"")</f>
        <v>40.5</v>
      </c>
      <c r="L22" s="32">
        <f>IFERROR(INDEX(Salaries[Team O/U],MATCH(TEmatchups[[#This Row],[Team]],Salaries[Team],0)),"")</f>
        <v>21</v>
      </c>
      <c r="M22" s="417">
        <f>IFERROR(INDEX(Salaries[Spread],MATCH(TEmatchups[[#This Row],[Team]],Salaries[Team],0)),"")</f>
        <v>-1.5</v>
      </c>
      <c r="N22" s="424">
        <f>IFERROR(INDEX(TEallowed[DVP],MATCH(TEmatchups[[#This Row],[Opp]],TEallowed[Team],0)),IFERROR(INDEX(TEallowed[DVP],MATCH(TEmatchups[[#This Row],[Opp]],TEallowed[Opp],0)),""))</f>
        <v>3</v>
      </c>
      <c r="O22" s="17">
        <f>IFERROR(INDEX(YAtCData[YAtC],MATCH(TEmatchups[[#This Row],[Name]],YAtCData[Player],0)),"0")</f>
        <v>128</v>
      </c>
      <c r="P22" s="497">
        <f>IFERROR(INDEX(YAtCData[YAtC/Rec],MATCH(TEmatchups[[#This Row],[Name]],YAtCData[Player],0)),"0")</f>
        <v>12.8</v>
      </c>
      <c r="Q22" s="17">
        <f>IFERROR(INDEX(YAtCData[YAC],MATCH(TEmatchups[[#This Row],[Name]],YAtCData[Player],0)),"0")</f>
        <v>25</v>
      </c>
      <c r="R22" s="497">
        <f>IFERROR(INDEX(YACDATA[YAC per Reception],MATCH(TEmatchups[[#This Row],[Name]],YACDATA[Player],0)),"0")</f>
        <v>2.5</v>
      </c>
      <c r="S22" s="418">
        <f>AVERAGE(TEmatchups[[#This Row],[Tar1]:[Tar3]])</f>
        <v>5.3</v>
      </c>
      <c r="T22" s="19">
        <f>AVERAGE(TEmatchups[[#This Row],[Rec1]:[Rec3]])</f>
        <v>3.6519999999999997</v>
      </c>
      <c r="U22" s="202">
        <f>SUM(TEmatchups[[#This Row],[Rec4]]/TEmatchups[[#This Row],[Targets2]])</f>
        <v>0.68905660377358491</v>
      </c>
      <c r="V22" s="32">
        <f>AVERAGE(TEmatchups[[#This Row],[Yards1]:[Yards3]])</f>
        <v>43.405000000000001</v>
      </c>
      <c r="W22" s="19">
        <f>SUM(TEmatchups[[#This Row],[Yards]]/TEmatchups[[#This Row],[Targets2]])</f>
        <v>8.189622641509434</v>
      </c>
      <c r="X22" s="32">
        <f>AVERAGE(TEmatchups[[#This Row],[TD1]:[TD3]])</f>
        <v>0.33650000000000002</v>
      </c>
      <c r="Y22" s="14">
        <v>12</v>
      </c>
      <c r="Z22" s="19">
        <f>SUM(TEmatchups[[#This Row],[Yards]]*0.1)+(TEmatchups[[#This Row],[TD]]*6)+(TEmatchups[[#This Row],[Rec4]]*1)+(TEmatchups[[#This Row],[100+]])</f>
        <v>10.0115</v>
      </c>
      <c r="AA22" s="8">
        <f>_xlfn.RANK.EQ(TEmatchups[[#This Row],[$/FP]],TEmatchups[$/FP],1)</f>
        <v>17</v>
      </c>
      <c r="AB22" s="484">
        <f>SUM(TEmatchups[[#This Row],[Salary]]/TEmatchups[[#This Row],[Projection]])</f>
        <v>399.54052839234879</v>
      </c>
      <c r="AC22" s="482">
        <f>_xlfn.RANK.EQ(TEmatchups[[#This Row],[Average2]],TEmatchups[Average2],1)</f>
        <v>14</v>
      </c>
      <c r="AD22" s="241">
        <f>AVERAGE(TEmatchups[[#This Row],[Proj Rank]],TEmatchups[[#This Row],[Value Rank]])</f>
        <v>14.5</v>
      </c>
      <c r="AE22" s="210">
        <f>TEmatchups[[#This Row],[Salary]]/50000</f>
        <v>0.08</v>
      </c>
      <c r="AF22" s="210"/>
      <c r="AG22" s="14">
        <f>IFERROR(INDEX(TEstats3[Targets],MATCH(TEmatchups[[#This Row],[Name]],TEstats3[Player],0)),"0")</f>
        <v>5.3</v>
      </c>
      <c r="AH22" s="14" t="str">
        <f>IFERROR(INDEX(TEstats2[Targets],MATCH(TEmatchups[[#This Row],[Name]],TEstats2[Player],0)),"0")</f>
        <v>0</v>
      </c>
      <c r="AI22" s="14">
        <f>IFERROR(INDEX(TEstats3[Targets],MATCH(TEmatchups[[#This Row],[Name]],TEstats3[Player],0)),"0")</f>
        <v>5.3</v>
      </c>
      <c r="AJ22" s="14">
        <f>IFERROR(INDEX(TEstats1[Rec],MATCH(TEmatchups[[#This Row],[Name]],TEstats1[Player],0)),"0")</f>
        <v>3.956</v>
      </c>
      <c r="AK22" s="14">
        <f>IFERROR(INDEX(TEstats2[Rec],MATCH(TEmatchups[[#This Row],[Name]],TEstats2[Player],0)),"0")</f>
        <v>3.3</v>
      </c>
      <c r="AL22" s="14">
        <f>IFERROR(INDEX(TEstats3[Rec],MATCH(TEmatchups[[#This Row],[Name]],TEstats3[Player],0)),"0")</f>
        <v>3.7</v>
      </c>
      <c r="AM22" s="32" t="str">
        <f>IFERROR(INDEX(TEallowed[Rec],MATCH(TEmatchups[[#This Row],[Opp]],TEallowed[Team],0)),"0")</f>
        <v>0</v>
      </c>
      <c r="AN22" s="14">
        <f>IFERROR(INDEX(TEstats1[Rec Yds],MATCH(TEmatchups[[#This Row],[Name]],TEstats1[Player],0)),"0")</f>
        <v>49.515000000000001</v>
      </c>
      <c r="AO22" s="14">
        <f>IFERROR(INDEX(TEstats2[RecYards],MATCH(TEmatchups[[#This Row],[Name]],TEstats2[Player],0)),"0")</f>
        <v>36.799999999999997</v>
      </c>
      <c r="AP22" s="14">
        <f>IFERROR(INDEX(TEstats3[RecYards],MATCH(TEmatchups[[#This Row],[Name]],TEstats3[Player],0)),"0")</f>
        <v>43.9</v>
      </c>
      <c r="AQ22" s="32" t="str">
        <f>IFERROR(INDEX(TEallowed[Yard],MATCH(TEmatchups[[#This Row],[Opp]],TEallowed[Team],0)),"0")</f>
        <v>0</v>
      </c>
      <c r="AR22" s="14">
        <f>IFERROR(INDEX(TEstats1[Rec TD],MATCH(TEmatchups[[#This Row],[Name]],TEstats1[Player],0)),"0")</f>
        <v>0.27300000000000002</v>
      </c>
      <c r="AS22" s="14" t="str">
        <f>IFERROR(INDEX(TEstats2[RecTD],MATCH(TEmatchups[[#This Row],[Name]],TEstats2[Player],0)),"0")</f>
        <v>0.4</v>
      </c>
      <c r="AT22" s="14">
        <f>IFERROR(INDEX(TEstats3[RecTD],MATCH(TEmatchups[[#This Row],[Name]],TEstats3[Player],0)),"0")</f>
        <v>0.4</v>
      </c>
      <c r="AU22" s="32" t="str">
        <f>IFERROR(INDEX(TEallowed[TD],MATCH(TEmatchups[[#This Row],[Opp]],TEallowed[Team],0)),"0")</f>
        <v>0</v>
      </c>
      <c r="AV22" s="32">
        <f>IF(TEmatchups[[#This Row],[Yards]]&gt;=100,3,0)</f>
        <v>0</v>
      </c>
    </row>
    <row r="23" spans="1:48" ht="15" thickBot="1" x14ac:dyDescent="0.35">
      <c r="A23" s="37">
        <f>TEstats1!AL14</f>
        <v>8.4</v>
      </c>
      <c r="B23" s="5" t="str">
        <f>TEstats1!D14</f>
        <v>Gary Barnidge</v>
      </c>
      <c r="C23" s="172">
        <f>IFERROR(INDEX(Salaries[DraftKings (Price)],MATCH(TEmatchups[[#This Row],[Name]],Salaries[Player],0)),"")</f>
        <v>3600</v>
      </c>
      <c r="D23" s="172">
        <f>IFERROR(INDEX(DK_Salary_Changes[WeekChange],MATCH(TEmatchups[[#This Row],[Name]],DK_Salary_Changes[Player],0)),"")</f>
        <v>-400</v>
      </c>
      <c r="E23" s="14" t="str">
        <f>IFERROR(INDEX(Salaries[Team],MATCH(TEmatchups[[#This Row],[Name]],Salaries[Player],0)),"")</f>
        <v>CLE</v>
      </c>
      <c r="F23" s="14" t="str">
        <f>IFERROR(INDEX(Salaries[Opp],MATCH(TEmatchups[[#This Row],[Team]],Salaries[Team],0)),"")</f>
        <v>@WAS</v>
      </c>
      <c r="G23" s="457">
        <f>IFERROR(INDEX(TightEndYTD[Rec],MATCH(TEmatchups[Name],TightEndYTD[Player],0)),"0")</f>
        <v>9</v>
      </c>
      <c r="H23" s="191">
        <f>IFERROR(INDEX(targettracker54[TTL],MATCH(TEmatchups[Name],targettracker54[Name],0)),"0")</f>
        <v>13</v>
      </c>
      <c r="I23" s="458">
        <f>IFERROR(INDEX(TightEndYTD[Rec Yds],MATCH(TEmatchups[Name],TightEndYTD[Player],0)),"0")</f>
        <v>103</v>
      </c>
      <c r="J23" s="459">
        <f>IFERROR(INDEX(TightEndYTD[Rec TD],MATCH(TEmatchups[Name],TightEndYTD[Player],0)),"0")</f>
        <v>0</v>
      </c>
      <c r="K23" s="431">
        <f>IFERROR(INDEX(Salaries[O/U],MATCH(TEmatchups[[#This Row],[Team]],Salaries[Team],0)),"")</f>
        <v>45.5</v>
      </c>
      <c r="L23" s="32">
        <f>IFERROR(INDEX(Salaries[Team O/U],MATCH(TEmatchups[[#This Row],[Team]],Salaries[Team],0)),"")</f>
        <v>18.75</v>
      </c>
      <c r="M23" s="417">
        <f>IFERROR(INDEX(Salaries[Spread],MATCH(TEmatchups[[#This Row],[Team]],Salaries[Team],0)),"")</f>
        <v>8</v>
      </c>
      <c r="N23" s="424">
        <f>IFERROR(INDEX(TEallowed[DVP],MATCH(TEmatchups[[#This Row],[Opp]],TEallowed[Team],0)),IFERROR(INDEX(TEallowed[DVP],MATCH(TEmatchups[[#This Row],[Opp]],TEallowed[Opp],0)),""))</f>
        <v>15</v>
      </c>
      <c r="O23" s="17">
        <f>IFERROR(INDEX(YAtCData[YAtC],MATCH(TEmatchups[[#This Row],[Name]],YAtCData[Player],0)),"0")</f>
        <v>65</v>
      </c>
      <c r="P23" s="497">
        <f>IFERROR(INDEX(YAtCData[YAtC/Rec],MATCH(TEmatchups[[#This Row],[Name]],YAtCData[Player],0)),"0")</f>
        <v>7.22</v>
      </c>
      <c r="Q23" s="17">
        <f>IFERROR(INDEX(YAtCData[YAC],MATCH(TEmatchups[[#This Row],[Name]],YAtCData[Player],0)),"0")</f>
        <v>38</v>
      </c>
      <c r="R23" s="497">
        <f>IFERROR(INDEX(YACDATA[YAC per Reception],MATCH(TEmatchups[[#This Row],[Name]],YACDATA[Player],0)),"0")</f>
        <v>4.2</v>
      </c>
      <c r="S23" s="418">
        <f>AVERAGE(TEmatchups[[#This Row],[Tar1]:[Tar3]])</f>
        <v>5.2</v>
      </c>
      <c r="T23" s="19">
        <f>AVERAGE(TEmatchups[[#This Row],[Rec1]:[Rec3]])</f>
        <v>3.5946666666666665</v>
      </c>
      <c r="U23" s="202">
        <f>SUM(TEmatchups[[#This Row],[Rec4]]/TEmatchups[[#This Row],[Targets2]])</f>
        <v>0.69128205128205122</v>
      </c>
      <c r="V23" s="32">
        <f>AVERAGE(TEmatchups[[#This Row],[Yards1]:[Yards3]])</f>
        <v>41.092666666666666</v>
      </c>
      <c r="W23" s="19">
        <f>SUM(TEmatchups[[#This Row],[Yards]]/TEmatchups[[#This Row],[Targets2]])</f>
        <v>7.9024358974358968</v>
      </c>
      <c r="X23" s="32">
        <f>AVERAGE(TEmatchups[[#This Row],[TD1]:[TD3]])</f>
        <v>0.3135</v>
      </c>
      <c r="Y23" s="14">
        <v>13</v>
      </c>
      <c r="Z23" s="19">
        <f>SUM(TEmatchups[[#This Row],[Yards]]*0.1)+(TEmatchups[[#This Row],[TD]]*6)+(TEmatchups[[#This Row],[Rec4]]*1)+(TEmatchups[[#This Row],[100+]])</f>
        <v>9.5849333333333337</v>
      </c>
      <c r="AA23" s="8">
        <f>_xlfn.RANK.EQ(TEmatchups[[#This Row],[$/FP]],TEmatchups[$/FP],1)</f>
        <v>15</v>
      </c>
      <c r="AB23" s="484">
        <f>SUM(TEmatchups[[#This Row],[Salary]]/TEmatchups[[#This Row],[Projection]])</f>
        <v>375.58946680206435</v>
      </c>
      <c r="AC23" s="482">
        <f>_xlfn.RANK.EQ(TEmatchups[[#This Row],[Average2]],TEmatchups[Average2],1)</f>
        <v>13</v>
      </c>
      <c r="AD23" s="241">
        <f>AVERAGE(TEmatchups[[#This Row],[Proj Rank]],TEmatchups[[#This Row],[Value Rank]])</f>
        <v>14</v>
      </c>
      <c r="AE23" s="210">
        <f>TEmatchups[[#This Row],[Salary]]/50000</f>
        <v>7.1999999999999995E-2</v>
      </c>
      <c r="AF23" s="210"/>
      <c r="AG23" s="14">
        <f>IFERROR(INDEX(TEstats3[Targets],MATCH(TEmatchups[[#This Row],[Name]],TEstats3[Player],0)),"0")</f>
        <v>5.2</v>
      </c>
      <c r="AH23" s="14" t="str">
        <f>IFERROR(INDEX(TEstats2[Targets],MATCH(TEmatchups[[#This Row],[Name]],TEstats2[Player],0)),"0")</f>
        <v>0</v>
      </c>
      <c r="AI23" s="14">
        <f>IFERROR(INDEX(TEstats3[Targets],MATCH(TEmatchups[[#This Row],[Name]],TEstats3[Player],0)),"0")</f>
        <v>5.2</v>
      </c>
      <c r="AJ23" s="14">
        <f>IFERROR(INDEX(TEstats1[Rec],MATCH(TEmatchups[[#This Row],[Name]],TEstats1[Player],0)),"0")</f>
        <v>4.0839999999999996</v>
      </c>
      <c r="AK23" s="14">
        <f>IFERROR(INDEX(TEstats2[Rec],MATCH(TEmatchups[[#This Row],[Name]],TEstats2[Player],0)),"0")</f>
        <v>3.3</v>
      </c>
      <c r="AL23" s="14">
        <f>IFERROR(INDEX(TEstats3[Rec],MATCH(TEmatchups[[#This Row],[Name]],TEstats3[Player],0)),"0")</f>
        <v>3.4</v>
      </c>
      <c r="AM23" s="32" t="str">
        <f>IFERROR(INDEX(TEallowed[Rec],MATCH(TEmatchups[[#This Row],[Opp]],TEallowed[Team],0)),"0")</f>
        <v>0</v>
      </c>
      <c r="AN23" s="14">
        <f>IFERROR(INDEX(TEstats1[Rec Yds],MATCH(TEmatchups[[#This Row],[Name]],TEstats1[Player],0)),"0")</f>
        <v>44.378</v>
      </c>
      <c r="AO23" s="14">
        <f>IFERROR(INDEX(TEstats2[RecYards],MATCH(TEmatchups[[#This Row],[Name]],TEstats2[Player],0)),"0")</f>
        <v>36.6</v>
      </c>
      <c r="AP23" s="14">
        <f>IFERROR(INDEX(TEstats3[RecYards],MATCH(TEmatchups[[#This Row],[Name]],TEstats3[Player],0)),"0")</f>
        <v>42.3</v>
      </c>
      <c r="AQ23" s="32" t="str">
        <f>IFERROR(INDEX(TEallowed[Yard],MATCH(TEmatchups[[#This Row],[Opp]],TEallowed[Team],0)),"0")</f>
        <v>0</v>
      </c>
      <c r="AR23" s="14">
        <f>IFERROR(INDEX(TEstats1[Rec TD],MATCH(TEmatchups[[#This Row],[Name]],TEstats1[Player],0)),"0")</f>
        <v>0.32700000000000001</v>
      </c>
      <c r="AS23" s="14" t="str">
        <f>IFERROR(INDEX(TEstats2[RecTD],MATCH(TEmatchups[[#This Row],[Name]],TEstats2[Player],0)),"0")</f>
        <v>0.3</v>
      </c>
      <c r="AT23" s="14">
        <f>IFERROR(INDEX(TEstats3[RecTD],MATCH(TEmatchups[[#This Row],[Name]],TEstats3[Player],0)),"0")</f>
        <v>0.3</v>
      </c>
      <c r="AU23" s="32" t="str">
        <f>IFERROR(INDEX(TEallowed[TD],MATCH(TEmatchups[[#This Row],[Opp]],TEallowed[Team],0)),"0")</f>
        <v>0</v>
      </c>
      <c r="AV23" s="32">
        <f>IF(TEmatchups[[#This Row],[Yards]]&gt;=100,3,0)</f>
        <v>0</v>
      </c>
    </row>
    <row r="24" spans="1:48" ht="15" thickBot="1" x14ac:dyDescent="0.35">
      <c r="A24" s="37">
        <f>TEstats1!AL15</f>
        <v>8.1999999999999993</v>
      </c>
      <c r="B24" s="5" t="str">
        <f>TEstats1!D15</f>
        <v>Dwayne Allen</v>
      </c>
      <c r="C24" s="172">
        <f>IFERROR(INDEX(Salaries[DraftKings (Price)],MATCH(TEmatchups[[#This Row],[Name]],Salaries[Player],0)),"")</f>
        <v>3800</v>
      </c>
      <c r="D24" s="172">
        <f>IFERROR(INDEX(DK_Salary_Changes[WeekChange],MATCH(TEmatchups[[#This Row],[Name]],DK_Salary_Changes[Player],0)),"")</f>
        <v>0</v>
      </c>
      <c r="E24" s="14" t="str">
        <f>IFERROR(INDEX(Salaries[Team],MATCH(TEmatchups[[#This Row],[Name]],Salaries[Player],0)),"")</f>
        <v>IND</v>
      </c>
      <c r="F24" s="14" t="str">
        <f>IFERROR(INDEX(Salaries[Opp],MATCH(TEmatchups[[#This Row],[Team]],Salaries[Team],0)),"")</f>
        <v>@JAX</v>
      </c>
      <c r="G24" s="457">
        <f>IFERROR(INDEX(TightEndYTD[Rec],MATCH(TEmatchups[Name],TightEndYTD[Player],0)),"0")</f>
        <v>9</v>
      </c>
      <c r="H24" s="191">
        <f>IFERROR(INDEX(targettracker54[TTL],MATCH(TEmatchups[Name],targettracker54[Name],0)),"0")</f>
        <v>15</v>
      </c>
      <c r="I24" s="458">
        <f>IFERROR(INDEX(TightEndYTD[Rec Yds],MATCH(TEmatchups[Name],TightEndYTD[Player],0)),"0")</f>
        <v>113</v>
      </c>
      <c r="J24" s="459">
        <f>IFERROR(INDEX(TightEndYTD[Rec TD],MATCH(TEmatchups[Name],TightEndYTD[Player],0)),"0")</f>
        <v>1</v>
      </c>
      <c r="K24" s="431">
        <f>IFERROR(INDEX(Salaries[O/U],MATCH(TEmatchups[[#This Row],[Team]],Salaries[Team],0)),"")</f>
        <v>49.5</v>
      </c>
      <c r="L24" s="32">
        <f>IFERROR(INDEX(Salaries[Team O/U],MATCH(TEmatchups[[#This Row],[Team]],Salaries[Team],0)),"")</f>
        <v>26</v>
      </c>
      <c r="M24" s="417">
        <f>IFERROR(INDEX(Salaries[Spread],MATCH(TEmatchups[[#This Row],[Team]],Salaries[Team],0)),"")</f>
        <v>-2.5</v>
      </c>
      <c r="N24" s="424">
        <f>IFERROR(INDEX(TEallowed[DVP],MATCH(TEmatchups[[#This Row],[Opp]],TEallowed[Team],0)),IFERROR(INDEX(TEallowed[DVP],MATCH(TEmatchups[[#This Row],[Opp]],TEallowed[Opp],0)),""))</f>
        <v>27</v>
      </c>
      <c r="O24" s="17">
        <f>IFERROR(INDEX(YAtCData[YAtC],MATCH(TEmatchups[[#This Row],[Name]],YAtCData[Player],0)),"0")</f>
        <v>84</v>
      </c>
      <c r="P24" s="497">
        <f>IFERROR(INDEX(YAtCData[YAtC/Rec],MATCH(TEmatchups[[#This Row],[Name]],YAtCData[Player],0)),"0")</f>
        <v>9.33</v>
      </c>
      <c r="Q24" s="17">
        <f>IFERROR(INDEX(YAtCData[YAC],MATCH(TEmatchups[[#This Row],[Name]],YAtCData[Player],0)),"0")</f>
        <v>29</v>
      </c>
      <c r="R24" s="497">
        <f>IFERROR(INDEX(YACDATA[YAC per Reception],MATCH(TEmatchups[[#This Row],[Name]],YACDATA[Player],0)),"0")</f>
        <v>3.2</v>
      </c>
      <c r="S24" s="418">
        <f>AVERAGE(TEmatchups[[#This Row],[Tar1]:[Tar3]])</f>
        <v>4.9000000000000004</v>
      </c>
      <c r="T24" s="19">
        <f>AVERAGE(TEmatchups[[#This Row],[Rec1]:[Rec3]])</f>
        <v>3.5180000000000002</v>
      </c>
      <c r="U24" s="202">
        <f>SUM(TEmatchups[[#This Row],[Rec4]]/TEmatchups[[#This Row],[Targets2]])</f>
        <v>0.71795918367346934</v>
      </c>
      <c r="V24" s="32">
        <f>AVERAGE(TEmatchups[[#This Row],[Yards1]:[Yards3]])</f>
        <v>39.762333333333338</v>
      </c>
      <c r="W24" s="19">
        <f>SUM(TEmatchups[[#This Row],[Yards]]/TEmatchups[[#This Row],[Targets2]])</f>
        <v>8.114761904761906</v>
      </c>
      <c r="X24" s="32">
        <f>AVERAGE(TEmatchups[[#This Row],[TD1]:[TD3]])</f>
        <v>0.38550000000000001</v>
      </c>
      <c r="Y24" s="14">
        <v>14</v>
      </c>
      <c r="Z24" s="19">
        <f>SUM(TEmatchups[[#This Row],[Yards]]*0.1)+(TEmatchups[[#This Row],[TD]]*6)+(TEmatchups[[#This Row],[Rec4]]*1)+(TEmatchups[[#This Row],[100+]])</f>
        <v>9.8072333333333344</v>
      </c>
      <c r="AA24" s="8">
        <f>_xlfn.RANK.EQ(TEmatchups[[#This Row],[$/FP]],TEmatchups[$/FP],1)</f>
        <v>16</v>
      </c>
      <c r="AB24" s="484">
        <f>SUM(TEmatchups[[#This Row],[Salary]]/TEmatchups[[#This Row],[Projection]])</f>
        <v>387.46911293365099</v>
      </c>
      <c r="AC24" s="482">
        <f>_xlfn.RANK.EQ(TEmatchups[[#This Row],[Average2]],TEmatchups[Average2],1)</f>
        <v>15</v>
      </c>
      <c r="AD24" s="241">
        <f>AVERAGE(TEmatchups[[#This Row],[Proj Rank]],TEmatchups[[#This Row],[Value Rank]])</f>
        <v>15</v>
      </c>
      <c r="AE24" s="210">
        <f>TEmatchups[[#This Row],[Salary]]/50000</f>
        <v>7.5999999999999998E-2</v>
      </c>
      <c r="AF24" s="210"/>
      <c r="AG24" s="14">
        <f>IFERROR(INDEX(TEstats3[Targets],MATCH(TEmatchups[[#This Row],[Name]],TEstats3[Player],0)),"0")</f>
        <v>4.9000000000000004</v>
      </c>
      <c r="AH24" s="14" t="str">
        <f>IFERROR(INDEX(TEstats2[Targets],MATCH(TEmatchups[[#This Row],[Name]],TEstats2[Player],0)),"0")</f>
        <v>0</v>
      </c>
      <c r="AI24" s="14">
        <f>IFERROR(INDEX(TEstats3[Targets],MATCH(TEmatchups[[#This Row],[Name]],TEstats3[Player],0)),"0")</f>
        <v>4.9000000000000004</v>
      </c>
      <c r="AJ24" s="14">
        <f>IFERROR(INDEX(TEstats1[Rec],MATCH(TEmatchups[[#This Row],[Name]],TEstats1[Player],0)),"0")</f>
        <v>3.754</v>
      </c>
      <c r="AK24" s="14">
        <f>IFERROR(INDEX(TEstats2[Rec],MATCH(TEmatchups[[#This Row],[Name]],TEstats2[Player],0)),"0")</f>
        <v>3.7</v>
      </c>
      <c r="AL24" s="14">
        <f>IFERROR(INDEX(TEstats3[Rec],MATCH(TEmatchups[[#This Row],[Name]],TEstats3[Player],0)),"0")</f>
        <v>3.1</v>
      </c>
      <c r="AM24" s="32" t="str">
        <f>IFERROR(INDEX(TEallowed[Rec],MATCH(TEmatchups[[#This Row],[Opp]],TEallowed[Team],0)),"0")</f>
        <v>0</v>
      </c>
      <c r="AN24" s="14">
        <f>IFERROR(INDEX(TEstats1[Rec Yds],MATCH(TEmatchups[[#This Row],[Name]],TEstats1[Player],0)),"0")</f>
        <v>41.286999999999999</v>
      </c>
      <c r="AO24" s="14">
        <f>IFERROR(INDEX(TEstats2[RecYards],MATCH(TEmatchups[[#This Row],[Name]],TEstats2[Player],0)),"0")</f>
        <v>41.5</v>
      </c>
      <c r="AP24" s="14">
        <f>IFERROR(INDEX(TEstats3[RecYards],MATCH(TEmatchups[[#This Row],[Name]],TEstats3[Player],0)),"0")</f>
        <v>36.5</v>
      </c>
      <c r="AQ24" s="32" t="str">
        <f>IFERROR(INDEX(TEallowed[Yard],MATCH(TEmatchups[[#This Row],[Opp]],TEallowed[Team],0)),"0")</f>
        <v>0</v>
      </c>
      <c r="AR24" s="14">
        <f>IFERROR(INDEX(TEstats1[Rec TD],MATCH(TEmatchups[[#This Row],[Name]],TEstats1[Player],0)),"0")</f>
        <v>0.371</v>
      </c>
      <c r="AS24" s="14" t="str">
        <f>IFERROR(INDEX(TEstats2[RecTD],MATCH(TEmatchups[[#This Row],[Name]],TEstats2[Player],0)),"0")</f>
        <v>0.4</v>
      </c>
      <c r="AT24" s="14">
        <f>IFERROR(INDEX(TEstats3[RecTD],MATCH(TEmatchups[[#This Row],[Name]],TEstats3[Player],0)),"0")</f>
        <v>0.4</v>
      </c>
      <c r="AU24" s="32" t="str">
        <f>IFERROR(INDEX(TEallowed[TD],MATCH(TEmatchups[[#This Row],[Opp]],TEallowed[Team],0)),"0")</f>
        <v>0</v>
      </c>
      <c r="AV24" s="32">
        <f>IF(TEmatchups[[#This Row],[Yards]]&gt;=100,3,0)</f>
        <v>0</v>
      </c>
    </row>
    <row r="25" spans="1:48" ht="15" thickBot="1" x14ac:dyDescent="0.35">
      <c r="A25" s="37">
        <f>TEstats1!AL16</f>
        <v>8.6999999999999993</v>
      </c>
      <c r="B25" s="5" t="str">
        <f>TEstats1!D16</f>
        <v>Zach Miller</v>
      </c>
      <c r="C25" s="172">
        <f>IFERROR(INDEX(Salaries[DraftKings (Price)],MATCH(TEmatchups[[#This Row],[Name]],Salaries[Player],0)),"")</f>
        <v>2700</v>
      </c>
      <c r="D25" s="172" t="str">
        <f>IFERROR(INDEX(DK_Salary_Changes[WeekChange],MATCH(TEmatchups[[#This Row],[Name]],DK_Salary_Changes[Player],0)),"")</f>
        <v/>
      </c>
      <c r="E25" s="14" t="str">
        <f>IFERROR(INDEX(Salaries[Team],MATCH(TEmatchups[[#This Row],[Name]],Salaries[Player],0)),"")</f>
        <v>CHI</v>
      </c>
      <c r="F25" s="14" t="str">
        <f>IFERROR(INDEX(Salaries[Opp],MATCH(TEmatchups[[#This Row],[Team]],Salaries[Team],0)),"")</f>
        <v>DET</v>
      </c>
      <c r="G25" s="457">
        <f>IFERROR(INDEX(TightEndYTD[Rec],MATCH(TEmatchups[Name],TightEndYTD[Player],0)),"0")</f>
        <v>15</v>
      </c>
      <c r="H25" s="191">
        <f>IFERROR(INDEX(targettracker54[TTL],MATCH(TEmatchups[Name],targettracker54[Name],0)),"0")</f>
        <v>18</v>
      </c>
      <c r="I25" s="458">
        <f>IFERROR(INDEX(TightEndYTD[Rec Yds],MATCH(TEmatchups[Name],TightEndYTD[Player],0)),"0")</f>
        <v>125</v>
      </c>
      <c r="J25" s="459">
        <f>IFERROR(INDEX(TightEndYTD[Rec TD],MATCH(TEmatchups[Name],TightEndYTD[Player],0)),"0")</f>
        <v>2</v>
      </c>
      <c r="K25" s="431">
        <f>IFERROR(INDEX(Salaries[O/U],MATCH(TEmatchups[[#This Row],[Team]],Salaries[Team],0)),"")</f>
        <v>46.5</v>
      </c>
      <c r="L25" s="32">
        <f>IFERROR(INDEX(Salaries[Team O/U],MATCH(TEmatchups[[#This Row],[Team]],Salaries[Team],0)),"")</f>
        <v>21.75</v>
      </c>
      <c r="M25" s="417">
        <f>IFERROR(INDEX(Salaries[Spread],MATCH(TEmatchups[[#This Row],[Team]],Salaries[Team],0)),"")</f>
        <v>3</v>
      </c>
      <c r="N25" s="424">
        <f>IFERROR(INDEX(TEallowed[DVP],MATCH(TEmatchups[[#This Row],[Opp]],TEallowed[Team],0)),IFERROR(INDEX(TEallowed[DVP],MATCH(TEmatchups[[#This Row],[Opp]],TEallowed[Opp],0)),""))</f>
        <v>29</v>
      </c>
      <c r="O25" s="17">
        <f>IFERROR(INDEX(YAtCData[YAtC],MATCH(TEmatchups[[#This Row],[Name]],YAtCData[Player],0)),"0")</f>
        <v>69</v>
      </c>
      <c r="P25" s="497">
        <f>IFERROR(INDEX(YAtCData[YAtC/Rec],MATCH(TEmatchups[[#This Row],[Name]],YAtCData[Player],0)),"0")</f>
        <v>4.5999999999999996</v>
      </c>
      <c r="Q25" s="17">
        <f>IFERROR(INDEX(YAtCData[YAC],MATCH(TEmatchups[[#This Row],[Name]],YAtCData[Player],0)),"0")</f>
        <v>56</v>
      </c>
      <c r="R25" s="497">
        <f>IFERROR(INDEX(YACDATA[YAC per Reception],MATCH(TEmatchups[[#This Row],[Name]],YACDATA[Player],0)),"0")</f>
        <v>3.7</v>
      </c>
      <c r="S25" s="418">
        <f>AVERAGE(TEmatchups[[#This Row],[Tar1]:[Tar3]])</f>
        <v>4.8</v>
      </c>
      <c r="T25" s="19">
        <f>AVERAGE(TEmatchups[[#This Row],[Rec1]:[Rec3]])</f>
        <v>4.1589999999999998</v>
      </c>
      <c r="U25" s="202">
        <f>SUM(TEmatchups[[#This Row],[Rec4]]/TEmatchups[[#This Row],[Targets2]])</f>
        <v>0.86645833333333333</v>
      </c>
      <c r="V25" s="32">
        <f>AVERAGE(TEmatchups[[#This Row],[Yards1]:[Yards3]])</f>
        <v>42.290333333333329</v>
      </c>
      <c r="W25" s="19">
        <f>SUM(TEmatchups[[#This Row],[Yards]]/TEmatchups[[#This Row],[Targets2]])</f>
        <v>8.8104861111111106</v>
      </c>
      <c r="X25" s="32">
        <f>AVERAGE(TEmatchups[[#This Row],[TD1]:[TD3]])</f>
        <v>0.30499999999999999</v>
      </c>
      <c r="Y25" s="14">
        <v>15</v>
      </c>
      <c r="Z25" s="19">
        <f>SUM(TEmatchups[[#This Row],[Yards]]*0.1)+(TEmatchups[[#This Row],[TD]]*6)+(TEmatchups[[#This Row],[Rec4]]*1)+(TEmatchups[[#This Row],[100+]])</f>
        <v>10.218033333333333</v>
      </c>
      <c r="AA25" s="8">
        <f>_xlfn.RANK.EQ(TEmatchups[[#This Row],[$/FP]],TEmatchups[$/FP],1)</f>
        <v>2</v>
      </c>
      <c r="AB25" s="484">
        <f>SUM(TEmatchups[[#This Row],[Salary]]/TEmatchups[[#This Row],[Projection]])</f>
        <v>264.23871521264692</v>
      </c>
      <c r="AC25" s="482">
        <f>_xlfn.RANK.EQ(TEmatchups[[#This Row],[Average2]],TEmatchups[Average2],1)</f>
        <v>5</v>
      </c>
      <c r="AD25" s="241">
        <f>AVERAGE(TEmatchups[[#This Row],[Proj Rank]],TEmatchups[[#This Row],[Value Rank]])</f>
        <v>8.5</v>
      </c>
      <c r="AE25" s="210">
        <f>TEmatchups[[#This Row],[Salary]]/50000</f>
        <v>5.3999999999999999E-2</v>
      </c>
      <c r="AF25" s="210"/>
      <c r="AG25" s="14">
        <f>IFERROR(INDEX(TEstats3[Targets],MATCH(TEmatchups[[#This Row],[Name]],TEstats3[Player],0)),"0")</f>
        <v>4.8</v>
      </c>
      <c r="AH25" s="14" t="str">
        <f>IFERROR(INDEX(TEstats2[Targets],MATCH(TEmatchups[[#This Row],[Name]],TEstats2[Player],0)),"0")</f>
        <v>0</v>
      </c>
      <c r="AI25" s="14">
        <f>IFERROR(INDEX(TEstats3[Targets],MATCH(TEmatchups[[#This Row],[Name]],TEstats3[Player],0)),"0")</f>
        <v>4.8</v>
      </c>
      <c r="AJ25" s="14">
        <f>IFERROR(INDEX(TEstats1[Rec],MATCH(TEmatchups[[#This Row],[Name]],TEstats1[Player],0)),"0")</f>
        <v>5.3769999999999998</v>
      </c>
      <c r="AK25" s="14">
        <f>IFERROR(INDEX(TEstats2[Rec],MATCH(TEmatchups[[#This Row],[Name]],TEstats2[Player],0)),"0")</f>
        <v>3.3</v>
      </c>
      <c r="AL25" s="14">
        <f>IFERROR(INDEX(TEstats3[Rec],MATCH(TEmatchups[[#This Row],[Name]],TEstats3[Player],0)),"0")</f>
        <v>3.8</v>
      </c>
      <c r="AM25" s="32">
        <f>IFERROR(INDEX(TEallowed[Rec],MATCH(TEmatchups[[#This Row],[Opp]],TEallowed[Team],0)),"0")</f>
        <v>5</v>
      </c>
      <c r="AN25" s="14">
        <f>IFERROR(INDEX(TEstats1[Rec Yds],MATCH(TEmatchups[[#This Row],[Name]],TEstats1[Player],0)),"0")</f>
        <v>42.470999999999997</v>
      </c>
      <c r="AO25" s="14">
        <f>IFERROR(INDEX(TEstats2[RecYards],MATCH(TEmatchups[[#This Row],[Name]],TEstats2[Player],0)),"0")</f>
        <v>41.7</v>
      </c>
      <c r="AP25" s="14">
        <f>IFERROR(INDEX(TEstats3[RecYards],MATCH(TEmatchups[[#This Row],[Name]],TEstats3[Player],0)),"0")</f>
        <v>42.7</v>
      </c>
      <c r="AQ25" s="32">
        <f>IFERROR(INDEX(TEallowed[Yard],MATCH(TEmatchups[[#This Row],[Opp]],TEallowed[Team],0)),"0")</f>
        <v>57.125</v>
      </c>
      <c r="AR25" s="14">
        <f>IFERROR(INDEX(TEstats1[Rec TD],MATCH(TEmatchups[[#This Row],[Name]],TEstats1[Player],0)),"0")</f>
        <v>0.31</v>
      </c>
      <c r="AS25" s="14" t="str">
        <f>IFERROR(INDEX(TEstats2[RecTD],MATCH(TEmatchups[[#This Row],[Name]],TEstats2[Player],0)),"0")</f>
        <v>0.3</v>
      </c>
      <c r="AT25" s="14">
        <f>IFERROR(INDEX(TEstats3[RecTD],MATCH(TEmatchups[[#This Row],[Name]],TEstats3[Player],0)),"0")</f>
        <v>0.3</v>
      </c>
      <c r="AU25" s="32">
        <f>IFERROR(INDEX(TEallowed[TD],MATCH(TEmatchups[[#This Row],[Opp]],TEallowed[Team],0)),"0")</f>
        <v>0.4375</v>
      </c>
      <c r="AV25" s="32">
        <f>IF(TEmatchups[[#This Row],[Yards]]&gt;=100,3,0)</f>
        <v>0</v>
      </c>
    </row>
    <row r="26" spans="1:48" ht="15" thickBot="1" x14ac:dyDescent="0.35">
      <c r="A26" s="37">
        <f>TEstats1!AL17</f>
        <v>7.7</v>
      </c>
      <c r="B26" s="5" t="str">
        <f>TEstats1!D17</f>
        <v>Hunter Henry</v>
      </c>
      <c r="C26" s="172">
        <f>IFERROR(INDEX(Salaries[DraftKings (Price)],MATCH(TEmatchups[[#This Row],[Name]],Salaries[Player],0)),"")</f>
        <v>2700</v>
      </c>
      <c r="D26" s="172">
        <f>IFERROR(INDEX(DK_Salary_Changes[WeekChange],MATCH(TEmatchups[[#This Row],[Name]],DK_Salary_Changes[Player],0)),"")</f>
        <v>200</v>
      </c>
      <c r="E26" s="14" t="str">
        <f>IFERROR(INDEX(Salaries[Team],MATCH(TEmatchups[[#This Row],[Name]],Salaries[Player],0)),"")</f>
        <v>SD</v>
      </c>
      <c r="F26" s="14" t="str">
        <f>IFERROR(INDEX(Salaries[Opp],MATCH(TEmatchups[[#This Row],[Team]],Salaries[Team],0)),"")</f>
        <v>NO</v>
      </c>
      <c r="G26" s="457">
        <f>IFERROR(INDEX(TightEndYTD[Rec],MATCH(TEmatchups[Name],TightEndYTD[Player],0)),"0")</f>
        <v>6</v>
      </c>
      <c r="H26" s="191">
        <f>IFERROR(INDEX(targettracker54[TTL],MATCH(TEmatchups[Name],targettracker54[Name],0)),"0")</f>
        <v>7</v>
      </c>
      <c r="I26" s="458">
        <f>IFERROR(INDEX(TightEndYTD[Rec Yds],MATCH(TEmatchups[Name],TightEndYTD[Player],0)),"0")</f>
        <v>96</v>
      </c>
      <c r="J26" s="459">
        <f>IFERROR(INDEX(TightEndYTD[Rec TD],MATCH(TEmatchups[Name],TightEndYTD[Player],0)),"0")</f>
        <v>0</v>
      </c>
      <c r="K26" s="431">
        <f>IFERROR(INDEX(Salaries[O/U],MATCH(TEmatchups[[#This Row],[Team]],Salaries[Team],0)),"")</f>
        <v>53.5</v>
      </c>
      <c r="L26" s="32">
        <f>IFERROR(INDEX(Salaries[Team O/U],MATCH(TEmatchups[[#This Row],[Team]],Salaries[Team],0)),"")</f>
        <v>28.75</v>
      </c>
      <c r="M26" s="417">
        <f>IFERROR(INDEX(Salaries[Spread],MATCH(TEmatchups[[#This Row],[Team]],Salaries[Team],0)),"")</f>
        <v>-4</v>
      </c>
      <c r="N26" s="424">
        <f>IFERROR(INDEX(TEallowed[DVP],MATCH(TEmatchups[[#This Row],[Opp]],TEallowed[Team],0)),IFERROR(INDEX(TEallowed[DVP],MATCH(TEmatchups[[#This Row],[Opp]],TEallowed[Opp],0)),""))</f>
        <v>32</v>
      </c>
      <c r="O26" s="17">
        <f>IFERROR(INDEX(YAtCData[YAtC],MATCH(TEmatchups[[#This Row],[Name]],YAtCData[Player],0)),"0")</f>
        <v>49</v>
      </c>
      <c r="P26" s="497">
        <f>IFERROR(INDEX(YAtCData[YAtC/Rec],MATCH(TEmatchups[[#This Row],[Name]],YAtCData[Player],0)),"0")</f>
        <v>8.17</v>
      </c>
      <c r="Q26" s="17">
        <f>IFERROR(INDEX(YAtCData[YAC],MATCH(TEmatchups[[#This Row],[Name]],YAtCData[Player],0)),"0")</f>
        <v>47</v>
      </c>
      <c r="R26" s="497">
        <f>IFERROR(INDEX(YACDATA[YAC per Reception],MATCH(TEmatchups[[#This Row],[Name]],YACDATA[Player],0)),"0")</f>
        <v>7.8</v>
      </c>
      <c r="S26" s="418">
        <f>AVERAGE(TEmatchups[[#This Row],[Tar1]:[Tar3]])</f>
        <v>6.2</v>
      </c>
      <c r="T26" s="19">
        <f>AVERAGE(TEmatchups[[#This Row],[Rec1]:[Rec3]])</f>
        <v>4.3590000000000009</v>
      </c>
      <c r="U26" s="202">
        <f>SUM(TEmatchups[[#This Row],[Rec4]]/TEmatchups[[#This Row],[Targets2]])</f>
        <v>0.70306451612903242</v>
      </c>
      <c r="V26" s="32">
        <f>AVERAGE(TEmatchups[[#This Row],[Yards1]:[Yards3]])</f>
        <v>46.79666666666666</v>
      </c>
      <c r="W26" s="19">
        <f>SUM(TEmatchups[[#This Row],[Yards]]/TEmatchups[[#This Row],[Targets2]])</f>
        <v>7.5478494623655896</v>
      </c>
      <c r="X26" s="32">
        <f>AVERAGE(TEmatchups[[#This Row],[TD1]:[TD3]])</f>
        <v>0.3805</v>
      </c>
      <c r="Y26" s="14">
        <v>16</v>
      </c>
      <c r="Z26" s="19">
        <f>SUM(TEmatchups[[#This Row],[Yards]]*0.1)+(TEmatchups[[#This Row],[TD]]*6)+(TEmatchups[[#This Row],[Rec4]]*1)+(TEmatchups[[#This Row],[100+]])</f>
        <v>11.321666666666665</v>
      </c>
      <c r="AA26" s="8">
        <f>_xlfn.RANK.EQ(TEmatchups[[#This Row],[$/FP]],TEmatchups[$/FP],1)</f>
        <v>1</v>
      </c>
      <c r="AB26" s="484">
        <f>SUM(TEmatchups[[#This Row],[Salary]]/TEmatchups[[#This Row],[Projection]])</f>
        <v>238.48078904754897</v>
      </c>
      <c r="AC26" s="482">
        <f>_xlfn.RANK.EQ(TEmatchups[[#This Row],[Average2]],TEmatchups[Average2],1)</f>
        <v>5</v>
      </c>
      <c r="AD26" s="241">
        <f>AVERAGE(TEmatchups[[#This Row],[Proj Rank]],TEmatchups[[#This Row],[Value Rank]])</f>
        <v>8.5</v>
      </c>
      <c r="AE26" s="210">
        <f>TEmatchups[[#This Row],[Salary]]/50000</f>
        <v>5.3999999999999999E-2</v>
      </c>
      <c r="AF26" s="210"/>
      <c r="AG26" s="14">
        <f>IFERROR(INDEX(TEstats3[Targets],MATCH(TEmatchups[[#This Row],[Name]],TEstats3[Player],0)),"0")</f>
        <v>6.2</v>
      </c>
      <c r="AH26" s="14" t="str">
        <f>IFERROR(INDEX(TEstats2[Targets],MATCH(TEmatchups[[#This Row],[Name]],TEstats2[Player],0)),"0")</f>
        <v>0</v>
      </c>
      <c r="AI26" s="14">
        <f>IFERROR(INDEX(TEstats3[Targets],MATCH(TEmatchups[[#This Row],[Name]],TEstats3[Player],0)),"0")</f>
        <v>6.2</v>
      </c>
      <c r="AJ26" s="14">
        <f>IFERROR(INDEX(TEstats1[Rec],MATCH(TEmatchups[[#This Row],[Name]],TEstats1[Player],0)),"0")</f>
        <v>3.677</v>
      </c>
      <c r="AK26" s="14">
        <f>IFERROR(INDEX(TEstats2[Rec],MATCH(TEmatchups[[#This Row],[Name]],TEstats2[Player],0)),"0")</f>
        <v>5.2</v>
      </c>
      <c r="AL26" s="14">
        <f>IFERROR(INDEX(TEstats3[Rec],MATCH(TEmatchups[[#This Row],[Name]],TEstats3[Player],0)),"0")</f>
        <v>4.2</v>
      </c>
      <c r="AM26" s="32">
        <f>IFERROR(INDEX(TEallowed[Rec],MATCH(TEmatchups[[#This Row],[Opp]],TEallowed[Team],0)),"0")</f>
        <v>5.0625</v>
      </c>
      <c r="AN26" s="14">
        <f>IFERROR(INDEX(TEstats1[Rec Yds],MATCH(TEmatchups[[#This Row],[Name]],TEstats1[Player],0)),"0")</f>
        <v>37.89</v>
      </c>
      <c r="AO26" s="14">
        <f>IFERROR(INDEX(TEstats2[RecYards],MATCH(TEmatchups[[#This Row],[Name]],TEstats2[Player],0)),"0")</f>
        <v>49.9</v>
      </c>
      <c r="AP26" s="14">
        <f>IFERROR(INDEX(TEstats3[RecYards],MATCH(TEmatchups[[#This Row],[Name]],TEstats3[Player],0)),"0")</f>
        <v>52.6</v>
      </c>
      <c r="AQ26" s="32">
        <f>IFERROR(INDEX(TEallowed[Yard],MATCH(TEmatchups[[#This Row],[Opp]],TEallowed[Team],0)),"0")</f>
        <v>48.8125</v>
      </c>
      <c r="AR26" s="14">
        <f>IFERROR(INDEX(TEstats1[Rec TD],MATCH(TEmatchups[[#This Row],[Name]],TEstats1[Player],0)),"0")</f>
        <v>0.36099999999999999</v>
      </c>
      <c r="AS26" s="14" t="str">
        <f>IFERROR(INDEX(TEstats2[RecTD],MATCH(TEmatchups[[#This Row],[Name]],TEstats2[Player],0)),"0")</f>
        <v>0.1</v>
      </c>
      <c r="AT26" s="14">
        <f>IFERROR(INDEX(TEstats3[RecTD],MATCH(TEmatchups[[#This Row],[Name]],TEstats3[Player],0)),"0")</f>
        <v>0.4</v>
      </c>
      <c r="AU26" s="32">
        <f>IFERROR(INDEX(TEallowed[TD],MATCH(TEmatchups[[#This Row],[Opp]],TEallowed[Team],0)),"0")</f>
        <v>0.375</v>
      </c>
      <c r="AV26" s="32">
        <f>IF(TEmatchups[[#This Row],[Yards]]&gt;=100,3,0)</f>
        <v>0</v>
      </c>
    </row>
    <row r="27" spans="1:48" ht="15" thickBot="1" x14ac:dyDescent="0.35">
      <c r="A27" s="37">
        <f>TEstats1!AL18</f>
        <v>7.2</v>
      </c>
      <c r="B27" s="5" t="str">
        <f>TEstats1!D18</f>
        <v>Martellus Bennett</v>
      </c>
      <c r="C27" s="172">
        <f>IFERROR(INDEX(Salaries[DraftKings (Price)],MATCH(TEmatchups[[#This Row],[Name]],Salaries[Player],0)),"")</f>
        <v>3500</v>
      </c>
      <c r="D27" s="172">
        <f>IFERROR(INDEX(DK_Salary_Changes[WeekChange],MATCH(TEmatchups[[#This Row],[Name]],DK_Salary_Changes[Player],0)),"")</f>
        <v>-1200</v>
      </c>
      <c r="E27" s="14" t="str">
        <f>IFERROR(INDEX(Salaries[Team],MATCH(TEmatchups[[#This Row],[Name]],Salaries[Player],0)),"")</f>
        <v>NE</v>
      </c>
      <c r="F27" s="14" t="str">
        <f>IFERROR(INDEX(Salaries[Opp],MATCH(TEmatchups[[#This Row],[Team]],Salaries[Team],0)),"")</f>
        <v>BUF</v>
      </c>
      <c r="G27" s="457">
        <f>IFERROR(INDEX(TightEndYTD[Rec],MATCH(TEmatchups[Name],TightEndYTD[Player],0)),"0")</f>
        <v>10</v>
      </c>
      <c r="H27" s="191">
        <f>IFERROR(INDEX(targettracker54[TTL],MATCH(TEmatchups[Name],targettracker54[Name],0)),"0")</f>
        <v>14</v>
      </c>
      <c r="I27" s="458">
        <f>IFERROR(INDEX(TightEndYTD[Rec Yds],MATCH(TEmatchups[Name],TightEndYTD[Player],0)),"0")</f>
        <v>138</v>
      </c>
      <c r="J27" s="459">
        <f>IFERROR(INDEX(TightEndYTD[Rec TD],MATCH(TEmatchups[Name],TightEndYTD[Player],0)),"0")</f>
        <v>1</v>
      </c>
      <c r="K27" s="431">
        <f>IFERROR(INDEX(Salaries[O/U],MATCH(TEmatchups[[#This Row],[Team]],Salaries[Team],0)),"")</f>
        <v>44</v>
      </c>
      <c r="L27" s="32">
        <f>IFERROR(INDEX(Salaries[Team O/U],MATCH(TEmatchups[[#This Row],[Team]],Salaries[Team],0)),"")</f>
        <v>24.25</v>
      </c>
      <c r="M27" s="417">
        <f>IFERROR(INDEX(Salaries[Spread],MATCH(TEmatchups[[#This Row],[Team]],Salaries[Team],0)),"")</f>
        <v>-4.5</v>
      </c>
      <c r="N27" s="424">
        <f>IFERROR(INDEX(TEallowed[DVP],MATCH(TEmatchups[[#This Row],[Opp]],TEallowed[Team],0)),IFERROR(INDEX(TEallowed[DVP],MATCH(TEmatchups[[#This Row],[Opp]],TEallowed[Opp],0)),""))</f>
        <v>10</v>
      </c>
      <c r="O27" s="17">
        <f>IFERROR(INDEX(YAtCData[YAtC],MATCH(TEmatchups[[#This Row],[Name]],YAtCData[Player],0)),"0")</f>
        <v>31</v>
      </c>
      <c r="P27" s="497">
        <f>IFERROR(INDEX(YAtCData[YAtC/Rec],MATCH(TEmatchups[[#This Row],[Name]],YAtCData[Player],0)),"0")</f>
        <v>3.1</v>
      </c>
      <c r="Q27" s="17">
        <f>IFERROR(INDEX(YAtCData[YAC],MATCH(TEmatchups[[#This Row],[Name]],YAtCData[Player],0)),"0")</f>
        <v>107</v>
      </c>
      <c r="R27" s="497">
        <f>IFERROR(INDEX(YACDATA[YAC per Reception],MATCH(TEmatchups[[#This Row],[Name]],YACDATA[Player],0)),"0")</f>
        <v>10.7</v>
      </c>
      <c r="S27" s="418">
        <f>AVERAGE(TEmatchups[[#This Row],[Tar1]:[Tar3]])</f>
        <v>4.7</v>
      </c>
      <c r="T27" s="19">
        <f>AVERAGE(TEmatchups[[#This Row],[Rec1]:[Rec3]])</f>
        <v>3.2893333333333334</v>
      </c>
      <c r="U27" s="202">
        <f>SUM(TEmatchups[[#This Row],[Rec4]]/TEmatchups[[#This Row],[Targets2]])</f>
        <v>0.69985815602836876</v>
      </c>
      <c r="V27" s="32">
        <f>AVERAGE(TEmatchups[[#This Row],[Yards1]:[Yards3]])</f>
        <v>37.264666666666663</v>
      </c>
      <c r="W27" s="19">
        <f>SUM(TEmatchups[[#This Row],[Yards]]/TEmatchups[[#This Row],[Targets2]])</f>
        <v>7.9286524822695021</v>
      </c>
      <c r="X27" s="32">
        <f>AVERAGE(TEmatchups[[#This Row],[TD1]:[TD3]])</f>
        <v>0.29000000000000004</v>
      </c>
      <c r="Y27" s="14">
        <v>17</v>
      </c>
      <c r="Z27" s="19">
        <f>SUM(TEmatchups[[#This Row],[Yards]]*0.1)+(TEmatchups[[#This Row],[TD]]*6)+(TEmatchups[[#This Row],[Rec4]]*1)+(TEmatchups[[#This Row],[100+]])</f>
        <v>8.7558000000000007</v>
      </c>
      <c r="AA27" s="8">
        <f>_xlfn.RANK.EQ(TEmatchups[[#This Row],[$/FP]],TEmatchups[$/FP],1)</f>
        <v>18</v>
      </c>
      <c r="AB27" s="484">
        <f>SUM(TEmatchups[[#This Row],[Salary]]/TEmatchups[[#This Row],[Projection]])</f>
        <v>399.73503277827268</v>
      </c>
      <c r="AC27" s="482">
        <f>_xlfn.RANK.EQ(TEmatchups[[#This Row],[Average2]],TEmatchups[Average2],1)</f>
        <v>23</v>
      </c>
      <c r="AD27" s="241">
        <f>AVERAGE(TEmatchups[[#This Row],[Proj Rank]],TEmatchups[[#This Row],[Value Rank]])</f>
        <v>17.5</v>
      </c>
      <c r="AE27" s="210">
        <f>TEmatchups[[#This Row],[Salary]]/50000</f>
        <v>7.0000000000000007E-2</v>
      </c>
      <c r="AF27" s="210"/>
      <c r="AG27" s="14">
        <f>IFERROR(INDEX(TEstats3[Targets],MATCH(TEmatchups[[#This Row],[Name]],TEstats3[Player],0)),"0")</f>
        <v>4.7</v>
      </c>
      <c r="AH27" s="14" t="str">
        <f>IFERROR(INDEX(TEstats2[Targets],MATCH(TEmatchups[[#This Row],[Name]],TEstats2[Player],0)),"0")</f>
        <v>0</v>
      </c>
      <c r="AI27" s="14">
        <f>IFERROR(INDEX(TEstats3[Targets],MATCH(TEmatchups[[#This Row],[Name]],TEstats3[Player],0)),"0")</f>
        <v>4.7</v>
      </c>
      <c r="AJ27" s="14">
        <f>IFERROR(INDEX(TEstats1[Rec],MATCH(TEmatchups[[#This Row],[Name]],TEstats1[Player],0)),"0")</f>
        <v>2.968</v>
      </c>
      <c r="AK27" s="14">
        <f>IFERROR(INDEX(TEstats2[Rec],MATCH(TEmatchups[[#This Row],[Name]],TEstats2[Player],0)),"0")</f>
        <v>3.7</v>
      </c>
      <c r="AL27" s="14">
        <f>IFERROR(INDEX(TEstats3[Rec],MATCH(TEmatchups[[#This Row],[Name]],TEstats3[Player],0)),"0")</f>
        <v>3.2</v>
      </c>
      <c r="AM27" s="32">
        <f>IFERROR(INDEX(TEallowed[Rec],MATCH(TEmatchups[[#This Row],[Opp]],TEallowed[Team],0)),"0")</f>
        <v>4.875</v>
      </c>
      <c r="AN27" s="14">
        <f>IFERROR(INDEX(TEstats1[Rec Yds],MATCH(TEmatchups[[#This Row],[Name]],TEstats1[Player],0)),"0")</f>
        <v>40.793999999999997</v>
      </c>
      <c r="AO27" s="14">
        <f>IFERROR(INDEX(TEstats2[RecYards],MATCH(TEmatchups[[#This Row],[Name]],TEstats2[Player],0)),"0")</f>
        <v>39.9</v>
      </c>
      <c r="AP27" s="14">
        <f>IFERROR(INDEX(TEstats3[RecYards],MATCH(TEmatchups[[#This Row],[Name]],TEstats3[Player],0)),"0")</f>
        <v>31.1</v>
      </c>
      <c r="AQ27" s="32">
        <f>IFERROR(INDEX(TEallowed[Yard],MATCH(TEmatchups[[#This Row],[Opp]],TEallowed[Team],0)),"0")</f>
        <v>52.375</v>
      </c>
      <c r="AR27" s="14">
        <f>IFERROR(INDEX(TEstats1[Rec TD],MATCH(TEmatchups[[#This Row],[Name]],TEstats1[Player],0)),"0")</f>
        <v>0.28000000000000003</v>
      </c>
      <c r="AS27" s="14" t="str">
        <f>IFERROR(INDEX(TEstats2[RecTD],MATCH(TEmatchups[[#This Row],[Name]],TEstats2[Player],0)),"0")</f>
        <v>0.4</v>
      </c>
      <c r="AT27" s="14">
        <f>IFERROR(INDEX(TEstats3[RecTD],MATCH(TEmatchups[[#This Row],[Name]],TEstats3[Player],0)),"0")</f>
        <v>0.3</v>
      </c>
      <c r="AU27" s="32">
        <f>IFERROR(INDEX(TEallowed[TD],MATCH(TEmatchups[[#This Row],[Opp]],TEallowed[Team],0)),"0")</f>
        <v>0.75</v>
      </c>
      <c r="AV27" s="32">
        <f>IF(TEmatchups[[#This Row],[Yards]]&gt;=100,3,0)</f>
        <v>0</v>
      </c>
    </row>
    <row r="28" spans="1:48" ht="15" thickBot="1" x14ac:dyDescent="0.35">
      <c r="A28" s="37">
        <f>TEstats1!AL19</f>
        <v>7.4</v>
      </c>
      <c r="B28" s="5" t="str">
        <f>TEstats1!D19</f>
        <v>Jack Doyle</v>
      </c>
      <c r="C28" s="172">
        <f>IFERROR(INDEX(Salaries[DraftKings (Price)],MATCH(TEmatchups[[#This Row],[Name]],Salaries[Player],0)),"")</f>
        <v>2500</v>
      </c>
      <c r="D28" s="172">
        <f>IFERROR(INDEX(DK_Salary_Changes[WeekChange],MATCH(TEmatchups[[#This Row],[Name]],DK_Salary_Changes[Player],0)),"")</f>
        <v>0</v>
      </c>
      <c r="E28" s="14" t="str">
        <f>IFERROR(INDEX(Salaries[Team],MATCH(TEmatchups[[#This Row],[Name]],Salaries[Player],0)),"")</f>
        <v>IND</v>
      </c>
      <c r="F28" s="14" t="str">
        <f>IFERROR(INDEX(Salaries[Opp],MATCH(TEmatchups[[#This Row],[Team]],Salaries[Team],0)),"")</f>
        <v>@JAX</v>
      </c>
      <c r="G28" s="457">
        <f>IFERROR(INDEX(TightEndYTD[Rec],MATCH(TEmatchups[Name],TightEndYTD[Player],0)),"0")</f>
        <v>13</v>
      </c>
      <c r="H28" s="191">
        <f>IFERROR(INDEX(targettracker54[TTL],MATCH(TEmatchups[Name],targettracker54[Name],0)),"0")</f>
        <v>15</v>
      </c>
      <c r="I28" s="458">
        <f>IFERROR(INDEX(TightEndYTD[Rec Yds],MATCH(TEmatchups[Name],TightEndYTD[Player],0)),"0")</f>
        <v>137</v>
      </c>
      <c r="J28" s="459">
        <f>IFERROR(INDEX(TightEndYTD[Rec TD],MATCH(TEmatchups[Name],TightEndYTD[Player],0)),"0")</f>
        <v>2</v>
      </c>
      <c r="K28" s="431">
        <f>IFERROR(INDEX(Salaries[O/U],MATCH(TEmatchups[[#This Row],[Team]],Salaries[Team],0)),"")</f>
        <v>49.5</v>
      </c>
      <c r="L28" s="32">
        <f>IFERROR(INDEX(Salaries[Team O/U],MATCH(TEmatchups[[#This Row],[Team]],Salaries[Team],0)),"")</f>
        <v>26</v>
      </c>
      <c r="M28" s="417">
        <f>IFERROR(INDEX(Salaries[Spread],MATCH(TEmatchups[[#This Row],[Team]],Salaries[Team],0)),"")</f>
        <v>-2.5</v>
      </c>
      <c r="N28" s="424">
        <f>IFERROR(INDEX(TEallowed[DVP],MATCH(TEmatchups[[#This Row],[Opp]],TEallowed[Team],0)),IFERROR(INDEX(TEallowed[DVP],MATCH(TEmatchups[[#This Row],[Opp]],TEallowed[Opp],0)),""))</f>
        <v>27</v>
      </c>
      <c r="O28" s="17">
        <f>IFERROR(INDEX(YAtCData[YAtC],MATCH(TEmatchups[[#This Row],[Name]],YAtCData[Player],0)),"0")</f>
        <v>81</v>
      </c>
      <c r="P28" s="497">
        <f>IFERROR(INDEX(YAtCData[YAtC/Rec],MATCH(TEmatchups[[#This Row],[Name]],YAtCData[Player],0)),"0")</f>
        <v>6.23</v>
      </c>
      <c r="Q28" s="17">
        <f>IFERROR(INDEX(YAtCData[YAC],MATCH(TEmatchups[[#This Row],[Name]],YAtCData[Player],0)),"0")</f>
        <v>56</v>
      </c>
      <c r="R28" s="497">
        <f>IFERROR(INDEX(YACDATA[YAC per Reception],MATCH(TEmatchups[[#This Row],[Name]],YACDATA[Player],0)),"0")</f>
        <v>4.3</v>
      </c>
      <c r="S28" s="418">
        <f>AVERAGE(TEmatchups[[#This Row],[Tar1]:[Tar3]])</f>
        <v>4.2</v>
      </c>
      <c r="T28" s="19">
        <f>AVERAGE(TEmatchups[[#This Row],[Rec1]:[Rec3]])</f>
        <v>2.968</v>
      </c>
      <c r="U28" s="202">
        <f>SUM(TEmatchups[[#This Row],[Rec4]]/TEmatchups[[#This Row],[Targets2]])</f>
        <v>0.70666666666666667</v>
      </c>
      <c r="V28" s="32">
        <f>AVERAGE(TEmatchups[[#This Row],[Yards1]:[Yards3]])</f>
        <v>29.597333333333335</v>
      </c>
      <c r="W28" s="19">
        <f>SUM(TEmatchups[[#This Row],[Yards]]/TEmatchups[[#This Row],[Targets2]])</f>
        <v>7.0469841269841274</v>
      </c>
      <c r="X28" s="32">
        <f>AVERAGE(TEmatchups[[#This Row],[TD1]:[TD3]])</f>
        <v>0.3805</v>
      </c>
      <c r="Y28" s="14">
        <v>18</v>
      </c>
      <c r="Z28" s="19">
        <f>SUM(TEmatchups[[#This Row],[Yards]]*0.1)+(TEmatchups[[#This Row],[TD]]*6)+(TEmatchups[[#This Row],[Rec4]]*1)+(TEmatchups[[#This Row],[100+]])</f>
        <v>8.2107333333333337</v>
      </c>
      <c r="AA28" s="8">
        <f>_xlfn.RANK.EQ(TEmatchups[[#This Row],[$/FP]],TEmatchups[$/FP],1)</f>
        <v>6</v>
      </c>
      <c r="AB28" s="484">
        <f>SUM(TEmatchups[[#This Row],[Salary]]/TEmatchups[[#This Row],[Projection]])</f>
        <v>304.47950243989573</v>
      </c>
      <c r="AC28" s="482">
        <f>_xlfn.RANK.EQ(TEmatchups[[#This Row],[Average2]],TEmatchups[Average2],1)</f>
        <v>9</v>
      </c>
      <c r="AD28" s="241">
        <f>AVERAGE(TEmatchups[[#This Row],[Proj Rank]],TEmatchups[[#This Row],[Value Rank]])</f>
        <v>12</v>
      </c>
      <c r="AE28" s="210">
        <f>TEmatchups[[#This Row],[Salary]]/50000</f>
        <v>0.05</v>
      </c>
      <c r="AF28" s="210"/>
      <c r="AG28" s="14">
        <f>IFERROR(INDEX(TEstats3[Targets],MATCH(TEmatchups[[#This Row],[Name]],TEstats3[Player],0)),"0")</f>
        <v>4.2</v>
      </c>
      <c r="AH28" s="14" t="str">
        <f>IFERROR(INDEX(TEstats2[Targets],MATCH(TEmatchups[[#This Row],[Name]],TEstats2[Player],0)),"0")</f>
        <v>0</v>
      </c>
      <c r="AI28" s="14">
        <f>IFERROR(INDEX(TEstats3[Targets],MATCH(TEmatchups[[#This Row],[Name]],TEstats3[Player],0)),"0")</f>
        <v>4.2</v>
      </c>
      <c r="AJ28" s="14">
        <f>IFERROR(INDEX(TEstats1[Rec],MATCH(TEmatchups[[#This Row],[Name]],TEstats1[Player],0)),"0")</f>
        <v>3.504</v>
      </c>
      <c r="AK28" s="14">
        <f>IFERROR(INDEX(TEstats2[Rec],MATCH(TEmatchups[[#This Row],[Name]],TEstats2[Player],0)),"0")</f>
        <v>2.2000000000000002</v>
      </c>
      <c r="AL28" s="14">
        <f>IFERROR(INDEX(TEstats3[Rec],MATCH(TEmatchups[[#This Row],[Name]],TEstats3[Player],0)),"0")</f>
        <v>3.2</v>
      </c>
      <c r="AM28" s="32" t="str">
        <f>IFERROR(INDEX(TEallowed[Rec],MATCH(TEmatchups[[#This Row],[Opp]],TEallowed[Team],0)),"0")</f>
        <v>0</v>
      </c>
      <c r="AN28" s="14">
        <f>IFERROR(INDEX(TEstats1[Rec Yds],MATCH(TEmatchups[[#This Row],[Name]],TEstats1[Player],0)),"0")</f>
        <v>35.591999999999999</v>
      </c>
      <c r="AO28" s="14">
        <f>IFERROR(INDEX(TEstats2[RecYards],MATCH(TEmatchups[[#This Row],[Name]],TEstats2[Player],0)),"0")</f>
        <v>19.8</v>
      </c>
      <c r="AP28" s="14">
        <f>IFERROR(INDEX(TEstats3[RecYards],MATCH(TEmatchups[[#This Row],[Name]],TEstats3[Player],0)),"0")</f>
        <v>33.4</v>
      </c>
      <c r="AQ28" s="32" t="str">
        <f>IFERROR(INDEX(TEallowed[Yard],MATCH(TEmatchups[[#This Row],[Opp]],TEallowed[Team],0)),"0")</f>
        <v>0</v>
      </c>
      <c r="AR28" s="14">
        <f>IFERROR(INDEX(TEstats1[Rec TD],MATCH(TEmatchups[[#This Row],[Name]],TEstats1[Player],0)),"0")</f>
        <v>0.36099999999999999</v>
      </c>
      <c r="AS28" s="14" t="str">
        <f>IFERROR(INDEX(TEstats2[RecTD],MATCH(TEmatchups[[#This Row],[Name]],TEstats2[Player],0)),"0")</f>
        <v>0.2</v>
      </c>
      <c r="AT28" s="14">
        <f>IFERROR(INDEX(TEstats3[RecTD],MATCH(TEmatchups[[#This Row],[Name]],TEstats3[Player],0)),"0")</f>
        <v>0.4</v>
      </c>
      <c r="AU28" s="32" t="str">
        <f>IFERROR(INDEX(TEallowed[TD],MATCH(TEmatchups[[#This Row],[Opp]],TEallowed[Team],0)),"0")</f>
        <v>0</v>
      </c>
      <c r="AV28" s="32">
        <f>IF(TEmatchups[[#This Row],[Yards]]&gt;=100,3,0)</f>
        <v>0</v>
      </c>
    </row>
    <row r="29" spans="1:48" ht="15" thickBot="1" x14ac:dyDescent="0.35">
      <c r="A29" s="37">
        <f>TEstats1!AL20</f>
        <v>7.5</v>
      </c>
      <c r="B29" s="5" t="str">
        <f>TEstats1!D20</f>
        <v>Jacob Tamme</v>
      </c>
      <c r="C29" s="172">
        <f>IFERROR(INDEX(Salaries[DraftKings (Price)],MATCH(TEmatchups[[#This Row],[Name]],Salaries[Player],0)),"")</f>
        <v>3400</v>
      </c>
      <c r="D29" s="172">
        <f>IFERROR(INDEX(DK_Salary_Changes[WeekChange],MATCH(TEmatchups[[#This Row],[Name]],DK_Salary_Changes[Player],0)),"")</f>
        <v>200</v>
      </c>
      <c r="E29" s="14" t="str">
        <f>IFERROR(INDEX(Salaries[Team],MATCH(TEmatchups[[#This Row],[Name]],Salaries[Player],0)),"")</f>
        <v>ATL</v>
      </c>
      <c r="F29" s="14" t="str">
        <f>IFERROR(INDEX(Salaries[Opp],MATCH(TEmatchups[[#This Row],[Team]],Salaries[Team],0)),"")</f>
        <v>CAR</v>
      </c>
      <c r="G29" s="457">
        <f>IFERROR(INDEX(TightEndYTD[Rec],MATCH(TEmatchups[Name],TightEndYTD[Player],0)),"0")</f>
        <v>14</v>
      </c>
      <c r="H29" s="191">
        <f>IFERROR(INDEX(targettracker54[TTL],MATCH(TEmatchups[Name],targettracker54[Name],0)),"0")</f>
        <v>20</v>
      </c>
      <c r="I29" s="458">
        <f>IFERROR(INDEX(TightEndYTD[Rec Yds],MATCH(TEmatchups[Name],TightEndYTD[Player],0)),"0")</f>
        <v>154</v>
      </c>
      <c r="J29" s="459">
        <f>IFERROR(INDEX(TightEndYTD[Rec TD],MATCH(TEmatchups[Name],TightEndYTD[Player],0)),"0")</f>
        <v>1</v>
      </c>
      <c r="K29" s="431">
        <f>IFERROR(INDEX(Salaries[O/U],MATCH(TEmatchups[[#This Row],[Team]],Salaries[Team],0)),"")</f>
        <v>50</v>
      </c>
      <c r="L29" s="32">
        <f>IFERROR(INDEX(Salaries[Team O/U],MATCH(TEmatchups[[#This Row],[Team]],Salaries[Team],0)),"")</f>
        <v>23.5</v>
      </c>
      <c r="M29" s="417">
        <f>IFERROR(INDEX(Salaries[Spread],MATCH(TEmatchups[[#This Row],[Team]],Salaries[Team],0)),"")</f>
        <v>3</v>
      </c>
      <c r="N29" s="424">
        <f>IFERROR(INDEX(TEallowed[DVP],MATCH(TEmatchups[[#This Row],[Opp]],TEallowed[Team],0)),IFERROR(INDEX(TEallowed[DVP],MATCH(TEmatchups[[#This Row],[Opp]],TEallowed[Opp],0)),""))</f>
        <v>12</v>
      </c>
      <c r="O29" s="17">
        <f>IFERROR(INDEX(YAtCData[YAtC],MATCH(TEmatchups[[#This Row],[Name]],YAtCData[Player],0)),"0")</f>
        <v>92</v>
      </c>
      <c r="P29" s="497">
        <f>IFERROR(INDEX(YAtCData[YAtC/Rec],MATCH(TEmatchups[[#This Row],[Name]],YAtCData[Player],0)),"0")</f>
        <v>6.57</v>
      </c>
      <c r="Q29" s="17">
        <f>IFERROR(INDEX(YAtCData[YAC],MATCH(TEmatchups[[#This Row],[Name]],YAtCData[Player],0)),"0")</f>
        <v>62</v>
      </c>
      <c r="R29" s="497">
        <f>IFERROR(INDEX(YACDATA[YAC per Reception],MATCH(TEmatchups[[#This Row],[Name]],YACDATA[Player],0)),"0")</f>
        <v>4.4000000000000004</v>
      </c>
      <c r="S29" s="418">
        <f>AVERAGE(TEmatchups[[#This Row],[Tar1]:[Tar3]])</f>
        <v>5.6</v>
      </c>
      <c r="T29" s="19">
        <f>AVERAGE(TEmatchups[[#This Row],[Rec1]:[Rec3]])</f>
        <v>4.1393333333333331</v>
      </c>
      <c r="U29" s="202">
        <f>SUM(TEmatchups[[#This Row],[Rec4]]/TEmatchups[[#This Row],[Targets2]])</f>
        <v>0.73916666666666664</v>
      </c>
      <c r="V29" s="32">
        <f>AVERAGE(TEmatchups[[#This Row],[Yards1]:[Yards3]])</f>
        <v>44.555666666666667</v>
      </c>
      <c r="W29" s="19">
        <f>SUM(TEmatchups[[#This Row],[Yards]]/TEmatchups[[#This Row],[Targets2]])</f>
        <v>7.9563690476190478</v>
      </c>
      <c r="X29" s="32">
        <f>AVERAGE(TEmatchups[[#This Row],[TD1]:[TD3]])</f>
        <v>0.20700000000000002</v>
      </c>
      <c r="Y29" s="14">
        <v>19</v>
      </c>
      <c r="Z29" s="19">
        <f>SUM(TEmatchups[[#This Row],[Yards]]*0.1)+(TEmatchups[[#This Row],[TD]]*6)+(TEmatchups[[#This Row],[Rec4]]*1)+(TEmatchups[[#This Row],[100+]])</f>
        <v>9.8369</v>
      </c>
      <c r="AA29" s="8">
        <f>_xlfn.RANK.EQ(TEmatchups[[#This Row],[$/FP]],TEmatchups[$/FP],1)</f>
        <v>12</v>
      </c>
      <c r="AB29" s="484">
        <f>SUM(TEmatchups[[#This Row],[Salary]]/TEmatchups[[#This Row],[Projection]])</f>
        <v>345.63734509855749</v>
      </c>
      <c r="AC29" s="482">
        <f>_xlfn.RANK.EQ(TEmatchups[[#This Row],[Average2]],TEmatchups[Average2],1)</f>
        <v>17</v>
      </c>
      <c r="AD29" s="241">
        <f>AVERAGE(TEmatchups[[#This Row],[Proj Rank]],TEmatchups[[#This Row],[Value Rank]])</f>
        <v>15.5</v>
      </c>
      <c r="AE29" s="210">
        <f>TEmatchups[[#This Row],[Salary]]/50000</f>
        <v>6.8000000000000005E-2</v>
      </c>
      <c r="AF29" s="210"/>
      <c r="AG29" s="14">
        <f>IFERROR(INDEX(TEstats3[Targets],MATCH(TEmatchups[[#This Row],[Name]],TEstats3[Player],0)),"0")</f>
        <v>5.6</v>
      </c>
      <c r="AH29" s="14" t="str">
        <f>IFERROR(INDEX(TEstats2[Targets],MATCH(TEmatchups[[#This Row],[Name]],TEstats2[Player],0)),"0")</f>
        <v>0</v>
      </c>
      <c r="AI29" s="14">
        <f>IFERROR(INDEX(TEstats3[Targets],MATCH(TEmatchups[[#This Row],[Name]],TEstats3[Player],0)),"0")</f>
        <v>5.6</v>
      </c>
      <c r="AJ29" s="14">
        <f>IFERROR(INDEX(TEstats1[Rec],MATCH(TEmatchups[[#This Row],[Name]],TEstats1[Player],0)),"0")</f>
        <v>3.9180000000000001</v>
      </c>
      <c r="AK29" s="14">
        <f>IFERROR(INDEX(TEstats2[Rec],MATCH(TEmatchups[[#This Row],[Name]],TEstats2[Player],0)),"0")</f>
        <v>4.3</v>
      </c>
      <c r="AL29" s="14">
        <f>IFERROR(INDEX(TEstats3[Rec],MATCH(TEmatchups[[#This Row],[Name]],TEstats3[Player],0)),"0")</f>
        <v>4.2</v>
      </c>
      <c r="AM29" s="32">
        <f>IFERROR(INDEX(TEallowed[Rec],MATCH(TEmatchups[[#This Row],[Opp]],TEallowed[Team],0)),"0")</f>
        <v>5.9375</v>
      </c>
      <c r="AN29" s="14">
        <f>IFERROR(INDEX(TEstats1[Rec Yds],MATCH(TEmatchups[[#This Row],[Name]],TEstats1[Player],0)),"0")</f>
        <v>43.567</v>
      </c>
      <c r="AO29" s="14">
        <f>IFERROR(INDEX(TEstats2[RecYards],MATCH(TEmatchups[[#This Row],[Name]],TEstats2[Player],0)),"0")</f>
        <v>43.7</v>
      </c>
      <c r="AP29" s="14">
        <f>IFERROR(INDEX(TEstats3[RecYards],MATCH(TEmatchups[[#This Row],[Name]],TEstats3[Player],0)),"0")</f>
        <v>46.4</v>
      </c>
      <c r="AQ29" s="32">
        <f>IFERROR(INDEX(TEallowed[Yard],MATCH(TEmatchups[[#This Row],[Opp]],TEallowed[Team],0)),"0")</f>
        <v>63.375</v>
      </c>
      <c r="AR29" s="14">
        <f>IFERROR(INDEX(TEstats1[Rec TD],MATCH(TEmatchups[[#This Row],[Name]],TEstats1[Player],0)),"0")</f>
        <v>0.214</v>
      </c>
      <c r="AS29" s="14" t="str">
        <f>IFERROR(INDEX(TEstats2[RecTD],MATCH(TEmatchups[[#This Row],[Name]],TEstats2[Player],0)),"0")</f>
        <v>0.3</v>
      </c>
      <c r="AT29" s="14">
        <f>IFERROR(INDEX(TEstats3[RecTD],MATCH(TEmatchups[[#This Row],[Name]],TEstats3[Player],0)),"0")</f>
        <v>0.2</v>
      </c>
      <c r="AU29" s="32">
        <f>IFERROR(INDEX(TEallowed[TD],MATCH(TEmatchups[[#This Row],[Opp]],TEallowed[Team],0)),"0")</f>
        <v>0.5625</v>
      </c>
      <c r="AV29" s="32">
        <f>IF(TEmatchups[[#This Row],[Yards]]&gt;=100,3,0)</f>
        <v>0</v>
      </c>
    </row>
    <row r="30" spans="1:48" ht="15" thickBot="1" x14ac:dyDescent="0.35">
      <c r="A30" s="37">
        <f>TEstats1!AL21</f>
        <v>7.1</v>
      </c>
      <c r="B30" s="5" t="str">
        <f>TEstats1!D21</f>
        <v>Cameron Brate</v>
      </c>
      <c r="C30" s="172">
        <f>IFERROR(INDEX(Salaries[DraftKings (Price)],MATCH(TEmatchups[[#This Row],[Name]],Salaries[Player],0)),"")</f>
        <v>2800</v>
      </c>
      <c r="D30" s="172">
        <f>IFERROR(INDEX(DK_Salary_Changes[WeekChange],MATCH(TEmatchups[[#This Row],[Name]],DK_Salary_Changes[Player],0)),"")</f>
        <v>300</v>
      </c>
      <c r="E30" s="14" t="str">
        <f>IFERROR(INDEX(Salaries[Team],MATCH(TEmatchups[[#This Row],[Name]],Salaries[Player],0)),"")</f>
        <v>TB</v>
      </c>
      <c r="F30" s="14" t="str">
        <f>IFERROR(INDEX(Salaries[Opp],MATCH(TEmatchups[[#This Row],[Team]],Salaries[Team],0)),"")</f>
        <v>DEN</v>
      </c>
      <c r="G30" s="457">
        <f>IFERROR(INDEX(TightEndYTD[Rec],MATCH(TEmatchups[Name],TightEndYTD[Player],0)),"0")</f>
        <v>11</v>
      </c>
      <c r="H30" s="191">
        <f>IFERROR(INDEX(targettracker54[TTL],MATCH(TEmatchups[Name],targettracker54[Name],0)),"0")</f>
        <v>18</v>
      </c>
      <c r="I30" s="458">
        <f>IFERROR(INDEX(TightEndYTD[Rec Yds],MATCH(TEmatchups[Name],TightEndYTD[Player],0)),"0")</f>
        <v>92</v>
      </c>
      <c r="J30" s="459">
        <f>IFERROR(INDEX(TightEndYTD[Rec TD],MATCH(TEmatchups[Name],TightEndYTD[Player],0)),"0")</f>
        <v>2</v>
      </c>
      <c r="K30" s="431">
        <f>IFERROR(INDEX(Salaries[O/U],MATCH(TEmatchups[[#This Row],[Team]],Salaries[Team],0)),"")</f>
        <v>44</v>
      </c>
      <c r="L30" s="32">
        <f>IFERROR(INDEX(Salaries[Team O/U],MATCH(TEmatchups[[#This Row],[Team]],Salaries[Team],0)),"")</f>
        <v>20.5</v>
      </c>
      <c r="M30" s="417">
        <f>IFERROR(INDEX(Salaries[Spread],MATCH(TEmatchups[[#This Row],[Team]],Salaries[Team],0)),"")</f>
        <v>3</v>
      </c>
      <c r="N30" s="424">
        <f>IFERROR(INDEX(TEallowed[DVP],MATCH(TEmatchups[[#This Row],[Opp]],TEallowed[Team],0)),IFERROR(INDEX(TEallowed[DVP],MATCH(TEmatchups[[#This Row],[Opp]],TEallowed[Opp],0)),""))</f>
        <v>22</v>
      </c>
      <c r="O30" s="17">
        <f>IFERROR(INDEX(YAtCData[YAtC],MATCH(TEmatchups[[#This Row],[Name]],YAtCData[Player],0)),"0")</f>
        <v>65</v>
      </c>
      <c r="P30" s="497">
        <f>IFERROR(INDEX(YAtCData[YAtC/Rec],MATCH(TEmatchups[[#This Row],[Name]],YAtCData[Player],0)),"0")</f>
        <v>5.91</v>
      </c>
      <c r="Q30" s="17">
        <f>IFERROR(INDEX(YAtCData[YAC],MATCH(TEmatchups[[#This Row],[Name]],YAtCData[Player],0)),"0")</f>
        <v>27</v>
      </c>
      <c r="R30" s="497">
        <f>IFERROR(INDEX(YACDATA[YAC per Reception],MATCH(TEmatchups[[#This Row],[Name]],YACDATA[Player],0)),"0")</f>
        <v>2.5</v>
      </c>
      <c r="S30" s="418">
        <f>AVERAGE(TEmatchups[[#This Row],[Tar1]:[Tar3]])</f>
        <v>3.8</v>
      </c>
      <c r="T30" s="19">
        <f>AVERAGE(TEmatchups[[#This Row],[Rec1]:[Rec3]])</f>
        <v>3.1119999999999997</v>
      </c>
      <c r="U30" s="202">
        <f>SUM(TEmatchups[[#This Row],[Rec4]]/TEmatchups[[#This Row],[Targets2]])</f>
        <v>0.81894736842105254</v>
      </c>
      <c r="V30" s="32">
        <f>AVERAGE(TEmatchups[[#This Row],[Yards1]:[Yards3]])</f>
        <v>33.258666666666663</v>
      </c>
      <c r="W30" s="19">
        <f>SUM(TEmatchups[[#This Row],[Yards]]/TEmatchups[[#This Row],[Targets2]])</f>
        <v>8.7522807017543851</v>
      </c>
      <c r="X30" s="32">
        <f>AVERAGE(TEmatchups[[#This Row],[TD1]:[TD3]])</f>
        <v>0.29549999999999998</v>
      </c>
      <c r="Y30" s="14">
        <v>20</v>
      </c>
      <c r="Z30" s="19">
        <f>SUM(TEmatchups[[#This Row],[Yards]]*0.1)+(TEmatchups[[#This Row],[TD]]*6)+(TEmatchups[[#This Row],[Rec4]]*1)+(TEmatchups[[#This Row],[100+]])</f>
        <v>8.2108666666666661</v>
      </c>
      <c r="AA30" s="8">
        <f>_xlfn.RANK.EQ(TEmatchups[[#This Row],[$/FP]],TEmatchups[$/FP],1)</f>
        <v>11</v>
      </c>
      <c r="AB30" s="484">
        <f>SUM(TEmatchups[[#This Row],[Salary]]/TEmatchups[[#This Row],[Projection]])</f>
        <v>341.01150507863565</v>
      </c>
      <c r="AC30" s="482">
        <f>_xlfn.RANK.EQ(TEmatchups[[#This Row],[Average2]],TEmatchups[Average2],1)</f>
        <v>17</v>
      </c>
      <c r="AD30" s="241">
        <f>AVERAGE(TEmatchups[[#This Row],[Proj Rank]],TEmatchups[[#This Row],[Value Rank]])</f>
        <v>15.5</v>
      </c>
      <c r="AE30" s="210">
        <f>TEmatchups[[#This Row],[Salary]]/50000</f>
        <v>5.6000000000000001E-2</v>
      </c>
      <c r="AF30" s="210"/>
      <c r="AG30" s="14">
        <f>IFERROR(INDEX(TEstats3[Targets],MATCH(TEmatchups[[#This Row],[Name]],TEstats3[Player],0)),"0")</f>
        <v>3.8</v>
      </c>
      <c r="AH30" s="14" t="str">
        <f>IFERROR(INDEX(TEstats2[Targets],MATCH(TEmatchups[[#This Row],[Name]],TEstats2[Player],0)),"0")</f>
        <v>0</v>
      </c>
      <c r="AI30" s="14">
        <f>IFERROR(INDEX(TEstats3[Targets],MATCH(TEmatchups[[#This Row],[Name]],TEstats3[Player],0)),"0")</f>
        <v>3.8</v>
      </c>
      <c r="AJ30" s="14">
        <f>IFERROR(INDEX(TEstats1[Rec],MATCH(TEmatchups[[#This Row],[Name]],TEstats1[Player],0)),"0")</f>
        <v>3.3359999999999999</v>
      </c>
      <c r="AK30" s="14">
        <f>IFERROR(INDEX(TEstats2[Rec],MATCH(TEmatchups[[#This Row],[Name]],TEstats2[Player],0)),"0")</f>
        <v>3.2</v>
      </c>
      <c r="AL30" s="14">
        <f>IFERROR(INDEX(TEstats3[Rec],MATCH(TEmatchups[[#This Row],[Name]],TEstats3[Player],0)),"0")</f>
        <v>2.8</v>
      </c>
      <c r="AM30" s="32">
        <f>IFERROR(INDEX(TEallowed[Rec],MATCH(TEmatchups[[#This Row],[Opp]],TEallowed[Team],0)),"0")</f>
        <v>4.6875</v>
      </c>
      <c r="AN30" s="14">
        <f>IFERROR(INDEX(TEstats1[Rec Yds],MATCH(TEmatchups[[#This Row],[Name]],TEstats1[Player],0)),"0")</f>
        <v>31.776</v>
      </c>
      <c r="AO30" s="14">
        <f>IFERROR(INDEX(TEstats2[RecYards],MATCH(TEmatchups[[#This Row],[Name]],TEstats2[Player],0)),"0")</f>
        <v>35.799999999999997</v>
      </c>
      <c r="AP30" s="14">
        <f>IFERROR(INDEX(TEstats3[RecYards],MATCH(TEmatchups[[#This Row],[Name]],TEstats3[Player],0)),"0")</f>
        <v>32.200000000000003</v>
      </c>
      <c r="AQ30" s="32">
        <f>IFERROR(INDEX(TEallowed[Yard],MATCH(TEmatchups[[#This Row],[Opp]],TEallowed[Team],0)),"0")</f>
        <v>54.5625</v>
      </c>
      <c r="AR30" s="14">
        <f>IFERROR(INDEX(TEstats1[Rec TD],MATCH(TEmatchups[[#This Row],[Name]],TEstats1[Player],0)),"0")</f>
        <v>0.39100000000000001</v>
      </c>
      <c r="AS30" s="14" t="str">
        <f>IFERROR(INDEX(TEstats2[RecTD],MATCH(TEmatchups[[#This Row],[Name]],TEstats2[Player],0)),"0")</f>
        <v>0.2</v>
      </c>
      <c r="AT30" s="14">
        <f>IFERROR(INDEX(TEstats3[RecTD],MATCH(TEmatchups[[#This Row],[Name]],TEstats3[Player],0)),"0")</f>
        <v>0.2</v>
      </c>
      <c r="AU30" s="32">
        <f>IFERROR(INDEX(TEallowed[TD],MATCH(TEmatchups[[#This Row],[Opp]],TEallowed[Team],0)),"0")</f>
        <v>0.5</v>
      </c>
      <c r="AV30" s="32">
        <f>IF(TEmatchups[[#This Row],[Yards]]&gt;=100,3,0)</f>
        <v>0</v>
      </c>
    </row>
    <row r="31" spans="1:48" ht="15" thickBot="1" x14ac:dyDescent="0.35">
      <c r="A31" s="37">
        <f>TEstats1!AL22</f>
        <v>7.4</v>
      </c>
      <c r="B31" s="5" t="str">
        <f>TEstats1!D22</f>
        <v>Garrett Celek</v>
      </c>
      <c r="C31" s="172">
        <f>IFERROR(INDEX(Salaries[DraftKings (Price)],MATCH(TEmatchups[[#This Row],[Name]],Salaries[Player],0)),"")</f>
        <v>2500</v>
      </c>
      <c r="D31" s="172">
        <f>IFERROR(INDEX(DK_Salary_Changes[WeekChange],MATCH(TEmatchups[[#This Row],[Name]],DK_Salary_Changes[Player],0)),"")</f>
        <v>0</v>
      </c>
      <c r="E31" s="14" t="str">
        <f>IFERROR(INDEX(Salaries[Team],MATCH(TEmatchups[[#This Row],[Name]],Salaries[Player],0)),"")</f>
        <v>SF</v>
      </c>
      <c r="F31" s="14" t="str">
        <f>IFERROR(INDEX(Salaries[Opp],MATCH(TEmatchups[[#This Row],[Team]],Salaries[Team],0)),"")</f>
        <v>DAL</v>
      </c>
      <c r="G31" s="457" t="str">
        <f>IFERROR(INDEX(TightEndYTD[Rec],MATCH(TEmatchups[Name],TightEndYTD[Player],0)),"0")</f>
        <v>0</v>
      </c>
      <c r="H31" s="191">
        <f>IFERROR(INDEX(targettracker54[TTL],MATCH(TEmatchups[Name],targettracker54[Name],0)),"0")</f>
        <v>10</v>
      </c>
      <c r="I31" s="458" t="str">
        <f>IFERROR(INDEX(TightEndYTD[Rec Yds],MATCH(TEmatchups[Name],TightEndYTD[Player],0)),"0")</f>
        <v>0</v>
      </c>
      <c r="J31" s="459" t="str">
        <f>IFERROR(INDEX(TightEndYTD[Rec TD],MATCH(TEmatchups[Name],TightEndYTD[Player],0)),"0")</f>
        <v>0</v>
      </c>
      <c r="K31" s="431">
        <f>IFERROR(INDEX(Salaries[O/U],MATCH(TEmatchups[[#This Row],[Team]],Salaries[Team],0)),"")</f>
        <v>46</v>
      </c>
      <c r="L31" s="32">
        <f>IFERROR(INDEX(Salaries[Team O/U],MATCH(TEmatchups[[#This Row],[Team]],Salaries[Team],0)),"")</f>
        <v>21.5</v>
      </c>
      <c r="M31" s="417">
        <f>IFERROR(INDEX(Salaries[Spread],MATCH(TEmatchups[[#This Row],[Team]],Salaries[Team],0)),"")</f>
        <v>3</v>
      </c>
      <c r="N31" s="424">
        <f>IFERROR(INDEX(TEallowed[DVP],MATCH(TEmatchups[[#This Row],[Opp]],TEallowed[Team],0)),IFERROR(INDEX(TEallowed[DVP],MATCH(TEmatchups[[#This Row],[Opp]],TEallowed[Opp],0)),""))</f>
        <v>2</v>
      </c>
      <c r="O31" s="17">
        <f>IFERROR(INDEX(YAtCData[YAtC],MATCH(TEmatchups[[#This Row],[Name]],YAtCData[Player],0)),"0")</f>
        <v>40</v>
      </c>
      <c r="P31" s="497">
        <f>IFERROR(INDEX(YAtCData[YAtC/Rec],MATCH(TEmatchups[[#This Row],[Name]],YAtCData[Player],0)),"0")</f>
        <v>8</v>
      </c>
      <c r="Q31" s="17">
        <f>IFERROR(INDEX(YAtCData[YAC],MATCH(TEmatchups[[#This Row],[Name]],YAtCData[Player],0)),"0")</f>
        <v>12</v>
      </c>
      <c r="R31" s="497">
        <f>IFERROR(INDEX(YACDATA[YAC per Reception],MATCH(TEmatchups[[#This Row],[Name]],YACDATA[Player],0)),"0")</f>
        <v>2.4</v>
      </c>
      <c r="S31" s="418">
        <f>AVERAGE(TEmatchups[[#This Row],[Tar1]:[Tar3]])</f>
        <v>1.4</v>
      </c>
      <c r="T31" s="19">
        <f>AVERAGE(TEmatchups[[#This Row],[Rec1]:[Rec3]])</f>
        <v>2.1206666666666667</v>
      </c>
      <c r="U31" s="202">
        <f>SUM(TEmatchups[[#This Row],[Rec4]]/TEmatchups[[#This Row],[Targets2]])</f>
        <v>1.514761904761905</v>
      </c>
      <c r="V31" s="32">
        <f>AVERAGE(TEmatchups[[#This Row],[Yards1]:[Yards3]])</f>
        <v>23.306666666666668</v>
      </c>
      <c r="W31" s="19">
        <f>SUM(TEmatchups[[#This Row],[Yards]]/TEmatchups[[#This Row],[Targets2]])</f>
        <v>16.647619047619049</v>
      </c>
      <c r="X31" s="32">
        <f>AVERAGE(TEmatchups[[#This Row],[TD1]:[TD3]])</f>
        <v>0.16650000000000001</v>
      </c>
      <c r="Y31" s="14">
        <v>21</v>
      </c>
      <c r="Z31" s="19">
        <f>SUM(TEmatchups[[#This Row],[Yards]]*0.1)+(TEmatchups[[#This Row],[TD]]*6)+(TEmatchups[[#This Row],[Rec4]]*1)+(TEmatchups[[#This Row],[100+]])</f>
        <v>5.4503333333333339</v>
      </c>
      <c r="AA31" s="8">
        <f>_xlfn.RANK.EQ(TEmatchups[[#This Row],[$/FP]],TEmatchups[$/FP],1)</f>
        <v>27</v>
      </c>
      <c r="AB31" s="484">
        <f>SUM(TEmatchups[[#This Row],[Salary]]/TEmatchups[[#This Row],[Projection]])</f>
        <v>458.68754204635798</v>
      </c>
      <c r="AC31" s="482">
        <f>_xlfn.RANK.EQ(TEmatchups[[#This Row],[Average2]],TEmatchups[Average2],1)</f>
        <v>26</v>
      </c>
      <c r="AD31" s="241">
        <f>AVERAGE(TEmatchups[[#This Row],[Proj Rank]],TEmatchups[[#This Row],[Value Rank]])</f>
        <v>24</v>
      </c>
      <c r="AE31" s="210">
        <f>TEmatchups[[#This Row],[Salary]]/50000</f>
        <v>0.05</v>
      </c>
      <c r="AF31" s="210"/>
      <c r="AG31" s="14">
        <f>IFERROR(INDEX(TEstats3[Targets],MATCH(TEmatchups[[#This Row],[Name]],TEstats3[Player],0)),"0")</f>
        <v>1.4</v>
      </c>
      <c r="AH31" s="14" t="str">
        <f>IFERROR(INDEX(TEstats2[Targets],MATCH(TEmatchups[[#This Row],[Name]],TEstats2[Player],0)),"0")</f>
        <v>0</v>
      </c>
      <c r="AI31" s="14">
        <f>IFERROR(INDEX(TEstats3[Targets],MATCH(TEmatchups[[#This Row],[Name]],TEstats3[Player],0)),"0")</f>
        <v>1.4</v>
      </c>
      <c r="AJ31" s="14">
        <f>IFERROR(INDEX(TEstats1[Rec],MATCH(TEmatchups[[#This Row],[Name]],TEstats1[Player],0)),"0")</f>
        <v>3.9620000000000002</v>
      </c>
      <c r="AK31" s="14">
        <f>IFERROR(INDEX(TEstats2[Rec],MATCH(TEmatchups[[#This Row],[Name]],TEstats2[Player],0)),"0")</f>
        <v>1.4</v>
      </c>
      <c r="AL31" s="14">
        <f>IFERROR(INDEX(TEstats3[Rec],MATCH(TEmatchups[[#This Row],[Name]],TEstats3[Player],0)),"0")</f>
        <v>1</v>
      </c>
      <c r="AM31" s="32">
        <f>IFERROR(INDEX(TEallowed[Rec],MATCH(TEmatchups[[#This Row],[Opp]],TEallowed[Team],0)),"0")</f>
        <v>5.25</v>
      </c>
      <c r="AN31" s="14">
        <f>IFERROR(INDEX(TEstats1[Rec Yds],MATCH(TEmatchups[[#This Row],[Name]],TEstats1[Player],0)),"0")</f>
        <v>41.22</v>
      </c>
      <c r="AO31" s="14">
        <f>IFERROR(INDEX(TEstats2[RecYards],MATCH(TEmatchups[[#This Row],[Name]],TEstats2[Player],0)),"0")</f>
        <v>16.899999999999999</v>
      </c>
      <c r="AP31" s="14">
        <f>IFERROR(INDEX(TEstats3[RecYards],MATCH(TEmatchups[[#This Row],[Name]],TEstats3[Player],0)),"0")</f>
        <v>11.8</v>
      </c>
      <c r="AQ31" s="32">
        <f>IFERROR(INDEX(TEallowed[Yard],MATCH(TEmatchups[[#This Row],[Opp]],TEallowed[Team],0)),"0")</f>
        <v>61</v>
      </c>
      <c r="AR31" s="14">
        <f>IFERROR(INDEX(TEstats1[Rec TD],MATCH(TEmatchups[[#This Row],[Name]],TEstats1[Player],0)),"0")</f>
        <v>0.23300000000000001</v>
      </c>
      <c r="AS31" s="14" t="str">
        <f>IFERROR(INDEX(TEstats2[RecTD],MATCH(TEmatchups[[#This Row],[Name]],TEstats2[Player],0)),"0")</f>
        <v>0.1</v>
      </c>
      <c r="AT31" s="14">
        <f>IFERROR(INDEX(TEstats3[RecTD],MATCH(TEmatchups[[#This Row],[Name]],TEstats3[Player],0)),"0")</f>
        <v>0.1</v>
      </c>
      <c r="AU31" s="32">
        <f>IFERROR(INDEX(TEallowed[TD],MATCH(TEmatchups[[#This Row],[Opp]],TEallowed[Team],0)),"0")</f>
        <v>0.375</v>
      </c>
      <c r="AV31" s="32">
        <f>IF(TEmatchups[[#This Row],[Yards]]&gt;=100,3,0)</f>
        <v>0</v>
      </c>
    </row>
    <row r="32" spans="1:48" ht="15" thickBot="1" x14ac:dyDescent="0.35">
      <c r="A32" s="37">
        <f>TEstats1!AL23</f>
        <v>6.9</v>
      </c>
      <c r="B32" s="5" t="str">
        <f>TEstats1!D23</f>
        <v>Dion Sims</v>
      </c>
      <c r="C32" s="172">
        <f>IFERROR(INDEX(Salaries[DraftKings (Price)],MATCH(TEmatchups[[#This Row],[Name]],Salaries[Player],0)),"")</f>
        <v>2500</v>
      </c>
      <c r="D32" s="172">
        <f>IFERROR(INDEX(DK_Salary_Changes[WeekChange],MATCH(TEmatchups[[#This Row],[Name]],DK_Salary_Changes[Player],0)),"")</f>
        <v>0</v>
      </c>
      <c r="E32" s="14" t="str">
        <f>IFERROR(INDEX(Salaries[Team],MATCH(TEmatchups[[#This Row],[Name]],Salaries[Player],0)),"")</f>
        <v>MIA</v>
      </c>
      <c r="F32" s="14" t="str">
        <f>IFERROR(INDEX(Salaries[Opp],MATCH(TEmatchups[[#This Row],[Team]],Salaries[Team],0)),"")</f>
        <v>@CIN</v>
      </c>
      <c r="G32" s="457" t="str">
        <f>IFERROR(INDEX(TightEndYTD[Rec],MATCH(TEmatchups[Name],TightEndYTD[Player],0)),"0")</f>
        <v>0</v>
      </c>
      <c r="H32" s="191">
        <f>IFERROR(INDEX(targettracker54[TTL],MATCH(TEmatchups[Name],targettracker54[Name],0)),"0")</f>
        <v>5</v>
      </c>
      <c r="I32" s="458" t="str">
        <f>IFERROR(INDEX(TightEndYTD[Rec Yds],MATCH(TEmatchups[Name],TightEndYTD[Player],0)),"0")</f>
        <v>0</v>
      </c>
      <c r="J32" s="459" t="str">
        <f>IFERROR(INDEX(TightEndYTD[Rec TD],MATCH(TEmatchups[Name],TightEndYTD[Player],0)),"0")</f>
        <v>0</v>
      </c>
      <c r="K32" s="431">
        <f>IFERROR(INDEX(Salaries[O/U],MATCH(TEmatchups[[#This Row],[Team]],Salaries[Team],0)),"")</f>
        <v>44.5</v>
      </c>
      <c r="L32" s="32">
        <f>IFERROR(INDEX(Salaries[Team O/U],MATCH(TEmatchups[[#This Row],[Team]],Salaries[Team],0)),"")</f>
        <v>18.75</v>
      </c>
      <c r="M32" s="417">
        <f>IFERROR(INDEX(Salaries[Spread],MATCH(TEmatchups[[#This Row],[Team]],Salaries[Team],0)),"")</f>
        <v>7</v>
      </c>
      <c r="N32" s="424">
        <f>IFERROR(INDEX(TEallowed[DVP],MATCH(TEmatchups[[#This Row],[Opp]],TEallowed[Team],0)),IFERROR(INDEX(TEallowed[DVP],MATCH(TEmatchups[[#This Row],[Opp]],TEallowed[Opp],0)),""))</f>
        <v>8</v>
      </c>
      <c r="O32" s="17">
        <f>IFERROR(INDEX(YAtCData[YAtC],MATCH(TEmatchups[[#This Row],[Name]],YAtCData[Player],0)),"0")</f>
        <v>40</v>
      </c>
      <c r="P32" s="497">
        <f>IFERROR(INDEX(YAtCData[YAtC/Rec],MATCH(TEmatchups[[#This Row],[Name]],YAtCData[Player],0)),"0")</f>
        <v>8</v>
      </c>
      <c r="Q32" s="17">
        <f>IFERROR(INDEX(YAtCData[YAC],MATCH(TEmatchups[[#This Row],[Name]],YAtCData[Player],0)),"0")</f>
        <v>27</v>
      </c>
      <c r="R32" s="497">
        <f>IFERROR(INDEX(YACDATA[YAC per Reception],MATCH(TEmatchups[[#This Row],[Name]],YACDATA[Player],0)),"0")</f>
        <v>5.4</v>
      </c>
      <c r="S32" s="418">
        <f>AVERAGE(TEmatchups[[#This Row],[Tar1]:[Tar3]])</f>
        <v>5.4</v>
      </c>
      <c r="T32" s="19">
        <f>AVERAGE(TEmatchups[[#This Row],[Rec1]:[Rec3]])</f>
        <v>3.4396666666666662</v>
      </c>
      <c r="U32" s="202">
        <f>SUM(TEmatchups[[#This Row],[Rec4]]/TEmatchups[[#This Row],[Targets2]])</f>
        <v>0.63697530864197516</v>
      </c>
      <c r="V32" s="32">
        <f>AVERAGE(TEmatchups[[#This Row],[Yards1]:[Yards3]])</f>
        <v>32.985666666666667</v>
      </c>
      <c r="W32" s="19">
        <f>SUM(TEmatchups[[#This Row],[Yards]]/TEmatchups[[#This Row],[Targets2]])</f>
        <v>6.1084567901234568</v>
      </c>
      <c r="X32" s="32">
        <f>AVERAGE(TEmatchups[[#This Row],[TD1]:[TD3]])</f>
        <v>0.31</v>
      </c>
      <c r="Y32" s="14">
        <v>22</v>
      </c>
      <c r="Z32" s="19">
        <f>SUM(TEmatchups[[#This Row],[Yards]]*0.1)+(TEmatchups[[#This Row],[TD]]*6)+(TEmatchups[[#This Row],[Rec4]]*1)+(TEmatchups[[#This Row],[100+]])</f>
        <v>8.598233333333333</v>
      </c>
      <c r="AA32" s="8">
        <f>_xlfn.RANK.EQ(TEmatchups[[#This Row],[$/FP]],TEmatchups[$/FP],1)</f>
        <v>3</v>
      </c>
      <c r="AB32" s="484">
        <f>SUM(TEmatchups[[#This Row],[Salary]]/TEmatchups[[#This Row],[Projection]])</f>
        <v>290.75740365268837</v>
      </c>
      <c r="AC32" s="482">
        <f>_xlfn.RANK.EQ(TEmatchups[[#This Row],[Average2]],TEmatchups[Average2],1)</f>
        <v>10</v>
      </c>
      <c r="AD32" s="241">
        <f>AVERAGE(TEmatchups[[#This Row],[Proj Rank]],TEmatchups[[#This Row],[Value Rank]])</f>
        <v>12.5</v>
      </c>
      <c r="AE32" s="210">
        <f>TEmatchups[[#This Row],[Salary]]/50000</f>
        <v>0.05</v>
      </c>
      <c r="AF32" s="210"/>
      <c r="AG32" s="14">
        <f>IFERROR(INDEX(TEstats3[Targets],MATCH(TEmatchups[[#This Row],[Name]],TEstats3[Player],0)),"0")</f>
        <v>5.4</v>
      </c>
      <c r="AH32" s="14" t="str">
        <f>IFERROR(INDEX(TEstats2[Targets],MATCH(TEmatchups[[#This Row],[Name]],TEstats2[Player],0)),"0")</f>
        <v>0</v>
      </c>
      <c r="AI32" s="14">
        <f>IFERROR(INDEX(TEstats3[Targets],MATCH(TEmatchups[[#This Row],[Name]],TEstats3[Player],0)),"0")</f>
        <v>5.4</v>
      </c>
      <c r="AJ32" s="14">
        <f>IFERROR(INDEX(TEstats1[Rec],MATCH(TEmatchups[[#This Row],[Name]],TEstats1[Player],0)),"0")</f>
        <v>3.1190000000000002</v>
      </c>
      <c r="AK32" s="14">
        <f>IFERROR(INDEX(TEstats2[Rec],MATCH(TEmatchups[[#This Row],[Name]],TEstats2[Player],0)),"0")</f>
        <v>3.4</v>
      </c>
      <c r="AL32" s="14">
        <f>IFERROR(INDEX(TEstats3[Rec],MATCH(TEmatchups[[#This Row],[Name]],TEstats3[Player],0)),"0")</f>
        <v>3.8</v>
      </c>
      <c r="AM32" s="32" t="str">
        <f>IFERROR(INDEX(TEallowed[Rec],MATCH(TEmatchups[[#This Row],[Opp]],TEallowed[Team],0)),"0")</f>
        <v>0</v>
      </c>
      <c r="AN32" s="14">
        <f>IFERROR(INDEX(TEstats1[Rec Yds],MATCH(TEmatchups[[#This Row],[Name]],TEstats1[Player],0)),"0")</f>
        <v>34.856999999999999</v>
      </c>
      <c r="AO32" s="14">
        <f>IFERROR(INDEX(TEstats2[RecYards],MATCH(TEmatchups[[#This Row],[Name]],TEstats2[Player],0)),"0")</f>
        <v>27.5</v>
      </c>
      <c r="AP32" s="14">
        <f>IFERROR(INDEX(TEstats3[RecYards],MATCH(TEmatchups[[#This Row],[Name]],TEstats3[Player],0)),"0")</f>
        <v>36.6</v>
      </c>
      <c r="AQ32" s="32" t="str">
        <f>IFERROR(INDEX(TEallowed[Yard],MATCH(TEmatchups[[#This Row],[Opp]],TEallowed[Team],0)),"0")</f>
        <v>0</v>
      </c>
      <c r="AR32" s="14">
        <f>IFERROR(INDEX(TEstats1[Rec TD],MATCH(TEmatchups[[#This Row],[Name]],TEstats1[Player],0)),"0")</f>
        <v>0.32</v>
      </c>
      <c r="AS32" s="14" t="str">
        <f>IFERROR(INDEX(TEstats2[RecTD],MATCH(TEmatchups[[#This Row],[Name]],TEstats2[Player],0)),"0")</f>
        <v>0.3</v>
      </c>
      <c r="AT32" s="14">
        <f>IFERROR(INDEX(TEstats3[RecTD],MATCH(TEmatchups[[#This Row],[Name]],TEstats3[Player],0)),"0")</f>
        <v>0.3</v>
      </c>
      <c r="AU32" s="32" t="str">
        <f>IFERROR(INDEX(TEallowed[TD],MATCH(TEmatchups[[#This Row],[Opp]],TEallowed[Team],0)),"0")</f>
        <v>0</v>
      </c>
      <c r="AV32" s="32">
        <f>IF(TEmatchups[[#This Row],[Yards]]&gt;=100,3,0)</f>
        <v>0</v>
      </c>
    </row>
    <row r="33" spans="1:48" ht="15" thickBot="1" x14ac:dyDescent="0.35">
      <c r="A33" s="37">
        <f>TEstats1!AL24</f>
        <v>6.7</v>
      </c>
      <c r="B33" s="5" t="str">
        <f>TEstats1!D24</f>
        <v>Jesse James</v>
      </c>
      <c r="C33" s="172">
        <f>IFERROR(INDEX(Salaries[DraftKings (Price)],MATCH(TEmatchups[[#This Row],[Name]],Salaries[Player],0)),"")</f>
        <v>3100</v>
      </c>
      <c r="D33" s="172">
        <f>IFERROR(INDEX(DK_Salary_Changes[WeekChange],MATCH(TEmatchups[[#This Row],[Name]],DK_Salary_Changes[Player],0)),"")</f>
        <v>-400</v>
      </c>
      <c r="E33" s="14" t="str">
        <f>IFERROR(INDEX(Salaries[Team],MATCH(TEmatchups[[#This Row],[Name]],Salaries[Player],0)),"")</f>
        <v>PIT</v>
      </c>
      <c r="F33" s="14" t="str">
        <f>IFERROR(INDEX(Salaries[Opp],MATCH(TEmatchups[[#This Row],[Team]],Salaries[Team],0)),"")</f>
        <v>KC</v>
      </c>
      <c r="G33" s="457">
        <f>IFERROR(INDEX(TightEndYTD[Rec],MATCH(TEmatchups[Name],TightEndYTD[Player],0)),"0")</f>
        <v>10</v>
      </c>
      <c r="H33" s="191">
        <f>IFERROR(INDEX(targettracker54[TTL],MATCH(TEmatchups[Name],targettracker54[Name],0)),"0")</f>
        <v>16</v>
      </c>
      <c r="I33" s="458">
        <f>IFERROR(INDEX(TightEndYTD[Rec Yds],MATCH(TEmatchups[Name],TightEndYTD[Player],0)),"0")</f>
        <v>70</v>
      </c>
      <c r="J33" s="459">
        <f>IFERROR(INDEX(TightEndYTD[Rec TD],MATCH(TEmatchups[Name],TightEndYTD[Player],0)),"0")</f>
        <v>1</v>
      </c>
      <c r="K33" s="431">
        <f>IFERROR(INDEX(Salaries[O/U],MATCH(TEmatchups[[#This Row],[Team]],Salaries[Team],0)),"")</f>
        <v>47.5</v>
      </c>
      <c r="L33" s="32">
        <f>IFERROR(INDEX(Salaries[Team O/U],MATCH(TEmatchups[[#This Row],[Team]],Salaries[Team],0)),"")</f>
        <v>26.5</v>
      </c>
      <c r="M33" s="417">
        <f>IFERROR(INDEX(Salaries[Spread],MATCH(TEmatchups[[#This Row],[Team]],Salaries[Team],0)),"")</f>
        <v>-5.5</v>
      </c>
      <c r="N33" s="424">
        <f>IFERROR(INDEX(TEallowed[DVP],MATCH(TEmatchups[[#This Row],[Opp]],TEallowed[Team],0)),IFERROR(INDEX(TEallowed[DVP],MATCH(TEmatchups[[#This Row],[Opp]],TEallowed[Opp],0)),""))</f>
        <v>1</v>
      </c>
      <c r="O33" s="17">
        <f>IFERROR(INDEX(YAtCData[YAtC],MATCH(TEmatchups[[#This Row],[Name]],YAtCData[Player],0)),"0")</f>
        <v>50</v>
      </c>
      <c r="P33" s="497">
        <f>IFERROR(INDEX(YAtCData[YAtC/Rec],MATCH(TEmatchups[[#This Row],[Name]],YAtCData[Player],0)),"0")</f>
        <v>5</v>
      </c>
      <c r="Q33" s="17">
        <f>IFERROR(INDEX(YAtCData[YAC],MATCH(TEmatchups[[#This Row],[Name]],YAtCData[Player],0)),"0")</f>
        <v>20</v>
      </c>
      <c r="R33" s="497">
        <f>IFERROR(INDEX(YACDATA[YAC per Reception],MATCH(TEmatchups[[#This Row],[Name]],YACDATA[Player],0)),"0")</f>
        <v>2</v>
      </c>
      <c r="S33" s="418">
        <f>AVERAGE(TEmatchups[[#This Row],[Tar1]:[Tar3]])</f>
        <v>4.5999999999999996</v>
      </c>
      <c r="T33" s="19">
        <f>AVERAGE(TEmatchups[[#This Row],[Rec1]:[Rec3]])</f>
        <v>3.15</v>
      </c>
      <c r="U33" s="202">
        <f>SUM(TEmatchups[[#This Row],[Rec4]]/TEmatchups[[#This Row],[Targets2]])</f>
        <v>0.68478260869565222</v>
      </c>
      <c r="V33" s="32">
        <f>AVERAGE(TEmatchups[[#This Row],[Yards1]:[Yards3]])</f>
        <v>30.117999999999999</v>
      </c>
      <c r="W33" s="19">
        <f>SUM(TEmatchups[[#This Row],[Yards]]/TEmatchups[[#This Row],[Targets2]])</f>
        <v>6.5473913043478262</v>
      </c>
      <c r="X33" s="32">
        <f>AVERAGE(TEmatchups[[#This Row],[TD1]:[TD3]])</f>
        <v>0.35299999999999998</v>
      </c>
      <c r="Y33" s="14">
        <v>23</v>
      </c>
      <c r="Z33" s="19">
        <f>SUM(TEmatchups[[#This Row],[Yards]]*0.1)+(TEmatchups[[#This Row],[TD]]*6)+(TEmatchups[[#This Row],[Rec4]]*1)+(TEmatchups[[#This Row],[100+]])</f>
        <v>8.2797999999999998</v>
      </c>
      <c r="AA33" s="8">
        <f>_xlfn.RANK.EQ(TEmatchups[[#This Row],[$/FP]],TEmatchups[$/FP],1)</f>
        <v>14</v>
      </c>
      <c r="AB33" s="484">
        <f>SUM(TEmatchups[[#This Row],[Salary]]/TEmatchups[[#This Row],[Projection]])</f>
        <v>374.40517886905479</v>
      </c>
      <c r="AC33" s="482">
        <f>_xlfn.RANK.EQ(TEmatchups[[#This Row],[Average2]],TEmatchups[Average2],1)</f>
        <v>24</v>
      </c>
      <c r="AD33" s="241">
        <f>AVERAGE(TEmatchups[[#This Row],[Proj Rank]],TEmatchups[[#This Row],[Value Rank]])</f>
        <v>18.5</v>
      </c>
      <c r="AE33" s="210">
        <f>TEmatchups[[#This Row],[Salary]]/50000</f>
        <v>6.2E-2</v>
      </c>
      <c r="AF33" s="210"/>
      <c r="AG33" s="14">
        <f>IFERROR(INDEX(TEstats3[Targets],MATCH(TEmatchups[[#This Row],[Name]],TEstats3[Player],0)),"0")</f>
        <v>4.5999999999999996</v>
      </c>
      <c r="AH33" s="14" t="str">
        <f>IFERROR(INDEX(TEstats2[Targets],MATCH(TEmatchups[[#This Row],[Name]],TEstats2[Player],0)),"0")</f>
        <v>0</v>
      </c>
      <c r="AI33" s="14">
        <f>IFERROR(INDEX(TEstats3[Targets],MATCH(TEmatchups[[#This Row],[Name]],TEstats3[Player],0)),"0")</f>
        <v>4.5999999999999996</v>
      </c>
      <c r="AJ33" s="14">
        <f>IFERROR(INDEX(TEstats1[Rec],MATCH(TEmatchups[[#This Row],[Name]],TEstats1[Player],0)),"0")</f>
        <v>3.15</v>
      </c>
      <c r="AK33" s="14">
        <f>IFERROR(INDEX(TEstats2[Rec],MATCH(TEmatchups[[#This Row],[Name]],TEstats2[Player],0)),"0")</f>
        <v>2.7</v>
      </c>
      <c r="AL33" s="14">
        <f>IFERROR(INDEX(TEstats3[Rec],MATCH(TEmatchups[[#This Row],[Name]],TEstats3[Player],0)),"0")</f>
        <v>3.6</v>
      </c>
      <c r="AM33" s="32">
        <f>IFERROR(INDEX(TEallowed[Rec],MATCH(TEmatchups[[#This Row],[Opp]],TEallowed[Team],0)),"0")</f>
        <v>4.75</v>
      </c>
      <c r="AN33" s="14">
        <f>IFERROR(INDEX(TEstats1[Rec Yds],MATCH(TEmatchups[[#This Row],[Name]],TEstats1[Player],0)),"0")</f>
        <v>33.353999999999999</v>
      </c>
      <c r="AO33" s="14">
        <f>IFERROR(INDEX(TEstats2[RecYards],MATCH(TEmatchups[[#This Row],[Name]],TEstats2[Player],0)),"0")</f>
        <v>23.6</v>
      </c>
      <c r="AP33" s="14">
        <f>IFERROR(INDEX(TEstats3[RecYards],MATCH(TEmatchups[[#This Row],[Name]],TEstats3[Player],0)),"0")</f>
        <v>33.4</v>
      </c>
      <c r="AQ33" s="32">
        <f>IFERROR(INDEX(TEallowed[Yard],MATCH(TEmatchups[[#This Row],[Opp]],TEallowed[Team],0)),"0")</f>
        <v>52.5625</v>
      </c>
      <c r="AR33" s="14">
        <f>IFERROR(INDEX(TEstats1[Rec TD],MATCH(TEmatchups[[#This Row],[Name]],TEstats1[Player],0)),"0")</f>
        <v>0.30599999999999999</v>
      </c>
      <c r="AS33" s="14" t="str">
        <f>IFERROR(INDEX(TEstats2[RecTD],MATCH(TEmatchups[[#This Row],[Name]],TEstats2[Player],0)),"0")</f>
        <v>0.2</v>
      </c>
      <c r="AT33" s="14">
        <f>IFERROR(INDEX(TEstats3[RecTD],MATCH(TEmatchups[[#This Row],[Name]],TEstats3[Player],0)),"0")</f>
        <v>0.4</v>
      </c>
      <c r="AU33" s="32">
        <f>IFERROR(INDEX(TEallowed[TD],MATCH(TEmatchups[[#This Row],[Opp]],TEallowed[Team],0)),"0")</f>
        <v>0.375</v>
      </c>
      <c r="AV33" s="32">
        <f>IF(TEmatchups[[#This Row],[Yards]]&gt;=100,3,0)</f>
        <v>0</v>
      </c>
    </row>
    <row r="34" spans="1:48" ht="15" thickBot="1" x14ac:dyDescent="0.35">
      <c r="A34" s="37">
        <f>TEstats1!AL25</f>
        <v>6.4</v>
      </c>
      <c r="B34" s="5" t="str">
        <f>TEstats1!D25</f>
        <v>Clive Walford</v>
      </c>
      <c r="C34" s="172">
        <f>IFERROR(INDEX(Salaries[DraftKings (Price)],MATCH(TEmatchups[[#This Row],[Name]],Salaries[Player],0)),"")</f>
        <v>2700</v>
      </c>
      <c r="D34" s="172">
        <f>IFERROR(INDEX(DK_Salary_Changes[WeekChange],MATCH(TEmatchups[[#This Row],[Name]],DK_Salary_Changes[Player],0)),"")</f>
        <v>-100</v>
      </c>
      <c r="E34" s="14" t="str">
        <f>IFERROR(INDEX(Salaries[Team],MATCH(TEmatchups[[#This Row],[Name]],Salaries[Player],0)),"")</f>
        <v>OAK</v>
      </c>
      <c r="F34" s="14" t="str">
        <f>IFERROR(INDEX(Salaries[Opp],MATCH(TEmatchups[[#This Row],[Team]],Salaries[Team],0)),"")</f>
        <v>@BAL</v>
      </c>
      <c r="G34" s="457">
        <f>IFERROR(INDEX(TightEndYTD[Rec],MATCH(TEmatchups[Name],TightEndYTD[Player],0)),"0")</f>
        <v>11</v>
      </c>
      <c r="H34" s="191">
        <f>IFERROR(INDEX(targettracker54[TTL],MATCH(TEmatchups[Name],targettracker54[Name],0)),"0")</f>
        <v>15</v>
      </c>
      <c r="I34" s="458">
        <f>IFERROR(INDEX(TightEndYTD[Rec Yds],MATCH(TEmatchups[Name],TightEndYTD[Player],0)),"0")</f>
        <v>102</v>
      </c>
      <c r="J34" s="459">
        <f>IFERROR(INDEX(TightEndYTD[Rec TD],MATCH(TEmatchups[Name],TightEndYTD[Player],0)),"0")</f>
        <v>1</v>
      </c>
      <c r="K34" s="431">
        <f>IFERROR(INDEX(Salaries[O/U],MATCH(TEmatchups[[#This Row],[Team]],Salaries[Team],0)),"")</f>
        <v>46.5</v>
      </c>
      <c r="L34" s="32">
        <f>IFERROR(INDEX(Salaries[Team O/U],MATCH(TEmatchups[[#This Row],[Team]],Salaries[Team],0)),"")</f>
        <v>21.5</v>
      </c>
      <c r="M34" s="417">
        <f>IFERROR(INDEX(Salaries[Spread],MATCH(TEmatchups[[#This Row],[Team]],Salaries[Team],0)),"")</f>
        <v>3.5</v>
      </c>
      <c r="N34" s="424">
        <f>IFERROR(INDEX(TEallowed[DVP],MATCH(TEmatchups[[#This Row],[Opp]],TEallowed[Team],0)),IFERROR(INDEX(TEallowed[DVP],MATCH(TEmatchups[[#This Row],[Opp]],TEallowed[Opp],0)),""))</f>
        <v>4</v>
      </c>
      <c r="O34" s="17">
        <f>IFERROR(INDEX(YAtCData[YAtC],MATCH(TEmatchups[[#This Row],[Name]],YAtCData[Player],0)),"0")</f>
        <v>54</v>
      </c>
      <c r="P34" s="497">
        <f>IFERROR(INDEX(YAtCData[YAtC/Rec],MATCH(TEmatchups[[#This Row],[Name]],YAtCData[Player],0)),"0")</f>
        <v>4.91</v>
      </c>
      <c r="Q34" s="17">
        <f>IFERROR(INDEX(YAtCData[YAC],MATCH(TEmatchups[[#This Row],[Name]],YAtCData[Player],0)),"0")</f>
        <v>48</v>
      </c>
      <c r="R34" s="497">
        <f>IFERROR(INDEX(YACDATA[YAC per Reception],MATCH(TEmatchups[[#This Row],[Name]],YACDATA[Player],0)),"0")</f>
        <v>4.4000000000000004</v>
      </c>
      <c r="S34" s="418">
        <f>AVERAGE(TEmatchups[[#This Row],[Tar1]:[Tar3]])</f>
        <v>4.8</v>
      </c>
      <c r="T34" s="19">
        <f>AVERAGE(TEmatchups[[#This Row],[Rec1]:[Rec3]])</f>
        <v>2.8946666666666672</v>
      </c>
      <c r="U34" s="202">
        <f>SUM(TEmatchups[[#This Row],[Rec4]]/TEmatchups[[#This Row],[Targets2]])</f>
        <v>0.60305555555555568</v>
      </c>
      <c r="V34" s="32">
        <f>AVERAGE(TEmatchups[[#This Row],[Yards1]:[Yards3]])</f>
        <v>31.101333333333333</v>
      </c>
      <c r="W34" s="19">
        <f>SUM(TEmatchups[[#This Row],[Yards]]/TEmatchups[[#This Row],[Targets2]])</f>
        <v>6.4794444444444448</v>
      </c>
      <c r="X34" s="32">
        <f>AVERAGE(TEmatchups[[#This Row],[TD1]:[TD3]])</f>
        <v>0.34299999999999997</v>
      </c>
      <c r="Y34" s="14">
        <v>24</v>
      </c>
      <c r="Z34" s="19">
        <f>SUM(TEmatchups[[#This Row],[Yards]]*0.1)+(TEmatchups[[#This Row],[TD]]*6)+(TEmatchups[[#This Row],[Rec4]]*1)+(TEmatchups[[#This Row],[100+]])</f>
        <v>8.0628000000000011</v>
      </c>
      <c r="AA34" s="8">
        <f>_xlfn.RANK.EQ(TEmatchups[[#This Row],[$/FP]],TEmatchups[$/FP],1)</f>
        <v>9</v>
      </c>
      <c r="AB34" s="484">
        <f>SUM(TEmatchups[[#This Row],[Salary]]/TEmatchups[[#This Row],[Projection]])</f>
        <v>334.87126060425652</v>
      </c>
      <c r="AC34" s="482">
        <f>_xlfn.RANK.EQ(TEmatchups[[#This Row],[Average2]],TEmatchups[Average2],1)</f>
        <v>20</v>
      </c>
      <c r="AD34" s="241">
        <f>AVERAGE(TEmatchups[[#This Row],[Proj Rank]],TEmatchups[[#This Row],[Value Rank]])</f>
        <v>16.5</v>
      </c>
      <c r="AE34" s="210">
        <f>TEmatchups[[#This Row],[Salary]]/50000</f>
        <v>5.3999999999999999E-2</v>
      </c>
      <c r="AF34" s="210"/>
      <c r="AG34" s="14">
        <f>IFERROR(INDEX(TEstats3[Targets],MATCH(TEmatchups[[#This Row],[Name]],TEstats3[Player],0)),"0")</f>
        <v>4.8</v>
      </c>
      <c r="AH34" s="14" t="str">
        <f>IFERROR(INDEX(TEstats2[Targets],MATCH(TEmatchups[[#This Row],[Name]],TEstats2[Player],0)),"0")</f>
        <v>0</v>
      </c>
      <c r="AI34" s="14">
        <f>IFERROR(INDEX(TEstats3[Targets],MATCH(TEmatchups[[#This Row],[Name]],TEstats3[Player],0)),"0")</f>
        <v>4.8</v>
      </c>
      <c r="AJ34" s="14">
        <f>IFERROR(INDEX(TEstats1[Rec],MATCH(TEmatchups[[#This Row],[Name]],TEstats1[Player],0)),"0")</f>
        <v>3.1840000000000002</v>
      </c>
      <c r="AK34" s="14">
        <f>IFERROR(INDEX(TEstats2[Rec],MATCH(TEmatchups[[#This Row],[Name]],TEstats2[Player],0)),"0")</f>
        <v>2.8</v>
      </c>
      <c r="AL34" s="14">
        <f>IFERROR(INDEX(TEstats3[Rec],MATCH(TEmatchups[[#This Row],[Name]],TEstats3[Player],0)),"0")</f>
        <v>2.7</v>
      </c>
      <c r="AM34" s="32" t="str">
        <f>IFERROR(INDEX(TEallowed[Rec],MATCH(TEmatchups[[#This Row],[Opp]],TEallowed[Team],0)),"0")</f>
        <v>0</v>
      </c>
      <c r="AN34" s="14">
        <f>IFERROR(INDEX(TEstats1[Rec Yds],MATCH(TEmatchups[[#This Row],[Name]],TEstats1[Player],0)),"0")</f>
        <v>31.603999999999999</v>
      </c>
      <c r="AO34" s="14">
        <f>IFERROR(INDEX(TEstats2[RecYards],MATCH(TEmatchups[[#This Row],[Name]],TEstats2[Player],0)),"0")</f>
        <v>29.1</v>
      </c>
      <c r="AP34" s="14">
        <f>IFERROR(INDEX(TEstats3[RecYards],MATCH(TEmatchups[[#This Row],[Name]],TEstats3[Player],0)),"0")</f>
        <v>32.6</v>
      </c>
      <c r="AQ34" s="32" t="str">
        <f>IFERROR(INDEX(TEallowed[Yard],MATCH(TEmatchups[[#This Row],[Opp]],TEallowed[Team],0)),"0")</f>
        <v>0</v>
      </c>
      <c r="AR34" s="14">
        <f>IFERROR(INDEX(TEstats1[Rec TD],MATCH(TEmatchups[[#This Row],[Name]],TEstats1[Player],0)),"0")</f>
        <v>0.28599999999999998</v>
      </c>
      <c r="AS34" s="14" t="str">
        <f>IFERROR(INDEX(TEstats2[RecTD],MATCH(TEmatchups[[#This Row],[Name]],TEstats2[Player],0)),"0")</f>
        <v>0.4</v>
      </c>
      <c r="AT34" s="14">
        <f>IFERROR(INDEX(TEstats3[RecTD],MATCH(TEmatchups[[#This Row],[Name]],TEstats3[Player],0)),"0")</f>
        <v>0.4</v>
      </c>
      <c r="AU34" s="32" t="str">
        <f>IFERROR(INDEX(TEallowed[TD],MATCH(TEmatchups[[#This Row],[Opp]],TEallowed[Team],0)),"0")</f>
        <v>0</v>
      </c>
      <c r="AV34" s="32">
        <f>IF(TEmatchups[[#This Row],[Yards]]&gt;=100,3,0)</f>
        <v>0</v>
      </c>
    </row>
    <row r="35" spans="1:48" ht="15" thickBot="1" x14ac:dyDescent="0.35">
      <c r="A35" s="37">
        <f>TEstats1!AL26</f>
        <v>6.6</v>
      </c>
      <c r="B35" s="5" t="str">
        <f>TEstats1!D26</f>
        <v>Charles Clay</v>
      </c>
      <c r="C35" s="172">
        <f>IFERROR(INDEX(Salaries[DraftKings (Price)],MATCH(TEmatchups[[#This Row],[Name]],Salaries[Player],0)),"")</f>
        <v>2600</v>
      </c>
      <c r="D35" s="172">
        <f>IFERROR(INDEX(DK_Salary_Changes[WeekChange],MATCH(TEmatchups[[#This Row],[Name]],DK_Salary_Changes[Player],0)),"")</f>
        <v>-300</v>
      </c>
      <c r="E35" s="14" t="str">
        <f>IFERROR(INDEX(Salaries[Team],MATCH(TEmatchups[[#This Row],[Name]],Salaries[Player],0)),"")</f>
        <v>BUF</v>
      </c>
      <c r="F35" s="14" t="str">
        <f>IFERROR(INDEX(Salaries[Opp],MATCH(TEmatchups[[#This Row],[Team]],Salaries[Team],0)),"")</f>
        <v>@NE</v>
      </c>
      <c r="G35" s="457">
        <f>IFERROR(INDEX(TightEndYTD[Rec],MATCH(TEmatchups[Name],TightEndYTD[Player],0)),"0")</f>
        <v>7</v>
      </c>
      <c r="H35" s="191">
        <f>IFERROR(INDEX(targettracker54[TTL],MATCH(TEmatchups[Name],targettracker54[Name],0)),"0")</f>
        <v>12</v>
      </c>
      <c r="I35" s="458">
        <f>IFERROR(INDEX(TightEndYTD[Rec Yds],MATCH(TEmatchups[Name],TightEndYTD[Player],0)),"0")</f>
        <v>67</v>
      </c>
      <c r="J35" s="459">
        <f>IFERROR(INDEX(TightEndYTD[Rec TD],MATCH(TEmatchups[Name],TightEndYTD[Player],0)),"0")</f>
        <v>0</v>
      </c>
      <c r="K35" s="431">
        <f>IFERROR(INDEX(Salaries[O/U],MATCH(TEmatchups[[#This Row],[Team]],Salaries[Team],0)),"")</f>
        <v>44</v>
      </c>
      <c r="L35" s="32">
        <f>IFERROR(INDEX(Salaries[Team O/U],MATCH(TEmatchups[[#This Row],[Team]],Salaries[Team],0)),"")</f>
        <v>19.75</v>
      </c>
      <c r="M35" s="417">
        <f>IFERROR(INDEX(Salaries[Spread],MATCH(TEmatchups[[#This Row],[Team]],Salaries[Team],0)),"")</f>
        <v>4.5</v>
      </c>
      <c r="N35" s="424">
        <f>IFERROR(INDEX(TEallowed[DVP],MATCH(TEmatchups[[#This Row],[Opp]],TEallowed[Team],0)),IFERROR(INDEX(TEallowed[DVP],MATCH(TEmatchups[[#This Row],[Opp]],TEallowed[Opp],0)),""))</f>
        <v>5</v>
      </c>
      <c r="O35" s="17">
        <f>IFERROR(INDEX(YAtCData[YAtC],MATCH(TEmatchups[[#This Row],[Name]],YAtCData[Player],0)),"0")</f>
        <v>38</v>
      </c>
      <c r="P35" s="497">
        <f>IFERROR(INDEX(YAtCData[YAtC/Rec],MATCH(TEmatchups[[#This Row],[Name]],YAtCData[Player],0)),"0")</f>
        <v>5.43</v>
      </c>
      <c r="Q35" s="17">
        <f>IFERROR(INDEX(YAtCData[YAC],MATCH(TEmatchups[[#This Row],[Name]],YAtCData[Player],0)),"0")</f>
        <v>29</v>
      </c>
      <c r="R35" s="497">
        <f>IFERROR(INDEX(YACDATA[YAC per Reception],MATCH(TEmatchups[[#This Row],[Name]],YACDATA[Player],0)),"0")</f>
        <v>4.0999999999999996</v>
      </c>
      <c r="S35" s="418">
        <f>AVERAGE(TEmatchups[[#This Row],[Tar1]:[Tar3]])</f>
        <v>4.5999999999999996</v>
      </c>
      <c r="T35" s="19">
        <f>AVERAGE(TEmatchups[[#This Row],[Rec1]:[Rec3]])</f>
        <v>3.3986666666666667</v>
      </c>
      <c r="U35" s="202">
        <f>SUM(TEmatchups[[#This Row],[Rec4]]/TEmatchups[[#This Row],[Targets2]])</f>
        <v>0.73884057971014505</v>
      </c>
      <c r="V35" s="32">
        <f>AVERAGE(TEmatchups[[#This Row],[Yards1]:[Yards3]])</f>
        <v>35.620333333333328</v>
      </c>
      <c r="W35" s="19">
        <f>SUM(TEmatchups[[#This Row],[Yards]]/TEmatchups[[#This Row],[Targets2]])</f>
        <v>7.7435507246376805</v>
      </c>
      <c r="X35" s="32">
        <f>AVERAGE(TEmatchups[[#This Row],[TD1]:[TD3]])</f>
        <v>0.20450000000000002</v>
      </c>
      <c r="Y35" s="14">
        <v>25</v>
      </c>
      <c r="Z35" s="19">
        <f>SUM(TEmatchups[[#This Row],[Yards]]*0.1)+(TEmatchups[[#This Row],[TD]]*6)+(TEmatchups[[#This Row],[Rec4]]*1)+(TEmatchups[[#This Row],[100+]])</f>
        <v>8.1876999999999995</v>
      </c>
      <c r="AA35" s="8">
        <f>_xlfn.RANK.EQ(TEmatchups[[#This Row],[$/FP]],TEmatchups[$/FP],1)</f>
        <v>7</v>
      </c>
      <c r="AB35" s="484">
        <f>SUM(TEmatchups[[#This Row],[Salary]]/TEmatchups[[#This Row],[Projection]])</f>
        <v>317.54949497416857</v>
      </c>
      <c r="AC35" s="482">
        <f>_xlfn.RANK.EQ(TEmatchups[[#This Row],[Average2]],TEmatchups[Average2],1)</f>
        <v>19</v>
      </c>
      <c r="AD35" s="241">
        <f>AVERAGE(TEmatchups[[#This Row],[Proj Rank]],TEmatchups[[#This Row],[Value Rank]])</f>
        <v>16</v>
      </c>
      <c r="AE35" s="210">
        <f>TEmatchups[[#This Row],[Salary]]/50000</f>
        <v>5.1999999999999998E-2</v>
      </c>
      <c r="AF35" s="210"/>
      <c r="AG35" s="14">
        <f>IFERROR(INDEX(TEstats3[Targets],MATCH(TEmatchups[[#This Row],[Name]],TEstats3[Player],0)),"0")</f>
        <v>4.5999999999999996</v>
      </c>
      <c r="AH35" s="14" t="str">
        <f>IFERROR(INDEX(TEstats2[Targets],MATCH(TEmatchups[[#This Row],[Name]],TEstats2[Player],0)),"0")</f>
        <v>0</v>
      </c>
      <c r="AI35" s="14">
        <f>IFERROR(INDEX(TEstats3[Targets],MATCH(TEmatchups[[#This Row],[Name]],TEstats3[Player],0)),"0")</f>
        <v>4.5999999999999996</v>
      </c>
      <c r="AJ35" s="14">
        <f>IFERROR(INDEX(TEstats1[Rec],MATCH(TEmatchups[[#This Row],[Name]],TEstats1[Player],0)),"0")</f>
        <v>3.6960000000000002</v>
      </c>
      <c r="AK35" s="14">
        <f>IFERROR(INDEX(TEstats2[Rec],MATCH(TEmatchups[[#This Row],[Name]],TEstats2[Player],0)),"0")</f>
        <v>3.4</v>
      </c>
      <c r="AL35" s="14">
        <f>IFERROR(INDEX(TEstats3[Rec],MATCH(TEmatchups[[#This Row],[Name]],TEstats3[Player],0)),"0")</f>
        <v>3.1</v>
      </c>
      <c r="AM35" s="32" t="str">
        <f>IFERROR(INDEX(TEallowed[Rec],MATCH(TEmatchups[[#This Row],[Opp]],TEallowed[Team],0)),"0")</f>
        <v>0</v>
      </c>
      <c r="AN35" s="14">
        <f>IFERROR(INDEX(TEstats1[Rec Yds],MATCH(TEmatchups[[#This Row],[Name]],TEstats1[Player],0)),"0")</f>
        <v>36.161000000000001</v>
      </c>
      <c r="AO35" s="14">
        <f>IFERROR(INDEX(TEstats2[RecYards],MATCH(TEmatchups[[#This Row],[Name]],TEstats2[Player],0)),"0")</f>
        <v>36.6</v>
      </c>
      <c r="AP35" s="14">
        <f>IFERROR(INDEX(TEstats3[RecYards],MATCH(TEmatchups[[#This Row],[Name]],TEstats3[Player],0)),"0")</f>
        <v>34.1</v>
      </c>
      <c r="AQ35" s="32" t="str">
        <f>IFERROR(INDEX(TEallowed[Yard],MATCH(TEmatchups[[#This Row],[Opp]],TEallowed[Team],0)),"0")</f>
        <v>0</v>
      </c>
      <c r="AR35" s="14">
        <f>IFERROR(INDEX(TEstats1[Rec TD],MATCH(TEmatchups[[#This Row],[Name]],TEstats1[Player],0)),"0")</f>
        <v>0.20899999999999999</v>
      </c>
      <c r="AS35" s="14" t="str">
        <f>IFERROR(INDEX(TEstats2[RecTD],MATCH(TEmatchups[[#This Row],[Name]],TEstats2[Player],0)),"0")</f>
        <v>0.1</v>
      </c>
      <c r="AT35" s="14">
        <f>IFERROR(INDEX(TEstats3[RecTD],MATCH(TEmatchups[[#This Row],[Name]],TEstats3[Player],0)),"0")</f>
        <v>0.2</v>
      </c>
      <c r="AU35" s="32" t="str">
        <f>IFERROR(INDEX(TEallowed[TD],MATCH(TEmatchups[[#This Row],[Opp]],TEallowed[Team],0)),"0")</f>
        <v>0</v>
      </c>
      <c r="AV35" s="32">
        <f>IF(TEmatchups[[#This Row],[Yards]]&gt;=100,3,0)</f>
        <v>0</v>
      </c>
    </row>
    <row r="36" spans="1:48" ht="15" thickBot="1" x14ac:dyDescent="0.35">
      <c r="A36" s="37">
        <f>TEstats1!AL27</f>
        <v>4.9000000000000004</v>
      </c>
      <c r="B36" s="5" t="str">
        <f>TEstats1!D27</f>
        <v>C.J. Uzomah</v>
      </c>
      <c r="C36" s="172">
        <f>IFERROR(INDEX(Salaries[DraftKings (Price)],MATCH(TEmatchups[[#This Row],[Name]],Salaries[Player],0)),"")</f>
        <v>2500</v>
      </c>
      <c r="D36" s="172">
        <f>IFERROR(INDEX(DK_Salary_Changes[WeekChange],MATCH(TEmatchups[[#This Row],[Name]],DK_Salary_Changes[Player],0)),"")</f>
        <v>0</v>
      </c>
      <c r="E36" s="14" t="str">
        <f>IFERROR(INDEX(Salaries[Team],MATCH(TEmatchups[[#This Row],[Name]],Salaries[Player],0)),"")</f>
        <v>CIN</v>
      </c>
      <c r="F36" s="14" t="str">
        <f>IFERROR(INDEX(Salaries[Opp],MATCH(TEmatchups[[#This Row],[Team]],Salaries[Team],0)),"")</f>
        <v>MIA</v>
      </c>
      <c r="G36" s="457">
        <f>IFERROR(INDEX(TightEndYTD[Rec],MATCH(TEmatchups[Name],TightEndYTD[Player],0)),"0")</f>
        <v>7</v>
      </c>
      <c r="H36" s="191">
        <f>IFERROR(INDEX(targettracker54[TTL],MATCH(TEmatchups[Name],targettracker54[Name],0)),"0")</f>
        <v>17</v>
      </c>
      <c r="I36" s="458">
        <f>IFERROR(INDEX(TightEndYTD[Rec Yds],MATCH(TEmatchups[Name],TightEndYTD[Player],0)),"0")</f>
        <v>99</v>
      </c>
      <c r="J36" s="459">
        <f>IFERROR(INDEX(TightEndYTD[Rec TD],MATCH(TEmatchups[Name],TightEndYTD[Player],0)),"0")</f>
        <v>0</v>
      </c>
      <c r="K36" s="431">
        <f>IFERROR(INDEX(Salaries[O/U],MATCH(TEmatchups[[#This Row],[Team]],Salaries[Team],0)),"")</f>
        <v>44.5</v>
      </c>
      <c r="L36" s="32">
        <f>IFERROR(INDEX(Salaries[Team O/U],MATCH(TEmatchups[[#This Row],[Team]],Salaries[Team],0)),"")</f>
        <v>25.75</v>
      </c>
      <c r="M36" s="417">
        <f>IFERROR(INDEX(Salaries[Spread],MATCH(TEmatchups[[#This Row],[Team]],Salaries[Team],0)),"")</f>
        <v>-7</v>
      </c>
      <c r="N36" s="424">
        <f>IFERROR(INDEX(TEallowed[DVP],MATCH(TEmatchups[[#This Row],[Opp]],TEallowed[Team],0)),IFERROR(INDEX(TEallowed[DVP],MATCH(TEmatchups[[#This Row],[Opp]],TEallowed[Opp],0)),""))</f>
        <v>6</v>
      </c>
      <c r="O36" s="17">
        <f>IFERROR(INDEX(YAtCData[YAtC],MATCH(TEmatchups[[#This Row],[Name]],YAtCData[Player],0)),"0")</f>
        <v>56</v>
      </c>
      <c r="P36" s="497">
        <f>IFERROR(INDEX(YAtCData[YAtC/Rec],MATCH(TEmatchups[[#This Row],[Name]],YAtCData[Player],0)),"0")</f>
        <v>8</v>
      </c>
      <c r="Q36" s="17">
        <f>IFERROR(INDEX(YAtCData[YAC],MATCH(TEmatchups[[#This Row],[Name]],YAtCData[Player],0)),"0")</f>
        <v>43</v>
      </c>
      <c r="R36" s="497">
        <f>IFERROR(INDEX(YACDATA[YAC per Reception],MATCH(TEmatchups[[#This Row],[Name]],YACDATA[Player],0)),"0")</f>
        <v>6.1</v>
      </c>
      <c r="S36" s="418">
        <f>AVERAGE(TEmatchups[[#This Row],[Tar1]:[Tar3]])</f>
        <v>2.8</v>
      </c>
      <c r="T36" s="19">
        <f>AVERAGE(TEmatchups[[#This Row],[Rec1]:[Rec3]])</f>
        <v>2.3149999999999999</v>
      </c>
      <c r="U36" s="202">
        <f>SUM(TEmatchups[[#This Row],[Rec4]]/TEmatchups[[#This Row],[Targets2]])</f>
        <v>0.82678571428571435</v>
      </c>
      <c r="V36" s="32">
        <f>AVERAGE(TEmatchups[[#This Row],[Yards1]:[Yards3]])</f>
        <v>25.472666666666669</v>
      </c>
      <c r="W36" s="19">
        <f>SUM(TEmatchups[[#This Row],[Yards]]/TEmatchups[[#This Row],[Targets2]])</f>
        <v>9.0973809523809539</v>
      </c>
      <c r="X36" s="32">
        <f>AVERAGE(TEmatchups[[#This Row],[TD1]:[TD3]])</f>
        <v>0.20800000000000002</v>
      </c>
      <c r="Y36" s="14">
        <v>26</v>
      </c>
      <c r="Z36" s="19">
        <f>SUM(TEmatchups[[#This Row],[Yards]]*0.1)+(TEmatchups[[#This Row],[TD]]*6)+(TEmatchups[[#This Row],[Rec4]]*1)+(TEmatchups[[#This Row],[100+]])</f>
        <v>6.1102666666666678</v>
      </c>
      <c r="AA36" s="8">
        <f>_xlfn.RANK.EQ(TEmatchups[[#This Row],[$/FP]],TEmatchups[$/FP],1)</f>
        <v>20</v>
      </c>
      <c r="AB36" s="484">
        <f>SUM(TEmatchups[[#This Row],[Salary]]/TEmatchups[[#This Row],[Projection]])</f>
        <v>409.14744582887812</v>
      </c>
      <c r="AC36" s="482">
        <f>_xlfn.RANK.EQ(TEmatchups[[#This Row],[Average2]],TEmatchups[Average2],1)</f>
        <v>25</v>
      </c>
      <c r="AD36" s="241">
        <f>AVERAGE(TEmatchups[[#This Row],[Proj Rank]],TEmatchups[[#This Row],[Value Rank]])</f>
        <v>23</v>
      </c>
      <c r="AE36" s="210">
        <f>TEmatchups[[#This Row],[Salary]]/50000</f>
        <v>0.05</v>
      </c>
      <c r="AF36" s="210"/>
      <c r="AG36" s="14">
        <f>IFERROR(INDEX(TEstats3[Targets],MATCH(TEmatchups[[#This Row],[Name]],TEstats3[Player],0)),"0")</f>
        <v>2.8</v>
      </c>
      <c r="AH36" s="14" t="str">
        <f>IFERROR(INDEX(TEstats2[Targets],MATCH(TEmatchups[[#This Row],[Name]],TEstats2[Player],0)),"0")</f>
        <v>0</v>
      </c>
      <c r="AI36" s="14">
        <f>IFERROR(INDEX(TEstats3[Targets],MATCH(TEmatchups[[#This Row],[Name]],TEstats3[Player],0)),"0")</f>
        <v>2.8</v>
      </c>
      <c r="AJ36" s="14">
        <f>IFERROR(INDEX(TEstats1[Rec],MATCH(TEmatchups[[#This Row],[Name]],TEstats1[Player],0)),"0")</f>
        <v>2.0449999999999999</v>
      </c>
      <c r="AK36" s="14">
        <f>IFERROR(INDEX(TEstats2[Rec],MATCH(TEmatchups[[#This Row],[Name]],TEstats2[Player],0)),"0")</f>
        <v>2.2000000000000002</v>
      </c>
      <c r="AL36" s="14">
        <f>IFERROR(INDEX(TEstats3[Rec],MATCH(TEmatchups[[#This Row],[Name]],TEstats3[Player],0)),"0")</f>
        <v>2.7</v>
      </c>
      <c r="AM36" s="32">
        <f>IFERROR(INDEX(TEallowed[Rec],MATCH(TEmatchups[[#This Row],[Opp]],TEallowed[Team],0)),"0")</f>
        <v>5.3125</v>
      </c>
      <c r="AN36" s="14">
        <f>IFERROR(INDEX(TEstats1[Rec Yds],MATCH(TEmatchups[[#This Row],[Name]],TEstats1[Player],0)),"0")</f>
        <v>26.518000000000001</v>
      </c>
      <c r="AO36" s="14">
        <f>IFERROR(INDEX(TEstats2[RecYards],MATCH(TEmatchups[[#This Row],[Name]],TEstats2[Player],0)),"0")</f>
        <v>26.5</v>
      </c>
      <c r="AP36" s="14">
        <f>IFERROR(INDEX(TEstats3[RecYards],MATCH(TEmatchups[[#This Row],[Name]],TEstats3[Player],0)),"0")</f>
        <v>23.4</v>
      </c>
      <c r="AQ36" s="32">
        <f>IFERROR(INDEX(TEallowed[Yard],MATCH(TEmatchups[[#This Row],[Opp]],TEallowed[Team],0)),"0")</f>
        <v>59.875</v>
      </c>
      <c r="AR36" s="14">
        <f>IFERROR(INDEX(TEstats1[Rec TD],MATCH(TEmatchups[[#This Row],[Name]],TEstats1[Player],0)),"0")</f>
        <v>0.216</v>
      </c>
      <c r="AS36" s="14" t="str">
        <f>IFERROR(INDEX(TEstats2[RecTD],MATCH(TEmatchups[[#This Row],[Name]],TEstats2[Player],0)),"0")</f>
        <v>0.2</v>
      </c>
      <c r="AT36" s="14">
        <f>IFERROR(INDEX(TEstats3[RecTD],MATCH(TEmatchups[[#This Row],[Name]],TEstats3[Player],0)),"0")</f>
        <v>0.2</v>
      </c>
      <c r="AU36" s="32">
        <f>IFERROR(INDEX(TEallowed[TD],MATCH(TEmatchups[[#This Row],[Opp]],TEallowed[Team],0)),"0")</f>
        <v>0.25</v>
      </c>
      <c r="AV36" s="32">
        <f>IF(TEmatchups[[#This Row],[Yards]]&gt;=100,3,0)</f>
        <v>0</v>
      </c>
    </row>
    <row r="37" spans="1:48" ht="15" thickBot="1" x14ac:dyDescent="0.35">
      <c r="A37" s="37">
        <f>TEstats1!AL28</f>
        <v>5</v>
      </c>
      <c r="B37" s="5" t="str">
        <f>TEstats1!D28</f>
        <v>Lance Kendricks</v>
      </c>
      <c r="C37" s="172">
        <f>IFERROR(INDEX(Salaries[DraftKings (Price)],MATCH(TEmatchups[[#This Row],[Name]],Salaries[Player],0)),"")</f>
        <v>2600</v>
      </c>
      <c r="D37" s="172">
        <f>IFERROR(INDEX(DK_Salary_Changes[WeekChange],MATCH(TEmatchups[[#This Row],[Name]],DK_Salary_Changes[Player],0)),"")</f>
        <v>-100</v>
      </c>
      <c r="E37" s="14" t="str">
        <f>IFERROR(INDEX(Salaries[Team],MATCH(TEmatchups[[#This Row],[Name]],Salaries[Player],0)),"")</f>
        <v>LA</v>
      </c>
      <c r="F37" s="14" t="str">
        <f>IFERROR(INDEX(Salaries[Opp],MATCH(TEmatchups[[#This Row],[Team]],Salaries[Team],0)),"")</f>
        <v>@ARI</v>
      </c>
      <c r="G37" s="457">
        <f>IFERROR(INDEX(TightEndYTD[Rec],MATCH(TEmatchups[Name],TightEndYTD[Player],0)),"0")</f>
        <v>6</v>
      </c>
      <c r="H37" s="191">
        <f>IFERROR(INDEX(targettracker54[TTL],MATCH(TEmatchups[Name],targettracker54[Name],0)),"0")</f>
        <v>13</v>
      </c>
      <c r="I37" s="458">
        <f>IFERROR(INDEX(TightEndYTD[Rec Yds],MATCH(TEmatchups[Name],TightEndYTD[Player],0)),"0")</f>
        <v>76</v>
      </c>
      <c r="J37" s="459">
        <f>IFERROR(INDEX(TightEndYTD[Rec TD],MATCH(TEmatchups[Name],TightEndYTD[Player],0)),"0")</f>
        <v>0</v>
      </c>
      <c r="K37" s="431">
        <f>IFERROR(INDEX(Salaries[O/U],MATCH(TEmatchups[[#This Row],[Team]],Salaries[Team],0)),"")</f>
        <v>43</v>
      </c>
      <c r="L37" s="32">
        <f>IFERROR(INDEX(Salaries[Team O/U],MATCH(TEmatchups[[#This Row],[Team]],Salaries[Team],0)),"")</f>
        <v>17.5</v>
      </c>
      <c r="M37" s="417">
        <f>IFERROR(INDEX(Salaries[Spread],MATCH(TEmatchups[[#This Row],[Team]],Salaries[Team],0)),"")</f>
        <v>8</v>
      </c>
      <c r="N37" s="424">
        <f>IFERROR(INDEX(TEallowed[DVP],MATCH(TEmatchups[[#This Row],[Opp]],TEallowed[Team],0)),IFERROR(INDEX(TEallowed[DVP],MATCH(TEmatchups[[#This Row],[Opp]],TEallowed[Opp],0)),""))</f>
        <v>19</v>
      </c>
      <c r="O37" s="17">
        <f>IFERROR(INDEX(YAtCData[YAtC],MATCH(TEmatchups[[#This Row],[Name]],YAtCData[Player],0)),"0")</f>
        <v>48</v>
      </c>
      <c r="P37" s="497">
        <f>IFERROR(INDEX(YAtCData[YAtC/Rec],MATCH(TEmatchups[[#This Row],[Name]],YAtCData[Player],0)),"0")</f>
        <v>8</v>
      </c>
      <c r="Q37" s="17">
        <f>IFERROR(INDEX(YAtCData[YAC],MATCH(TEmatchups[[#This Row],[Name]],YAtCData[Player],0)),"0")</f>
        <v>28</v>
      </c>
      <c r="R37" s="497">
        <f>IFERROR(INDEX(YACDATA[YAC per Reception],MATCH(TEmatchups[[#This Row],[Name]],YACDATA[Player],0)),"0")</f>
        <v>4.7</v>
      </c>
      <c r="S37" s="418">
        <f>AVERAGE(TEmatchups[[#This Row],[Tar1]:[Tar3]])</f>
        <v>3.5</v>
      </c>
      <c r="T37" s="19">
        <f>AVERAGE(TEmatchups[[#This Row],[Rec1]:[Rec3]])</f>
        <v>2.3586666666666667</v>
      </c>
      <c r="U37" s="202">
        <f>SUM(TEmatchups[[#This Row],[Rec4]]/TEmatchups[[#This Row],[Targets2]])</f>
        <v>0.6739047619047619</v>
      </c>
      <c r="V37" s="32">
        <f>AVERAGE(TEmatchups[[#This Row],[Yards1]:[Yards3]])</f>
        <v>25.129666666666665</v>
      </c>
      <c r="W37" s="19">
        <f>SUM(TEmatchups[[#This Row],[Yards]]/TEmatchups[[#This Row],[Targets2]])</f>
        <v>7.1799047619047611</v>
      </c>
      <c r="X37" s="32">
        <f>AVERAGE(TEmatchups[[#This Row],[TD1]:[TD3]])</f>
        <v>0.13750000000000001</v>
      </c>
      <c r="Y37" s="14">
        <v>27</v>
      </c>
      <c r="Z37" s="19">
        <f>SUM(TEmatchups[[#This Row],[Yards]]*0.1)+(TEmatchups[[#This Row],[TD]]*6)+(TEmatchups[[#This Row],[Rec4]]*1)+(TEmatchups[[#This Row],[100+]])</f>
        <v>5.6966333333333337</v>
      </c>
      <c r="AA37" s="8">
        <f>_xlfn.RANK.EQ(TEmatchups[[#This Row],[$/FP]],TEmatchups[$/FP],1)</f>
        <v>25</v>
      </c>
      <c r="AB37" s="484">
        <f>SUM(TEmatchups[[#This Row],[Salary]]/TEmatchups[[#This Row],[Projection]])</f>
        <v>456.40992633075672</v>
      </c>
      <c r="AC37" s="482">
        <f>_xlfn.RANK.EQ(TEmatchups[[#This Row],[Average2]],TEmatchups[Average2],1)</f>
        <v>27</v>
      </c>
      <c r="AD37" s="241">
        <f>AVERAGE(TEmatchups[[#This Row],[Proj Rank]],TEmatchups[[#This Row],[Value Rank]])</f>
        <v>26</v>
      </c>
      <c r="AE37" s="210">
        <f>TEmatchups[[#This Row],[Salary]]/50000</f>
        <v>5.1999999999999998E-2</v>
      </c>
      <c r="AF37" s="210"/>
      <c r="AG37" s="14">
        <f>IFERROR(INDEX(TEstats3[Targets],MATCH(TEmatchups[[#This Row],[Name]],TEstats3[Player],0)),"0")</f>
        <v>3.5</v>
      </c>
      <c r="AH37" s="14" t="str">
        <f>IFERROR(INDEX(TEstats2[Targets],MATCH(TEmatchups[[#This Row],[Name]],TEstats2[Player],0)),"0")</f>
        <v>0</v>
      </c>
      <c r="AI37" s="14">
        <f>IFERROR(INDEX(TEstats3[Targets],MATCH(TEmatchups[[#This Row],[Name]],TEstats3[Player],0)),"0")</f>
        <v>3.5</v>
      </c>
      <c r="AJ37" s="14">
        <f>IFERROR(INDEX(TEstats1[Rec],MATCH(TEmatchups[[#This Row],[Name]],TEstats1[Player],0)),"0")</f>
        <v>2.2759999999999998</v>
      </c>
      <c r="AK37" s="14">
        <f>IFERROR(INDEX(TEstats2[Rec],MATCH(TEmatchups[[#This Row],[Name]],TEstats2[Player],0)),"0")</f>
        <v>2.2999999999999998</v>
      </c>
      <c r="AL37" s="14">
        <f>IFERROR(INDEX(TEstats3[Rec],MATCH(TEmatchups[[#This Row],[Name]],TEstats3[Player],0)),"0")</f>
        <v>2.5</v>
      </c>
      <c r="AM37" s="32" t="str">
        <f>IFERROR(INDEX(TEallowed[Rec],MATCH(TEmatchups[[#This Row],[Opp]],TEallowed[Team],0)),"0")</f>
        <v>0</v>
      </c>
      <c r="AN37" s="14">
        <f>IFERROR(INDEX(TEstats1[Rec Yds],MATCH(TEmatchups[[#This Row],[Name]],TEstats1[Player],0)),"0")</f>
        <v>28.388999999999999</v>
      </c>
      <c r="AO37" s="14">
        <f>IFERROR(INDEX(TEstats2[RecYards],MATCH(TEmatchups[[#This Row],[Name]],TEstats2[Player],0)),"0")</f>
        <v>20.3</v>
      </c>
      <c r="AP37" s="14">
        <f>IFERROR(INDEX(TEstats3[RecYards],MATCH(TEmatchups[[#This Row],[Name]],TEstats3[Player],0)),"0")</f>
        <v>26.7</v>
      </c>
      <c r="AQ37" s="32" t="str">
        <f>IFERROR(INDEX(TEallowed[Yard],MATCH(TEmatchups[[#This Row],[Opp]],TEallowed[Team],0)),"0")</f>
        <v>0</v>
      </c>
      <c r="AR37" s="14">
        <f>IFERROR(INDEX(TEstats1[Rec TD],MATCH(TEmatchups[[#This Row],[Name]],TEstats1[Player],0)),"0")</f>
        <v>0.17499999999999999</v>
      </c>
      <c r="AS37" s="14" t="str">
        <f>IFERROR(INDEX(TEstats2[RecTD],MATCH(TEmatchups[[#This Row],[Name]],TEstats2[Player],0)),"0")</f>
        <v>0.1</v>
      </c>
      <c r="AT37" s="14">
        <f>IFERROR(INDEX(TEstats3[RecTD],MATCH(TEmatchups[[#This Row],[Name]],TEstats3[Player],0)),"0")</f>
        <v>0.1</v>
      </c>
      <c r="AU37" s="32" t="str">
        <f>IFERROR(INDEX(TEallowed[TD],MATCH(TEmatchups[[#This Row],[Opp]],TEallowed[Team],0)),"0")</f>
        <v>0</v>
      </c>
      <c r="AV37" s="32">
        <f>IF(TEmatchups[[#This Row],[Yards]]&gt;=100,3,0)</f>
        <v>0</v>
      </c>
    </row>
    <row r="38" spans="1:48" ht="15" thickBot="1" x14ac:dyDescent="0.35">
      <c r="A38" s="37">
        <f>TEstats1!AL29</f>
        <v>4.9000000000000004</v>
      </c>
      <c r="B38" s="5" t="str">
        <f>TEstats1!D29</f>
        <v>Marcedes Lewis</v>
      </c>
      <c r="C38" s="172">
        <f>IFERROR(INDEX(Salaries[DraftKings (Price)],MATCH(TEmatchups[[#This Row],[Name]],Salaries[Player],0)),"")</f>
        <v>2500</v>
      </c>
      <c r="D38" s="172">
        <f>IFERROR(INDEX(DK_Salary_Changes[WeekChange],MATCH(TEmatchups[[#This Row],[Name]],DK_Salary_Changes[Player],0)),"")</f>
        <v>0</v>
      </c>
      <c r="E38" s="14" t="str">
        <f>IFERROR(INDEX(Salaries[Team],MATCH(TEmatchups[[#This Row],[Name]],Salaries[Player],0)),"")</f>
        <v>JAX</v>
      </c>
      <c r="F38" s="14" t="str">
        <f>IFERROR(INDEX(Salaries[Opp],MATCH(TEmatchups[[#This Row],[Team]],Salaries[Team],0)),"")</f>
        <v>IND</v>
      </c>
      <c r="G38" s="457">
        <f>IFERROR(INDEX(TightEndYTD[Rec],MATCH(TEmatchups[Name],TightEndYTD[Player],0)),"0")</f>
        <v>7</v>
      </c>
      <c r="H38" s="191">
        <f>IFERROR(INDEX(targettracker54[TTL],MATCH(TEmatchups[Name],targettracker54[Name],0)),"0")</f>
        <v>8</v>
      </c>
      <c r="I38" s="458">
        <f>IFERROR(INDEX(TightEndYTD[Rec Yds],MATCH(TEmatchups[Name],TightEndYTD[Player],0)),"0")</f>
        <v>85</v>
      </c>
      <c r="J38" s="459">
        <f>IFERROR(INDEX(TightEndYTD[Rec TD],MATCH(TEmatchups[Name],TightEndYTD[Player],0)),"0")</f>
        <v>1</v>
      </c>
      <c r="K38" s="431">
        <f>IFERROR(INDEX(Salaries[O/U],MATCH(TEmatchups[[#This Row],[Team]],Salaries[Team],0)),"")</f>
        <v>49.5</v>
      </c>
      <c r="L38" s="32">
        <f>IFERROR(INDEX(Salaries[Team O/U],MATCH(TEmatchups[[#This Row],[Team]],Salaries[Team],0)),"")</f>
        <v>23.5</v>
      </c>
      <c r="M38" s="417">
        <f>IFERROR(INDEX(Salaries[Spread],MATCH(TEmatchups[[#This Row],[Team]],Salaries[Team],0)),"")</f>
        <v>2.5</v>
      </c>
      <c r="N38" s="424">
        <f>IFERROR(INDEX(TEallowed[DVP],MATCH(TEmatchups[[#This Row],[Opp]],TEallowed[Team],0)),IFERROR(INDEX(TEallowed[DVP],MATCH(TEmatchups[[#This Row],[Opp]],TEallowed[Opp],0)),""))</f>
        <v>24</v>
      </c>
      <c r="O38" s="17">
        <f>IFERROR(INDEX(YAtCData[YAtC],MATCH(TEmatchups[[#This Row],[Name]],YAtCData[Player],0)),"0")</f>
        <v>15</v>
      </c>
      <c r="P38" s="497">
        <f>IFERROR(INDEX(YAtCData[YAtC/Rec],MATCH(TEmatchups[[#This Row],[Name]],YAtCData[Player],0)),"0")</f>
        <v>2.14</v>
      </c>
      <c r="Q38" s="17">
        <f>IFERROR(INDEX(YAtCData[YAC],MATCH(TEmatchups[[#This Row],[Name]],YAtCData[Player],0)),"0")</f>
        <v>70</v>
      </c>
      <c r="R38" s="497">
        <f>IFERROR(INDEX(YACDATA[YAC per Reception],MATCH(TEmatchups[[#This Row],[Name]],YACDATA[Player],0)),"0")</f>
        <v>10</v>
      </c>
      <c r="S38" s="418">
        <f>AVERAGE(TEmatchups[[#This Row],[Tar1]:[Tar3]])</f>
        <v>1.9</v>
      </c>
      <c r="T38" s="19">
        <f>AVERAGE(TEmatchups[[#This Row],[Rec1]:[Rec3]])</f>
        <v>1.75</v>
      </c>
      <c r="U38" s="202">
        <f>SUM(TEmatchups[[#This Row],[Rec4]]/TEmatchups[[#This Row],[Targets2]])</f>
        <v>0.92105263157894746</v>
      </c>
      <c r="V38" s="32">
        <f>AVERAGE(TEmatchups[[#This Row],[Yards1]:[Yards3]])</f>
        <v>18.459333333333333</v>
      </c>
      <c r="W38" s="19">
        <f>SUM(TEmatchups[[#This Row],[Yards]]/TEmatchups[[#This Row],[Targets2]])</f>
        <v>9.7154385964912287</v>
      </c>
      <c r="X38" s="32">
        <f>AVERAGE(TEmatchups[[#This Row],[TD1]:[TD3]])</f>
        <v>0.13850000000000001</v>
      </c>
      <c r="Y38" s="14">
        <v>28</v>
      </c>
      <c r="Z38" s="19">
        <f>SUM(TEmatchups[[#This Row],[Yards]]*0.1)+(TEmatchups[[#This Row],[TD]]*6)+(TEmatchups[[#This Row],[Rec4]]*1)+(TEmatchups[[#This Row],[100+]])</f>
        <v>4.4269333333333334</v>
      </c>
      <c r="AA38" s="8">
        <f>_xlfn.RANK.EQ(TEmatchups[[#This Row],[$/FP]],TEmatchups[$/FP],1)</f>
        <v>31</v>
      </c>
      <c r="AB38" s="484">
        <f>SUM(TEmatchups[[#This Row],[Salary]]/TEmatchups[[#This Row],[Projection]])</f>
        <v>564.7250165652672</v>
      </c>
      <c r="AC38" s="482">
        <f>_xlfn.RANK.EQ(TEmatchups[[#This Row],[Average2]],TEmatchups[Average2],1)</f>
        <v>29</v>
      </c>
      <c r="AD38" s="241">
        <f>AVERAGE(TEmatchups[[#This Row],[Proj Rank]],TEmatchups[[#This Row],[Value Rank]])</f>
        <v>29.5</v>
      </c>
      <c r="AE38" s="210">
        <f>TEmatchups[[#This Row],[Salary]]/50000</f>
        <v>0.05</v>
      </c>
      <c r="AF38" s="210"/>
      <c r="AG38" s="14">
        <f>IFERROR(INDEX(TEstats3[Targets],MATCH(TEmatchups[[#This Row],[Name]],TEstats3[Player],0)),"0")</f>
        <v>1.9</v>
      </c>
      <c r="AH38" s="14" t="str">
        <f>IFERROR(INDEX(TEstats2[Targets],MATCH(TEmatchups[[#This Row],[Name]],TEstats2[Player],0)),"0")</f>
        <v>0</v>
      </c>
      <c r="AI38" s="14">
        <f>IFERROR(INDEX(TEstats3[Targets],MATCH(TEmatchups[[#This Row],[Name]],TEstats3[Player],0)),"0")</f>
        <v>1.9</v>
      </c>
      <c r="AJ38" s="14">
        <f>IFERROR(INDEX(TEstats1[Rec],MATCH(TEmatchups[[#This Row],[Name]],TEstats1[Player],0)),"0")</f>
        <v>2.4500000000000002</v>
      </c>
      <c r="AK38" s="14">
        <f>IFERROR(INDEX(TEstats2[Rec],MATCH(TEmatchups[[#This Row],[Name]],TEstats2[Player],0)),"0")</f>
        <v>1.5</v>
      </c>
      <c r="AL38" s="14">
        <f>IFERROR(INDEX(TEstats3[Rec],MATCH(TEmatchups[[#This Row],[Name]],TEstats3[Player],0)),"0")</f>
        <v>1.3</v>
      </c>
      <c r="AM38" s="32">
        <f>IFERROR(INDEX(TEallowed[Rec],MATCH(TEmatchups[[#This Row],[Opp]],TEallowed[Team],0)),"0")</f>
        <v>5.4375</v>
      </c>
      <c r="AN38" s="14">
        <f>IFERROR(INDEX(TEstats1[Rec Yds],MATCH(TEmatchups[[#This Row],[Name]],TEstats1[Player],0)),"0")</f>
        <v>26.178000000000001</v>
      </c>
      <c r="AO38" s="14">
        <f>IFERROR(INDEX(TEstats2[RecYards],MATCH(TEmatchups[[#This Row],[Name]],TEstats2[Player],0)),"0")</f>
        <v>15.3</v>
      </c>
      <c r="AP38" s="14">
        <f>IFERROR(INDEX(TEstats3[RecYards],MATCH(TEmatchups[[#This Row],[Name]],TEstats3[Player],0)),"0")</f>
        <v>13.9</v>
      </c>
      <c r="AQ38" s="32">
        <f>IFERROR(INDEX(TEallowed[Yard],MATCH(TEmatchups[[#This Row],[Opp]],TEallowed[Team],0)),"0")</f>
        <v>54.875</v>
      </c>
      <c r="AR38" s="14">
        <f>IFERROR(INDEX(TEstats1[Rec TD],MATCH(TEmatchups[[#This Row],[Name]],TEstats1[Player],0)),"0")</f>
        <v>0.17699999999999999</v>
      </c>
      <c r="AS38" s="14" t="str">
        <f>IFERROR(INDEX(TEstats2[RecTD],MATCH(TEmatchups[[#This Row],[Name]],TEstats2[Player],0)),"0")</f>
        <v>0.1</v>
      </c>
      <c r="AT38" s="14">
        <f>IFERROR(INDEX(TEstats3[RecTD],MATCH(TEmatchups[[#This Row],[Name]],TEstats3[Player],0)),"0")</f>
        <v>0.1</v>
      </c>
      <c r="AU38" s="32">
        <f>IFERROR(INDEX(TEallowed[TD],MATCH(TEmatchups[[#This Row],[Opp]],TEallowed[Team],0)),"0")</f>
        <v>0.375</v>
      </c>
      <c r="AV38" s="32">
        <f>IF(TEmatchups[[#This Row],[Yards]]&gt;=100,3,0)</f>
        <v>0</v>
      </c>
    </row>
    <row r="39" spans="1:48" ht="15" thickBot="1" x14ac:dyDescent="0.35">
      <c r="A39" s="37">
        <f>TEstats1!AL30</f>
        <v>4.5999999999999996</v>
      </c>
      <c r="B39" s="5" t="str">
        <f>TEstats1!D30</f>
        <v>Ryan Griffin</v>
      </c>
      <c r="C39" s="172">
        <f>IFERROR(INDEX(Salaries[DraftKings (Price)],MATCH(TEmatchups[[#This Row],[Name]],Salaries[Player],0)),"")</f>
        <v>2600</v>
      </c>
      <c r="D39" s="172">
        <f>IFERROR(INDEX(DK_Salary_Changes[WeekChange],MATCH(TEmatchups[[#This Row],[Name]],DK_Salary_Changes[Player],0)),"")</f>
        <v>100</v>
      </c>
      <c r="E39" s="14" t="str">
        <f>IFERROR(INDEX(Salaries[Team],MATCH(TEmatchups[[#This Row],[Name]],Salaries[Player],0)),"")</f>
        <v>HOU</v>
      </c>
      <c r="F39" s="14" t="str">
        <f>IFERROR(INDEX(Salaries[Opp],MATCH(TEmatchups[[#This Row],[Team]],Salaries[Team],0)),"")</f>
        <v>TEN</v>
      </c>
      <c r="G39" s="457">
        <f>IFERROR(INDEX(TightEndYTD[Rec],MATCH(TEmatchups[Name],TightEndYTD[Player],0)),"0")</f>
        <v>11</v>
      </c>
      <c r="H39" s="191">
        <f>IFERROR(INDEX(targettracker54[TTL],MATCH(TEmatchups[Name],targettracker54[Name],0)),"0")</f>
        <v>14</v>
      </c>
      <c r="I39" s="458">
        <f>IFERROR(INDEX(TightEndYTD[Rec Yds],MATCH(TEmatchups[Name],TightEndYTD[Player],0)),"0")</f>
        <v>74</v>
      </c>
      <c r="J39" s="459">
        <f>IFERROR(INDEX(TightEndYTD[Rec TD],MATCH(TEmatchups[Name],TightEndYTD[Player],0)),"0")</f>
        <v>0</v>
      </c>
      <c r="K39" s="431">
        <f>IFERROR(INDEX(Salaries[O/U],MATCH(TEmatchups[[#This Row],[Team]],Salaries[Team],0)),"")</f>
        <v>40.5</v>
      </c>
      <c r="L39" s="32">
        <f>IFERROR(INDEX(Salaries[Team O/U],MATCH(TEmatchups[[#This Row],[Team]],Salaries[Team],0)),"")</f>
        <v>23.5</v>
      </c>
      <c r="M39" s="417">
        <f>IFERROR(INDEX(Salaries[Spread],MATCH(TEmatchups[[#This Row],[Team]],Salaries[Team],0)),"")</f>
        <v>-6.5</v>
      </c>
      <c r="N39" s="424">
        <f>IFERROR(INDEX(TEallowed[DVP],MATCH(TEmatchups[[#This Row],[Opp]],TEallowed[Team],0)),IFERROR(INDEX(TEallowed[DVP],MATCH(TEmatchups[[#This Row],[Opp]],TEallowed[Opp],0)),""))</f>
        <v>26</v>
      </c>
      <c r="O39" s="17">
        <f>IFERROR(INDEX(YAtCData[YAtC],MATCH(TEmatchups[[#This Row],[Name]],YAtCData[Player],0)),"0")</f>
        <v>46</v>
      </c>
      <c r="P39" s="497">
        <f>IFERROR(INDEX(YAtCData[YAtC/Rec],MATCH(TEmatchups[[#This Row],[Name]],YAtCData[Player],0)),"0")</f>
        <v>4.18</v>
      </c>
      <c r="Q39" s="17">
        <f>IFERROR(INDEX(YAtCData[YAC],MATCH(TEmatchups[[#This Row],[Name]],YAtCData[Player],0)),"0")</f>
        <v>28</v>
      </c>
      <c r="R39" s="497">
        <f>IFERROR(INDEX(YACDATA[YAC per Reception],MATCH(TEmatchups[[#This Row],[Name]],YACDATA[Player],0)),"0")</f>
        <v>2.5</v>
      </c>
      <c r="S39" s="418">
        <f>AVERAGE(TEmatchups[[#This Row],[Tar1]:[Tar3]])</f>
        <v>2.9</v>
      </c>
      <c r="T39" s="19">
        <f>AVERAGE(TEmatchups[[#This Row],[Rec1]:[Rec3]])</f>
        <v>2.4220000000000002</v>
      </c>
      <c r="U39" s="202">
        <f>SUM(TEmatchups[[#This Row],[Rec4]]/TEmatchups[[#This Row],[Targets2]])</f>
        <v>0.83517241379310347</v>
      </c>
      <c r="V39" s="32">
        <f>AVERAGE(TEmatchups[[#This Row],[Yards1]:[Yards3]])</f>
        <v>23.481999999999999</v>
      </c>
      <c r="W39" s="19">
        <f>SUM(TEmatchups[[#This Row],[Yards]]/TEmatchups[[#This Row],[Targets2]])</f>
        <v>8.0972413793103453</v>
      </c>
      <c r="X39" s="32">
        <f>AVERAGE(TEmatchups[[#This Row],[TD1]:[TD3]])</f>
        <v>0.13650000000000001</v>
      </c>
      <c r="Y39" s="14">
        <v>29</v>
      </c>
      <c r="Z39" s="19">
        <f>SUM(TEmatchups[[#This Row],[Yards]]*0.1)+(TEmatchups[[#This Row],[TD]]*6)+(TEmatchups[[#This Row],[Rec4]]*1)+(TEmatchups[[#This Row],[100+]])</f>
        <v>5.5891999999999999</v>
      </c>
      <c r="AA39" s="8">
        <f>_xlfn.RANK.EQ(TEmatchups[[#This Row],[$/FP]],TEmatchups[$/FP],1)</f>
        <v>28</v>
      </c>
      <c r="AB39" s="484">
        <f>SUM(TEmatchups[[#This Row],[Salary]]/TEmatchups[[#This Row],[Projection]])</f>
        <v>465.1828526443856</v>
      </c>
      <c r="AC39" s="482">
        <f>_xlfn.RANK.EQ(TEmatchups[[#This Row],[Average2]],TEmatchups[Average2],1)</f>
        <v>28</v>
      </c>
      <c r="AD39" s="241">
        <f>AVERAGE(TEmatchups[[#This Row],[Proj Rank]],TEmatchups[[#This Row],[Value Rank]])</f>
        <v>28.5</v>
      </c>
      <c r="AE39" s="210">
        <f>TEmatchups[[#This Row],[Salary]]/50000</f>
        <v>5.1999999999999998E-2</v>
      </c>
      <c r="AF39" s="210"/>
      <c r="AG39" s="14">
        <f>IFERROR(INDEX(TEstats3[Targets],MATCH(TEmatchups[[#This Row],[Name]],TEstats3[Player],0)),"0")</f>
        <v>2.9</v>
      </c>
      <c r="AH39" s="14" t="str">
        <f>IFERROR(INDEX(TEstats2[Targets],MATCH(TEmatchups[[#This Row],[Name]],TEstats2[Player],0)),"0")</f>
        <v>0</v>
      </c>
      <c r="AI39" s="14">
        <f>IFERROR(INDEX(TEstats3[Targets],MATCH(TEmatchups[[#This Row],[Name]],TEstats3[Player],0)),"0")</f>
        <v>2.9</v>
      </c>
      <c r="AJ39" s="14">
        <f>IFERROR(INDEX(TEstats1[Rec],MATCH(TEmatchups[[#This Row],[Name]],TEstats1[Player],0)),"0")</f>
        <v>3.266</v>
      </c>
      <c r="AK39" s="14">
        <f>IFERROR(INDEX(TEstats2[Rec],MATCH(TEmatchups[[#This Row],[Name]],TEstats2[Player],0)),"0")</f>
        <v>2.2000000000000002</v>
      </c>
      <c r="AL39" s="14">
        <f>IFERROR(INDEX(TEstats3[Rec],MATCH(TEmatchups[[#This Row],[Name]],TEstats3[Player],0)),"0")</f>
        <v>1.8</v>
      </c>
      <c r="AM39" s="32">
        <f>IFERROR(INDEX(TEallowed[Rec],MATCH(TEmatchups[[#This Row],[Opp]],TEallowed[Team],0)),"0")</f>
        <v>3.8125</v>
      </c>
      <c r="AN39" s="14">
        <f>IFERROR(INDEX(TEstats1[Rec Yds],MATCH(TEmatchups[[#This Row],[Name]],TEstats1[Player],0)),"0")</f>
        <v>25.946000000000002</v>
      </c>
      <c r="AO39" s="14">
        <f>IFERROR(INDEX(TEstats2[RecYards],MATCH(TEmatchups[[#This Row],[Name]],TEstats2[Player],0)),"0")</f>
        <v>24.6</v>
      </c>
      <c r="AP39" s="14">
        <f>IFERROR(INDEX(TEstats3[RecYards],MATCH(TEmatchups[[#This Row],[Name]],TEstats3[Player],0)),"0")</f>
        <v>19.899999999999999</v>
      </c>
      <c r="AQ39" s="32">
        <f>IFERROR(INDEX(TEallowed[Yard],MATCH(TEmatchups[[#This Row],[Opp]],TEallowed[Team],0)),"0")</f>
        <v>38.4375</v>
      </c>
      <c r="AR39" s="14">
        <f>IFERROR(INDEX(TEstats1[Rec TD],MATCH(TEmatchups[[#This Row],[Name]],TEstats1[Player],0)),"0")</f>
        <v>7.2999999999999995E-2</v>
      </c>
      <c r="AS39" s="14" t="str">
        <f>IFERROR(INDEX(TEstats2[RecTD],MATCH(TEmatchups[[#This Row],[Name]],TEstats2[Player],0)),"0")</f>
        <v>0.1</v>
      </c>
      <c r="AT39" s="14">
        <f>IFERROR(INDEX(TEstats3[RecTD],MATCH(TEmatchups[[#This Row],[Name]],TEstats3[Player],0)),"0")</f>
        <v>0.2</v>
      </c>
      <c r="AU39" s="32">
        <f>IFERROR(INDEX(TEallowed[TD],MATCH(TEmatchups[[#This Row],[Opp]],TEallowed[Team],0)),"0")</f>
        <v>0.25</v>
      </c>
      <c r="AV39" s="32">
        <f>IF(TEmatchups[[#This Row],[Yards]]&gt;=100,3,0)</f>
        <v>0</v>
      </c>
    </row>
    <row r="40" spans="1:48" ht="15" thickBot="1" x14ac:dyDescent="0.35">
      <c r="A40" s="37">
        <f>TEstats1!AL31</f>
        <v>3.6</v>
      </c>
      <c r="B40" s="5" t="str">
        <f>TEstats1!D31</f>
        <v>John Phillips</v>
      </c>
      <c r="C40" s="172">
        <f>IFERROR(INDEX(Salaries[DraftKings (Price)],MATCH(TEmatchups[[#This Row],[Name]],Salaries[Player],0)),"")</f>
        <v>2500</v>
      </c>
      <c r="D40" s="172">
        <f>IFERROR(INDEX(DK_Salary_Changes[WeekChange],MATCH(TEmatchups[[#This Row],[Name]],DK_Salary_Changes[Player],0)),"")</f>
        <v>0</v>
      </c>
      <c r="E40" s="14" t="str">
        <f>IFERROR(INDEX(Salaries[Team],MATCH(TEmatchups[[#This Row],[Name]],Salaries[Player],0)),"")</f>
        <v>DEN</v>
      </c>
      <c r="F40" s="14" t="str">
        <f>IFERROR(INDEX(Salaries[Opp],MATCH(TEmatchups[[#This Row],[Team]],Salaries[Team],0)),"")</f>
        <v>@TB</v>
      </c>
      <c r="G40" s="457">
        <f>IFERROR(INDEX(TightEndYTD[Rec],MATCH(TEmatchups[Name],TightEndYTD[Player],0)),"0")</f>
        <v>2</v>
      </c>
      <c r="H40" s="191">
        <f>IFERROR(INDEX(targettracker54[TTL],MATCH(TEmatchups[Name],targettracker54[Name],0)),"0")</f>
        <v>4</v>
      </c>
      <c r="I40" s="458">
        <f>IFERROR(INDEX(TightEndYTD[Rec Yds],MATCH(TEmatchups[Name],TightEndYTD[Player],0)),"0")</f>
        <v>9</v>
      </c>
      <c r="J40" s="459">
        <f>IFERROR(INDEX(TightEndYTD[Rec TD],MATCH(TEmatchups[Name],TightEndYTD[Player],0)),"0")</f>
        <v>1</v>
      </c>
      <c r="K40" s="431">
        <f>IFERROR(INDEX(Salaries[O/U],MATCH(TEmatchups[[#This Row],[Team]],Salaries[Team],0)),"")</f>
        <v>44</v>
      </c>
      <c r="L40" s="32">
        <f>IFERROR(INDEX(Salaries[Team O/U],MATCH(TEmatchups[[#This Row],[Team]],Salaries[Team],0)),"")</f>
        <v>23.5</v>
      </c>
      <c r="M40" s="417">
        <f>IFERROR(INDEX(Salaries[Spread],MATCH(TEmatchups[[#This Row],[Team]],Salaries[Team],0)),"")</f>
        <v>-3</v>
      </c>
      <c r="N40" s="424">
        <f>IFERROR(INDEX(TEallowed[DVP],MATCH(TEmatchups[[#This Row],[Opp]],TEallowed[Team],0)),IFERROR(INDEX(TEallowed[DVP],MATCH(TEmatchups[[#This Row],[Opp]],TEallowed[Opp],0)),""))</f>
        <v>9</v>
      </c>
      <c r="O40" s="17">
        <f>IFERROR(INDEX(YAtCData[YAtC],MATCH(TEmatchups[[#This Row],[Name]],YAtCData[Player],0)),"0")</f>
        <v>12</v>
      </c>
      <c r="P40" s="497">
        <f>IFERROR(INDEX(YAtCData[YAtC/Rec],MATCH(TEmatchups[[#This Row],[Name]],YAtCData[Player],0)),"0")</f>
        <v>6</v>
      </c>
      <c r="Q40" s="17">
        <f>IFERROR(INDEX(YAtCData[YAC],MATCH(TEmatchups[[#This Row],[Name]],YAtCData[Player],0)),"0")</f>
        <v>-3</v>
      </c>
      <c r="R40" s="497" t="str">
        <f>IFERROR(INDEX(YACDATA[YAC per Reception],MATCH(TEmatchups[[#This Row],[Name]],YACDATA[Player],0)),"0")</f>
        <v>0</v>
      </c>
      <c r="S40" s="418">
        <f>AVERAGE(TEmatchups[[#This Row],[Tar1]:[Tar3]])</f>
        <v>0.9</v>
      </c>
      <c r="T40" s="19">
        <f>AVERAGE(TEmatchups[[#This Row],[Rec1]:[Rec3]])</f>
        <v>1.1485000000000001</v>
      </c>
      <c r="U40" s="202">
        <f>SUM(TEmatchups[[#This Row],[Rec4]]/TEmatchups[[#This Row],[Targets2]])</f>
        <v>1.2761111111111112</v>
      </c>
      <c r="V40" s="32">
        <f>AVERAGE(TEmatchups[[#This Row],[Yards1]:[Yards3]])</f>
        <v>13.263999999999999</v>
      </c>
      <c r="W40" s="19">
        <f>SUM(TEmatchups[[#This Row],[Yards]]/TEmatchups[[#This Row],[Targets2]])</f>
        <v>14.737777777777776</v>
      </c>
      <c r="X40" s="32">
        <f>AVERAGE(TEmatchups[[#This Row],[TD1]:[TD3]])</f>
        <v>0.11600000000000001</v>
      </c>
      <c r="Y40" s="14">
        <v>30</v>
      </c>
      <c r="Z40" s="19">
        <f>SUM(TEmatchups[[#This Row],[Yards]]*0.1)+(TEmatchups[[#This Row],[TD]]*6)+(TEmatchups[[#This Row],[Rec4]]*1)+(TEmatchups[[#This Row],[100+]])</f>
        <v>3.1709000000000005</v>
      </c>
      <c r="AA40" s="8">
        <f>_xlfn.RANK.EQ(TEmatchups[[#This Row],[$/FP]],TEmatchups[$/FP],1)</f>
        <v>36</v>
      </c>
      <c r="AB40" s="484">
        <f>SUM(TEmatchups[[#This Row],[Salary]]/TEmatchups[[#This Row],[Projection]])</f>
        <v>788.41969157021651</v>
      </c>
      <c r="AC40" s="482">
        <f>_xlfn.RANK.EQ(TEmatchups[[#This Row],[Average2]],TEmatchups[Average2],1)</f>
        <v>32</v>
      </c>
      <c r="AD40" s="241">
        <f>AVERAGE(TEmatchups[[#This Row],[Proj Rank]],TEmatchups[[#This Row],[Value Rank]])</f>
        <v>33</v>
      </c>
      <c r="AE40" s="210">
        <f>TEmatchups[[#This Row],[Salary]]/50000</f>
        <v>0.05</v>
      </c>
      <c r="AF40" s="210"/>
      <c r="AG40" s="14">
        <f>IFERROR(INDEX(TEstats3[Targets],MATCH(TEmatchups[[#This Row],[Name]],TEstats3[Player],0)),"0")</f>
        <v>0.9</v>
      </c>
      <c r="AH40" s="14" t="str">
        <f>IFERROR(INDEX(TEstats2[Targets],MATCH(TEmatchups[[#This Row],[Name]],TEstats2[Player],0)),"0")</f>
        <v>0</v>
      </c>
      <c r="AI40" s="14">
        <f>IFERROR(INDEX(TEstats3[Targets],MATCH(TEmatchups[[#This Row],[Name]],TEstats3[Player],0)),"0")</f>
        <v>0.9</v>
      </c>
      <c r="AJ40" s="14">
        <f>IFERROR(INDEX(TEstats1[Rec],MATCH(TEmatchups[[#This Row],[Name]],TEstats1[Player],0)),"0")</f>
        <v>1.6970000000000001</v>
      </c>
      <c r="AK40" s="14" t="str">
        <f>IFERROR(INDEX(TEstats2[Rec],MATCH(TEmatchups[[#This Row],[Name]],TEstats2[Player],0)),"0")</f>
        <v>0</v>
      </c>
      <c r="AL40" s="14">
        <f>IFERROR(INDEX(TEstats3[Rec],MATCH(TEmatchups[[#This Row],[Name]],TEstats3[Player],0)),"0")</f>
        <v>0.6</v>
      </c>
      <c r="AM40" s="32" t="str">
        <f>IFERROR(INDEX(TEallowed[Rec],MATCH(TEmatchups[[#This Row],[Opp]],TEallowed[Team],0)),"0")</f>
        <v>0</v>
      </c>
      <c r="AN40" s="14">
        <f>IFERROR(INDEX(TEstats1[Rec Yds],MATCH(TEmatchups[[#This Row],[Name]],TEstats1[Player],0)),"0")</f>
        <v>20.327999999999999</v>
      </c>
      <c r="AO40" s="14" t="str">
        <f>IFERROR(INDEX(TEstats2[RecYards],MATCH(TEmatchups[[#This Row],[Name]],TEstats2[Player],0)),"0")</f>
        <v>0</v>
      </c>
      <c r="AP40" s="14">
        <f>IFERROR(INDEX(TEstats3[RecYards],MATCH(TEmatchups[[#This Row],[Name]],TEstats3[Player],0)),"0")</f>
        <v>6.2</v>
      </c>
      <c r="AQ40" s="32" t="str">
        <f>IFERROR(INDEX(TEallowed[Yard],MATCH(TEmatchups[[#This Row],[Opp]],TEallowed[Team],0)),"0")</f>
        <v>0</v>
      </c>
      <c r="AR40" s="14">
        <f>IFERROR(INDEX(TEstats1[Rec TD],MATCH(TEmatchups[[#This Row],[Name]],TEstats1[Player],0)),"0")</f>
        <v>0.13200000000000001</v>
      </c>
      <c r="AS40" s="14" t="str">
        <f>IFERROR(INDEX(TEstats2[RecTD],MATCH(TEmatchups[[#This Row],[Name]],TEstats2[Player],0)),"0")</f>
        <v>0</v>
      </c>
      <c r="AT40" s="14">
        <f>IFERROR(INDEX(TEstats3[RecTD],MATCH(TEmatchups[[#This Row],[Name]],TEstats3[Player],0)),"0")</f>
        <v>0.1</v>
      </c>
      <c r="AU40" s="32" t="str">
        <f>IFERROR(INDEX(TEallowed[TD],MATCH(TEmatchups[[#This Row],[Opp]],TEallowed[Team],0)),"0")</f>
        <v>0</v>
      </c>
      <c r="AV40" s="32">
        <f>IF(TEmatchups[[#This Row],[Yards]]&gt;=100,3,0)</f>
        <v>0</v>
      </c>
    </row>
    <row r="41" spans="1:48" ht="15" thickBot="1" x14ac:dyDescent="0.35">
      <c r="A41" s="37">
        <f>TEstats1!AL32</f>
        <v>3.3</v>
      </c>
      <c r="B41" s="5" t="str">
        <f>TEstats1!D32</f>
        <v>Crockett Gillmore</v>
      </c>
      <c r="C41" s="172">
        <f>IFERROR(INDEX(Salaries[DraftKings (Price)],MATCH(TEmatchups[[#This Row],[Name]],Salaries[Player],0)),"")</f>
        <v>2500</v>
      </c>
      <c r="D41" s="172">
        <f>IFERROR(INDEX(DK_Salary_Changes[WeekChange],MATCH(TEmatchups[[#This Row],[Name]],DK_Salary_Changes[Player],0)),"")</f>
        <v>0</v>
      </c>
      <c r="E41" s="14" t="str">
        <f>IFERROR(INDEX(Salaries[Team],MATCH(TEmatchups[[#This Row],[Name]],Salaries[Player],0)),"")</f>
        <v>BAL</v>
      </c>
      <c r="F41" s="14" t="str">
        <f>IFERROR(INDEX(Salaries[Opp],MATCH(TEmatchups[[#This Row],[Team]],Salaries[Team],0)),"")</f>
        <v>OAK</v>
      </c>
      <c r="G41" s="457" t="str">
        <f>IFERROR(INDEX(TightEndYTD[Rec],MATCH(TEmatchups[Name],TightEndYTD[Player],0)),"0")</f>
        <v>0</v>
      </c>
      <c r="H41" s="191">
        <f>IFERROR(INDEX(targettracker54[TTL],MATCH(TEmatchups[Name],targettracker54[Name],0)),"0")</f>
        <v>4</v>
      </c>
      <c r="I41" s="458" t="str">
        <f>IFERROR(INDEX(TightEndYTD[Rec Yds],MATCH(TEmatchups[Name],TightEndYTD[Player],0)),"0")</f>
        <v>0</v>
      </c>
      <c r="J41" s="459" t="str">
        <f>IFERROR(INDEX(TightEndYTD[Rec TD],MATCH(TEmatchups[Name],TightEndYTD[Player],0)),"0")</f>
        <v>0</v>
      </c>
      <c r="K41" s="431">
        <f>IFERROR(INDEX(Salaries[O/U],MATCH(TEmatchups[[#This Row],[Team]],Salaries[Team],0)),"")</f>
        <v>46.5</v>
      </c>
      <c r="L41" s="32">
        <f>IFERROR(INDEX(Salaries[Team O/U],MATCH(TEmatchups[[#This Row],[Team]],Salaries[Team],0)),"")</f>
        <v>25</v>
      </c>
      <c r="M41" s="417">
        <f>IFERROR(INDEX(Salaries[Spread],MATCH(TEmatchups[[#This Row],[Team]],Salaries[Team],0)),"")</f>
        <v>-3.5</v>
      </c>
      <c r="N41" s="424">
        <f>IFERROR(INDEX(TEallowed[DVP],MATCH(TEmatchups[[#This Row],[Opp]],TEallowed[Team],0)),IFERROR(INDEX(TEallowed[DVP],MATCH(TEmatchups[[#This Row],[Opp]],TEallowed[Opp],0)),""))</f>
        <v>30</v>
      </c>
      <c r="O41" s="17">
        <f>IFERROR(INDEX(YAtCData[YAtC],MATCH(TEmatchups[[#This Row],[Name]],YAtCData[Player],0)),"0")</f>
        <v>18</v>
      </c>
      <c r="P41" s="497">
        <f>IFERROR(INDEX(YAtCData[YAtC/Rec],MATCH(TEmatchups[[#This Row],[Name]],YAtCData[Player],0)),"0")</f>
        <v>9</v>
      </c>
      <c r="Q41" s="17">
        <f>IFERROR(INDEX(YAtCData[YAC],MATCH(TEmatchups[[#This Row],[Name]],YAtCData[Player],0)),"0")</f>
        <v>9</v>
      </c>
      <c r="R41" s="497">
        <f>IFERROR(INDEX(YACDATA[YAC per Reception],MATCH(TEmatchups[[#This Row],[Name]],YACDATA[Player],0)),"0")</f>
        <v>4.5</v>
      </c>
      <c r="S41" s="418">
        <f>AVERAGE(TEmatchups[[#This Row],[Tar1]:[Tar3]])</f>
        <v>1.9</v>
      </c>
      <c r="T41" s="19">
        <f>AVERAGE(TEmatchups[[#This Row],[Rec1]:[Rec3]])</f>
        <v>1.4316666666666666</v>
      </c>
      <c r="U41" s="202">
        <f>SUM(TEmatchups[[#This Row],[Rec4]]/TEmatchups[[#This Row],[Targets2]])</f>
        <v>0.75350877192982457</v>
      </c>
      <c r="V41" s="32">
        <f>AVERAGE(TEmatchups[[#This Row],[Yards1]:[Yards3]])</f>
        <v>15.781666666666666</v>
      </c>
      <c r="W41" s="19">
        <f>SUM(TEmatchups[[#This Row],[Yards]]/TEmatchups[[#This Row],[Targets2]])</f>
        <v>8.3061403508771932</v>
      </c>
      <c r="X41" s="32">
        <f>AVERAGE(TEmatchups[[#This Row],[TD1]:[TD3]])</f>
        <v>0.124</v>
      </c>
      <c r="Y41" s="14">
        <v>31</v>
      </c>
      <c r="Z41" s="19">
        <f>SUM(TEmatchups[[#This Row],[Yards]]*0.1)+(TEmatchups[[#This Row],[TD]]*6)+(TEmatchups[[#This Row],[Rec4]]*1)+(TEmatchups[[#This Row],[100+]])</f>
        <v>3.7538333333333336</v>
      </c>
      <c r="AA41" s="8">
        <f>_xlfn.RANK.EQ(TEmatchups[[#This Row],[$/FP]],TEmatchups[$/FP],1)</f>
        <v>33</v>
      </c>
      <c r="AB41" s="484">
        <f>SUM(TEmatchups[[#This Row],[Salary]]/TEmatchups[[#This Row],[Projection]])</f>
        <v>665.98588109932064</v>
      </c>
      <c r="AC41" s="482">
        <f>_xlfn.RANK.EQ(TEmatchups[[#This Row],[Average2]],TEmatchups[Average2],1)</f>
        <v>31</v>
      </c>
      <c r="AD41" s="241">
        <f>AVERAGE(TEmatchups[[#This Row],[Proj Rank]],TEmatchups[[#This Row],[Value Rank]])</f>
        <v>32</v>
      </c>
      <c r="AE41" s="210">
        <f>TEmatchups[[#This Row],[Salary]]/50000</f>
        <v>0.05</v>
      </c>
      <c r="AF41" s="210"/>
      <c r="AG41" s="14">
        <f>IFERROR(INDEX(TEstats3[Targets],MATCH(TEmatchups[[#This Row],[Name]],TEstats3[Player],0)),"0")</f>
        <v>1.9</v>
      </c>
      <c r="AH41" s="14" t="str">
        <f>IFERROR(INDEX(TEstats2[Targets],MATCH(TEmatchups[[#This Row],[Name]],TEstats2[Player],0)),"0")</f>
        <v>0</v>
      </c>
      <c r="AI41" s="14">
        <f>IFERROR(INDEX(TEstats3[Targets],MATCH(TEmatchups[[#This Row],[Name]],TEstats3[Player],0)),"0")</f>
        <v>1.9</v>
      </c>
      <c r="AJ41" s="14">
        <f>IFERROR(INDEX(TEstats1[Rec],MATCH(TEmatchups[[#This Row],[Name]],TEstats1[Player],0)),"0")</f>
        <v>1.4950000000000001</v>
      </c>
      <c r="AK41" s="14">
        <f>IFERROR(INDEX(TEstats2[Rec],MATCH(TEmatchups[[#This Row],[Name]],TEstats2[Player],0)),"0")</f>
        <v>1.4</v>
      </c>
      <c r="AL41" s="14">
        <f>IFERROR(INDEX(TEstats3[Rec],MATCH(TEmatchups[[#This Row],[Name]],TEstats3[Player],0)),"0")</f>
        <v>1.4</v>
      </c>
      <c r="AM41" s="32">
        <f>IFERROR(INDEX(TEallowed[Rec],MATCH(TEmatchups[[#This Row],[Opp]],TEallowed[Team],0)),"0")</f>
        <v>5.6875</v>
      </c>
      <c r="AN41" s="14">
        <f>IFERROR(INDEX(TEstats1[Rec Yds],MATCH(TEmatchups[[#This Row],[Name]],TEstats1[Player],0)),"0")</f>
        <v>16.945</v>
      </c>
      <c r="AO41" s="14">
        <f>IFERROR(INDEX(TEstats2[RecYards],MATCH(TEmatchups[[#This Row],[Name]],TEstats2[Player],0)),"0")</f>
        <v>14.2</v>
      </c>
      <c r="AP41" s="14">
        <f>IFERROR(INDEX(TEstats3[RecYards],MATCH(TEmatchups[[#This Row],[Name]],TEstats3[Player],0)),"0")</f>
        <v>16.2</v>
      </c>
      <c r="AQ41" s="32">
        <f>IFERROR(INDEX(TEallowed[Yard],MATCH(TEmatchups[[#This Row],[Opp]],TEallowed[Team],0)),"0")</f>
        <v>53.3125</v>
      </c>
      <c r="AR41" s="14">
        <f>IFERROR(INDEX(TEstats1[Rec TD],MATCH(TEmatchups[[#This Row],[Name]],TEstats1[Player],0)),"0")</f>
        <v>0.14799999999999999</v>
      </c>
      <c r="AS41" s="14" t="str">
        <f>IFERROR(INDEX(TEstats2[RecTD],MATCH(TEmatchups[[#This Row],[Name]],TEstats2[Player],0)),"0")</f>
        <v>0.3</v>
      </c>
      <c r="AT41" s="14">
        <f>IFERROR(INDEX(TEstats3[RecTD],MATCH(TEmatchups[[#This Row],[Name]],TEstats3[Player],0)),"0")</f>
        <v>0.1</v>
      </c>
      <c r="AU41" s="32">
        <f>IFERROR(INDEX(TEallowed[TD],MATCH(TEmatchups[[#This Row],[Opp]],TEallowed[Team],0)),"0")</f>
        <v>0.25</v>
      </c>
      <c r="AV41" s="32">
        <f>IF(TEmatchups[[#This Row],[Yards]]&gt;=100,3,0)</f>
        <v>0</v>
      </c>
    </row>
    <row r="42" spans="1:48" ht="15" thickBot="1" x14ac:dyDescent="0.35">
      <c r="A42" s="37">
        <f>TEstats1!AL33</f>
        <v>3.6</v>
      </c>
      <c r="B42" s="5" t="str">
        <f>TEstats1!D33</f>
        <v>Larry Donnell</v>
      </c>
      <c r="C42" s="172">
        <f>IFERROR(INDEX(Salaries[DraftKings (Price)],MATCH(TEmatchups[[#This Row],[Name]],Salaries[Player],0)),"")</f>
        <v>2600</v>
      </c>
      <c r="D42" s="172">
        <f>IFERROR(INDEX(DK_Salary_Changes[WeekChange],MATCH(TEmatchups[[#This Row],[Name]],DK_Salary_Changes[Player],0)),"")</f>
        <v>-100</v>
      </c>
      <c r="E42" s="14" t="str">
        <f>IFERROR(INDEX(Salaries[Team],MATCH(TEmatchups[[#This Row],[Name]],Salaries[Player],0)),"")</f>
        <v>NYG</v>
      </c>
      <c r="F42" s="14" t="str">
        <f>IFERROR(INDEX(Salaries[Opp],MATCH(TEmatchups[[#This Row],[Team]],Salaries[Team],0)),"")</f>
        <v>@MIN</v>
      </c>
      <c r="G42" s="457">
        <f>IFERROR(INDEX(TightEndYTD[Rec],MATCH(TEmatchups[Name],TightEndYTD[Player],0)),"0")</f>
        <v>8</v>
      </c>
      <c r="H42" s="191">
        <f>IFERROR(INDEX(targettracker54[TTL],MATCH(TEmatchups[Name],targettracker54[Name],0)),"0")</f>
        <v>11</v>
      </c>
      <c r="I42" s="458">
        <f>IFERROR(INDEX(TightEndYTD[Rec Yds],MATCH(TEmatchups[Name],TightEndYTD[Player],0)),"0")</f>
        <v>50</v>
      </c>
      <c r="J42" s="459">
        <f>IFERROR(INDEX(TightEndYTD[Rec TD],MATCH(TEmatchups[Name],TightEndYTD[Player],0)),"0")</f>
        <v>1</v>
      </c>
      <c r="K42" s="431">
        <f>IFERROR(INDEX(Salaries[O/U],MATCH(TEmatchups[[#This Row],[Team]],Salaries[Team],0)),"")</f>
        <v>43.5</v>
      </c>
      <c r="L42" s="32">
        <f>IFERROR(INDEX(Salaries[Team O/U],MATCH(TEmatchups[[#This Row],[Team]],Salaries[Team],0)),"")</f>
        <v>19.75</v>
      </c>
      <c r="M42" s="417">
        <f>IFERROR(INDEX(Salaries[Spread],MATCH(TEmatchups[[#This Row],[Team]],Salaries[Team],0)),"")</f>
        <v>4</v>
      </c>
      <c r="N42" s="424">
        <f>IFERROR(INDEX(TEallowed[DVP],MATCH(TEmatchups[[#This Row],[Opp]],TEallowed[Team],0)),IFERROR(INDEX(TEallowed[DVP],MATCH(TEmatchups[[#This Row],[Opp]],TEallowed[Opp],0)),""))</f>
        <v>16</v>
      </c>
      <c r="O42" s="17">
        <f>IFERROR(INDEX(YAtCData[YAtC],MATCH(TEmatchups[[#This Row],[Name]],YAtCData[Player],0)),"0")</f>
        <v>38</v>
      </c>
      <c r="P42" s="497">
        <f>IFERROR(INDEX(YAtCData[YAtC/Rec],MATCH(TEmatchups[[#This Row],[Name]],YAtCData[Player],0)),"0")</f>
        <v>4.75</v>
      </c>
      <c r="Q42" s="17">
        <f>IFERROR(INDEX(YAtCData[YAC],MATCH(TEmatchups[[#This Row],[Name]],YAtCData[Player],0)),"0")</f>
        <v>12</v>
      </c>
      <c r="R42" s="497">
        <f>IFERROR(INDEX(YACDATA[YAC per Reception],MATCH(TEmatchups[[#This Row],[Name]],YACDATA[Player],0)),"0")</f>
        <v>1.5</v>
      </c>
      <c r="S42" s="418">
        <f>AVERAGE(TEmatchups[[#This Row],[Tar1]:[Tar3]])</f>
        <v>2.5</v>
      </c>
      <c r="T42" s="19">
        <f>AVERAGE(TEmatchups[[#This Row],[Rec1]:[Rec3]])</f>
        <v>2.1343333333333332</v>
      </c>
      <c r="U42" s="202">
        <f>SUM(TEmatchups[[#This Row],[Rec4]]/TEmatchups[[#This Row],[Targets2]])</f>
        <v>0.85373333333333323</v>
      </c>
      <c r="V42" s="32">
        <f>AVERAGE(TEmatchups[[#This Row],[Yards1]:[Yards3]])</f>
        <v>18.53833333333333</v>
      </c>
      <c r="W42" s="19">
        <f>SUM(TEmatchups[[#This Row],[Yards]]/TEmatchups[[#This Row],[Targets2]])</f>
        <v>7.415333333333332</v>
      </c>
      <c r="X42" s="32">
        <f>AVERAGE(TEmatchups[[#This Row],[TD1]:[TD3]])</f>
        <v>0.1575</v>
      </c>
      <c r="Y42" s="14">
        <v>32</v>
      </c>
      <c r="Z42" s="19">
        <f>SUM(TEmatchups[[#This Row],[Yards]]*0.1)+(TEmatchups[[#This Row],[TD]]*6)+(TEmatchups[[#This Row],[Rec4]]*1)+(TEmatchups[[#This Row],[100+]])</f>
        <v>4.9331666666666667</v>
      </c>
      <c r="AA42" s="8">
        <f>_xlfn.RANK.EQ(TEmatchups[[#This Row],[$/FP]],TEmatchups[$/FP],1)</f>
        <v>29</v>
      </c>
      <c r="AB42" s="484">
        <f>SUM(TEmatchups[[#This Row],[Salary]]/TEmatchups[[#This Row],[Projection]])</f>
        <v>527.04483259569577</v>
      </c>
      <c r="AC42" s="482">
        <f>_xlfn.RANK.EQ(TEmatchups[[#This Row],[Average2]],TEmatchups[Average2],1)</f>
        <v>30</v>
      </c>
      <c r="AD42" s="241">
        <f>AVERAGE(TEmatchups[[#This Row],[Proj Rank]],TEmatchups[[#This Row],[Value Rank]])</f>
        <v>30.5</v>
      </c>
      <c r="AE42" s="210">
        <f>TEmatchups[[#This Row],[Salary]]/50000</f>
        <v>5.1999999999999998E-2</v>
      </c>
      <c r="AF42" s="210"/>
      <c r="AG42" s="14">
        <f>IFERROR(INDEX(TEstats3[Targets],MATCH(TEmatchups[[#This Row],[Name]],TEstats3[Player],0)),"0")</f>
        <v>2.5</v>
      </c>
      <c r="AH42" s="14" t="str">
        <f>IFERROR(INDEX(TEstats2[Targets],MATCH(TEmatchups[[#This Row],[Name]],TEstats2[Player],0)),"0")</f>
        <v>0</v>
      </c>
      <c r="AI42" s="14">
        <f>IFERROR(INDEX(TEstats3[Targets],MATCH(TEmatchups[[#This Row],[Name]],TEstats3[Player],0)),"0")</f>
        <v>2.5</v>
      </c>
      <c r="AJ42" s="14">
        <f>IFERROR(INDEX(TEstats1[Rec],MATCH(TEmatchups[[#This Row],[Name]],TEstats1[Player],0)),"0")</f>
        <v>2.3029999999999999</v>
      </c>
      <c r="AK42" s="14">
        <f>IFERROR(INDEX(TEstats2[Rec],MATCH(TEmatchups[[#This Row],[Name]],TEstats2[Player],0)),"0")</f>
        <v>2.2999999999999998</v>
      </c>
      <c r="AL42" s="14">
        <f>IFERROR(INDEX(TEstats3[Rec],MATCH(TEmatchups[[#This Row],[Name]],TEstats3[Player],0)),"0")</f>
        <v>1.8</v>
      </c>
      <c r="AM42" s="32" t="str">
        <f>IFERROR(INDEX(TEallowed[Rec],MATCH(TEmatchups[[#This Row],[Opp]],TEallowed[Team],0)),"0")</f>
        <v>0</v>
      </c>
      <c r="AN42" s="14">
        <f>IFERROR(INDEX(TEstats1[Rec Yds],MATCH(TEmatchups[[#This Row],[Name]],TEstats1[Player],0)),"0")</f>
        <v>18.215</v>
      </c>
      <c r="AO42" s="14">
        <f>IFERROR(INDEX(TEstats2[RecYards],MATCH(TEmatchups[[#This Row],[Name]],TEstats2[Player],0)),"0")</f>
        <v>19.600000000000001</v>
      </c>
      <c r="AP42" s="14">
        <f>IFERROR(INDEX(TEstats3[RecYards],MATCH(TEmatchups[[#This Row],[Name]],TEstats3[Player],0)),"0")</f>
        <v>17.8</v>
      </c>
      <c r="AQ42" s="32" t="str">
        <f>IFERROR(INDEX(TEallowed[Yard],MATCH(TEmatchups[[#This Row],[Opp]],TEallowed[Team],0)),"0")</f>
        <v>0</v>
      </c>
      <c r="AR42" s="14">
        <f>IFERROR(INDEX(TEstats1[Rec TD],MATCH(TEmatchups[[#This Row],[Name]],TEstats1[Player],0)),"0")</f>
        <v>0.115</v>
      </c>
      <c r="AS42" s="14" t="str">
        <f>IFERROR(INDEX(TEstats2[RecTD],MATCH(TEmatchups[[#This Row],[Name]],TEstats2[Player],0)),"0")</f>
        <v>0.1</v>
      </c>
      <c r="AT42" s="14">
        <f>IFERROR(INDEX(TEstats3[RecTD],MATCH(TEmatchups[[#This Row],[Name]],TEstats3[Player],0)),"0")</f>
        <v>0.2</v>
      </c>
      <c r="AU42" s="32" t="str">
        <f>IFERROR(INDEX(TEallowed[TD],MATCH(TEmatchups[[#This Row],[Opp]],TEallowed[Team],0)),"0")</f>
        <v>0</v>
      </c>
      <c r="AV42" s="32">
        <f>IF(TEmatchups[[#This Row],[Yards]]&gt;=100,3,0)</f>
        <v>0</v>
      </c>
    </row>
    <row r="43" spans="1:48" ht="15" thickBot="1" x14ac:dyDescent="0.35">
      <c r="A43" s="37">
        <f>TEstats1!AL34</f>
        <v>3.2</v>
      </c>
      <c r="B43" s="5" t="str">
        <f>TEstats1!D34</f>
        <v>Jeff Heuerman</v>
      </c>
      <c r="C43" s="172">
        <f>IFERROR(INDEX(Salaries[DraftKings (Price)],MATCH(TEmatchups[[#This Row],[Name]],Salaries[Player],0)),"")</f>
        <v>2500</v>
      </c>
      <c r="D43" s="172">
        <f>IFERROR(INDEX(DK_Salary_Changes[WeekChange],MATCH(TEmatchups[[#This Row],[Name]],DK_Salary_Changes[Player],0)),"")</f>
        <v>0</v>
      </c>
      <c r="E43" s="14" t="str">
        <f>IFERROR(INDEX(Salaries[Team],MATCH(TEmatchups[[#This Row],[Name]],Salaries[Player],0)),"")</f>
        <v>DEN</v>
      </c>
      <c r="F43" s="14" t="str">
        <f>IFERROR(INDEX(Salaries[Opp],MATCH(TEmatchups[[#This Row],[Team]],Salaries[Team],0)),"")</f>
        <v>@TB</v>
      </c>
      <c r="G43" s="457" t="str">
        <f>IFERROR(INDEX(TightEndYTD[Rec],MATCH(TEmatchups[Name],TightEndYTD[Player],0)),"0")</f>
        <v>0</v>
      </c>
      <c r="H43" s="191">
        <f>IFERROR(INDEX(targettracker54[TTL],MATCH(TEmatchups[Name],targettracker54[Name],0)),"0")</f>
        <v>1</v>
      </c>
      <c r="I43" s="458" t="str">
        <f>IFERROR(INDEX(TightEndYTD[Rec Yds],MATCH(TEmatchups[Name],TightEndYTD[Player],0)),"0")</f>
        <v>0</v>
      </c>
      <c r="J43" s="459" t="str">
        <f>IFERROR(INDEX(TightEndYTD[Rec TD],MATCH(TEmatchups[Name],TightEndYTD[Player],0)),"0")</f>
        <v>0</v>
      </c>
      <c r="K43" s="431">
        <f>IFERROR(INDEX(Salaries[O/U],MATCH(TEmatchups[[#This Row],[Team]],Salaries[Team],0)),"")</f>
        <v>44</v>
      </c>
      <c r="L43" s="32">
        <f>IFERROR(INDEX(Salaries[Team O/U],MATCH(TEmatchups[[#This Row],[Team]],Salaries[Team],0)),"")</f>
        <v>23.5</v>
      </c>
      <c r="M43" s="417">
        <f>IFERROR(INDEX(Salaries[Spread],MATCH(TEmatchups[[#This Row],[Team]],Salaries[Team],0)),"")</f>
        <v>-3</v>
      </c>
      <c r="N43" s="424">
        <f>IFERROR(INDEX(TEallowed[DVP],MATCH(TEmatchups[[#This Row],[Opp]],TEallowed[Team],0)),IFERROR(INDEX(TEallowed[DVP],MATCH(TEmatchups[[#This Row],[Opp]],TEallowed[Opp],0)),""))</f>
        <v>9</v>
      </c>
      <c r="O43" s="17">
        <f>IFERROR(INDEX(YAtCData[YAtC],MATCH(TEmatchups[[#This Row],[Name]],YAtCData[Player],0)),"0")</f>
        <v>22</v>
      </c>
      <c r="P43" s="497">
        <f>IFERROR(INDEX(YAtCData[YAtC/Rec],MATCH(TEmatchups[[#This Row],[Name]],YAtCData[Player],0)),"0")</f>
        <v>22</v>
      </c>
      <c r="Q43" s="17">
        <f>IFERROR(INDEX(YAtCData[YAC],MATCH(TEmatchups[[#This Row],[Name]],YAtCData[Player],0)),"0")</f>
        <v>7</v>
      </c>
      <c r="R43" s="497">
        <f>IFERROR(INDEX(YACDATA[YAC per Reception],MATCH(TEmatchups[[#This Row],[Name]],YACDATA[Player],0)),"0")</f>
        <v>7</v>
      </c>
      <c r="S43" s="418">
        <f>AVERAGE(TEmatchups[[#This Row],[Tar1]:[Tar3]])</f>
        <v>0.3</v>
      </c>
      <c r="T43" s="19">
        <f>AVERAGE(TEmatchups[[#This Row],[Rec1]:[Rec3]])</f>
        <v>1.0283333333333333</v>
      </c>
      <c r="U43" s="202">
        <f>SUM(TEmatchups[[#This Row],[Rec4]]/TEmatchups[[#This Row],[Targets2]])</f>
        <v>3.427777777777778</v>
      </c>
      <c r="V43" s="32">
        <f>AVERAGE(TEmatchups[[#This Row],[Yards1]:[Yards3]])</f>
        <v>11.829000000000001</v>
      </c>
      <c r="W43" s="19">
        <f>SUM(TEmatchups[[#This Row],[Yards]]/TEmatchups[[#This Row],[Targets2]])</f>
        <v>39.430000000000007</v>
      </c>
      <c r="X43" s="32">
        <f>AVERAGE(TEmatchups[[#This Row],[TD1]:[TD3]])</f>
        <v>5.7500000000000002E-2</v>
      </c>
      <c r="Y43" s="14">
        <v>33</v>
      </c>
      <c r="Z43" s="19">
        <f>SUM(TEmatchups[[#This Row],[Yards]]*0.1)+(TEmatchups[[#This Row],[TD]]*6)+(TEmatchups[[#This Row],[Rec4]]*1)+(TEmatchups[[#This Row],[100+]])</f>
        <v>2.5562333333333331</v>
      </c>
      <c r="AA43" s="8">
        <f>_xlfn.RANK.EQ(TEmatchups[[#This Row],[$/FP]],TEmatchups[$/FP],1)</f>
        <v>41</v>
      </c>
      <c r="AB43" s="484">
        <f>SUM(TEmatchups[[#This Row],[Salary]]/TEmatchups[[#This Row],[Projection]])</f>
        <v>978.00148656225963</v>
      </c>
      <c r="AC43" s="482">
        <f>_xlfn.RANK.EQ(TEmatchups[[#This Row],[Average2]],TEmatchups[Average2],1)</f>
        <v>37</v>
      </c>
      <c r="AD43" s="241">
        <f>AVERAGE(TEmatchups[[#This Row],[Proj Rank]],TEmatchups[[#This Row],[Value Rank]])</f>
        <v>37</v>
      </c>
      <c r="AE43" s="210">
        <f>TEmatchups[[#This Row],[Salary]]/50000</f>
        <v>0.05</v>
      </c>
      <c r="AF43" s="210"/>
      <c r="AG43" s="14">
        <f>IFERROR(INDEX(TEstats3[Targets],MATCH(TEmatchups[[#This Row],[Name]],TEstats3[Player],0)),"0")</f>
        <v>0.3</v>
      </c>
      <c r="AH43" s="14" t="str">
        <f>IFERROR(INDEX(TEstats2[Targets],MATCH(TEmatchups[[#This Row],[Name]],TEstats2[Player],0)),"0")</f>
        <v>0</v>
      </c>
      <c r="AI43" s="14">
        <f>IFERROR(INDEX(TEstats3[Targets],MATCH(TEmatchups[[#This Row],[Name]],TEstats3[Player],0)),"0")</f>
        <v>0.3</v>
      </c>
      <c r="AJ43" s="14">
        <f>IFERROR(INDEX(TEstats1[Rec],MATCH(TEmatchups[[#This Row],[Name]],TEstats1[Player],0)),"0")</f>
        <v>1.4850000000000001</v>
      </c>
      <c r="AK43" s="14">
        <f>IFERROR(INDEX(TEstats2[Rec],MATCH(TEmatchups[[#This Row],[Name]],TEstats2[Player],0)),"0")</f>
        <v>1.4</v>
      </c>
      <c r="AL43" s="14">
        <f>IFERROR(INDEX(TEstats3[Rec],MATCH(TEmatchups[[#This Row],[Name]],TEstats3[Player],0)),"0")</f>
        <v>0.2</v>
      </c>
      <c r="AM43" s="32" t="str">
        <f>IFERROR(INDEX(TEallowed[Rec],MATCH(TEmatchups[[#This Row],[Opp]],TEallowed[Team],0)),"0")</f>
        <v>0</v>
      </c>
      <c r="AN43" s="14">
        <f>IFERROR(INDEX(TEstats1[Rec Yds],MATCH(TEmatchups[[#This Row],[Name]],TEstats1[Player],0)),"0")</f>
        <v>17.786999999999999</v>
      </c>
      <c r="AO43" s="14">
        <f>IFERROR(INDEX(TEstats2[RecYards],MATCH(TEmatchups[[#This Row],[Name]],TEstats2[Player],0)),"0")</f>
        <v>15.5</v>
      </c>
      <c r="AP43" s="14">
        <f>IFERROR(INDEX(TEstats3[RecYards],MATCH(TEmatchups[[#This Row],[Name]],TEstats3[Player],0)),"0")</f>
        <v>2.2000000000000002</v>
      </c>
      <c r="AQ43" s="32" t="str">
        <f>IFERROR(INDEX(TEallowed[Yard],MATCH(TEmatchups[[#This Row],[Opp]],TEallowed[Team],0)),"0")</f>
        <v>0</v>
      </c>
      <c r="AR43" s="14">
        <f>IFERROR(INDEX(TEstats1[Rec TD],MATCH(TEmatchups[[#This Row],[Name]],TEstats1[Player],0)),"0")</f>
        <v>0.115</v>
      </c>
      <c r="AS43" s="14" t="str">
        <f>IFERROR(INDEX(TEstats2[RecTD],MATCH(TEmatchups[[#This Row],[Name]],TEstats2[Player],0)),"0")</f>
        <v>0.2</v>
      </c>
      <c r="AT43" s="14">
        <f>IFERROR(INDEX(TEstats3[RecTD],MATCH(TEmatchups[[#This Row],[Name]],TEstats3[Player],0)),"0")</f>
        <v>0</v>
      </c>
      <c r="AU43" s="32" t="str">
        <f>IFERROR(INDEX(TEallowed[TD],MATCH(TEmatchups[[#This Row],[Opp]],TEallowed[Team],0)),"0")</f>
        <v>0</v>
      </c>
      <c r="AV43" s="32">
        <f>IF(TEmatchups[[#This Row],[Yards]]&gt;=100,3,0)</f>
        <v>0</v>
      </c>
    </row>
    <row r="44" spans="1:48" ht="15" thickBot="1" x14ac:dyDescent="0.35">
      <c r="A44" s="37">
        <f>TEstats1!AL35</f>
        <v>3.1</v>
      </c>
      <c r="B44" s="5" t="str">
        <f>TEstats1!D35</f>
        <v>Tyler Kroft</v>
      </c>
      <c r="C44" s="172">
        <f>IFERROR(INDEX(Salaries[DraftKings (Price)],MATCH(TEmatchups[[#This Row],[Name]],Salaries[Player],0)),"")</f>
        <v>2500</v>
      </c>
      <c r="D44" s="172">
        <f>IFERROR(INDEX(DK_Salary_Changes[WeekChange],MATCH(TEmatchups[[#This Row],[Name]],DK_Salary_Changes[Player],0)),"")</f>
        <v>0</v>
      </c>
      <c r="E44" s="14" t="str">
        <f>IFERROR(INDEX(Salaries[Team],MATCH(TEmatchups[[#This Row],[Name]],Salaries[Player],0)),"")</f>
        <v>CIN</v>
      </c>
      <c r="F44" s="14" t="str">
        <f>IFERROR(INDEX(Salaries[Opp],MATCH(TEmatchups[[#This Row],[Team]],Salaries[Team],0)),"")</f>
        <v>MIA</v>
      </c>
      <c r="G44" s="457" t="str">
        <f>IFERROR(INDEX(TightEndYTD[Rec],MATCH(TEmatchups[Name],TightEndYTD[Player],0)),"0")</f>
        <v>0</v>
      </c>
      <c r="H44" s="191">
        <f>IFERROR(INDEX(targettracker54[TTL],MATCH(TEmatchups[Name],targettracker54[Name],0)),"0")</f>
        <v>4</v>
      </c>
      <c r="I44" s="458" t="str">
        <f>IFERROR(INDEX(TightEndYTD[Rec Yds],MATCH(TEmatchups[Name],TightEndYTD[Player],0)),"0")</f>
        <v>0</v>
      </c>
      <c r="J44" s="459" t="str">
        <f>IFERROR(INDEX(TightEndYTD[Rec TD],MATCH(TEmatchups[Name],TightEndYTD[Player],0)),"0")</f>
        <v>0</v>
      </c>
      <c r="K44" s="431">
        <f>IFERROR(INDEX(Salaries[O/U],MATCH(TEmatchups[[#This Row],[Team]],Salaries[Team],0)),"")</f>
        <v>44.5</v>
      </c>
      <c r="L44" s="32">
        <f>IFERROR(INDEX(Salaries[Team O/U],MATCH(TEmatchups[[#This Row],[Team]],Salaries[Team],0)),"")</f>
        <v>25.75</v>
      </c>
      <c r="M44" s="417">
        <f>IFERROR(INDEX(Salaries[Spread],MATCH(TEmatchups[[#This Row],[Team]],Salaries[Team],0)),"")</f>
        <v>-7</v>
      </c>
      <c r="N44" s="424">
        <f>IFERROR(INDEX(TEallowed[DVP],MATCH(TEmatchups[[#This Row],[Opp]],TEallowed[Team],0)),IFERROR(INDEX(TEallowed[DVP],MATCH(TEmatchups[[#This Row],[Opp]],TEallowed[Opp],0)),""))</f>
        <v>6</v>
      </c>
      <c r="O44" s="17">
        <f>IFERROR(INDEX(YAtCData[YAtC],MATCH(TEmatchups[[#This Row],[Name]],YAtCData[Player],0)),"0")</f>
        <v>15</v>
      </c>
      <c r="P44" s="497">
        <f>IFERROR(INDEX(YAtCData[YAtC/Rec],MATCH(TEmatchups[[#This Row],[Name]],YAtCData[Player],0)),"0")</f>
        <v>5</v>
      </c>
      <c r="Q44" s="17">
        <f>IFERROR(INDEX(YAtCData[YAC],MATCH(TEmatchups[[#This Row],[Name]],YAtCData[Player],0)),"0")</f>
        <v>20</v>
      </c>
      <c r="R44" s="497">
        <f>IFERROR(INDEX(YACDATA[YAC per Reception],MATCH(TEmatchups[[#This Row],[Name]],YACDATA[Player],0)),"0")</f>
        <v>6.7</v>
      </c>
      <c r="S44" s="418">
        <f>AVERAGE(TEmatchups[[#This Row],[Tar1]:[Tar3]])</f>
        <v>1.4</v>
      </c>
      <c r="T44" s="19">
        <f>AVERAGE(TEmatchups[[#This Row],[Rec1]:[Rec3]])</f>
        <v>1.272</v>
      </c>
      <c r="U44" s="202">
        <f>SUM(TEmatchups[[#This Row],[Rec4]]/TEmatchups[[#This Row],[Targets2]])</f>
        <v>0.9085714285714287</v>
      </c>
      <c r="V44" s="32">
        <f>AVERAGE(TEmatchups[[#This Row],[Yards1]:[Yards3]])</f>
        <v>15.024000000000001</v>
      </c>
      <c r="W44" s="19">
        <f>SUM(TEmatchups[[#This Row],[Yards]]/TEmatchups[[#This Row],[Targets2]])</f>
        <v>10.731428571428573</v>
      </c>
      <c r="X44" s="32">
        <f>AVERAGE(TEmatchups[[#This Row],[TD1]:[TD3]])</f>
        <v>0.113</v>
      </c>
      <c r="Y44" s="14">
        <v>34</v>
      </c>
      <c r="Z44" s="19">
        <f>SUM(TEmatchups[[#This Row],[Yards]]*0.1)+(TEmatchups[[#This Row],[TD]]*6)+(TEmatchups[[#This Row],[Rec4]]*1)+(TEmatchups[[#This Row],[100+]])</f>
        <v>3.4523999999999999</v>
      </c>
      <c r="AA44" s="8">
        <f>_xlfn.RANK.EQ(TEmatchups[[#This Row],[$/FP]],TEmatchups[$/FP],1)</f>
        <v>34</v>
      </c>
      <c r="AB44" s="484">
        <f>SUM(TEmatchups[[#This Row],[Salary]]/TEmatchups[[#This Row],[Projection]])</f>
        <v>724.13393581276796</v>
      </c>
      <c r="AC44" s="482">
        <f>_xlfn.RANK.EQ(TEmatchups[[#This Row],[Average2]],TEmatchups[Average2],1)</f>
        <v>34</v>
      </c>
      <c r="AD44" s="241">
        <f>AVERAGE(TEmatchups[[#This Row],[Proj Rank]],TEmatchups[[#This Row],[Value Rank]])</f>
        <v>34</v>
      </c>
      <c r="AE44" s="210">
        <f>TEmatchups[[#This Row],[Salary]]/50000</f>
        <v>0.05</v>
      </c>
      <c r="AF44" s="210"/>
      <c r="AG44" s="14">
        <f>IFERROR(INDEX(TEstats3[Targets],MATCH(TEmatchups[[#This Row],[Name]],TEstats3[Player],0)),"0")</f>
        <v>1.4</v>
      </c>
      <c r="AH44" s="14" t="str">
        <f>IFERROR(INDEX(TEstats2[Targets],MATCH(TEmatchups[[#This Row],[Name]],TEstats2[Player],0)),"0")</f>
        <v>0</v>
      </c>
      <c r="AI44" s="14">
        <f>IFERROR(INDEX(TEstats3[Targets],MATCH(TEmatchups[[#This Row],[Name]],TEstats3[Player],0)),"0")</f>
        <v>1.4</v>
      </c>
      <c r="AJ44" s="14">
        <f>IFERROR(INDEX(TEstats1[Rec],MATCH(TEmatchups[[#This Row],[Name]],TEstats1[Player],0)),"0")</f>
        <v>1.444</v>
      </c>
      <c r="AK44" s="14" t="str">
        <f>IFERROR(INDEX(TEstats2[Rec],MATCH(TEmatchups[[#This Row],[Name]],TEstats2[Player],0)),"0")</f>
        <v>0</v>
      </c>
      <c r="AL44" s="14">
        <f>IFERROR(INDEX(TEstats3[Rec],MATCH(TEmatchups[[#This Row],[Name]],TEstats3[Player],0)),"0")</f>
        <v>1.1000000000000001</v>
      </c>
      <c r="AM44" s="32">
        <f>IFERROR(INDEX(TEallowed[Rec],MATCH(TEmatchups[[#This Row],[Opp]],TEallowed[Team],0)),"0")</f>
        <v>5.3125</v>
      </c>
      <c r="AN44" s="14">
        <f>IFERROR(INDEX(TEstats1[Rec Yds],MATCH(TEmatchups[[#This Row],[Name]],TEstats1[Player],0)),"0")</f>
        <v>16.748000000000001</v>
      </c>
      <c r="AO44" s="14" t="str">
        <f>IFERROR(INDEX(TEstats2[RecYards],MATCH(TEmatchups[[#This Row],[Name]],TEstats2[Player],0)),"0")</f>
        <v>0</v>
      </c>
      <c r="AP44" s="14">
        <f>IFERROR(INDEX(TEstats3[RecYards],MATCH(TEmatchups[[#This Row],[Name]],TEstats3[Player],0)),"0")</f>
        <v>13.3</v>
      </c>
      <c r="AQ44" s="32">
        <f>IFERROR(INDEX(TEallowed[Yard],MATCH(TEmatchups[[#This Row],[Opp]],TEallowed[Team],0)),"0")</f>
        <v>59.875</v>
      </c>
      <c r="AR44" s="14">
        <f>IFERROR(INDEX(TEstats1[Rec TD],MATCH(TEmatchups[[#This Row],[Name]],TEstats1[Player],0)),"0")</f>
        <v>0.126</v>
      </c>
      <c r="AS44" s="14" t="str">
        <f>IFERROR(INDEX(TEstats2[RecTD],MATCH(TEmatchups[[#This Row],[Name]],TEstats2[Player],0)),"0")</f>
        <v>0</v>
      </c>
      <c r="AT44" s="14">
        <f>IFERROR(INDEX(TEstats3[RecTD],MATCH(TEmatchups[[#This Row],[Name]],TEstats3[Player],0)),"0")</f>
        <v>0.1</v>
      </c>
      <c r="AU44" s="32">
        <f>IFERROR(INDEX(TEallowed[TD],MATCH(TEmatchups[[#This Row],[Opp]],TEallowed[Team],0)),"0")</f>
        <v>0.25</v>
      </c>
      <c r="AV44" s="32">
        <f>IF(TEmatchups[[#This Row],[Yards]]&gt;=100,3,0)</f>
        <v>0</v>
      </c>
    </row>
    <row r="45" spans="1:48" ht="15" thickBot="1" x14ac:dyDescent="0.35">
      <c r="A45" s="37">
        <f>TEstats1!AL36</f>
        <v>2.7</v>
      </c>
      <c r="B45" s="5" t="str">
        <f>TEstats1!D36</f>
        <v>Austin Hooper</v>
      </c>
      <c r="C45" s="172">
        <f>IFERROR(INDEX(Salaries[DraftKings (Price)],MATCH(TEmatchups[[#This Row],[Name]],Salaries[Player],0)),"")</f>
        <v>2500</v>
      </c>
      <c r="D45" s="172">
        <f>IFERROR(INDEX(DK_Salary_Changes[WeekChange],MATCH(TEmatchups[[#This Row],[Name]],DK_Salary_Changes[Player],0)),"")</f>
        <v>0</v>
      </c>
      <c r="E45" s="14" t="str">
        <f>IFERROR(INDEX(Salaries[Team],MATCH(TEmatchups[[#This Row],[Name]],Salaries[Player],0)),"")</f>
        <v>ATL</v>
      </c>
      <c r="F45" s="14" t="str">
        <f>IFERROR(INDEX(Salaries[Opp],MATCH(TEmatchups[[#This Row],[Team]],Salaries[Team],0)),"")</f>
        <v>CAR</v>
      </c>
      <c r="G45" s="457">
        <f>IFERROR(INDEX(TightEndYTD[Rec],MATCH(TEmatchups[Name],TightEndYTD[Player],0)),"0")</f>
        <v>4</v>
      </c>
      <c r="H45" s="191">
        <f>IFERROR(INDEX(targettracker54[TTL],MATCH(TEmatchups[Name],targettracker54[Name],0)),"0")</f>
        <v>4</v>
      </c>
      <c r="I45" s="458">
        <f>IFERROR(INDEX(TightEndYTD[Rec Yds],MATCH(TEmatchups[Name],TightEndYTD[Player],0)),"0")</f>
        <v>98</v>
      </c>
      <c r="J45" s="459">
        <f>IFERROR(INDEX(TightEndYTD[Rec TD],MATCH(TEmatchups[Name],TightEndYTD[Player],0)),"0")</f>
        <v>0</v>
      </c>
      <c r="K45" s="431">
        <f>IFERROR(INDEX(Salaries[O/U],MATCH(TEmatchups[[#This Row],[Team]],Salaries[Team],0)),"")</f>
        <v>50</v>
      </c>
      <c r="L45" s="32">
        <f>IFERROR(INDEX(Salaries[Team O/U],MATCH(TEmatchups[[#This Row],[Team]],Salaries[Team],0)),"")</f>
        <v>23.5</v>
      </c>
      <c r="M45" s="417">
        <f>IFERROR(INDEX(Salaries[Spread],MATCH(TEmatchups[[#This Row],[Team]],Salaries[Team],0)),"")</f>
        <v>3</v>
      </c>
      <c r="N45" s="424">
        <f>IFERROR(INDEX(TEallowed[DVP],MATCH(TEmatchups[[#This Row],[Opp]],TEallowed[Team],0)),IFERROR(INDEX(TEallowed[DVP],MATCH(TEmatchups[[#This Row],[Opp]],TEallowed[Opp],0)),""))</f>
        <v>12</v>
      </c>
      <c r="O45" s="17">
        <f>IFERROR(INDEX(YAtCData[YAtC],MATCH(TEmatchups[[#This Row],[Name]],YAtCData[Player],0)),"0")</f>
        <v>70</v>
      </c>
      <c r="P45" s="497">
        <f>IFERROR(INDEX(YAtCData[YAtC/Rec],MATCH(TEmatchups[[#This Row],[Name]],YAtCData[Player],0)),"0")</f>
        <v>17.5</v>
      </c>
      <c r="Q45" s="17">
        <f>IFERROR(INDEX(YAtCData[YAC],MATCH(TEmatchups[[#This Row],[Name]],YAtCData[Player],0)),"0")</f>
        <v>28</v>
      </c>
      <c r="R45" s="497">
        <f>IFERROR(INDEX(YACDATA[YAC per Reception],MATCH(TEmatchups[[#This Row],[Name]],YACDATA[Player],0)),"0")</f>
        <v>7</v>
      </c>
      <c r="S45" s="418">
        <f>AVERAGE(TEmatchups[[#This Row],[Tar1]:[Tar3]])</f>
        <v>1.6</v>
      </c>
      <c r="T45" s="19">
        <f>AVERAGE(TEmatchups[[#This Row],[Rec1]:[Rec3]])</f>
        <v>1.179</v>
      </c>
      <c r="U45" s="202">
        <f>SUM(TEmatchups[[#This Row],[Rec4]]/TEmatchups[[#This Row],[Targets2]])</f>
        <v>0.73687499999999995</v>
      </c>
      <c r="V45" s="32">
        <f>AVERAGE(TEmatchups[[#This Row],[Yards1]:[Yards3]])</f>
        <v>14.753666666666668</v>
      </c>
      <c r="W45" s="19">
        <f>SUM(TEmatchups[[#This Row],[Yards]]/TEmatchups[[#This Row],[Targets2]])</f>
        <v>9.2210416666666664</v>
      </c>
      <c r="X45" s="32">
        <f>AVERAGE(TEmatchups[[#This Row],[TD1]:[TD3]])</f>
        <v>7.6999999999999999E-2</v>
      </c>
      <c r="Y45" s="14">
        <v>35</v>
      </c>
      <c r="Z45" s="19">
        <f>SUM(TEmatchups[[#This Row],[Yards]]*0.1)+(TEmatchups[[#This Row],[TD]]*6)+(TEmatchups[[#This Row],[Rec4]]*1)+(TEmatchups[[#This Row],[100+]])</f>
        <v>3.116366666666667</v>
      </c>
      <c r="AA45" s="8">
        <f>_xlfn.RANK.EQ(TEmatchups[[#This Row],[$/FP]],TEmatchups[$/FP],1)</f>
        <v>38</v>
      </c>
      <c r="AB45" s="484">
        <f>SUM(TEmatchups[[#This Row],[Salary]]/TEmatchups[[#This Row],[Projection]])</f>
        <v>802.21625611021375</v>
      </c>
      <c r="AC45" s="482">
        <f>_xlfn.RANK.EQ(TEmatchups[[#This Row],[Average2]],TEmatchups[Average2],1)</f>
        <v>36</v>
      </c>
      <c r="AD45" s="241">
        <f>AVERAGE(TEmatchups[[#This Row],[Proj Rank]],TEmatchups[[#This Row],[Value Rank]])</f>
        <v>36.5</v>
      </c>
      <c r="AE45" s="210">
        <f>TEmatchups[[#This Row],[Salary]]/50000</f>
        <v>0.05</v>
      </c>
      <c r="AF45" s="210"/>
      <c r="AG45" s="14">
        <f>IFERROR(INDEX(TEstats3[Targets],MATCH(TEmatchups[[#This Row],[Name]],TEstats3[Player],0)),"0")</f>
        <v>1.6</v>
      </c>
      <c r="AH45" s="14" t="str">
        <f>IFERROR(INDEX(TEstats2[Targets],MATCH(TEmatchups[[#This Row],[Name]],TEstats2[Player],0)),"0")</f>
        <v>0</v>
      </c>
      <c r="AI45" s="14">
        <f>IFERROR(INDEX(TEstats3[Targets],MATCH(TEmatchups[[#This Row],[Name]],TEstats3[Player],0)),"0")</f>
        <v>1.6</v>
      </c>
      <c r="AJ45" s="14">
        <f>IFERROR(INDEX(TEstats1[Rec],MATCH(TEmatchups[[#This Row],[Name]],TEstats1[Player],0)),"0")</f>
        <v>1.0369999999999999</v>
      </c>
      <c r="AK45" s="14">
        <f>IFERROR(INDEX(TEstats2[Rec],MATCH(TEmatchups[[#This Row],[Name]],TEstats2[Player],0)),"0")</f>
        <v>1.4</v>
      </c>
      <c r="AL45" s="14">
        <f>IFERROR(INDEX(TEstats3[Rec],MATCH(TEmatchups[[#This Row],[Name]],TEstats3[Player],0)),"0")</f>
        <v>1.1000000000000001</v>
      </c>
      <c r="AM45" s="32">
        <f>IFERROR(INDEX(TEallowed[Rec],MATCH(TEmatchups[[#This Row],[Opp]],TEallowed[Team],0)),"0")</f>
        <v>5.9375</v>
      </c>
      <c r="AN45" s="14">
        <f>IFERROR(INDEX(TEstats1[Rec Yds],MATCH(TEmatchups[[#This Row],[Name]],TEstats1[Player],0)),"0")</f>
        <v>19.061</v>
      </c>
      <c r="AO45" s="14">
        <f>IFERROR(INDEX(TEstats2[RecYards],MATCH(TEmatchups[[#This Row],[Name]],TEstats2[Player],0)),"0")</f>
        <v>14.3</v>
      </c>
      <c r="AP45" s="14">
        <f>IFERROR(INDEX(TEstats3[RecYards],MATCH(TEmatchups[[#This Row],[Name]],TEstats3[Player],0)),"0")</f>
        <v>10.9</v>
      </c>
      <c r="AQ45" s="32">
        <f>IFERROR(INDEX(TEallowed[Yard],MATCH(TEmatchups[[#This Row],[Opp]],TEallowed[Team],0)),"0")</f>
        <v>63.375</v>
      </c>
      <c r="AR45" s="14">
        <f>IFERROR(INDEX(TEstats1[Rec TD],MATCH(TEmatchups[[#This Row],[Name]],TEstats1[Player],0)),"0")</f>
        <v>5.3999999999999999E-2</v>
      </c>
      <c r="AS45" s="14" t="str">
        <f>IFERROR(INDEX(TEstats2[RecTD],MATCH(TEmatchups[[#This Row],[Name]],TEstats2[Player],0)),"0")</f>
        <v>0.1</v>
      </c>
      <c r="AT45" s="14">
        <f>IFERROR(INDEX(TEstats3[RecTD],MATCH(TEmatchups[[#This Row],[Name]],TEstats3[Player],0)),"0")</f>
        <v>0.1</v>
      </c>
      <c r="AU45" s="32">
        <f>IFERROR(INDEX(TEallowed[TD],MATCH(TEmatchups[[#This Row],[Opp]],TEallowed[Team],0)),"0")</f>
        <v>0.5625</v>
      </c>
      <c r="AV45" s="32">
        <f>IF(TEmatchups[[#This Row],[Yards]]&gt;=100,3,0)</f>
        <v>0</v>
      </c>
    </row>
    <row r="46" spans="1:48" ht="15" thickBot="1" x14ac:dyDescent="0.35">
      <c r="A46" s="37">
        <f>TEstats1!AL37</f>
        <v>2.9</v>
      </c>
      <c r="B46" s="5" t="str">
        <f>TEstats1!D37</f>
        <v>Will Tye</v>
      </c>
      <c r="C46" s="172">
        <f>IFERROR(INDEX(Salaries[DraftKings (Price)],MATCH(TEmatchups[[#This Row],[Name]],Salaries[Player],0)),"")</f>
        <v>2600</v>
      </c>
      <c r="D46" s="172">
        <f>IFERROR(INDEX(DK_Salary_Changes[WeekChange],MATCH(TEmatchups[[#This Row],[Name]],DK_Salary_Changes[Player],0)),"")</f>
        <v>0</v>
      </c>
      <c r="E46" s="14" t="str">
        <f>IFERROR(INDEX(Salaries[Team],MATCH(TEmatchups[[#This Row],[Name]],Salaries[Player],0)),"")</f>
        <v>NYG</v>
      </c>
      <c r="F46" s="14" t="str">
        <f>IFERROR(INDEX(Salaries[Opp],MATCH(TEmatchups[[#This Row],[Team]],Salaries[Team],0)),"")</f>
        <v>@MIN</v>
      </c>
      <c r="G46" s="457" t="str">
        <f>IFERROR(INDEX(TightEndYTD[Rec],MATCH(TEmatchups[Name],TightEndYTD[Player],0)),"0")</f>
        <v>0</v>
      </c>
      <c r="H46" s="191">
        <f>IFERROR(INDEX(targettracker54[TTL],MATCH(TEmatchups[Name],targettracker54[Name],0)),"0")</f>
        <v>11</v>
      </c>
      <c r="I46" s="458" t="str">
        <f>IFERROR(INDEX(TightEndYTD[Rec Yds],MATCH(TEmatchups[Name],TightEndYTD[Player],0)),"0")</f>
        <v>0</v>
      </c>
      <c r="J46" s="459" t="str">
        <f>IFERROR(INDEX(TightEndYTD[Rec TD],MATCH(TEmatchups[Name],TightEndYTD[Player],0)),"0")</f>
        <v>0</v>
      </c>
      <c r="K46" s="431">
        <f>IFERROR(INDEX(Salaries[O/U],MATCH(TEmatchups[[#This Row],[Team]],Salaries[Team],0)),"")</f>
        <v>43.5</v>
      </c>
      <c r="L46" s="32">
        <f>IFERROR(INDEX(Salaries[Team O/U],MATCH(TEmatchups[[#This Row],[Team]],Salaries[Team],0)),"")</f>
        <v>19.75</v>
      </c>
      <c r="M46" s="417">
        <f>IFERROR(INDEX(Salaries[Spread],MATCH(TEmatchups[[#This Row],[Team]],Salaries[Team],0)),"")</f>
        <v>4</v>
      </c>
      <c r="N46" s="424">
        <f>IFERROR(INDEX(TEallowed[DVP],MATCH(TEmatchups[[#This Row],[Opp]],TEallowed[Team],0)),IFERROR(INDEX(TEallowed[DVP],MATCH(TEmatchups[[#This Row],[Opp]],TEallowed[Opp],0)),""))</f>
        <v>16</v>
      </c>
      <c r="O46" s="17">
        <f>IFERROR(INDEX(YAtCData[YAtC],MATCH(TEmatchups[[#This Row],[Name]],YAtCData[Player],0)),"0")</f>
        <v>28</v>
      </c>
      <c r="P46" s="497">
        <f>IFERROR(INDEX(YAtCData[YAtC/Rec],MATCH(TEmatchups[[#This Row],[Name]],YAtCData[Player],0)),"0")</f>
        <v>3.5</v>
      </c>
      <c r="Q46" s="17">
        <f>IFERROR(INDEX(YAtCData[YAC],MATCH(TEmatchups[[#This Row],[Name]],YAtCData[Player],0)),"0")</f>
        <v>12</v>
      </c>
      <c r="R46" s="497">
        <f>IFERROR(INDEX(YACDATA[YAC per Reception],MATCH(TEmatchups[[#This Row],[Name]],YACDATA[Player],0)),"0")</f>
        <v>1.5</v>
      </c>
      <c r="S46" s="418">
        <f>AVERAGE(TEmatchups[[#This Row],[Tar1]:[Tar3]])</f>
        <v>3.2</v>
      </c>
      <c r="T46" s="19">
        <f>AVERAGE(TEmatchups[[#This Row],[Rec1]:[Rec3]])</f>
        <v>1.9039999999999999</v>
      </c>
      <c r="U46" s="202">
        <f>SUM(TEmatchups[[#This Row],[Rec4]]/TEmatchups[[#This Row],[Targets2]])</f>
        <v>0.59499999999999997</v>
      </c>
      <c r="V46" s="32">
        <f>AVERAGE(TEmatchups[[#This Row],[Yards1]:[Yards3]])</f>
        <v>18.537666666666667</v>
      </c>
      <c r="W46" s="19">
        <f>SUM(TEmatchups[[#This Row],[Yards]]/TEmatchups[[#This Row],[Targets2]])</f>
        <v>5.7930208333333333</v>
      </c>
      <c r="X46" s="32">
        <f>AVERAGE(TEmatchups[[#This Row],[TD1]:[TD3]])</f>
        <v>0.14950000000000002</v>
      </c>
      <c r="Y46" s="14">
        <v>36</v>
      </c>
      <c r="Z46" s="19">
        <f>SUM(TEmatchups[[#This Row],[Yards]]*0.1)+(TEmatchups[[#This Row],[TD]]*6)+(TEmatchups[[#This Row],[Rec4]]*1)+(TEmatchups[[#This Row],[100+]])</f>
        <v>4.6547666666666672</v>
      </c>
      <c r="AA46" s="8">
        <f>_xlfn.RANK.EQ(TEmatchups[[#This Row],[$/FP]],TEmatchups[$/FP],1)</f>
        <v>30</v>
      </c>
      <c r="AB46" s="484">
        <f>SUM(TEmatchups[[#This Row],[Salary]]/TEmatchups[[#This Row],[Projection]])</f>
        <v>558.56720351181218</v>
      </c>
      <c r="AC46" s="482">
        <f>_xlfn.RANK.EQ(TEmatchups[[#This Row],[Average2]],TEmatchups[Average2],1)</f>
        <v>32</v>
      </c>
      <c r="AD46" s="241">
        <f>AVERAGE(TEmatchups[[#This Row],[Proj Rank]],TEmatchups[[#This Row],[Value Rank]])</f>
        <v>33</v>
      </c>
      <c r="AE46" s="210">
        <f>TEmatchups[[#This Row],[Salary]]/50000</f>
        <v>5.1999999999999998E-2</v>
      </c>
      <c r="AF46" s="210"/>
      <c r="AG46" s="14">
        <f>IFERROR(INDEX(TEstats3[Targets],MATCH(TEmatchups[[#This Row],[Name]],TEstats3[Player],0)),"0")</f>
        <v>3.2</v>
      </c>
      <c r="AH46" s="14" t="str">
        <f>IFERROR(INDEX(TEstats2[Targets],MATCH(TEmatchups[[#This Row],[Name]],TEstats2[Player],0)),"0")</f>
        <v>0</v>
      </c>
      <c r="AI46" s="14">
        <f>IFERROR(INDEX(TEstats3[Targets],MATCH(TEmatchups[[#This Row],[Name]],TEstats3[Player],0)),"0")</f>
        <v>3.2</v>
      </c>
      <c r="AJ46" s="14">
        <f>IFERROR(INDEX(TEstats1[Rec],MATCH(TEmatchups[[#This Row],[Name]],TEstats1[Player],0)),"0")</f>
        <v>1.6120000000000001</v>
      </c>
      <c r="AK46" s="14">
        <f>IFERROR(INDEX(TEstats2[Rec],MATCH(TEmatchups[[#This Row],[Name]],TEstats2[Player],0)),"0")</f>
        <v>1.7</v>
      </c>
      <c r="AL46" s="14">
        <f>IFERROR(INDEX(TEstats3[Rec],MATCH(TEmatchups[[#This Row],[Name]],TEstats3[Player],0)),"0")</f>
        <v>2.4</v>
      </c>
      <c r="AM46" s="32" t="str">
        <f>IFERROR(INDEX(TEallowed[Rec],MATCH(TEmatchups[[#This Row],[Opp]],TEallowed[Team],0)),"0")</f>
        <v>0</v>
      </c>
      <c r="AN46" s="14">
        <f>IFERROR(INDEX(TEstats1[Rec Yds],MATCH(TEmatchups[[#This Row],[Name]],TEstats1[Player],0)),"0")</f>
        <v>15.613</v>
      </c>
      <c r="AO46" s="14">
        <f>IFERROR(INDEX(TEstats2[RecYards],MATCH(TEmatchups[[#This Row],[Name]],TEstats2[Player],0)),"0")</f>
        <v>16.3</v>
      </c>
      <c r="AP46" s="14">
        <f>IFERROR(INDEX(TEstats3[RecYards],MATCH(TEmatchups[[#This Row],[Name]],TEstats3[Player],0)),"0")</f>
        <v>23.7</v>
      </c>
      <c r="AQ46" s="32" t="str">
        <f>IFERROR(INDEX(TEallowed[Yard],MATCH(TEmatchups[[#This Row],[Opp]],TEallowed[Team],0)),"0")</f>
        <v>0</v>
      </c>
      <c r="AR46" s="14">
        <f>IFERROR(INDEX(TEstats1[Rec TD],MATCH(TEmatchups[[#This Row],[Name]],TEstats1[Player],0)),"0")</f>
        <v>9.9000000000000005E-2</v>
      </c>
      <c r="AS46" s="14" t="str">
        <f>IFERROR(INDEX(TEstats2[RecTD],MATCH(TEmatchups[[#This Row],[Name]],TEstats2[Player],0)),"0")</f>
        <v>0.1</v>
      </c>
      <c r="AT46" s="14">
        <f>IFERROR(INDEX(TEstats3[RecTD],MATCH(TEmatchups[[#This Row],[Name]],TEstats3[Player],0)),"0")</f>
        <v>0.2</v>
      </c>
      <c r="AU46" s="32" t="str">
        <f>IFERROR(INDEX(TEallowed[TD],MATCH(TEmatchups[[#This Row],[Opp]],TEallowed[Team],0)),"0")</f>
        <v>0</v>
      </c>
      <c r="AV46" s="32">
        <f>IF(TEmatchups[[#This Row],[Yards]]&gt;=100,3,0)</f>
        <v>0</v>
      </c>
    </row>
    <row r="47" spans="1:48" ht="15" thickBot="1" x14ac:dyDescent="0.35">
      <c r="A47" s="37">
        <f>TEstats1!AL39</f>
        <v>2.5</v>
      </c>
      <c r="B47" s="5" t="str">
        <f>TEstats1!D39</f>
        <v>Vernon Davis</v>
      </c>
      <c r="C47" s="172">
        <f>IFERROR(INDEX(Salaries[DraftKings (Price)],MATCH(TEmatchups[[#This Row],[Name]],Salaries[Player],0)),"")</f>
        <v>2500</v>
      </c>
      <c r="D47" s="172">
        <f>IFERROR(INDEX(DK_Salary_Changes[WeekChange],MATCH(TEmatchups[[#This Row],[Name]],DK_Salary_Changes[Player],0)),"")</f>
        <v>-200</v>
      </c>
      <c r="E47" s="14" t="str">
        <f>IFERROR(INDEX(Salaries[Team],MATCH(TEmatchups[[#This Row],[Name]],Salaries[Player],0)),"")</f>
        <v>WAS</v>
      </c>
      <c r="F47" s="14" t="str">
        <f>IFERROR(INDEX(Salaries[Opp],MATCH(TEmatchups[[#This Row],[Team]],Salaries[Team],0)),"")</f>
        <v>CLE</v>
      </c>
      <c r="G47" s="457">
        <f>IFERROR(INDEX(TightEndYTD[Rec],MATCH(TEmatchups[Name],TightEndYTD[Player],0)),"0")</f>
        <v>6</v>
      </c>
      <c r="H47" s="191">
        <f>IFERROR(INDEX(targettracker54[TTL],MATCH(TEmatchups[Name],targettracker54[Name],0)),"0")</f>
        <v>6</v>
      </c>
      <c r="I47" s="458">
        <f>IFERROR(INDEX(TightEndYTD[Rec Yds],MATCH(TEmatchups[Name],TightEndYTD[Player],0)),"0")</f>
        <v>71</v>
      </c>
      <c r="J47" s="459">
        <f>IFERROR(INDEX(TightEndYTD[Rec TD],MATCH(TEmatchups[Name],TightEndYTD[Player],0)),"0")</f>
        <v>0</v>
      </c>
      <c r="K47" s="431">
        <f>IFERROR(INDEX(Salaries[O/U],MATCH(TEmatchups[[#This Row],[Team]],Salaries[Team],0)),"")</f>
        <v>45.5</v>
      </c>
      <c r="L47" s="32">
        <f>IFERROR(INDEX(Salaries[Team O/U],MATCH(TEmatchups[[#This Row],[Team]],Salaries[Team],0)),"")</f>
        <v>26.75</v>
      </c>
      <c r="M47" s="417">
        <f>IFERROR(INDEX(Salaries[Spread],MATCH(TEmatchups[[#This Row],[Team]],Salaries[Team],0)),"")</f>
        <v>-8</v>
      </c>
      <c r="N47" s="424">
        <f>IFERROR(INDEX(TEallowed[DVP],MATCH(TEmatchups[[#This Row],[Opp]],TEallowed[Team],0)),IFERROR(INDEX(TEallowed[DVP],MATCH(TEmatchups[[#This Row],[Opp]],TEallowed[Opp],0)),""))</f>
        <v>14</v>
      </c>
      <c r="O47" s="17">
        <f>IFERROR(INDEX(YAtCData[YAtC],MATCH(TEmatchups[[#This Row],[Name]],YAtCData[Player],0)),"0")</f>
        <v>27</v>
      </c>
      <c r="P47" s="497">
        <f>IFERROR(INDEX(YAtCData[YAtC/Rec],MATCH(TEmatchups[[#This Row],[Name]],YAtCData[Player],0)),"0")</f>
        <v>4.5</v>
      </c>
      <c r="Q47" s="17">
        <f>IFERROR(INDEX(YAtCData[YAC],MATCH(TEmatchups[[#This Row],[Name]],YAtCData[Player],0)),"0")</f>
        <v>44</v>
      </c>
      <c r="R47" s="497">
        <f>IFERROR(INDEX(YACDATA[YAC per Reception],MATCH(TEmatchups[[#This Row],[Name]],YACDATA[Player],0)),"0")</f>
        <v>7.3</v>
      </c>
      <c r="S47" s="418">
        <f>AVERAGE(TEmatchups[[#This Row],[Tar1]:[Tar3]])</f>
        <v>1.9</v>
      </c>
      <c r="T47" s="19">
        <f>AVERAGE(TEmatchups[[#This Row],[Rec1]:[Rec3]])</f>
        <v>1.2716666666666667</v>
      </c>
      <c r="U47" s="202">
        <f>SUM(TEmatchups[[#This Row],[Rec4]]/TEmatchups[[#This Row],[Targets2]])</f>
        <v>0.66929824561403517</v>
      </c>
      <c r="V47" s="32">
        <f>AVERAGE(TEmatchups[[#This Row],[Yards1]:[Yards3]])</f>
        <v>13.800666666666666</v>
      </c>
      <c r="W47" s="19">
        <f>SUM(TEmatchups[[#This Row],[Yards]]/TEmatchups[[#This Row],[Targets2]])</f>
        <v>7.2635087719298248</v>
      </c>
      <c r="X47" s="32">
        <f>AVERAGE(TEmatchups[[#This Row],[TD1]:[TD3]])</f>
        <v>7.9000000000000001E-2</v>
      </c>
      <c r="Y47" s="14">
        <v>38</v>
      </c>
      <c r="Z47" s="19">
        <f>SUM(TEmatchups[[#This Row],[Yards]]*0.1)+(TEmatchups[[#This Row],[TD]]*6)+(TEmatchups[[#This Row],[Rec4]]*1)+(TEmatchups[[#This Row],[100+]])</f>
        <v>3.1257333333333337</v>
      </c>
      <c r="AA47" s="8">
        <f>_xlfn.RANK.EQ(TEmatchups[[#This Row],[$/FP]],TEmatchups[$/FP],1)</f>
        <v>37</v>
      </c>
      <c r="AB47" s="484">
        <f>SUM(TEmatchups[[#This Row],[Salary]]/TEmatchups[[#This Row],[Projection]])</f>
        <v>799.81231071108641</v>
      </c>
      <c r="AC47" s="482">
        <f>_xlfn.RANK.EQ(TEmatchups[[#This Row],[Average2]],TEmatchups[Average2],1)</f>
        <v>38</v>
      </c>
      <c r="AD47" s="241">
        <f>AVERAGE(TEmatchups[[#This Row],[Proj Rank]],TEmatchups[[#This Row],[Value Rank]])</f>
        <v>37.5</v>
      </c>
      <c r="AE47" s="210">
        <f>TEmatchups[[#This Row],[Salary]]/50000</f>
        <v>0.05</v>
      </c>
      <c r="AF47" s="210"/>
      <c r="AG47" s="14">
        <f>IFERROR(INDEX(TEstats3[Targets],MATCH(TEmatchups[[#This Row],[Name]],TEstats3[Player],0)),"0")</f>
        <v>1.9</v>
      </c>
      <c r="AH47" s="14" t="str">
        <f>IFERROR(INDEX(TEstats2[Targets],MATCH(TEmatchups[[#This Row],[Name]],TEstats2[Player],0)),"0")</f>
        <v>0</v>
      </c>
      <c r="AI47" s="14">
        <f>IFERROR(INDEX(TEstats3[Targets],MATCH(TEmatchups[[#This Row],[Name]],TEstats3[Player],0)),"0")</f>
        <v>1.9</v>
      </c>
      <c r="AJ47" s="14">
        <f>IFERROR(INDEX(TEstats1[Rec],MATCH(TEmatchups[[#This Row],[Name]],TEstats1[Player],0)),"0")</f>
        <v>1.2150000000000001</v>
      </c>
      <c r="AK47" s="14">
        <f>IFERROR(INDEX(TEstats2[Rec],MATCH(TEmatchups[[#This Row],[Name]],TEstats2[Player],0)),"0")</f>
        <v>1.3</v>
      </c>
      <c r="AL47" s="14">
        <f>IFERROR(INDEX(TEstats3[Rec],MATCH(TEmatchups[[#This Row],[Name]],TEstats3[Player],0)),"0")</f>
        <v>1.3</v>
      </c>
      <c r="AM47" s="32">
        <f>IFERROR(INDEX(TEallowed[Rec],MATCH(TEmatchups[[#This Row],[Opp]],TEallowed[Team],0)),"0")</f>
        <v>5.5</v>
      </c>
      <c r="AN47" s="14">
        <f>IFERROR(INDEX(TEstats1[Rec Yds],MATCH(TEmatchups[[#This Row],[Name]],TEstats1[Player],0)),"0")</f>
        <v>15.901999999999999</v>
      </c>
      <c r="AO47" s="14">
        <f>IFERROR(INDEX(TEstats2[RecYards],MATCH(TEmatchups[[#This Row],[Name]],TEstats2[Player],0)),"0")</f>
        <v>11.5</v>
      </c>
      <c r="AP47" s="14">
        <f>IFERROR(INDEX(TEstats3[RecYards],MATCH(TEmatchups[[#This Row],[Name]],TEstats3[Player],0)),"0")</f>
        <v>14</v>
      </c>
      <c r="AQ47" s="32">
        <f>IFERROR(INDEX(TEallowed[Yard],MATCH(TEmatchups[[#This Row],[Opp]],TEallowed[Team],0)),"0")</f>
        <v>58.1875</v>
      </c>
      <c r="AR47" s="14">
        <f>IFERROR(INDEX(TEstats1[Rec TD],MATCH(TEmatchups[[#This Row],[Name]],TEstats1[Player],0)),"0")</f>
        <v>5.8000000000000003E-2</v>
      </c>
      <c r="AS47" s="14" t="str">
        <f>IFERROR(INDEX(TEstats2[RecTD],MATCH(TEmatchups[[#This Row],[Name]],TEstats2[Player],0)),"0")</f>
        <v>0.1</v>
      </c>
      <c r="AT47" s="14">
        <f>IFERROR(INDEX(TEstats3[RecTD],MATCH(TEmatchups[[#This Row],[Name]],TEstats3[Player],0)),"0")</f>
        <v>0.1</v>
      </c>
      <c r="AU47" s="32">
        <f>IFERROR(INDEX(TEallowed[TD],MATCH(TEmatchups[[#This Row],[Opp]],TEallowed[Team],0)),"0")</f>
        <v>0.5</v>
      </c>
      <c r="AV47" s="32">
        <f>IF(TEmatchups[[#This Row],[Yards]]&gt;=100,3,0)</f>
        <v>0</v>
      </c>
    </row>
    <row r="48" spans="1:48" ht="15" thickBot="1" x14ac:dyDescent="0.35">
      <c r="A48" s="37">
        <f>TEstats1!AL40</f>
        <v>2.8</v>
      </c>
      <c r="B48" s="5" t="str">
        <f>TEstats1!D40</f>
        <v>Darren Fells</v>
      </c>
      <c r="C48" s="172">
        <f>IFERROR(INDEX(Salaries[DraftKings (Price)],MATCH(TEmatchups[[#This Row],[Name]],Salaries[Player],0)),"")</f>
        <v>2500</v>
      </c>
      <c r="D48" s="172">
        <f>IFERROR(INDEX(DK_Salary_Changes[WeekChange],MATCH(TEmatchups[[#This Row],[Name]],DK_Salary_Changes[Player],0)),"")</f>
        <v>0</v>
      </c>
      <c r="E48" s="14" t="str">
        <f>IFERROR(INDEX(Salaries[Team],MATCH(TEmatchups[[#This Row],[Name]],Salaries[Player],0)),"")</f>
        <v>ARI</v>
      </c>
      <c r="F48" s="14" t="str">
        <f>IFERROR(INDEX(Salaries[Opp],MATCH(TEmatchups[[#This Row],[Team]],Salaries[Team],0)),"")</f>
        <v>LA</v>
      </c>
      <c r="G48" s="457" t="str">
        <f>IFERROR(INDEX(TightEndYTD[Rec],MATCH(TEmatchups[Name],TightEndYTD[Player],0)),"0")</f>
        <v>0</v>
      </c>
      <c r="H48" s="191">
        <f>IFERROR(INDEX(targettracker54[TTL],MATCH(TEmatchups[Name],targettracker54[Name],0)),"0")</f>
        <v>7</v>
      </c>
      <c r="I48" s="458" t="str">
        <f>IFERROR(INDEX(TightEndYTD[Rec Yds],MATCH(TEmatchups[Name],TightEndYTD[Player],0)),"0")</f>
        <v>0</v>
      </c>
      <c r="J48" s="459" t="str">
        <f>IFERROR(INDEX(TightEndYTD[Rec TD],MATCH(TEmatchups[Name],TightEndYTD[Player],0)),"0")</f>
        <v>0</v>
      </c>
      <c r="K48" s="431">
        <f>IFERROR(INDEX(Salaries[O/U],MATCH(TEmatchups[[#This Row],[Team]],Salaries[Team],0)),"")</f>
        <v>43</v>
      </c>
      <c r="L48" s="32">
        <f>IFERROR(INDEX(Salaries[Team O/U],MATCH(TEmatchups[[#This Row],[Team]],Salaries[Team],0)),"")</f>
        <v>25.5</v>
      </c>
      <c r="M48" s="417">
        <f>IFERROR(INDEX(Salaries[Spread],MATCH(TEmatchups[[#This Row],[Team]],Salaries[Team],0)),"")</f>
        <v>-8</v>
      </c>
      <c r="N48" s="424">
        <f>IFERROR(INDEX(TEallowed[DVP],MATCH(TEmatchups[[#This Row],[Opp]],TEallowed[Team],0)),IFERROR(INDEX(TEallowed[DVP],MATCH(TEmatchups[[#This Row],[Opp]],TEallowed[Opp],0)),""))</f>
        <v>20</v>
      </c>
      <c r="O48" s="17" t="str">
        <f>IFERROR(INDEX(YAtCData[YAtC],MATCH(TEmatchups[[#This Row],[Name]],YAtCData[Player],0)),"0")</f>
        <v>0</v>
      </c>
      <c r="P48" s="497" t="str">
        <f>IFERROR(INDEX(YAtCData[YAtC/Rec],MATCH(TEmatchups[[#This Row],[Name]],YAtCData[Player],0)),"0")</f>
        <v>0</v>
      </c>
      <c r="Q48" s="17" t="str">
        <f>IFERROR(INDEX(YAtCData[YAC],MATCH(TEmatchups[[#This Row],[Name]],YAtCData[Player],0)),"0")</f>
        <v>0</v>
      </c>
      <c r="R48" s="497">
        <f>IFERROR(INDEX(YACDATA[YAC per Reception],MATCH(TEmatchups[[#This Row],[Name]],YACDATA[Player],0)),"0")</f>
        <v>6.3</v>
      </c>
      <c r="S48" s="418">
        <f>AVERAGE(TEmatchups[[#This Row],[Tar1]:[Tar3]])</f>
        <v>1</v>
      </c>
      <c r="T48" s="19">
        <f>AVERAGE(TEmatchups[[#This Row],[Rec1]:[Rec3]])</f>
        <v>1.6926666666666668</v>
      </c>
      <c r="U48" s="202">
        <f>SUM(TEmatchups[[#This Row],[Rec4]]/TEmatchups[[#This Row],[Targets2]])</f>
        <v>1.6926666666666668</v>
      </c>
      <c r="V48" s="32">
        <f>AVERAGE(TEmatchups[[#This Row],[Yards1]:[Yards3]])</f>
        <v>16.993666666666666</v>
      </c>
      <c r="W48" s="19">
        <f>SUM(TEmatchups[[#This Row],[Yards]]/TEmatchups[[#This Row],[Targets2]])</f>
        <v>16.993666666666666</v>
      </c>
      <c r="X48" s="32">
        <f>AVERAGE(TEmatchups[[#This Row],[TD1]:[TD3]])</f>
        <v>8.5000000000000006E-2</v>
      </c>
      <c r="Y48" s="14">
        <v>39</v>
      </c>
      <c r="Z48" s="19">
        <f>SUM(TEmatchups[[#This Row],[Yards]]*0.1)+(TEmatchups[[#This Row],[TD]]*6)+(TEmatchups[[#This Row],[Rec4]]*1)+(TEmatchups[[#This Row],[100+]])</f>
        <v>3.9020333333333337</v>
      </c>
      <c r="AA48" s="8">
        <f>_xlfn.RANK.EQ(TEmatchups[[#This Row],[$/FP]],TEmatchups[$/FP],1)</f>
        <v>32</v>
      </c>
      <c r="AB48" s="484">
        <f>SUM(TEmatchups[[#This Row],[Salary]]/TEmatchups[[#This Row],[Projection]])</f>
        <v>640.69160523146047</v>
      </c>
      <c r="AC48" s="482">
        <f>_xlfn.RANK.EQ(TEmatchups[[#This Row],[Average2]],TEmatchups[Average2],1)</f>
        <v>35</v>
      </c>
      <c r="AD48" s="241">
        <f>AVERAGE(TEmatchups[[#This Row],[Proj Rank]],TEmatchups[[#This Row],[Value Rank]])</f>
        <v>35.5</v>
      </c>
      <c r="AE48" s="210">
        <f>TEmatchups[[#This Row],[Salary]]/50000</f>
        <v>0.05</v>
      </c>
      <c r="AF48" s="210"/>
      <c r="AG48" s="14">
        <f>IFERROR(INDEX(TEstats3[Targets],MATCH(TEmatchups[[#This Row],[Name]],TEstats3[Player],0)),"0")</f>
        <v>1</v>
      </c>
      <c r="AH48" s="14" t="str">
        <f>IFERROR(INDEX(TEstats2[Targets],MATCH(TEmatchups[[#This Row],[Name]],TEstats2[Player],0)),"0")</f>
        <v>0</v>
      </c>
      <c r="AI48" s="14">
        <f>IFERROR(INDEX(TEstats3[Targets],MATCH(TEmatchups[[#This Row],[Name]],TEstats3[Player],0)),"0")</f>
        <v>1</v>
      </c>
      <c r="AJ48" s="14">
        <f>IFERROR(INDEX(TEstats1[Rec],MATCH(TEmatchups[[#This Row],[Name]],TEstats1[Player],0)),"0")</f>
        <v>1.8779999999999999</v>
      </c>
      <c r="AK48" s="14">
        <f>IFERROR(INDEX(TEstats2[Rec],MATCH(TEmatchups[[#This Row],[Name]],TEstats2[Player],0)),"0")</f>
        <v>2.5</v>
      </c>
      <c r="AL48" s="14">
        <f>IFERROR(INDEX(TEstats3[Rec],MATCH(TEmatchups[[#This Row],[Name]],TEstats3[Player],0)),"0")</f>
        <v>0.7</v>
      </c>
      <c r="AM48" s="32">
        <f>IFERROR(INDEX(TEallowed[Rec],MATCH(TEmatchups[[#This Row],[Opp]],TEallowed[Team],0)),"0")</f>
        <v>5.25</v>
      </c>
      <c r="AN48" s="14">
        <f>IFERROR(INDEX(TEstats1[Rec Yds],MATCH(TEmatchups[[#This Row],[Name]],TEstats1[Player],0)),"0")</f>
        <v>14.481</v>
      </c>
      <c r="AO48" s="14">
        <f>IFERROR(INDEX(TEstats2[RecYards],MATCH(TEmatchups[[#This Row],[Name]],TEstats2[Player],0)),"0")</f>
        <v>28.3</v>
      </c>
      <c r="AP48" s="14">
        <f>IFERROR(INDEX(TEstats3[RecYards],MATCH(TEmatchups[[#This Row],[Name]],TEstats3[Player],0)),"0")</f>
        <v>8.1999999999999993</v>
      </c>
      <c r="AQ48" s="32">
        <f>IFERROR(INDEX(TEallowed[Yard],MATCH(TEmatchups[[#This Row],[Opp]],TEallowed[Team],0)),"0")</f>
        <v>56.4375</v>
      </c>
      <c r="AR48" s="14">
        <f>IFERROR(INDEX(TEstats1[Rec TD],MATCH(TEmatchups[[#This Row],[Name]],TEstats1[Player],0)),"0")</f>
        <v>7.0000000000000007E-2</v>
      </c>
      <c r="AS48" s="14" t="str">
        <f>IFERROR(INDEX(TEstats2[RecTD],MATCH(TEmatchups[[#This Row],[Name]],TEstats2[Player],0)),"0")</f>
        <v>0.3</v>
      </c>
      <c r="AT48" s="14">
        <f>IFERROR(INDEX(TEstats3[RecTD],MATCH(TEmatchups[[#This Row],[Name]],TEstats3[Player],0)),"0")</f>
        <v>0.1</v>
      </c>
      <c r="AU48" s="32">
        <f>IFERROR(INDEX(TEallowed[TD],MATCH(TEmatchups[[#This Row],[Opp]],TEallowed[Team],0)),"0")</f>
        <v>0.3125</v>
      </c>
      <c r="AV48" s="32">
        <f>IF(TEmatchups[[#This Row],[Yards]]&gt;=100,3,0)</f>
        <v>0</v>
      </c>
    </row>
    <row r="49" spans="1:48" ht="15" thickBot="1" x14ac:dyDescent="0.35">
      <c r="A49" s="37">
        <f>TEstats1!AL41</f>
        <v>2.2999999999999998</v>
      </c>
      <c r="B49" s="5" t="str">
        <f>TEstats1!D41</f>
        <v>Jermaine Gresham</v>
      </c>
      <c r="C49" s="172">
        <f>IFERROR(INDEX(Salaries[DraftKings (Price)],MATCH(TEmatchups[[#This Row],[Name]],Salaries[Player],0)),"")</f>
        <v>2500</v>
      </c>
      <c r="D49" s="172">
        <f>IFERROR(INDEX(DK_Salary_Changes[WeekChange],MATCH(TEmatchups[[#This Row],[Name]],DK_Salary_Changes[Player],0)),"")</f>
        <v>0</v>
      </c>
      <c r="E49" s="14" t="str">
        <f>IFERROR(INDEX(Salaries[Team],MATCH(TEmatchups[[#This Row],[Name]],Salaries[Player],0)),"")</f>
        <v>ARI</v>
      </c>
      <c r="F49" s="14" t="str">
        <f>IFERROR(INDEX(Salaries[Opp],MATCH(TEmatchups[[#This Row],[Team]],Salaries[Team],0)),"")</f>
        <v>LA</v>
      </c>
      <c r="G49" s="457" t="str">
        <f>IFERROR(INDEX(TightEndYTD[Rec],MATCH(TEmatchups[Name],TightEndYTD[Player],0)),"0")</f>
        <v>0</v>
      </c>
      <c r="H49" s="191">
        <f>IFERROR(INDEX(targettracker54[TTL],MATCH(TEmatchups[Name],targettracker54[Name],0)),"0")</f>
        <v>6</v>
      </c>
      <c r="I49" s="458" t="str">
        <f>IFERROR(INDEX(TightEndYTD[Rec Yds],MATCH(TEmatchups[Name],TightEndYTD[Player],0)),"0")</f>
        <v>0</v>
      </c>
      <c r="J49" s="459" t="str">
        <f>IFERROR(INDEX(TightEndYTD[Rec TD],MATCH(TEmatchups[Name],TightEndYTD[Player],0)),"0")</f>
        <v>0</v>
      </c>
      <c r="K49" s="431">
        <f>IFERROR(INDEX(Salaries[O/U],MATCH(TEmatchups[[#This Row],[Team]],Salaries[Team],0)),"")</f>
        <v>43</v>
      </c>
      <c r="L49" s="32">
        <f>IFERROR(INDEX(Salaries[Team O/U],MATCH(TEmatchups[[#This Row],[Team]],Salaries[Team],0)),"")</f>
        <v>25.5</v>
      </c>
      <c r="M49" s="417">
        <f>IFERROR(INDEX(Salaries[Spread],MATCH(TEmatchups[[#This Row],[Team]],Salaries[Team],0)),"")</f>
        <v>-8</v>
      </c>
      <c r="N49" s="424">
        <f>IFERROR(INDEX(TEallowed[DVP],MATCH(TEmatchups[[#This Row],[Opp]],TEallowed[Team],0)),IFERROR(INDEX(TEallowed[DVP],MATCH(TEmatchups[[#This Row],[Opp]],TEallowed[Opp],0)),""))</f>
        <v>20</v>
      </c>
      <c r="O49" s="17">
        <f>IFERROR(INDEX(YAtCData[YAtC],MATCH(TEmatchups[[#This Row],[Name]],YAtCData[Player],0)),"0")</f>
        <v>34</v>
      </c>
      <c r="P49" s="497">
        <f>IFERROR(INDEX(YAtCData[YAtC/Rec],MATCH(TEmatchups[[#This Row],[Name]],YAtCData[Player],0)),"0")</f>
        <v>8.5</v>
      </c>
      <c r="Q49" s="17">
        <f>IFERROR(INDEX(YAtCData[YAC],MATCH(TEmatchups[[#This Row],[Name]],YAtCData[Player],0)),"0")</f>
        <v>7</v>
      </c>
      <c r="R49" s="497">
        <f>IFERROR(INDEX(YACDATA[YAC per Reception],MATCH(TEmatchups[[#This Row],[Name]],YACDATA[Player],0)),"0")</f>
        <v>1.8</v>
      </c>
      <c r="S49" s="418">
        <f>AVERAGE(TEmatchups[[#This Row],[Tar1]:[Tar3]])</f>
        <v>2</v>
      </c>
      <c r="T49" s="19">
        <f>AVERAGE(TEmatchups[[#This Row],[Rec1]:[Rec3]])</f>
        <v>1.375</v>
      </c>
      <c r="U49" s="202">
        <f>SUM(TEmatchups[[#This Row],[Rec4]]/TEmatchups[[#This Row],[Targets2]])</f>
        <v>0.6875</v>
      </c>
      <c r="V49" s="32">
        <f>AVERAGE(TEmatchups[[#This Row],[Yards1]:[Yards3]])</f>
        <v>15.011000000000001</v>
      </c>
      <c r="W49" s="19">
        <f>SUM(TEmatchups[[#This Row],[Yards]]/TEmatchups[[#This Row],[Targets2]])</f>
        <v>7.5055000000000005</v>
      </c>
      <c r="X49" s="32">
        <f>AVERAGE(TEmatchups[[#This Row],[TD1]:[TD3]])</f>
        <v>7.5999999999999998E-2</v>
      </c>
      <c r="Y49" s="14">
        <v>40</v>
      </c>
      <c r="Z49" s="19">
        <f>SUM(TEmatchups[[#This Row],[Yards]]*0.1)+(TEmatchups[[#This Row],[TD]]*6)+(TEmatchups[[#This Row],[Rec4]]*1)+(TEmatchups[[#This Row],[100+]])</f>
        <v>3.3321000000000001</v>
      </c>
      <c r="AA49" s="8">
        <f>_xlfn.RANK.EQ(TEmatchups[[#This Row],[$/FP]],TEmatchups[$/FP],1)</f>
        <v>35</v>
      </c>
      <c r="AB49" s="484">
        <f>SUM(TEmatchups[[#This Row],[Salary]]/TEmatchups[[#This Row],[Projection]])</f>
        <v>750.27760271300383</v>
      </c>
      <c r="AC49" s="482">
        <f>_xlfn.RANK.EQ(TEmatchups[[#This Row],[Average2]],TEmatchups[Average2],1)</f>
        <v>38</v>
      </c>
      <c r="AD49" s="241">
        <f>AVERAGE(TEmatchups[[#This Row],[Proj Rank]],TEmatchups[[#This Row],[Value Rank]])</f>
        <v>37.5</v>
      </c>
      <c r="AE49" s="210">
        <f>TEmatchups[[#This Row],[Salary]]/50000</f>
        <v>0.05</v>
      </c>
      <c r="AF49" s="210"/>
      <c r="AG49" s="14">
        <f>IFERROR(INDEX(TEstats3[Targets],MATCH(TEmatchups[[#This Row],[Name]],TEstats3[Player],0)),"0")</f>
        <v>2</v>
      </c>
      <c r="AH49" s="14" t="str">
        <f>IFERROR(INDEX(TEstats2[Targets],MATCH(TEmatchups[[#This Row],[Name]],TEstats2[Player],0)),"0")</f>
        <v>0</v>
      </c>
      <c r="AI49" s="14">
        <f>IFERROR(INDEX(TEstats3[Targets],MATCH(TEmatchups[[#This Row],[Name]],TEstats3[Player],0)),"0")</f>
        <v>2</v>
      </c>
      <c r="AJ49" s="14">
        <f>IFERROR(INDEX(TEstats1[Rec],MATCH(TEmatchups[[#This Row],[Name]],TEstats1[Player],0)),"0")</f>
        <v>1.325</v>
      </c>
      <c r="AK49" s="14">
        <f>IFERROR(INDEX(TEstats2[Rec],MATCH(TEmatchups[[#This Row],[Name]],TEstats2[Player],0)),"0")</f>
        <v>1.5</v>
      </c>
      <c r="AL49" s="14">
        <f>IFERROR(INDEX(TEstats3[Rec],MATCH(TEmatchups[[#This Row],[Name]],TEstats3[Player],0)),"0")</f>
        <v>1.3</v>
      </c>
      <c r="AM49" s="32">
        <f>IFERROR(INDEX(TEallowed[Rec],MATCH(TEmatchups[[#This Row],[Opp]],TEallowed[Team],0)),"0")</f>
        <v>5.25</v>
      </c>
      <c r="AN49" s="14">
        <f>IFERROR(INDEX(TEstats1[Rec Yds],MATCH(TEmatchups[[#This Row],[Name]],TEstats1[Player],0)),"0")</f>
        <v>13.032999999999999</v>
      </c>
      <c r="AO49" s="14">
        <f>IFERROR(INDEX(TEstats2[RecYards],MATCH(TEmatchups[[#This Row],[Name]],TEstats2[Player],0)),"0")</f>
        <v>17.8</v>
      </c>
      <c r="AP49" s="14">
        <f>IFERROR(INDEX(TEstats3[RecYards],MATCH(TEmatchups[[#This Row],[Name]],TEstats3[Player],0)),"0")</f>
        <v>14.2</v>
      </c>
      <c r="AQ49" s="32">
        <f>IFERROR(INDEX(TEallowed[Yard],MATCH(TEmatchups[[#This Row],[Opp]],TEallowed[Team],0)),"0")</f>
        <v>56.4375</v>
      </c>
      <c r="AR49" s="14">
        <f>IFERROR(INDEX(TEstats1[Rec TD],MATCH(TEmatchups[[#This Row],[Name]],TEstats1[Player],0)),"0")</f>
        <v>5.1999999999999998E-2</v>
      </c>
      <c r="AS49" s="14" t="str">
        <f>IFERROR(INDEX(TEstats2[RecTD],MATCH(TEmatchups[[#This Row],[Name]],TEstats2[Player],0)),"0")</f>
        <v>0.1</v>
      </c>
      <c r="AT49" s="14">
        <f>IFERROR(INDEX(TEstats3[RecTD],MATCH(TEmatchups[[#This Row],[Name]],TEstats3[Player],0)),"0")</f>
        <v>0.1</v>
      </c>
      <c r="AU49" s="32">
        <f>IFERROR(INDEX(TEallowed[TD],MATCH(TEmatchups[[#This Row],[Opp]],TEallowed[Team],0)),"0")</f>
        <v>0.3125</v>
      </c>
      <c r="AV49" s="32">
        <f>IF(TEmatchups[[#This Row],[Yards]]&gt;=100,3,0)</f>
        <v>0</v>
      </c>
    </row>
    <row r="50" spans="1:48" ht="15" thickBot="1" x14ac:dyDescent="0.35">
      <c r="A50" s="37">
        <f>TEstats1!AL42</f>
        <v>2.1</v>
      </c>
      <c r="B50" s="5" t="str">
        <f>TEstats1!D42</f>
        <v>Sean McGrath</v>
      </c>
      <c r="C50" s="172">
        <f>IFERROR(INDEX(Salaries[DraftKings (Price)],MATCH(TEmatchups[[#This Row],[Name]],Salaries[Player],0)),"")</f>
        <v>2500</v>
      </c>
      <c r="D50" s="172">
        <f>IFERROR(INDEX(DK_Salary_Changes[WeekChange],MATCH(TEmatchups[[#This Row],[Name]],DK_Salary_Changes[Player],0)),"")</f>
        <v>0</v>
      </c>
      <c r="E50" s="14" t="str">
        <f>IFERROR(INDEX(Salaries[Team],MATCH(TEmatchups[[#This Row],[Name]],Salaries[Player],0)),"")</f>
        <v>SD</v>
      </c>
      <c r="F50" s="14" t="str">
        <f>IFERROR(INDEX(Salaries[Opp],MATCH(TEmatchups[[#This Row],[Team]],Salaries[Team],0)),"")</f>
        <v>NO</v>
      </c>
      <c r="G50" s="457" t="str">
        <f>IFERROR(INDEX(TightEndYTD[Rec],MATCH(TEmatchups[Name],TightEndYTD[Player],0)),"0")</f>
        <v>0</v>
      </c>
      <c r="H50" s="191">
        <f>IFERROR(INDEX(targettracker54[TTL],MATCH(TEmatchups[Name],targettracker54[Name],0)),"0")</f>
        <v>1</v>
      </c>
      <c r="I50" s="458" t="str">
        <f>IFERROR(INDEX(TightEndYTD[Rec Yds],MATCH(TEmatchups[Name],TightEndYTD[Player],0)),"0")</f>
        <v>0</v>
      </c>
      <c r="J50" s="459" t="str">
        <f>IFERROR(INDEX(TightEndYTD[Rec TD],MATCH(TEmatchups[Name],TightEndYTD[Player],0)),"0")</f>
        <v>0</v>
      </c>
      <c r="K50" s="431">
        <f>IFERROR(INDEX(Salaries[O/U],MATCH(TEmatchups[[#This Row],[Team]],Salaries[Team],0)),"")</f>
        <v>53.5</v>
      </c>
      <c r="L50" s="32">
        <f>IFERROR(INDEX(Salaries[Team O/U],MATCH(TEmatchups[[#This Row],[Team]],Salaries[Team],0)),"")</f>
        <v>28.75</v>
      </c>
      <c r="M50" s="417">
        <f>IFERROR(INDEX(Salaries[Spread],MATCH(TEmatchups[[#This Row],[Team]],Salaries[Team],0)),"")</f>
        <v>-4</v>
      </c>
      <c r="N50" s="424">
        <f>IFERROR(INDEX(TEallowed[DVP],MATCH(TEmatchups[[#This Row],[Opp]],TEallowed[Team],0)),IFERROR(INDEX(TEallowed[DVP],MATCH(TEmatchups[[#This Row],[Opp]],TEallowed[Opp],0)),""))</f>
        <v>32</v>
      </c>
      <c r="O50" s="17" t="str">
        <f>IFERROR(INDEX(YAtCData[YAtC],MATCH(TEmatchups[[#This Row],[Name]],YAtCData[Player],0)),"0")</f>
        <v>0</v>
      </c>
      <c r="P50" s="497" t="str">
        <f>IFERROR(INDEX(YAtCData[YAtC/Rec],MATCH(TEmatchups[[#This Row],[Name]],YAtCData[Player],0)),"0")</f>
        <v>0</v>
      </c>
      <c r="Q50" s="17" t="str">
        <f>IFERROR(INDEX(YAtCData[YAC],MATCH(TEmatchups[[#This Row],[Name]],YAtCData[Player],0)),"0")</f>
        <v>0</v>
      </c>
      <c r="R50" s="497">
        <f>IFERROR(INDEX(YACDATA[YAC per Reception],MATCH(TEmatchups[[#This Row],[Name]],YACDATA[Player],0)),"0")</f>
        <v>10</v>
      </c>
      <c r="S50" s="418" t="e">
        <f>AVERAGE(TEmatchups[[#This Row],[Tar1]:[Tar3]])</f>
        <v>#DIV/0!</v>
      </c>
      <c r="T50" s="19">
        <f>AVERAGE(TEmatchups[[#This Row],[Rec1]:[Rec3]])</f>
        <v>1.0509999999999999</v>
      </c>
      <c r="U50" s="202" t="e">
        <f>SUM(TEmatchups[[#This Row],[Rec4]]/TEmatchups[[#This Row],[Targets2]])</f>
        <v>#DIV/0!</v>
      </c>
      <c r="V50" s="32">
        <f>AVERAGE(TEmatchups[[#This Row],[Yards1]:[Yards3]])</f>
        <v>9.093</v>
      </c>
      <c r="W50" s="19" t="e">
        <f>SUM(TEmatchups[[#This Row],[Yards]]/TEmatchups[[#This Row],[Targets2]])</f>
        <v>#DIV/0!</v>
      </c>
      <c r="X50" s="32">
        <f>AVERAGE(TEmatchups[[#This Row],[TD1]:[TD3]])</f>
        <v>0.106</v>
      </c>
      <c r="Y50" s="14">
        <v>42</v>
      </c>
      <c r="Z50" s="19">
        <f>SUM(TEmatchups[[#This Row],[Yards]]*0.1)+(TEmatchups[[#This Row],[TD]]*6)+(TEmatchups[[#This Row],[Rec4]]*1)+(TEmatchups[[#This Row],[100+]])</f>
        <v>2.5963000000000003</v>
      </c>
      <c r="AA50" s="8">
        <f>_xlfn.RANK.EQ(TEmatchups[[#This Row],[$/FP]],TEmatchups[$/FP],1)</f>
        <v>40</v>
      </c>
      <c r="AB50" s="484">
        <f>SUM(TEmatchups[[#This Row],[Salary]]/TEmatchups[[#This Row],[Projection]])</f>
        <v>962.90875476639826</v>
      </c>
      <c r="AC50" s="482">
        <f>_xlfn.RANK.EQ(TEmatchups[[#This Row],[Average2]],TEmatchups[Average2],1)</f>
        <v>40</v>
      </c>
      <c r="AD50" s="241">
        <f>AVERAGE(TEmatchups[[#This Row],[Proj Rank]],TEmatchups[[#This Row],[Value Rank]])</f>
        <v>41</v>
      </c>
      <c r="AE50" s="210">
        <f>TEmatchups[[#This Row],[Salary]]/50000</f>
        <v>0.05</v>
      </c>
      <c r="AF50" s="210"/>
      <c r="AG50" s="14" t="str">
        <f>IFERROR(INDEX(TEstats3[Targets],MATCH(TEmatchups[[#This Row],[Name]],TEstats3[Player],0)),"0")</f>
        <v>0</v>
      </c>
      <c r="AH50" s="14" t="str">
        <f>IFERROR(INDEX(TEstats2[Targets],MATCH(TEmatchups[[#This Row],[Name]],TEstats2[Player],0)),"0")</f>
        <v>0</v>
      </c>
      <c r="AI50" s="14" t="str">
        <f>IFERROR(INDEX(TEstats3[Targets],MATCH(TEmatchups[[#This Row],[Name]],TEstats3[Player],0)),"0")</f>
        <v>0</v>
      </c>
      <c r="AJ50" s="14">
        <f>IFERROR(INDEX(TEstats1[Rec],MATCH(TEmatchups[[#This Row],[Name]],TEstats1[Player],0)),"0")</f>
        <v>1.0509999999999999</v>
      </c>
      <c r="AK50" s="14" t="str">
        <f>IFERROR(INDEX(TEstats2[Rec],MATCH(TEmatchups[[#This Row],[Name]],TEstats2[Player],0)),"0")</f>
        <v>0</v>
      </c>
      <c r="AL50" s="14" t="str">
        <f>IFERROR(INDEX(TEstats3[Rec],MATCH(TEmatchups[[#This Row],[Name]],TEstats3[Player],0)),"0")</f>
        <v>0</v>
      </c>
      <c r="AM50" s="32">
        <f>IFERROR(INDEX(TEallowed[Rec],MATCH(TEmatchups[[#This Row],[Opp]],TEallowed[Team],0)),"0")</f>
        <v>5.0625</v>
      </c>
      <c r="AN50" s="14">
        <f>IFERROR(INDEX(TEstats1[Rec Yds],MATCH(TEmatchups[[#This Row],[Name]],TEstats1[Player],0)),"0")</f>
        <v>9.093</v>
      </c>
      <c r="AO50" s="14" t="str">
        <f>IFERROR(INDEX(TEstats2[RecYards],MATCH(TEmatchups[[#This Row],[Name]],TEstats2[Player],0)),"0")</f>
        <v>0</v>
      </c>
      <c r="AP50" s="14" t="str">
        <f>IFERROR(INDEX(TEstats3[RecYards],MATCH(TEmatchups[[#This Row],[Name]],TEstats3[Player],0)),"0")</f>
        <v>0</v>
      </c>
      <c r="AQ50" s="32">
        <f>IFERROR(INDEX(TEallowed[Yard],MATCH(TEmatchups[[#This Row],[Opp]],TEallowed[Team],0)),"0")</f>
        <v>48.8125</v>
      </c>
      <c r="AR50" s="14">
        <f>IFERROR(INDEX(TEstats1[Rec TD],MATCH(TEmatchups[[#This Row],[Name]],TEstats1[Player],0)),"0")</f>
        <v>0.106</v>
      </c>
      <c r="AS50" s="14" t="str">
        <f>IFERROR(INDEX(TEstats2[RecTD],MATCH(TEmatchups[[#This Row],[Name]],TEstats2[Player],0)),"0")</f>
        <v>0</v>
      </c>
      <c r="AT50" s="14" t="str">
        <f>IFERROR(INDEX(TEstats3[RecTD],MATCH(TEmatchups[[#This Row],[Name]],TEstats3[Player],0)),"0")</f>
        <v>0</v>
      </c>
      <c r="AU50" s="32">
        <f>IFERROR(INDEX(TEallowed[TD],MATCH(TEmatchups[[#This Row],[Opp]],TEallowed[Team],0)),"0")</f>
        <v>0.375</v>
      </c>
      <c r="AV50" s="32">
        <f>IF(TEmatchups[[#This Row],[Yards]]&gt;=100,3,0)</f>
        <v>0</v>
      </c>
    </row>
    <row r="51" spans="1:48" ht="15" thickBot="1" x14ac:dyDescent="0.35">
      <c r="A51" s="37">
        <f>TEstats1!AL43</f>
        <v>1.9</v>
      </c>
      <c r="B51" s="5" t="str">
        <f>TEstats1!D43</f>
        <v>Demetrius Harris</v>
      </c>
      <c r="C51" s="172">
        <f>IFERROR(INDEX(Salaries[DraftKings (Price)],MATCH(TEmatchups[[#This Row],[Name]],Salaries[Player],0)),"")</f>
        <v>2500</v>
      </c>
      <c r="D51" s="172">
        <f>IFERROR(INDEX(DK_Salary_Changes[WeekChange],MATCH(TEmatchups[[#This Row],[Name]],DK_Salary_Changes[Player],0)),"")</f>
        <v>0</v>
      </c>
      <c r="E51" s="14" t="str">
        <f>IFERROR(INDEX(Salaries[Team],MATCH(TEmatchups[[#This Row],[Name]],Salaries[Player],0)),"")</f>
        <v>KC</v>
      </c>
      <c r="F51" s="14" t="str">
        <f>IFERROR(INDEX(Salaries[Opp],MATCH(TEmatchups[[#This Row],[Team]],Salaries[Team],0)),"")</f>
        <v>@PIT</v>
      </c>
      <c r="G51" s="457" t="str">
        <f>IFERROR(INDEX(TightEndYTD[Rec],MATCH(TEmatchups[Name],TightEndYTD[Player],0)),"0")</f>
        <v>0</v>
      </c>
      <c r="H51" s="191">
        <f>IFERROR(INDEX(targettracker54[TTL],MATCH(TEmatchups[Name],targettracker54[Name],0)),"0")</f>
        <v>7</v>
      </c>
      <c r="I51" s="458" t="str">
        <f>IFERROR(INDEX(TightEndYTD[Rec Yds],MATCH(TEmatchups[Name],TightEndYTD[Player],0)),"0")</f>
        <v>0</v>
      </c>
      <c r="J51" s="459" t="str">
        <f>IFERROR(INDEX(TightEndYTD[Rec TD],MATCH(TEmatchups[Name],TightEndYTD[Player],0)),"0")</f>
        <v>0</v>
      </c>
      <c r="K51" s="431">
        <f>IFERROR(INDEX(Salaries[O/U],MATCH(TEmatchups[[#This Row],[Team]],Salaries[Team],0)),"")</f>
        <v>47.5</v>
      </c>
      <c r="L51" s="32">
        <f>IFERROR(INDEX(Salaries[Team O/U],MATCH(TEmatchups[[#This Row],[Team]],Salaries[Team],0)),"")</f>
        <v>21</v>
      </c>
      <c r="M51" s="417">
        <f>IFERROR(INDEX(Salaries[Spread],MATCH(TEmatchups[[#This Row],[Team]],Salaries[Team],0)),"")</f>
        <v>5.5</v>
      </c>
      <c r="N51" s="424">
        <f>IFERROR(INDEX(TEallowed[DVP],MATCH(TEmatchups[[#This Row],[Opp]],TEallowed[Team],0)),IFERROR(INDEX(TEallowed[DVP],MATCH(TEmatchups[[#This Row],[Opp]],TEallowed[Opp],0)),""))</f>
        <v>25</v>
      </c>
      <c r="O51" s="17">
        <f>IFERROR(INDEX(YAtCData[YAtC],MATCH(TEmatchups[[#This Row],[Name]],YAtCData[Player],0)),"0")</f>
        <v>18</v>
      </c>
      <c r="P51" s="497">
        <f>IFERROR(INDEX(YAtCData[YAtC/Rec],MATCH(TEmatchups[[#This Row],[Name]],YAtCData[Player],0)),"0")</f>
        <v>4.5</v>
      </c>
      <c r="Q51" s="17">
        <f>IFERROR(INDEX(YAtCData[YAC],MATCH(TEmatchups[[#This Row],[Name]],YAtCData[Player],0)),"0")</f>
        <v>16</v>
      </c>
      <c r="R51" s="497">
        <f>IFERROR(INDEX(YACDATA[YAC per Reception],MATCH(TEmatchups[[#This Row],[Name]],YACDATA[Player],0)),"0")</f>
        <v>4</v>
      </c>
      <c r="S51" s="418">
        <f>AVERAGE(TEmatchups[[#This Row],[Tar1]:[Tar3]])</f>
        <v>0.6</v>
      </c>
      <c r="T51" s="19">
        <f>AVERAGE(TEmatchups[[#This Row],[Rec1]:[Rec3]])</f>
        <v>0.65849999999999997</v>
      </c>
      <c r="U51" s="202">
        <f>SUM(TEmatchups[[#This Row],[Rec4]]/TEmatchups[[#This Row],[Targets2]])</f>
        <v>1.0974999999999999</v>
      </c>
      <c r="V51" s="32">
        <f>AVERAGE(TEmatchups[[#This Row],[Yards1]:[Yards3]])</f>
        <v>6.9395000000000007</v>
      </c>
      <c r="W51" s="19">
        <f>SUM(TEmatchups[[#This Row],[Yards]]/TEmatchups[[#This Row],[Targets2]])</f>
        <v>11.565833333333336</v>
      </c>
      <c r="X51" s="32">
        <f>AVERAGE(TEmatchups[[#This Row],[TD1]:[TD3]])</f>
        <v>3.1E-2</v>
      </c>
      <c r="Y51" s="14">
        <v>43</v>
      </c>
      <c r="Z51" s="19">
        <f>SUM(TEmatchups[[#This Row],[Yards]]*0.1)+(TEmatchups[[#This Row],[TD]]*6)+(TEmatchups[[#This Row],[Rec4]]*1)+(TEmatchups[[#This Row],[100+]])</f>
        <v>1.5384500000000001</v>
      </c>
      <c r="AA51" s="8">
        <f>_xlfn.RANK.EQ(TEmatchups[[#This Row],[$/FP]],TEmatchups[$/FP],1)</f>
        <v>48</v>
      </c>
      <c r="AB51" s="484">
        <f>SUM(TEmatchups[[#This Row],[Salary]]/TEmatchups[[#This Row],[Projection]])</f>
        <v>1625.0121875914069</v>
      </c>
      <c r="AC51" s="482">
        <f>_xlfn.RANK.EQ(TEmatchups[[#This Row],[Average2]],TEmatchups[Average2],1)</f>
        <v>44</v>
      </c>
      <c r="AD51" s="241">
        <f>AVERAGE(TEmatchups[[#This Row],[Proj Rank]],TEmatchups[[#This Row],[Value Rank]])</f>
        <v>45.5</v>
      </c>
      <c r="AE51" s="210">
        <f>TEmatchups[[#This Row],[Salary]]/50000</f>
        <v>0.05</v>
      </c>
      <c r="AF51" s="210"/>
      <c r="AG51" s="14">
        <f>IFERROR(INDEX(TEstats3[Targets],MATCH(TEmatchups[[#This Row],[Name]],TEstats3[Player],0)),"0")</f>
        <v>0.6</v>
      </c>
      <c r="AH51" s="14" t="str">
        <f>IFERROR(INDEX(TEstats2[Targets],MATCH(TEmatchups[[#This Row],[Name]],TEstats2[Player],0)),"0")</f>
        <v>0</v>
      </c>
      <c r="AI51" s="14">
        <f>IFERROR(INDEX(TEstats3[Targets],MATCH(TEmatchups[[#This Row],[Name]],TEstats3[Player],0)),"0")</f>
        <v>0.6</v>
      </c>
      <c r="AJ51" s="14">
        <f>IFERROR(INDEX(TEstats1[Rec],MATCH(TEmatchups[[#This Row],[Name]],TEstats1[Player],0)),"0")</f>
        <v>1.0169999999999999</v>
      </c>
      <c r="AK51" s="14" t="str">
        <f>IFERROR(INDEX(TEstats2[Rec],MATCH(TEmatchups[[#This Row],[Name]],TEstats2[Player],0)),"0")</f>
        <v>0</v>
      </c>
      <c r="AL51" s="14">
        <f>IFERROR(INDEX(TEstats3[Rec],MATCH(TEmatchups[[#This Row],[Name]],TEstats3[Player],0)),"0")</f>
        <v>0.3</v>
      </c>
      <c r="AM51" s="32" t="str">
        <f>IFERROR(INDEX(TEallowed[Rec],MATCH(TEmatchups[[#This Row],[Opp]],TEallowed[Team],0)),"0")</f>
        <v>0</v>
      </c>
      <c r="AN51" s="14">
        <f>IFERROR(INDEX(TEstats1[Rec Yds],MATCH(TEmatchups[[#This Row],[Name]],TEstats1[Player],0)),"0")</f>
        <v>10.579000000000001</v>
      </c>
      <c r="AO51" s="14" t="str">
        <f>IFERROR(INDEX(TEstats2[RecYards],MATCH(TEmatchups[[#This Row],[Name]],TEstats2[Player],0)),"0")</f>
        <v>0</v>
      </c>
      <c r="AP51" s="14">
        <f>IFERROR(INDEX(TEstats3[RecYards],MATCH(TEmatchups[[#This Row],[Name]],TEstats3[Player],0)),"0")</f>
        <v>3.3</v>
      </c>
      <c r="AQ51" s="32" t="str">
        <f>IFERROR(INDEX(TEallowed[Yard],MATCH(TEmatchups[[#This Row],[Opp]],TEallowed[Team],0)),"0")</f>
        <v>0</v>
      </c>
      <c r="AR51" s="14">
        <f>IFERROR(INDEX(TEstats1[Rec TD],MATCH(TEmatchups[[#This Row],[Name]],TEstats1[Player],0)),"0")</f>
        <v>6.2E-2</v>
      </c>
      <c r="AS51" s="14" t="str">
        <f>IFERROR(INDEX(TEstats2[RecTD],MATCH(TEmatchups[[#This Row],[Name]],TEstats2[Player],0)),"0")</f>
        <v>0</v>
      </c>
      <c r="AT51" s="14">
        <f>IFERROR(INDEX(TEstats3[RecTD],MATCH(TEmatchups[[#This Row],[Name]],TEstats3[Player],0)),"0")</f>
        <v>0</v>
      </c>
      <c r="AU51" s="32" t="str">
        <f>IFERROR(INDEX(TEallowed[TD],MATCH(TEmatchups[[#This Row],[Opp]],TEallowed[Team],0)),"0")</f>
        <v>0</v>
      </c>
      <c r="AV51" s="32">
        <f>IF(TEmatchups[[#This Row],[Yards]]&gt;=100,3,0)</f>
        <v>0</v>
      </c>
    </row>
    <row r="52" spans="1:48" ht="15" thickBot="1" x14ac:dyDescent="0.35">
      <c r="A52" s="37">
        <f>TEstats1!AL44</f>
        <v>1.7</v>
      </c>
      <c r="B52" s="5" t="str">
        <f>TEstats1!D44</f>
        <v>Logan Paulsen</v>
      </c>
      <c r="C52" s="172">
        <f>IFERROR(INDEX(Salaries[DraftKings (Price)],MATCH(TEmatchups[[#This Row],[Name]],Salaries[Player],0)),"")</f>
        <v>2500</v>
      </c>
      <c r="D52" s="172">
        <f>IFERROR(INDEX(DK_Salary_Changes[WeekChange],MATCH(TEmatchups[[#This Row],[Name]],DK_Salary_Changes[Player],0)),"")</f>
        <v>0</v>
      </c>
      <c r="E52" s="14" t="str">
        <f>IFERROR(INDEX(Salaries[Team],MATCH(TEmatchups[[#This Row],[Name]],Salaries[Player],0)),"")</f>
        <v>CHI</v>
      </c>
      <c r="F52" s="14" t="str">
        <f>IFERROR(INDEX(Salaries[Opp],MATCH(TEmatchups[[#This Row],[Team]],Salaries[Team],0)),"")</f>
        <v>DET</v>
      </c>
      <c r="G52" s="457" t="str">
        <f>IFERROR(INDEX(TightEndYTD[Rec],MATCH(TEmatchups[Name],TightEndYTD[Player],0)),"0")</f>
        <v>0</v>
      </c>
      <c r="H52" s="191">
        <f>IFERROR(INDEX(targettracker54[TTL],MATCH(TEmatchups[Name],targettracker54[Name],0)),"0")</f>
        <v>1</v>
      </c>
      <c r="I52" s="458" t="str">
        <f>IFERROR(INDEX(TightEndYTD[Rec Yds],MATCH(TEmatchups[Name],TightEndYTD[Player],0)),"0")</f>
        <v>0</v>
      </c>
      <c r="J52" s="459" t="str">
        <f>IFERROR(INDEX(TightEndYTD[Rec TD],MATCH(TEmatchups[Name],TightEndYTD[Player],0)),"0")</f>
        <v>0</v>
      </c>
      <c r="K52" s="431">
        <f>IFERROR(INDEX(Salaries[O/U],MATCH(TEmatchups[[#This Row],[Team]],Salaries[Team],0)),"")</f>
        <v>46.5</v>
      </c>
      <c r="L52" s="32">
        <f>IFERROR(INDEX(Salaries[Team O/U],MATCH(TEmatchups[[#This Row],[Team]],Salaries[Team],0)),"")</f>
        <v>21.75</v>
      </c>
      <c r="M52" s="417">
        <f>IFERROR(INDEX(Salaries[Spread],MATCH(TEmatchups[[#This Row],[Team]],Salaries[Team],0)),"")</f>
        <v>3</v>
      </c>
      <c r="N52" s="424">
        <f>IFERROR(INDEX(TEallowed[DVP],MATCH(TEmatchups[[#This Row],[Opp]],TEallowed[Team],0)),IFERROR(INDEX(TEallowed[DVP],MATCH(TEmatchups[[#This Row],[Opp]],TEallowed[Opp],0)),""))</f>
        <v>29</v>
      </c>
      <c r="O52" s="17" t="str">
        <f>IFERROR(INDEX(YAtCData[YAtC],MATCH(TEmatchups[[#This Row],[Name]],YAtCData[Player],0)),"0")</f>
        <v>0</v>
      </c>
      <c r="P52" s="497" t="str">
        <f>IFERROR(INDEX(YAtCData[YAtC/Rec],MATCH(TEmatchups[[#This Row],[Name]],YAtCData[Player],0)),"0")</f>
        <v>0</v>
      </c>
      <c r="Q52" s="17" t="str">
        <f>IFERROR(INDEX(YAtCData[YAC],MATCH(TEmatchups[[#This Row],[Name]],YAtCData[Player],0)),"0")</f>
        <v>0</v>
      </c>
      <c r="R52" s="497" t="str">
        <f>IFERROR(INDEX(YACDATA[YAC per Reception],MATCH(TEmatchups[[#This Row],[Name]],YACDATA[Player],0)),"0")</f>
        <v>0</v>
      </c>
      <c r="S52" s="418" t="e">
        <f>AVERAGE(TEmatchups[[#This Row],[Tar1]:[Tar3]])</f>
        <v>#DIV/0!</v>
      </c>
      <c r="T52" s="19">
        <f>AVERAGE(TEmatchups[[#This Row],[Rec1]:[Rec3]])</f>
        <v>1.028</v>
      </c>
      <c r="U52" s="202" t="e">
        <f>SUM(TEmatchups[[#This Row],[Rec4]]/TEmatchups[[#This Row],[Targets2]])</f>
        <v>#DIV/0!</v>
      </c>
      <c r="V52" s="32">
        <f>AVERAGE(TEmatchups[[#This Row],[Yards1]:[Yards3]])</f>
        <v>10.154500000000001</v>
      </c>
      <c r="W52" s="19" t="e">
        <f>SUM(TEmatchups[[#This Row],[Yards]]/TEmatchups[[#This Row],[Targets2]])</f>
        <v>#DIV/0!</v>
      </c>
      <c r="X52" s="32">
        <f>AVERAGE(TEmatchups[[#This Row],[TD1]:[TD3]])</f>
        <v>6.4000000000000001E-2</v>
      </c>
      <c r="Y52" s="14">
        <v>44</v>
      </c>
      <c r="Z52" s="19">
        <f>SUM(TEmatchups[[#This Row],[Yards]]*0.1)+(TEmatchups[[#This Row],[TD]]*6)+(TEmatchups[[#This Row],[Rec4]]*1)+(TEmatchups[[#This Row],[100+]])</f>
        <v>2.4274500000000003</v>
      </c>
      <c r="AA52" s="8">
        <f>_xlfn.RANK.EQ(TEmatchups[[#This Row],[$/FP]],TEmatchups[$/FP],1)</f>
        <v>43</v>
      </c>
      <c r="AB52" s="484">
        <f>SUM(TEmatchups[[#This Row],[Salary]]/TEmatchups[[#This Row],[Projection]])</f>
        <v>1029.8873303260623</v>
      </c>
      <c r="AC52" s="482">
        <f>_xlfn.RANK.EQ(TEmatchups[[#This Row],[Average2]],TEmatchups[Average2],1)</f>
        <v>42</v>
      </c>
      <c r="AD52" s="241">
        <f>AVERAGE(TEmatchups[[#This Row],[Proj Rank]],TEmatchups[[#This Row],[Value Rank]])</f>
        <v>43.5</v>
      </c>
      <c r="AE52" s="210">
        <f>TEmatchups[[#This Row],[Salary]]/50000</f>
        <v>0.05</v>
      </c>
      <c r="AF52" s="210"/>
      <c r="AG52" s="14" t="str">
        <f>IFERROR(INDEX(TEstats3[Targets],MATCH(TEmatchups[[#This Row],[Name]],TEstats3[Player],0)),"0")</f>
        <v>0</v>
      </c>
      <c r="AH52" s="14" t="str">
        <f>IFERROR(INDEX(TEstats2[Targets],MATCH(TEmatchups[[#This Row],[Name]],TEstats2[Player],0)),"0")</f>
        <v>0</v>
      </c>
      <c r="AI52" s="14" t="str">
        <f>IFERROR(INDEX(TEstats3[Targets],MATCH(TEmatchups[[#This Row],[Name]],TEstats3[Player],0)),"0")</f>
        <v>0</v>
      </c>
      <c r="AJ52" s="14">
        <f>IFERROR(INDEX(TEstats1[Rec],MATCH(TEmatchups[[#This Row],[Name]],TEstats1[Player],0)),"0")</f>
        <v>0.95599999999999996</v>
      </c>
      <c r="AK52" s="14">
        <f>IFERROR(INDEX(TEstats2[Rec],MATCH(TEmatchups[[#This Row],[Name]],TEstats2[Player],0)),"0")</f>
        <v>1.1000000000000001</v>
      </c>
      <c r="AL52" s="14" t="str">
        <f>IFERROR(INDEX(TEstats3[Rec],MATCH(TEmatchups[[#This Row],[Name]],TEstats3[Player],0)),"0")</f>
        <v>0</v>
      </c>
      <c r="AM52" s="32">
        <f>IFERROR(INDEX(TEallowed[Rec],MATCH(TEmatchups[[#This Row],[Opp]],TEallowed[Team],0)),"0")</f>
        <v>5</v>
      </c>
      <c r="AN52" s="14">
        <f>IFERROR(INDEX(TEstats1[Rec Yds],MATCH(TEmatchups[[#This Row],[Name]],TEstats1[Player],0)),"0")</f>
        <v>9.0090000000000003</v>
      </c>
      <c r="AO52" s="14">
        <f>IFERROR(INDEX(TEstats2[RecYards],MATCH(TEmatchups[[#This Row],[Name]],TEstats2[Player],0)),"0")</f>
        <v>11.3</v>
      </c>
      <c r="AP52" s="14" t="str">
        <f>IFERROR(INDEX(TEstats3[RecYards],MATCH(TEmatchups[[#This Row],[Name]],TEstats3[Player],0)),"0")</f>
        <v>0</v>
      </c>
      <c r="AQ52" s="32">
        <f>IFERROR(INDEX(TEallowed[Yard],MATCH(TEmatchups[[#This Row],[Opp]],TEallowed[Team],0)),"0")</f>
        <v>57.125</v>
      </c>
      <c r="AR52" s="14">
        <f>IFERROR(INDEX(TEstats1[Rec TD],MATCH(TEmatchups[[#This Row],[Name]],TEstats1[Player],0)),"0")</f>
        <v>6.4000000000000001E-2</v>
      </c>
      <c r="AS52" s="14" t="str">
        <f>IFERROR(INDEX(TEstats2[RecTD],MATCH(TEmatchups[[#This Row],[Name]],TEstats2[Player],0)),"0")</f>
        <v>0.1</v>
      </c>
      <c r="AT52" s="14" t="str">
        <f>IFERROR(INDEX(TEstats3[RecTD],MATCH(TEmatchups[[#This Row],[Name]],TEstats3[Player],0)),"0")</f>
        <v>0</v>
      </c>
      <c r="AU52" s="32">
        <f>IFERROR(INDEX(TEallowed[TD],MATCH(TEmatchups[[#This Row],[Opp]],TEallowed[Team],0)),"0")</f>
        <v>0.4375</v>
      </c>
      <c r="AV52" s="32">
        <f>IF(TEmatchups[[#This Row],[Yards]]&gt;=100,3,0)</f>
        <v>0</v>
      </c>
    </row>
    <row r="53" spans="1:48" ht="15" thickBot="1" x14ac:dyDescent="0.35">
      <c r="A53" s="37">
        <f>TEstats1!AL45</f>
        <v>1.8</v>
      </c>
      <c r="B53" s="5" t="str">
        <f>TEstats1!D45</f>
        <v>Lee Smith</v>
      </c>
      <c r="C53" s="172">
        <f>IFERROR(INDEX(Salaries[DraftKings (Price)],MATCH(TEmatchups[[#This Row],[Name]],Salaries[Player],0)),"")</f>
        <v>2500</v>
      </c>
      <c r="D53" s="172">
        <f>IFERROR(INDEX(DK_Salary_Changes[WeekChange],MATCH(TEmatchups[[#This Row],[Name]],DK_Salary_Changes[Player],0)),"")</f>
        <v>0</v>
      </c>
      <c r="E53" s="14" t="str">
        <f>IFERROR(INDEX(Salaries[Team],MATCH(TEmatchups[[#This Row],[Name]],Salaries[Player],0)),"")</f>
        <v>OAK</v>
      </c>
      <c r="F53" s="14" t="str">
        <f>IFERROR(INDEX(Salaries[Opp],MATCH(TEmatchups[[#This Row],[Team]],Salaries[Team],0)),"")</f>
        <v>@BAL</v>
      </c>
      <c r="G53" s="457" t="str">
        <f>IFERROR(INDEX(TightEndYTD[Rec],MATCH(TEmatchups[Name],TightEndYTD[Player],0)),"0")</f>
        <v>0</v>
      </c>
      <c r="H53" s="191">
        <f>IFERROR(INDEX(targettracker54[TTL],MATCH(TEmatchups[Name],targettracker54[Name],0)),"0")</f>
        <v>5</v>
      </c>
      <c r="I53" s="458" t="str">
        <f>IFERROR(INDEX(TightEndYTD[Rec Yds],MATCH(TEmatchups[Name],TightEndYTD[Player],0)),"0")</f>
        <v>0</v>
      </c>
      <c r="J53" s="459" t="str">
        <f>IFERROR(INDEX(TightEndYTD[Rec TD],MATCH(TEmatchups[Name],TightEndYTD[Player],0)),"0")</f>
        <v>0</v>
      </c>
      <c r="K53" s="431">
        <f>IFERROR(INDEX(Salaries[O/U],MATCH(TEmatchups[[#This Row],[Team]],Salaries[Team],0)),"")</f>
        <v>46.5</v>
      </c>
      <c r="L53" s="32">
        <f>IFERROR(INDEX(Salaries[Team O/U],MATCH(TEmatchups[[#This Row],[Team]],Salaries[Team],0)),"")</f>
        <v>21.5</v>
      </c>
      <c r="M53" s="417">
        <f>IFERROR(INDEX(Salaries[Spread],MATCH(TEmatchups[[#This Row],[Team]],Salaries[Team],0)),"")</f>
        <v>3.5</v>
      </c>
      <c r="N53" s="424">
        <f>IFERROR(INDEX(TEallowed[DVP],MATCH(TEmatchups[[#This Row],[Opp]],TEallowed[Team],0)),IFERROR(INDEX(TEallowed[DVP],MATCH(TEmatchups[[#This Row],[Opp]],TEallowed[Opp],0)),""))</f>
        <v>4</v>
      </c>
      <c r="O53" s="17" t="str">
        <f>IFERROR(INDEX(YAtCData[YAtC],MATCH(TEmatchups[[#This Row],[Name]],YAtCData[Player],0)),"0")</f>
        <v>0</v>
      </c>
      <c r="P53" s="497" t="str">
        <f>IFERROR(INDEX(YAtCData[YAtC/Rec],MATCH(TEmatchups[[#This Row],[Name]],YAtCData[Player],0)),"0")</f>
        <v>0</v>
      </c>
      <c r="Q53" s="17" t="str">
        <f>IFERROR(INDEX(YAtCData[YAC],MATCH(TEmatchups[[#This Row],[Name]],YAtCData[Player],0)),"0")</f>
        <v>0</v>
      </c>
      <c r="R53" s="497">
        <f>IFERROR(INDEX(YACDATA[YAC per Reception],MATCH(TEmatchups[[#This Row],[Name]],YACDATA[Player],0)),"0")</f>
        <v>6.2</v>
      </c>
      <c r="S53" s="418">
        <f>AVERAGE(TEmatchups[[#This Row],[Tar1]:[Tar3]])</f>
        <v>1.4</v>
      </c>
      <c r="T53" s="19">
        <f>AVERAGE(TEmatchups[[#This Row],[Rec1]:[Rec3]])</f>
        <v>1.1684999999999999</v>
      </c>
      <c r="U53" s="202">
        <f>SUM(TEmatchups[[#This Row],[Rec4]]/TEmatchups[[#This Row],[Targets2]])</f>
        <v>0.83464285714285713</v>
      </c>
      <c r="V53" s="32">
        <f>AVERAGE(TEmatchups[[#This Row],[Yards1]:[Yards3]])</f>
        <v>9.4504999999999999</v>
      </c>
      <c r="W53" s="19">
        <f>SUM(TEmatchups[[#This Row],[Yards]]/TEmatchups[[#This Row],[Targets2]])</f>
        <v>6.7503571428571432</v>
      </c>
      <c r="X53" s="32">
        <f>AVERAGE(TEmatchups[[#This Row],[TD1]:[TD3]])</f>
        <v>8.6499999999999994E-2</v>
      </c>
      <c r="Y53" s="14">
        <v>45</v>
      </c>
      <c r="Z53" s="19">
        <f>SUM(TEmatchups[[#This Row],[Yards]]*0.1)+(TEmatchups[[#This Row],[TD]]*6)+(TEmatchups[[#This Row],[Rec4]]*1)+(TEmatchups[[#This Row],[100+]])</f>
        <v>2.6325499999999997</v>
      </c>
      <c r="AA53" s="8">
        <f>_xlfn.RANK.EQ(TEmatchups[[#This Row],[$/FP]],TEmatchups[$/FP],1)</f>
        <v>39</v>
      </c>
      <c r="AB53" s="484">
        <f>SUM(TEmatchups[[#This Row],[Salary]]/TEmatchups[[#This Row],[Projection]])</f>
        <v>949.64957930523644</v>
      </c>
      <c r="AC53" s="482">
        <f>_xlfn.RANK.EQ(TEmatchups[[#This Row],[Average2]],TEmatchups[Average2],1)</f>
        <v>41</v>
      </c>
      <c r="AD53" s="241">
        <f>AVERAGE(TEmatchups[[#This Row],[Proj Rank]],TEmatchups[[#This Row],[Value Rank]])</f>
        <v>42</v>
      </c>
      <c r="AE53" s="210">
        <f>TEmatchups[[#This Row],[Salary]]/50000</f>
        <v>0.05</v>
      </c>
      <c r="AF53" s="210"/>
      <c r="AG53" s="14">
        <f>IFERROR(INDEX(TEstats3[Targets],MATCH(TEmatchups[[#This Row],[Name]],TEstats3[Player],0)),"0")</f>
        <v>1.4</v>
      </c>
      <c r="AH53" s="14" t="str">
        <f>IFERROR(INDEX(TEstats2[Targets],MATCH(TEmatchups[[#This Row],[Name]],TEstats2[Player],0)),"0")</f>
        <v>0</v>
      </c>
      <c r="AI53" s="14">
        <f>IFERROR(INDEX(TEstats3[Targets],MATCH(TEmatchups[[#This Row],[Name]],TEstats3[Player],0)),"0")</f>
        <v>1.4</v>
      </c>
      <c r="AJ53" s="14">
        <f>IFERROR(INDEX(TEstats1[Rec],MATCH(TEmatchups[[#This Row],[Name]],TEstats1[Player],0)),"0")</f>
        <v>1.137</v>
      </c>
      <c r="AK53" s="14" t="str">
        <f>IFERROR(INDEX(TEstats2[Rec],MATCH(TEmatchups[[#This Row],[Name]],TEstats2[Player],0)),"0")</f>
        <v>0</v>
      </c>
      <c r="AL53" s="14">
        <f>IFERROR(INDEX(TEstats3[Rec],MATCH(TEmatchups[[#This Row],[Name]],TEstats3[Player],0)),"0")</f>
        <v>1.2</v>
      </c>
      <c r="AM53" s="32" t="str">
        <f>IFERROR(INDEX(TEallowed[Rec],MATCH(TEmatchups[[#This Row],[Opp]],TEallowed[Team],0)),"0")</f>
        <v>0</v>
      </c>
      <c r="AN53" s="14">
        <f>IFERROR(INDEX(TEstats1[Rec Yds],MATCH(TEmatchups[[#This Row],[Name]],TEstats1[Player],0)),"0")</f>
        <v>7.9009999999999998</v>
      </c>
      <c r="AO53" s="14" t="str">
        <f>IFERROR(INDEX(TEstats2[RecYards],MATCH(TEmatchups[[#This Row],[Name]],TEstats2[Player],0)),"0")</f>
        <v>0</v>
      </c>
      <c r="AP53" s="14">
        <f>IFERROR(INDEX(TEstats3[RecYards],MATCH(TEmatchups[[#This Row],[Name]],TEstats3[Player],0)),"0")</f>
        <v>11</v>
      </c>
      <c r="AQ53" s="32" t="str">
        <f>IFERROR(INDEX(TEallowed[Yard],MATCH(TEmatchups[[#This Row],[Opp]],TEallowed[Team],0)),"0")</f>
        <v>0</v>
      </c>
      <c r="AR53" s="14">
        <f>IFERROR(INDEX(TEstats1[Rec TD],MATCH(TEmatchups[[#This Row],[Name]],TEstats1[Player],0)),"0")</f>
        <v>7.2999999999999995E-2</v>
      </c>
      <c r="AS53" s="14" t="str">
        <f>IFERROR(INDEX(TEstats2[RecTD],MATCH(TEmatchups[[#This Row],[Name]],TEstats2[Player],0)),"0")</f>
        <v>0</v>
      </c>
      <c r="AT53" s="14">
        <f>IFERROR(INDEX(TEstats3[RecTD],MATCH(TEmatchups[[#This Row],[Name]],TEstats3[Player],0)),"0")</f>
        <v>0.1</v>
      </c>
      <c r="AU53" s="32" t="str">
        <f>IFERROR(INDEX(TEallowed[TD],MATCH(TEmatchups[[#This Row],[Opp]],TEallowed[Team],0)),"0")</f>
        <v>0</v>
      </c>
      <c r="AV53" s="32">
        <f>IF(TEmatchups[[#This Row],[Yards]]&gt;=100,3,0)</f>
        <v>0</v>
      </c>
    </row>
    <row r="54" spans="1:48" ht="15" thickBot="1" x14ac:dyDescent="0.35">
      <c r="A54" s="37">
        <f>TEstats1!AL46</f>
        <v>1.4</v>
      </c>
      <c r="B54" s="5" t="str">
        <f>TEstats1!D46</f>
        <v>Tyler Higbee</v>
      </c>
      <c r="C54" s="172">
        <f>IFERROR(INDEX(Salaries[DraftKings (Price)],MATCH(TEmatchups[[#This Row],[Name]],Salaries[Player],0)),"")</f>
        <v>2500</v>
      </c>
      <c r="D54" s="172">
        <f>IFERROR(INDEX(DK_Salary_Changes[WeekChange],MATCH(TEmatchups[[#This Row],[Name]],DK_Salary_Changes[Player],0)),"")</f>
        <v>0</v>
      </c>
      <c r="E54" s="14" t="str">
        <f>IFERROR(INDEX(Salaries[Team],MATCH(TEmatchups[[#This Row],[Name]],Salaries[Player],0)),"")</f>
        <v>LA</v>
      </c>
      <c r="F54" s="14" t="str">
        <f>IFERROR(INDEX(Salaries[Opp],MATCH(TEmatchups[[#This Row],[Team]],Salaries[Team],0)),"")</f>
        <v>@ARI</v>
      </c>
      <c r="G54" s="457" t="str">
        <f>IFERROR(INDEX(TightEndYTD[Rec],MATCH(TEmatchups[Name],TightEndYTD[Player],0)),"0")</f>
        <v>0</v>
      </c>
      <c r="H54" s="191">
        <f>IFERROR(INDEX(targettracker54[TTL],MATCH(TEmatchups[Name],targettracker54[Name],0)),"0")</f>
        <v>4</v>
      </c>
      <c r="I54" s="458" t="str">
        <f>IFERROR(INDEX(TightEndYTD[Rec Yds],MATCH(TEmatchups[Name],TightEndYTD[Player],0)),"0")</f>
        <v>0</v>
      </c>
      <c r="J54" s="459" t="str">
        <f>IFERROR(INDEX(TightEndYTD[Rec TD],MATCH(TEmatchups[Name],TightEndYTD[Player],0)),"0")</f>
        <v>0</v>
      </c>
      <c r="K54" s="431">
        <f>IFERROR(INDEX(Salaries[O/U],MATCH(TEmatchups[[#This Row],[Team]],Salaries[Team],0)),"")</f>
        <v>43</v>
      </c>
      <c r="L54" s="32">
        <f>IFERROR(INDEX(Salaries[Team O/U],MATCH(TEmatchups[[#This Row],[Team]],Salaries[Team],0)),"")</f>
        <v>17.5</v>
      </c>
      <c r="M54" s="417">
        <f>IFERROR(INDEX(Salaries[Spread],MATCH(TEmatchups[[#This Row],[Team]],Salaries[Team],0)),"")</f>
        <v>8</v>
      </c>
      <c r="N54" s="424">
        <f>IFERROR(INDEX(TEallowed[DVP],MATCH(TEmatchups[[#This Row],[Opp]],TEallowed[Team],0)),IFERROR(INDEX(TEallowed[DVP],MATCH(TEmatchups[[#This Row],[Opp]],TEallowed[Opp],0)),""))</f>
        <v>19</v>
      </c>
      <c r="O54" s="17" t="str">
        <f>IFERROR(INDEX(YAtCData[YAtC],MATCH(TEmatchups[[#This Row],[Name]],YAtCData[Player],0)),"0")</f>
        <v>0</v>
      </c>
      <c r="P54" s="497" t="str">
        <f>IFERROR(INDEX(YAtCData[YAtC/Rec],MATCH(TEmatchups[[#This Row],[Name]],YAtCData[Player],0)),"0")</f>
        <v>0</v>
      </c>
      <c r="Q54" s="17" t="str">
        <f>IFERROR(INDEX(YAtCData[YAC],MATCH(TEmatchups[[#This Row],[Name]],YAtCData[Player],0)),"0")</f>
        <v>0</v>
      </c>
      <c r="R54" s="497">
        <f>IFERROR(INDEX(YACDATA[YAC per Reception],MATCH(TEmatchups[[#This Row],[Name]],YACDATA[Player],0)),"0")</f>
        <v>1</v>
      </c>
      <c r="S54" s="418">
        <f>AVERAGE(TEmatchups[[#This Row],[Tar1]:[Tar3]])</f>
        <v>1.5</v>
      </c>
      <c r="T54" s="19">
        <f>AVERAGE(TEmatchups[[#This Row],[Rec1]:[Rec3]])</f>
        <v>0.78449999999999998</v>
      </c>
      <c r="U54" s="202">
        <f>SUM(TEmatchups[[#This Row],[Rec4]]/TEmatchups[[#This Row],[Targets2]])</f>
        <v>0.52300000000000002</v>
      </c>
      <c r="V54" s="32">
        <f>AVERAGE(TEmatchups[[#This Row],[Yards1]:[Yards3]])</f>
        <v>9.1560000000000006</v>
      </c>
      <c r="W54" s="19">
        <f>SUM(TEmatchups[[#This Row],[Yards]]/TEmatchups[[#This Row],[Targets2]])</f>
        <v>6.1040000000000001</v>
      </c>
      <c r="X54" s="32">
        <f>AVERAGE(TEmatchups[[#This Row],[TD1]:[TD3]])</f>
        <v>2.5499999999999998E-2</v>
      </c>
      <c r="Y54" s="14">
        <v>46</v>
      </c>
      <c r="Z54" s="19">
        <f>SUM(TEmatchups[[#This Row],[Yards]]*0.1)+(TEmatchups[[#This Row],[TD]]*6)+(TEmatchups[[#This Row],[Rec4]]*1)+(TEmatchups[[#This Row],[100+]])</f>
        <v>1.8531</v>
      </c>
      <c r="AA54" s="8">
        <f>_xlfn.RANK.EQ(TEmatchups[[#This Row],[$/FP]],TEmatchups[$/FP],1)</f>
        <v>44</v>
      </c>
      <c r="AB54" s="484">
        <f>SUM(TEmatchups[[#This Row],[Salary]]/TEmatchups[[#This Row],[Projection]])</f>
        <v>1349.0907128595327</v>
      </c>
      <c r="AC54" s="482">
        <f>_xlfn.RANK.EQ(TEmatchups[[#This Row],[Average2]],TEmatchups[Average2],1)</f>
        <v>43</v>
      </c>
      <c r="AD54" s="241">
        <f>AVERAGE(TEmatchups[[#This Row],[Proj Rank]],TEmatchups[[#This Row],[Value Rank]])</f>
        <v>45</v>
      </c>
      <c r="AE54" s="210">
        <f>TEmatchups[[#This Row],[Salary]]/50000</f>
        <v>0.05</v>
      </c>
      <c r="AF54" s="210"/>
      <c r="AG54" s="14">
        <f>IFERROR(INDEX(TEstats3[Targets],MATCH(TEmatchups[[#This Row],[Name]],TEstats3[Player],0)),"0")</f>
        <v>1.5</v>
      </c>
      <c r="AH54" s="14" t="str">
        <f>IFERROR(INDEX(TEstats2[Targets],MATCH(TEmatchups[[#This Row],[Name]],TEstats2[Player],0)),"0")</f>
        <v>0</v>
      </c>
      <c r="AI54" s="14">
        <f>IFERROR(INDEX(TEstats3[Targets],MATCH(TEmatchups[[#This Row],[Name]],TEstats3[Player],0)),"0")</f>
        <v>1.5</v>
      </c>
      <c r="AJ54" s="14">
        <f>IFERROR(INDEX(TEstats1[Rec],MATCH(TEmatchups[[#This Row],[Name]],TEstats1[Player],0)),"0")</f>
        <v>0.56899999999999995</v>
      </c>
      <c r="AK54" s="14" t="str">
        <f>IFERROR(INDEX(TEstats2[Rec],MATCH(TEmatchups[[#This Row],[Name]],TEstats2[Player],0)),"0")</f>
        <v>0</v>
      </c>
      <c r="AL54" s="14">
        <f>IFERROR(INDEX(TEstats3[Rec],MATCH(TEmatchups[[#This Row],[Name]],TEstats3[Player],0)),"0")</f>
        <v>1</v>
      </c>
      <c r="AM54" s="32" t="str">
        <f>IFERROR(INDEX(TEallowed[Rec],MATCH(TEmatchups[[#This Row],[Opp]],TEallowed[Team],0)),"0")</f>
        <v>0</v>
      </c>
      <c r="AN54" s="14">
        <f>IFERROR(INDEX(TEstats1[Rec Yds],MATCH(TEmatchups[[#This Row],[Name]],TEstats1[Player],0)),"0")</f>
        <v>8.4120000000000008</v>
      </c>
      <c r="AO54" s="14" t="str">
        <f>IFERROR(INDEX(TEstats2[RecYards],MATCH(TEmatchups[[#This Row],[Name]],TEstats2[Player],0)),"0")</f>
        <v>0</v>
      </c>
      <c r="AP54" s="14">
        <f>IFERROR(INDEX(TEstats3[RecYards],MATCH(TEmatchups[[#This Row],[Name]],TEstats3[Player],0)),"0")</f>
        <v>9.9</v>
      </c>
      <c r="AQ54" s="32" t="str">
        <f>IFERROR(INDEX(TEallowed[Yard],MATCH(TEmatchups[[#This Row],[Opp]],TEallowed[Team],0)),"0")</f>
        <v>0</v>
      </c>
      <c r="AR54" s="14">
        <f>IFERROR(INDEX(TEstats1[Rec TD],MATCH(TEmatchups[[#This Row],[Name]],TEstats1[Player],0)),"0")</f>
        <v>5.0999999999999997E-2</v>
      </c>
      <c r="AS54" s="14" t="str">
        <f>IFERROR(INDEX(TEstats2[RecTD],MATCH(TEmatchups[[#This Row],[Name]],TEstats2[Player],0)),"0")</f>
        <v>0</v>
      </c>
      <c r="AT54" s="14">
        <f>IFERROR(INDEX(TEstats3[RecTD],MATCH(TEmatchups[[#This Row],[Name]],TEstats3[Player],0)),"0")</f>
        <v>0</v>
      </c>
      <c r="AU54" s="32" t="str">
        <f>IFERROR(INDEX(TEallowed[TD],MATCH(TEmatchups[[#This Row],[Opp]],TEallowed[Team],0)),"0")</f>
        <v>0</v>
      </c>
      <c r="AV54" s="32">
        <f>IF(TEmatchups[[#This Row],[Yards]]&gt;=100,3,0)</f>
        <v>0</v>
      </c>
    </row>
    <row r="55" spans="1:48" ht="15" thickBot="1" x14ac:dyDescent="0.35">
      <c r="A55" s="37">
        <f>TEstats1!AL48</f>
        <v>1.5</v>
      </c>
      <c r="B55" s="5" t="str">
        <f>TEstats1!D48</f>
        <v>Jace Amaro</v>
      </c>
      <c r="C55" s="172">
        <f>IFERROR(INDEX(Salaries[DraftKings (Price)],MATCH(TEmatchups[[#This Row],[Name]],Salaries[Player],0)),"")</f>
        <v>2600</v>
      </c>
      <c r="D55" s="172">
        <f>IFERROR(INDEX(DK_Salary_Changes[WeekChange],MATCH(TEmatchups[[#This Row],[Name]],DK_Salary_Changes[Player],0)),"")</f>
        <v>100</v>
      </c>
      <c r="E55" s="14" t="str">
        <f>IFERROR(INDEX(Salaries[Team],MATCH(TEmatchups[[#This Row],[Name]],Salaries[Player],0)),"")</f>
        <v>TEN</v>
      </c>
      <c r="F55" s="14" t="str">
        <f>IFERROR(INDEX(Salaries[Opp],MATCH(TEmatchups[[#This Row],[Team]],Salaries[Team],0)),"")</f>
        <v>@HOU</v>
      </c>
      <c r="G55" s="457" t="str">
        <f>IFERROR(INDEX(TightEndYTD[Rec],MATCH(TEmatchups[Name],TightEndYTD[Player],0)),"0")</f>
        <v>0</v>
      </c>
      <c r="H55" s="191">
        <f>IFERROR(INDEX(targettracker54[TTL],MATCH(TEmatchups[Name],targettracker54[Name],0)),"0")</f>
        <v>4</v>
      </c>
      <c r="I55" s="458" t="str">
        <f>IFERROR(INDEX(TightEndYTD[Rec Yds],MATCH(TEmatchups[Name],TightEndYTD[Player],0)),"0")</f>
        <v>0</v>
      </c>
      <c r="J55" s="459" t="str">
        <f>IFERROR(INDEX(TightEndYTD[Rec TD],MATCH(TEmatchups[Name],TightEndYTD[Player],0)),"0")</f>
        <v>0</v>
      </c>
      <c r="K55" s="431">
        <f>IFERROR(INDEX(Salaries[O/U],MATCH(TEmatchups[[#This Row],[Team]],Salaries[Team],0)),"")</f>
        <v>40.5</v>
      </c>
      <c r="L55" s="32">
        <f>IFERROR(INDEX(Salaries[Team O/U],MATCH(TEmatchups[[#This Row],[Team]],Salaries[Team],0)),"")</f>
        <v>17</v>
      </c>
      <c r="M55" s="417">
        <f>IFERROR(INDEX(Salaries[Spread],MATCH(TEmatchups[[#This Row],[Team]],Salaries[Team],0)),"")</f>
        <v>6.5</v>
      </c>
      <c r="N55" s="424">
        <f>IFERROR(INDEX(TEallowed[DVP],MATCH(TEmatchups[[#This Row],[Opp]],TEallowed[Team],0)),IFERROR(INDEX(TEallowed[DVP],MATCH(TEmatchups[[#This Row],[Opp]],TEallowed[Opp],0)),""))</f>
        <v>11</v>
      </c>
      <c r="O55" s="17">
        <f>IFERROR(INDEX(YAtCData[YAtC],MATCH(TEmatchups[[#This Row],[Name]],YAtCData[Player],0)),"0")</f>
        <v>44</v>
      </c>
      <c r="P55" s="497">
        <f>IFERROR(INDEX(YAtCData[YAtC/Rec],MATCH(TEmatchups[[#This Row],[Name]],YAtCData[Player],0)),"0")</f>
        <v>14.67</v>
      </c>
      <c r="Q55" s="17">
        <f>IFERROR(INDEX(YAtCData[YAC],MATCH(TEmatchups[[#This Row],[Name]],YAtCData[Player],0)),"0")</f>
        <v>15</v>
      </c>
      <c r="R55" s="497">
        <f>IFERROR(INDEX(YACDATA[YAC per Reception],MATCH(TEmatchups[[#This Row],[Name]],YACDATA[Player],0)),"0")</f>
        <v>5</v>
      </c>
      <c r="S55" s="418">
        <f>AVERAGE(TEmatchups[[#This Row],[Tar1]:[Tar3]])</f>
        <v>0.3</v>
      </c>
      <c r="T55" s="19">
        <f>AVERAGE(TEmatchups[[#This Row],[Rec1]:[Rec3]])</f>
        <v>0.82933333333333337</v>
      </c>
      <c r="U55" s="202">
        <f>SUM(TEmatchups[[#This Row],[Rec4]]/TEmatchups[[#This Row],[Targets2]])</f>
        <v>2.7644444444444445</v>
      </c>
      <c r="V55" s="32">
        <f>AVERAGE(TEmatchups[[#This Row],[Yards1]:[Yards3]])</f>
        <v>9.4243333333333332</v>
      </c>
      <c r="W55" s="19">
        <f>SUM(TEmatchups[[#This Row],[Yards]]/TEmatchups[[#This Row],[Targets2]])</f>
        <v>31.414444444444445</v>
      </c>
      <c r="X55" s="32">
        <f>AVERAGE(TEmatchups[[#This Row],[TD1]:[TD3]])</f>
        <v>5.0000000000000001E-3</v>
      </c>
      <c r="Y55" s="14">
        <v>49</v>
      </c>
      <c r="Z55" s="19">
        <f>SUM(TEmatchups[[#This Row],[Yards]]*0.1)+(TEmatchups[[#This Row],[TD]]*6)+(TEmatchups[[#This Row],[Rec4]]*1)+(TEmatchups[[#This Row],[100+]])</f>
        <v>1.8017666666666667</v>
      </c>
      <c r="AA55" s="8">
        <f>_xlfn.RANK.EQ(TEmatchups[[#This Row],[$/FP]],TEmatchups[$/FP],1)</f>
        <v>47</v>
      </c>
      <c r="AB55" s="484">
        <f>SUM(TEmatchups[[#This Row],[Salary]]/TEmatchups[[#This Row],[Projection]])</f>
        <v>1443.0281390487114</v>
      </c>
      <c r="AC55" s="482">
        <f>_xlfn.RANK.EQ(TEmatchups[[#This Row],[Average2]],TEmatchups[Average2],1)</f>
        <v>46</v>
      </c>
      <c r="AD55" s="241">
        <f>AVERAGE(TEmatchups[[#This Row],[Proj Rank]],TEmatchups[[#This Row],[Value Rank]])</f>
        <v>48</v>
      </c>
      <c r="AE55" s="210">
        <f>TEmatchups[[#This Row],[Salary]]/50000</f>
        <v>5.1999999999999998E-2</v>
      </c>
      <c r="AF55" s="210"/>
      <c r="AG55" s="14">
        <f>IFERROR(INDEX(TEstats3[Targets],MATCH(TEmatchups[[#This Row],[Name]],TEstats3[Player],0)),"0")</f>
        <v>0.3</v>
      </c>
      <c r="AH55" s="14" t="str">
        <f>IFERROR(INDEX(TEstats2[Targets],MATCH(TEmatchups[[#This Row],[Name]],TEstats2[Player],0)),"0")</f>
        <v>0</v>
      </c>
      <c r="AI55" s="14">
        <f>IFERROR(INDEX(TEstats3[Targets],MATCH(TEmatchups[[#This Row],[Name]],TEstats3[Player],0)),"0")</f>
        <v>0.3</v>
      </c>
      <c r="AJ55" s="14">
        <f>IFERROR(INDEX(TEstats1[Rec],MATCH(TEmatchups[[#This Row],[Name]],TEstats1[Player],0)),"0")</f>
        <v>0.88800000000000001</v>
      </c>
      <c r="AK55" s="14">
        <f>IFERROR(INDEX(TEstats2[Rec],MATCH(TEmatchups[[#This Row],[Name]],TEstats2[Player],0)),"0")</f>
        <v>1.4</v>
      </c>
      <c r="AL55" s="14">
        <f>IFERROR(INDEX(TEstats3[Rec],MATCH(TEmatchups[[#This Row],[Name]],TEstats3[Player],0)),"0")</f>
        <v>0.2</v>
      </c>
      <c r="AM55" s="32" t="str">
        <f>IFERROR(INDEX(TEallowed[Rec],MATCH(TEmatchups[[#This Row],[Opp]],TEallowed[Team],0)),"0")</f>
        <v>0</v>
      </c>
      <c r="AN55" s="14">
        <f>IFERROR(INDEX(TEstats1[Rec Yds],MATCH(TEmatchups[[#This Row],[Name]],TEstats1[Player],0)),"0")</f>
        <v>10.372999999999999</v>
      </c>
      <c r="AO55" s="14">
        <f>IFERROR(INDEX(TEstats2[RecYards],MATCH(TEmatchups[[#This Row],[Name]],TEstats2[Player],0)),"0")</f>
        <v>15.9</v>
      </c>
      <c r="AP55" s="14">
        <f>IFERROR(INDEX(TEstats3[RecYards],MATCH(TEmatchups[[#This Row],[Name]],TEstats3[Player],0)),"0")</f>
        <v>2</v>
      </c>
      <c r="AQ55" s="32" t="str">
        <f>IFERROR(INDEX(TEallowed[Yard],MATCH(TEmatchups[[#This Row],[Opp]],TEallowed[Team],0)),"0")</f>
        <v>0</v>
      </c>
      <c r="AR55" s="14">
        <f>IFERROR(INDEX(TEstats1[Rec TD],MATCH(TEmatchups[[#This Row],[Name]],TEstats1[Player],0)),"0")</f>
        <v>0.01</v>
      </c>
      <c r="AS55" s="14" t="str">
        <f>IFERROR(INDEX(TEstats2[RecTD],MATCH(TEmatchups[[#This Row],[Name]],TEstats2[Player],0)),"0")</f>
        <v>0.1</v>
      </c>
      <c r="AT55" s="14">
        <f>IFERROR(INDEX(TEstats3[RecTD],MATCH(TEmatchups[[#This Row],[Name]],TEstats3[Player],0)),"0")</f>
        <v>0</v>
      </c>
      <c r="AU55" s="32" t="str">
        <f>IFERROR(INDEX(TEallowed[TD],MATCH(TEmatchups[[#This Row],[Opp]],TEallowed[Team],0)),"0")</f>
        <v>0</v>
      </c>
      <c r="AV55" s="32">
        <f>IF(TEmatchups[[#This Row],[Yards]]&gt;=100,3,0)</f>
        <v>0</v>
      </c>
    </row>
    <row r="56" spans="1:48" ht="15" thickBot="1" x14ac:dyDescent="0.35">
      <c r="A56" s="37">
        <f>TEstats1!AL49</f>
        <v>1.4</v>
      </c>
      <c r="B56" s="5" t="str">
        <f>TEstats1!D49</f>
        <v>Luke Willson</v>
      </c>
      <c r="C56" s="172">
        <f>IFERROR(INDEX(Salaries[DraftKings (Price)],MATCH(TEmatchups[[#This Row],[Name]],Salaries[Player],0)),"")</f>
        <v>2500</v>
      </c>
      <c r="D56" s="172">
        <f>IFERROR(INDEX(DK_Salary_Changes[WeekChange],MATCH(TEmatchups[[#This Row],[Name]],DK_Salary_Changes[Player],0)),"")</f>
        <v>0</v>
      </c>
      <c r="E56" s="14" t="str">
        <f>IFERROR(INDEX(Salaries[Team],MATCH(TEmatchups[[#This Row],[Name]],Salaries[Player],0)),"")</f>
        <v>SEA</v>
      </c>
      <c r="F56" s="14" t="str">
        <f>IFERROR(INDEX(Salaries[Opp],MATCH(TEmatchups[[#This Row],[Team]],Salaries[Team],0)),"")</f>
        <v>@NYJ</v>
      </c>
      <c r="G56" s="457" t="str">
        <f>IFERROR(INDEX(TightEndYTD[Rec],MATCH(TEmatchups[Name],TightEndYTD[Player],0)),"0")</f>
        <v>0</v>
      </c>
      <c r="H56" s="191">
        <f>IFERROR(INDEX(targettracker54[TTL],MATCH(TEmatchups[Name],targettracker54[Name],0)),"0")</f>
        <v>8</v>
      </c>
      <c r="I56" s="458" t="str">
        <f>IFERROR(INDEX(TightEndYTD[Rec Yds],MATCH(TEmatchups[Name],TightEndYTD[Player],0)),"0")</f>
        <v>0</v>
      </c>
      <c r="J56" s="459" t="str">
        <f>IFERROR(INDEX(TightEndYTD[Rec TD],MATCH(TEmatchups[Name],TightEndYTD[Player],0)),"0")</f>
        <v>0</v>
      </c>
      <c r="K56" s="431">
        <f>IFERROR(INDEX(Salaries[O/U],MATCH(TEmatchups[[#This Row],[Team]],Salaries[Team],0)),"")</f>
        <v>40.5</v>
      </c>
      <c r="L56" s="32">
        <f>IFERROR(INDEX(Salaries[Team O/U],MATCH(TEmatchups[[#This Row],[Team]],Salaries[Team],0)),"")</f>
        <v>21</v>
      </c>
      <c r="M56" s="417">
        <f>IFERROR(INDEX(Salaries[Spread],MATCH(TEmatchups[[#This Row],[Team]],Salaries[Team],0)),"")</f>
        <v>-1.5</v>
      </c>
      <c r="N56" s="424">
        <f>IFERROR(INDEX(TEallowed[DVP],MATCH(TEmatchups[[#This Row],[Opp]],TEallowed[Team],0)),IFERROR(INDEX(TEallowed[DVP],MATCH(TEmatchups[[#This Row],[Opp]],TEallowed[Opp],0)),""))</f>
        <v>3</v>
      </c>
      <c r="O56" s="17">
        <f>IFERROR(INDEX(YAtCData[YAtC],MATCH(TEmatchups[[#This Row],[Name]],YAtCData[Player],0)),"0")</f>
        <v>22</v>
      </c>
      <c r="P56" s="497">
        <f>IFERROR(INDEX(YAtCData[YAtC/Rec],MATCH(TEmatchups[[#This Row],[Name]],YAtCData[Player],0)),"0")</f>
        <v>4.4000000000000004</v>
      </c>
      <c r="Q56" s="17">
        <f>IFERROR(INDEX(YAtCData[YAC],MATCH(TEmatchups[[#This Row],[Name]],YAtCData[Player],0)),"0")</f>
        <v>19</v>
      </c>
      <c r="R56" s="497">
        <f>IFERROR(INDEX(YACDATA[YAC per Reception],MATCH(TEmatchups[[#This Row],[Name]],YACDATA[Player],0)),"0")</f>
        <v>3.8</v>
      </c>
      <c r="S56" s="418">
        <f>AVERAGE(TEmatchups[[#This Row],[Tar1]:[Tar3]])</f>
        <v>1.5</v>
      </c>
      <c r="T56" s="19">
        <f>AVERAGE(TEmatchups[[#This Row],[Rec1]:[Rec3]])</f>
        <v>1.0963333333333334</v>
      </c>
      <c r="U56" s="202">
        <f>SUM(TEmatchups[[#This Row],[Rec4]]/TEmatchups[[#This Row],[Targets2]])</f>
        <v>0.73088888888888892</v>
      </c>
      <c r="V56" s="32">
        <f>AVERAGE(TEmatchups[[#This Row],[Yards1]:[Yards3]])</f>
        <v>10.829333333333333</v>
      </c>
      <c r="W56" s="19">
        <f>SUM(TEmatchups[[#This Row],[Yards]]/TEmatchups[[#This Row],[Targets2]])</f>
        <v>7.2195555555555551</v>
      </c>
      <c r="X56" s="32">
        <f>AVERAGE(TEmatchups[[#This Row],[TD1]:[TD3]])</f>
        <v>5.7000000000000002E-2</v>
      </c>
      <c r="Y56" s="14">
        <v>50</v>
      </c>
      <c r="Z56" s="19">
        <f>SUM(TEmatchups[[#This Row],[Yards]]*0.1)+(TEmatchups[[#This Row],[TD]]*6)+(TEmatchups[[#This Row],[Rec4]]*1)+(TEmatchups[[#This Row],[100+]])</f>
        <v>2.5212666666666665</v>
      </c>
      <c r="AA56" s="8">
        <f>_xlfn.RANK.EQ(TEmatchups[[#This Row],[$/FP]],TEmatchups[$/FP],1)</f>
        <v>42</v>
      </c>
      <c r="AB56" s="484">
        <f>SUM(TEmatchups[[#This Row],[Salary]]/TEmatchups[[#This Row],[Projection]])</f>
        <v>991.5650863322669</v>
      </c>
      <c r="AC56" s="482">
        <f>_xlfn.RANK.EQ(TEmatchups[[#This Row],[Average2]],TEmatchups[Average2],1)</f>
        <v>45</v>
      </c>
      <c r="AD56" s="241">
        <f>AVERAGE(TEmatchups[[#This Row],[Proj Rank]],TEmatchups[[#This Row],[Value Rank]])</f>
        <v>46</v>
      </c>
      <c r="AE56" s="210">
        <f>TEmatchups[[#This Row],[Salary]]/50000</f>
        <v>0.05</v>
      </c>
      <c r="AF56" s="210"/>
      <c r="AG56" s="14">
        <f>IFERROR(INDEX(TEstats3[Targets],MATCH(TEmatchups[[#This Row],[Name]],TEstats3[Player],0)),"0")</f>
        <v>1.5</v>
      </c>
      <c r="AH56" s="14" t="str">
        <f>IFERROR(INDEX(TEstats2[Targets],MATCH(TEmatchups[[#This Row],[Name]],TEstats2[Player],0)),"0")</f>
        <v>0</v>
      </c>
      <c r="AI56" s="14">
        <f>IFERROR(INDEX(TEstats3[Targets],MATCH(TEmatchups[[#This Row],[Name]],TEstats3[Player],0)),"0")</f>
        <v>1.5</v>
      </c>
      <c r="AJ56" s="14">
        <f>IFERROR(INDEX(TEstats1[Rec],MATCH(TEmatchups[[#This Row],[Name]],TEstats1[Player],0)),"0")</f>
        <v>0.98899999999999999</v>
      </c>
      <c r="AK56" s="14">
        <f>IFERROR(INDEX(TEstats2[Rec],MATCH(TEmatchups[[#This Row],[Name]],TEstats2[Player],0)),"0")</f>
        <v>1.3</v>
      </c>
      <c r="AL56" s="14">
        <f>IFERROR(INDEX(TEstats3[Rec],MATCH(TEmatchups[[#This Row],[Name]],TEstats3[Player],0)),"0")</f>
        <v>1</v>
      </c>
      <c r="AM56" s="32" t="str">
        <f>IFERROR(INDEX(TEallowed[Rec],MATCH(TEmatchups[[#This Row],[Opp]],TEallowed[Team],0)),"0")</f>
        <v>0</v>
      </c>
      <c r="AN56" s="14">
        <f>IFERROR(INDEX(TEstats1[Rec Yds],MATCH(TEmatchups[[#This Row],[Name]],TEstats1[Player],0)),"0")</f>
        <v>8.4879999999999995</v>
      </c>
      <c r="AO56" s="14">
        <f>IFERROR(INDEX(TEstats2[RecYards],MATCH(TEmatchups[[#This Row],[Name]],TEstats2[Player],0)),"0")</f>
        <v>13.4</v>
      </c>
      <c r="AP56" s="14">
        <f>IFERROR(INDEX(TEstats3[RecYards],MATCH(TEmatchups[[#This Row],[Name]],TEstats3[Player],0)),"0")</f>
        <v>10.6</v>
      </c>
      <c r="AQ56" s="32" t="str">
        <f>IFERROR(INDEX(TEallowed[Yard],MATCH(TEmatchups[[#This Row],[Opp]],TEallowed[Team],0)),"0")</f>
        <v>0</v>
      </c>
      <c r="AR56" s="14">
        <f>IFERROR(INDEX(TEstats1[Rec TD],MATCH(TEmatchups[[#This Row],[Name]],TEstats1[Player],0)),"0")</f>
        <v>1.4E-2</v>
      </c>
      <c r="AS56" s="14" t="str">
        <f>IFERROR(INDEX(TEstats2[RecTD],MATCH(TEmatchups[[#This Row],[Name]],TEstats2[Player],0)),"0")</f>
        <v>0.1</v>
      </c>
      <c r="AT56" s="14">
        <f>IFERROR(INDEX(TEstats3[RecTD],MATCH(TEmatchups[[#This Row],[Name]],TEstats3[Player],0)),"0")</f>
        <v>0.1</v>
      </c>
      <c r="AU56" s="32" t="str">
        <f>IFERROR(INDEX(TEallowed[TD],MATCH(TEmatchups[[#This Row],[Opp]],TEallowed[Team],0)),"0")</f>
        <v>0</v>
      </c>
      <c r="AV56" s="32">
        <f>IF(TEmatchups[[#This Row],[Yards]]&gt;=100,3,0)</f>
        <v>0</v>
      </c>
    </row>
    <row r="57" spans="1:48" ht="15" thickBot="1" x14ac:dyDescent="0.35">
      <c r="A57" s="37">
        <f>TEstats1!AL50</f>
        <v>1</v>
      </c>
      <c r="B57" s="5" t="str">
        <f>TEstats1!D50</f>
        <v>Niles Paul</v>
      </c>
      <c r="C57" s="172">
        <f>IFERROR(INDEX(Salaries[DraftKings (Price)],MATCH(TEmatchups[[#This Row],[Name]],Salaries[Player],0)),"")</f>
        <v>2500</v>
      </c>
      <c r="D57" s="172">
        <f>IFERROR(INDEX(DK_Salary_Changes[WeekChange],MATCH(TEmatchups[[#This Row],[Name]],DK_Salary_Changes[Player],0)),"")</f>
        <v>0</v>
      </c>
      <c r="E57" s="14" t="str">
        <f>IFERROR(INDEX(Salaries[Team],MATCH(TEmatchups[[#This Row],[Name]],Salaries[Player],0)),"")</f>
        <v>WAS</v>
      </c>
      <c r="F57" s="14" t="str">
        <f>IFERROR(INDEX(Salaries[Opp],MATCH(TEmatchups[[#This Row],[Team]],Salaries[Team],0)),"")</f>
        <v>CLE</v>
      </c>
      <c r="G57" s="457" t="str">
        <f>IFERROR(INDEX(TightEndYTD[Rec],MATCH(TEmatchups[Name],TightEndYTD[Player],0)),"0")</f>
        <v>0</v>
      </c>
      <c r="H57" s="191">
        <f>IFERROR(INDEX(targettracker54[TTL],MATCH(TEmatchups[Name],targettracker54[Name],0)),"0")</f>
        <v>1</v>
      </c>
      <c r="I57" s="458" t="str">
        <f>IFERROR(INDEX(TightEndYTD[Rec Yds],MATCH(TEmatchups[Name],TightEndYTD[Player],0)),"0")</f>
        <v>0</v>
      </c>
      <c r="J57" s="459" t="str">
        <f>IFERROR(INDEX(TightEndYTD[Rec TD],MATCH(TEmatchups[Name],TightEndYTD[Player],0)),"0")</f>
        <v>0</v>
      </c>
      <c r="K57" s="431">
        <f>IFERROR(INDEX(Salaries[O/U],MATCH(TEmatchups[[#This Row],[Team]],Salaries[Team],0)),"")</f>
        <v>45.5</v>
      </c>
      <c r="L57" s="32">
        <f>IFERROR(INDEX(Salaries[Team O/U],MATCH(TEmatchups[[#This Row],[Team]],Salaries[Team],0)),"")</f>
        <v>26.75</v>
      </c>
      <c r="M57" s="417">
        <f>IFERROR(INDEX(Salaries[Spread],MATCH(TEmatchups[[#This Row],[Team]],Salaries[Team],0)),"")</f>
        <v>-8</v>
      </c>
      <c r="N57" s="424">
        <f>IFERROR(INDEX(TEallowed[DVP],MATCH(TEmatchups[[#This Row],[Opp]],TEallowed[Team],0)),IFERROR(INDEX(TEallowed[DVP],MATCH(TEmatchups[[#This Row],[Opp]],TEallowed[Opp],0)),""))</f>
        <v>14</v>
      </c>
      <c r="O57" s="17" t="str">
        <f>IFERROR(INDEX(YAtCData[YAtC],MATCH(TEmatchups[[#This Row],[Name]],YAtCData[Player],0)),"0")</f>
        <v>0</v>
      </c>
      <c r="P57" s="497" t="str">
        <f>IFERROR(INDEX(YAtCData[YAtC/Rec],MATCH(TEmatchups[[#This Row],[Name]],YAtCData[Player],0)),"0")</f>
        <v>0</v>
      </c>
      <c r="Q57" s="17" t="str">
        <f>IFERROR(INDEX(YAtCData[YAC],MATCH(TEmatchups[[#This Row],[Name]],YAtCData[Player],0)),"0")</f>
        <v>0</v>
      </c>
      <c r="R57" s="497">
        <f>IFERROR(INDEX(YACDATA[YAC per Reception],MATCH(TEmatchups[[#This Row],[Name]],YACDATA[Player],0)),"0")</f>
        <v>14</v>
      </c>
      <c r="S57" s="418">
        <f>AVERAGE(TEmatchups[[#This Row],[Tar1]:[Tar3]])</f>
        <v>0.3</v>
      </c>
      <c r="T57" s="19">
        <f>AVERAGE(TEmatchups[[#This Row],[Rec1]:[Rec3]])</f>
        <v>0.28249999999999997</v>
      </c>
      <c r="U57" s="202">
        <f>SUM(TEmatchups[[#This Row],[Rec4]]/TEmatchups[[#This Row],[Targets2]])</f>
        <v>0.94166666666666665</v>
      </c>
      <c r="V57" s="32">
        <f>AVERAGE(TEmatchups[[#This Row],[Yards1]:[Yards3]])</f>
        <v>4.0410000000000004</v>
      </c>
      <c r="W57" s="19">
        <f>SUM(TEmatchups[[#This Row],[Yards]]/TEmatchups[[#This Row],[Targets2]])</f>
        <v>13.470000000000002</v>
      </c>
      <c r="X57" s="32">
        <f>AVERAGE(TEmatchups[[#This Row],[TD1]:[TD3]])</f>
        <v>1.95E-2</v>
      </c>
      <c r="Y57" s="14">
        <v>51</v>
      </c>
      <c r="Z57" s="19">
        <f>SUM(TEmatchups[[#This Row],[Yards]]*0.1)+(TEmatchups[[#This Row],[TD]]*6)+(TEmatchups[[#This Row],[Rec4]]*1)+(TEmatchups[[#This Row],[100+]])</f>
        <v>0.80360000000000009</v>
      </c>
      <c r="AA57" s="8">
        <f>_xlfn.RANK.EQ(TEmatchups[[#This Row],[$/FP]],TEmatchups[$/FP],1)</f>
        <v>57</v>
      </c>
      <c r="AB57" s="484">
        <f>SUM(TEmatchups[[#This Row],[Salary]]/TEmatchups[[#This Row],[Projection]])</f>
        <v>3111.0004977600793</v>
      </c>
      <c r="AC57" s="482">
        <f>_xlfn.RANK.EQ(TEmatchups[[#This Row],[Average2]],TEmatchups[Average2],1)</f>
        <v>52</v>
      </c>
      <c r="AD57" s="241">
        <f>AVERAGE(TEmatchups[[#This Row],[Proj Rank]],TEmatchups[[#This Row],[Value Rank]])</f>
        <v>54</v>
      </c>
      <c r="AE57" s="210">
        <f>TEmatchups[[#This Row],[Salary]]/50000</f>
        <v>0.05</v>
      </c>
      <c r="AF57" s="210"/>
      <c r="AG57" s="14">
        <f>IFERROR(INDEX(TEstats3[Targets],MATCH(TEmatchups[[#This Row],[Name]],TEstats3[Player],0)),"0")</f>
        <v>0.3</v>
      </c>
      <c r="AH57" s="14" t="str">
        <f>IFERROR(INDEX(TEstats2[Targets],MATCH(TEmatchups[[#This Row],[Name]],TEstats2[Player],0)),"0")</f>
        <v>0</v>
      </c>
      <c r="AI57" s="14">
        <f>IFERROR(INDEX(TEstats3[Targets],MATCH(TEmatchups[[#This Row],[Name]],TEstats3[Player],0)),"0")</f>
        <v>0.3</v>
      </c>
      <c r="AJ57" s="14">
        <f>IFERROR(INDEX(TEstats1[Rec],MATCH(TEmatchups[[#This Row],[Name]],TEstats1[Player],0)),"0")</f>
        <v>0.36499999999999999</v>
      </c>
      <c r="AK57" s="14" t="str">
        <f>IFERROR(INDEX(TEstats2[Rec],MATCH(TEmatchups[[#This Row],[Name]],TEstats2[Player],0)),"0")</f>
        <v>0</v>
      </c>
      <c r="AL57" s="14">
        <f>IFERROR(INDEX(TEstats3[Rec],MATCH(TEmatchups[[#This Row],[Name]],TEstats3[Player],0)),"0")</f>
        <v>0.2</v>
      </c>
      <c r="AM57" s="32">
        <f>IFERROR(INDEX(TEallowed[Rec],MATCH(TEmatchups[[#This Row],[Opp]],TEallowed[Team],0)),"0")</f>
        <v>5.5</v>
      </c>
      <c r="AN57" s="14">
        <f>IFERROR(INDEX(TEstats1[Rec Yds],MATCH(TEmatchups[[#This Row],[Name]],TEstats1[Player],0)),"0")</f>
        <v>5.782</v>
      </c>
      <c r="AO57" s="14" t="str">
        <f>IFERROR(INDEX(TEstats2[RecYards],MATCH(TEmatchups[[#This Row],[Name]],TEstats2[Player],0)),"0")</f>
        <v>0</v>
      </c>
      <c r="AP57" s="14">
        <f>IFERROR(INDEX(TEstats3[RecYards],MATCH(TEmatchups[[#This Row],[Name]],TEstats3[Player],0)),"0")</f>
        <v>2.2999999999999998</v>
      </c>
      <c r="AQ57" s="32">
        <f>IFERROR(INDEX(TEallowed[Yard],MATCH(TEmatchups[[#This Row],[Opp]],TEallowed[Team],0)),"0")</f>
        <v>58.1875</v>
      </c>
      <c r="AR57" s="14">
        <f>IFERROR(INDEX(TEstats1[Rec TD],MATCH(TEmatchups[[#This Row],[Name]],TEstats1[Player],0)),"0")</f>
        <v>3.9E-2</v>
      </c>
      <c r="AS57" s="14" t="str">
        <f>IFERROR(INDEX(TEstats2[RecTD],MATCH(TEmatchups[[#This Row],[Name]],TEstats2[Player],0)),"0")</f>
        <v>0</v>
      </c>
      <c r="AT57" s="14">
        <f>IFERROR(INDEX(TEstats3[RecTD],MATCH(TEmatchups[[#This Row],[Name]],TEstats3[Player],0)),"0")</f>
        <v>0</v>
      </c>
      <c r="AU57" s="32">
        <f>IFERROR(INDEX(TEallowed[TD],MATCH(TEmatchups[[#This Row],[Opp]],TEallowed[Team],0)),"0")</f>
        <v>0.5</v>
      </c>
      <c r="AV57" s="32">
        <f>IF(TEmatchups[[#This Row],[Yards]]&gt;=100,3,0)</f>
        <v>0</v>
      </c>
    </row>
    <row r="58" spans="1:48" ht="15" thickBot="1" x14ac:dyDescent="0.35">
      <c r="A58" s="37">
        <f>TEstats1!AL51</f>
        <v>1</v>
      </c>
      <c r="B58" s="5" t="str">
        <f>TEstats1!D51</f>
        <v>Cole Wick</v>
      </c>
      <c r="C58" s="172">
        <f>IFERROR(INDEX(Salaries[DraftKings (Price)],MATCH(TEmatchups[[#This Row],[Name]],Salaries[Player],0)),"")</f>
        <v>2500</v>
      </c>
      <c r="D58" s="172">
        <f>IFERROR(INDEX(DK_Salary_Changes[WeekChange],MATCH(TEmatchups[[#This Row],[Name]],DK_Salary_Changes[Player],0)),"")</f>
        <v>0</v>
      </c>
      <c r="E58" s="14" t="str">
        <f>IFERROR(INDEX(Salaries[Team],MATCH(TEmatchups[[#This Row],[Name]],Salaries[Player],0)),"")</f>
        <v>DET</v>
      </c>
      <c r="F58" s="14" t="str">
        <f>IFERROR(INDEX(Salaries[Opp],MATCH(TEmatchups[[#This Row],[Team]],Salaries[Team],0)),"")</f>
        <v>@CHI</v>
      </c>
      <c r="G58" s="457" t="str">
        <f>IFERROR(INDEX(TightEndYTD[Rec],MATCH(TEmatchups[Name],TightEndYTD[Player],0)),"0")</f>
        <v>0</v>
      </c>
      <c r="H58" s="191">
        <f>IFERROR(INDEX(targettracker54[TTL],MATCH(TEmatchups[Name],targettracker54[Name],0)),"0")</f>
        <v>2</v>
      </c>
      <c r="I58" s="458" t="str">
        <f>IFERROR(INDEX(TightEndYTD[Rec Yds],MATCH(TEmatchups[Name],TightEndYTD[Player],0)),"0")</f>
        <v>0</v>
      </c>
      <c r="J58" s="459" t="str">
        <f>IFERROR(INDEX(TightEndYTD[Rec TD],MATCH(TEmatchups[Name],TightEndYTD[Player],0)),"0")</f>
        <v>0</v>
      </c>
      <c r="K58" s="431">
        <f>IFERROR(INDEX(Salaries[O/U],MATCH(TEmatchups[[#This Row],[Team]],Salaries[Team],0)),"")</f>
        <v>46.5</v>
      </c>
      <c r="L58" s="32">
        <f>IFERROR(INDEX(Salaries[Team O/U],MATCH(TEmatchups[[#This Row],[Team]],Salaries[Team],0)),"")</f>
        <v>24.75</v>
      </c>
      <c r="M58" s="417">
        <f>IFERROR(INDEX(Salaries[Spread],MATCH(TEmatchups[[#This Row],[Team]],Salaries[Team],0)),"")</f>
        <v>-3</v>
      </c>
      <c r="N58" s="424">
        <f>IFERROR(INDEX(TEallowed[DVP],MATCH(TEmatchups[[#This Row],[Opp]],TEallowed[Team],0)),IFERROR(INDEX(TEallowed[DVP],MATCH(TEmatchups[[#This Row],[Opp]],TEallowed[Opp],0)),""))</f>
        <v>17</v>
      </c>
      <c r="O58" s="17">
        <f>IFERROR(INDEX(YAtCData[YAtC],MATCH(TEmatchups[[#This Row],[Name]],YAtCData[Player],0)),"0")</f>
        <v>9</v>
      </c>
      <c r="P58" s="497">
        <f>IFERROR(INDEX(YAtCData[YAtC/Rec],MATCH(TEmatchups[[#This Row],[Name]],YAtCData[Player],0)),"0")</f>
        <v>4.5</v>
      </c>
      <c r="Q58" s="17">
        <f>IFERROR(INDEX(YAtCData[YAC],MATCH(TEmatchups[[#This Row],[Name]],YAtCData[Player],0)),"0")</f>
        <v>9</v>
      </c>
      <c r="R58" s="497">
        <f>IFERROR(INDEX(YACDATA[YAC per Reception],MATCH(TEmatchups[[#This Row],[Name]],YACDATA[Player],0)),"0")</f>
        <v>4.5</v>
      </c>
      <c r="S58" s="418">
        <f>AVERAGE(TEmatchups[[#This Row],[Tar1]:[Tar3]])</f>
        <v>0.3</v>
      </c>
      <c r="T58" s="19">
        <f>AVERAGE(TEmatchups[[#This Row],[Rec1]:[Rec3]])</f>
        <v>0.59633333333333327</v>
      </c>
      <c r="U58" s="202">
        <f>SUM(TEmatchups[[#This Row],[Rec4]]/TEmatchups[[#This Row],[Targets2]])</f>
        <v>1.9877777777777776</v>
      </c>
      <c r="V58" s="32">
        <f>AVERAGE(TEmatchups[[#This Row],[Yards1]:[Yards3]])</f>
        <v>6.9716666666666676</v>
      </c>
      <c r="W58" s="19">
        <f>SUM(TEmatchups[[#This Row],[Yards]]/TEmatchups[[#This Row],[Targets2]])</f>
        <v>23.238888888888894</v>
      </c>
      <c r="X58" s="32">
        <f>AVERAGE(TEmatchups[[#This Row],[TD1]:[TD3]])</f>
        <v>1.8499999999999999E-2</v>
      </c>
      <c r="Y58" s="14">
        <v>52</v>
      </c>
      <c r="Z58" s="19">
        <f>SUM(TEmatchups[[#This Row],[Yards]]*0.1)+(TEmatchups[[#This Row],[TD]]*6)+(TEmatchups[[#This Row],[Rec4]]*1)+(TEmatchups[[#This Row],[100+]])</f>
        <v>1.4045000000000001</v>
      </c>
      <c r="AA58" s="8">
        <f>_xlfn.RANK.EQ(TEmatchups[[#This Row],[$/FP]],TEmatchups[$/FP],1)</f>
        <v>49</v>
      </c>
      <c r="AB58" s="484">
        <f>SUM(TEmatchups[[#This Row],[Salary]]/TEmatchups[[#This Row],[Projection]])</f>
        <v>1779.9928800284797</v>
      </c>
      <c r="AC58" s="482">
        <f>_xlfn.RANK.EQ(TEmatchups[[#This Row],[Average2]],TEmatchups[Average2],1)</f>
        <v>48</v>
      </c>
      <c r="AD58" s="241">
        <f>AVERAGE(TEmatchups[[#This Row],[Proj Rank]],TEmatchups[[#This Row],[Value Rank]])</f>
        <v>50.5</v>
      </c>
      <c r="AE58" s="210">
        <f>TEmatchups[[#This Row],[Salary]]/50000</f>
        <v>0.05</v>
      </c>
      <c r="AF58" s="210"/>
      <c r="AG58" s="14">
        <f>IFERROR(INDEX(TEstats3[Targets],MATCH(TEmatchups[[#This Row],[Name]],TEstats3[Player],0)),"0")</f>
        <v>0.3</v>
      </c>
      <c r="AH58" s="14" t="str">
        <f>IFERROR(INDEX(TEstats2[Targets],MATCH(TEmatchups[[#This Row],[Name]],TEstats2[Player],0)),"0")</f>
        <v>0</v>
      </c>
      <c r="AI58" s="14">
        <f>IFERROR(INDEX(TEstats3[Targets],MATCH(TEmatchups[[#This Row],[Name]],TEstats3[Player],0)),"0")</f>
        <v>0.3</v>
      </c>
      <c r="AJ58" s="14">
        <f>IFERROR(INDEX(TEstats1[Rec],MATCH(TEmatchups[[#This Row],[Name]],TEstats1[Player],0)),"0")</f>
        <v>0.48899999999999999</v>
      </c>
      <c r="AK58" s="14">
        <f>IFERROR(INDEX(TEstats2[Rec],MATCH(TEmatchups[[#This Row],[Name]],TEstats2[Player],0)),"0")</f>
        <v>1.1000000000000001</v>
      </c>
      <c r="AL58" s="14">
        <f>IFERROR(INDEX(TEstats3[Rec],MATCH(TEmatchups[[#This Row],[Name]],TEstats3[Player],0)),"0")</f>
        <v>0.2</v>
      </c>
      <c r="AM58" s="32" t="str">
        <f>IFERROR(INDEX(TEallowed[Rec],MATCH(TEmatchups[[#This Row],[Opp]],TEallowed[Team],0)),"0")</f>
        <v>0</v>
      </c>
      <c r="AN58" s="14">
        <f>IFERROR(INDEX(TEstats1[Rec Yds],MATCH(TEmatchups[[#This Row],[Name]],TEstats1[Player],0)),"0")</f>
        <v>5.6150000000000002</v>
      </c>
      <c r="AO58" s="14">
        <f>IFERROR(INDEX(TEstats2[RecYards],MATCH(TEmatchups[[#This Row],[Name]],TEstats2[Player],0)),"0")</f>
        <v>13</v>
      </c>
      <c r="AP58" s="14">
        <f>IFERROR(INDEX(TEstats3[RecYards],MATCH(TEmatchups[[#This Row],[Name]],TEstats3[Player],0)),"0")</f>
        <v>2.2999999999999998</v>
      </c>
      <c r="AQ58" s="32" t="str">
        <f>IFERROR(INDEX(TEallowed[Yard],MATCH(TEmatchups[[#This Row],[Opp]],TEallowed[Team],0)),"0")</f>
        <v>0</v>
      </c>
      <c r="AR58" s="14">
        <f>IFERROR(INDEX(TEstats1[Rec TD],MATCH(TEmatchups[[#This Row],[Name]],TEstats1[Player],0)),"0")</f>
        <v>3.6999999999999998E-2</v>
      </c>
      <c r="AS58" s="14" t="str">
        <f>IFERROR(INDEX(TEstats2[RecTD],MATCH(TEmatchups[[#This Row],[Name]],TEstats2[Player],0)),"0")</f>
        <v>0.1</v>
      </c>
      <c r="AT58" s="14">
        <f>IFERROR(INDEX(TEstats3[RecTD],MATCH(TEmatchups[[#This Row],[Name]],TEstats3[Player],0)),"0")</f>
        <v>0</v>
      </c>
      <c r="AU58" s="32" t="str">
        <f>IFERROR(INDEX(TEallowed[TD],MATCH(TEmatchups[[#This Row],[Opp]],TEallowed[Team],0)),"0")</f>
        <v>0</v>
      </c>
      <c r="AV58" s="32">
        <f>IF(TEmatchups[[#This Row],[Yards]]&gt;=100,3,0)</f>
        <v>0</v>
      </c>
    </row>
    <row r="59" spans="1:48" ht="15" thickBot="1" x14ac:dyDescent="0.35">
      <c r="A59" s="37">
        <f>TEstats1!AL52</f>
        <v>0.9</v>
      </c>
      <c r="B59" s="5" t="str">
        <f>TEstats1!D52</f>
        <v>Ed Dickson</v>
      </c>
      <c r="C59" s="172">
        <f>IFERROR(INDEX(Salaries[DraftKings (Price)],MATCH(TEmatchups[[#This Row],[Name]],Salaries[Player],0)),"")</f>
        <v>2500</v>
      </c>
      <c r="D59" s="172">
        <f>IFERROR(INDEX(DK_Salary_Changes[WeekChange],MATCH(TEmatchups[[#This Row],[Name]],DK_Salary_Changes[Player],0)),"")</f>
        <v>0</v>
      </c>
      <c r="E59" s="14" t="str">
        <f>IFERROR(INDEX(Salaries[Team],MATCH(TEmatchups[[#This Row],[Name]],Salaries[Player],0)),"")</f>
        <v>CAR</v>
      </c>
      <c r="F59" s="14" t="str">
        <f>IFERROR(INDEX(Salaries[Opp],MATCH(TEmatchups[[#This Row],[Team]],Salaries[Team],0)),"")</f>
        <v>@ATL</v>
      </c>
      <c r="G59" s="457" t="str">
        <f>IFERROR(INDEX(TightEndYTD[Rec],MATCH(TEmatchups[Name],TightEndYTD[Player],0)),"0")</f>
        <v>0</v>
      </c>
      <c r="H59" s="191">
        <f>IFERROR(INDEX(targettracker54[TTL],MATCH(TEmatchups[Name],targettracker54[Name],0)),"0")</f>
        <v>2</v>
      </c>
      <c r="I59" s="458" t="str">
        <f>IFERROR(INDEX(TightEndYTD[Rec Yds],MATCH(TEmatchups[Name],TightEndYTD[Player],0)),"0")</f>
        <v>0</v>
      </c>
      <c r="J59" s="459" t="str">
        <f>IFERROR(INDEX(TightEndYTD[Rec TD],MATCH(TEmatchups[Name],TightEndYTD[Player],0)),"0")</f>
        <v>0</v>
      </c>
      <c r="K59" s="431">
        <f>IFERROR(INDEX(Salaries[O/U],MATCH(TEmatchups[[#This Row],[Team]],Salaries[Team],0)),"")</f>
        <v>50</v>
      </c>
      <c r="L59" s="32">
        <f>IFERROR(INDEX(Salaries[Team O/U],MATCH(TEmatchups[[#This Row],[Team]],Salaries[Team],0)),"")</f>
        <v>26.5</v>
      </c>
      <c r="M59" s="417">
        <f>IFERROR(INDEX(Salaries[Spread],MATCH(TEmatchups[[#This Row],[Team]],Salaries[Team],0)),"")</f>
        <v>-3</v>
      </c>
      <c r="N59" s="424">
        <f>IFERROR(INDEX(TEallowed[DVP],MATCH(TEmatchups[[#This Row],[Opp]],TEallowed[Team],0)),IFERROR(INDEX(TEallowed[DVP],MATCH(TEmatchups[[#This Row],[Opp]],TEallowed[Opp],0)),""))</f>
        <v>28</v>
      </c>
      <c r="O59" s="17">
        <f>IFERROR(INDEX(YAtCData[YAtC],MATCH(TEmatchups[[#This Row],[Name]],YAtCData[Player],0)),"0")</f>
        <v>20</v>
      </c>
      <c r="P59" s="497">
        <f>IFERROR(INDEX(YAtCData[YAtC/Rec],MATCH(TEmatchups[[#This Row],[Name]],YAtCData[Player],0)),"0")</f>
        <v>20</v>
      </c>
      <c r="Q59" s="17">
        <f>IFERROR(INDEX(YAtCData[YAC],MATCH(TEmatchups[[#This Row],[Name]],YAtCData[Player],0)),"0")</f>
        <v>3</v>
      </c>
      <c r="R59" s="497">
        <f>IFERROR(INDEX(YACDATA[YAC per Reception],MATCH(TEmatchups[[#This Row],[Name]],YACDATA[Player],0)),"0")</f>
        <v>3</v>
      </c>
      <c r="S59" s="418">
        <f>AVERAGE(TEmatchups[[#This Row],[Tar1]:[Tar3]])</f>
        <v>1.4</v>
      </c>
      <c r="T59" s="19">
        <f>AVERAGE(TEmatchups[[#This Row],[Rec1]:[Rec3]])</f>
        <v>0.74</v>
      </c>
      <c r="U59" s="202">
        <f>SUM(TEmatchups[[#This Row],[Rec4]]/TEmatchups[[#This Row],[Targets2]])</f>
        <v>0.52857142857142858</v>
      </c>
      <c r="V59" s="32">
        <f>AVERAGE(TEmatchups[[#This Row],[Yards1]:[Yards3]])</f>
        <v>7.2665000000000006</v>
      </c>
      <c r="W59" s="19">
        <f>SUM(TEmatchups[[#This Row],[Yards]]/TEmatchups[[#This Row],[Targets2]])</f>
        <v>5.1903571428571436</v>
      </c>
      <c r="X59" s="32">
        <f>AVERAGE(TEmatchups[[#This Row],[TD1]:[TD3]])</f>
        <v>5.9500000000000004E-2</v>
      </c>
      <c r="Y59" s="14">
        <v>53</v>
      </c>
      <c r="Z59" s="19">
        <f>SUM(TEmatchups[[#This Row],[Yards]]*0.1)+(TEmatchups[[#This Row],[TD]]*6)+(TEmatchups[[#This Row],[Rec4]]*1)+(TEmatchups[[#This Row],[100+]])</f>
        <v>1.8236500000000002</v>
      </c>
      <c r="AA59" s="8">
        <f>_xlfn.RANK.EQ(TEmatchups[[#This Row],[$/FP]],TEmatchups[$/FP],1)</f>
        <v>45</v>
      </c>
      <c r="AB59" s="484">
        <f>SUM(TEmatchups[[#This Row],[Salary]]/TEmatchups[[#This Row],[Projection]])</f>
        <v>1370.8770871603651</v>
      </c>
      <c r="AC59" s="482">
        <f>_xlfn.RANK.EQ(TEmatchups[[#This Row],[Average2]],TEmatchups[Average2],1)</f>
        <v>47</v>
      </c>
      <c r="AD59" s="241">
        <f>AVERAGE(TEmatchups[[#This Row],[Proj Rank]],TEmatchups[[#This Row],[Value Rank]])</f>
        <v>49</v>
      </c>
      <c r="AE59" s="210">
        <f>TEmatchups[[#This Row],[Salary]]/50000</f>
        <v>0.05</v>
      </c>
      <c r="AF59" s="210"/>
      <c r="AG59" s="14">
        <f>IFERROR(INDEX(TEstats3[Targets],MATCH(TEmatchups[[#This Row],[Name]],TEstats3[Player],0)),"0")</f>
        <v>1.4</v>
      </c>
      <c r="AH59" s="14" t="str">
        <f>IFERROR(INDEX(TEstats2[Targets],MATCH(TEmatchups[[#This Row],[Name]],TEstats2[Player],0)),"0")</f>
        <v>0</v>
      </c>
      <c r="AI59" s="14">
        <f>IFERROR(INDEX(TEstats3[Targets],MATCH(TEmatchups[[#This Row],[Name]],TEstats3[Player],0)),"0")</f>
        <v>1.4</v>
      </c>
      <c r="AJ59" s="14">
        <f>IFERROR(INDEX(TEstats1[Rec],MATCH(TEmatchups[[#This Row],[Name]],TEstats1[Player],0)),"0")</f>
        <v>0.48</v>
      </c>
      <c r="AK59" s="14" t="str">
        <f>IFERROR(INDEX(TEstats2[Rec],MATCH(TEmatchups[[#This Row],[Name]],TEstats2[Player],0)),"0")</f>
        <v>0</v>
      </c>
      <c r="AL59" s="14">
        <f>IFERROR(INDEX(TEstats3[Rec],MATCH(TEmatchups[[#This Row],[Name]],TEstats3[Player],0)),"0")</f>
        <v>1</v>
      </c>
      <c r="AM59" s="32" t="str">
        <f>IFERROR(INDEX(TEallowed[Rec],MATCH(TEmatchups[[#This Row],[Opp]],TEallowed[Team],0)),"0")</f>
        <v>0</v>
      </c>
      <c r="AN59" s="14">
        <f>IFERROR(INDEX(TEstats1[Rec Yds],MATCH(TEmatchups[[#This Row],[Name]],TEstats1[Player],0)),"0")</f>
        <v>5.5330000000000004</v>
      </c>
      <c r="AO59" s="14" t="str">
        <f>IFERROR(INDEX(TEstats2[RecYards],MATCH(TEmatchups[[#This Row],[Name]],TEstats2[Player],0)),"0")</f>
        <v>0</v>
      </c>
      <c r="AP59" s="14">
        <f>IFERROR(INDEX(TEstats3[RecYards],MATCH(TEmatchups[[#This Row],[Name]],TEstats3[Player],0)),"0")</f>
        <v>9</v>
      </c>
      <c r="AQ59" s="32" t="str">
        <f>IFERROR(INDEX(TEallowed[Yard],MATCH(TEmatchups[[#This Row],[Opp]],TEallowed[Team],0)),"0")</f>
        <v>0</v>
      </c>
      <c r="AR59" s="14">
        <f>IFERROR(INDEX(TEstats1[Rec TD],MATCH(TEmatchups[[#This Row],[Name]],TEstats1[Player],0)),"0")</f>
        <v>1.9E-2</v>
      </c>
      <c r="AS59" s="14" t="str">
        <f>IFERROR(INDEX(TEstats2[RecTD],MATCH(TEmatchups[[#This Row],[Name]],TEstats2[Player],0)),"0")</f>
        <v>0</v>
      </c>
      <c r="AT59" s="14">
        <f>IFERROR(INDEX(TEstats3[RecTD],MATCH(TEmatchups[[#This Row],[Name]],TEstats3[Player],0)),"0")</f>
        <v>0.1</v>
      </c>
      <c r="AU59" s="32" t="str">
        <f>IFERROR(INDEX(TEallowed[TD],MATCH(TEmatchups[[#This Row],[Opp]],TEallowed[Team],0)),"0")</f>
        <v>0</v>
      </c>
      <c r="AV59" s="32">
        <f>IF(TEmatchups[[#This Row],[Yards]]&gt;=100,3,0)</f>
        <v>0</v>
      </c>
    </row>
    <row r="60" spans="1:48" ht="15" thickBot="1" x14ac:dyDescent="0.35">
      <c r="A60" s="37">
        <f>TEstats1!AL53</f>
        <v>0.9</v>
      </c>
      <c r="B60" s="5" t="str">
        <f>TEstats1!D53</f>
        <v>C.J. Fiedorowicz</v>
      </c>
      <c r="C60" s="172">
        <f>IFERROR(INDEX(Salaries[DraftKings (Price)],MATCH(TEmatchups[[#This Row],[Name]],Salaries[Player],0)),"")</f>
        <v>2500</v>
      </c>
      <c r="D60" s="172">
        <f>IFERROR(INDEX(DK_Salary_Changes[WeekChange],MATCH(TEmatchups[[#This Row],[Name]],DK_Salary_Changes[Player],0)),"")</f>
        <v>0</v>
      </c>
      <c r="E60" s="14" t="str">
        <f>IFERROR(INDEX(Salaries[Team],MATCH(TEmatchups[[#This Row],[Name]],Salaries[Player],0)),"")</f>
        <v>HOU</v>
      </c>
      <c r="F60" s="14" t="str">
        <f>IFERROR(INDEX(Salaries[Opp],MATCH(TEmatchups[[#This Row],[Team]],Salaries[Team],0)),"")</f>
        <v>TEN</v>
      </c>
      <c r="G60" s="457" t="str">
        <f>IFERROR(INDEX(TightEndYTD[Rec],MATCH(TEmatchups[Name],TightEndYTD[Player],0)),"0")</f>
        <v>0</v>
      </c>
      <c r="H60" s="191">
        <f>IFERROR(INDEX(targettracker54[TTL],MATCH(TEmatchups[Name],targettracker54[Name],0)),"0")</f>
        <v>4</v>
      </c>
      <c r="I60" s="458" t="str">
        <f>IFERROR(INDEX(TightEndYTD[Rec Yds],MATCH(TEmatchups[Name],TightEndYTD[Player],0)),"0")</f>
        <v>0</v>
      </c>
      <c r="J60" s="459" t="str">
        <f>IFERROR(INDEX(TightEndYTD[Rec TD],MATCH(TEmatchups[Name],TightEndYTD[Player],0)),"0")</f>
        <v>0</v>
      </c>
      <c r="K60" s="431">
        <f>IFERROR(INDEX(Salaries[O/U],MATCH(TEmatchups[[#This Row],[Team]],Salaries[Team],0)),"")</f>
        <v>40.5</v>
      </c>
      <c r="L60" s="32">
        <f>IFERROR(INDEX(Salaries[Team O/U],MATCH(TEmatchups[[#This Row],[Team]],Salaries[Team],0)),"")</f>
        <v>23.5</v>
      </c>
      <c r="M60" s="417">
        <f>IFERROR(INDEX(Salaries[Spread],MATCH(TEmatchups[[#This Row],[Team]],Salaries[Team],0)),"")</f>
        <v>-6.5</v>
      </c>
      <c r="N60" s="424">
        <f>IFERROR(INDEX(TEallowed[DVP],MATCH(TEmatchups[[#This Row],[Opp]],TEallowed[Team],0)),IFERROR(INDEX(TEallowed[DVP],MATCH(TEmatchups[[#This Row],[Opp]],TEallowed[Opp],0)),""))</f>
        <v>26</v>
      </c>
      <c r="O60" s="17" t="str">
        <f>IFERROR(INDEX(YAtCData[YAtC],MATCH(TEmatchups[[#This Row],[Name]],YAtCData[Player],0)),"0")</f>
        <v>0</v>
      </c>
      <c r="P60" s="497" t="str">
        <f>IFERROR(INDEX(YAtCData[YAtC/Rec],MATCH(TEmatchups[[#This Row],[Name]],YAtCData[Player],0)),"0")</f>
        <v>0</v>
      </c>
      <c r="Q60" s="17" t="str">
        <f>IFERROR(INDEX(YAtCData[YAC],MATCH(TEmatchups[[#This Row],[Name]],YAtCData[Player],0)),"0")</f>
        <v>0</v>
      </c>
      <c r="R60" s="497">
        <f>IFERROR(INDEX(YACDATA[YAC per Reception],MATCH(TEmatchups[[#This Row],[Name]],YACDATA[Player],0)),"0")</f>
        <v>2</v>
      </c>
      <c r="S60" s="418">
        <f>AVERAGE(TEmatchups[[#This Row],[Tar1]:[Tar3]])</f>
        <v>0.6</v>
      </c>
      <c r="T60" s="19">
        <f>AVERAGE(TEmatchups[[#This Row],[Rec1]:[Rec3]])</f>
        <v>0.48799999999999999</v>
      </c>
      <c r="U60" s="202">
        <f>SUM(TEmatchups[[#This Row],[Rec4]]/TEmatchups[[#This Row],[Targets2]])</f>
        <v>0.81333333333333335</v>
      </c>
      <c r="V60" s="32">
        <f>AVERAGE(TEmatchups[[#This Row],[Yards1]:[Yards3]])</f>
        <v>4.6210000000000004</v>
      </c>
      <c r="W60" s="19">
        <f>SUM(TEmatchups[[#This Row],[Yards]]/TEmatchups[[#This Row],[Targets2]])</f>
        <v>7.701666666666668</v>
      </c>
      <c r="X60" s="32">
        <f>AVERAGE(TEmatchups[[#This Row],[TD1]:[TD3]])</f>
        <v>1.4500000000000001E-2</v>
      </c>
      <c r="Y60" s="14">
        <v>54</v>
      </c>
      <c r="Z60" s="19">
        <f>SUM(TEmatchups[[#This Row],[Yards]]*0.1)+(TEmatchups[[#This Row],[TD]]*6)+(TEmatchups[[#This Row],[Rec4]]*1)+(TEmatchups[[#This Row],[100+]])</f>
        <v>1.0371000000000001</v>
      </c>
      <c r="AA60" s="8">
        <f>_xlfn.RANK.EQ(TEmatchups[[#This Row],[$/FP]],TEmatchups[$/FP],1)</f>
        <v>52</v>
      </c>
      <c r="AB60" s="484">
        <f>SUM(TEmatchups[[#This Row],[Salary]]/TEmatchups[[#This Row],[Projection]])</f>
        <v>2410.5679298042614</v>
      </c>
      <c r="AC60" s="482">
        <f>_xlfn.RANK.EQ(TEmatchups[[#This Row],[Average2]],TEmatchups[Average2],1)</f>
        <v>51</v>
      </c>
      <c r="AD60" s="241">
        <f>AVERAGE(TEmatchups[[#This Row],[Proj Rank]],TEmatchups[[#This Row],[Value Rank]])</f>
        <v>53</v>
      </c>
      <c r="AE60" s="210">
        <f>TEmatchups[[#This Row],[Salary]]/50000</f>
        <v>0.05</v>
      </c>
      <c r="AF60" s="210"/>
      <c r="AG60" s="14">
        <f>IFERROR(INDEX(TEstats3[Targets],MATCH(TEmatchups[[#This Row],[Name]],TEstats3[Player],0)),"0")</f>
        <v>0.6</v>
      </c>
      <c r="AH60" s="14" t="str">
        <f>IFERROR(INDEX(TEstats2[Targets],MATCH(TEmatchups[[#This Row],[Name]],TEstats2[Player],0)),"0")</f>
        <v>0</v>
      </c>
      <c r="AI60" s="14">
        <f>IFERROR(INDEX(TEstats3[Targets],MATCH(TEmatchups[[#This Row],[Name]],TEstats3[Player],0)),"0")</f>
        <v>0.6</v>
      </c>
      <c r="AJ60" s="14">
        <f>IFERROR(INDEX(TEstats1[Rec],MATCH(TEmatchups[[#This Row],[Name]],TEstats1[Player],0)),"0")</f>
        <v>0.57599999999999996</v>
      </c>
      <c r="AK60" s="14" t="str">
        <f>IFERROR(INDEX(TEstats2[Rec],MATCH(TEmatchups[[#This Row],[Name]],TEstats2[Player],0)),"0")</f>
        <v>0</v>
      </c>
      <c r="AL60" s="14">
        <f>IFERROR(INDEX(TEstats3[Rec],MATCH(TEmatchups[[#This Row],[Name]],TEstats3[Player],0)),"0")</f>
        <v>0.4</v>
      </c>
      <c r="AM60" s="32">
        <f>IFERROR(INDEX(TEallowed[Rec],MATCH(TEmatchups[[#This Row],[Opp]],TEallowed[Team],0)),"0")</f>
        <v>3.8125</v>
      </c>
      <c r="AN60" s="14">
        <f>IFERROR(INDEX(TEstats1[Rec Yds],MATCH(TEmatchups[[#This Row],[Name]],TEstats1[Player],0)),"0")</f>
        <v>4.9420000000000002</v>
      </c>
      <c r="AO60" s="14" t="str">
        <f>IFERROR(INDEX(TEstats2[RecYards],MATCH(TEmatchups[[#This Row],[Name]],TEstats2[Player],0)),"0")</f>
        <v>0</v>
      </c>
      <c r="AP60" s="14">
        <f>IFERROR(INDEX(TEstats3[RecYards],MATCH(TEmatchups[[#This Row],[Name]],TEstats3[Player],0)),"0")</f>
        <v>4.3</v>
      </c>
      <c r="AQ60" s="32">
        <f>IFERROR(INDEX(TEallowed[Yard],MATCH(TEmatchups[[#This Row],[Opp]],TEallowed[Team],0)),"0")</f>
        <v>38.4375</v>
      </c>
      <c r="AR60" s="14">
        <f>IFERROR(INDEX(TEstats1[Rec TD],MATCH(TEmatchups[[#This Row],[Name]],TEstats1[Player],0)),"0")</f>
        <v>2.9000000000000001E-2</v>
      </c>
      <c r="AS60" s="14" t="str">
        <f>IFERROR(INDEX(TEstats2[RecTD],MATCH(TEmatchups[[#This Row],[Name]],TEstats2[Player],0)),"0")</f>
        <v>0</v>
      </c>
      <c r="AT60" s="14">
        <f>IFERROR(INDEX(TEstats3[RecTD],MATCH(TEmatchups[[#This Row],[Name]],TEstats3[Player],0)),"0")</f>
        <v>0</v>
      </c>
      <c r="AU60" s="32">
        <f>IFERROR(INDEX(TEallowed[TD],MATCH(TEmatchups[[#This Row],[Opp]],TEallowed[Team],0)),"0")</f>
        <v>0.25</v>
      </c>
      <c r="AV60" s="32">
        <f>IF(TEmatchups[[#This Row],[Yards]]&gt;=100,3,0)</f>
        <v>0</v>
      </c>
    </row>
    <row r="61" spans="1:48" ht="15" thickBot="1" x14ac:dyDescent="0.35">
      <c r="A61" s="37">
        <f>TEstats1!AL54</f>
        <v>0.9</v>
      </c>
      <c r="B61" s="5" t="str">
        <f>TEstats1!D54</f>
        <v>Rhett Ellison</v>
      </c>
      <c r="C61" s="172">
        <f>IFERROR(INDEX(Salaries[DraftKings (Price)],MATCH(TEmatchups[[#This Row],[Name]],Salaries[Player],0)),"")</f>
        <v>2500</v>
      </c>
      <c r="D61" s="172">
        <f>IFERROR(INDEX(DK_Salary_Changes[WeekChange],MATCH(TEmatchups[[#This Row],[Name]],DK_Salary_Changes[Player],0)),"")</f>
        <v>0</v>
      </c>
      <c r="E61" s="14" t="str">
        <f>IFERROR(INDEX(Salaries[Team],MATCH(TEmatchups[[#This Row],[Name]],Salaries[Player],0)),"")</f>
        <v>MIN</v>
      </c>
      <c r="F61" s="14" t="str">
        <f>IFERROR(INDEX(Salaries[Opp],MATCH(TEmatchups[[#This Row],[Team]],Salaries[Team],0)),"")</f>
        <v>NYG</v>
      </c>
      <c r="G61" s="457" t="str">
        <f>IFERROR(INDEX(TightEndYTD[Rec],MATCH(TEmatchups[Name],TightEndYTD[Player],0)),"0")</f>
        <v>0</v>
      </c>
      <c r="H61" s="191">
        <f>IFERROR(INDEX(targettracker54[TTL],MATCH(TEmatchups[Name],targettracker54[Name],0)),"0")</f>
        <v>1</v>
      </c>
      <c r="I61" s="458" t="str">
        <f>IFERROR(INDEX(TightEndYTD[Rec Yds],MATCH(TEmatchups[Name],TightEndYTD[Player],0)),"0")</f>
        <v>0</v>
      </c>
      <c r="J61" s="459" t="str">
        <f>IFERROR(INDEX(TightEndYTD[Rec TD],MATCH(TEmatchups[Name],TightEndYTD[Player],0)),"0")</f>
        <v>0</v>
      </c>
      <c r="K61" s="431">
        <f>IFERROR(INDEX(Salaries[O/U],MATCH(TEmatchups[[#This Row],[Team]],Salaries[Team],0)),"")</f>
        <v>43.5</v>
      </c>
      <c r="L61" s="32">
        <f>IFERROR(INDEX(Salaries[Team O/U],MATCH(TEmatchups[[#This Row],[Team]],Salaries[Team],0)),"")</f>
        <v>23.75</v>
      </c>
      <c r="M61" s="417">
        <f>IFERROR(INDEX(Salaries[Spread],MATCH(TEmatchups[[#This Row],[Team]],Salaries[Team],0)),"")</f>
        <v>-4</v>
      </c>
      <c r="N61" s="424">
        <f>IFERROR(INDEX(TEallowed[DVP],MATCH(TEmatchups[[#This Row],[Opp]],TEallowed[Team],0)),IFERROR(INDEX(TEallowed[DVP],MATCH(TEmatchups[[#This Row],[Opp]],TEallowed[Opp],0)),""))</f>
        <v>31</v>
      </c>
      <c r="O61" s="17" t="str">
        <f>IFERROR(INDEX(YAtCData[YAtC],MATCH(TEmatchups[[#This Row],[Name]],YAtCData[Player],0)),"0")</f>
        <v>0</v>
      </c>
      <c r="P61" s="497" t="str">
        <f>IFERROR(INDEX(YAtCData[YAtC/Rec],MATCH(TEmatchups[[#This Row],[Name]],YAtCData[Player],0)),"0")</f>
        <v>0</v>
      </c>
      <c r="Q61" s="17" t="str">
        <f>IFERROR(INDEX(YAtCData[YAC],MATCH(TEmatchups[[#This Row],[Name]],YAtCData[Player],0)),"0")</f>
        <v>0</v>
      </c>
      <c r="R61" s="497">
        <f>IFERROR(INDEX(YACDATA[YAC per Reception],MATCH(TEmatchups[[#This Row],[Name]],YACDATA[Player],0)),"0")</f>
        <v>20</v>
      </c>
      <c r="S61" s="418">
        <f>AVERAGE(TEmatchups[[#This Row],[Tar1]:[Tar3]])</f>
        <v>0.9</v>
      </c>
      <c r="T61" s="19">
        <f>AVERAGE(TEmatchups[[#This Row],[Rec1]:[Rec3]])</f>
        <v>0.57499999999999996</v>
      </c>
      <c r="U61" s="202">
        <f>SUM(TEmatchups[[#This Row],[Rec4]]/TEmatchups[[#This Row],[Targets2]])</f>
        <v>0.63888888888888884</v>
      </c>
      <c r="V61" s="32">
        <f>AVERAGE(TEmatchups[[#This Row],[Yards1]:[Yards3]])</f>
        <v>6.6604999999999999</v>
      </c>
      <c r="W61" s="19">
        <f>SUM(TEmatchups[[#This Row],[Yards]]/TEmatchups[[#This Row],[Targets2]])</f>
        <v>7.4005555555555551</v>
      </c>
      <c r="X61" s="32">
        <f>AVERAGE(TEmatchups[[#This Row],[TD1]:[TD3]])</f>
        <v>1.2500000000000001E-2</v>
      </c>
      <c r="Y61" s="14">
        <v>55</v>
      </c>
      <c r="Z61" s="19">
        <f>SUM(TEmatchups[[#This Row],[Yards]]*0.1)+(TEmatchups[[#This Row],[TD]]*6)+(TEmatchups[[#This Row],[Rec4]]*1)+(TEmatchups[[#This Row],[100+]])</f>
        <v>1.3160499999999999</v>
      </c>
      <c r="AA61" s="8">
        <f>_xlfn.RANK.EQ(TEmatchups[[#This Row],[$/FP]],TEmatchups[$/FP],1)</f>
        <v>50</v>
      </c>
      <c r="AB61" s="484">
        <f>SUM(TEmatchups[[#This Row],[Salary]]/TEmatchups[[#This Row],[Projection]])</f>
        <v>1899.6238744728544</v>
      </c>
      <c r="AC61" s="482">
        <f>_xlfn.RANK.EQ(TEmatchups[[#This Row],[Average2]],TEmatchups[Average2],1)</f>
        <v>50</v>
      </c>
      <c r="AD61" s="241">
        <f>AVERAGE(TEmatchups[[#This Row],[Proj Rank]],TEmatchups[[#This Row],[Value Rank]])</f>
        <v>52.5</v>
      </c>
      <c r="AE61" s="210">
        <f>TEmatchups[[#This Row],[Salary]]/50000</f>
        <v>0.05</v>
      </c>
      <c r="AF61" s="210"/>
      <c r="AG61" s="14">
        <f>IFERROR(INDEX(TEstats3[Targets],MATCH(TEmatchups[[#This Row],[Name]],TEstats3[Player],0)),"0")</f>
        <v>0.9</v>
      </c>
      <c r="AH61" s="14" t="str">
        <f>IFERROR(INDEX(TEstats2[Targets],MATCH(TEmatchups[[#This Row],[Name]],TEstats2[Player],0)),"0")</f>
        <v>0</v>
      </c>
      <c r="AI61" s="14">
        <f>IFERROR(INDEX(TEstats3[Targets],MATCH(TEmatchups[[#This Row],[Name]],TEstats3[Player],0)),"0")</f>
        <v>0.9</v>
      </c>
      <c r="AJ61" s="14">
        <f>IFERROR(INDEX(TEstats1[Rec],MATCH(TEmatchups[[#This Row],[Name]],TEstats1[Player],0)),"0")</f>
        <v>0.45</v>
      </c>
      <c r="AK61" s="14" t="str">
        <f>IFERROR(INDEX(TEstats2[Rec],MATCH(TEmatchups[[#This Row],[Name]],TEstats2[Player],0)),"0")</f>
        <v>0</v>
      </c>
      <c r="AL61" s="14">
        <f>IFERROR(INDEX(TEstats3[Rec],MATCH(TEmatchups[[#This Row],[Name]],TEstats3[Player],0)),"0")</f>
        <v>0.7</v>
      </c>
      <c r="AM61" s="32">
        <f>IFERROR(INDEX(TEallowed[Rec],MATCH(TEmatchups[[#This Row],[Opp]],TEallowed[Team],0)),"0")</f>
        <v>4.5</v>
      </c>
      <c r="AN61" s="14">
        <f>IFERROR(INDEX(TEstats1[Rec Yds],MATCH(TEmatchups[[#This Row],[Name]],TEstats1[Player],0)),"0")</f>
        <v>5.1210000000000004</v>
      </c>
      <c r="AO61" s="14" t="str">
        <f>IFERROR(INDEX(TEstats2[RecYards],MATCH(TEmatchups[[#This Row],[Name]],TEstats2[Player],0)),"0")</f>
        <v>0</v>
      </c>
      <c r="AP61" s="14">
        <f>IFERROR(INDEX(TEstats3[RecYards],MATCH(TEmatchups[[#This Row],[Name]],TEstats3[Player],0)),"0")</f>
        <v>8.1999999999999993</v>
      </c>
      <c r="AQ61" s="32">
        <f>IFERROR(INDEX(TEallowed[Yard],MATCH(TEmatchups[[#This Row],[Opp]],TEallowed[Team],0)),"0")</f>
        <v>51.8125</v>
      </c>
      <c r="AR61" s="14">
        <f>IFERROR(INDEX(TEstats1[Rec TD],MATCH(TEmatchups[[#This Row],[Name]],TEstats1[Player],0)),"0")</f>
        <v>2.5000000000000001E-2</v>
      </c>
      <c r="AS61" s="14" t="str">
        <f>IFERROR(INDEX(TEstats2[RecTD],MATCH(TEmatchups[[#This Row],[Name]],TEstats2[Player],0)),"0")</f>
        <v>0</v>
      </c>
      <c r="AT61" s="14">
        <f>IFERROR(INDEX(TEstats3[RecTD],MATCH(TEmatchups[[#This Row],[Name]],TEstats3[Player],0)),"0")</f>
        <v>0</v>
      </c>
      <c r="AU61" s="32">
        <f>IFERROR(INDEX(TEallowed[TD],MATCH(TEmatchups[[#This Row],[Opp]],TEallowed[Team],0)),"0")</f>
        <v>0.3125</v>
      </c>
      <c r="AV61" s="32">
        <f>IF(TEmatchups[[#This Row],[Yards]]&gt;=100,3,0)</f>
        <v>0</v>
      </c>
    </row>
    <row r="62" spans="1:48" ht="15" thickBot="1" x14ac:dyDescent="0.35">
      <c r="A62" s="37">
        <f>TEstats1!AL55</f>
        <v>0.8</v>
      </c>
      <c r="B62" s="5" t="str">
        <f>TEstats1!D55</f>
        <v>Blake Bell</v>
      </c>
      <c r="C62" s="172">
        <f>IFERROR(INDEX(Salaries[DraftKings (Price)],MATCH(TEmatchups[[#This Row],[Name]],Salaries[Player],0)),"")</f>
        <v>2500</v>
      </c>
      <c r="D62" s="172">
        <f>IFERROR(INDEX(DK_Salary_Changes[WeekChange],MATCH(TEmatchups[[#This Row],[Name]],DK_Salary_Changes[Player],0)),"")</f>
        <v>0</v>
      </c>
      <c r="E62" s="14" t="str">
        <f>IFERROR(INDEX(Salaries[Team],MATCH(TEmatchups[[#This Row],[Name]],Salaries[Player],0)),"")</f>
        <v>SF</v>
      </c>
      <c r="F62" s="14" t="str">
        <f>IFERROR(INDEX(Salaries[Opp],MATCH(TEmatchups[[#This Row],[Team]],Salaries[Team],0)),"")</f>
        <v>DAL</v>
      </c>
      <c r="G62" s="457" t="str">
        <f>IFERROR(INDEX(TightEndYTD[Rec],MATCH(TEmatchups[Name],TightEndYTD[Player],0)),"0")</f>
        <v>0</v>
      </c>
      <c r="H62" s="191">
        <f>IFERROR(INDEX(targettracker54[TTL],MATCH(TEmatchups[Name],targettracker54[Name],0)),"0")</f>
        <v>3</v>
      </c>
      <c r="I62" s="458" t="str">
        <f>IFERROR(INDEX(TightEndYTD[Rec Yds],MATCH(TEmatchups[Name],TightEndYTD[Player],0)),"0")</f>
        <v>0</v>
      </c>
      <c r="J62" s="459" t="str">
        <f>IFERROR(INDEX(TightEndYTD[Rec TD],MATCH(TEmatchups[Name],TightEndYTD[Player],0)),"0")</f>
        <v>0</v>
      </c>
      <c r="K62" s="431">
        <f>IFERROR(INDEX(Salaries[O/U],MATCH(TEmatchups[[#This Row],[Team]],Salaries[Team],0)),"")</f>
        <v>46</v>
      </c>
      <c r="L62" s="32">
        <f>IFERROR(INDEX(Salaries[Team O/U],MATCH(TEmatchups[[#This Row],[Team]],Salaries[Team],0)),"")</f>
        <v>21.5</v>
      </c>
      <c r="M62" s="417">
        <f>IFERROR(INDEX(Salaries[Spread],MATCH(TEmatchups[[#This Row],[Team]],Salaries[Team],0)),"")</f>
        <v>3</v>
      </c>
      <c r="N62" s="424">
        <f>IFERROR(INDEX(TEallowed[DVP],MATCH(TEmatchups[[#This Row],[Opp]],TEallowed[Team],0)),IFERROR(INDEX(TEallowed[DVP],MATCH(TEmatchups[[#This Row],[Opp]],TEallowed[Opp],0)),""))</f>
        <v>2</v>
      </c>
      <c r="O62" s="17" t="str">
        <f>IFERROR(INDEX(YAtCData[YAtC],MATCH(TEmatchups[[#This Row],[Name]],YAtCData[Player],0)),"0")</f>
        <v>0</v>
      </c>
      <c r="P62" s="497" t="str">
        <f>IFERROR(INDEX(YAtCData[YAtC/Rec],MATCH(TEmatchups[[#This Row],[Name]],YAtCData[Player],0)),"0")</f>
        <v>0</v>
      </c>
      <c r="Q62" s="17" t="str">
        <f>IFERROR(INDEX(YAtCData[YAC],MATCH(TEmatchups[[#This Row],[Name]],YAtCData[Player],0)),"0")</f>
        <v>0</v>
      </c>
      <c r="R62" s="497">
        <f>IFERROR(INDEX(YACDATA[YAC per Reception],MATCH(TEmatchups[[#This Row],[Name]],YACDATA[Player],0)),"0")</f>
        <v>2</v>
      </c>
      <c r="S62" s="418">
        <f>AVERAGE(TEmatchups[[#This Row],[Tar1]:[Tar3]])</f>
        <v>1.4</v>
      </c>
      <c r="T62" s="19">
        <f>AVERAGE(TEmatchups[[#This Row],[Rec1]:[Rec3]])</f>
        <v>0.69799999999999995</v>
      </c>
      <c r="U62" s="202">
        <f>SUM(TEmatchups[[#This Row],[Rec4]]/TEmatchups[[#This Row],[Targets2]])</f>
        <v>0.49857142857142855</v>
      </c>
      <c r="V62" s="32">
        <f>AVERAGE(TEmatchups[[#This Row],[Yards1]:[Yards3]])</f>
        <v>7.1109999999999998</v>
      </c>
      <c r="W62" s="19">
        <f>SUM(TEmatchups[[#This Row],[Yards]]/TEmatchups[[#This Row],[Targets2]])</f>
        <v>5.0792857142857146</v>
      </c>
      <c r="X62" s="32">
        <f>AVERAGE(TEmatchups[[#This Row],[TD1]:[TD3]])</f>
        <v>6.3500000000000001E-2</v>
      </c>
      <c r="Y62" s="14">
        <v>57</v>
      </c>
      <c r="Z62" s="19">
        <f>SUM(TEmatchups[[#This Row],[Yards]]*0.1)+(TEmatchups[[#This Row],[TD]]*6)+(TEmatchups[[#This Row],[Rec4]]*1)+(TEmatchups[[#This Row],[100+]])</f>
        <v>1.7901</v>
      </c>
      <c r="AA62" s="8">
        <f>_xlfn.RANK.EQ(TEmatchups[[#This Row],[$/FP]],TEmatchups[$/FP],1)</f>
        <v>46</v>
      </c>
      <c r="AB62" s="484">
        <f>SUM(TEmatchups[[#This Row],[Salary]]/TEmatchups[[#This Row],[Projection]])</f>
        <v>1396.5700240210044</v>
      </c>
      <c r="AC62" s="482">
        <f>_xlfn.RANK.EQ(TEmatchups[[#This Row],[Average2]],TEmatchups[Average2],1)</f>
        <v>49</v>
      </c>
      <c r="AD62" s="241">
        <f>AVERAGE(TEmatchups[[#This Row],[Proj Rank]],TEmatchups[[#This Row],[Value Rank]])</f>
        <v>51.5</v>
      </c>
      <c r="AE62" s="210">
        <f>TEmatchups[[#This Row],[Salary]]/50000</f>
        <v>0.05</v>
      </c>
      <c r="AF62" s="210"/>
      <c r="AG62" s="14">
        <f>IFERROR(INDEX(TEstats3[Targets],MATCH(TEmatchups[[#This Row],[Name]],TEstats3[Player],0)),"0")</f>
        <v>1.4</v>
      </c>
      <c r="AH62" s="14" t="str">
        <f>IFERROR(INDEX(TEstats2[Targets],MATCH(TEmatchups[[#This Row],[Name]],TEstats2[Player],0)),"0")</f>
        <v>0</v>
      </c>
      <c r="AI62" s="14">
        <f>IFERROR(INDEX(TEstats3[Targets],MATCH(TEmatchups[[#This Row],[Name]],TEstats3[Player],0)),"0")</f>
        <v>1.4</v>
      </c>
      <c r="AJ62" s="14">
        <f>IFERROR(INDEX(TEstats1[Rec],MATCH(TEmatchups[[#This Row],[Name]],TEstats1[Player],0)),"0")</f>
        <v>0.39600000000000002</v>
      </c>
      <c r="AK62" s="14" t="str">
        <f>IFERROR(INDEX(TEstats2[Rec],MATCH(TEmatchups[[#This Row],[Name]],TEstats2[Player],0)),"0")</f>
        <v>0</v>
      </c>
      <c r="AL62" s="14">
        <f>IFERROR(INDEX(TEstats3[Rec],MATCH(TEmatchups[[#This Row],[Name]],TEstats3[Player],0)),"0")</f>
        <v>1</v>
      </c>
      <c r="AM62" s="32">
        <f>IFERROR(INDEX(TEallowed[Rec],MATCH(TEmatchups[[#This Row],[Opp]],TEallowed[Team],0)),"0")</f>
        <v>5.25</v>
      </c>
      <c r="AN62" s="14">
        <f>IFERROR(INDEX(TEstats1[Rec Yds],MATCH(TEmatchups[[#This Row],[Name]],TEstats1[Player],0)),"0")</f>
        <v>4.1219999999999999</v>
      </c>
      <c r="AO62" s="14" t="str">
        <f>IFERROR(INDEX(TEstats2[RecYards],MATCH(TEmatchups[[#This Row],[Name]],TEstats2[Player],0)),"0")</f>
        <v>0</v>
      </c>
      <c r="AP62" s="14">
        <f>IFERROR(INDEX(TEstats3[RecYards],MATCH(TEmatchups[[#This Row],[Name]],TEstats3[Player],0)),"0")</f>
        <v>10.1</v>
      </c>
      <c r="AQ62" s="32">
        <f>IFERROR(INDEX(TEallowed[Yard],MATCH(TEmatchups[[#This Row],[Opp]],TEallowed[Team],0)),"0")</f>
        <v>61</v>
      </c>
      <c r="AR62" s="14">
        <f>IFERROR(INDEX(TEstats1[Rec TD],MATCH(TEmatchups[[#This Row],[Name]],TEstats1[Player],0)),"0")</f>
        <v>2.7E-2</v>
      </c>
      <c r="AS62" s="14" t="str">
        <f>IFERROR(INDEX(TEstats2[RecTD],MATCH(TEmatchups[[#This Row],[Name]],TEstats2[Player],0)),"0")</f>
        <v>0</v>
      </c>
      <c r="AT62" s="14">
        <f>IFERROR(INDEX(TEstats3[RecTD],MATCH(TEmatchups[[#This Row],[Name]],TEstats3[Player],0)),"0")</f>
        <v>0.1</v>
      </c>
      <c r="AU62" s="32">
        <f>IFERROR(INDEX(TEallowed[TD],MATCH(TEmatchups[[#This Row],[Opp]],TEallowed[Team],0)),"0")</f>
        <v>0.375</v>
      </c>
      <c r="AV62" s="32">
        <f>IF(TEmatchups[[#This Row],[Yards]]&gt;=100,3,0)</f>
        <v>0</v>
      </c>
    </row>
    <row r="63" spans="1:48" ht="15" thickBot="1" x14ac:dyDescent="0.35">
      <c r="A63" s="37">
        <f>TEstats1!AL56</f>
        <v>0.8</v>
      </c>
      <c r="B63" s="5" t="str">
        <f>TEstats1!D56</f>
        <v>Brandon Myers</v>
      </c>
      <c r="C63" s="172">
        <f>IFERROR(INDEX(Salaries[DraftKings (Price)],MATCH(TEmatchups[[#This Row],[Name]],Salaries[Player],0)),"")</f>
        <v>2500</v>
      </c>
      <c r="D63" s="172">
        <f>IFERROR(INDEX(DK_Salary_Changes[WeekChange],MATCH(TEmatchups[[#This Row],[Name]],DK_Salary_Changes[Player],0)),"")</f>
        <v>0</v>
      </c>
      <c r="E63" s="14" t="str">
        <f>IFERROR(INDEX(Salaries[Team],MATCH(TEmatchups[[#This Row],[Name]],Salaries[Player],0)),"")</f>
        <v>TB</v>
      </c>
      <c r="F63" s="14" t="str">
        <f>IFERROR(INDEX(Salaries[Opp],MATCH(TEmatchups[[#This Row],[Team]],Salaries[Team],0)),"")</f>
        <v>DEN</v>
      </c>
      <c r="G63" s="457">
        <f>IFERROR(INDEX(TightEndYTD[Rec],MATCH(TEmatchups[Name],TightEndYTD[Player],0)),"0")</f>
        <v>2</v>
      </c>
      <c r="H63" s="191">
        <f>IFERROR(INDEX(targettracker54[TTL],MATCH(TEmatchups[Name],targettracker54[Name],0)),"0")</f>
        <v>4</v>
      </c>
      <c r="I63" s="458">
        <f>IFERROR(INDEX(TightEndYTD[Rec Yds],MATCH(TEmatchups[Name],TightEndYTD[Player],0)),"0")</f>
        <v>11</v>
      </c>
      <c r="J63" s="459">
        <f>IFERROR(INDEX(TightEndYTD[Rec TD],MATCH(TEmatchups[Name],TightEndYTD[Player],0)),"0")</f>
        <v>1</v>
      </c>
      <c r="K63" s="431">
        <f>IFERROR(INDEX(Salaries[O/U],MATCH(TEmatchups[[#This Row],[Team]],Salaries[Team],0)),"")</f>
        <v>44</v>
      </c>
      <c r="L63" s="32">
        <f>IFERROR(INDEX(Salaries[Team O/U],MATCH(TEmatchups[[#This Row],[Team]],Salaries[Team],0)),"")</f>
        <v>20.5</v>
      </c>
      <c r="M63" s="417">
        <f>IFERROR(INDEX(Salaries[Spread],MATCH(TEmatchups[[#This Row],[Team]],Salaries[Team],0)),"")</f>
        <v>3</v>
      </c>
      <c r="N63" s="424">
        <f>IFERROR(INDEX(TEallowed[DVP],MATCH(TEmatchups[[#This Row],[Opp]],TEallowed[Team],0)),IFERROR(INDEX(TEallowed[DVP],MATCH(TEmatchups[[#This Row],[Opp]],TEallowed[Opp],0)),""))</f>
        <v>22</v>
      </c>
      <c r="O63" s="17">
        <f>IFERROR(INDEX(YAtCData[YAtC],MATCH(TEmatchups[[#This Row],[Name]],YAtCData[Player],0)),"0")</f>
        <v>9</v>
      </c>
      <c r="P63" s="497">
        <f>IFERROR(INDEX(YAtCData[YAtC/Rec],MATCH(TEmatchups[[#This Row],[Name]],YAtCData[Player],0)),"0")</f>
        <v>4.5</v>
      </c>
      <c r="Q63" s="17">
        <f>IFERROR(INDEX(YAtCData[YAC],MATCH(TEmatchups[[#This Row],[Name]],YAtCData[Player],0)),"0")</f>
        <v>2</v>
      </c>
      <c r="R63" s="497">
        <f>IFERROR(INDEX(YACDATA[YAC per Reception],MATCH(TEmatchups[[#This Row],[Name]],YACDATA[Player],0)),"0")</f>
        <v>1</v>
      </c>
      <c r="S63" s="418">
        <f>AVERAGE(TEmatchups[[#This Row],[Tar1]:[Tar3]])</f>
        <v>0.6</v>
      </c>
      <c r="T63" s="19">
        <f>AVERAGE(TEmatchups[[#This Row],[Rec1]:[Rec3]])</f>
        <v>0.59499999999999997</v>
      </c>
      <c r="U63" s="202">
        <f>SUM(TEmatchups[[#This Row],[Rec4]]/TEmatchups[[#This Row],[Targets2]])</f>
        <v>0.9916666666666667</v>
      </c>
      <c r="V63" s="32">
        <f>AVERAGE(TEmatchups[[#This Row],[Yards1]:[Yards3]])</f>
        <v>4.742</v>
      </c>
      <c r="W63" s="19">
        <f>SUM(TEmatchups[[#This Row],[Yards]]/TEmatchups[[#This Row],[Targets2]])</f>
        <v>7.9033333333333333</v>
      </c>
      <c r="X63" s="32">
        <f>AVERAGE(TEmatchups[[#This Row],[TD1]:[TD3]])</f>
        <v>0</v>
      </c>
      <c r="Y63" s="14">
        <v>58</v>
      </c>
      <c r="Z63" s="19">
        <f>SUM(TEmatchups[[#This Row],[Yards]]*0.1)+(TEmatchups[[#This Row],[TD]]*6)+(TEmatchups[[#This Row],[Rec4]]*1)+(TEmatchups[[#This Row],[100+]])</f>
        <v>1.0691999999999999</v>
      </c>
      <c r="AA63" s="8">
        <f>_xlfn.RANK.EQ(TEmatchups[[#This Row],[$/FP]],TEmatchups[$/FP],1)</f>
        <v>51</v>
      </c>
      <c r="AB63" s="484">
        <f>SUM(TEmatchups[[#This Row],[Salary]]/TEmatchups[[#This Row],[Projection]])</f>
        <v>2338.1967826412274</v>
      </c>
      <c r="AC63" s="482">
        <f>_xlfn.RANK.EQ(TEmatchups[[#This Row],[Average2]],TEmatchups[Average2],1)</f>
        <v>53</v>
      </c>
      <c r="AD63" s="241">
        <f>AVERAGE(TEmatchups[[#This Row],[Proj Rank]],TEmatchups[[#This Row],[Value Rank]])</f>
        <v>54.5</v>
      </c>
      <c r="AE63" s="210">
        <f>TEmatchups[[#This Row],[Salary]]/50000</f>
        <v>0.05</v>
      </c>
      <c r="AF63" s="210"/>
      <c r="AG63" s="14">
        <f>IFERROR(INDEX(TEstats3[Targets],MATCH(TEmatchups[[#This Row],[Name]],TEstats3[Player],0)),"0")</f>
        <v>0.6</v>
      </c>
      <c r="AH63" s="14" t="str">
        <f>IFERROR(INDEX(TEstats2[Targets],MATCH(TEmatchups[[#This Row],[Name]],TEstats2[Player],0)),"0")</f>
        <v>0</v>
      </c>
      <c r="AI63" s="14">
        <f>IFERROR(INDEX(TEstats3[Targets],MATCH(TEmatchups[[#This Row],[Name]],TEstats3[Player],0)),"0")</f>
        <v>0.6</v>
      </c>
      <c r="AJ63" s="14">
        <f>IFERROR(INDEX(TEstats1[Rec],MATCH(TEmatchups[[#This Row],[Name]],TEstats1[Player],0)),"0")</f>
        <v>0.69</v>
      </c>
      <c r="AK63" s="14" t="str">
        <f>IFERROR(INDEX(TEstats2[Rec],MATCH(TEmatchups[[#This Row],[Name]],TEstats2[Player],0)),"0")</f>
        <v>0</v>
      </c>
      <c r="AL63" s="14">
        <f>IFERROR(INDEX(TEstats3[Rec],MATCH(TEmatchups[[#This Row],[Name]],TEstats3[Player],0)),"0")</f>
        <v>0.5</v>
      </c>
      <c r="AM63" s="32">
        <f>IFERROR(INDEX(TEallowed[Rec],MATCH(TEmatchups[[#This Row],[Opp]],TEallowed[Team],0)),"0")</f>
        <v>4.6875</v>
      </c>
      <c r="AN63" s="14">
        <f>IFERROR(INDEX(TEstats1[Rec Yds],MATCH(TEmatchups[[#This Row],[Name]],TEstats1[Player],0)),"0")</f>
        <v>5.0839999999999996</v>
      </c>
      <c r="AO63" s="14" t="str">
        <f>IFERROR(INDEX(TEstats2[RecYards],MATCH(TEmatchups[[#This Row],[Name]],TEstats2[Player],0)),"0")</f>
        <v>0</v>
      </c>
      <c r="AP63" s="14">
        <f>IFERROR(INDEX(TEstats3[RecYards],MATCH(TEmatchups[[#This Row],[Name]],TEstats3[Player],0)),"0")</f>
        <v>4.4000000000000004</v>
      </c>
      <c r="AQ63" s="32">
        <f>IFERROR(INDEX(TEallowed[Yard],MATCH(TEmatchups[[#This Row],[Opp]],TEallowed[Team],0)),"0")</f>
        <v>54.5625</v>
      </c>
      <c r="AR63" s="14">
        <f>IFERROR(INDEX(TEstats1[Rec TD],MATCH(TEmatchups[[#This Row],[Name]],TEstats1[Player],0)),"0")</f>
        <v>0</v>
      </c>
      <c r="AS63" s="14" t="str">
        <f>IFERROR(INDEX(TEstats2[RecTD],MATCH(TEmatchups[[#This Row],[Name]],TEstats2[Player],0)),"0")</f>
        <v>0</v>
      </c>
      <c r="AT63" s="14">
        <f>IFERROR(INDEX(TEstats3[RecTD],MATCH(TEmatchups[[#This Row],[Name]],TEstats3[Player],0)),"0")</f>
        <v>0</v>
      </c>
      <c r="AU63" s="32">
        <f>IFERROR(INDEX(TEallowed[TD],MATCH(TEmatchups[[#This Row],[Opp]],TEallowed[Team],0)),"0")</f>
        <v>0.5</v>
      </c>
      <c r="AV63" s="32">
        <f>IF(TEmatchups[[#This Row],[Yards]]&gt;=100,3,0)</f>
        <v>0</v>
      </c>
    </row>
    <row r="64" spans="1:48" ht="15" thickBot="1" x14ac:dyDescent="0.35">
      <c r="A64" s="37">
        <f>TEstats1!AL58</f>
        <v>0.6</v>
      </c>
      <c r="B64" s="5" t="str">
        <f>TEstats1!D58</f>
        <v>Randall Telfer</v>
      </c>
      <c r="C64" s="172">
        <f>IFERROR(INDEX(Salaries[DraftKings (Price)],MATCH(TEmatchups[[#This Row],[Name]],Salaries[Player],0)),"")</f>
        <v>2500</v>
      </c>
      <c r="D64" s="172">
        <f>IFERROR(INDEX(DK_Salary_Changes[WeekChange],MATCH(TEmatchups[[#This Row],[Name]],DK_Salary_Changes[Player],0)),"")</f>
        <v>0</v>
      </c>
      <c r="E64" s="14" t="str">
        <f>IFERROR(INDEX(Salaries[Team],MATCH(TEmatchups[[#This Row],[Name]],Salaries[Player],0)),"")</f>
        <v>CLE</v>
      </c>
      <c r="F64" s="14" t="str">
        <f>IFERROR(INDEX(Salaries[Opp],MATCH(TEmatchups[[#This Row],[Team]],Salaries[Team],0)),"")</f>
        <v>@WAS</v>
      </c>
      <c r="G64" s="457" t="str">
        <f>IFERROR(INDEX(TightEndYTD[Rec],MATCH(TEmatchups[Name],TightEndYTD[Player],0)),"0")</f>
        <v>0</v>
      </c>
      <c r="H64" s="191" t="str">
        <f>IFERROR(INDEX(targettracker54[TTL],MATCH(TEmatchups[Name],targettracker54[Name],0)),"0")</f>
        <v>0</v>
      </c>
      <c r="I64" s="458" t="str">
        <f>IFERROR(INDEX(TightEndYTD[Rec Yds],MATCH(TEmatchups[Name],TightEndYTD[Player],0)),"0")</f>
        <v>0</v>
      </c>
      <c r="J64" s="459" t="str">
        <f>IFERROR(INDEX(TightEndYTD[Rec TD],MATCH(TEmatchups[Name],TightEndYTD[Player],0)),"0")</f>
        <v>0</v>
      </c>
      <c r="K64" s="431">
        <f>IFERROR(INDEX(Salaries[O/U],MATCH(TEmatchups[[#This Row],[Team]],Salaries[Team],0)),"")</f>
        <v>45.5</v>
      </c>
      <c r="L64" s="32">
        <f>IFERROR(INDEX(Salaries[Team O/U],MATCH(TEmatchups[[#This Row],[Team]],Salaries[Team],0)),"")</f>
        <v>18.75</v>
      </c>
      <c r="M64" s="417">
        <f>IFERROR(INDEX(Salaries[Spread],MATCH(TEmatchups[[#This Row],[Team]],Salaries[Team],0)),"")</f>
        <v>8</v>
      </c>
      <c r="N64" s="424">
        <f>IFERROR(INDEX(TEallowed[DVP],MATCH(TEmatchups[[#This Row],[Opp]],TEallowed[Team],0)),IFERROR(INDEX(TEallowed[DVP],MATCH(TEmatchups[[#This Row],[Opp]],TEallowed[Opp],0)),""))</f>
        <v>15</v>
      </c>
      <c r="O64" s="17" t="str">
        <f>IFERROR(INDEX(YAtCData[YAtC],MATCH(TEmatchups[[#This Row],[Name]],YAtCData[Player],0)),"0")</f>
        <v>0</v>
      </c>
      <c r="P64" s="497" t="str">
        <f>IFERROR(INDEX(YAtCData[YAtC/Rec],MATCH(TEmatchups[[#This Row],[Name]],YAtCData[Player],0)),"0")</f>
        <v>0</v>
      </c>
      <c r="Q64" s="17" t="str">
        <f>IFERROR(INDEX(YAtCData[YAC],MATCH(TEmatchups[[#This Row],[Name]],YAtCData[Player],0)),"0")</f>
        <v>0</v>
      </c>
      <c r="R64" s="497" t="str">
        <f>IFERROR(INDEX(YACDATA[YAC per Reception],MATCH(TEmatchups[[#This Row],[Name]],YACDATA[Player],0)),"0")</f>
        <v>0</v>
      </c>
      <c r="S64" s="418" t="e">
        <f>AVERAGE(TEmatchups[[#This Row],[Tar1]:[Tar3]])</f>
        <v>#DIV/0!</v>
      </c>
      <c r="T64" s="19">
        <f>AVERAGE(TEmatchups[[#This Row],[Rec1]:[Rec3]])</f>
        <v>0.41899999999999998</v>
      </c>
      <c r="U64" s="202" t="e">
        <f>SUM(TEmatchups[[#This Row],[Rec4]]/TEmatchups[[#This Row],[Targets2]])</f>
        <v>#DIV/0!</v>
      </c>
      <c r="V64" s="32">
        <f>AVERAGE(TEmatchups[[#This Row],[Yards1]:[Yards3]])</f>
        <v>4.4379999999999997</v>
      </c>
      <c r="W64" s="19" t="e">
        <f>SUM(TEmatchups[[#This Row],[Yards]]/TEmatchups[[#This Row],[Targets2]])</f>
        <v>#DIV/0!</v>
      </c>
      <c r="X64" s="32">
        <f>AVERAGE(TEmatchups[[#This Row],[TD1]:[TD3]])</f>
        <v>0</v>
      </c>
      <c r="Y64" s="14">
        <v>60</v>
      </c>
      <c r="Z64" s="19">
        <f>SUM(TEmatchups[[#This Row],[Yards]]*0.1)+(TEmatchups[[#This Row],[TD]]*6)+(TEmatchups[[#This Row],[Rec4]]*1)+(TEmatchups[[#This Row],[100+]])</f>
        <v>0.86280000000000001</v>
      </c>
      <c r="AA64" s="8">
        <f>_xlfn.RANK.EQ(TEmatchups[[#This Row],[$/FP]],TEmatchups[$/FP],1)</f>
        <v>56</v>
      </c>
      <c r="AB64" s="484">
        <f>SUM(TEmatchups[[#This Row],[Salary]]/TEmatchups[[#This Row],[Projection]])</f>
        <v>2897.5428836346778</v>
      </c>
      <c r="AC64" s="482">
        <f>_xlfn.RANK.EQ(TEmatchups[[#This Row],[Average2]],TEmatchups[Average2],1)</f>
        <v>54</v>
      </c>
      <c r="AD64" s="241">
        <f>AVERAGE(TEmatchups[[#This Row],[Proj Rank]],TEmatchups[[#This Row],[Value Rank]])</f>
        <v>58</v>
      </c>
      <c r="AE64" s="210">
        <f>TEmatchups[[#This Row],[Salary]]/50000</f>
        <v>0.05</v>
      </c>
      <c r="AF64" s="210"/>
      <c r="AG64" s="14" t="str">
        <f>IFERROR(INDEX(TEstats3[Targets],MATCH(TEmatchups[[#This Row],[Name]],TEstats3[Player],0)),"0")</f>
        <v>0</v>
      </c>
      <c r="AH64" s="14" t="str">
        <f>IFERROR(INDEX(TEstats2[Targets],MATCH(TEmatchups[[#This Row],[Name]],TEstats2[Player],0)),"0")</f>
        <v>0</v>
      </c>
      <c r="AI64" s="14" t="str">
        <f>IFERROR(INDEX(TEstats3[Targets],MATCH(TEmatchups[[#This Row],[Name]],TEstats3[Player],0)),"0")</f>
        <v>0</v>
      </c>
      <c r="AJ64" s="14">
        <f>IFERROR(INDEX(TEstats1[Rec],MATCH(TEmatchups[[#This Row],[Name]],TEstats1[Player],0)),"0")</f>
        <v>0.41899999999999998</v>
      </c>
      <c r="AK64" s="14" t="str">
        <f>IFERROR(INDEX(TEstats2[Rec],MATCH(TEmatchups[[#This Row],[Name]],TEstats2[Player],0)),"0")</f>
        <v>0</v>
      </c>
      <c r="AL64" s="14" t="str">
        <f>IFERROR(INDEX(TEstats3[Rec],MATCH(TEmatchups[[#This Row],[Name]],TEstats3[Player],0)),"0")</f>
        <v>0</v>
      </c>
      <c r="AM64" s="32" t="str">
        <f>IFERROR(INDEX(TEallowed[Rec],MATCH(TEmatchups[[#This Row],[Opp]],TEallowed[Team],0)),"0")</f>
        <v>0</v>
      </c>
      <c r="AN64" s="14">
        <f>IFERROR(INDEX(TEstats1[Rec Yds],MATCH(TEmatchups[[#This Row],[Name]],TEstats1[Player],0)),"0")</f>
        <v>4.4379999999999997</v>
      </c>
      <c r="AO64" s="14" t="str">
        <f>IFERROR(INDEX(TEstats2[RecYards],MATCH(TEmatchups[[#This Row],[Name]],TEstats2[Player],0)),"0")</f>
        <v>0</v>
      </c>
      <c r="AP64" s="14" t="str">
        <f>IFERROR(INDEX(TEstats3[RecYards],MATCH(TEmatchups[[#This Row],[Name]],TEstats3[Player],0)),"0")</f>
        <v>0</v>
      </c>
      <c r="AQ64" s="32" t="str">
        <f>IFERROR(INDEX(TEallowed[Yard],MATCH(TEmatchups[[#This Row],[Opp]],TEallowed[Team],0)),"0")</f>
        <v>0</v>
      </c>
      <c r="AR64" s="14">
        <f>IFERROR(INDEX(TEstats1[Rec TD],MATCH(TEmatchups[[#This Row],[Name]],TEstats1[Player],0)),"0")</f>
        <v>0</v>
      </c>
      <c r="AS64" s="14" t="str">
        <f>IFERROR(INDEX(TEstats2[RecTD],MATCH(TEmatchups[[#This Row],[Name]],TEstats2[Player],0)),"0")</f>
        <v>0</v>
      </c>
      <c r="AT64" s="14" t="str">
        <f>IFERROR(INDEX(TEstats3[RecTD],MATCH(TEmatchups[[#This Row],[Name]],TEstats3[Player],0)),"0")</f>
        <v>0</v>
      </c>
      <c r="AU64" s="32" t="str">
        <f>IFERROR(INDEX(TEallowed[TD],MATCH(TEmatchups[[#This Row],[Opp]],TEallowed[Team],0)),"0")</f>
        <v>0</v>
      </c>
      <c r="AV64" s="32">
        <f>IF(TEmatchups[[#This Row],[Yards]]&gt;=100,3,0)</f>
        <v>0</v>
      </c>
    </row>
    <row r="65" spans="1:48" ht="15" thickBot="1" x14ac:dyDescent="0.35">
      <c r="A65" s="37">
        <f>TEstats1!AL60</f>
        <v>0.5</v>
      </c>
      <c r="B65" s="5" t="str">
        <f>TEstats1!D60</f>
        <v>David Johnson</v>
      </c>
      <c r="C65" s="172">
        <f>IFERROR(INDEX(Salaries[DraftKings (Price)],MATCH(TEmatchups[[#This Row],[Name]],Salaries[Player],0)),"")</f>
        <v>7800</v>
      </c>
      <c r="D65" s="172">
        <f>IFERROR(INDEX(DK_Salary_Changes[WeekChange],MATCH(TEmatchups[[#This Row],[Name]],DK_Salary_Changes[Player],0)),"")</f>
        <v>100</v>
      </c>
      <c r="E65" s="14" t="str">
        <f>IFERROR(INDEX(Salaries[Team],MATCH(TEmatchups[[#This Row],[Name]],Salaries[Player],0)),"")</f>
        <v>ARI</v>
      </c>
      <c r="F65" s="14" t="str">
        <f>IFERROR(INDEX(Salaries[Opp],MATCH(TEmatchups[[#This Row],[Team]],Salaries[Team],0)),"")</f>
        <v>LA</v>
      </c>
      <c r="G65" s="457" t="str">
        <f>IFERROR(INDEX(TightEndYTD[Rec],MATCH(TEmatchups[Name],TightEndYTD[Player],0)),"0")</f>
        <v>0</v>
      </c>
      <c r="H65" s="191">
        <f>IFERROR(INDEX(targettracker54[TTL],MATCH(TEmatchups[Name],targettracker54[Name],0)),"0")</f>
        <v>17</v>
      </c>
      <c r="I65" s="458" t="str">
        <f>IFERROR(INDEX(TightEndYTD[Rec Yds],MATCH(TEmatchups[Name],TightEndYTD[Player],0)),"0")</f>
        <v>0</v>
      </c>
      <c r="J65" s="459" t="str">
        <f>IFERROR(INDEX(TightEndYTD[Rec TD],MATCH(TEmatchups[Name],TightEndYTD[Player],0)),"0")</f>
        <v>0</v>
      </c>
      <c r="K65" s="431">
        <f>IFERROR(INDEX(Salaries[O/U],MATCH(TEmatchups[[#This Row],[Team]],Salaries[Team],0)),"")</f>
        <v>43</v>
      </c>
      <c r="L65" s="32">
        <f>IFERROR(INDEX(Salaries[Team O/U],MATCH(TEmatchups[[#This Row],[Team]],Salaries[Team],0)),"")</f>
        <v>25.5</v>
      </c>
      <c r="M65" s="417">
        <f>IFERROR(INDEX(Salaries[Spread],MATCH(TEmatchups[[#This Row],[Team]],Salaries[Team],0)),"")</f>
        <v>-8</v>
      </c>
      <c r="N65" s="424">
        <f>IFERROR(INDEX(TEallowed[DVP],MATCH(TEmatchups[[#This Row],[Opp]],TEallowed[Team],0)),IFERROR(INDEX(TEallowed[DVP],MATCH(TEmatchups[[#This Row],[Opp]],TEallowed[Opp],0)),""))</f>
        <v>20</v>
      </c>
      <c r="O65" s="17">
        <f>IFERROR(INDEX(YAtCData[YAtC],MATCH(TEmatchups[[#This Row],[Name]],YAtCData[Player],0)),"0")</f>
        <v>35</v>
      </c>
      <c r="P65" s="497">
        <f>IFERROR(INDEX(YAtCData[YAtC/Rec],MATCH(TEmatchups[[#This Row],[Name]],YAtCData[Player],0)),"0")</f>
        <v>3.5</v>
      </c>
      <c r="Q65" s="17">
        <f>IFERROR(INDEX(YAtCData[YAC],MATCH(TEmatchups[[#This Row],[Name]],YAtCData[Player],0)),"0")</f>
        <v>134</v>
      </c>
      <c r="R65" s="497">
        <f>IFERROR(INDEX(YACDATA[YAC per Reception],MATCH(TEmatchups[[#This Row],[Name]],YACDATA[Player],0)),"0")</f>
        <v>13.4</v>
      </c>
      <c r="S65" s="418">
        <f>AVERAGE(TEmatchups[[#This Row],[Tar1]:[Tar3]])</f>
        <v>0.8</v>
      </c>
      <c r="T65" s="19">
        <f>AVERAGE(TEmatchups[[#This Row],[Rec1]:[Rec3]])</f>
        <v>0.35849999999999999</v>
      </c>
      <c r="U65" s="202">
        <f>SUM(TEmatchups[[#This Row],[Rec4]]/TEmatchups[[#This Row],[Targets2]])</f>
        <v>0.44812499999999994</v>
      </c>
      <c r="V65" s="32">
        <f>AVERAGE(TEmatchups[[#This Row],[Yards1]:[Yards3]])</f>
        <v>3.516</v>
      </c>
      <c r="W65" s="19">
        <f>SUM(TEmatchups[[#This Row],[Yards]]/TEmatchups[[#This Row],[Targets2]])</f>
        <v>4.3949999999999996</v>
      </c>
      <c r="X65" s="32">
        <f>AVERAGE(TEmatchups[[#This Row],[TD1]:[TD3]])</f>
        <v>5.9500000000000004E-2</v>
      </c>
      <c r="Y65" s="14">
        <v>62</v>
      </c>
      <c r="Z65" s="19">
        <f>SUM(TEmatchups[[#This Row],[Yards]]*0.1)+(TEmatchups[[#This Row],[TD]]*6)+(TEmatchups[[#This Row],[Rec4]]*1)+(TEmatchups[[#This Row],[100+]])</f>
        <v>1.0671000000000002</v>
      </c>
      <c r="AA65" s="8">
        <f>_xlfn.RANK.EQ(TEmatchups[[#This Row],[$/FP]],TEmatchups[$/FP],1)</f>
        <v>62</v>
      </c>
      <c r="AB65" s="484">
        <f>SUM(TEmatchups[[#This Row],[Salary]]/TEmatchups[[#This Row],[Projection]])</f>
        <v>7309.5305032330607</v>
      </c>
      <c r="AC65" s="482">
        <f>_xlfn.RANK.EQ(TEmatchups[[#This Row],[Average2]],TEmatchups[Average2],1)</f>
        <v>58</v>
      </c>
      <c r="AD65" s="241">
        <f>AVERAGE(TEmatchups[[#This Row],[Proj Rank]],TEmatchups[[#This Row],[Value Rank]])</f>
        <v>62</v>
      </c>
      <c r="AE65" s="210">
        <f>TEmatchups[[#This Row],[Salary]]/50000</f>
        <v>0.156</v>
      </c>
      <c r="AF65" s="210"/>
      <c r="AG65" s="14">
        <f>IFERROR(INDEX(TEstats3[Targets],MATCH(TEmatchups[[#This Row],[Name]],TEstats3[Player],0)),"0")</f>
        <v>0.8</v>
      </c>
      <c r="AH65" s="14" t="str">
        <f>IFERROR(INDEX(TEstats2[Targets],MATCH(TEmatchups[[#This Row],[Name]],TEstats2[Player],0)),"0")</f>
        <v>0</v>
      </c>
      <c r="AI65" s="14">
        <f>IFERROR(INDEX(TEstats3[Targets],MATCH(TEmatchups[[#This Row],[Name]],TEstats3[Player],0)),"0")</f>
        <v>0.8</v>
      </c>
      <c r="AJ65" s="14">
        <f>IFERROR(INDEX(TEstats1[Rec],MATCH(TEmatchups[[#This Row],[Name]],TEstats1[Player],0)),"0")</f>
        <v>0.217</v>
      </c>
      <c r="AK65" s="14" t="str">
        <f>IFERROR(INDEX(TEstats2[Rec],MATCH(TEmatchups[[#This Row],[Name]],TEstats2[Player],0)),"0")</f>
        <v>0</v>
      </c>
      <c r="AL65" s="14">
        <f>IFERROR(INDEX(TEstats3[Rec],MATCH(TEmatchups[[#This Row],[Name]],TEstats3[Player],0)),"0")</f>
        <v>0.5</v>
      </c>
      <c r="AM65" s="32">
        <f>IFERROR(INDEX(TEallowed[Rec],MATCH(TEmatchups[[#This Row],[Opp]],TEallowed[Team],0)),"0")</f>
        <v>5.25</v>
      </c>
      <c r="AN65" s="14">
        <f>IFERROR(INDEX(TEstats1[Rec Yds],MATCH(TEmatchups[[#This Row],[Name]],TEstats1[Player],0)),"0")</f>
        <v>3.032</v>
      </c>
      <c r="AO65" s="14" t="str">
        <f>IFERROR(INDEX(TEstats2[RecYards],MATCH(TEmatchups[[#This Row],[Name]],TEstats2[Player],0)),"0")</f>
        <v>0</v>
      </c>
      <c r="AP65" s="14">
        <f>IFERROR(INDEX(TEstats3[RecYards],MATCH(TEmatchups[[#This Row],[Name]],TEstats3[Player],0)),"0")</f>
        <v>4</v>
      </c>
      <c r="AQ65" s="32">
        <f>IFERROR(INDEX(TEallowed[Yard],MATCH(TEmatchups[[#This Row],[Opp]],TEallowed[Team],0)),"0")</f>
        <v>56.4375</v>
      </c>
      <c r="AR65" s="14">
        <f>IFERROR(INDEX(TEstats1[Rec TD],MATCH(TEmatchups[[#This Row],[Name]],TEstats1[Player],0)),"0")</f>
        <v>1.9E-2</v>
      </c>
      <c r="AS65" s="14" t="str">
        <f>IFERROR(INDEX(TEstats2[RecTD],MATCH(TEmatchups[[#This Row],[Name]],TEstats2[Player],0)),"0")</f>
        <v>0</v>
      </c>
      <c r="AT65" s="14">
        <f>IFERROR(INDEX(TEstats3[RecTD],MATCH(TEmatchups[[#This Row],[Name]],TEstats3[Player],0)),"0")</f>
        <v>0.1</v>
      </c>
      <c r="AU65" s="32">
        <f>IFERROR(INDEX(TEallowed[TD],MATCH(TEmatchups[[#This Row],[Opp]],TEallowed[Team],0)),"0")</f>
        <v>0.3125</v>
      </c>
      <c r="AV65" s="32">
        <f>IF(TEmatchups[[#This Row],[Yards]]&gt;=100,3,0)</f>
        <v>0</v>
      </c>
    </row>
    <row r="66" spans="1:48" ht="15" thickBot="1" x14ac:dyDescent="0.35">
      <c r="A66" s="37">
        <f>TEstats1!AL61</f>
        <v>0.5</v>
      </c>
      <c r="B66" s="5" t="str">
        <f>TEstats1!D61</f>
        <v>Maxx Williams</v>
      </c>
      <c r="C66" s="172">
        <f>IFERROR(INDEX(Salaries[DraftKings (Price)],MATCH(TEmatchups[[#This Row],[Name]],Salaries[Player],0)),"")</f>
        <v>2500</v>
      </c>
      <c r="D66" s="172">
        <f>IFERROR(INDEX(DK_Salary_Changes[WeekChange],MATCH(TEmatchups[[#This Row],[Name]],DK_Salary_Changes[Player],0)),"")</f>
        <v>0</v>
      </c>
      <c r="E66" s="14" t="str">
        <f>IFERROR(INDEX(Salaries[Team],MATCH(TEmatchups[[#This Row],[Name]],Salaries[Player],0)),"")</f>
        <v>BAL</v>
      </c>
      <c r="F66" s="14" t="str">
        <f>IFERROR(INDEX(Salaries[Opp],MATCH(TEmatchups[[#This Row],[Team]],Salaries[Team],0)),"")</f>
        <v>OAK</v>
      </c>
      <c r="G66" s="457" t="str">
        <f>IFERROR(INDEX(TightEndYTD[Rec],MATCH(TEmatchups[Name],TightEndYTD[Player],0)),"0")</f>
        <v>0</v>
      </c>
      <c r="H66" s="191">
        <f>IFERROR(INDEX(targettracker54[TTL],MATCH(TEmatchups[Name],targettracker54[Name],0)),"0")</f>
        <v>0</v>
      </c>
      <c r="I66" s="458" t="str">
        <f>IFERROR(INDEX(TightEndYTD[Rec Yds],MATCH(TEmatchups[Name],TightEndYTD[Player],0)),"0")</f>
        <v>0</v>
      </c>
      <c r="J66" s="459" t="str">
        <f>IFERROR(INDEX(TightEndYTD[Rec TD],MATCH(TEmatchups[Name],TightEndYTD[Player],0)),"0")</f>
        <v>0</v>
      </c>
      <c r="K66" s="431">
        <f>IFERROR(INDEX(Salaries[O/U],MATCH(TEmatchups[[#This Row],[Team]],Salaries[Team],0)),"")</f>
        <v>46.5</v>
      </c>
      <c r="L66" s="32">
        <f>IFERROR(INDEX(Salaries[Team O/U],MATCH(TEmatchups[[#This Row],[Team]],Salaries[Team],0)),"")</f>
        <v>25</v>
      </c>
      <c r="M66" s="417">
        <f>IFERROR(INDEX(Salaries[Spread],MATCH(TEmatchups[[#This Row],[Team]],Salaries[Team],0)),"")</f>
        <v>-3.5</v>
      </c>
      <c r="N66" s="424">
        <f>IFERROR(INDEX(TEallowed[DVP],MATCH(TEmatchups[[#This Row],[Opp]],TEallowed[Team],0)),IFERROR(INDEX(TEallowed[DVP],MATCH(TEmatchups[[#This Row],[Opp]],TEallowed[Opp],0)),""))</f>
        <v>30</v>
      </c>
      <c r="O66" s="17" t="str">
        <f>IFERROR(INDEX(YAtCData[YAtC],MATCH(TEmatchups[[#This Row],[Name]],YAtCData[Player],0)),"0")</f>
        <v>0</v>
      </c>
      <c r="P66" s="497" t="str">
        <f>IFERROR(INDEX(YAtCData[YAtC/Rec],MATCH(TEmatchups[[#This Row],[Name]],YAtCData[Player],0)),"0")</f>
        <v>0</v>
      </c>
      <c r="Q66" s="17" t="str">
        <f>IFERROR(INDEX(YAtCData[YAC],MATCH(TEmatchups[[#This Row],[Name]],YAtCData[Player],0)),"0")</f>
        <v>0</v>
      </c>
      <c r="R66" s="497" t="str">
        <f>IFERROR(INDEX(YACDATA[YAC per Reception],MATCH(TEmatchups[[#This Row],[Name]],YACDATA[Player],0)),"0")</f>
        <v>0</v>
      </c>
      <c r="S66" s="418">
        <f>AVERAGE(TEmatchups[[#This Row],[Tar1]:[Tar3]])</f>
        <v>0.4</v>
      </c>
      <c r="T66" s="19">
        <f>AVERAGE(TEmatchups[[#This Row],[Rec1]:[Rec3]])</f>
        <v>0.27449999999999997</v>
      </c>
      <c r="U66" s="202">
        <f>SUM(TEmatchups[[#This Row],[Rec4]]/TEmatchups[[#This Row],[Targets2]])</f>
        <v>0.68624999999999992</v>
      </c>
      <c r="V66" s="32">
        <f>AVERAGE(TEmatchups[[#This Row],[Yards1]:[Yards3]])</f>
        <v>2.6619999999999999</v>
      </c>
      <c r="W66" s="19">
        <f>SUM(TEmatchups[[#This Row],[Yards]]/TEmatchups[[#This Row],[Targets2]])</f>
        <v>6.6549999999999994</v>
      </c>
      <c r="X66" s="32">
        <f>AVERAGE(TEmatchups[[#This Row],[TD1]:[TD3]])</f>
        <v>8.9999999999999993E-3</v>
      </c>
      <c r="Y66" s="14">
        <v>64</v>
      </c>
      <c r="Z66" s="19">
        <f>SUM(TEmatchups[[#This Row],[Yards]]*0.1)+(TEmatchups[[#This Row],[TD]]*6)+(TEmatchups[[#This Row],[Rec4]]*1)+(TEmatchups[[#This Row],[100+]])</f>
        <v>0.59470000000000001</v>
      </c>
      <c r="AA66" s="8">
        <f>_xlfn.RANK.EQ(TEmatchups[[#This Row],[$/FP]],TEmatchups[$/FP],1)</f>
        <v>58</v>
      </c>
      <c r="AB66" s="484">
        <f>SUM(TEmatchups[[#This Row],[Salary]]/TEmatchups[[#This Row],[Projection]])</f>
        <v>4203.800235412813</v>
      </c>
      <c r="AC66" s="482">
        <f>_xlfn.RANK.EQ(TEmatchups[[#This Row],[Average2]],TEmatchups[Average2],1)</f>
        <v>56</v>
      </c>
      <c r="AD66" s="241">
        <f>AVERAGE(TEmatchups[[#This Row],[Proj Rank]],TEmatchups[[#This Row],[Value Rank]])</f>
        <v>61</v>
      </c>
      <c r="AE66" s="210">
        <f>TEmatchups[[#This Row],[Salary]]/50000</f>
        <v>0.05</v>
      </c>
      <c r="AF66" s="210"/>
      <c r="AG66" s="14">
        <f>IFERROR(INDEX(TEstats3[Targets],MATCH(TEmatchups[[#This Row],[Name]],TEstats3[Player],0)),"0")</f>
        <v>0.4</v>
      </c>
      <c r="AH66" s="14" t="str">
        <f>IFERROR(INDEX(TEstats2[Targets],MATCH(TEmatchups[[#This Row],[Name]],TEstats2[Player],0)),"0")</f>
        <v>0</v>
      </c>
      <c r="AI66" s="14">
        <f>IFERROR(INDEX(TEstats3[Targets],MATCH(TEmatchups[[#This Row],[Name]],TEstats3[Player],0)),"0")</f>
        <v>0.4</v>
      </c>
      <c r="AJ66" s="14">
        <f>IFERROR(INDEX(TEstats1[Rec],MATCH(TEmatchups[[#This Row],[Name]],TEstats1[Player],0)),"0")</f>
        <v>0.249</v>
      </c>
      <c r="AK66" s="14" t="str">
        <f>IFERROR(INDEX(TEstats2[Rec],MATCH(TEmatchups[[#This Row],[Name]],TEstats2[Player],0)),"0")</f>
        <v>0</v>
      </c>
      <c r="AL66" s="14">
        <f>IFERROR(INDEX(TEstats3[Rec],MATCH(TEmatchups[[#This Row],[Name]],TEstats3[Player],0)),"0")</f>
        <v>0.3</v>
      </c>
      <c r="AM66" s="32">
        <f>IFERROR(INDEX(TEallowed[Rec],MATCH(TEmatchups[[#This Row],[Opp]],TEallowed[Team],0)),"0")</f>
        <v>5.6875</v>
      </c>
      <c r="AN66" s="14">
        <f>IFERROR(INDEX(TEstats1[Rec Yds],MATCH(TEmatchups[[#This Row],[Name]],TEstats1[Player],0)),"0")</f>
        <v>2.8239999999999998</v>
      </c>
      <c r="AO66" s="14" t="str">
        <f>IFERROR(INDEX(TEstats2[RecYards],MATCH(TEmatchups[[#This Row],[Name]],TEstats2[Player],0)),"0")</f>
        <v>0</v>
      </c>
      <c r="AP66" s="14">
        <f>IFERROR(INDEX(TEstats3[RecYards],MATCH(TEmatchups[[#This Row],[Name]],TEstats3[Player],0)),"0")</f>
        <v>2.5</v>
      </c>
      <c r="AQ66" s="32">
        <f>IFERROR(INDEX(TEallowed[Yard],MATCH(TEmatchups[[#This Row],[Opp]],TEallowed[Team],0)),"0")</f>
        <v>53.3125</v>
      </c>
      <c r="AR66" s="14">
        <f>IFERROR(INDEX(TEstats1[Rec TD],MATCH(TEmatchups[[#This Row],[Name]],TEstats1[Player],0)),"0")</f>
        <v>1.7999999999999999E-2</v>
      </c>
      <c r="AS66" s="14" t="str">
        <f>IFERROR(INDEX(TEstats2[RecTD],MATCH(TEmatchups[[#This Row],[Name]],TEstats2[Player],0)),"0")</f>
        <v>0</v>
      </c>
      <c r="AT66" s="14">
        <f>IFERROR(INDEX(TEstats3[RecTD],MATCH(TEmatchups[[#This Row],[Name]],TEstats3[Player],0)),"0")</f>
        <v>0</v>
      </c>
      <c r="AU66" s="32">
        <f>IFERROR(INDEX(TEallowed[TD],MATCH(TEmatchups[[#This Row],[Opp]],TEallowed[Team],0)),"0")</f>
        <v>0.25</v>
      </c>
      <c r="AV66" s="32">
        <f>IF(TEmatchups[[#This Row],[Yards]]&gt;=100,3,0)</f>
        <v>0</v>
      </c>
    </row>
    <row r="67" spans="1:48" ht="15" thickBot="1" x14ac:dyDescent="0.35">
      <c r="A67" s="37">
        <f>TEstats1!AL62</f>
        <v>0.3</v>
      </c>
      <c r="B67" s="5" t="str">
        <f>TEstats1!D62</f>
        <v>Brandon Bostick</v>
      </c>
      <c r="C67" s="172">
        <f>IFERROR(INDEX(Salaries[DraftKings (Price)],MATCH(TEmatchups[[#This Row],[Name]],Salaries[Player],0)),"")</f>
        <v>2500</v>
      </c>
      <c r="D67" s="172">
        <f>IFERROR(INDEX(DK_Salary_Changes[WeekChange],MATCH(TEmatchups[[#This Row],[Name]],DK_Salary_Changes[Player],0)),"")</f>
        <v>0</v>
      </c>
      <c r="E67" s="14" t="str">
        <f>IFERROR(INDEX(Salaries[Team],MATCH(TEmatchups[[#This Row],[Name]],Salaries[Player],0)),"")</f>
        <v>NYJ</v>
      </c>
      <c r="F67" s="14" t="str">
        <f>IFERROR(INDEX(Salaries[Opp],MATCH(TEmatchups[[#This Row],[Team]],Salaries[Team],0)),"")</f>
        <v>SEA</v>
      </c>
      <c r="G67" s="457" t="str">
        <f>IFERROR(INDEX(TightEndYTD[Rec],MATCH(TEmatchups[Name],TightEndYTD[Player],0)),"0")</f>
        <v>0</v>
      </c>
      <c r="H67" s="191">
        <f>IFERROR(INDEX(targettracker54[TTL],MATCH(TEmatchups[Name],targettracker54[Name],0)),"0")</f>
        <v>1</v>
      </c>
      <c r="I67" s="458" t="str">
        <f>IFERROR(INDEX(TightEndYTD[Rec Yds],MATCH(TEmatchups[Name],TightEndYTD[Player],0)),"0")</f>
        <v>0</v>
      </c>
      <c r="J67" s="459" t="str">
        <f>IFERROR(INDEX(TightEndYTD[Rec TD],MATCH(TEmatchups[Name],TightEndYTD[Player],0)),"0")</f>
        <v>0</v>
      </c>
      <c r="K67" s="431">
        <f>IFERROR(INDEX(Salaries[O/U],MATCH(TEmatchups[[#This Row],[Team]],Salaries[Team],0)),"")</f>
        <v>40.5</v>
      </c>
      <c r="L67" s="32">
        <f>IFERROR(INDEX(Salaries[Team O/U],MATCH(TEmatchups[[#This Row],[Team]],Salaries[Team],0)),"")</f>
        <v>19.5</v>
      </c>
      <c r="M67" s="417">
        <f>IFERROR(INDEX(Salaries[Spread],MATCH(TEmatchups[[#This Row],[Team]],Salaries[Team],0)),"")</f>
        <v>1.5</v>
      </c>
      <c r="N67" s="424">
        <f>IFERROR(INDEX(TEallowed[DVP],MATCH(TEmatchups[[#This Row],[Opp]],TEallowed[Team],0)),IFERROR(INDEX(TEallowed[DVP],MATCH(TEmatchups[[#This Row],[Opp]],TEallowed[Opp],0)),""))</f>
        <v>23</v>
      </c>
      <c r="O67" s="17" t="str">
        <f>IFERROR(INDEX(YAtCData[YAtC],MATCH(TEmatchups[[#This Row],[Name]],YAtCData[Player],0)),"0")</f>
        <v>0</v>
      </c>
      <c r="P67" s="497" t="str">
        <f>IFERROR(INDEX(YAtCData[YAtC/Rec],MATCH(TEmatchups[[#This Row],[Name]],YAtCData[Player],0)),"0")</f>
        <v>0</v>
      </c>
      <c r="Q67" s="17" t="str">
        <f>IFERROR(INDEX(YAtCData[YAC],MATCH(TEmatchups[[#This Row],[Name]],YAtCData[Player],0)),"0")</f>
        <v>0</v>
      </c>
      <c r="R67" s="497" t="str">
        <f>IFERROR(INDEX(YACDATA[YAC per Reception],MATCH(TEmatchups[[#This Row],[Name]],YACDATA[Player],0)),"0")</f>
        <v>0</v>
      </c>
      <c r="S67" s="418">
        <f>AVERAGE(TEmatchups[[#This Row],[Tar1]:[Tar3]])</f>
        <v>1</v>
      </c>
      <c r="T67" s="19">
        <f>AVERAGE(TEmatchups[[#This Row],[Rec1]:[Rec3]])</f>
        <v>0.44099999999999995</v>
      </c>
      <c r="U67" s="202">
        <f>SUM(TEmatchups[[#This Row],[Rec4]]/TEmatchups[[#This Row],[Targets2]])</f>
        <v>0.44099999999999995</v>
      </c>
      <c r="V67" s="32">
        <f>AVERAGE(TEmatchups[[#This Row],[Yards1]:[Yards3]])</f>
        <v>4.3594999999999997</v>
      </c>
      <c r="W67" s="19">
        <f>SUM(TEmatchups[[#This Row],[Yards]]/TEmatchups[[#This Row],[Targets2]])</f>
        <v>4.3594999999999997</v>
      </c>
      <c r="X67" s="32">
        <f>AVERAGE(TEmatchups[[#This Row],[TD1]:[TD3]])</f>
        <v>0</v>
      </c>
      <c r="Y67" s="14">
        <v>65</v>
      </c>
      <c r="Z67" s="19">
        <f>SUM(TEmatchups[[#This Row],[Yards]]*0.1)+(TEmatchups[[#This Row],[TD]]*6)+(TEmatchups[[#This Row],[Rec4]]*1)+(TEmatchups[[#This Row],[100+]])</f>
        <v>0.8769499999999999</v>
      </c>
      <c r="AA67" s="8">
        <f>_xlfn.RANK.EQ(TEmatchups[[#This Row],[$/FP]],TEmatchups[$/FP],1)</f>
        <v>54</v>
      </c>
      <c r="AB67" s="484">
        <f>SUM(TEmatchups[[#This Row],[Salary]]/TEmatchups[[#This Row],[Projection]])</f>
        <v>2850.7896687382408</v>
      </c>
      <c r="AC67" s="482">
        <f>_xlfn.RANK.EQ(TEmatchups[[#This Row],[Average2]],TEmatchups[Average2],1)</f>
        <v>55</v>
      </c>
      <c r="AD67" s="241">
        <f>AVERAGE(TEmatchups[[#This Row],[Proj Rank]],TEmatchups[[#This Row],[Value Rank]])</f>
        <v>59.5</v>
      </c>
      <c r="AE67" s="210">
        <f>TEmatchups[[#This Row],[Salary]]/50000</f>
        <v>0.05</v>
      </c>
      <c r="AF67" s="210"/>
      <c r="AG67" s="14">
        <f>IFERROR(INDEX(TEstats3[Targets],MATCH(TEmatchups[[#This Row],[Name]],TEstats3[Player],0)),"0")</f>
        <v>1</v>
      </c>
      <c r="AH67" s="14" t="str">
        <f>IFERROR(INDEX(TEstats2[Targets],MATCH(TEmatchups[[#This Row],[Name]],TEstats2[Player],0)),"0")</f>
        <v>0</v>
      </c>
      <c r="AI67" s="14">
        <f>IFERROR(INDEX(TEstats3[Targets],MATCH(TEmatchups[[#This Row],[Name]],TEstats3[Player],0)),"0")</f>
        <v>1</v>
      </c>
      <c r="AJ67" s="14">
        <f>IFERROR(INDEX(TEstats1[Rec],MATCH(TEmatchups[[#This Row],[Name]],TEstats1[Player],0)),"0")</f>
        <v>0.182</v>
      </c>
      <c r="AK67" s="14" t="str">
        <f>IFERROR(INDEX(TEstats2[Rec],MATCH(TEmatchups[[#This Row],[Name]],TEstats2[Player],0)),"0")</f>
        <v>0</v>
      </c>
      <c r="AL67" s="14">
        <f>IFERROR(INDEX(TEstats3[Rec],MATCH(TEmatchups[[#This Row],[Name]],TEstats3[Player],0)),"0")</f>
        <v>0.7</v>
      </c>
      <c r="AM67" s="32">
        <f>IFERROR(INDEX(TEallowed[Rec],MATCH(TEmatchups[[#This Row],[Opp]],TEallowed[Team],0)),"0")</f>
        <v>4</v>
      </c>
      <c r="AN67" s="14">
        <f>IFERROR(INDEX(TEstats1[Rec Yds],MATCH(TEmatchups[[#This Row],[Name]],TEstats1[Player],0)),"0")</f>
        <v>2.1190000000000002</v>
      </c>
      <c r="AO67" s="14" t="str">
        <f>IFERROR(INDEX(TEstats2[RecYards],MATCH(TEmatchups[[#This Row],[Name]],TEstats2[Player],0)),"0")</f>
        <v>0</v>
      </c>
      <c r="AP67" s="14">
        <f>IFERROR(INDEX(TEstats3[RecYards],MATCH(TEmatchups[[#This Row],[Name]],TEstats3[Player],0)),"0")</f>
        <v>6.6</v>
      </c>
      <c r="AQ67" s="32">
        <f>IFERROR(INDEX(TEallowed[Yard],MATCH(TEmatchups[[#This Row],[Opp]],TEallowed[Team],0)),"0")</f>
        <v>39.375</v>
      </c>
      <c r="AR67" s="14">
        <f>IFERROR(INDEX(TEstats1[Rec TD],MATCH(TEmatchups[[#This Row],[Name]],TEstats1[Player],0)),"0")</f>
        <v>0</v>
      </c>
      <c r="AS67" s="14" t="str">
        <f>IFERROR(INDEX(TEstats2[RecTD],MATCH(TEmatchups[[#This Row],[Name]],TEstats2[Player],0)),"0")</f>
        <v>0</v>
      </c>
      <c r="AT67" s="14">
        <f>IFERROR(INDEX(TEstats3[RecTD],MATCH(TEmatchups[[#This Row],[Name]],TEstats3[Player],0)),"0")</f>
        <v>0</v>
      </c>
      <c r="AU67" s="32">
        <f>IFERROR(INDEX(TEallowed[TD],MATCH(TEmatchups[[#This Row],[Opp]],TEallowed[Team],0)),"0")</f>
        <v>0.4375</v>
      </c>
      <c r="AV67" s="32">
        <f>IF(TEmatchups[[#This Row],[Yards]]&gt;=100,3,0)</f>
        <v>0</v>
      </c>
    </row>
    <row r="68" spans="1:48" ht="15" thickBot="1" x14ac:dyDescent="0.35">
      <c r="A68" s="37">
        <f>TEstats1!AL63</f>
        <v>0</v>
      </c>
      <c r="B68" s="5" t="str">
        <f>TEstats1!D63</f>
        <v>Erik Swoope</v>
      </c>
      <c r="C68" s="172">
        <f>IFERROR(INDEX(Salaries[DraftKings (Price)],MATCH(TEmatchups[[#This Row],[Name]],Salaries[Player],0)),"")</f>
        <v>2500</v>
      </c>
      <c r="D68" s="172">
        <f>IFERROR(INDEX(DK_Salary_Changes[WeekChange],MATCH(TEmatchups[[#This Row],[Name]],DK_Salary_Changes[Player],0)),"")</f>
        <v>0</v>
      </c>
      <c r="E68" s="14" t="str">
        <f>IFERROR(INDEX(Salaries[Team],MATCH(TEmatchups[[#This Row],[Name]],Salaries[Player],0)),"")</f>
        <v>IND</v>
      </c>
      <c r="F68" s="14" t="str">
        <f>IFERROR(INDEX(Salaries[Opp],MATCH(TEmatchups[[#This Row],[Team]],Salaries[Team],0)),"")</f>
        <v>@JAX</v>
      </c>
      <c r="G68" s="457" t="str">
        <f>IFERROR(INDEX(TightEndYTD[Rec],MATCH(TEmatchups[Name],TightEndYTD[Player],0)),"0")</f>
        <v>0</v>
      </c>
      <c r="H68" s="191">
        <f>IFERROR(INDEX(targettracker54[TTL],MATCH(TEmatchups[Name],targettracker54[Name],0)),"0")</f>
        <v>0</v>
      </c>
      <c r="I68" s="458" t="str">
        <f>IFERROR(INDEX(TightEndYTD[Rec Yds],MATCH(TEmatchups[Name],TightEndYTD[Player],0)),"0")</f>
        <v>0</v>
      </c>
      <c r="J68" s="459" t="str">
        <f>IFERROR(INDEX(TightEndYTD[Rec TD],MATCH(TEmatchups[Name],TightEndYTD[Player],0)),"0")</f>
        <v>0</v>
      </c>
      <c r="K68" s="431">
        <f>IFERROR(INDEX(Salaries[O/U],MATCH(TEmatchups[[#This Row],[Team]],Salaries[Team],0)),"")</f>
        <v>49.5</v>
      </c>
      <c r="L68" s="32">
        <f>IFERROR(INDEX(Salaries[Team O/U],MATCH(TEmatchups[[#This Row],[Team]],Salaries[Team],0)),"")</f>
        <v>26</v>
      </c>
      <c r="M68" s="417">
        <f>IFERROR(INDEX(Salaries[Spread],MATCH(TEmatchups[[#This Row],[Team]],Salaries[Team],0)),"")</f>
        <v>-2.5</v>
      </c>
      <c r="N68" s="424">
        <f>IFERROR(INDEX(TEallowed[DVP],MATCH(TEmatchups[[#This Row],[Opp]],TEallowed[Team],0)),IFERROR(INDEX(TEallowed[DVP],MATCH(TEmatchups[[#This Row],[Opp]],TEallowed[Opp],0)),""))</f>
        <v>27</v>
      </c>
      <c r="O68" s="17" t="str">
        <f>IFERROR(INDEX(YAtCData[YAtC],MATCH(TEmatchups[[#This Row],[Name]],YAtCData[Player],0)),"0")</f>
        <v>0</v>
      </c>
      <c r="P68" s="497" t="str">
        <f>IFERROR(INDEX(YAtCData[YAtC/Rec],MATCH(TEmatchups[[#This Row],[Name]],YAtCData[Player],0)),"0")</f>
        <v>0</v>
      </c>
      <c r="Q68" s="17" t="str">
        <f>IFERROR(INDEX(YAtCData[YAC],MATCH(TEmatchups[[#This Row],[Name]],YAtCData[Player],0)),"0")</f>
        <v>0</v>
      </c>
      <c r="R68" s="497" t="str">
        <f>IFERROR(INDEX(YACDATA[YAC per Reception],MATCH(TEmatchups[[#This Row],[Name]],YACDATA[Player],0)),"0")</f>
        <v>0</v>
      </c>
      <c r="S68" s="418">
        <f>AVERAGE(TEmatchups[[#This Row],[Tar1]:[Tar3]])</f>
        <v>0.3</v>
      </c>
      <c r="T68" s="19">
        <f>AVERAGE(TEmatchups[[#This Row],[Rec1]:[Rec3]])</f>
        <v>0.16250000000000001</v>
      </c>
      <c r="U68" s="202">
        <f>SUM(TEmatchups[[#This Row],[Rec4]]/TEmatchups[[#This Row],[Targets2]])</f>
        <v>0.54166666666666674</v>
      </c>
      <c r="V68" s="32">
        <f>AVERAGE(TEmatchups[[#This Row],[Yards1]:[Yards3]])</f>
        <v>1.5619999999999998</v>
      </c>
      <c r="W68" s="19">
        <f>SUM(TEmatchups[[#This Row],[Yards]]/TEmatchups[[#This Row],[Targets2]])</f>
        <v>5.2066666666666661</v>
      </c>
      <c r="X68" s="32">
        <f>AVERAGE(TEmatchups[[#This Row],[TD1]:[TD3]])</f>
        <v>5.0000000000000001E-3</v>
      </c>
      <c r="Y68" s="14">
        <v>66</v>
      </c>
      <c r="Z68" s="19">
        <f>SUM(TEmatchups[[#This Row],[Yards]]*0.1)+(TEmatchups[[#This Row],[TD]]*6)+(TEmatchups[[#This Row],[Rec4]]*1)+(TEmatchups[[#This Row],[100+]])</f>
        <v>0.34870000000000001</v>
      </c>
      <c r="AA68" s="8">
        <f>_xlfn.RANK.EQ(TEmatchups[[#This Row],[$/FP]],TEmatchups[$/FP],1)</f>
        <v>60</v>
      </c>
      <c r="AB68" s="484">
        <f>SUM(TEmatchups[[#This Row],[Salary]]/TEmatchups[[#This Row],[Projection]])</f>
        <v>7169.4866647548033</v>
      </c>
      <c r="AC68" s="482">
        <f>_xlfn.RANK.EQ(TEmatchups[[#This Row],[Average2]],TEmatchups[Average2],1)</f>
        <v>59</v>
      </c>
      <c r="AD68" s="241">
        <f>AVERAGE(TEmatchups[[#This Row],[Proj Rank]],TEmatchups[[#This Row],[Value Rank]])</f>
        <v>63</v>
      </c>
      <c r="AE68" s="210">
        <f>TEmatchups[[#This Row],[Salary]]/50000</f>
        <v>0.05</v>
      </c>
      <c r="AF68" s="210"/>
      <c r="AG68" s="14">
        <f>IFERROR(INDEX(TEstats3[Targets],MATCH(TEmatchups[[#This Row],[Name]],TEstats3[Player],0)),"0")</f>
        <v>0.3</v>
      </c>
      <c r="AH68" s="14" t="str">
        <f>IFERROR(INDEX(TEstats2[Targets],MATCH(TEmatchups[[#This Row],[Name]],TEstats2[Player],0)),"0")</f>
        <v>0</v>
      </c>
      <c r="AI68" s="14">
        <f>IFERROR(INDEX(TEstats3[Targets],MATCH(TEmatchups[[#This Row],[Name]],TEstats3[Player],0)),"0")</f>
        <v>0.3</v>
      </c>
      <c r="AJ68" s="14">
        <f>IFERROR(INDEX(TEstats1[Rec],MATCH(TEmatchups[[#This Row],[Name]],TEstats1[Player],0)),"0")</f>
        <v>0.125</v>
      </c>
      <c r="AK68" s="14" t="str">
        <f>IFERROR(INDEX(TEstats2[Rec],MATCH(TEmatchups[[#This Row],[Name]],TEstats2[Player],0)),"0")</f>
        <v>0</v>
      </c>
      <c r="AL68" s="14">
        <f>IFERROR(INDEX(TEstats3[Rec],MATCH(TEmatchups[[#This Row],[Name]],TEstats3[Player],0)),"0")</f>
        <v>0.2</v>
      </c>
      <c r="AM68" s="32" t="str">
        <f>IFERROR(INDEX(TEallowed[Rec],MATCH(TEmatchups[[#This Row],[Opp]],TEallowed[Team],0)),"0")</f>
        <v>0</v>
      </c>
      <c r="AN68" s="14">
        <f>IFERROR(INDEX(TEstats1[Rec Yds],MATCH(TEmatchups[[#This Row],[Name]],TEstats1[Player],0)),"0")</f>
        <v>1.4239999999999999</v>
      </c>
      <c r="AO68" s="14" t="str">
        <f>IFERROR(INDEX(TEstats2[RecYards],MATCH(TEmatchups[[#This Row],[Name]],TEstats2[Player],0)),"0")</f>
        <v>0</v>
      </c>
      <c r="AP68" s="14">
        <f>IFERROR(INDEX(TEstats3[RecYards],MATCH(TEmatchups[[#This Row],[Name]],TEstats3[Player],0)),"0")</f>
        <v>1.7</v>
      </c>
      <c r="AQ68" s="32" t="str">
        <f>IFERROR(INDEX(TEallowed[Yard],MATCH(TEmatchups[[#This Row],[Opp]],TEallowed[Team],0)),"0")</f>
        <v>0</v>
      </c>
      <c r="AR68" s="14">
        <f>IFERROR(INDEX(TEstats1[Rec TD],MATCH(TEmatchups[[#This Row],[Name]],TEstats1[Player],0)),"0")</f>
        <v>0.01</v>
      </c>
      <c r="AS68" s="14" t="str">
        <f>IFERROR(INDEX(TEstats2[RecTD],MATCH(TEmatchups[[#This Row],[Name]],TEstats2[Player],0)),"0")</f>
        <v>0</v>
      </c>
      <c r="AT68" s="14">
        <f>IFERROR(INDEX(TEstats3[RecTD],MATCH(TEmatchups[[#This Row],[Name]],TEstats3[Player],0)),"0")</f>
        <v>0</v>
      </c>
      <c r="AU68" s="32" t="str">
        <f>IFERROR(INDEX(TEallowed[TD],MATCH(TEmatchups[[#This Row],[Opp]],TEallowed[Team],0)),"0")</f>
        <v>0</v>
      </c>
      <c r="AV68" s="32">
        <f>IF(TEmatchups[[#This Row],[Yards]]&gt;=100,3,0)</f>
        <v>0</v>
      </c>
    </row>
    <row r="69" spans="1:48" ht="15" thickBot="1" x14ac:dyDescent="0.35">
      <c r="A69" s="37">
        <f>TEstats1!AL65</f>
        <v>0.7</v>
      </c>
      <c r="B69" s="5" t="str">
        <f>TEstats1!D65</f>
        <v>Kellen Davis</v>
      </c>
      <c r="C69" s="172">
        <f>IFERROR(INDEX(Salaries[DraftKings (Price)],MATCH(TEmatchups[[#This Row],[Name]],Salaries[Player],0)),"")</f>
        <v>2500</v>
      </c>
      <c r="D69" s="172">
        <f>IFERROR(INDEX(DK_Salary_Changes[WeekChange],MATCH(TEmatchups[[#This Row],[Name]],DK_Salary_Changes[Player],0)),"")</f>
        <v>0</v>
      </c>
      <c r="E69" s="14" t="str">
        <f>IFERROR(INDEX(Salaries[Team],MATCH(TEmatchups[[#This Row],[Name]],Salaries[Player],0)),"")</f>
        <v>NYJ</v>
      </c>
      <c r="F69" s="14" t="str">
        <f>IFERROR(INDEX(Salaries[Opp],MATCH(TEmatchups[[#This Row],[Team]],Salaries[Team],0)),"")</f>
        <v>SEA</v>
      </c>
      <c r="G69" s="457" t="str">
        <f>IFERROR(INDEX(TightEndYTD[Rec],MATCH(TEmatchups[Name],TightEndYTD[Player],0)),"0")</f>
        <v>0</v>
      </c>
      <c r="H69" s="191">
        <f>IFERROR(INDEX(targettracker54[TTL],MATCH(TEmatchups[Name],targettracker54[Name],0)),"0")</f>
        <v>1</v>
      </c>
      <c r="I69" s="458" t="str">
        <f>IFERROR(INDEX(TightEndYTD[Rec Yds],MATCH(TEmatchups[Name],TightEndYTD[Player],0)),"0")</f>
        <v>0</v>
      </c>
      <c r="J69" s="459" t="str">
        <f>IFERROR(INDEX(TightEndYTD[Rec TD],MATCH(TEmatchups[Name],TightEndYTD[Player],0)),"0")</f>
        <v>0</v>
      </c>
      <c r="K69" s="431">
        <f>IFERROR(INDEX(Salaries[O/U],MATCH(TEmatchups[[#This Row],[Team]],Salaries[Team],0)),"")</f>
        <v>40.5</v>
      </c>
      <c r="L69" s="32">
        <f>IFERROR(INDEX(Salaries[Team O/U],MATCH(TEmatchups[[#This Row],[Team]],Salaries[Team],0)),"")</f>
        <v>19.5</v>
      </c>
      <c r="M69" s="417">
        <f>IFERROR(INDEX(Salaries[Spread],MATCH(TEmatchups[[#This Row],[Team]],Salaries[Team],0)),"")</f>
        <v>1.5</v>
      </c>
      <c r="N69" s="424">
        <f>IFERROR(INDEX(TEallowed[DVP],MATCH(TEmatchups[[#This Row],[Opp]],TEallowed[Team],0)),IFERROR(INDEX(TEallowed[DVP],MATCH(TEmatchups[[#This Row],[Opp]],TEallowed[Opp],0)),""))</f>
        <v>23</v>
      </c>
      <c r="O69" s="17" t="str">
        <f>IFERROR(INDEX(YAtCData[YAtC],MATCH(TEmatchups[[#This Row],[Name]],YAtCData[Player],0)),"0")</f>
        <v>0</v>
      </c>
      <c r="P69" s="497" t="str">
        <f>IFERROR(INDEX(YAtCData[YAtC/Rec],MATCH(TEmatchups[[#This Row],[Name]],YAtCData[Player],0)),"0")</f>
        <v>0</v>
      </c>
      <c r="Q69" s="17" t="str">
        <f>IFERROR(INDEX(YAtCData[YAC],MATCH(TEmatchups[[#This Row],[Name]],YAtCData[Player],0)),"0")</f>
        <v>0</v>
      </c>
      <c r="R69" s="497" t="str">
        <f>IFERROR(INDEX(YACDATA[YAC per Reception],MATCH(TEmatchups[[#This Row],[Name]],YACDATA[Player],0)),"0")</f>
        <v>0</v>
      </c>
      <c r="S69" s="418">
        <f>AVERAGE(TEmatchups[[#This Row],[Tar1]:[Tar3]])</f>
        <v>1</v>
      </c>
      <c r="T69" s="19">
        <f>AVERAGE(TEmatchups[[#This Row],[Rec1]:[Rec3]])</f>
        <v>0.53200000000000003</v>
      </c>
      <c r="U69" s="202">
        <f>SUM(TEmatchups[[#This Row],[Rec4]]/TEmatchups[[#This Row],[Targets2]])</f>
        <v>0.53200000000000003</v>
      </c>
      <c r="V69" s="32">
        <f>AVERAGE(TEmatchups[[#This Row],[Yards1]:[Yards3]])</f>
        <v>4.4194999999999993</v>
      </c>
      <c r="W69" s="19">
        <f>SUM(TEmatchups[[#This Row],[Yards]]/TEmatchups[[#This Row],[Targets2]])</f>
        <v>4.4194999999999993</v>
      </c>
      <c r="X69" s="32">
        <f>AVERAGE(TEmatchups[[#This Row],[TD1]:[TD3]])</f>
        <v>0</v>
      </c>
      <c r="Y69" s="14">
        <v>69</v>
      </c>
      <c r="Z69" s="19">
        <f>SUM(TEmatchups[[#This Row],[Yards]]*0.1)+(TEmatchups[[#This Row],[TD]]*6)+(TEmatchups[[#This Row],[Rec4]]*1)+(TEmatchups[[#This Row],[100+]])</f>
        <v>0.97394999999999998</v>
      </c>
      <c r="AA69" s="8">
        <f>_xlfn.RANK.EQ(TEmatchups[[#This Row],[$/FP]],TEmatchups[$/FP],1)</f>
        <v>53</v>
      </c>
      <c r="AB69" s="484">
        <f>SUM(TEmatchups[[#This Row],[Salary]]/TEmatchups[[#This Row],[Projection]])</f>
        <v>2566.8668822834848</v>
      </c>
      <c r="AC69" s="482">
        <f>_xlfn.RANK.EQ(TEmatchups[[#This Row],[Average2]],TEmatchups[Average2],1)</f>
        <v>56</v>
      </c>
      <c r="AD69" s="241">
        <f>AVERAGE(TEmatchups[[#This Row],[Proj Rank]],TEmatchups[[#This Row],[Value Rank]])</f>
        <v>61</v>
      </c>
      <c r="AE69" s="210">
        <f>TEmatchups[[#This Row],[Salary]]/50000</f>
        <v>0.05</v>
      </c>
      <c r="AF69" s="210"/>
      <c r="AG69" s="14">
        <f>IFERROR(INDEX(TEstats3[Targets],MATCH(TEmatchups[[#This Row],[Name]],TEstats3[Player],0)),"0")</f>
        <v>1</v>
      </c>
      <c r="AH69" s="14" t="str">
        <f>IFERROR(INDEX(TEstats2[Targets],MATCH(TEmatchups[[#This Row],[Name]],TEstats2[Player],0)),"0")</f>
        <v>0</v>
      </c>
      <c r="AI69" s="14">
        <f>IFERROR(INDEX(TEstats3[Targets],MATCH(TEmatchups[[#This Row],[Name]],TEstats3[Player],0)),"0")</f>
        <v>1</v>
      </c>
      <c r="AJ69" s="14">
        <f>IFERROR(INDEX(TEstats1[Rec],MATCH(TEmatchups[[#This Row],[Name]],TEstats1[Player],0)),"0")</f>
        <v>0.36399999999999999</v>
      </c>
      <c r="AK69" s="14" t="str">
        <f>IFERROR(INDEX(TEstats2[Rec],MATCH(TEmatchups[[#This Row],[Name]],TEstats2[Player],0)),"0")</f>
        <v>0</v>
      </c>
      <c r="AL69" s="14">
        <f>IFERROR(INDEX(TEstats3[Rec],MATCH(TEmatchups[[#This Row],[Name]],TEstats3[Player],0)),"0")</f>
        <v>0.7</v>
      </c>
      <c r="AM69" s="32">
        <f>IFERROR(INDEX(TEallowed[Rec],MATCH(TEmatchups[[#This Row],[Opp]],TEallowed[Team],0)),"0")</f>
        <v>4</v>
      </c>
      <c r="AN69" s="14">
        <f>IFERROR(INDEX(TEstats1[Rec Yds],MATCH(TEmatchups[[#This Row],[Name]],TEstats1[Player],0)),"0")</f>
        <v>4.2389999999999999</v>
      </c>
      <c r="AO69" s="14" t="str">
        <f>IFERROR(INDEX(TEstats2[RecYards],MATCH(TEmatchups[[#This Row],[Name]],TEstats2[Player],0)),"0")</f>
        <v>0</v>
      </c>
      <c r="AP69" s="14">
        <f>IFERROR(INDEX(TEstats3[RecYards],MATCH(TEmatchups[[#This Row],[Name]],TEstats3[Player],0)),"0")</f>
        <v>4.5999999999999996</v>
      </c>
      <c r="AQ69" s="32">
        <f>IFERROR(INDEX(TEallowed[Yard],MATCH(TEmatchups[[#This Row],[Opp]],TEallowed[Team],0)),"0")</f>
        <v>39.375</v>
      </c>
      <c r="AR69" s="14">
        <f>IFERROR(INDEX(TEstats1[Rec TD],MATCH(TEmatchups[[#This Row],[Name]],TEstats1[Player],0)),"0")</f>
        <v>0</v>
      </c>
      <c r="AS69" s="14" t="str">
        <f>IFERROR(INDEX(TEstats2[RecTD],MATCH(TEmatchups[[#This Row],[Name]],TEstats2[Player],0)),"0")</f>
        <v>0</v>
      </c>
      <c r="AT69" s="14">
        <f>IFERROR(INDEX(TEstats3[RecTD],MATCH(TEmatchups[[#This Row],[Name]],TEstats3[Player],0)),"0")</f>
        <v>0</v>
      </c>
      <c r="AU69" s="32">
        <f>IFERROR(INDEX(TEallowed[TD],MATCH(TEmatchups[[#This Row],[Opp]],TEallowed[Team],0)),"0")</f>
        <v>0.4375</v>
      </c>
      <c r="AV69" s="32">
        <f>IF(TEmatchups[[#This Row],[Yards]]&gt;=100,3,0)</f>
        <v>0</v>
      </c>
    </row>
    <row r="70" spans="1:48" ht="15" thickBot="1" x14ac:dyDescent="0.35">
      <c r="A70" s="37">
        <f>TEstats1!AL69</f>
        <v>0.5</v>
      </c>
      <c r="B70" s="5" t="str">
        <f>TEstats1!D69</f>
        <v>Maxx Williams</v>
      </c>
      <c r="C70" s="172">
        <f>IFERROR(INDEX(Salaries[DraftKings (Price)],MATCH(TEmatchups[[#This Row],[Name]],Salaries[Player],0)),"")</f>
        <v>2500</v>
      </c>
      <c r="D70" s="172">
        <f>IFERROR(INDEX(DK_Salary_Changes[WeekChange],MATCH(TEmatchups[[#This Row],[Name]],DK_Salary_Changes[Player],0)),"")</f>
        <v>0</v>
      </c>
      <c r="E70" s="14" t="str">
        <f>IFERROR(INDEX(Salaries[Team],MATCH(TEmatchups[[#This Row],[Name]],Salaries[Player],0)),"")</f>
        <v>BAL</v>
      </c>
      <c r="F70" s="14" t="str">
        <f>IFERROR(INDEX(Salaries[Opp],MATCH(TEmatchups[[#This Row],[Team]],Salaries[Team],0)),"")</f>
        <v>OAK</v>
      </c>
      <c r="G70" s="457" t="str">
        <f>IFERROR(INDEX(TightEndYTD[Rec],MATCH(TEmatchups[Name],TightEndYTD[Player],0)),"0")</f>
        <v>0</v>
      </c>
      <c r="H70" s="191">
        <f>IFERROR(INDEX(targettracker54[TTL],MATCH(TEmatchups[Name],targettracker54[Name],0)),"0")</f>
        <v>0</v>
      </c>
      <c r="I70" s="458" t="str">
        <f>IFERROR(INDEX(TightEndYTD[Rec Yds],MATCH(TEmatchups[Name],TightEndYTD[Player],0)),"0")</f>
        <v>0</v>
      </c>
      <c r="J70" s="459" t="str">
        <f>IFERROR(INDEX(TightEndYTD[Rec TD],MATCH(TEmatchups[Name],TightEndYTD[Player],0)),"0")</f>
        <v>0</v>
      </c>
      <c r="K70" s="431">
        <f>IFERROR(INDEX(Salaries[O/U],MATCH(TEmatchups[[#This Row],[Team]],Salaries[Team],0)),"")</f>
        <v>46.5</v>
      </c>
      <c r="L70" s="32">
        <f>IFERROR(INDEX(Salaries[Team O/U],MATCH(TEmatchups[[#This Row],[Team]],Salaries[Team],0)),"")</f>
        <v>25</v>
      </c>
      <c r="M70" s="417">
        <f>IFERROR(INDEX(Salaries[Spread],MATCH(TEmatchups[[#This Row],[Team]],Salaries[Team],0)),"")</f>
        <v>-3.5</v>
      </c>
      <c r="N70" s="424">
        <f>IFERROR(INDEX(TEallowed[DVP],MATCH(TEmatchups[[#This Row],[Opp]],TEallowed[Team],0)),IFERROR(INDEX(TEallowed[DVP],MATCH(TEmatchups[[#This Row],[Opp]],TEallowed[Opp],0)),""))</f>
        <v>30</v>
      </c>
      <c r="O70" s="17" t="str">
        <f>IFERROR(INDEX(YAtCData[YAtC],MATCH(TEmatchups[[#This Row],[Name]],YAtCData[Player],0)),"0")</f>
        <v>0</v>
      </c>
      <c r="P70" s="497" t="str">
        <f>IFERROR(INDEX(YAtCData[YAtC/Rec],MATCH(TEmatchups[[#This Row],[Name]],YAtCData[Player],0)),"0")</f>
        <v>0</v>
      </c>
      <c r="Q70" s="17" t="str">
        <f>IFERROR(INDEX(YAtCData[YAC],MATCH(TEmatchups[[#This Row],[Name]],YAtCData[Player],0)),"0")</f>
        <v>0</v>
      </c>
      <c r="R70" s="497" t="str">
        <f>IFERROR(INDEX(YACDATA[YAC per Reception],MATCH(TEmatchups[[#This Row],[Name]],YACDATA[Player],0)),"0")</f>
        <v>0</v>
      </c>
      <c r="S70" s="418">
        <f>AVERAGE(TEmatchups[[#This Row],[Tar1]:[Tar3]])</f>
        <v>0.4</v>
      </c>
      <c r="T70" s="19">
        <f>AVERAGE(TEmatchups[[#This Row],[Rec1]:[Rec3]])</f>
        <v>0.27449999999999997</v>
      </c>
      <c r="U70" s="202">
        <f>SUM(TEmatchups[[#This Row],[Rec4]]/TEmatchups[[#This Row],[Targets2]])</f>
        <v>0.68624999999999992</v>
      </c>
      <c r="V70" s="32">
        <f>AVERAGE(TEmatchups[[#This Row],[Yards1]:[Yards3]])</f>
        <v>2.6619999999999999</v>
      </c>
      <c r="W70" s="19">
        <f>SUM(TEmatchups[[#This Row],[Yards]]/TEmatchups[[#This Row],[Targets2]])</f>
        <v>6.6549999999999994</v>
      </c>
      <c r="X70" s="32">
        <f>AVERAGE(TEmatchups[[#This Row],[TD1]:[TD3]])</f>
        <v>8.9999999999999993E-3</v>
      </c>
      <c r="Y70" s="14">
        <v>73</v>
      </c>
      <c r="Z70" s="19">
        <f>SUM(TEmatchups[[#This Row],[Yards]]*0.1)+(TEmatchups[[#This Row],[TD]]*6)+(TEmatchups[[#This Row],[Rec4]]*1)+(TEmatchups[[#This Row],[100+]])</f>
        <v>0.59470000000000001</v>
      </c>
      <c r="AA70" s="8">
        <f>_xlfn.RANK.EQ(TEmatchups[[#This Row],[$/FP]],TEmatchups[$/FP],1)</f>
        <v>58</v>
      </c>
      <c r="AB70" s="484">
        <f>SUM(TEmatchups[[#This Row],[Salary]]/TEmatchups[[#This Row],[Projection]])</f>
        <v>4203.800235412813</v>
      </c>
      <c r="AC70" s="482">
        <f>_xlfn.RANK.EQ(TEmatchups[[#This Row],[Average2]],TEmatchups[Average2],1)</f>
        <v>61</v>
      </c>
      <c r="AD70" s="241">
        <f>AVERAGE(TEmatchups[[#This Row],[Proj Rank]],TEmatchups[[#This Row],[Value Rank]])</f>
        <v>65.5</v>
      </c>
      <c r="AE70" s="210">
        <f>TEmatchups[[#This Row],[Salary]]/50000</f>
        <v>0.05</v>
      </c>
      <c r="AF70" s="210"/>
      <c r="AG70" s="14">
        <f>IFERROR(INDEX(TEstats3[Targets],MATCH(TEmatchups[[#This Row],[Name]],TEstats3[Player],0)),"0")</f>
        <v>0.4</v>
      </c>
      <c r="AH70" s="14" t="str">
        <f>IFERROR(INDEX(TEstats2[Targets],MATCH(TEmatchups[[#This Row],[Name]],TEstats2[Player],0)),"0")</f>
        <v>0</v>
      </c>
      <c r="AI70" s="14">
        <f>IFERROR(INDEX(TEstats3[Targets],MATCH(TEmatchups[[#This Row],[Name]],TEstats3[Player],0)),"0")</f>
        <v>0.4</v>
      </c>
      <c r="AJ70" s="14">
        <f>IFERROR(INDEX(TEstats1[Rec],MATCH(TEmatchups[[#This Row],[Name]],TEstats1[Player],0)),"0")</f>
        <v>0.249</v>
      </c>
      <c r="AK70" s="14" t="str">
        <f>IFERROR(INDEX(TEstats2[Rec],MATCH(TEmatchups[[#This Row],[Name]],TEstats2[Player],0)),"0")</f>
        <v>0</v>
      </c>
      <c r="AL70" s="14">
        <f>IFERROR(INDEX(TEstats3[Rec],MATCH(TEmatchups[[#This Row],[Name]],TEstats3[Player],0)),"0")</f>
        <v>0.3</v>
      </c>
      <c r="AM70" s="32">
        <f>IFERROR(INDEX(TEallowed[Rec],MATCH(TEmatchups[[#This Row],[Opp]],TEallowed[Team],0)),"0")</f>
        <v>5.6875</v>
      </c>
      <c r="AN70" s="14">
        <f>IFERROR(INDEX(TEstats1[Rec Yds],MATCH(TEmatchups[[#This Row],[Name]],TEstats1[Player],0)),"0")</f>
        <v>2.8239999999999998</v>
      </c>
      <c r="AO70" s="14" t="str">
        <f>IFERROR(INDEX(TEstats2[RecYards],MATCH(TEmatchups[[#This Row],[Name]],TEstats2[Player],0)),"0")</f>
        <v>0</v>
      </c>
      <c r="AP70" s="14">
        <f>IFERROR(INDEX(TEstats3[RecYards],MATCH(TEmatchups[[#This Row],[Name]],TEstats3[Player],0)),"0")</f>
        <v>2.5</v>
      </c>
      <c r="AQ70" s="32">
        <f>IFERROR(INDEX(TEallowed[Yard],MATCH(TEmatchups[[#This Row],[Opp]],TEallowed[Team],0)),"0")</f>
        <v>53.3125</v>
      </c>
      <c r="AR70" s="14">
        <f>IFERROR(INDEX(TEstats1[Rec TD],MATCH(TEmatchups[[#This Row],[Name]],TEstats1[Player],0)),"0")</f>
        <v>1.7999999999999999E-2</v>
      </c>
      <c r="AS70" s="14" t="str">
        <f>IFERROR(INDEX(TEstats2[RecTD],MATCH(TEmatchups[[#This Row],[Name]],TEstats2[Player],0)),"0")</f>
        <v>0</v>
      </c>
      <c r="AT70" s="14">
        <f>IFERROR(INDEX(TEstats3[RecTD],MATCH(TEmatchups[[#This Row],[Name]],TEstats3[Player],0)),"0")</f>
        <v>0</v>
      </c>
      <c r="AU70" s="32">
        <f>IFERROR(INDEX(TEallowed[TD],MATCH(TEmatchups[[#This Row],[Opp]],TEallowed[Team],0)),"0")</f>
        <v>0.25</v>
      </c>
      <c r="AV70" s="32">
        <f>IF(TEmatchups[[#This Row],[Yards]]&gt;=100,3,0)</f>
        <v>0</v>
      </c>
    </row>
    <row r="71" spans="1:48" ht="15" thickBot="1" x14ac:dyDescent="0.35">
      <c r="A71" s="37">
        <f>TEstats1!AL70</f>
        <v>0.4</v>
      </c>
      <c r="B71" s="5" t="str">
        <f>TEstats1!D70</f>
        <v>Brandon Bostick</v>
      </c>
      <c r="C71" s="172">
        <f>IFERROR(INDEX(Salaries[DraftKings (Price)],MATCH(TEmatchups[[#This Row],[Name]],Salaries[Player],0)),"")</f>
        <v>2500</v>
      </c>
      <c r="D71" s="172">
        <f>IFERROR(INDEX(DK_Salary_Changes[WeekChange],MATCH(TEmatchups[[#This Row],[Name]],DK_Salary_Changes[Player],0)),"")</f>
        <v>0</v>
      </c>
      <c r="E71" s="14" t="str">
        <f>IFERROR(INDEX(Salaries[Team],MATCH(TEmatchups[[#This Row],[Name]],Salaries[Player],0)),"")</f>
        <v>NYJ</v>
      </c>
      <c r="F71" s="14" t="str">
        <f>IFERROR(INDEX(Salaries[Opp],MATCH(TEmatchups[[#This Row],[Team]],Salaries[Team],0)),"")</f>
        <v>SEA</v>
      </c>
      <c r="G71" s="457" t="str">
        <f>IFERROR(INDEX(TightEndYTD[Rec],MATCH(TEmatchups[Name],TightEndYTD[Player],0)),"0")</f>
        <v>0</v>
      </c>
      <c r="H71" s="191">
        <f>IFERROR(INDEX(targettracker54[TTL],MATCH(TEmatchups[Name],targettracker54[Name],0)),"0")</f>
        <v>1</v>
      </c>
      <c r="I71" s="458" t="str">
        <f>IFERROR(INDEX(TightEndYTD[Rec Yds],MATCH(TEmatchups[Name],TightEndYTD[Player],0)),"0")</f>
        <v>0</v>
      </c>
      <c r="J71" s="459" t="str">
        <f>IFERROR(INDEX(TightEndYTD[Rec TD],MATCH(TEmatchups[Name],TightEndYTD[Player],0)),"0")</f>
        <v>0</v>
      </c>
      <c r="K71" s="431">
        <f>IFERROR(INDEX(Salaries[O/U],MATCH(TEmatchups[[#This Row],[Team]],Salaries[Team],0)),"")</f>
        <v>40.5</v>
      </c>
      <c r="L71" s="32">
        <f>IFERROR(INDEX(Salaries[Team O/U],MATCH(TEmatchups[[#This Row],[Team]],Salaries[Team],0)),"")</f>
        <v>19.5</v>
      </c>
      <c r="M71" s="417">
        <f>IFERROR(INDEX(Salaries[Spread],MATCH(TEmatchups[[#This Row],[Team]],Salaries[Team],0)),"")</f>
        <v>1.5</v>
      </c>
      <c r="N71" s="424">
        <f>IFERROR(INDEX(TEallowed[DVP],MATCH(TEmatchups[[#This Row],[Opp]],TEallowed[Team],0)),IFERROR(INDEX(TEallowed[DVP],MATCH(TEmatchups[[#This Row],[Opp]],TEallowed[Opp],0)),""))</f>
        <v>23</v>
      </c>
      <c r="O71" s="17" t="str">
        <f>IFERROR(INDEX(YAtCData[YAtC],MATCH(TEmatchups[[#This Row],[Name]],YAtCData[Player],0)),"0")</f>
        <v>0</v>
      </c>
      <c r="P71" s="497" t="str">
        <f>IFERROR(INDEX(YAtCData[YAtC/Rec],MATCH(TEmatchups[[#This Row],[Name]],YAtCData[Player],0)),"0")</f>
        <v>0</v>
      </c>
      <c r="Q71" s="17" t="str">
        <f>IFERROR(INDEX(YAtCData[YAC],MATCH(TEmatchups[[#This Row],[Name]],YAtCData[Player],0)),"0")</f>
        <v>0</v>
      </c>
      <c r="R71" s="497" t="str">
        <f>IFERROR(INDEX(YACDATA[YAC per Reception],MATCH(TEmatchups[[#This Row],[Name]],YACDATA[Player],0)),"0")</f>
        <v>0</v>
      </c>
      <c r="S71" s="418">
        <f>AVERAGE(TEmatchups[[#This Row],[Tar1]:[Tar3]])</f>
        <v>1</v>
      </c>
      <c r="T71" s="19">
        <f>AVERAGE(TEmatchups[[#This Row],[Rec1]:[Rec3]])</f>
        <v>0.44099999999999995</v>
      </c>
      <c r="U71" s="202">
        <f>SUM(TEmatchups[[#This Row],[Rec4]]/TEmatchups[[#This Row],[Targets2]])</f>
        <v>0.44099999999999995</v>
      </c>
      <c r="V71" s="32">
        <f>AVERAGE(TEmatchups[[#This Row],[Yards1]:[Yards3]])</f>
        <v>4.3594999999999997</v>
      </c>
      <c r="W71" s="19">
        <f>SUM(TEmatchups[[#This Row],[Yards]]/TEmatchups[[#This Row],[Targets2]])</f>
        <v>4.3594999999999997</v>
      </c>
      <c r="X71" s="32">
        <f>AVERAGE(TEmatchups[[#This Row],[TD1]:[TD3]])</f>
        <v>0</v>
      </c>
      <c r="Y71" s="14">
        <v>74</v>
      </c>
      <c r="Z71" s="19">
        <f>SUM(TEmatchups[[#This Row],[Yards]]*0.1)+(TEmatchups[[#This Row],[TD]]*6)+(TEmatchups[[#This Row],[Rec4]]*1)+(TEmatchups[[#This Row],[100+]])</f>
        <v>0.8769499999999999</v>
      </c>
      <c r="AA71" s="8">
        <f>_xlfn.RANK.EQ(TEmatchups[[#This Row],[$/FP]],TEmatchups[$/FP],1)</f>
        <v>54</v>
      </c>
      <c r="AB71" s="484">
        <f>SUM(TEmatchups[[#This Row],[Salary]]/TEmatchups[[#This Row],[Projection]])</f>
        <v>2850.7896687382408</v>
      </c>
      <c r="AC71" s="482">
        <f>_xlfn.RANK.EQ(TEmatchups[[#This Row],[Average2]],TEmatchups[Average2],1)</f>
        <v>60</v>
      </c>
      <c r="AD71" s="241">
        <f>AVERAGE(TEmatchups[[#This Row],[Proj Rank]],TEmatchups[[#This Row],[Value Rank]])</f>
        <v>64</v>
      </c>
      <c r="AE71" s="210">
        <f>TEmatchups[[#This Row],[Salary]]/50000</f>
        <v>0.05</v>
      </c>
      <c r="AF71" s="210"/>
      <c r="AG71" s="14">
        <f>IFERROR(INDEX(TEstats3[Targets],MATCH(TEmatchups[[#This Row],[Name]],TEstats3[Player],0)),"0")</f>
        <v>1</v>
      </c>
      <c r="AH71" s="14" t="str">
        <f>IFERROR(INDEX(TEstats2[Targets],MATCH(TEmatchups[[#This Row],[Name]],TEstats2[Player],0)),"0")</f>
        <v>0</v>
      </c>
      <c r="AI71" s="14">
        <f>IFERROR(INDEX(TEstats3[Targets],MATCH(TEmatchups[[#This Row],[Name]],TEstats3[Player],0)),"0")</f>
        <v>1</v>
      </c>
      <c r="AJ71" s="14">
        <f>IFERROR(INDEX(TEstats1[Rec],MATCH(TEmatchups[[#This Row],[Name]],TEstats1[Player],0)),"0")</f>
        <v>0.182</v>
      </c>
      <c r="AK71" s="14" t="str">
        <f>IFERROR(INDEX(TEstats2[Rec],MATCH(TEmatchups[[#This Row],[Name]],TEstats2[Player],0)),"0")</f>
        <v>0</v>
      </c>
      <c r="AL71" s="14">
        <f>IFERROR(INDEX(TEstats3[Rec],MATCH(TEmatchups[[#This Row],[Name]],TEstats3[Player],0)),"0")</f>
        <v>0.7</v>
      </c>
      <c r="AM71" s="32">
        <f>IFERROR(INDEX(TEallowed[Rec],MATCH(TEmatchups[[#This Row],[Opp]],TEallowed[Team],0)),"0")</f>
        <v>4</v>
      </c>
      <c r="AN71" s="14">
        <f>IFERROR(INDEX(TEstats1[Rec Yds],MATCH(TEmatchups[[#This Row],[Name]],TEstats1[Player],0)),"0")</f>
        <v>2.1190000000000002</v>
      </c>
      <c r="AO71" s="14" t="str">
        <f>IFERROR(INDEX(TEstats2[RecYards],MATCH(TEmatchups[[#This Row],[Name]],TEstats2[Player],0)),"0")</f>
        <v>0</v>
      </c>
      <c r="AP71" s="14">
        <f>IFERROR(INDEX(TEstats3[RecYards],MATCH(TEmatchups[[#This Row],[Name]],TEstats3[Player],0)),"0")</f>
        <v>6.6</v>
      </c>
      <c r="AQ71" s="32">
        <f>IFERROR(INDEX(TEallowed[Yard],MATCH(TEmatchups[[#This Row],[Opp]],TEallowed[Team],0)),"0")</f>
        <v>39.375</v>
      </c>
      <c r="AR71" s="14">
        <f>IFERROR(INDEX(TEstats1[Rec TD],MATCH(TEmatchups[[#This Row],[Name]],TEstats1[Player],0)),"0")</f>
        <v>0</v>
      </c>
      <c r="AS71" s="14" t="str">
        <f>IFERROR(INDEX(TEstats2[RecTD],MATCH(TEmatchups[[#This Row],[Name]],TEstats2[Player],0)),"0")</f>
        <v>0</v>
      </c>
      <c r="AT71" s="14">
        <f>IFERROR(INDEX(TEstats3[RecTD],MATCH(TEmatchups[[#This Row],[Name]],TEstats3[Player],0)),"0")</f>
        <v>0</v>
      </c>
      <c r="AU71" s="32">
        <f>IFERROR(INDEX(TEallowed[TD],MATCH(TEmatchups[[#This Row],[Opp]],TEallowed[Team],0)),"0")</f>
        <v>0.4375</v>
      </c>
      <c r="AV71" s="32">
        <f>IF(TEmatchups[[#This Row],[Yards]]&gt;=100,3,0)</f>
        <v>0</v>
      </c>
    </row>
    <row r="72" spans="1:48" ht="15" thickBot="1" x14ac:dyDescent="0.35">
      <c r="A72" s="37">
        <f>TEstats1!AL71</f>
        <v>0</v>
      </c>
      <c r="B72" s="5" t="str">
        <f>TEstats1!D71</f>
        <v>Erik Swoope</v>
      </c>
      <c r="C72" s="172">
        <f>IFERROR(INDEX(Salaries[DraftKings (Price)],MATCH(TEmatchups[[#This Row],[Name]],Salaries[Player],0)),"")</f>
        <v>2500</v>
      </c>
      <c r="D72" s="172">
        <f>IFERROR(INDEX(DK_Salary_Changes[WeekChange],MATCH(TEmatchups[[#This Row],[Name]],DK_Salary_Changes[Player],0)),"")</f>
        <v>0</v>
      </c>
      <c r="E72" s="14" t="str">
        <f>IFERROR(INDEX(Salaries[Team],MATCH(TEmatchups[[#This Row],[Name]],Salaries[Player],0)),"")</f>
        <v>IND</v>
      </c>
      <c r="F72" s="14" t="str">
        <f>IFERROR(INDEX(Salaries[Opp],MATCH(TEmatchups[[#This Row],[Team]],Salaries[Team],0)),"")</f>
        <v>@JAX</v>
      </c>
      <c r="G72" s="457" t="str">
        <f>IFERROR(INDEX(TightEndYTD[Rec],MATCH(TEmatchups[Name],TightEndYTD[Player],0)),"0")</f>
        <v>0</v>
      </c>
      <c r="H72" s="191">
        <f>IFERROR(INDEX(targettracker54[TTL],MATCH(TEmatchups[Name],targettracker54[Name],0)),"0")</f>
        <v>0</v>
      </c>
      <c r="I72" s="458" t="str">
        <f>IFERROR(INDEX(TightEndYTD[Rec Yds],MATCH(TEmatchups[Name],TightEndYTD[Player],0)),"0")</f>
        <v>0</v>
      </c>
      <c r="J72" s="459" t="str">
        <f>IFERROR(INDEX(TightEndYTD[Rec TD],MATCH(TEmatchups[Name],TightEndYTD[Player],0)),"0")</f>
        <v>0</v>
      </c>
      <c r="K72" s="435">
        <f>IFERROR(INDEX(Salaries[O/U],MATCH(TEmatchups[[#This Row],[Team]],Salaries[Team],0)),"")</f>
        <v>49.5</v>
      </c>
      <c r="L72" s="436">
        <f>IFERROR(INDEX(Salaries[Team O/U],MATCH(TEmatchups[[#This Row],[Team]],Salaries[Team],0)),"")</f>
        <v>26</v>
      </c>
      <c r="M72" s="423">
        <f>IFERROR(INDEX(Salaries[Spread],MATCH(TEmatchups[[#This Row],[Team]],Salaries[Team],0)),"")</f>
        <v>-2.5</v>
      </c>
      <c r="N72" s="424">
        <f>IFERROR(INDEX(TEallowed[DVP],MATCH(TEmatchups[[#This Row],[Opp]],TEallowed[Team],0)),IFERROR(INDEX(TEallowed[DVP],MATCH(TEmatchups[[#This Row],[Opp]],TEallowed[Opp],0)),""))</f>
        <v>27</v>
      </c>
      <c r="O72" s="17" t="str">
        <f>IFERROR(INDEX(YAtCData[YAtC],MATCH(TEmatchups[[#This Row],[Name]],YAtCData[Player],0)),"0")</f>
        <v>0</v>
      </c>
      <c r="P72" s="497" t="str">
        <f>IFERROR(INDEX(YAtCData[YAtC/Rec],MATCH(TEmatchups[[#This Row],[Name]],YAtCData[Player],0)),"0")</f>
        <v>0</v>
      </c>
      <c r="Q72" s="17" t="str">
        <f>IFERROR(INDEX(YAtCData[YAC],MATCH(TEmatchups[[#This Row],[Name]],YAtCData[Player],0)),"0")</f>
        <v>0</v>
      </c>
      <c r="R72" s="497" t="str">
        <f>IFERROR(INDEX(YACDATA[YAC per Reception],MATCH(TEmatchups[[#This Row],[Name]],YACDATA[Player],0)),"0")</f>
        <v>0</v>
      </c>
      <c r="S72" s="421">
        <f>AVERAGE(TEmatchups[[#This Row],[Tar1]:[Tar3]])</f>
        <v>0.3</v>
      </c>
      <c r="T72" s="422">
        <f>AVERAGE(TEmatchups[[#This Row],[Rec1]:[Rec3]])</f>
        <v>0.16250000000000001</v>
      </c>
      <c r="U72" s="463">
        <f>SUM(TEmatchups[[#This Row],[Rec4]]/TEmatchups[[#This Row],[Targets2]])</f>
        <v>0.54166666666666674</v>
      </c>
      <c r="V72" s="436">
        <f>AVERAGE(TEmatchups[[#This Row],[Yards1]:[Yards3]])</f>
        <v>1.5619999999999998</v>
      </c>
      <c r="W72" s="422">
        <f>SUM(TEmatchups[[#This Row],[Yards]]/TEmatchups[[#This Row],[Targets2]])</f>
        <v>5.2066666666666661</v>
      </c>
      <c r="X72" s="436">
        <f>AVERAGE(TEmatchups[[#This Row],[TD1]:[TD3]])</f>
        <v>5.0000000000000001E-3</v>
      </c>
      <c r="Y72" s="485">
        <v>75</v>
      </c>
      <c r="Z72" s="422">
        <f>SUM(TEmatchups[[#This Row],[Yards]]*0.1)+(TEmatchups[[#This Row],[TD]]*6)+(TEmatchups[[#This Row],[Rec4]]*1)+(TEmatchups[[#This Row],[100+]])</f>
        <v>0.34870000000000001</v>
      </c>
      <c r="AA72" s="472">
        <f>_xlfn.RANK.EQ(TEmatchups[[#This Row],[$/FP]],TEmatchups[$/FP],1)</f>
        <v>60</v>
      </c>
      <c r="AB72" s="486">
        <f>SUM(TEmatchups[[#This Row],[Salary]]/TEmatchups[[#This Row],[Projection]])</f>
        <v>7169.4866647548033</v>
      </c>
      <c r="AC72" s="482">
        <f>_xlfn.RANK.EQ(TEmatchups[[#This Row],[Average2]],TEmatchups[Average2],1)</f>
        <v>62</v>
      </c>
      <c r="AD72" s="241">
        <f>AVERAGE(TEmatchups[[#This Row],[Proj Rank]],TEmatchups[[#This Row],[Value Rank]])</f>
        <v>67.5</v>
      </c>
      <c r="AE72" s="210">
        <f>TEmatchups[[#This Row],[Salary]]/50000</f>
        <v>0.05</v>
      </c>
      <c r="AF72" s="210"/>
      <c r="AG72" s="14">
        <f>IFERROR(INDEX(TEstats3[Targets],MATCH(TEmatchups[[#This Row],[Name]],TEstats3[Player],0)),"0")</f>
        <v>0.3</v>
      </c>
      <c r="AH72" s="14" t="str">
        <f>IFERROR(INDEX(TEstats2[Targets],MATCH(TEmatchups[[#This Row],[Name]],TEstats2[Player],0)),"0")</f>
        <v>0</v>
      </c>
      <c r="AI72" s="14">
        <f>IFERROR(INDEX(TEstats3[Targets],MATCH(TEmatchups[[#This Row],[Name]],TEstats3[Player],0)),"0")</f>
        <v>0.3</v>
      </c>
      <c r="AJ72" s="14">
        <f>IFERROR(INDEX(TEstats1[Rec],MATCH(TEmatchups[[#This Row],[Name]],TEstats1[Player],0)),"0")</f>
        <v>0.125</v>
      </c>
      <c r="AK72" s="14" t="str">
        <f>IFERROR(INDEX(TEstats2[Rec],MATCH(TEmatchups[[#This Row],[Name]],TEstats2[Player],0)),"0")</f>
        <v>0</v>
      </c>
      <c r="AL72" s="14">
        <f>IFERROR(INDEX(TEstats3[Rec],MATCH(TEmatchups[[#This Row],[Name]],TEstats3[Player],0)),"0")</f>
        <v>0.2</v>
      </c>
      <c r="AM72" s="32" t="str">
        <f>IFERROR(INDEX(TEallowed[Rec],MATCH(TEmatchups[[#This Row],[Opp]],TEallowed[Team],0)),"0")</f>
        <v>0</v>
      </c>
      <c r="AN72" s="14">
        <f>IFERROR(INDEX(TEstats1[Rec Yds],MATCH(TEmatchups[[#This Row],[Name]],TEstats1[Player],0)),"0")</f>
        <v>1.4239999999999999</v>
      </c>
      <c r="AO72" s="14" t="str">
        <f>IFERROR(INDEX(TEstats2[RecYards],MATCH(TEmatchups[[#This Row],[Name]],TEstats2[Player],0)),"0")</f>
        <v>0</v>
      </c>
      <c r="AP72" s="14">
        <f>IFERROR(INDEX(TEstats3[RecYards],MATCH(TEmatchups[[#This Row],[Name]],TEstats3[Player],0)),"0")</f>
        <v>1.7</v>
      </c>
      <c r="AQ72" s="32" t="str">
        <f>IFERROR(INDEX(TEallowed[Yard],MATCH(TEmatchups[[#This Row],[Opp]],TEallowed[Team],0)),"0")</f>
        <v>0</v>
      </c>
      <c r="AR72" s="14">
        <f>IFERROR(INDEX(TEstats1[Rec TD],MATCH(TEmatchups[[#This Row],[Name]],TEstats1[Player],0)),"0")</f>
        <v>0.01</v>
      </c>
      <c r="AS72" s="14" t="str">
        <f>IFERROR(INDEX(TEstats2[RecTD],MATCH(TEmatchups[[#This Row],[Name]],TEstats2[Player],0)),"0")</f>
        <v>0</v>
      </c>
      <c r="AT72" s="14">
        <f>IFERROR(INDEX(TEstats3[RecTD],MATCH(TEmatchups[[#This Row],[Name]],TEstats3[Player],0)),"0")</f>
        <v>0</v>
      </c>
      <c r="AU72" s="32" t="str">
        <f>IFERROR(INDEX(TEallowed[TD],MATCH(TEmatchups[[#This Row],[Opp]],TEallowed[Team],0)),"0")</f>
        <v>0</v>
      </c>
      <c r="AV72" s="32">
        <f>IF(TEmatchups[[#This Row],[Yards]]&gt;=100,3,0)</f>
        <v>0</v>
      </c>
    </row>
    <row r="73" spans="1:48" x14ac:dyDescent="0.3">
      <c r="H73" s="40"/>
      <c r="I73" s="9"/>
      <c r="L73" s="40"/>
      <c r="AA73" s="40"/>
      <c r="AB73" s="49"/>
      <c r="AC73" s="9"/>
    </row>
    <row r="74" spans="1:48" x14ac:dyDescent="0.3">
      <c r="H74" s="40"/>
      <c r="I74" s="9"/>
      <c r="L74" s="40"/>
      <c r="AA74" s="40"/>
      <c r="AB74" s="49"/>
      <c r="AC74" s="9"/>
    </row>
    <row r="75" spans="1:48" x14ac:dyDescent="0.3">
      <c r="H75" s="40"/>
      <c r="I75" s="9"/>
      <c r="L75" s="40"/>
      <c r="AA75" s="40"/>
      <c r="AB75" s="49"/>
      <c r="AC75" s="9"/>
    </row>
    <row r="76" spans="1:48" x14ac:dyDescent="0.3">
      <c r="H76" s="40"/>
      <c r="I76" s="9"/>
      <c r="L76" s="40"/>
      <c r="AA76" s="40"/>
      <c r="AB76" s="49"/>
      <c r="AC76" s="9"/>
    </row>
    <row r="77" spans="1:48" x14ac:dyDescent="0.3">
      <c r="H77" s="40"/>
      <c r="I77" s="9"/>
      <c r="L77" s="40"/>
      <c r="AA77" s="40"/>
      <c r="AB77" s="49"/>
      <c r="AC77" s="9"/>
    </row>
    <row r="78" spans="1:48" x14ac:dyDescent="0.3">
      <c r="H78" s="40"/>
      <c r="I78" s="9"/>
      <c r="L78" s="40"/>
      <c r="AA78" s="40"/>
      <c r="AB78" s="49"/>
      <c r="AC78" s="9"/>
    </row>
    <row r="79" spans="1:48" x14ac:dyDescent="0.3">
      <c r="H79" s="40"/>
      <c r="I79" s="9"/>
      <c r="L79" s="40"/>
      <c r="AA79" s="40"/>
      <c r="AB79" s="49"/>
      <c r="AC79" s="9"/>
    </row>
    <row r="80" spans="1:48" x14ac:dyDescent="0.3">
      <c r="H80" s="40"/>
      <c r="I80" s="9"/>
      <c r="L80" s="40"/>
      <c r="AA80" s="40"/>
      <c r="AB80" s="49"/>
      <c r="AC80" s="9"/>
    </row>
    <row r="81" spans="8:29" x14ac:dyDescent="0.3">
      <c r="H81" s="40"/>
      <c r="I81" s="9"/>
      <c r="L81" s="40"/>
      <c r="AA81" s="40"/>
      <c r="AB81" s="49"/>
      <c r="AC81" s="9"/>
    </row>
    <row r="82" spans="8:29" x14ac:dyDescent="0.3">
      <c r="H82" s="40"/>
      <c r="I82" s="9"/>
      <c r="L82" s="40"/>
      <c r="AA82" s="40"/>
      <c r="AB82" s="49"/>
      <c r="AC82" s="9"/>
    </row>
    <row r="83" spans="8:29" x14ac:dyDescent="0.3">
      <c r="H83" s="40"/>
      <c r="I83" s="9"/>
      <c r="L83" s="40"/>
      <c r="AA83" s="40"/>
      <c r="AB83" s="49"/>
      <c r="AC83" s="9"/>
    </row>
    <row r="84" spans="8:29" x14ac:dyDescent="0.3">
      <c r="H84" s="40"/>
      <c r="I84" s="9"/>
      <c r="L84" s="40"/>
      <c r="AA84" s="40"/>
      <c r="AB84" s="49"/>
      <c r="AC84" s="9"/>
    </row>
    <row r="85" spans="8:29" x14ac:dyDescent="0.3">
      <c r="H85" s="40"/>
      <c r="I85" s="9"/>
      <c r="L85" s="40"/>
      <c r="AA85" s="40"/>
      <c r="AB85" s="49"/>
      <c r="AC85" s="9"/>
    </row>
    <row r="86" spans="8:29" x14ac:dyDescent="0.3">
      <c r="H86" s="40"/>
      <c r="I86" s="9"/>
      <c r="L86" s="40"/>
      <c r="AA86" s="40"/>
      <c r="AB86" s="49"/>
      <c r="AC86" s="9"/>
    </row>
    <row r="87" spans="8:29" x14ac:dyDescent="0.3">
      <c r="H87" s="40"/>
      <c r="I87" s="9"/>
      <c r="L87" s="40"/>
      <c r="AA87" s="40"/>
      <c r="AB87" s="49"/>
      <c r="AC87" s="9"/>
    </row>
    <row r="88" spans="8:29" x14ac:dyDescent="0.3">
      <c r="H88" s="40"/>
      <c r="I88" s="9"/>
      <c r="L88" s="40"/>
      <c r="AA88" s="40"/>
      <c r="AB88" s="49"/>
      <c r="AC88" s="9"/>
    </row>
    <row r="89" spans="8:29" x14ac:dyDescent="0.3">
      <c r="H89" s="40"/>
      <c r="I89" s="9"/>
      <c r="L89" s="40"/>
      <c r="AA89" s="40"/>
      <c r="AB89" s="49"/>
      <c r="AC89" s="9"/>
    </row>
    <row r="90" spans="8:29" x14ac:dyDescent="0.3">
      <c r="H90" s="40"/>
      <c r="I90" s="9"/>
      <c r="L90" s="40"/>
      <c r="AA90" s="40"/>
      <c r="AB90" s="49"/>
      <c r="AC90" s="9"/>
    </row>
    <row r="91" spans="8:29" x14ac:dyDescent="0.3">
      <c r="H91" s="40"/>
      <c r="I91" s="9"/>
      <c r="L91" s="40"/>
      <c r="AA91" s="40"/>
      <c r="AB91" s="49"/>
      <c r="AC91" s="9"/>
    </row>
    <row r="92" spans="8:29" x14ac:dyDescent="0.3">
      <c r="H92" s="40"/>
      <c r="I92" s="9"/>
      <c r="L92" s="40"/>
      <c r="AA92" s="40"/>
      <c r="AB92" s="49"/>
      <c r="AC92" s="9"/>
    </row>
    <row r="93" spans="8:29" x14ac:dyDescent="0.3">
      <c r="H93" s="40"/>
      <c r="I93" s="9"/>
      <c r="L93" s="40"/>
      <c r="AA93" s="40"/>
      <c r="AB93" s="49"/>
      <c r="AC93" s="9"/>
    </row>
    <row r="94" spans="8:29" x14ac:dyDescent="0.3">
      <c r="H94" s="40"/>
      <c r="I94" s="9"/>
      <c r="L94" s="40"/>
      <c r="AA94" s="40"/>
      <c r="AB94" s="49"/>
      <c r="AC94" s="9"/>
    </row>
    <row r="95" spans="8:29" x14ac:dyDescent="0.3">
      <c r="H95" s="40"/>
      <c r="I95" s="9"/>
      <c r="L95" s="40"/>
      <c r="AA95" s="40"/>
      <c r="AB95" s="49"/>
      <c r="AC95" s="9"/>
    </row>
    <row r="96" spans="8:29" x14ac:dyDescent="0.3">
      <c r="H96" s="40"/>
      <c r="I96" s="9"/>
      <c r="L96" s="40"/>
      <c r="AA96" s="40"/>
      <c r="AB96" s="49"/>
      <c r="AC96" s="9"/>
    </row>
    <row r="97" spans="8:29" x14ac:dyDescent="0.3">
      <c r="H97" s="40"/>
      <c r="I97" s="9"/>
      <c r="L97" s="40"/>
      <c r="AA97" s="40"/>
      <c r="AB97" s="49"/>
      <c r="AC97" s="9"/>
    </row>
    <row r="98" spans="8:29" x14ac:dyDescent="0.3">
      <c r="H98" s="40"/>
      <c r="I98" s="9"/>
      <c r="L98" s="40"/>
      <c r="AA98" s="40"/>
      <c r="AB98" s="49"/>
      <c r="AC98" s="9"/>
    </row>
    <row r="99" spans="8:29" x14ac:dyDescent="0.3">
      <c r="H99" s="40"/>
      <c r="I99" s="9"/>
      <c r="L99" s="40"/>
      <c r="AA99" s="40"/>
      <c r="AB99" s="49"/>
      <c r="AC99" s="9"/>
    </row>
    <row r="100" spans="8:29" x14ac:dyDescent="0.3">
      <c r="H100" s="40"/>
      <c r="I100" s="9"/>
      <c r="L100" s="40"/>
      <c r="AA100" s="40"/>
      <c r="AB100" s="49"/>
      <c r="AC100" s="9"/>
    </row>
    <row r="101" spans="8:29" x14ac:dyDescent="0.3">
      <c r="H101" s="40"/>
      <c r="I101" s="9"/>
      <c r="L101" s="40"/>
      <c r="AA101" s="40"/>
      <c r="AB101" s="49"/>
      <c r="AC101" s="9"/>
    </row>
    <row r="102" spans="8:29" x14ac:dyDescent="0.3">
      <c r="H102" s="40"/>
      <c r="I102" s="9"/>
      <c r="L102" s="40"/>
      <c r="AA102" s="40"/>
      <c r="AB102" s="49"/>
      <c r="AC102" s="9"/>
    </row>
    <row r="103" spans="8:29" x14ac:dyDescent="0.3">
      <c r="H103" s="40"/>
      <c r="I103" s="9"/>
      <c r="L103" s="40"/>
      <c r="AA103" s="40"/>
      <c r="AB103" s="49"/>
      <c r="AC103" s="9"/>
    </row>
    <row r="104" spans="8:29" x14ac:dyDescent="0.3">
      <c r="H104" s="40"/>
      <c r="I104" s="9"/>
      <c r="L104" s="40"/>
      <c r="AA104" s="40"/>
      <c r="AB104" s="49"/>
      <c r="AC104" s="9"/>
    </row>
    <row r="105" spans="8:29" x14ac:dyDescent="0.3">
      <c r="H105" s="40"/>
      <c r="I105" s="9"/>
      <c r="L105" s="40"/>
      <c r="AA105" s="40"/>
      <c r="AB105" s="49"/>
      <c r="AC105" s="9"/>
    </row>
    <row r="106" spans="8:29" x14ac:dyDescent="0.3">
      <c r="H106" s="40"/>
      <c r="I106" s="9"/>
      <c r="L106" s="40"/>
      <c r="AA106" s="40"/>
      <c r="AB106" s="49"/>
      <c r="AC106" s="9"/>
    </row>
    <row r="107" spans="8:29" x14ac:dyDescent="0.3">
      <c r="H107" s="40"/>
      <c r="I107" s="9"/>
      <c r="L107" s="40"/>
      <c r="AA107" s="40"/>
      <c r="AB107" s="49"/>
      <c r="AC107" s="9"/>
    </row>
    <row r="108" spans="8:29" x14ac:dyDescent="0.3">
      <c r="H108" s="40"/>
      <c r="I108" s="9"/>
      <c r="L108" s="40"/>
      <c r="AA108" s="40"/>
      <c r="AB108" s="49"/>
      <c r="AC108" s="9"/>
    </row>
    <row r="109" spans="8:29" x14ac:dyDescent="0.3">
      <c r="H109" s="40"/>
      <c r="I109" s="9"/>
      <c r="L109" s="40"/>
      <c r="AA109" s="40"/>
      <c r="AB109" s="49"/>
      <c r="AC109" s="9"/>
    </row>
    <row r="110" spans="8:29" x14ac:dyDescent="0.3">
      <c r="H110" s="40"/>
      <c r="I110" s="9"/>
      <c r="L110" s="40"/>
      <c r="AA110" s="40"/>
      <c r="AB110" s="49"/>
      <c r="AC110" s="9"/>
    </row>
    <row r="111" spans="8:29" x14ac:dyDescent="0.3">
      <c r="H111" s="40"/>
      <c r="I111" s="9"/>
      <c r="L111" s="40"/>
      <c r="AA111" s="40"/>
      <c r="AB111" s="49"/>
      <c r="AC111" s="9"/>
    </row>
    <row r="112" spans="8:29" x14ac:dyDescent="0.3">
      <c r="H112" s="40"/>
      <c r="I112" s="9"/>
      <c r="L112" s="40"/>
      <c r="AA112" s="40"/>
      <c r="AB112" s="49"/>
      <c r="AC112" s="9"/>
    </row>
    <row r="113" spans="8:29" x14ac:dyDescent="0.3">
      <c r="H113" s="40"/>
      <c r="I113" s="9"/>
      <c r="L113" s="40"/>
      <c r="AA113" s="40"/>
      <c r="AB113" s="49"/>
      <c r="AC113" s="9"/>
    </row>
    <row r="114" spans="8:29" x14ac:dyDescent="0.3">
      <c r="H114" s="40"/>
      <c r="I114" s="9"/>
      <c r="L114" s="40"/>
      <c r="AA114" s="40"/>
      <c r="AB114" s="49"/>
      <c r="AC114" s="9"/>
    </row>
    <row r="115" spans="8:29" x14ac:dyDescent="0.3">
      <c r="H115" s="40"/>
      <c r="I115" s="9"/>
      <c r="L115" s="40"/>
      <c r="AA115" s="40"/>
      <c r="AB115" s="49"/>
      <c r="AC115" s="9"/>
    </row>
    <row r="116" spans="8:29" x14ac:dyDescent="0.3">
      <c r="H116" s="40"/>
      <c r="I116" s="9"/>
      <c r="L116" s="40"/>
      <c r="AA116" s="40"/>
      <c r="AB116" s="49"/>
      <c r="AC116" s="9"/>
    </row>
    <row r="117" spans="8:29" x14ac:dyDescent="0.3">
      <c r="H117" s="40"/>
      <c r="I117" s="9"/>
      <c r="L117" s="40"/>
      <c r="AA117" s="40"/>
      <c r="AB117" s="49"/>
      <c r="AC117" s="9"/>
    </row>
    <row r="118" spans="8:29" x14ac:dyDescent="0.3">
      <c r="H118" s="40"/>
      <c r="I118" s="9"/>
      <c r="L118" s="40"/>
      <c r="AA118" s="40"/>
      <c r="AB118" s="49"/>
      <c r="AC118" s="9"/>
    </row>
    <row r="119" spans="8:29" x14ac:dyDescent="0.3">
      <c r="H119" s="40"/>
      <c r="I119" s="9"/>
      <c r="L119" s="40"/>
      <c r="AA119" s="40"/>
      <c r="AB119" s="49"/>
      <c r="AC119" s="9"/>
    </row>
    <row r="120" spans="8:29" x14ac:dyDescent="0.3">
      <c r="H120" s="40"/>
      <c r="I120" s="9"/>
      <c r="L120" s="40"/>
      <c r="AA120" s="40"/>
      <c r="AB120" s="49"/>
      <c r="AC120" s="9"/>
    </row>
    <row r="121" spans="8:29" x14ac:dyDescent="0.3">
      <c r="H121" s="40"/>
      <c r="I121" s="9"/>
      <c r="L121" s="40"/>
      <c r="AA121" s="40"/>
      <c r="AB121" s="49"/>
      <c r="AC121" s="9"/>
    </row>
    <row r="122" spans="8:29" x14ac:dyDescent="0.3">
      <c r="H122" s="40"/>
      <c r="I122" s="9"/>
      <c r="L122" s="40"/>
      <c r="AA122" s="40"/>
      <c r="AB122" s="49"/>
      <c r="AC122" s="9"/>
    </row>
    <row r="123" spans="8:29" x14ac:dyDescent="0.3">
      <c r="H123" s="40"/>
      <c r="I123" s="9"/>
      <c r="L123" s="40"/>
      <c r="AA123" s="40"/>
      <c r="AB123" s="49"/>
      <c r="AC123" s="9"/>
    </row>
    <row r="124" spans="8:29" x14ac:dyDescent="0.3">
      <c r="H124" s="40"/>
      <c r="I124" s="9"/>
      <c r="L124" s="40"/>
      <c r="AA124" s="40"/>
      <c r="AB124" s="49"/>
      <c r="AC124" s="9"/>
    </row>
    <row r="125" spans="8:29" x14ac:dyDescent="0.3">
      <c r="H125" s="40"/>
      <c r="I125" s="9"/>
      <c r="L125" s="40"/>
      <c r="AA125" s="40"/>
      <c r="AB125" s="49"/>
      <c r="AC125" s="9"/>
    </row>
    <row r="126" spans="8:29" x14ac:dyDescent="0.3">
      <c r="H126" s="40"/>
      <c r="I126" s="9"/>
      <c r="L126" s="40"/>
      <c r="AA126" s="40"/>
      <c r="AB126" s="49"/>
      <c r="AC126" s="9"/>
    </row>
    <row r="127" spans="8:29" x14ac:dyDescent="0.3">
      <c r="H127" s="40"/>
      <c r="I127" s="9"/>
      <c r="L127" s="40"/>
      <c r="AA127" s="40"/>
      <c r="AB127" s="49"/>
      <c r="AC127" s="9"/>
    </row>
    <row r="128" spans="8:29" x14ac:dyDescent="0.3">
      <c r="H128" s="40"/>
      <c r="I128" s="9"/>
      <c r="L128" s="40"/>
      <c r="AA128" s="40"/>
      <c r="AB128" s="49"/>
      <c r="AC128" s="9"/>
    </row>
    <row r="129" spans="8:29" x14ac:dyDescent="0.3">
      <c r="H129" s="40"/>
      <c r="I129" s="9"/>
      <c r="L129" s="40"/>
      <c r="AA129" s="40"/>
      <c r="AB129" s="49"/>
      <c r="AC129" s="9"/>
    </row>
    <row r="130" spans="8:29" x14ac:dyDescent="0.3">
      <c r="H130" s="40"/>
      <c r="I130" s="9"/>
      <c r="L130" s="40"/>
      <c r="AA130" s="40"/>
      <c r="AB130" s="49"/>
      <c r="AC130" s="9"/>
    </row>
    <row r="131" spans="8:29" x14ac:dyDescent="0.3">
      <c r="H131" s="40"/>
      <c r="I131" s="9"/>
      <c r="L131" s="40"/>
      <c r="AA131" s="40"/>
      <c r="AB131" s="49"/>
      <c r="AC131" s="9"/>
    </row>
    <row r="132" spans="8:29" x14ac:dyDescent="0.3">
      <c r="H132" s="40"/>
      <c r="I132" s="9"/>
      <c r="L132" s="40"/>
      <c r="AA132" s="40"/>
      <c r="AB132" s="49"/>
      <c r="AC132" s="9"/>
    </row>
    <row r="133" spans="8:29" x14ac:dyDescent="0.3">
      <c r="H133" s="40"/>
      <c r="I133" s="9"/>
      <c r="L133" s="40"/>
      <c r="AA133" s="40"/>
      <c r="AB133" s="49"/>
      <c r="AC133" s="9"/>
    </row>
    <row r="134" spans="8:29" x14ac:dyDescent="0.3">
      <c r="H134" s="40"/>
      <c r="I134" s="9"/>
      <c r="L134" s="40"/>
      <c r="AA134" s="40"/>
      <c r="AB134" s="49"/>
      <c r="AC134" s="9"/>
    </row>
    <row r="135" spans="8:29" x14ac:dyDescent="0.3">
      <c r="H135" s="40"/>
      <c r="I135" s="9"/>
      <c r="L135" s="40"/>
      <c r="AA135" s="40"/>
      <c r="AB135" s="49"/>
      <c r="AC135" s="9"/>
    </row>
    <row r="136" spans="8:29" x14ac:dyDescent="0.3">
      <c r="H136" s="40"/>
      <c r="I136" s="9"/>
      <c r="L136" s="40"/>
      <c r="AA136" s="40"/>
      <c r="AB136" s="49"/>
      <c r="AC136" s="9"/>
    </row>
    <row r="137" spans="8:29" x14ac:dyDescent="0.3">
      <c r="H137" s="40"/>
      <c r="I137" s="9"/>
      <c r="L137" s="40"/>
      <c r="AA137" s="40"/>
      <c r="AB137" s="49"/>
      <c r="AC137" s="9"/>
    </row>
    <row r="138" spans="8:29" x14ac:dyDescent="0.3">
      <c r="H138" s="40"/>
      <c r="I138" s="9"/>
      <c r="L138" s="40"/>
      <c r="AA138" s="40"/>
      <c r="AB138" s="49"/>
      <c r="AC138" s="9"/>
    </row>
    <row r="139" spans="8:29" x14ac:dyDescent="0.3">
      <c r="H139" s="40"/>
      <c r="I139" s="9"/>
      <c r="L139" s="40"/>
      <c r="AA139" s="40"/>
      <c r="AB139" s="49"/>
      <c r="AC139" s="9"/>
    </row>
    <row r="140" spans="8:29" x14ac:dyDescent="0.3">
      <c r="H140" s="40"/>
      <c r="I140" s="9"/>
      <c r="L140" s="40"/>
      <c r="AA140" s="40"/>
      <c r="AB140" s="49"/>
      <c r="AC140" s="9"/>
    </row>
    <row r="141" spans="8:29" x14ac:dyDescent="0.3">
      <c r="H141" s="40"/>
      <c r="I141" s="9"/>
      <c r="L141" s="40"/>
      <c r="AA141" s="40"/>
      <c r="AB141" s="49"/>
      <c r="AC141" s="9"/>
    </row>
    <row r="142" spans="8:29" x14ac:dyDescent="0.3">
      <c r="H142" s="40"/>
      <c r="I142" s="9"/>
      <c r="L142" s="40"/>
      <c r="AA142" s="40"/>
      <c r="AB142" s="49"/>
      <c r="AC142" s="9"/>
    </row>
    <row r="143" spans="8:29" x14ac:dyDescent="0.3">
      <c r="H143" s="40"/>
      <c r="I143" s="9"/>
      <c r="L143" s="40"/>
      <c r="AA143" s="40"/>
      <c r="AB143" s="49"/>
      <c r="AC143" s="9"/>
    </row>
    <row r="144" spans="8:29" x14ac:dyDescent="0.3">
      <c r="H144" s="40"/>
      <c r="I144" s="9"/>
      <c r="L144" s="40"/>
      <c r="AA144" s="40"/>
      <c r="AB144" s="49"/>
      <c r="AC144" s="9"/>
    </row>
    <row r="145" spans="8:29" x14ac:dyDescent="0.3">
      <c r="H145" s="40"/>
      <c r="I145" s="9"/>
      <c r="L145" s="40"/>
      <c r="AA145" s="40"/>
      <c r="AB145" s="49"/>
      <c r="AC145" s="9"/>
    </row>
    <row r="146" spans="8:29" x14ac:dyDescent="0.3">
      <c r="H146" s="40"/>
      <c r="I146" s="9"/>
      <c r="L146" s="40"/>
      <c r="AA146" s="40"/>
      <c r="AB146" s="49"/>
      <c r="AC146" s="9"/>
    </row>
  </sheetData>
  <mergeCells count="8">
    <mergeCell ref="O9:P9"/>
    <mergeCell ref="Q9:R9"/>
    <mergeCell ref="S9:AB9"/>
    <mergeCell ref="B5:D5"/>
    <mergeCell ref="A9:D9"/>
    <mergeCell ref="A8:D8"/>
    <mergeCell ref="G9:J9"/>
    <mergeCell ref="K9:M9"/>
  </mergeCells>
  <conditionalFormatting sqref="F147:F1048576 N10 F1:F9">
    <cfRule type="colorScale" priority="106">
      <colorScale>
        <cfvo type="min"/>
        <cfvo type="percentile" val="50"/>
        <cfvo type="max"/>
        <color rgb="FFF8696B"/>
        <color rgb="FFFFEB84"/>
        <color rgb="FF63BE7B"/>
      </colorScale>
    </cfRule>
  </conditionalFormatting>
  <conditionalFormatting sqref="M73:M1048576 O10 M1:M8">
    <cfRule type="colorScale" priority="80">
      <colorScale>
        <cfvo type="min"/>
        <cfvo type="percentile" val="50"/>
        <cfvo type="max"/>
        <color rgb="FFF8696B"/>
        <color rgb="FFFFEB84"/>
        <color rgb="FF63BE7B"/>
      </colorScale>
    </cfRule>
  </conditionalFormatting>
  <conditionalFormatting sqref="O73:O1048576 Q10 O1:O8">
    <cfRule type="colorScale" priority="79">
      <colorScale>
        <cfvo type="min"/>
        <cfvo type="percentile" val="50"/>
        <cfvo type="max"/>
        <color rgb="FFF8696B"/>
        <color rgb="FFFFEB84"/>
        <color rgb="FF63BE7B"/>
      </colorScale>
    </cfRule>
  </conditionalFormatting>
  <conditionalFormatting sqref="N73:N1048576 P10 N1:N8">
    <cfRule type="dataBar" priority="78">
      <dataBar>
        <cfvo type="min"/>
        <cfvo type="max"/>
        <color rgb="FF63C384"/>
      </dataBar>
      <extLst>
        <ext xmlns:x14="http://schemas.microsoft.com/office/spreadsheetml/2009/9/main" uri="{B025F937-C7B1-47D3-B67F-A62EFF666E3E}">
          <x14:id>{CFD0569C-4A03-47B9-B70F-38C325479BA0}</x14:id>
        </ext>
      </extLst>
    </cfRule>
  </conditionalFormatting>
  <conditionalFormatting sqref="P73:P1048576 R10 P1:P8">
    <cfRule type="dataBar" priority="77">
      <dataBar>
        <cfvo type="min"/>
        <cfvo type="max"/>
        <color rgb="FF638EC6"/>
      </dataBar>
      <extLst>
        <ext xmlns:x14="http://schemas.microsoft.com/office/spreadsheetml/2009/9/main" uri="{B025F937-C7B1-47D3-B67F-A62EFF666E3E}">
          <x14:id>{74249F7A-41E8-4905-BD92-C38A7B6EF438}</x14:id>
        </ext>
      </extLst>
    </cfRule>
  </conditionalFormatting>
  <conditionalFormatting sqref="K73:K1048576 W10 K1:K8">
    <cfRule type="colorScale" priority="76">
      <colorScale>
        <cfvo type="min"/>
        <cfvo type="percentile" val="50"/>
        <cfvo type="max"/>
        <color rgb="FFF8696B"/>
        <color rgb="FFFFEB84"/>
        <color rgb="FF63BE7B"/>
      </colorScale>
    </cfRule>
  </conditionalFormatting>
  <conditionalFormatting sqref="AE10">
    <cfRule type="dataBar" priority="1558">
      <dataBar>
        <cfvo type="min"/>
        <cfvo type="max"/>
        <color rgb="FFFF555A"/>
      </dataBar>
      <extLst>
        <ext xmlns:x14="http://schemas.microsoft.com/office/spreadsheetml/2009/9/main" uri="{B025F937-C7B1-47D3-B67F-A62EFF666E3E}">
          <x14:id>{8AEB8269-122F-4CBC-9FE0-388569C40DE6}</x14:id>
        </ext>
      </extLst>
    </cfRule>
  </conditionalFormatting>
  <conditionalFormatting sqref="D10">
    <cfRule type="colorScale" priority="42">
      <colorScale>
        <cfvo type="min"/>
        <cfvo type="percentile" val="50"/>
        <cfvo type="max"/>
        <color rgb="FF63BE7B"/>
        <color rgb="FFFFEB84"/>
        <color rgb="FFF8696B"/>
      </colorScale>
    </cfRule>
  </conditionalFormatting>
  <conditionalFormatting sqref="F12:J72 F11 G11:G72">
    <cfRule type="containsText" dxfId="623" priority="41" operator="containsText" text="@">
      <formula>NOT(ISERROR(SEARCH("@",F11)))</formula>
    </cfRule>
  </conditionalFormatting>
  <conditionalFormatting sqref="AA11:AA72">
    <cfRule type="colorScale" priority="2819">
      <colorScale>
        <cfvo type="min"/>
        <cfvo type="percentile" val="50"/>
        <cfvo type="max"/>
        <color rgb="FF63BE7B"/>
        <color rgb="FFFFEB84"/>
        <color rgb="FFF8696B"/>
      </colorScale>
    </cfRule>
  </conditionalFormatting>
  <conditionalFormatting sqref="AD11:AD72">
    <cfRule type="colorScale" priority="2820">
      <colorScale>
        <cfvo type="min"/>
        <cfvo type="percentile" val="50"/>
        <cfvo type="max"/>
        <color rgb="FF63BE7B"/>
        <color rgb="FFFFEB84"/>
        <color rgb="FFF8696B"/>
      </colorScale>
    </cfRule>
  </conditionalFormatting>
  <conditionalFormatting sqref="AB11:AB72">
    <cfRule type="colorScale" priority="2821">
      <colorScale>
        <cfvo type="min"/>
        <cfvo type="percentile" val="50"/>
        <cfvo type="max"/>
        <color rgb="FF63BE7B"/>
        <color rgb="FFFFEB84"/>
        <color rgb="FFF8696B"/>
      </colorScale>
    </cfRule>
  </conditionalFormatting>
  <conditionalFormatting sqref="Z11:Z72">
    <cfRule type="dataBar" priority="2822">
      <dataBar>
        <cfvo type="min"/>
        <cfvo type="max"/>
        <color rgb="FF63C384"/>
      </dataBar>
      <extLst>
        <ext xmlns:x14="http://schemas.microsoft.com/office/spreadsheetml/2009/9/main" uri="{B025F937-C7B1-47D3-B67F-A62EFF666E3E}">
          <x14:id>{5E2CC26F-E489-48EB-8BBF-36ADC0C2EE5C}</x14:id>
        </ext>
      </extLst>
    </cfRule>
  </conditionalFormatting>
  <conditionalFormatting sqref="N11:N72">
    <cfRule type="colorScale" priority="2823">
      <colorScale>
        <cfvo type="min"/>
        <cfvo type="percentile" val="50"/>
        <cfvo type="max"/>
        <color rgb="FFF8696B"/>
        <color rgb="FFFFEB84"/>
        <color rgb="FF63BE7B"/>
      </colorScale>
    </cfRule>
  </conditionalFormatting>
  <conditionalFormatting sqref="U11:U72">
    <cfRule type="colorScale" priority="2828">
      <colorScale>
        <cfvo type="min"/>
        <cfvo type="percentile" val="50"/>
        <cfvo type="max"/>
        <color rgb="FFF8696B"/>
        <color rgb="FFFFEB84"/>
        <color rgb="FF63BE7B"/>
      </colorScale>
    </cfRule>
  </conditionalFormatting>
  <conditionalFormatting sqref="W11:W72">
    <cfRule type="colorScale" priority="2829">
      <colorScale>
        <cfvo type="min"/>
        <cfvo type="percentile" val="50"/>
        <cfvo type="max"/>
        <color rgb="FFF8696B"/>
        <color rgb="FFFFEB84"/>
        <color rgb="FF63BE7B"/>
      </colorScale>
    </cfRule>
  </conditionalFormatting>
  <conditionalFormatting sqref="C11:D72">
    <cfRule type="colorScale" priority="2830">
      <colorScale>
        <cfvo type="min"/>
        <cfvo type="percentile" val="50"/>
        <cfvo type="max"/>
        <color rgb="FF63BE7B"/>
        <color rgb="FFFFEB84"/>
        <color rgb="FFF8696B"/>
      </colorScale>
    </cfRule>
  </conditionalFormatting>
  <conditionalFormatting sqref="T11:T72">
    <cfRule type="colorScale" priority="2831">
      <colorScale>
        <cfvo type="min"/>
        <cfvo type="percentile" val="50"/>
        <cfvo type="max"/>
        <color rgb="FFF8696B"/>
        <color rgb="FFFFEB84"/>
        <color rgb="FF63BE7B"/>
      </colorScale>
    </cfRule>
  </conditionalFormatting>
  <conditionalFormatting sqref="V11:V72">
    <cfRule type="colorScale" priority="2832">
      <colorScale>
        <cfvo type="min"/>
        <cfvo type="percentile" val="50"/>
        <cfvo type="max"/>
        <color rgb="FFF8696B"/>
        <color rgb="FFFFEB84"/>
        <color rgb="FF63BE7B"/>
      </colorScale>
    </cfRule>
  </conditionalFormatting>
  <conditionalFormatting sqref="Y11:Y72">
    <cfRule type="colorScale" priority="2833">
      <colorScale>
        <cfvo type="min"/>
        <cfvo type="percentile" val="50"/>
        <cfvo type="max"/>
        <color rgb="FF63BE7B"/>
        <color rgb="FFFFEB84"/>
        <color rgb="FFF8696B"/>
      </colorScale>
    </cfRule>
  </conditionalFormatting>
  <conditionalFormatting sqref="AA11:AA72">
    <cfRule type="colorScale" priority="2834">
      <colorScale>
        <cfvo type="min"/>
        <cfvo type="percentile" val="50"/>
        <cfvo type="max"/>
        <color rgb="FFF8696B"/>
        <color rgb="FFFFEB84"/>
        <color rgb="FF63BE7B"/>
      </colorScale>
    </cfRule>
  </conditionalFormatting>
  <conditionalFormatting sqref="N11:N72">
    <cfRule type="iconSet" priority="2835">
      <iconSet iconSet="3Flags">
        <cfvo type="percent" val="0"/>
        <cfvo type="percent" val="33"/>
        <cfvo type="percent" val="67"/>
      </iconSet>
    </cfRule>
  </conditionalFormatting>
  <conditionalFormatting sqref="S11:S72">
    <cfRule type="dataBar" priority="2836">
      <dataBar>
        <cfvo type="min"/>
        <cfvo type="max"/>
        <color rgb="FF63C384"/>
      </dataBar>
      <extLst>
        <ext xmlns:x14="http://schemas.microsoft.com/office/spreadsheetml/2009/9/main" uri="{B025F937-C7B1-47D3-B67F-A62EFF666E3E}">
          <x14:id>{4F873388-E0A9-4A49-8F62-7E11FAC64129}</x14:id>
        </ext>
      </extLst>
    </cfRule>
  </conditionalFormatting>
  <conditionalFormatting sqref="AE11:AE72">
    <cfRule type="dataBar" priority="2837">
      <dataBar>
        <cfvo type="min"/>
        <cfvo type="max"/>
        <color rgb="FFFF555A"/>
      </dataBar>
      <extLst>
        <ext xmlns:x14="http://schemas.microsoft.com/office/spreadsheetml/2009/9/main" uri="{B025F937-C7B1-47D3-B67F-A62EFF666E3E}">
          <x14:id>{9B35D40C-BA3D-4C56-976F-7D7BEE0AB27B}</x14:id>
        </ext>
      </extLst>
    </cfRule>
  </conditionalFormatting>
  <conditionalFormatting sqref="X11:X72">
    <cfRule type="dataBar" priority="2838">
      <dataBar>
        <cfvo type="min"/>
        <cfvo type="max"/>
        <color rgb="FF638EC6"/>
      </dataBar>
      <extLst>
        <ext xmlns:x14="http://schemas.microsoft.com/office/spreadsheetml/2009/9/main" uri="{B025F937-C7B1-47D3-B67F-A62EFF666E3E}">
          <x14:id>{F518F108-CB9D-4CF6-8DCF-C179CD11B94C}</x14:id>
        </ext>
      </extLst>
    </cfRule>
  </conditionalFormatting>
  <conditionalFormatting sqref="AB11:AD72">
    <cfRule type="colorScale" priority="2839">
      <colorScale>
        <cfvo type="min"/>
        <cfvo type="percentile" val="50"/>
        <cfvo type="max"/>
        <color rgb="FF63BE7B"/>
        <color rgb="FFFFEB84"/>
        <color rgb="FFF8696B"/>
      </colorScale>
    </cfRule>
  </conditionalFormatting>
  <conditionalFormatting sqref="K11:K72">
    <cfRule type="iconSet" priority="2840">
      <iconSet iconSet="3Symbols">
        <cfvo type="percent" val="0"/>
        <cfvo type="percent" val="33"/>
        <cfvo type="percent" val="67"/>
      </iconSet>
    </cfRule>
    <cfRule type="colorScale" priority="2841">
      <colorScale>
        <cfvo type="min"/>
        <cfvo type="percentile" val="50"/>
        <cfvo type="max"/>
        <color rgb="FFF8696B"/>
        <color rgb="FFFFEB84"/>
        <color rgb="FF63BE7B"/>
      </colorScale>
    </cfRule>
  </conditionalFormatting>
  <conditionalFormatting sqref="L11:L72">
    <cfRule type="iconSet" priority="2842">
      <iconSet iconSet="3Symbols">
        <cfvo type="percent" val="0"/>
        <cfvo type="percent" val="33"/>
        <cfvo type="percent" val="67"/>
      </iconSet>
    </cfRule>
    <cfRule type="colorScale" priority="2843">
      <colorScale>
        <cfvo type="min"/>
        <cfvo type="percentile" val="50"/>
        <cfvo type="max"/>
        <color rgb="FFF8696B"/>
        <color rgb="FFFFEB84"/>
        <color rgb="FF63BE7B"/>
      </colorScale>
    </cfRule>
  </conditionalFormatting>
  <conditionalFormatting sqref="M11:M72">
    <cfRule type="colorScale" priority="2844">
      <colorScale>
        <cfvo type="min"/>
        <cfvo type="percentile" val="50"/>
        <cfvo type="max"/>
        <color rgb="FF63BE7B"/>
        <color rgb="FFFFEB84"/>
        <color rgb="FFF8696B"/>
      </colorScale>
    </cfRule>
  </conditionalFormatting>
  <conditionalFormatting sqref="D11:D72">
    <cfRule type="colorScale" priority="31">
      <colorScale>
        <cfvo type="min"/>
        <cfvo type="percentile" val="50"/>
        <cfvo type="max"/>
        <color rgb="FF63BE7B"/>
        <color rgb="FFFCFCFF"/>
        <color rgb="FFF8696B"/>
      </colorScale>
    </cfRule>
  </conditionalFormatting>
  <conditionalFormatting sqref="C11:C72">
    <cfRule type="colorScale" priority="32">
      <colorScale>
        <cfvo type="min"/>
        <cfvo type="percentile" val="50"/>
        <cfvo type="max"/>
        <color rgb="FF63BE7B"/>
        <color rgb="FFFFEB84"/>
        <color rgb="FFF8696B"/>
      </colorScale>
    </cfRule>
  </conditionalFormatting>
  <conditionalFormatting sqref="O9">
    <cfRule type="colorScale" priority="30">
      <colorScale>
        <cfvo type="min"/>
        <cfvo type="percentile" val="50"/>
        <cfvo type="max"/>
        <color rgb="FFF8696B"/>
        <color rgb="FFFFEB84"/>
        <color rgb="FF63BE7B"/>
      </colorScale>
    </cfRule>
  </conditionalFormatting>
  <conditionalFormatting sqref="Q9">
    <cfRule type="colorScale" priority="29">
      <colorScale>
        <cfvo type="min"/>
        <cfvo type="percentile" val="50"/>
        <cfvo type="max"/>
        <color rgb="FFF8696B"/>
        <color rgb="FFFFEB84"/>
        <color rgb="FF63BE7B"/>
      </colorScale>
    </cfRule>
  </conditionalFormatting>
  <conditionalFormatting sqref="G12:J72 G11:G72 I11:J72">
    <cfRule type="containsText" dxfId="622" priority="28" operator="containsText" text="@">
      <formula>NOT(ISERROR(SEARCH("@",G11)))</formula>
    </cfRule>
  </conditionalFormatting>
  <conditionalFormatting sqref="H12:H72">
    <cfRule type="dataBar" priority="27">
      <dataBar>
        <cfvo type="min"/>
        <cfvo type="max"/>
        <color rgb="FF63C384"/>
      </dataBar>
      <extLst>
        <ext xmlns:x14="http://schemas.microsoft.com/office/spreadsheetml/2009/9/main" uri="{B025F937-C7B1-47D3-B67F-A62EFF666E3E}">
          <x14:id>{4CE4BAC4-7542-4679-93B6-7A7ED4A320D5}</x14:id>
        </ext>
      </extLst>
    </cfRule>
  </conditionalFormatting>
  <conditionalFormatting sqref="G11:G72">
    <cfRule type="colorScale" priority="26">
      <colorScale>
        <cfvo type="min"/>
        <cfvo type="percentile" val="50"/>
        <cfvo type="max"/>
        <color rgb="FFF8696B"/>
        <color rgb="FFFFEB84"/>
        <color rgb="FF63BE7B"/>
      </colorScale>
    </cfRule>
  </conditionalFormatting>
  <conditionalFormatting sqref="J11:J72">
    <cfRule type="dataBar" priority="25">
      <dataBar>
        <cfvo type="min"/>
        <cfvo type="max"/>
        <color rgb="FF638EC6"/>
      </dataBar>
      <extLst>
        <ext xmlns:x14="http://schemas.microsoft.com/office/spreadsheetml/2009/9/main" uri="{B025F937-C7B1-47D3-B67F-A62EFF666E3E}">
          <x14:id>{78B43675-C021-45E3-9416-B55C675672B0}</x14:id>
        </ext>
      </extLst>
    </cfRule>
  </conditionalFormatting>
  <conditionalFormatting sqref="I11:I72">
    <cfRule type="colorScale" priority="24">
      <colorScale>
        <cfvo type="min"/>
        <cfvo type="percentile" val="50"/>
        <cfvo type="max"/>
        <color rgb="FFF8696B"/>
        <color rgb="FFFFEB84"/>
        <color rgb="FF63BE7B"/>
      </colorScale>
    </cfRule>
  </conditionalFormatting>
  <conditionalFormatting sqref="G11:G72">
    <cfRule type="colorScale" priority="23">
      <colorScale>
        <cfvo type="min"/>
        <cfvo type="percentile" val="50"/>
        <cfvo type="max"/>
        <color rgb="FFF8696B"/>
        <color rgb="FFFFEB84"/>
        <color rgb="FF63BE7B"/>
      </colorScale>
    </cfRule>
  </conditionalFormatting>
  <conditionalFormatting sqref="H12:H72">
    <cfRule type="dataBar" priority="22">
      <dataBar>
        <cfvo type="min"/>
        <cfvo type="max"/>
        <color rgb="FF63C384"/>
      </dataBar>
      <extLst>
        <ext xmlns:x14="http://schemas.microsoft.com/office/spreadsheetml/2009/9/main" uri="{B025F937-C7B1-47D3-B67F-A62EFF666E3E}">
          <x14:id>{BF131E98-ED66-4E2D-B075-CDE613505751}</x14:id>
        </ext>
      </extLst>
    </cfRule>
  </conditionalFormatting>
  <conditionalFormatting sqref="I11:I72">
    <cfRule type="colorScale" priority="21">
      <colorScale>
        <cfvo type="min"/>
        <cfvo type="percentile" val="50"/>
        <cfvo type="max"/>
        <color rgb="FFF8696B"/>
        <color rgb="FFFFEB84"/>
        <color rgb="FF63BE7B"/>
      </colorScale>
    </cfRule>
  </conditionalFormatting>
  <conditionalFormatting sqref="J11:J72">
    <cfRule type="dataBar" priority="20">
      <dataBar>
        <cfvo type="min"/>
        <cfvo type="max"/>
        <color rgb="FF638EC6"/>
      </dataBar>
      <extLst>
        <ext xmlns:x14="http://schemas.microsoft.com/office/spreadsheetml/2009/9/main" uri="{B025F937-C7B1-47D3-B67F-A62EFF666E3E}">
          <x14:id>{305C1C0C-C99E-437F-B0E9-263994C1FE75}</x14:id>
        </ext>
      </extLst>
    </cfRule>
  </conditionalFormatting>
  <conditionalFormatting sqref="H11:H72">
    <cfRule type="containsText" dxfId="621" priority="19" operator="containsText" text="@">
      <formula>NOT(ISERROR(SEARCH("@",H11)))</formula>
    </cfRule>
  </conditionalFormatting>
  <conditionalFormatting sqref="H11:H72">
    <cfRule type="dataBar" priority="18">
      <dataBar>
        <cfvo type="min"/>
        <cfvo type="max"/>
        <color rgb="FF63C384"/>
      </dataBar>
      <extLst>
        <ext xmlns:x14="http://schemas.microsoft.com/office/spreadsheetml/2009/9/main" uri="{B025F937-C7B1-47D3-B67F-A62EFF666E3E}">
          <x14:id>{3CC908C9-472C-49ED-82F4-F6C70CC4B02A}</x14:id>
        </ext>
      </extLst>
    </cfRule>
  </conditionalFormatting>
  <conditionalFormatting sqref="O11:O72">
    <cfRule type="colorScale" priority="5">
      <colorScale>
        <cfvo type="min"/>
        <cfvo type="percentile" val="50"/>
        <cfvo type="max"/>
        <color rgb="FFF8696B"/>
        <color rgb="FFFFEB84"/>
        <color rgb="FF63BE7B"/>
      </colorScale>
    </cfRule>
  </conditionalFormatting>
  <conditionalFormatting sqref="Q11:Q72">
    <cfRule type="colorScale" priority="4">
      <colorScale>
        <cfvo type="min"/>
        <cfvo type="percentile" val="50"/>
        <cfvo type="max"/>
        <color rgb="FFF8696B"/>
        <color rgb="FFFFEB84"/>
        <color rgb="FF63BE7B"/>
      </colorScale>
    </cfRule>
  </conditionalFormatting>
  <conditionalFormatting sqref="P11:P72">
    <cfRule type="dataBar" priority="3">
      <dataBar>
        <cfvo type="min"/>
        <cfvo type="max"/>
        <color rgb="FF63C384"/>
      </dataBar>
      <extLst>
        <ext xmlns:x14="http://schemas.microsoft.com/office/spreadsheetml/2009/9/main" uri="{B025F937-C7B1-47D3-B67F-A62EFF666E3E}">
          <x14:id>{D27B819B-6FA9-45A2-ADB9-3DE955AF7907}</x14:id>
        </ext>
      </extLst>
    </cfRule>
  </conditionalFormatting>
  <conditionalFormatting sqref="R11:R72">
    <cfRule type="dataBar" priority="2">
      <dataBar>
        <cfvo type="min"/>
        <cfvo type="max"/>
        <color rgb="FF638EC6"/>
      </dataBar>
      <extLst>
        <ext xmlns:x14="http://schemas.microsoft.com/office/spreadsheetml/2009/9/main" uri="{B025F937-C7B1-47D3-B67F-A62EFF666E3E}">
          <x14:id>{6CFBBEE0-E785-43B1-87E0-8EBA257A5730}</x14:id>
        </ext>
      </extLst>
    </cfRule>
  </conditionalFormatting>
  <conditionalFormatting sqref="G11">
    <cfRule type="containsText" dxfId="620" priority="1" operator="containsText" text="@">
      <formula>NOT(ISERROR(SEARCH("@",G11)))</formula>
    </cfRule>
  </conditionalFormatting>
  <hyperlinks>
    <hyperlink ref="B5" r:id="rId1"/>
  </hyperlinks>
  <pageMargins left="0.7" right="0.7" top="0.75" bottom="0.75" header="0.3" footer="0.3"/>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CFD0569C-4A03-47B9-B70F-38C325479BA0}">
            <x14:dataBar minLength="0" maxLength="100" border="1" negativeBarBorderColorSameAsPositive="0">
              <x14:cfvo type="autoMin"/>
              <x14:cfvo type="autoMax"/>
              <x14:borderColor rgb="FF63C384"/>
              <x14:negativeFillColor rgb="FFFF0000"/>
              <x14:negativeBorderColor rgb="FFFF0000"/>
              <x14:axisColor rgb="FF000000"/>
            </x14:dataBar>
          </x14:cfRule>
          <xm:sqref>N73:N1048576 P10 N1:N8</xm:sqref>
        </x14:conditionalFormatting>
        <x14:conditionalFormatting xmlns:xm="http://schemas.microsoft.com/office/excel/2006/main">
          <x14:cfRule type="dataBar" id="{74249F7A-41E8-4905-BD92-C38A7B6EF438}">
            <x14:dataBar minLength="0" maxLength="100" border="1" negativeBarBorderColorSameAsPositive="0">
              <x14:cfvo type="autoMin"/>
              <x14:cfvo type="autoMax"/>
              <x14:borderColor rgb="FF638EC6"/>
              <x14:negativeFillColor rgb="FFFF0000"/>
              <x14:negativeBorderColor rgb="FFFF0000"/>
              <x14:axisColor rgb="FF000000"/>
            </x14:dataBar>
          </x14:cfRule>
          <xm:sqref>P73:P1048576 R10 P1:P8</xm:sqref>
        </x14:conditionalFormatting>
        <x14:conditionalFormatting xmlns:xm="http://schemas.microsoft.com/office/excel/2006/main">
          <x14:cfRule type="dataBar" id="{8AEB8269-122F-4CBC-9FE0-388569C40DE6}">
            <x14:dataBar minLength="0" maxLength="100" border="1" negativeBarBorderColorSameAsPositive="0">
              <x14:cfvo type="autoMin"/>
              <x14:cfvo type="autoMax"/>
              <x14:borderColor rgb="FFFF555A"/>
              <x14:negativeFillColor rgb="FFFF0000"/>
              <x14:negativeBorderColor rgb="FFFF0000"/>
              <x14:axisColor rgb="FF000000"/>
            </x14:dataBar>
          </x14:cfRule>
          <xm:sqref>AE10</xm:sqref>
        </x14:conditionalFormatting>
        <x14:conditionalFormatting xmlns:xm="http://schemas.microsoft.com/office/excel/2006/main">
          <x14:cfRule type="dataBar" id="{5E2CC26F-E489-48EB-8BBF-36ADC0C2EE5C}">
            <x14:dataBar minLength="0" maxLength="100" border="1" negativeBarBorderColorSameAsPositive="0">
              <x14:cfvo type="autoMin"/>
              <x14:cfvo type="autoMax"/>
              <x14:borderColor rgb="FF63C384"/>
              <x14:negativeFillColor rgb="FFFF0000"/>
              <x14:negativeBorderColor rgb="FFFF0000"/>
              <x14:axisColor rgb="FF000000"/>
            </x14:dataBar>
          </x14:cfRule>
          <xm:sqref>Z11:Z72</xm:sqref>
        </x14:conditionalFormatting>
        <x14:conditionalFormatting xmlns:xm="http://schemas.microsoft.com/office/excel/2006/main">
          <x14:cfRule type="dataBar" id="{4F873388-E0A9-4A49-8F62-7E11FAC64129}">
            <x14:dataBar minLength="0" maxLength="100" border="1" negativeBarBorderColorSameAsPositive="0">
              <x14:cfvo type="autoMin"/>
              <x14:cfvo type="autoMax"/>
              <x14:borderColor rgb="FF63C384"/>
              <x14:negativeFillColor rgb="FFFF0000"/>
              <x14:negativeBorderColor rgb="FFFF0000"/>
              <x14:axisColor rgb="FF000000"/>
            </x14:dataBar>
          </x14:cfRule>
          <xm:sqref>S11:S72</xm:sqref>
        </x14:conditionalFormatting>
        <x14:conditionalFormatting xmlns:xm="http://schemas.microsoft.com/office/excel/2006/main">
          <x14:cfRule type="dataBar" id="{9B35D40C-BA3D-4C56-976F-7D7BEE0AB27B}">
            <x14:dataBar minLength="0" maxLength="100" border="1" negativeBarBorderColorSameAsPositive="0">
              <x14:cfvo type="autoMin"/>
              <x14:cfvo type="autoMax"/>
              <x14:borderColor rgb="FFFF555A"/>
              <x14:negativeFillColor rgb="FFFF0000"/>
              <x14:negativeBorderColor rgb="FFFF0000"/>
              <x14:axisColor rgb="FF000000"/>
            </x14:dataBar>
          </x14:cfRule>
          <xm:sqref>AE11:AE72</xm:sqref>
        </x14:conditionalFormatting>
        <x14:conditionalFormatting xmlns:xm="http://schemas.microsoft.com/office/excel/2006/main">
          <x14:cfRule type="dataBar" id="{F518F108-CB9D-4CF6-8DCF-C179CD11B94C}">
            <x14:dataBar minLength="0" maxLength="100" border="1" negativeBarBorderColorSameAsPositive="0">
              <x14:cfvo type="autoMin"/>
              <x14:cfvo type="autoMax"/>
              <x14:borderColor rgb="FF638EC6"/>
              <x14:negativeFillColor rgb="FFFF0000"/>
              <x14:negativeBorderColor rgb="FFFF0000"/>
              <x14:axisColor rgb="FF000000"/>
            </x14:dataBar>
          </x14:cfRule>
          <xm:sqref>X11:X72</xm:sqref>
        </x14:conditionalFormatting>
        <x14:conditionalFormatting xmlns:xm="http://schemas.microsoft.com/office/excel/2006/main">
          <x14:cfRule type="dataBar" id="{4CE4BAC4-7542-4679-93B6-7A7ED4A320D5}">
            <x14:dataBar minLength="0" maxLength="100" border="1" negativeBarBorderColorSameAsPositive="0">
              <x14:cfvo type="autoMin"/>
              <x14:cfvo type="autoMax"/>
              <x14:borderColor rgb="FF63C384"/>
              <x14:negativeFillColor rgb="FFFF0000"/>
              <x14:negativeBorderColor rgb="FFFF0000"/>
              <x14:axisColor rgb="FF000000"/>
            </x14:dataBar>
          </x14:cfRule>
          <xm:sqref>H12:H72</xm:sqref>
        </x14:conditionalFormatting>
        <x14:conditionalFormatting xmlns:xm="http://schemas.microsoft.com/office/excel/2006/main">
          <x14:cfRule type="dataBar" id="{78B43675-C021-45E3-9416-B55C675672B0}">
            <x14:dataBar minLength="0" maxLength="100" border="1" negativeBarBorderColorSameAsPositive="0">
              <x14:cfvo type="autoMin"/>
              <x14:cfvo type="autoMax"/>
              <x14:borderColor rgb="FF638EC6"/>
              <x14:negativeFillColor rgb="FFFF0000"/>
              <x14:negativeBorderColor rgb="FFFF0000"/>
              <x14:axisColor rgb="FF000000"/>
            </x14:dataBar>
          </x14:cfRule>
          <xm:sqref>J11:J72</xm:sqref>
        </x14:conditionalFormatting>
        <x14:conditionalFormatting xmlns:xm="http://schemas.microsoft.com/office/excel/2006/main">
          <x14:cfRule type="dataBar" id="{BF131E98-ED66-4E2D-B075-CDE613505751}">
            <x14:dataBar minLength="0" maxLength="100" border="1" negativeBarBorderColorSameAsPositive="0">
              <x14:cfvo type="autoMin"/>
              <x14:cfvo type="autoMax"/>
              <x14:borderColor rgb="FF63C384"/>
              <x14:negativeFillColor rgb="FFFF0000"/>
              <x14:negativeBorderColor rgb="FFFF0000"/>
              <x14:axisColor rgb="FF000000"/>
            </x14:dataBar>
          </x14:cfRule>
          <xm:sqref>H12:H72</xm:sqref>
        </x14:conditionalFormatting>
        <x14:conditionalFormatting xmlns:xm="http://schemas.microsoft.com/office/excel/2006/main">
          <x14:cfRule type="dataBar" id="{305C1C0C-C99E-437F-B0E9-263994C1FE75}">
            <x14:dataBar minLength="0" maxLength="100" border="1" negativeBarBorderColorSameAsPositive="0">
              <x14:cfvo type="autoMin"/>
              <x14:cfvo type="autoMax"/>
              <x14:borderColor rgb="FF638EC6"/>
              <x14:negativeFillColor rgb="FFFF0000"/>
              <x14:negativeBorderColor rgb="FFFF0000"/>
              <x14:axisColor rgb="FF000000"/>
            </x14:dataBar>
          </x14:cfRule>
          <xm:sqref>J11:J72</xm:sqref>
        </x14:conditionalFormatting>
        <x14:conditionalFormatting xmlns:xm="http://schemas.microsoft.com/office/excel/2006/main">
          <x14:cfRule type="dataBar" id="{3CC908C9-472C-49ED-82F4-F6C70CC4B02A}">
            <x14:dataBar minLength="0" maxLength="100" border="1" negativeBarBorderColorSameAsPositive="0">
              <x14:cfvo type="autoMin"/>
              <x14:cfvo type="autoMax"/>
              <x14:borderColor rgb="FF63C384"/>
              <x14:negativeFillColor rgb="FFFF0000"/>
              <x14:negativeBorderColor rgb="FFFF0000"/>
              <x14:axisColor rgb="FF000000"/>
            </x14:dataBar>
          </x14:cfRule>
          <xm:sqref>H11:H72</xm:sqref>
        </x14:conditionalFormatting>
        <x14:conditionalFormatting xmlns:xm="http://schemas.microsoft.com/office/excel/2006/main">
          <x14:cfRule type="dataBar" id="{D27B819B-6FA9-45A2-ADB9-3DE955AF7907}">
            <x14:dataBar minLength="0" maxLength="100" border="1" negativeBarBorderColorSameAsPositive="0">
              <x14:cfvo type="autoMin"/>
              <x14:cfvo type="autoMax"/>
              <x14:borderColor rgb="FF63C384"/>
              <x14:negativeFillColor rgb="FFFF0000"/>
              <x14:negativeBorderColor rgb="FFFF0000"/>
              <x14:axisColor rgb="FF000000"/>
            </x14:dataBar>
          </x14:cfRule>
          <xm:sqref>P11:P72</xm:sqref>
        </x14:conditionalFormatting>
        <x14:conditionalFormatting xmlns:xm="http://schemas.microsoft.com/office/excel/2006/main">
          <x14:cfRule type="dataBar" id="{6CFBBEE0-E785-43B1-87E0-8EBA257A5730}">
            <x14:dataBar minLength="0" maxLength="100" border="1" negativeBarBorderColorSameAsPositive="0">
              <x14:cfvo type="autoMin"/>
              <x14:cfvo type="autoMax"/>
              <x14:borderColor rgb="FF638EC6"/>
              <x14:negativeFillColor rgb="FFFF0000"/>
              <x14:negativeBorderColor rgb="FFFF0000"/>
              <x14:axisColor rgb="FF000000"/>
            </x14:dataBar>
          </x14:cfRule>
          <xm:sqref>R11:R72</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L71"/>
  <sheetViews>
    <sheetView workbookViewId="0">
      <pane xSplit="1" ySplit="1" topLeftCell="B2" activePane="bottomRight" state="frozen"/>
      <selection activeCell="A2" sqref="A2"/>
      <selection pane="topRight" activeCell="A2" sqref="A2"/>
      <selection pane="bottomLeft" activeCell="A2" sqref="A2"/>
      <selection pane="bottomRight" activeCell="D17" sqref="D17"/>
    </sheetView>
  </sheetViews>
  <sheetFormatPr defaultRowHeight="14.4" x14ac:dyDescent="0.3"/>
  <cols>
    <col min="1" max="1" width="9.5546875" bestFit="1" customWidth="1"/>
    <col min="2" max="2" width="8.5546875" bestFit="1" customWidth="1"/>
    <col min="3" max="3" width="9.77734375" bestFit="1" customWidth="1"/>
    <col min="4" max="4" width="22.21875" bestFit="1" customWidth="1"/>
    <col min="5" max="5" width="6.44140625" bestFit="1" customWidth="1"/>
    <col min="6" max="6" width="8.109375" bestFit="1" customWidth="1"/>
    <col min="7" max="7" width="7" bestFit="1" customWidth="1"/>
    <col min="8" max="8" width="7.77734375" bestFit="1" customWidth="1"/>
    <col min="9" max="9" width="8" bestFit="1" customWidth="1"/>
    <col min="10" max="10" width="11.44140625" bestFit="1" customWidth="1"/>
    <col min="11" max="11" width="12.77734375" bestFit="1" customWidth="1"/>
    <col min="12" max="12" width="10.21875" bestFit="1" customWidth="1"/>
    <col min="13" max="13" width="10.77734375" bestFit="1" customWidth="1"/>
    <col min="14" max="14" width="9.88671875" bestFit="1" customWidth="1"/>
    <col min="15" max="15" width="6.21875" bestFit="1" customWidth="1"/>
    <col min="16" max="16" width="10.77734375" bestFit="1" customWidth="1"/>
    <col min="17" max="17" width="11.109375" bestFit="1" customWidth="1"/>
    <col min="18" max="18" width="10.21875" bestFit="1" customWidth="1"/>
    <col min="19" max="19" width="6.44140625" bestFit="1" customWidth="1"/>
    <col min="20" max="20" width="10" bestFit="1" customWidth="1"/>
    <col min="21" max="21" width="9.109375" bestFit="1" customWidth="1"/>
    <col min="22" max="22" width="7.109375" bestFit="1" customWidth="1"/>
    <col min="23" max="24" width="6" bestFit="1" customWidth="1"/>
    <col min="25" max="25" width="8.77734375" bestFit="1" customWidth="1"/>
    <col min="26" max="26" width="31.109375" bestFit="1" customWidth="1"/>
    <col min="27" max="27" width="20.77734375" bestFit="1" customWidth="1"/>
    <col min="28" max="28" width="22.88671875" bestFit="1" customWidth="1"/>
    <col min="29" max="29" width="21.44140625" bestFit="1" customWidth="1"/>
    <col min="30" max="30" width="28" bestFit="1" customWidth="1"/>
    <col min="31" max="31" width="17.44140625" bestFit="1" customWidth="1"/>
    <col min="32" max="32" width="19.77734375" bestFit="1" customWidth="1"/>
    <col min="33" max="33" width="18.109375" bestFit="1" customWidth="1"/>
    <col min="34" max="34" width="29.44140625" bestFit="1" customWidth="1"/>
    <col min="35" max="35" width="18.88671875" bestFit="1" customWidth="1"/>
    <col min="36" max="36" width="21.109375" bestFit="1" customWidth="1"/>
    <col min="37" max="37" width="19.77734375" bestFit="1" customWidth="1"/>
    <col min="38" max="38" width="27.44140625" bestFit="1" customWidth="1"/>
    <col min="39" max="39" width="17" bestFit="1" customWidth="1"/>
    <col min="40" max="40" width="19.109375" bestFit="1" customWidth="1"/>
    <col min="41" max="41" width="17.77734375" bestFit="1" customWidth="1"/>
    <col min="42" max="42" width="31.44140625" bestFit="1" customWidth="1"/>
    <col min="43" max="43" width="21" bestFit="1" customWidth="1"/>
    <col min="44" max="44" width="23.109375" bestFit="1" customWidth="1"/>
    <col min="45" max="45" width="21.77734375" bestFit="1" customWidth="1"/>
    <col min="46" max="46" width="29" bestFit="1" customWidth="1"/>
    <col min="47" max="47" width="18.44140625" bestFit="1" customWidth="1"/>
    <col min="48" max="48" width="20.77734375" bestFit="1" customWidth="1"/>
    <col min="49" max="49" width="19.109375" bestFit="1" customWidth="1"/>
    <col min="50" max="50" width="26.44140625" bestFit="1" customWidth="1"/>
    <col min="51" max="51" width="16" bestFit="1" customWidth="1"/>
    <col min="52" max="52" width="18.109375" bestFit="1" customWidth="1"/>
    <col min="53" max="53" width="16.77734375" bestFit="1" customWidth="1"/>
    <col min="54" max="54" width="31.44140625" bestFit="1" customWidth="1"/>
    <col min="55" max="55" width="21" bestFit="1" customWidth="1"/>
    <col min="56" max="56" width="23.109375" bestFit="1" customWidth="1"/>
    <col min="57" max="57" width="21.77734375" bestFit="1" customWidth="1"/>
    <col min="58" max="58" width="31.44140625" bestFit="1" customWidth="1"/>
    <col min="59" max="59" width="21" bestFit="1" customWidth="1"/>
    <col min="60" max="60" width="23.109375" bestFit="1" customWidth="1"/>
    <col min="61" max="61" width="21.77734375" bestFit="1" customWidth="1"/>
    <col min="62" max="62" width="7" bestFit="1" customWidth="1"/>
    <col min="63" max="63" width="9.44140625" bestFit="1" customWidth="1"/>
    <col min="64" max="64" width="12.21875" bestFit="1" customWidth="1"/>
  </cols>
  <sheetData>
    <row r="1" spans="1:64" x14ac:dyDescent="0.3">
      <c r="A1" s="135" t="s">
        <v>1913</v>
      </c>
      <c r="B1" s="135" t="s">
        <v>1914</v>
      </c>
      <c r="C1" s="135" t="s">
        <v>1915</v>
      </c>
      <c r="D1" s="135" t="s">
        <v>1</v>
      </c>
      <c r="E1" s="135" t="s">
        <v>413</v>
      </c>
      <c r="F1" s="135" t="s">
        <v>387</v>
      </c>
      <c r="G1" s="135" t="s">
        <v>81</v>
      </c>
      <c r="H1" s="135" t="s">
        <v>1916</v>
      </c>
      <c r="I1" s="135" t="s">
        <v>1917</v>
      </c>
      <c r="J1" s="135" t="s">
        <v>1918</v>
      </c>
      <c r="K1" s="135" t="s">
        <v>797</v>
      </c>
      <c r="L1" s="135" t="s">
        <v>798</v>
      </c>
      <c r="M1" s="135" t="s">
        <v>1919</v>
      </c>
      <c r="N1" s="135" t="s">
        <v>799</v>
      </c>
      <c r="O1" s="135" t="s">
        <v>605</v>
      </c>
      <c r="P1" s="135" t="s">
        <v>800</v>
      </c>
      <c r="Q1" s="135" t="s">
        <v>801</v>
      </c>
      <c r="R1" s="135" t="s">
        <v>392</v>
      </c>
      <c r="S1" s="135" t="s">
        <v>389</v>
      </c>
      <c r="T1" s="135" t="s">
        <v>826</v>
      </c>
      <c r="U1" s="135" t="s">
        <v>393</v>
      </c>
      <c r="V1" s="135" t="s">
        <v>1230</v>
      </c>
      <c r="W1" s="135" t="s">
        <v>1257</v>
      </c>
      <c r="X1" s="135" t="s">
        <v>1920</v>
      </c>
      <c r="Y1" s="135" t="s">
        <v>1427</v>
      </c>
      <c r="Z1" s="135" t="s">
        <v>1921</v>
      </c>
      <c r="AA1" s="135" t="s">
        <v>1922</v>
      </c>
      <c r="AB1" s="135" t="s">
        <v>1923</v>
      </c>
      <c r="AC1" s="135" t="s">
        <v>1924</v>
      </c>
      <c r="AD1" s="135" t="s">
        <v>1925</v>
      </c>
      <c r="AE1" s="135" t="s">
        <v>1926</v>
      </c>
      <c r="AF1" s="135" t="s">
        <v>1927</v>
      </c>
      <c r="AG1" s="135" t="s">
        <v>1928</v>
      </c>
      <c r="AH1" s="135" t="s">
        <v>1929</v>
      </c>
      <c r="AI1" s="135" t="s">
        <v>1930</v>
      </c>
      <c r="AJ1" s="135" t="s">
        <v>1931</v>
      </c>
      <c r="AK1" s="135" t="s">
        <v>1932</v>
      </c>
      <c r="AL1" s="135" t="s">
        <v>1933</v>
      </c>
      <c r="AM1" s="135" t="s">
        <v>1934</v>
      </c>
      <c r="AN1" s="135" t="s">
        <v>1935</v>
      </c>
      <c r="AO1" s="135" t="s">
        <v>1936</v>
      </c>
      <c r="AP1" s="135" t="s">
        <v>1937</v>
      </c>
      <c r="AQ1" s="135" t="s">
        <v>1938</v>
      </c>
      <c r="AR1" s="135" t="s">
        <v>1939</v>
      </c>
      <c r="AS1" s="135" t="s">
        <v>1940</v>
      </c>
      <c r="AT1" s="135" t="s">
        <v>1941</v>
      </c>
      <c r="AU1" s="135" t="s">
        <v>1942</v>
      </c>
      <c r="AV1" s="135" t="s">
        <v>1943</v>
      </c>
      <c r="AW1" s="135" t="s">
        <v>1944</v>
      </c>
      <c r="AX1" s="135" t="s">
        <v>1945</v>
      </c>
      <c r="AY1" s="135" t="s">
        <v>1946</v>
      </c>
      <c r="AZ1" s="135" t="s">
        <v>1947</v>
      </c>
      <c r="BA1" s="135" t="s">
        <v>1948</v>
      </c>
      <c r="BB1" s="135" t="s">
        <v>1949</v>
      </c>
      <c r="BC1" s="135" t="s">
        <v>1950</v>
      </c>
      <c r="BD1" s="135" t="s">
        <v>1951</v>
      </c>
      <c r="BE1" s="135" t="s">
        <v>1952</v>
      </c>
      <c r="BF1" s="135" t="s">
        <v>1953</v>
      </c>
      <c r="BG1" s="135" t="s">
        <v>1954</v>
      </c>
      <c r="BH1" s="135" t="s">
        <v>1955</v>
      </c>
      <c r="BI1" s="135" t="s">
        <v>1956</v>
      </c>
      <c r="BJ1" s="135" t="s">
        <v>1606</v>
      </c>
      <c r="BK1" s="135" t="s">
        <v>2294</v>
      </c>
      <c r="BL1" s="135" t="s">
        <v>1957</v>
      </c>
    </row>
    <row r="2" spans="1:64" x14ac:dyDescent="0.3">
      <c r="A2" s="135">
        <v>2016</v>
      </c>
      <c r="B2" s="135">
        <v>4</v>
      </c>
      <c r="C2" s="135" t="s">
        <v>2201</v>
      </c>
      <c r="D2" s="135" t="s">
        <v>319</v>
      </c>
      <c r="E2" s="135" t="s">
        <v>399</v>
      </c>
      <c r="F2" s="135" t="s">
        <v>22</v>
      </c>
      <c r="G2" s="135" t="s">
        <v>2296</v>
      </c>
      <c r="H2" s="135">
        <v>18.57</v>
      </c>
      <c r="I2" s="135">
        <v>11.06</v>
      </c>
      <c r="J2" s="135">
        <v>17.780999999999999</v>
      </c>
      <c r="K2" s="135">
        <v>0</v>
      </c>
      <c r="L2" s="135">
        <v>0</v>
      </c>
      <c r="M2" s="135">
        <v>0</v>
      </c>
      <c r="N2" s="135">
        <v>0</v>
      </c>
      <c r="O2" s="135">
        <v>0</v>
      </c>
      <c r="P2" s="135">
        <v>0</v>
      </c>
      <c r="Q2" s="135">
        <v>0</v>
      </c>
      <c r="R2" s="135">
        <v>0</v>
      </c>
      <c r="S2" s="135">
        <v>6.7210000000000001</v>
      </c>
      <c r="T2" s="135">
        <v>88.52</v>
      </c>
      <c r="U2" s="135">
        <v>0.38600000000000001</v>
      </c>
      <c r="V2" s="135">
        <v>5.3999999999999999E-2</v>
      </c>
      <c r="W2" s="135">
        <v>0</v>
      </c>
      <c r="X2" s="135">
        <v>0</v>
      </c>
      <c r="Y2" s="135" t="s">
        <v>1959</v>
      </c>
      <c r="Z2" s="135">
        <v>14.4</v>
      </c>
      <c r="AA2" s="135">
        <v>5300</v>
      </c>
      <c r="AB2" s="135">
        <v>368.9</v>
      </c>
      <c r="AC2" s="135">
        <v>2.71</v>
      </c>
      <c r="AD2" s="135">
        <v>17.8</v>
      </c>
      <c r="AE2" s="135">
        <v>12000</v>
      </c>
      <c r="AF2" s="135">
        <v>674.9</v>
      </c>
      <c r="AG2" s="135">
        <v>1.48</v>
      </c>
      <c r="AH2" s="135">
        <v>18.399999999999999</v>
      </c>
      <c r="AI2" s="135">
        <v>6000</v>
      </c>
      <c r="AJ2" s="135">
        <v>326.7</v>
      </c>
      <c r="AK2" s="135">
        <v>3.06</v>
      </c>
      <c r="AL2" s="135">
        <v>14.4</v>
      </c>
      <c r="AM2" s="135">
        <v>7900</v>
      </c>
      <c r="AN2" s="135">
        <v>547.79999999999995</v>
      </c>
      <c r="AO2" s="135">
        <v>1.83</v>
      </c>
      <c r="AP2" s="135"/>
      <c r="AQ2" s="135"/>
      <c r="AR2" s="135"/>
      <c r="AS2" s="135"/>
      <c r="AT2" s="135"/>
      <c r="AU2" s="135"/>
      <c r="AV2" s="135"/>
      <c r="AW2" s="135"/>
      <c r="AX2" s="135">
        <v>14.4</v>
      </c>
      <c r="AY2" s="135">
        <v>24</v>
      </c>
      <c r="AZ2" s="135">
        <v>1.7</v>
      </c>
      <c r="BA2" s="135">
        <v>0.6</v>
      </c>
      <c r="BB2" s="135"/>
      <c r="BC2" s="135"/>
      <c r="BD2" s="135"/>
      <c r="BE2" s="135"/>
      <c r="BF2" s="135">
        <v>18.399999999999999</v>
      </c>
      <c r="BG2" s="135">
        <v>11300</v>
      </c>
      <c r="BH2" s="135">
        <v>615.29999999999995</v>
      </c>
      <c r="BI2" s="135">
        <v>1.63</v>
      </c>
      <c r="BJ2" s="135">
        <v>50</v>
      </c>
      <c r="BK2" s="135">
        <v>-3</v>
      </c>
      <c r="BL2" s="135">
        <v>26.5</v>
      </c>
    </row>
    <row r="3" spans="1:64" x14ac:dyDescent="0.3">
      <c r="A3" s="135">
        <v>2016</v>
      </c>
      <c r="B3" s="135">
        <v>4</v>
      </c>
      <c r="C3" s="135" t="s">
        <v>2200</v>
      </c>
      <c r="D3" s="135" t="s">
        <v>215</v>
      </c>
      <c r="E3" s="135" t="s">
        <v>399</v>
      </c>
      <c r="F3" s="135" t="s">
        <v>18</v>
      </c>
      <c r="G3" s="135" t="s">
        <v>14</v>
      </c>
      <c r="H3" s="135">
        <v>8.52</v>
      </c>
      <c r="I3" s="135">
        <v>9.9559999999999995</v>
      </c>
      <c r="J3" s="135">
        <v>15.423999999999999</v>
      </c>
      <c r="K3" s="135">
        <v>0</v>
      </c>
      <c r="L3" s="135">
        <v>0</v>
      </c>
      <c r="M3" s="135">
        <v>0</v>
      </c>
      <c r="N3" s="135">
        <v>0</v>
      </c>
      <c r="O3" s="135">
        <v>0</v>
      </c>
      <c r="P3" s="135">
        <v>0</v>
      </c>
      <c r="Q3" s="135">
        <v>0</v>
      </c>
      <c r="R3" s="135">
        <v>0</v>
      </c>
      <c r="S3" s="135">
        <v>5.468</v>
      </c>
      <c r="T3" s="135">
        <v>66.497</v>
      </c>
      <c r="U3" s="135">
        <v>0.56499999999999995</v>
      </c>
      <c r="V3" s="135">
        <v>4.2000000000000003E-2</v>
      </c>
      <c r="W3" s="135">
        <v>0</v>
      </c>
      <c r="X3" s="135">
        <v>0</v>
      </c>
      <c r="Y3" s="135" t="s">
        <v>1959</v>
      </c>
      <c r="Z3" s="135">
        <v>12.6</v>
      </c>
      <c r="AA3" s="135">
        <v>5000</v>
      </c>
      <c r="AB3" s="135">
        <v>395.3</v>
      </c>
      <c r="AC3" s="135">
        <v>2.5299999999999998</v>
      </c>
      <c r="AD3" s="135">
        <v>15.4</v>
      </c>
      <c r="AE3" s="135">
        <v>12750</v>
      </c>
      <c r="AF3" s="135">
        <v>826.6</v>
      </c>
      <c r="AG3" s="135">
        <v>1.21</v>
      </c>
      <c r="AH3" s="135">
        <v>15.9</v>
      </c>
      <c r="AI3" s="135">
        <v>6300</v>
      </c>
      <c r="AJ3" s="135">
        <v>397.1</v>
      </c>
      <c r="AK3" s="135">
        <v>2.52</v>
      </c>
      <c r="AL3" s="135">
        <v>12.7</v>
      </c>
      <c r="AM3" s="135">
        <v>7500</v>
      </c>
      <c r="AN3" s="135">
        <v>591</v>
      </c>
      <c r="AO3" s="135">
        <v>1.69</v>
      </c>
      <c r="AP3" s="135"/>
      <c r="AQ3" s="135"/>
      <c r="AR3" s="135"/>
      <c r="AS3" s="135"/>
      <c r="AT3" s="135"/>
      <c r="AU3" s="135"/>
      <c r="AV3" s="135"/>
      <c r="AW3" s="135"/>
      <c r="AX3" s="135">
        <v>12.7</v>
      </c>
      <c r="AY3" s="135">
        <v>27</v>
      </c>
      <c r="AZ3" s="135">
        <v>2.1</v>
      </c>
      <c r="BA3" s="135">
        <v>0.47</v>
      </c>
      <c r="BB3" s="135"/>
      <c r="BC3" s="135"/>
      <c r="BD3" s="135"/>
      <c r="BE3" s="135"/>
      <c r="BF3" s="135">
        <v>15.9</v>
      </c>
      <c r="BG3" s="135">
        <v>12000</v>
      </c>
      <c r="BH3" s="135">
        <v>756.4</v>
      </c>
      <c r="BI3" s="135">
        <v>1.32</v>
      </c>
      <c r="BJ3" s="135">
        <v>45.5</v>
      </c>
      <c r="BK3" s="135">
        <v>-8</v>
      </c>
      <c r="BL3" s="135">
        <v>26.75</v>
      </c>
    </row>
    <row r="4" spans="1:64" x14ac:dyDescent="0.3">
      <c r="A4" s="135">
        <v>2016</v>
      </c>
      <c r="B4" s="135">
        <v>4</v>
      </c>
      <c r="C4" s="135" t="s">
        <v>2203</v>
      </c>
      <c r="D4" s="135" t="s">
        <v>323</v>
      </c>
      <c r="E4" s="135" t="s">
        <v>399</v>
      </c>
      <c r="F4" s="135" t="s">
        <v>397</v>
      </c>
      <c r="G4" s="135" t="s">
        <v>2307</v>
      </c>
      <c r="H4" s="135">
        <v>6.49</v>
      </c>
      <c r="I4" s="135">
        <v>8.9920000000000009</v>
      </c>
      <c r="J4" s="135">
        <v>14.968999999999999</v>
      </c>
      <c r="K4" s="135">
        <v>0</v>
      </c>
      <c r="L4" s="135">
        <v>0</v>
      </c>
      <c r="M4" s="135">
        <v>0</v>
      </c>
      <c r="N4" s="135">
        <v>0</v>
      </c>
      <c r="O4" s="135">
        <v>0</v>
      </c>
      <c r="P4" s="135">
        <v>0</v>
      </c>
      <c r="Q4" s="135">
        <v>0</v>
      </c>
      <c r="R4" s="135">
        <v>0</v>
      </c>
      <c r="S4" s="135">
        <v>5.9770000000000003</v>
      </c>
      <c r="T4" s="135">
        <v>67.442999999999998</v>
      </c>
      <c r="U4" s="135">
        <v>0.39400000000000002</v>
      </c>
      <c r="V4" s="135">
        <v>5.8000000000000003E-2</v>
      </c>
      <c r="W4" s="135">
        <v>0</v>
      </c>
      <c r="X4" s="135">
        <v>0</v>
      </c>
      <c r="Y4" s="135" t="s">
        <v>1959</v>
      </c>
      <c r="Z4" s="135">
        <v>11.9</v>
      </c>
      <c r="AA4" s="135">
        <v>4850</v>
      </c>
      <c r="AB4" s="135">
        <v>406.8</v>
      </c>
      <c r="AC4" s="135">
        <v>2.46</v>
      </c>
      <c r="AD4" s="135">
        <v>15</v>
      </c>
      <c r="AE4" s="135">
        <v>10600</v>
      </c>
      <c r="AF4" s="135">
        <v>708.1</v>
      </c>
      <c r="AG4" s="135">
        <v>1.41</v>
      </c>
      <c r="AH4" s="135">
        <v>15.4</v>
      </c>
      <c r="AI4" s="135">
        <v>4800</v>
      </c>
      <c r="AJ4" s="135">
        <v>311</v>
      </c>
      <c r="AK4" s="135">
        <v>3.21</v>
      </c>
      <c r="AL4" s="135">
        <v>12</v>
      </c>
      <c r="AM4" s="135">
        <v>6500</v>
      </c>
      <c r="AN4" s="135">
        <v>542.5</v>
      </c>
      <c r="AO4" s="135">
        <v>1.84</v>
      </c>
      <c r="AP4" s="135"/>
      <c r="AQ4" s="135"/>
      <c r="AR4" s="135"/>
      <c r="AS4" s="135"/>
      <c r="AT4" s="135"/>
      <c r="AU4" s="135"/>
      <c r="AV4" s="135"/>
      <c r="AW4" s="135"/>
      <c r="AX4" s="135">
        <v>12</v>
      </c>
      <c r="AY4" s="135">
        <v>21</v>
      </c>
      <c r="AZ4" s="135">
        <v>1.8</v>
      </c>
      <c r="BA4" s="135">
        <v>0.56999999999999995</v>
      </c>
      <c r="BB4" s="135"/>
      <c r="BC4" s="135"/>
      <c r="BD4" s="135"/>
      <c r="BE4" s="135"/>
      <c r="BF4" s="135">
        <v>15.4</v>
      </c>
      <c r="BG4" s="135">
        <v>9000</v>
      </c>
      <c r="BH4" s="135">
        <v>583.20000000000005</v>
      </c>
      <c r="BI4" s="135">
        <v>1.71</v>
      </c>
      <c r="BJ4" s="135">
        <v>47.5</v>
      </c>
      <c r="BK4" s="135">
        <v>5.5</v>
      </c>
      <c r="BL4" s="135">
        <v>21</v>
      </c>
    </row>
    <row r="5" spans="1:64" x14ac:dyDescent="0.3">
      <c r="A5" s="135">
        <v>2016</v>
      </c>
      <c r="B5" s="135">
        <v>4</v>
      </c>
      <c r="C5" s="135" t="s">
        <v>2581</v>
      </c>
      <c r="D5" s="135" t="s">
        <v>318</v>
      </c>
      <c r="E5" s="135" t="s">
        <v>399</v>
      </c>
      <c r="F5" s="135" t="s">
        <v>402</v>
      </c>
      <c r="G5" s="135" t="s">
        <v>10</v>
      </c>
      <c r="H5" s="135">
        <v>5.24</v>
      </c>
      <c r="I5" s="135">
        <v>8.0860000000000003</v>
      </c>
      <c r="J5" s="135">
        <v>11.872999999999999</v>
      </c>
      <c r="K5" s="135">
        <v>0</v>
      </c>
      <c r="L5" s="135">
        <v>0</v>
      </c>
      <c r="M5" s="135">
        <v>0</v>
      </c>
      <c r="N5" s="135">
        <v>0</v>
      </c>
      <c r="O5" s="135">
        <v>0</v>
      </c>
      <c r="P5" s="135">
        <v>0</v>
      </c>
      <c r="Q5" s="135">
        <v>0</v>
      </c>
      <c r="R5" s="135">
        <v>0</v>
      </c>
      <c r="S5" s="135">
        <v>3.7869999999999999</v>
      </c>
      <c r="T5" s="135">
        <v>53.155999999999999</v>
      </c>
      <c r="U5" s="135">
        <v>0.47399999999999998</v>
      </c>
      <c r="V5" s="135">
        <v>3.6999999999999998E-2</v>
      </c>
      <c r="W5" s="135">
        <v>0</v>
      </c>
      <c r="X5" s="135">
        <v>0</v>
      </c>
      <c r="Y5" s="135" t="s">
        <v>1983</v>
      </c>
      <c r="Z5" s="135">
        <v>9.9</v>
      </c>
      <c r="AA5" s="135">
        <v>5700</v>
      </c>
      <c r="AB5" s="135">
        <v>573.29999999999995</v>
      </c>
      <c r="AC5" s="135">
        <v>1.74</v>
      </c>
      <c r="AD5" s="135">
        <v>11.9</v>
      </c>
      <c r="AE5" s="135">
        <v>10000</v>
      </c>
      <c r="AF5" s="135">
        <v>842.3</v>
      </c>
      <c r="AG5" s="135">
        <v>1.19</v>
      </c>
      <c r="AH5" s="135">
        <v>12.2</v>
      </c>
      <c r="AI5" s="135">
        <v>6500</v>
      </c>
      <c r="AJ5" s="135">
        <v>531.5</v>
      </c>
      <c r="AK5" s="135">
        <v>1.88</v>
      </c>
      <c r="AL5" s="135">
        <v>10</v>
      </c>
      <c r="AM5" s="135">
        <v>7400</v>
      </c>
      <c r="AN5" s="135">
        <v>741.5</v>
      </c>
      <c r="AO5" s="135">
        <v>1.35</v>
      </c>
      <c r="AP5" s="135"/>
      <c r="AQ5" s="135"/>
      <c r="AR5" s="135"/>
      <c r="AS5" s="135"/>
      <c r="AT5" s="135"/>
      <c r="AU5" s="135"/>
      <c r="AV5" s="135"/>
      <c r="AW5" s="135"/>
      <c r="AX5" s="135">
        <v>10</v>
      </c>
      <c r="AY5" s="135">
        <v>27</v>
      </c>
      <c r="AZ5" s="135">
        <v>2.7</v>
      </c>
      <c r="BA5" s="135">
        <v>0.37</v>
      </c>
      <c r="BB5" s="135"/>
      <c r="BC5" s="135"/>
      <c r="BD5" s="135"/>
      <c r="BE5" s="135"/>
      <c r="BF5" s="135">
        <v>12.2</v>
      </c>
      <c r="BG5" s="135">
        <v>12300</v>
      </c>
      <c r="BH5" s="135">
        <v>1005.8</v>
      </c>
      <c r="BI5" s="135">
        <v>0.99</v>
      </c>
      <c r="BJ5" s="135">
        <v>44</v>
      </c>
      <c r="BK5" s="135">
        <v>-4.5</v>
      </c>
      <c r="BL5" s="135">
        <v>24.25</v>
      </c>
    </row>
    <row r="6" spans="1:64" x14ac:dyDescent="0.3">
      <c r="A6" s="135">
        <v>2016</v>
      </c>
      <c r="B6" s="135">
        <v>4</v>
      </c>
      <c r="C6" s="135" t="s">
        <v>2210</v>
      </c>
      <c r="D6" s="135" t="s">
        <v>331</v>
      </c>
      <c r="E6" s="135" t="s">
        <v>399</v>
      </c>
      <c r="F6" s="135" t="s">
        <v>41</v>
      </c>
      <c r="G6" s="135" t="s">
        <v>37</v>
      </c>
      <c r="H6" s="135">
        <v>4.62</v>
      </c>
      <c r="I6" s="135">
        <v>7.9589999999999996</v>
      </c>
      <c r="J6" s="135">
        <v>12.458</v>
      </c>
      <c r="K6" s="135">
        <v>0</v>
      </c>
      <c r="L6" s="135">
        <v>0</v>
      </c>
      <c r="M6" s="135">
        <v>0</v>
      </c>
      <c r="N6" s="135">
        <v>0</v>
      </c>
      <c r="O6" s="135">
        <v>0</v>
      </c>
      <c r="P6" s="135">
        <v>0</v>
      </c>
      <c r="Q6" s="135">
        <v>0</v>
      </c>
      <c r="R6" s="135">
        <v>0</v>
      </c>
      <c r="S6" s="135">
        <v>4.4989999999999997</v>
      </c>
      <c r="T6" s="135">
        <v>51.213999999999999</v>
      </c>
      <c r="U6" s="135">
        <v>0.48799999999999999</v>
      </c>
      <c r="V6" s="135">
        <v>4.4999999999999998E-2</v>
      </c>
      <c r="W6" s="135">
        <v>0</v>
      </c>
      <c r="X6" s="135">
        <v>0</v>
      </c>
      <c r="Y6" s="135" t="s">
        <v>1983</v>
      </c>
      <c r="Z6" s="135">
        <v>10.199999999999999</v>
      </c>
      <c r="AA6" s="135">
        <v>4550</v>
      </c>
      <c r="AB6" s="135">
        <v>447.7</v>
      </c>
      <c r="AC6" s="135">
        <v>2.23</v>
      </c>
      <c r="AD6" s="135">
        <v>12.5</v>
      </c>
      <c r="AE6" s="135">
        <v>8150</v>
      </c>
      <c r="AF6" s="135">
        <v>654.20000000000005</v>
      </c>
      <c r="AG6" s="135">
        <v>1.53</v>
      </c>
      <c r="AH6" s="135">
        <v>12.8</v>
      </c>
      <c r="AI6" s="135">
        <v>3400</v>
      </c>
      <c r="AJ6" s="135">
        <v>265.39999999999998</v>
      </c>
      <c r="AK6" s="135">
        <v>3.77</v>
      </c>
      <c r="AL6" s="135">
        <v>10.199999999999999</v>
      </c>
      <c r="AM6" s="135">
        <v>5600</v>
      </c>
      <c r="AN6" s="135">
        <v>548.5</v>
      </c>
      <c r="AO6" s="135">
        <v>1.82</v>
      </c>
      <c r="AP6" s="135"/>
      <c r="AQ6" s="135"/>
      <c r="AR6" s="135"/>
      <c r="AS6" s="135"/>
      <c r="AT6" s="135"/>
      <c r="AU6" s="135"/>
      <c r="AV6" s="135"/>
      <c r="AW6" s="135"/>
      <c r="AX6" s="135">
        <v>10.199999999999999</v>
      </c>
      <c r="AY6" s="135">
        <v>15</v>
      </c>
      <c r="AZ6" s="135">
        <v>1.5</v>
      </c>
      <c r="BA6" s="135">
        <v>0.68</v>
      </c>
      <c r="BB6" s="135"/>
      <c r="BC6" s="135"/>
      <c r="BD6" s="135"/>
      <c r="BE6" s="135"/>
      <c r="BF6" s="135">
        <v>12.8</v>
      </c>
      <c r="BG6" s="135">
        <v>6700</v>
      </c>
      <c r="BH6" s="135">
        <v>523</v>
      </c>
      <c r="BI6" s="135">
        <v>1.91</v>
      </c>
      <c r="BJ6" s="135">
        <v>43.5</v>
      </c>
      <c r="BK6" s="135">
        <v>-4</v>
      </c>
      <c r="BL6" s="135">
        <v>23.75</v>
      </c>
    </row>
    <row r="7" spans="1:64" x14ac:dyDescent="0.3">
      <c r="A7" s="135">
        <v>2016</v>
      </c>
      <c r="B7" s="135">
        <v>4</v>
      </c>
      <c r="C7" s="135" t="s">
        <v>2206</v>
      </c>
      <c r="D7" s="135" t="s">
        <v>532</v>
      </c>
      <c r="E7" s="135" t="s">
        <v>399</v>
      </c>
      <c r="F7" s="135" t="s">
        <v>32</v>
      </c>
      <c r="G7" s="135" t="s">
        <v>4</v>
      </c>
      <c r="H7" s="135">
        <v>9.34</v>
      </c>
      <c r="I7" s="135">
        <v>7.5309999999999997</v>
      </c>
      <c r="J7" s="135">
        <v>12.763</v>
      </c>
      <c r="K7" s="135">
        <v>0</v>
      </c>
      <c r="L7" s="135">
        <v>0</v>
      </c>
      <c r="M7" s="135">
        <v>0</v>
      </c>
      <c r="N7" s="135">
        <v>0</v>
      </c>
      <c r="O7" s="135">
        <v>0</v>
      </c>
      <c r="P7" s="135">
        <v>0</v>
      </c>
      <c r="Q7" s="135">
        <v>0</v>
      </c>
      <c r="R7" s="135">
        <v>0</v>
      </c>
      <c r="S7" s="135">
        <v>5.2320000000000002</v>
      </c>
      <c r="T7" s="135">
        <v>55.072000000000003</v>
      </c>
      <c r="U7" s="135">
        <v>0.35</v>
      </c>
      <c r="V7" s="135">
        <v>3.7999999999999999E-2</v>
      </c>
      <c r="W7" s="135">
        <v>0</v>
      </c>
      <c r="X7" s="135">
        <v>0</v>
      </c>
      <c r="Y7" s="135" t="s">
        <v>1983</v>
      </c>
      <c r="Z7" s="135">
        <v>10.1</v>
      </c>
      <c r="AA7" s="135">
        <v>4750</v>
      </c>
      <c r="AB7" s="135">
        <v>469.9</v>
      </c>
      <c r="AC7" s="135">
        <v>2.13</v>
      </c>
      <c r="AD7" s="135">
        <v>12.8</v>
      </c>
      <c r="AE7" s="135">
        <v>9100</v>
      </c>
      <c r="AF7" s="135">
        <v>713</v>
      </c>
      <c r="AG7" s="135">
        <v>1.4</v>
      </c>
      <c r="AH7" s="135">
        <v>13.1</v>
      </c>
      <c r="AI7" s="135">
        <v>3900</v>
      </c>
      <c r="AJ7" s="135">
        <v>297</v>
      </c>
      <c r="AK7" s="135">
        <v>3.37</v>
      </c>
      <c r="AL7" s="135">
        <v>10.1</v>
      </c>
      <c r="AM7" s="135">
        <v>5400</v>
      </c>
      <c r="AN7" s="135">
        <v>532.20000000000005</v>
      </c>
      <c r="AO7" s="135">
        <v>1.88</v>
      </c>
      <c r="AP7" s="135"/>
      <c r="AQ7" s="135"/>
      <c r="AR7" s="135"/>
      <c r="AS7" s="135"/>
      <c r="AT7" s="135"/>
      <c r="AU7" s="135"/>
      <c r="AV7" s="135"/>
      <c r="AW7" s="135"/>
      <c r="AX7" s="135">
        <v>10.1</v>
      </c>
      <c r="AY7" s="135">
        <v>18</v>
      </c>
      <c r="AZ7" s="135">
        <v>1.8</v>
      </c>
      <c r="BA7" s="135">
        <v>0.56000000000000005</v>
      </c>
      <c r="BB7" s="135"/>
      <c r="BC7" s="135"/>
      <c r="BD7" s="135"/>
      <c r="BE7" s="135"/>
      <c r="BF7" s="135">
        <v>13.1</v>
      </c>
      <c r="BG7" s="135">
        <v>7700</v>
      </c>
      <c r="BH7" s="135">
        <v>586.4</v>
      </c>
      <c r="BI7" s="135">
        <v>1.71</v>
      </c>
      <c r="BJ7" s="135">
        <v>46.5</v>
      </c>
      <c r="BK7" s="135">
        <v>-3.5</v>
      </c>
      <c r="BL7" s="135">
        <v>25</v>
      </c>
    </row>
    <row r="8" spans="1:64" x14ac:dyDescent="0.3">
      <c r="A8" s="135">
        <v>2016</v>
      </c>
      <c r="B8" s="135">
        <v>4</v>
      </c>
      <c r="C8" s="135" t="s">
        <v>2205</v>
      </c>
      <c r="D8" s="135" t="s">
        <v>332</v>
      </c>
      <c r="E8" s="135" t="s">
        <v>399</v>
      </c>
      <c r="F8" s="135" t="s">
        <v>26</v>
      </c>
      <c r="G8" s="135" t="s">
        <v>2298</v>
      </c>
      <c r="H8" s="135">
        <v>6.82</v>
      </c>
      <c r="I8" s="135">
        <v>7.2329999999999997</v>
      </c>
      <c r="J8" s="135">
        <v>11.512</v>
      </c>
      <c r="K8" s="135">
        <v>0</v>
      </c>
      <c r="L8" s="135">
        <v>0</v>
      </c>
      <c r="M8" s="135">
        <v>0</v>
      </c>
      <c r="N8" s="135">
        <v>0</v>
      </c>
      <c r="O8" s="135">
        <v>0</v>
      </c>
      <c r="P8" s="135">
        <v>0</v>
      </c>
      <c r="Q8" s="135">
        <v>0</v>
      </c>
      <c r="R8" s="135">
        <v>0</v>
      </c>
      <c r="S8" s="135">
        <v>4.2789999999999999</v>
      </c>
      <c r="T8" s="135">
        <v>47.728999999999999</v>
      </c>
      <c r="U8" s="135">
        <v>0.41899999999999998</v>
      </c>
      <c r="V8" s="135">
        <v>2.7E-2</v>
      </c>
      <c r="W8" s="135">
        <v>0</v>
      </c>
      <c r="X8" s="135">
        <v>0</v>
      </c>
      <c r="Y8" s="135" t="s">
        <v>1983</v>
      </c>
      <c r="Z8" s="135">
        <v>9.3000000000000007</v>
      </c>
      <c r="AA8" s="135">
        <v>4500</v>
      </c>
      <c r="AB8" s="135">
        <v>481.5</v>
      </c>
      <c r="AC8" s="135">
        <v>2.08</v>
      </c>
      <c r="AD8" s="135">
        <v>11.5</v>
      </c>
      <c r="AE8" s="135">
        <v>9250</v>
      </c>
      <c r="AF8" s="135">
        <v>803.5</v>
      </c>
      <c r="AG8" s="135">
        <v>1.24</v>
      </c>
      <c r="AH8" s="135">
        <v>11.8</v>
      </c>
      <c r="AI8" s="135">
        <v>3700</v>
      </c>
      <c r="AJ8" s="135">
        <v>312.89999999999998</v>
      </c>
      <c r="AK8" s="135">
        <v>3.2</v>
      </c>
      <c r="AL8" s="135">
        <v>9.4</v>
      </c>
      <c r="AM8" s="135">
        <v>5800</v>
      </c>
      <c r="AN8" s="135">
        <v>618.79999999999995</v>
      </c>
      <c r="AO8" s="135">
        <v>1.62</v>
      </c>
      <c r="AP8" s="135"/>
      <c r="AQ8" s="135"/>
      <c r="AR8" s="135"/>
      <c r="AS8" s="135"/>
      <c r="AT8" s="135"/>
      <c r="AU8" s="135"/>
      <c r="AV8" s="135"/>
      <c r="AW8" s="135"/>
      <c r="AX8" s="135">
        <v>9.4</v>
      </c>
      <c r="AY8" s="135">
        <v>18</v>
      </c>
      <c r="AZ8" s="135">
        <v>1.9</v>
      </c>
      <c r="BA8" s="135">
        <v>0.52</v>
      </c>
      <c r="BB8" s="135"/>
      <c r="BC8" s="135"/>
      <c r="BD8" s="135"/>
      <c r="BE8" s="135"/>
      <c r="BF8" s="135">
        <v>11.8</v>
      </c>
      <c r="BG8" s="135">
        <v>7400</v>
      </c>
      <c r="BH8" s="135">
        <v>625.79999999999995</v>
      </c>
      <c r="BI8" s="135">
        <v>1.6</v>
      </c>
      <c r="BJ8" s="135">
        <v>46.5</v>
      </c>
      <c r="BK8" s="135">
        <v>-3</v>
      </c>
      <c r="BL8" s="135">
        <v>24.75</v>
      </c>
    </row>
    <row r="9" spans="1:64" x14ac:dyDescent="0.3">
      <c r="A9" s="135">
        <v>2016</v>
      </c>
      <c r="B9" s="135">
        <v>4</v>
      </c>
      <c r="C9" s="135" t="s">
        <v>2204</v>
      </c>
      <c r="D9" s="135" t="s">
        <v>326</v>
      </c>
      <c r="E9" s="135" t="s">
        <v>399</v>
      </c>
      <c r="F9" s="135" t="s">
        <v>12</v>
      </c>
      <c r="G9" s="135" t="s">
        <v>16</v>
      </c>
      <c r="H9" s="135">
        <v>8.5</v>
      </c>
      <c r="I9" s="135">
        <v>6.851</v>
      </c>
      <c r="J9" s="135">
        <v>10.662000000000001</v>
      </c>
      <c r="K9" s="135">
        <v>0</v>
      </c>
      <c r="L9" s="135">
        <v>0</v>
      </c>
      <c r="M9" s="135">
        <v>0</v>
      </c>
      <c r="N9" s="135">
        <v>0</v>
      </c>
      <c r="O9" s="135">
        <v>0</v>
      </c>
      <c r="P9" s="135">
        <v>0</v>
      </c>
      <c r="Q9" s="135">
        <v>0</v>
      </c>
      <c r="R9" s="135">
        <v>0</v>
      </c>
      <c r="S9" s="135">
        <v>3.8109999999999999</v>
      </c>
      <c r="T9" s="135">
        <v>47.994</v>
      </c>
      <c r="U9" s="135">
        <v>0.35299999999999998</v>
      </c>
      <c r="V9" s="135">
        <v>3.3000000000000002E-2</v>
      </c>
      <c r="W9" s="135">
        <v>0</v>
      </c>
      <c r="X9" s="135">
        <v>0</v>
      </c>
      <c r="Y9" s="135" t="s">
        <v>1983</v>
      </c>
      <c r="Z9" s="135">
        <v>8.6999999999999993</v>
      </c>
      <c r="AA9" s="135">
        <v>4400</v>
      </c>
      <c r="AB9" s="135">
        <v>504.4</v>
      </c>
      <c r="AC9" s="135">
        <v>1.98</v>
      </c>
      <c r="AD9" s="135">
        <v>10.7</v>
      </c>
      <c r="AE9" s="135">
        <v>9450</v>
      </c>
      <c r="AF9" s="135">
        <v>886.3</v>
      </c>
      <c r="AG9" s="135">
        <v>1.1299999999999999</v>
      </c>
      <c r="AH9" s="135">
        <v>11</v>
      </c>
      <c r="AI9" s="135">
        <v>4400</v>
      </c>
      <c r="AJ9" s="135">
        <v>400.6</v>
      </c>
      <c r="AK9" s="135">
        <v>2.5</v>
      </c>
      <c r="AL9" s="135">
        <v>8.8000000000000007</v>
      </c>
      <c r="AM9" s="135">
        <v>6000</v>
      </c>
      <c r="AN9" s="135">
        <v>685.2</v>
      </c>
      <c r="AO9" s="135">
        <v>1.46</v>
      </c>
      <c r="AP9" s="135"/>
      <c r="AQ9" s="135"/>
      <c r="AR9" s="135"/>
      <c r="AS9" s="135"/>
      <c r="AT9" s="135"/>
      <c r="AU9" s="135"/>
      <c r="AV9" s="135"/>
      <c r="AW9" s="135"/>
      <c r="AX9" s="135">
        <v>8.8000000000000007</v>
      </c>
      <c r="AY9" s="135">
        <v>16</v>
      </c>
      <c r="AZ9" s="135">
        <v>1.8</v>
      </c>
      <c r="BA9" s="135">
        <v>0.55000000000000004</v>
      </c>
      <c r="BB9" s="135"/>
      <c r="BC9" s="135"/>
      <c r="BD9" s="135"/>
      <c r="BE9" s="135"/>
      <c r="BF9" s="135">
        <v>11</v>
      </c>
      <c r="BG9" s="135">
        <v>8300</v>
      </c>
      <c r="BH9" s="135">
        <v>755.7</v>
      </c>
      <c r="BI9" s="135">
        <v>1.32</v>
      </c>
      <c r="BJ9" s="135">
        <v>49.5</v>
      </c>
      <c r="BK9" s="135">
        <v>2.5</v>
      </c>
      <c r="BL9" s="135">
        <v>23.5</v>
      </c>
    </row>
    <row r="10" spans="1:64" x14ac:dyDescent="0.3">
      <c r="A10" s="135">
        <v>2016</v>
      </c>
      <c r="B10" s="135">
        <v>4</v>
      </c>
      <c r="C10" s="135" t="s">
        <v>2212</v>
      </c>
      <c r="D10" s="135" t="s">
        <v>308</v>
      </c>
      <c r="E10" s="135" t="s">
        <v>399</v>
      </c>
      <c r="F10" s="135" t="s">
        <v>404</v>
      </c>
      <c r="G10" s="135" t="s">
        <v>2308</v>
      </c>
      <c r="H10" s="135">
        <v>6.27</v>
      </c>
      <c r="I10" s="135">
        <v>6.835</v>
      </c>
      <c r="J10" s="135">
        <v>10.747</v>
      </c>
      <c r="K10" s="135">
        <v>0</v>
      </c>
      <c r="L10" s="135">
        <v>0</v>
      </c>
      <c r="M10" s="135">
        <v>0</v>
      </c>
      <c r="N10" s="135">
        <v>0</v>
      </c>
      <c r="O10" s="135">
        <v>0</v>
      </c>
      <c r="P10" s="135">
        <v>0</v>
      </c>
      <c r="Q10" s="135">
        <v>0</v>
      </c>
      <c r="R10" s="135">
        <v>0</v>
      </c>
      <c r="S10" s="135">
        <v>3.9119999999999999</v>
      </c>
      <c r="T10" s="135">
        <v>50.052999999999997</v>
      </c>
      <c r="U10" s="135">
        <v>0.315</v>
      </c>
      <c r="V10" s="135">
        <v>0.03</v>
      </c>
      <c r="W10" s="135">
        <v>0</v>
      </c>
      <c r="X10" s="135">
        <v>0</v>
      </c>
      <c r="Y10" s="135" t="s">
        <v>1983</v>
      </c>
      <c r="Z10" s="135">
        <v>8.8000000000000007</v>
      </c>
      <c r="AA10" s="135">
        <v>4200</v>
      </c>
      <c r="AB10" s="135">
        <v>479.4</v>
      </c>
      <c r="AC10" s="135">
        <v>2.09</v>
      </c>
      <c r="AD10" s="135">
        <v>10.7</v>
      </c>
      <c r="AE10" s="135">
        <v>9450</v>
      </c>
      <c r="AF10" s="135">
        <v>879.3</v>
      </c>
      <c r="AG10" s="135">
        <v>1.1399999999999999</v>
      </c>
      <c r="AH10" s="135">
        <v>11.1</v>
      </c>
      <c r="AI10" s="135">
        <v>3200</v>
      </c>
      <c r="AJ10" s="135">
        <v>288.89999999999998</v>
      </c>
      <c r="AK10" s="135">
        <v>3.46</v>
      </c>
      <c r="AL10" s="135">
        <v>8.8000000000000007</v>
      </c>
      <c r="AM10" s="135">
        <v>5400</v>
      </c>
      <c r="AN10" s="135">
        <v>614.20000000000005</v>
      </c>
      <c r="AO10" s="135">
        <v>1.63</v>
      </c>
      <c r="AP10" s="135"/>
      <c r="AQ10" s="135"/>
      <c r="AR10" s="135"/>
      <c r="AS10" s="135"/>
      <c r="AT10" s="135"/>
      <c r="AU10" s="135"/>
      <c r="AV10" s="135"/>
      <c r="AW10" s="135"/>
      <c r="AX10" s="135">
        <v>8.8000000000000007</v>
      </c>
      <c r="AY10" s="135">
        <v>16</v>
      </c>
      <c r="AZ10" s="135">
        <v>1.8</v>
      </c>
      <c r="BA10" s="135">
        <v>0.55000000000000004</v>
      </c>
      <c r="BB10" s="135"/>
      <c r="BC10" s="135"/>
      <c r="BD10" s="135"/>
      <c r="BE10" s="135"/>
      <c r="BF10" s="135">
        <v>11.1</v>
      </c>
      <c r="BG10" s="135">
        <v>6300</v>
      </c>
      <c r="BH10" s="135">
        <v>568.70000000000005</v>
      </c>
      <c r="BI10" s="135">
        <v>1.76</v>
      </c>
      <c r="BJ10" s="135">
        <v>53.5</v>
      </c>
      <c r="BK10" s="135">
        <v>4</v>
      </c>
      <c r="BL10" s="135">
        <v>24.75</v>
      </c>
    </row>
    <row r="11" spans="1:64" x14ac:dyDescent="0.3">
      <c r="A11" s="135">
        <v>2016</v>
      </c>
      <c r="B11" s="135">
        <v>4</v>
      </c>
      <c r="C11" s="135" t="s">
        <v>2202</v>
      </c>
      <c r="D11" s="135" t="s">
        <v>320</v>
      </c>
      <c r="E11" s="135" t="s">
        <v>399</v>
      </c>
      <c r="F11" s="135" t="s">
        <v>30</v>
      </c>
      <c r="G11" s="135" t="s">
        <v>2302</v>
      </c>
      <c r="H11" s="135">
        <v>-2.06</v>
      </c>
      <c r="I11" s="135">
        <v>6.7960000000000003</v>
      </c>
      <c r="J11" s="135">
        <v>10.701000000000001</v>
      </c>
      <c r="K11" s="135">
        <v>0</v>
      </c>
      <c r="L11" s="135">
        <v>0</v>
      </c>
      <c r="M11" s="135">
        <v>0</v>
      </c>
      <c r="N11" s="135">
        <v>0</v>
      </c>
      <c r="O11" s="135">
        <v>0</v>
      </c>
      <c r="P11" s="135">
        <v>0</v>
      </c>
      <c r="Q11" s="135">
        <v>0</v>
      </c>
      <c r="R11" s="135">
        <v>0</v>
      </c>
      <c r="S11" s="135">
        <v>3.9049999999999998</v>
      </c>
      <c r="T11" s="135">
        <v>52.9</v>
      </c>
      <c r="U11" s="135">
        <v>0.26500000000000001</v>
      </c>
      <c r="V11" s="135">
        <v>4.2000000000000003E-2</v>
      </c>
      <c r="W11" s="135">
        <v>0</v>
      </c>
      <c r="X11" s="135">
        <v>0</v>
      </c>
      <c r="Y11" s="135" t="s">
        <v>1983</v>
      </c>
      <c r="Z11" s="135">
        <v>8.6999999999999993</v>
      </c>
      <c r="AA11" s="135">
        <v>4700</v>
      </c>
      <c r="AB11" s="135">
        <v>539.79999999999995</v>
      </c>
      <c r="AC11" s="135">
        <v>1.85</v>
      </c>
      <c r="AD11" s="135">
        <v>10.7</v>
      </c>
      <c r="AE11" s="135">
        <v>9600</v>
      </c>
      <c r="AF11" s="135">
        <v>897.1</v>
      </c>
      <c r="AG11" s="135">
        <v>1.1100000000000001</v>
      </c>
      <c r="AH11" s="135">
        <v>11.1</v>
      </c>
      <c r="AI11" s="135">
        <v>5000</v>
      </c>
      <c r="AJ11" s="135">
        <v>452.1</v>
      </c>
      <c r="AK11" s="135">
        <v>2.21</v>
      </c>
      <c r="AL11" s="135">
        <v>8.6999999999999993</v>
      </c>
      <c r="AM11" s="135">
        <v>6700</v>
      </c>
      <c r="AN11" s="135">
        <v>765.8</v>
      </c>
      <c r="AO11" s="135">
        <v>1.31</v>
      </c>
      <c r="AP11" s="135"/>
      <c r="AQ11" s="135"/>
      <c r="AR11" s="135"/>
      <c r="AS11" s="135"/>
      <c r="AT11" s="135"/>
      <c r="AU11" s="135"/>
      <c r="AV11" s="135"/>
      <c r="AW11" s="135"/>
      <c r="AX11" s="135">
        <v>8.6999999999999993</v>
      </c>
      <c r="AY11" s="135">
        <v>24</v>
      </c>
      <c r="AZ11" s="135">
        <v>2.7</v>
      </c>
      <c r="BA11" s="135">
        <v>0.36</v>
      </c>
      <c r="BB11" s="135"/>
      <c r="BC11" s="135"/>
      <c r="BD11" s="135"/>
      <c r="BE11" s="135"/>
      <c r="BF11" s="135">
        <v>11.1</v>
      </c>
      <c r="BG11" s="135">
        <v>9300</v>
      </c>
      <c r="BH11" s="135">
        <v>840.8</v>
      </c>
      <c r="BI11" s="135">
        <v>1.19</v>
      </c>
      <c r="BJ11" s="135">
        <v>40.5</v>
      </c>
      <c r="BK11" s="135">
        <v>6.5</v>
      </c>
      <c r="BL11" s="135">
        <v>17</v>
      </c>
    </row>
    <row r="12" spans="1:64" x14ac:dyDescent="0.3">
      <c r="A12" s="135">
        <v>2016</v>
      </c>
      <c r="B12" s="135">
        <v>4</v>
      </c>
      <c r="C12" s="135" t="s">
        <v>2207</v>
      </c>
      <c r="D12" s="135" t="s">
        <v>329</v>
      </c>
      <c r="E12" s="135" t="s">
        <v>399</v>
      </c>
      <c r="F12" s="135" t="s">
        <v>52</v>
      </c>
      <c r="G12" s="135" t="s">
        <v>2309</v>
      </c>
      <c r="H12" s="135">
        <v>13.74</v>
      </c>
      <c r="I12" s="135">
        <v>6.6029999999999998</v>
      </c>
      <c r="J12" s="135">
        <v>10.714</v>
      </c>
      <c r="K12" s="135">
        <v>0</v>
      </c>
      <c r="L12" s="135">
        <v>0</v>
      </c>
      <c r="M12" s="135">
        <v>0</v>
      </c>
      <c r="N12" s="135">
        <v>0</v>
      </c>
      <c r="O12" s="135">
        <v>0</v>
      </c>
      <c r="P12" s="135">
        <v>0</v>
      </c>
      <c r="Q12" s="135">
        <v>0</v>
      </c>
      <c r="R12" s="135">
        <v>0</v>
      </c>
      <c r="S12" s="135">
        <v>4.1109999999999998</v>
      </c>
      <c r="T12" s="135">
        <v>43.750999999999998</v>
      </c>
      <c r="U12" s="135">
        <v>0.38200000000000001</v>
      </c>
      <c r="V12" s="135">
        <v>3.2000000000000001E-2</v>
      </c>
      <c r="W12" s="135">
        <v>0</v>
      </c>
      <c r="X12" s="135">
        <v>0</v>
      </c>
      <c r="Y12" s="135" t="s">
        <v>1983</v>
      </c>
      <c r="Z12" s="135">
        <v>8.6</v>
      </c>
      <c r="AA12" s="135">
        <v>4450</v>
      </c>
      <c r="AB12" s="135">
        <v>515.79999999999995</v>
      </c>
      <c r="AC12" s="135">
        <v>1.94</v>
      </c>
      <c r="AD12" s="135">
        <v>10.7</v>
      </c>
      <c r="AE12" s="135">
        <v>9300</v>
      </c>
      <c r="AF12" s="135">
        <v>868</v>
      </c>
      <c r="AG12" s="135">
        <v>1.1499999999999999</v>
      </c>
      <c r="AH12" s="135">
        <v>11</v>
      </c>
      <c r="AI12" s="135">
        <v>4500</v>
      </c>
      <c r="AJ12" s="135">
        <v>408.8</v>
      </c>
      <c r="AK12" s="135">
        <v>2.4500000000000002</v>
      </c>
      <c r="AL12" s="135">
        <v>8.6999999999999993</v>
      </c>
      <c r="AM12" s="135">
        <v>6000</v>
      </c>
      <c r="AN12" s="135">
        <v>693</v>
      </c>
      <c r="AO12" s="135">
        <v>1.44</v>
      </c>
      <c r="AP12" s="135"/>
      <c r="AQ12" s="135"/>
      <c r="AR12" s="135"/>
      <c r="AS12" s="135"/>
      <c r="AT12" s="135"/>
      <c r="AU12" s="135"/>
      <c r="AV12" s="135"/>
      <c r="AW12" s="135"/>
      <c r="AX12" s="135">
        <v>8.6999999999999993</v>
      </c>
      <c r="AY12" s="135">
        <v>20</v>
      </c>
      <c r="AZ12" s="135">
        <v>2.2999999999999998</v>
      </c>
      <c r="BA12" s="135">
        <v>0.43</v>
      </c>
      <c r="BB12" s="135"/>
      <c r="BC12" s="135"/>
      <c r="BD12" s="135"/>
      <c r="BE12" s="135"/>
      <c r="BF12" s="135">
        <v>11</v>
      </c>
      <c r="BG12" s="135">
        <v>8400</v>
      </c>
      <c r="BH12" s="135">
        <v>763</v>
      </c>
      <c r="BI12" s="135">
        <v>1.31</v>
      </c>
      <c r="BJ12" s="135">
        <v>46</v>
      </c>
      <c r="BK12" s="135">
        <v>-3</v>
      </c>
      <c r="BL12" s="135">
        <v>24.5</v>
      </c>
    </row>
    <row r="13" spans="1:64" x14ac:dyDescent="0.3">
      <c r="A13" s="135">
        <v>2016</v>
      </c>
      <c r="B13" s="135">
        <v>4</v>
      </c>
      <c r="C13" s="135" t="s">
        <v>2216</v>
      </c>
      <c r="D13" s="135" t="s">
        <v>328</v>
      </c>
      <c r="E13" s="135" t="s">
        <v>399</v>
      </c>
      <c r="F13" s="135" t="s">
        <v>7</v>
      </c>
      <c r="G13" s="135" t="s">
        <v>2305</v>
      </c>
      <c r="H13" s="135">
        <v>11.35</v>
      </c>
      <c r="I13" s="135">
        <v>6.5039999999999996</v>
      </c>
      <c r="J13" s="135">
        <v>10.46</v>
      </c>
      <c r="K13" s="135">
        <v>0</v>
      </c>
      <c r="L13" s="135">
        <v>0</v>
      </c>
      <c r="M13" s="135">
        <v>0</v>
      </c>
      <c r="N13" s="135">
        <v>0</v>
      </c>
      <c r="O13" s="135">
        <v>0</v>
      </c>
      <c r="P13" s="135">
        <v>0</v>
      </c>
      <c r="Q13" s="135">
        <v>0</v>
      </c>
      <c r="R13" s="135">
        <v>0</v>
      </c>
      <c r="S13" s="135">
        <v>3.956</v>
      </c>
      <c r="T13" s="135">
        <v>49.515000000000001</v>
      </c>
      <c r="U13" s="135">
        <v>0.27300000000000002</v>
      </c>
      <c r="V13" s="135">
        <v>4.2999999999999997E-2</v>
      </c>
      <c r="W13" s="135">
        <v>0</v>
      </c>
      <c r="X13" s="135">
        <v>0</v>
      </c>
      <c r="Y13" s="135" t="s">
        <v>1983</v>
      </c>
      <c r="Z13" s="135">
        <v>8.4</v>
      </c>
      <c r="AA13" s="135">
        <v>4800</v>
      </c>
      <c r="AB13" s="135">
        <v>568.79999999999995</v>
      </c>
      <c r="AC13" s="135">
        <v>1.76</v>
      </c>
      <c r="AD13" s="135">
        <v>10.5</v>
      </c>
      <c r="AE13" s="135">
        <v>7600</v>
      </c>
      <c r="AF13" s="135">
        <v>726.6</v>
      </c>
      <c r="AG13" s="135">
        <v>1.38</v>
      </c>
      <c r="AH13" s="135">
        <v>10.8</v>
      </c>
      <c r="AI13" s="135">
        <v>4000</v>
      </c>
      <c r="AJ13" s="135">
        <v>370.4</v>
      </c>
      <c r="AK13" s="135">
        <v>2.7</v>
      </c>
      <c r="AL13" s="135">
        <v>8.5</v>
      </c>
      <c r="AM13" s="135">
        <v>6400</v>
      </c>
      <c r="AN13" s="135">
        <v>754.6</v>
      </c>
      <c r="AO13" s="135">
        <v>1.33</v>
      </c>
      <c r="AP13" s="135"/>
      <c r="AQ13" s="135"/>
      <c r="AR13" s="135"/>
      <c r="AS13" s="135"/>
      <c r="AT13" s="135"/>
      <c r="AU13" s="135"/>
      <c r="AV13" s="135"/>
      <c r="AW13" s="135"/>
      <c r="AX13" s="135">
        <v>8.5</v>
      </c>
      <c r="AY13" s="135">
        <v>16</v>
      </c>
      <c r="AZ13" s="135">
        <v>1.9</v>
      </c>
      <c r="BA13" s="135">
        <v>0.53</v>
      </c>
      <c r="BB13" s="135"/>
      <c r="BC13" s="135"/>
      <c r="BD13" s="135"/>
      <c r="BE13" s="135"/>
      <c r="BF13" s="135">
        <v>10.8</v>
      </c>
      <c r="BG13" s="135">
        <v>7800</v>
      </c>
      <c r="BH13" s="135">
        <v>722.2</v>
      </c>
      <c r="BI13" s="135">
        <v>1.38</v>
      </c>
      <c r="BJ13" s="135">
        <v>40.5</v>
      </c>
      <c r="BK13" s="135">
        <v>-1.5</v>
      </c>
      <c r="BL13" s="135">
        <v>21</v>
      </c>
    </row>
    <row r="14" spans="1:64" x14ac:dyDescent="0.3">
      <c r="A14" s="135">
        <v>2016</v>
      </c>
      <c r="B14" s="135">
        <v>4</v>
      </c>
      <c r="C14" s="135" t="s">
        <v>2217</v>
      </c>
      <c r="D14" s="135" t="s">
        <v>322</v>
      </c>
      <c r="E14" s="135" t="s">
        <v>399</v>
      </c>
      <c r="F14" s="135" t="s">
        <v>14</v>
      </c>
      <c r="G14" s="135" t="s">
        <v>2310</v>
      </c>
      <c r="H14" s="135">
        <v>4.6500000000000004</v>
      </c>
      <c r="I14" s="135">
        <v>6.33</v>
      </c>
      <c r="J14" s="135">
        <v>10.414</v>
      </c>
      <c r="K14" s="135">
        <v>0</v>
      </c>
      <c r="L14" s="135">
        <v>0</v>
      </c>
      <c r="M14" s="135">
        <v>0</v>
      </c>
      <c r="N14" s="135">
        <v>0</v>
      </c>
      <c r="O14" s="135">
        <v>0</v>
      </c>
      <c r="P14" s="135">
        <v>0</v>
      </c>
      <c r="Q14" s="135">
        <v>0</v>
      </c>
      <c r="R14" s="135">
        <v>0</v>
      </c>
      <c r="S14" s="135">
        <v>4.0839999999999996</v>
      </c>
      <c r="T14" s="135">
        <v>44.378</v>
      </c>
      <c r="U14" s="135">
        <v>0.32700000000000001</v>
      </c>
      <c r="V14" s="135">
        <v>3.5000000000000003E-2</v>
      </c>
      <c r="W14" s="135">
        <v>0</v>
      </c>
      <c r="X14" s="135">
        <v>0</v>
      </c>
      <c r="Y14" s="135" t="s">
        <v>1995</v>
      </c>
      <c r="Z14" s="135">
        <v>8.3000000000000007</v>
      </c>
      <c r="AA14" s="135">
        <v>4400</v>
      </c>
      <c r="AB14" s="135">
        <v>527.79999999999995</v>
      </c>
      <c r="AC14" s="135">
        <v>1.89</v>
      </c>
      <c r="AD14" s="135">
        <v>10.4</v>
      </c>
      <c r="AE14" s="135">
        <v>8750</v>
      </c>
      <c r="AF14" s="135">
        <v>840.2</v>
      </c>
      <c r="AG14" s="135">
        <v>1.19</v>
      </c>
      <c r="AH14" s="135">
        <v>10.7</v>
      </c>
      <c r="AI14" s="135">
        <v>3600</v>
      </c>
      <c r="AJ14" s="135">
        <v>336</v>
      </c>
      <c r="AK14" s="135">
        <v>2.98</v>
      </c>
      <c r="AL14" s="135">
        <v>8.4</v>
      </c>
      <c r="AM14" s="135">
        <v>5900</v>
      </c>
      <c r="AN14" s="135">
        <v>704.7</v>
      </c>
      <c r="AO14" s="135">
        <v>1.42</v>
      </c>
      <c r="AP14" s="135"/>
      <c r="AQ14" s="135"/>
      <c r="AR14" s="135"/>
      <c r="AS14" s="135"/>
      <c r="AT14" s="135"/>
      <c r="AU14" s="135"/>
      <c r="AV14" s="135"/>
      <c r="AW14" s="135"/>
      <c r="AX14" s="135">
        <v>8.4</v>
      </c>
      <c r="AY14" s="135">
        <v>18</v>
      </c>
      <c r="AZ14" s="135">
        <v>2.2000000000000002</v>
      </c>
      <c r="BA14" s="135">
        <v>0.47</v>
      </c>
      <c r="BB14" s="135"/>
      <c r="BC14" s="135"/>
      <c r="BD14" s="135"/>
      <c r="BE14" s="135"/>
      <c r="BF14" s="135">
        <v>10.7</v>
      </c>
      <c r="BG14" s="135">
        <v>7000</v>
      </c>
      <c r="BH14" s="135">
        <v>653.29999999999995</v>
      </c>
      <c r="BI14" s="135">
        <v>1.53</v>
      </c>
      <c r="BJ14" s="135">
        <v>45.5</v>
      </c>
      <c r="BK14" s="135">
        <v>8</v>
      </c>
      <c r="BL14" s="135">
        <v>18.75</v>
      </c>
    </row>
    <row r="15" spans="1:64" x14ac:dyDescent="0.3">
      <c r="A15" s="135">
        <v>2016</v>
      </c>
      <c r="B15" s="135">
        <v>4</v>
      </c>
      <c r="C15" s="135" t="s">
        <v>2209</v>
      </c>
      <c r="D15" s="135" t="s">
        <v>357</v>
      </c>
      <c r="E15" s="135" t="s">
        <v>399</v>
      </c>
      <c r="F15" s="135" t="s">
        <v>16</v>
      </c>
      <c r="G15" s="135" t="s">
        <v>1980</v>
      </c>
      <c r="H15" s="135">
        <v>4.9400000000000004</v>
      </c>
      <c r="I15" s="135">
        <v>6.2969999999999997</v>
      </c>
      <c r="J15" s="135">
        <v>10.051</v>
      </c>
      <c r="K15" s="135">
        <v>0</v>
      </c>
      <c r="L15" s="135">
        <v>0</v>
      </c>
      <c r="M15" s="135">
        <v>0</v>
      </c>
      <c r="N15" s="135">
        <v>0</v>
      </c>
      <c r="O15" s="135">
        <v>0</v>
      </c>
      <c r="P15" s="135">
        <v>0</v>
      </c>
      <c r="Q15" s="135">
        <v>0</v>
      </c>
      <c r="R15" s="135">
        <v>0</v>
      </c>
      <c r="S15" s="135">
        <v>3.754</v>
      </c>
      <c r="T15" s="135">
        <v>41.286999999999999</v>
      </c>
      <c r="U15" s="135">
        <v>0.371</v>
      </c>
      <c r="V15" s="135">
        <v>2.9000000000000001E-2</v>
      </c>
      <c r="W15" s="135">
        <v>0</v>
      </c>
      <c r="X15" s="135">
        <v>0</v>
      </c>
      <c r="Y15" s="135" t="s">
        <v>1995</v>
      </c>
      <c r="Z15" s="135">
        <v>8.1</v>
      </c>
      <c r="AA15" s="135">
        <v>3950</v>
      </c>
      <c r="AB15" s="135">
        <v>485</v>
      </c>
      <c r="AC15" s="135">
        <v>2.06</v>
      </c>
      <c r="AD15" s="135">
        <v>10.1</v>
      </c>
      <c r="AE15" s="135">
        <v>8450</v>
      </c>
      <c r="AF15" s="135">
        <v>840.7</v>
      </c>
      <c r="AG15" s="135">
        <v>1.19</v>
      </c>
      <c r="AH15" s="135">
        <v>10.3</v>
      </c>
      <c r="AI15" s="135">
        <v>3800</v>
      </c>
      <c r="AJ15" s="135">
        <v>368</v>
      </c>
      <c r="AK15" s="135">
        <v>2.72</v>
      </c>
      <c r="AL15" s="135">
        <v>8.1999999999999993</v>
      </c>
      <c r="AM15" s="135">
        <v>5900</v>
      </c>
      <c r="AN15" s="135">
        <v>721.8</v>
      </c>
      <c r="AO15" s="135">
        <v>1.39</v>
      </c>
      <c r="AP15" s="135"/>
      <c r="AQ15" s="135"/>
      <c r="AR15" s="135"/>
      <c r="AS15" s="135"/>
      <c r="AT15" s="135"/>
      <c r="AU15" s="135"/>
      <c r="AV15" s="135"/>
      <c r="AW15" s="135"/>
      <c r="AX15" s="135">
        <v>8.1999999999999993</v>
      </c>
      <c r="AY15" s="135">
        <v>17</v>
      </c>
      <c r="AZ15" s="135">
        <v>2.1</v>
      </c>
      <c r="BA15" s="135">
        <v>0.48</v>
      </c>
      <c r="BB15" s="135"/>
      <c r="BC15" s="135"/>
      <c r="BD15" s="135"/>
      <c r="BE15" s="135"/>
      <c r="BF15" s="135">
        <v>10.3</v>
      </c>
      <c r="BG15" s="135">
        <v>7400</v>
      </c>
      <c r="BH15" s="135">
        <v>716.5</v>
      </c>
      <c r="BI15" s="135">
        <v>1.4</v>
      </c>
      <c r="BJ15" s="135">
        <v>49.5</v>
      </c>
      <c r="BK15" s="135">
        <v>-2.5</v>
      </c>
      <c r="BL15" s="135">
        <v>26</v>
      </c>
    </row>
    <row r="16" spans="1:64" x14ac:dyDescent="0.3">
      <c r="A16" s="135">
        <v>2016</v>
      </c>
      <c r="B16" s="135">
        <v>4</v>
      </c>
      <c r="C16" s="135" t="s">
        <v>2215</v>
      </c>
      <c r="D16" s="135" t="s">
        <v>334</v>
      </c>
      <c r="E16" s="135" t="s">
        <v>399</v>
      </c>
      <c r="F16" s="135" t="s">
        <v>46</v>
      </c>
      <c r="G16" s="135" t="s">
        <v>26</v>
      </c>
      <c r="H16" s="135">
        <v>18.64</v>
      </c>
      <c r="I16" s="135">
        <v>5.9989999999999997</v>
      </c>
      <c r="J16" s="135">
        <v>11.375999999999999</v>
      </c>
      <c r="K16" s="135">
        <v>0</v>
      </c>
      <c r="L16" s="135">
        <v>0</v>
      </c>
      <c r="M16" s="135">
        <v>0</v>
      </c>
      <c r="N16" s="135">
        <v>0</v>
      </c>
      <c r="O16" s="135">
        <v>0</v>
      </c>
      <c r="P16" s="135">
        <v>0</v>
      </c>
      <c r="Q16" s="135">
        <v>0</v>
      </c>
      <c r="R16" s="135">
        <v>0</v>
      </c>
      <c r="S16" s="135">
        <v>5.3769999999999998</v>
      </c>
      <c r="T16" s="135">
        <v>42.470999999999997</v>
      </c>
      <c r="U16" s="135">
        <v>0.31</v>
      </c>
      <c r="V16" s="135">
        <v>5.3999999999999999E-2</v>
      </c>
      <c r="W16" s="135">
        <v>0</v>
      </c>
      <c r="X16" s="135">
        <v>0</v>
      </c>
      <c r="Y16" s="135" t="s">
        <v>1995</v>
      </c>
      <c r="Z16" s="135">
        <v>8.6</v>
      </c>
      <c r="AA16" s="135">
        <v>4000</v>
      </c>
      <c r="AB16" s="135">
        <v>463.3</v>
      </c>
      <c r="AC16" s="135">
        <v>2.16</v>
      </c>
      <c r="AD16" s="135"/>
      <c r="AE16" s="135"/>
      <c r="AF16" s="135"/>
      <c r="AG16" s="135"/>
      <c r="AH16" s="135">
        <v>11.7</v>
      </c>
      <c r="AI16" s="135">
        <v>2700</v>
      </c>
      <c r="AJ16" s="135">
        <v>231.1</v>
      </c>
      <c r="AK16" s="135">
        <v>4.33</v>
      </c>
      <c r="AL16" s="135">
        <v>8.6999999999999993</v>
      </c>
      <c r="AM16" s="135">
        <v>5000</v>
      </c>
      <c r="AN16" s="135">
        <v>575.5</v>
      </c>
      <c r="AO16" s="135">
        <v>1.74</v>
      </c>
      <c r="AP16" s="135"/>
      <c r="AQ16" s="135"/>
      <c r="AR16" s="135"/>
      <c r="AS16" s="135"/>
      <c r="AT16" s="135"/>
      <c r="AU16" s="135"/>
      <c r="AV16" s="135"/>
      <c r="AW16" s="135"/>
      <c r="AX16" s="135">
        <v>8.6999999999999993</v>
      </c>
      <c r="AY16" s="135">
        <v>16</v>
      </c>
      <c r="AZ16" s="135">
        <v>1.8</v>
      </c>
      <c r="BA16" s="135">
        <v>0.54</v>
      </c>
      <c r="BB16" s="135"/>
      <c r="BC16" s="135"/>
      <c r="BD16" s="135"/>
      <c r="BE16" s="135"/>
      <c r="BF16" s="135">
        <v>11.7</v>
      </c>
      <c r="BG16" s="135">
        <v>5200</v>
      </c>
      <c r="BH16" s="135">
        <v>445</v>
      </c>
      <c r="BI16" s="135">
        <v>2.25</v>
      </c>
      <c r="BJ16" s="135">
        <v>46.5</v>
      </c>
      <c r="BK16" s="135">
        <v>3</v>
      </c>
      <c r="BL16" s="135">
        <v>21.75</v>
      </c>
    </row>
    <row r="17" spans="1:64" x14ac:dyDescent="0.3">
      <c r="A17" s="135">
        <v>2016</v>
      </c>
      <c r="B17" s="135">
        <v>4</v>
      </c>
      <c r="C17" s="135" t="s">
        <v>2229</v>
      </c>
      <c r="D17" s="135" t="s">
        <v>559</v>
      </c>
      <c r="E17" s="135" t="s">
        <v>399</v>
      </c>
      <c r="F17" s="135" t="s">
        <v>407</v>
      </c>
      <c r="G17" s="135" t="s">
        <v>404</v>
      </c>
      <c r="H17" s="135">
        <v>0.37</v>
      </c>
      <c r="I17" s="135">
        <v>5.9050000000000002</v>
      </c>
      <c r="J17" s="135">
        <v>9.5820000000000007</v>
      </c>
      <c r="K17" s="135">
        <v>0</v>
      </c>
      <c r="L17" s="135">
        <v>0</v>
      </c>
      <c r="M17" s="135">
        <v>0</v>
      </c>
      <c r="N17" s="135">
        <v>0</v>
      </c>
      <c r="O17" s="135">
        <v>0</v>
      </c>
      <c r="P17" s="135">
        <v>0</v>
      </c>
      <c r="Q17" s="135">
        <v>0</v>
      </c>
      <c r="R17" s="135">
        <v>0</v>
      </c>
      <c r="S17" s="135">
        <v>3.677</v>
      </c>
      <c r="T17" s="135">
        <v>37.89</v>
      </c>
      <c r="U17" s="135">
        <v>0.36099999999999999</v>
      </c>
      <c r="V17" s="135">
        <v>2.5000000000000001E-2</v>
      </c>
      <c r="W17" s="135">
        <v>0</v>
      </c>
      <c r="X17" s="135">
        <v>0</v>
      </c>
      <c r="Y17" s="135" t="s">
        <v>1995</v>
      </c>
      <c r="Z17" s="135">
        <v>7.7</v>
      </c>
      <c r="AA17" s="135">
        <v>3950</v>
      </c>
      <c r="AB17" s="135">
        <v>511.8</v>
      </c>
      <c r="AC17" s="135">
        <v>1.95</v>
      </c>
      <c r="AD17" s="135">
        <v>9.6</v>
      </c>
      <c r="AE17" s="135">
        <v>7250</v>
      </c>
      <c r="AF17" s="135">
        <v>756.6</v>
      </c>
      <c r="AG17" s="135">
        <v>1.32</v>
      </c>
      <c r="AH17" s="135">
        <v>9.8000000000000007</v>
      </c>
      <c r="AI17" s="135">
        <v>2700</v>
      </c>
      <c r="AJ17" s="135">
        <v>274.5</v>
      </c>
      <c r="AK17" s="135">
        <v>3.64</v>
      </c>
      <c r="AL17" s="135">
        <v>7.7</v>
      </c>
      <c r="AM17" s="135">
        <v>4500</v>
      </c>
      <c r="AN17" s="135">
        <v>581.1</v>
      </c>
      <c r="AO17" s="135">
        <v>1.72</v>
      </c>
      <c r="AP17" s="135"/>
      <c r="AQ17" s="135"/>
      <c r="AR17" s="135"/>
      <c r="AS17" s="135"/>
      <c r="AT17" s="135"/>
      <c r="AU17" s="135"/>
      <c r="AV17" s="135"/>
      <c r="AW17" s="135"/>
      <c r="AX17" s="135">
        <v>7.7</v>
      </c>
      <c r="AY17" s="135">
        <v>10</v>
      </c>
      <c r="AZ17" s="135">
        <v>1.3</v>
      </c>
      <c r="BA17" s="135">
        <v>0.77</v>
      </c>
      <c r="BB17" s="135"/>
      <c r="BC17" s="135"/>
      <c r="BD17" s="135"/>
      <c r="BE17" s="135"/>
      <c r="BF17" s="135">
        <v>9.8000000000000007</v>
      </c>
      <c r="BG17" s="135">
        <v>5300</v>
      </c>
      <c r="BH17" s="135">
        <v>538.9</v>
      </c>
      <c r="BI17" s="135">
        <v>1.86</v>
      </c>
      <c r="BJ17" s="135">
        <v>53.5</v>
      </c>
      <c r="BK17" s="135">
        <v>-4</v>
      </c>
      <c r="BL17" s="135">
        <v>28.75</v>
      </c>
    </row>
    <row r="18" spans="1:64" x14ac:dyDescent="0.3">
      <c r="A18" s="135">
        <v>2016</v>
      </c>
      <c r="B18" s="135">
        <v>4</v>
      </c>
      <c r="C18" s="135" t="s">
        <v>2208</v>
      </c>
      <c r="D18" s="135" t="s">
        <v>336</v>
      </c>
      <c r="E18" s="135" t="s">
        <v>399</v>
      </c>
      <c r="F18" s="135" t="s">
        <v>402</v>
      </c>
      <c r="G18" s="135" t="s">
        <v>10</v>
      </c>
      <c r="H18" s="135">
        <v>5.24</v>
      </c>
      <c r="I18" s="135">
        <v>5.7009999999999996</v>
      </c>
      <c r="J18" s="135">
        <v>8.6690000000000005</v>
      </c>
      <c r="K18" s="135">
        <v>0</v>
      </c>
      <c r="L18" s="135">
        <v>0</v>
      </c>
      <c r="M18" s="135">
        <v>0</v>
      </c>
      <c r="N18" s="135">
        <v>0</v>
      </c>
      <c r="O18" s="135">
        <v>0</v>
      </c>
      <c r="P18" s="135">
        <v>0</v>
      </c>
      <c r="Q18" s="135">
        <v>0</v>
      </c>
      <c r="R18" s="135">
        <v>0</v>
      </c>
      <c r="S18" s="135">
        <v>2.968</v>
      </c>
      <c r="T18" s="135">
        <v>40.793999999999997</v>
      </c>
      <c r="U18" s="135">
        <v>0.28000000000000003</v>
      </c>
      <c r="V18" s="135">
        <v>2.9000000000000001E-2</v>
      </c>
      <c r="W18" s="135">
        <v>0</v>
      </c>
      <c r="X18" s="135">
        <v>0</v>
      </c>
      <c r="Y18" s="135" t="s">
        <v>1995</v>
      </c>
      <c r="Z18" s="135">
        <v>7.2</v>
      </c>
      <c r="AA18" s="135">
        <v>4300</v>
      </c>
      <c r="AB18" s="135">
        <v>600.9</v>
      </c>
      <c r="AC18" s="135">
        <v>1.66</v>
      </c>
      <c r="AD18" s="135">
        <v>8.6999999999999993</v>
      </c>
      <c r="AE18" s="135">
        <v>9050</v>
      </c>
      <c r="AF18" s="135">
        <v>1043.9000000000001</v>
      </c>
      <c r="AG18" s="135">
        <v>0.96</v>
      </c>
      <c r="AH18" s="135">
        <v>8.9</v>
      </c>
      <c r="AI18" s="135">
        <v>3500</v>
      </c>
      <c r="AJ18" s="135">
        <v>391.4</v>
      </c>
      <c r="AK18" s="135">
        <v>2.56</v>
      </c>
      <c r="AL18" s="135">
        <v>7.2</v>
      </c>
      <c r="AM18" s="135">
        <v>6300</v>
      </c>
      <c r="AN18" s="135">
        <v>876.8</v>
      </c>
      <c r="AO18" s="135">
        <v>1.1399999999999999</v>
      </c>
      <c r="AP18" s="135"/>
      <c r="AQ18" s="135"/>
      <c r="AR18" s="135"/>
      <c r="AS18" s="135"/>
      <c r="AT18" s="135"/>
      <c r="AU18" s="135"/>
      <c r="AV18" s="135"/>
      <c r="AW18" s="135"/>
      <c r="AX18" s="135">
        <v>7.2</v>
      </c>
      <c r="AY18" s="135">
        <v>14</v>
      </c>
      <c r="AZ18" s="135">
        <v>1.9</v>
      </c>
      <c r="BA18" s="135">
        <v>0.51</v>
      </c>
      <c r="BB18" s="135"/>
      <c r="BC18" s="135"/>
      <c r="BD18" s="135"/>
      <c r="BE18" s="135"/>
      <c r="BF18" s="135">
        <v>8.9</v>
      </c>
      <c r="BG18" s="135">
        <v>6900</v>
      </c>
      <c r="BH18" s="135">
        <v>771.5</v>
      </c>
      <c r="BI18" s="135">
        <v>1.3</v>
      </c>
      <c r="BJ18" s="135">
        <v>44</v>
      </c>
      <c r="BK18" s="135">
        <v>-4.5</v>
      </c>
      <c r="BL18" s="135">
        <v>24.25</v>
      </c>
    </row>
    <row r="19" spans="1:64" x14ac:dyDescent="0.3">
      <c r="A19" s="135">
        <v>2016</v>
      </c>
      <c r="B19" s="135">
        <v>4</v>
      </c>
      <c r="C19" s="135" t="s">
        <v>2218</v>
      </c>
      <c r="D19" s="135" t="s">
        <v>368</v>
      </c>
      <c r="E19" s="135" t="s">
        <v>399</v>
      </c>
      <c r="F19" s="135" t="s">
        <v>16</v>
      </c>
      <c r="G19" s="135" t="s">
        <v>1980</v>
      </c>
      <c r="H19" s="135">
        <v>4.9400000000000004</v>
      </c>
      <c r="I19" s="135">
        <v>5.6710000000000003</v>
      </c>
      <c r="J19" s="135">
        <v>9.1750000000000007</v>
      </c>
      <c r="K19" s="135">
        <v>0</v>
      </c>
      <c r="L19" s="135">
        <v>0</v>
      </c>
      <c r="M19" s="135">
        <v>0</v>
      </c>
      <c r="N19" s="135">
        <v>0</v>
      </c>
      <c r="O19" s="135">
        <v>0</v>
      </c>
      <c r="P19" s="135">
        <v>0</v>
      </c>
      <c r="Q19" s="135">
        <v>0</v>
      </c>
      <c r="R19" s="135">
        <v>0</v>
      </c>
      <c r="S19" s="135">
        <v>3.504</v>
      </c>
      <c r="T19" s="135">
        <v>35.591999999999999</v>
      </c>
      <c r="U19" s="135">
        <v>0.36099999999999999</v>
      </c>
      <c r="V19" s="135">
        <v>2.7E-2</v>
      </c>
      <c r="W19" s="135">
        <v>0</v>
      </c>
      <c r="X19" s="135">
        <v>0</v>
      </c>
      <c r="Y19" s="135" t="s">
        <v>1995</v>
      </c>
      <c r="Z19" s="135">
        <v>7.4</v>
      </c>
      <c r="AA19" s="135">
        <v>4000</v>
      </c>
      <c r="AB19" s="135">
        <v>540.79999999999995</v>
      </c>
      <c r="AC19" s="135">
        <v>1.85</v>
      </c>
      <c r="AD19" s="135">
        <v>9.1999999999999993</v>
      </c>
      <c r="AE19" s="135">
        <v>5000</v>
      </c>
      <c r="AF19" s="135">
        <v>544.9</v>
      </c>
      <c r="AG19" s="135">
        <v>1.84</v>
      </c>
      <c r="AH19" s="135">
        <v>9.4</v>
      </c>
      <c r="AI19" s="135">
        <v>2500</v>
      </c>
      <c r="AJ19" s="135">
        <v>265.5</v>
      </c>
      <c r="AK19" s="135">
        <v>3.77</v>
      </c>
      <c r="AL19" s="135">
        <v>7.4</v>
      </c>
      <c r="AM19" s="135">
        <v>4800</v>
      </c>
      <c r="AN19" s="135">
        <v>646.6</v>
      </c>
      <c r="AO19" s="135">
        <v>1.55</v>
      </c>
      <c r="AP19" s="135"/>
      <c r="AQ19" s="135"/>
      <c r="AR19" s="135"/>
      <c r="AS19" s="135"/>
      <c r="AT19" s="135"/>
      <c r="AU19" s="135"/>
      <c r="AV19" s="135"/>
      <c r="AW19" s="135"/>
      <c r="AX19" s="135">
        <v>7.4</v>
      </c>
      <c r="AY19" s="135">
        <v>13</v>
      </c>
      <c r="AZ19" s="135">
        <v>1.8</v>
      </c>
      <c r="BA19" s="135">
        <v>0.56999999999999995</v>
      </c>
      <c r="BB19" s="135"/>
      <c r="BC19" s="135"/>
      <c r="BD19" s="135"/>
      <c r="BE19" s="135"/>
      <c r="BF19" s="135">
        <v>9.4</v>
      </c>
      <c r="BG19" s="135">
        <v>5000</v>
      </c>
      <c r="BH19" s="135">
        <v>531</v>
      </c>
      <c r="BI19" s="135">
        <v>1.88</v>
      </c>
      <c r="BJ19" s="135">
        <v>49.5</v>
      </c>
      <c r="BK19" s="135">
        <v>-2.5</v>
      </c>
      <c r="BL19" s="135">
        <v>26</v>
      </c>
    </row>
    <row r="20" spans="1:64" x14ac:dyDescent="0.3">
      <c r="A20" s="135">
        <v>2016</v>
      </c>
      <c r="B20" s="135">
        <v>4</v>
      </c>
      <c r="C20" s="135" t="s">
        <v>2211</v>
      </c>
      <c r="D20" s="135" t="s">
        <v>335</v>
      </c>
      <c r="E20" s="135" t="s">
        <v>399</v>
      </c>
      <c r="F20" s="135" t="s">
        <v>50</v>
      </c>
      <c r="G20" s="135" t="s">
        <v>22</v>
      </c>
      <c r="H20" s="135">
        <v>11.24</v>
      </c>
      <c r="I20" s="135">
        <v>5.5650000000000004</v>
      </c>
      <c r="J20" s="135">
        <v>9.4830000000000005</v>
      </c>
      <c r="K20" s="135">
        <v>0</v>
      </c>
      <c r="L20" s="135">
        <v>0</v>
      </c>
      <c r="M20" s="135">
        <v>0</v>
      </c>
      <c r="N20" s="135">
        <v>0</v>
      </c>
      <c r="O20" s="135">
        <v>0</v>
      </c>
      <c r="P20" s="135">
        <v>0</v>
      </c>
      <c r="Q20" s="135">
        <v>0</v>
      </c>
      <c r="R20" s="135">
        <v>0</v>
      </c>
      <c r="S20" s="135">
        <v>3.9180000000000001</v>
      </c>
      <c r="T20" s="135">
        <v>43.567</v>
      </c>
      <c r="U20" s="135">
        <v>0.214</v>
      </c>
      <c r="V20" s="135">
        <v>3.7999999999999999E-2</v>
      </c>
      <c r="W20" s="135">
        <v>0</v>
      </c>
      <c r="X20" s="135">
        <v>0</v>
      </c>
      <c r="Y20" s="135" t="s">
        <v>1995</v>
      </c>
      <c r="Z20" s="135">
        <v>7.5</v>
      </c>
      <c r="AA20" s="135">
        <v>4200</v>
      </c>
      <c r="AB20" s="135">
        <v>561.1</v>
      </c>
      <c r="AC20" s="135">
        <v>1.78</v>
      </c>
      <c r="AD20" s="135">
        <v>9.5</v>
      </c>
      <c r="AE20" s="135">
        <v>6550</v>
      </c>
      <c r="AF20" s="135">
        <v>690.7</v>
      </c>
      <c r="AG20" s="135">
        <v>1.45</v>
      </c>
      <c r="AH20" s="135">
        <v>9.8000000000000007</v>
      </c>
      <c r="AI20" s="135">
        <v>3400</v>
      </c>
      <c r="AJ20" s="135">
        <v>347.6</v>
      </c>
      <c r="AK20" s="135">
        <v>2.88</v>
      </c>
      <c r="AL20" s="135">
        <v>7.5</v>
      </c>
      <c r="AM20" s="135">
        <v>5500</v>
      </c>
      <c r="AN20" s="135">
        <v>731</v>
      </c>
      <c r="AO20" s="135">
        <v>1.37</v>
      </c>
      <c r="AP20" s="135"/>
      <c r="AQ20" s="135"/>
      <c r="AR20" s="135"/>
      <c r="AS20" s="135"/>
      <c r="AT20" s="135"/>
      <c r="AU20" s="135"/>
      <c r="AV20" s="135"/>
      <c r="AW20" s="135"/>
      <c r="AX20" s="135">
        <v>7.5</v>
      </c>
      <c r="AY20" s="135">
        <v>20</v>
      </c>
      <c r="AZ20" s="135">
        <v>2.7</v>
      </c>
      <c r="BA20" s="135">
        <v>0.38</v>
      </c>
      <c r="BB20" s="135"/>
      <c r="BC20" s="135"/>
      <c r="BD20" s="135"/>
      <c r="BE20" s="135"/>
      <c r="BF20" s="135">
        <v>9.8000000000000007</v>
      </c>
      <c r="BG20" s="135">
        <v>6700</v>
      </c>
      <c r="BH20" s="135">
        <v>684.9</v>
      </c>
      <c r="BI20" s="135">
        <v>1.46</v>
      </c>
      <c r="BJ20" s="135">
        <v>50</v>
      </c>
      <c r="BK20" s="135">
        <v>3</v>
      </c>
      <c r="BL20" s="135">
        <v>23.5</v>
      </c>
    </row>
    <row r="21" spans="1:64" x14ac:dyDescent="0.3">
      <c r="A21" s="135">
        <v>2016</v>
      </c>
      <c r="B21" s="135">
        <v>4</v>
      </c>
      <c r="C21" s="135" t="s">
        <v>2223</v>
      </c>
      <c r="D21" s="135" t="s">
        <v>340</v>
      </c>
      <c r="E21" s="135" t="s">
        <v>399</v>
      </c>
      <c r="F21" s="135" t="s">
        <v>401</v>
      </c>
      <c r="G21" s="135" t="s">
        <v>70</v>
      </c>
      <c r="H21" s="135">
        <v>0.44</v>
      </c>
      <c r="I21" s="135">
        <v>5.452</v>
      </c>
      <c r="J21" s="135">
        <v>8.7880000000000003</v>
      </c>
      <c r="K21" s="135">
        <v>0</v>
      </c>
      <c r="L21" s="135">
        <v>0</v>
      </c>
      <c r="M21" s="135">
        <v>0</v>
      </c>
      <c r="N21" s="135">
        <v>0</v>
      </c>
      <c r="O21" s="135">
        <v>0</v>
      </c>
      <c r="P21" s="135">
        <v>0</v>
      </c>
      <c r="Q21" s="135">
        <v>0</v>
      </c>
      <c r="R21" s="135">
        <v>0</v>
      </c>
      <c r="S21" s="135">
        <v>3.3359999999999999</v>
      </c>
      <c r="T21" s="135">
        <v>31.776</v>
      </c>
      <c r="U21" s="135">
        <v>0.39100000000000001</v>
      </c>
      <c r="V21" s="135">
        <v>3.5999999999999997E-2</v>
      </c>
      <c r="W21" s="135">
        <v>0</v>
      </c>
      <c r="X21" s="135">
        <v>0</v>
      </c>
      <c r="Y21" s="135" t="s">
        <v>1995</v>
      </c>
      <c r="Z21" s="135">
        <v>7.1</v>
      </c>
      <c r="AA21" s="135">
        <v>4100</v>
      </c>
      <c r="AB21" s="135">
        <v>578.79999999999995</v>
      </c>
      <c r="AC21" s="135">
        <v>1.73</v>
      </c>
      <c r="AD21" s="135">
        <v>8.8000000000000007</v>
      </c>
      <c r="AE21" s="135">
        <v>6700</v>
      </c>
      <c r="AF21" s="135">
        <v>762.4</v>
      </c>
      <c r="AG21" s="135">
        <v>1.31</v>
      </c>
      <c r="AH21" s="135">
        <v>9</v>
      </c>
      <c r="AI21" s="135">
        <v>2800</v>
      </c>
      <c r="AJ21" s="135">
        <v>310.60000000000002</v>
      </c>
      <c r="AK21" s="135">
        <v>3.22</v>
      </c>
      <c r="AL21" s="135">
        <v>7.1</v>
      </c>
      <c r="AM21" s="135">
        <v>5300</v>
      </c>
      <c r="AN21" s="135">
        <v>744.4</v>
      </c>
      <c r="AO21" s="135">
        <v>1.34</v>
      </c>
      <c r="AP21" s="135"/>
      <c r="AQ21" s="135"/>
      <c r="AR21" s="135"/>
      <c r="AS21" s="135"/>
      <c r="AT21" s="135"/>
      <c r="AU21" s="135"/>
      <c r="AV21" s="135"/>
      <c r="AW21" s="135"/>
      <c r="AX21" s="135">
        <v>7.1</v>
      </c>
      <c r="AY21" s="135">
        <v>10</v>
      </c>
      <c r="AZ21" s="135">
        <v>1.4</v>
      </c>
      <c r="BA21" s="135">
        <v>0.71</v>
      </c>
      <c r="BB21" s="135"/>
      <c r="BC21" s="135"/>
      <c r="BD21" s="135"/>
      <c r="BE21" s="135"/>
      <c r="BF21" s="135">
        <v>9</v>
      </c>
      <c r="BG21" s="135">
        <v>5600</v>
      </c>
      <c r="BH21" s="135">
        <v>621.20000000000005</v>
      </c>
      <c r="BI21" s="135">
        <v>1.61</v>
      </c>
      <c r="BJ21" s="135">
        <v>44</v>
      </c>
      <c r="BK21" s="135">
        <v>3</v>
      </c>
      <c r="BL21" s="135">
        <v>20.5</v>
      </c>
    </row>
    <row r="22" spans="1:64" x14ac:dyDescent="0.3">
      <c r="A22" s="135">
        <v>2016</v>
      </c>
      <c r="B22" s="135">
        <v>4</v>
      </c>
      <c r="C22" s="135" t="s">
        <v>2232</v>
      </c>
      <c r="D22" s="135" t="s">
        <v>345</v>
      </c>
      <c r="E22" s="135" t="s">
        <v>399</v>
      </c>
      <c r="F22" s="135" t="s">
        <v>398</v>
      </c>
      <c r="G22" s="135" t="s">
        <v>52</v>
      </c>
      <c r="H22" s="135">
        <v>17.34</v>
      </c>
      <c r="I22" s="135">
        <v>5.4379999999999997</v>
      </c>
      <c r="J22" s="135">
        <v>9.4</v>
      </c>
      <c r="K22" s="135">
        <v>0</v>
      </c>
      <c r="L22" s="135">
        <v>0</v>
      </c>
      <c r="M22" s="135">
        <v>0</v>
      </c>
      <c r="N22" s="135">
        <v>0</v>
      </c>
      <c r="O22" s="135">
        <v>0</v>
      </c>
      <c r="P22" s="135">
        <v>0</v>
      </c>
      <c r="Q22" s="135">
        <v>0</v>
      </c>
      <c r="R22" s="135">
        <v>0</v>
      </c>
      <c r="S22" s="135">
        <v>3.9620000000000002</v>
      </c>
      <c r="T22" s="135">
        <v>41.22</v>
      </c>
      <c r="U22" s="135">
        <v>0.23300000000000001</v>
      </c>
      <c r="V22" s="135">
        <v>4.1000000000000002E-2</v>
      </c>
      <c r="W22" s="135">
        <v>0</v>
      </c>
      <c r="X22" s="135">
        <v>0</v>
      </c>
      <c r="Y22" s="135" t="s">
        <v>1995</v>
      </c>
      <c r="Z22" s="135">
        <v>7.4</v>
      </c>
      <c r="AA22" s="135">
        <v>3000</v>
      </c>
      <c r="AB22" s="135">
        <v>406.6</v>
      </c>
      <c r="AC22" s="135">
        <v>2.46</v>
      </c>
      <c r="AD22" s="135">
        <v>9.4</v>
      </c>
      <c r="AE22" s="135">
        <v>5000</v>
      </c>
      <c r="AF22" s="135">
        <v>531.9</v>
      </c>
      <c r="AG22" s="135">
        <v>1.88</v>
      </c>
      <c r="AH22" s="135">
        <v>9.6999999999999993</v>
      </c>
      <c r="AI22" s="135">
        <v>2500</v>
      </c>
      <c r="AJ22" s="135">
        <v>258</v>
      </c>
      <c r="AK22" s="135">
        <v>3.88</v>
      </c>
      <c r="AL22" s="135">
        <v>7.4</v>
      </c>
      <c r="AM22" s="135">
        <v>4500</v>
      </c>
      <c r="AN22" s="135">
        <v>606.6</v>
      </c>
      <c r="AO22" s="135">
        <v>1.65</v>
      </c>
      <c r="AP22" s="135"/>
      <c r="AQ22" s="135"/>
      <c r="AR22" s="135"/>
      <c r="AS22" s="135"/>
      <c r="AT22" s="135"/>
      <c r="AU22" s="135"/>
      <c r="AV22" s="135"/>
      <c r="AW22" s="135"/>
      <c r="AX22" s="135">
        <v>7.4</v>
      </c>
      <c r="AY22" s="135">
        <v>10</v>
      </c>
      <c r="AZ22" s="135">
        <v>1.3</v>
      </c>
      <c r="BA22" s="135">
        <v>0.74</v>
      </c>
      <c r="BB22" s="135"/>
      <c r="BC22" s="135"/>
      <c r="BD22" s="135"/>
      <c r="BE22" s="135"/>
      <c r="BF22" s="135">
        <v>9.6999999999999993</v>
      </c>
      <c r="BG22" s="135">
        <v>5000</v>
      </c>
      <c r="BH22" s="135">
        <v>516.1</v>
      </c>
      <c r="BI22" s="135">
        <v>1.94</v>
      </c>
      <c r="BJ22" s="135">
        <v>46</v>
      </c>
      <c r="BK22" s="135">
        <v>3</v>
      </c>
      <c r="BL22" s="135">
        <v>21.5</v>
      </c>
    </row>
    <row r="23" spans="1:64" x14ac:dyDescent="0.3">
      <c r="A23" s="135">
        <v>2016</v>
      </c>
      <c r="B23" s="135">
        <v>4</v>
      </c>
      <c r="C23" s="135" t="s">
        <v>2236</v>
      </c>
      <c r="D23" s="135" t="s">
        <v>362</v>
      </c>
      <c r="E23" s="135" t="s">
        <v>399</v>
      </c>
      <c r="F23" s="135" t="s">
        <v>57</v>
      </c>
      <c r="G23" s="135" t="s">
        <v>1999</v>
      </c>
      <c r="H23" s="135">
        <v>14.59</v>
      </c>
      <c r="I23" s="135">
        <v>5.3380000000000001</v>
      </c>
      <c r="J23" s="135">
        <v>8.4570000000000007</v>
      </c>
      <c r="K23" s="135">
        <v>0</v>
      </c>
      <c r="L23" s="135">
        <v>0</v>
      </c>
      <c r="M23" s="135">
        <v>0</v>
      </c>
      <c r="N23" s="135">
        <v>0</v>
      </c>
      <c r="O23" s="135">
        <v>0</v>
      </c>
      <c r="P23" s="135">
        <v>0</v>
      </c>
      <c r="Q23" s="135">
        <v>0</v>
      </c>
      <c r="R23" s="135">
        <v>0</v>
      </c>
      <c r="S23" s="135">
        <v>3.1190000000000002</v>
      </c>
      <c r="T23" s="135">
        <v>34.856999999999999</v>
      </c>
      <c r="U23" s="135">
        <v>0.32</v>
      </c>
      <c r="V23" s="135">
        <v>3.4000000000000002E-2</v>
      </c>
      <c r="W23" s="135">
        <v>0</v>
      </c>
      <c r="X23" s="135">
        <v>0</v>
      </c>
      <c r="Y23" s="135" t="s">
        <v>1995</v>
      </c>
      <c r="Z23" s="135">
        <v>6.9</v>
      </c>
      <c r="AA23" s="135">
        <v>3000</v>
      </c>
      <c r="AB23" s="135">
        <v>437.1</v>
      </c>
      <c r="AC23" s="135">
        <v>2.29</v>
      </c>
      <c r="AD23" s="135">
        <v>8.5</v>
      </c>
      <c r="AE23" s="135">
        <v>5000</v>
      </c>
      <c r="AF23" s="135">
        <v>591.20000000000005</v>
      </c>
      <c r="AG23" s="135">
        <v>1.69</v>
      </c>
      <c r="AH23" s="135">
        <v>8.6999999999999993</v>
      </c>
      <c r="AI23" s="135">
        <v>2500</v>
      </c>
      <c r="AJ23" s="135">
        <v>287.39999999999998</v>
      </c>
      <c r="AK23" s="135">
        <v>3.48</v>
      </c>
      <c r="AL23" s="135">
        <v>6.9</v>
      </c>
      <c r="AM23" s="135">
        <v>4500</v>
      </c>
      <c r="AN23" s="135">
        <v>652.4</v>
      </c>
      <c r="AO23" s="135">
        <v>1.53</v>
      </c>
      <c r="AP23" s="135"/>
      <c r="AQ23" s="135"/>
      <c r="AR23" s="135"/>
      <c r="AS23" s="135"/>
      <c r="AT23" s="135"/>
      <c r="AU23" s="135"/>
      <c r="AV23" s="135"/>
      <c r="AW23" s="135"/>
      <c r="AX23" s="135">
        <v>6.9</v>
      </c>
      <c r="AY23" s="135">
        <v>10</v>
      </c>
      <c r="AZ23" s="135">
        <v>1.4</v>
      </c>
      <c r="BA23" s="135">
        <v>0.69</v>
      </c>
      <c r="BB23" s="135"/>
      <c r="BC23" s="135"/>
      <c r="BD23" s="135"/>
      <c r="BE23" s="135"/>
      <c r="BF23" s="135">
        <v>8.6999999999999993</v>
      </c>
      <c r="BG23" s="135">
        <v>5000</v>
      </c>
      <c r="BH23" s="135">
        <v>574.70000000000005</v>
      </c>
      <c r="BI23" s="135">
        <v>1.74</v>
      </c>
      <c r="BJ23" s="135">
        <v>44.5</v>
      </c>
      <c r="BK23" s="135">
        <v>7</v>
      </c>
      <c r="BL23" s="135">
        <v>18.75</v>
      </c>
    </row>
    <row r="24" spans="1:64" x14ac:dyDescent="0.3">
      <c r="A24" s="135">
        <v>2016</v>
      </c>
      <c r="B24" s="135">
        <v>4</v>
      </c>
      <c r="C24" s="135" t="s">
        <v>2213</v>
      </c>
      <c r="D24" s="135" t="s">
        <v>354</v>
      </c>
      <c r="E24" s="135" t="s">
        <v>399</v>
      </c>
      <c r="F24" s="135" t="s">
        <v>20</v>
      </c>
      <c r="G24" s="135" t="s">
        <v>397</v>
      </c>
      <c r="H24" s="135">
        <v>5.2</v>
      </c>
      <c r="I24" s="135">
        <v>5.1150000000000002</v>
      </c>
      <c r="J24" s="135">
        <v>8.2650000000000006</v>
      </c>
      <c r="K24" s="135">
        <v>0</v>
      </c>
      <c r="L24" s="135">
        <v>0</v>
      </c>
      <c r="M24" s="135">
        <v>0</v>
      </c>
      <c r="N24" s="135">
        <v>0</v>
      </c>
      <c r="O24" s="135">
        <v>0</v>
      </c>
      <c r="P24" s="135">
        <v>0</v>
      </c>
      <c r="Q24" s="135">
        <v>0</v>
      </c>
      <c r="R24" s="135">
        <v>0</v>
      </c>
      <c r="S24" s="135">
        <v>3.15</v>
      </c>
      <c r="T24" s="135">
        <v>33.353999999999999</v>
      </c>
      <c r="U24" s="135">
        <v>0.30599999999999999</v>
      </c>
      <c r="V24" s="135">
        <v>2.8000000000000001E-2</v>
      </c>
      <c r="W24" s="135">
        <v>0</v>
      </c>
      <c r="X24" s="135">
        <v>0</v>
      </c>
      <c r="Y24" s="135" t="s">
        <v>1995</v>
      </c>
      <c r="Z24" s="135">
        <v>6.7</v>
      </c>
      <c r="AA24" s="135">
        <v>4150</v>
      </c>
      <c r="AB24" s="135">
        <v>622.9</v>
      </c>
      <c r="AC24" s="135">
        <v>1.61</v>
      </c>
      <c r="AD24" s="135">
        <v>8.3000000000000007</v>
      </c>
      <c r="AE24" s="135">
        <v>6450</v>
      </c>
      <c r="AF24" s="135">
        <v>780.4</v>
      </c>
      <c r="AG24" s="135">
        <v>1.28</v>
      </c>
      <c r="AH24" s="135">
        <v>8.5</v>
      </c>
      <c r="AI24" s="135">
        <v>3100</v>
      </c>
      <c r="AJ24" s="135">
        <v>365</v>
      </c>
      <c r="AK24" s="135">
        <v>2.74</v>
      </c>
      <c r="AL24" s="135">
        <v>6.7</v>
      </c>
      <c r="AM24" s="135">
        <v>4500</v>
      </c>
      <c r="AN24" s="135">
        <v>672.6</v>
      </c>
      <c r="AO24" s="135">
        <v>1.49</v>
      </c>
      <c r="AP24" s="135"/>
      <c r="AQ24" s="135"/>
      <c r="AR24" s="135"/>
      <c r="AS24" s="135"/>
      <c r="AT24" s="135"/>
      <c r="AU24" s="135"/>
      <c r="AV24" s="135"/>
      <c r="AW24" s="135"/>
      <c r="AX24" s="135">
        <v>6.7</v>
      </c>
      <c r="AY24" s="135">
        <v>13</v>
      </c>
      <c r="AZ24" s="135">
        <v>1.9</v>
      </c>
      <c r="BA24" s="135">
        <v>0.51</v>
      </c>
      <c r="BB24" s="135"/>
      <c r="BC24" s="135"/>
      <c r="BD24" s="135"/>
      <c r="BE24" s="135"/>
      <c r="BF24" s="135">
        <v>8.5</v>
      </c>
      <c r="BG24" s="135">
        <v>6000</v>
      </c>
      <c r="BH24" s="135">
        <v>706.4</v>
      </c>
      <c r="BI24" s="135">
        <v>1.42</v>
      </c>
      <c r="BJ24" s="135">
        <v>47.5</v>
      </c>
      <c r="BK24" s="135">
        <v>-5.5</v>
      </c>
      <c r="BL24" s="135">
        <v>26.5</v>
      </c>
    </row>
    <row r="25" spans="1:64" x14ac:dyDescent="0.3">
      <c r="A25" s="135">
        <v>2016</v>
      </c>
      <c r="B25" s="135">
        <v>4</v>
      </c>
      <c r="C25" s="135" t="s">
        <v>2214</v>
      </c>
      <c r="D25" s="135" t="s">
        <v>344</v>
      </c>
      <c r="E25" s="135" t="s">
        <v>399</v>
      </c>
      <c r="F25" s="135" t="s">
        <v>4</v>
      </c>
      <c r="G25" s="135" t="s">
        <v>2297</v>
      </c>
      <c r="H25" s="135">
        <v>3.55</v>
      </c>
      <c r="I25" s="135">
        <v>4.8159999999999998</v>
      </c>
      <c r="J25" s="135">
        <v>8</v>
      </c>
      <c r="K25" s="135">
        <v>0</v>
      </c>
      <c r="L25" s="135">
        <v>0</v>
      </c>
      <c r="M25" s="135">
        <v>0</v>
      </c>
      <c r="N25" s="135">
        <v>0</v>
      </c>
      <c r="O25" s="135">
        <v>0</v>
      </c>
      <c r="P25" s="135">
        <v>0</v>
      </c>
      <c r="Q25" s="135">
        <v>0</v>
      </c>
      <c r="R25" s="135">
        <v>0</v>
      </c>
      <c r="S25" s="135">
        <v>3.1840000000000002</v>
      </c>
      <c r="T25" s="135">
        <v>31.603999999999999</v>
      </c>
      <c r="U25" s="135">
        <v>0.28599999999999998</v>
      </c>
      <c r="V25" s="135">
        <v>0.03</v>
      </c>
      <c r="W25" s="135">
        <v>0</v>
      </c>
      <c r="X25" s="135">
        <v>0</v>
      </c>
      <c r="Y25" s="135" t="s">
        <v>1995</v>
      </c>
      <c r="Z25" s="135">
        <v>6.4</v>
      </c>
      <c r="AA25" s="135">
        <v>3900</v>
      </c>
      <c r="AB25" s="135">
        <v>611.4</v>
      </c>
      <c r="AC25" s="135">
        <v>1.64</v>
      </c>
      <c r="AD25" s="135">
        <v>8</v>
      </c>
      <c r="AE25" s="135">
        <v>6550</v>
      </c>
      <c r="AF25" s="135">
        <v>818.7</v>
      </c>
      <c r="AG25" s="135">
        <v>1.22</v>
      </c>
      <c r="AH25" s="135">
        <v>8.1999999999999993</v>
      </c>
      <c r="AI25" s="135">
        <v>2700</v>
      </c>
      <c r="AJ25" s="135">
        <v>328.5</v>
      </c>
      <c r="AK25" s="135">
        <v>3.04</v>
      </c>
      <c r="AL25" s="135">
        <v>6.4</v>
      </c>
      <c r="AM25" s="135">
        <v>4900</v>
      </c>
      <c r="AN25" s="135">
        <v>764.6</v>
      </c>
      <c r="AO25" s="135">
        <v>1.31</v>
      </c>
      <c r="AP25" s="135"/>
      <c r="AQ25" s="135"/>
      <c r="AR25" s="135"/>
      <c r="AS25" s="135"/>
      <c r="AT25" s="135"/>
      <c r="AU25" s="135"/>
      <c r="AV25" s="135"/>
      <c r="AW25" s="135"/>
      <c r="AX25" s="135">
        <v>6.4</v>
      </c>
      <c r="AY25" s="135">
        <v>14</v>
      </c>
      <c r="AZ25" s="135">
        <v>2.2000000000000002</v>
      </c>
      <c r="BA25" s="135">
        <v>0.46</v>
      </c>
      <c r="BB25" s="135"/>
      <c r="BC25" s="135"/>
      <c r="BD25" s="135"/>
      <c r="BE25" s="135"/>
      <c r="BF25" s="135">
        <v>8.1999999999999993</v>
      </c>
      <c r="BG25" s="135">
        <v>5300</v>
      </c>
      <c r="BH25" s="135">
        <v>644.79999999999995</v>
      </c>
      <c r="BI25" s="135">
        <v>1.55</v>
      </c>
      <c r="BJ25" s="135">
        <v>46.5</v>
      </c>
      <c r="BK25" s="135">
        <v>3.5</v>
      </c>
      <c r="BL25" s="135">
        <v>21.5</v>
      </c>
    </row>
    <row r="26" spans="1:64" x14ac:dyDescent="0.3">
      <c r="A26" s="135">
        <v>2016</v>
      </c>
      <c r="B26" s="135">
        <v>4</v>
      </c>
      <c r="C26" s="135" t="s">
        <v>2219</v>
      </c>
      <c r="D26" s="135" t="s">
        <v>333</v>
      </c>
      <c r="E26" s="135" t="s">
        <v>399</v>
      </c>
      <c r="F26" s="135" t="s">
        <v>10</v>
      </c>
      <c r="G26" s="135" t="s">
        <v>1992</v>
      </c>
      <c r="H26" s="135">
        <v>11.8</v>
      </c>
      <c r="I26" s="135">
        <v>4.78</v>
      </c>
      <c r="J26" s="135">
        <v>8.4760000000000009</v>
      </c>
      <c r="K26" s="135">
        <v>0</v>
      </c>
      <c r="L26" s="135">
        <v>0</v>
      </c>
      <c r="M26" s="135">
        <v>0</v>
      </c>
      <c r="N26" s="135">
        <v>0</v>
      </c>
      <c r="O26" s="135">
        <v>0</v>
      </c>
      <c r="P26" s="135">
        <v>0</v>
      </c>
      <c r="Q26" s="135">
        <v>0</v>
      </c>
      <c r="R26" s="135">
        <v>0</v>
      </c>
      <c r="S26" s="135">
        <v>3.6960000000000002</v>
      </c>
      <c r="T26" s="135">
        <v>36.161000000000001</v>
      </c>
      <c r="U26" s="135">
        <v>0.20899999999999999</v>
      </c>
      <c r="V26" s="135">
        <v>4.4999999999999998E-2</v>
      </c>
      <c r="W26" s="135">
        <v>0</v>
      </c>
      <c r="X26" s="135">
        <v>0</v>
      </c>
      <c r="Y26" s="135" t="s">
        <v>1995</v>
      </c>
      <c r="Z26" s="135">
        <v>6.6</v>
      </c>
      <c r="AA26" s="135">
        <v>3900</v>
      </c>
      <c r="AB26" s="135">
        <v>592.4</v>
      </c>
      <c r="AC26" s="135">
        <v>1.69</v>
      </c>
      <c r="AD26" s="135">
        <v>8.5</v>
      </c>
      <c r="AE26" s="135">
        <v>7200</v>
      </c>
      <c r="AF26" s="135">
        <v>849.4</v>
      </c>
      <c r="AG26" s="135">
        <v>1.18</v>
      </c>
      <c r="AH26" s="135">
        <v>8.6999999999999993</v>
      </c>
      <c r="AI26" s="135">
        <v>2600</v>
      </c>
      <c r="AJ26" s="135">
        <v>297.5</v>
      </c>
      <c r="AK26" s="135">
        <v>3.36</v>
      </c>
      <c r="AL26" s="135">
        <v>6.6</v>
      </c>
      <c r="AM26" s="135">
        <v>5100</v>
      </c>
      <c r="AN26" s="135">
        <v>769.5</v>
      </c>
      <c r="AO26" s="135">
        <v>1.3</v>
      </c>
      <c r="AP26" s="135"/>
      <c r="AQ26" s="135"/>
      <c r="AR26" s="135"/>
      <c r="AS26" s="135"/>
      <c r="AT26" s="135"/>
      <c r="AU26" s="135"/>
      <c r="AV26" s="135"/>
      <c r="AW26" s="135"/>
      <c r="AX26" s="135">
        <v>6.6</v>
      </c>
      <c r="AY26" s="135">
        <v>14</v>
      </c>
      <c r="AZ26" s="135">
        <v>2.1</v>
      </c>
      <c r="BA26" s="135">
        <v>0.47</v>
      </c>
      <c r="BB26" s="135"/>
      <c r="BC26" s="135"/>
      <c r="BD26" s="135"/>
      <c r="BE26" s="135"/>
      <c r="BF26" s="135">
        <v>8.6999999999999993</v>
      </c>
      <c r="BG26" s="135">
        <v>5000</v>
      </c>
      <c r="BH26" s="135">
        <v>572.20000000000005</v>
      </c>
      <c r="BI26" s="135">
        <v>1.75</v>
      </c>
      <c r="BJ26" s="135">
        <v>44</v>
      </c>
      <c r="BK26" s="135">
        <v>4.5</v>
      </c>
      <c r="BL26" s="135">
        <v>19.75</v>
      </c>
    </row>
    <row r="27" spans="1:64" x14ac:dyDescent="0.3">
      <c r="A27" s="135">
        <v>2016</v>
      </c>
      <c r="B27" s="135">
        <v>4</v>
      </c>
      <c r="C27" s="135" t="s">
        <v>2221</v>
      </c>
      <c r="D27" s="135" t="s">
        <v>383</v>
      </c>
      <c r="E27" s="135" t="s">
        <v>399</v>
      </c>
      <c r="F27" s="135" t="s">
        <v>28</v>
      </c>
      <c r="G27" s="135" t="s">
        <v>57</v>
      </c>
      <c r="H27" s="135">
        <v>12.07</v>
      </c>
      <c r="I27" s="135">
        <v>3.9159999999999999</v>
      </c>
      <c r="J27" s="135">
        <v>5.9610000000000003</v>
      </c>
      <c r="K27" s="135">
        <v>0</v>
      </c>
      <c r="L27" s="135">
        <v>0</v>
      </c>
      <c r="M27" s="135">
        <v>0</v>
      </c>
      <c r="N27" s="135">
        <v>0</v>
      </c>
      <c r="O27" s="135">
        <v>0</v>
      </c>
      <c r="P27" s="135">
        <v>0</v>
      </c>
      <c r="Q27" s="135">
        <v>0</v>
      </c>
      <c r="R27" s="135">
        <v>0</v>
      </c>
      <c r="S27" s="135">
        <v>2.0449999999999999</v>
      </c>
      <c r="T27" s="135">
        <v>26.518000000000001</v>
      </c>
      <c r="U27" s="135">
        <v>0.216</v>
      </c>
      <c r="V27" s="135">
        <v>1.6E-2</v>
      </c>
      <c r="W27" s="135">
        <v>0</v>
      </c>
      <c r="X27" s="135">
        <v>0</v>
      </c>
      <c r="Y27" s="135" t="s">
        <v>1995</v>
      </c>
      <c r="Z27" s="135">
        <v>4.9000000000000004</v>
      </c>
      <c r="AA27" s="135">
        <v>3000</v>
      </c>
      <c r="AB27" s="135">
        <v>609.5</v>
      </c>
      <c r="AC27" s="135">
        <v>1.64</v>
      </c>
      <c r="AD27" s="135">
        <v>6</v>
      </c>
      <c r="AE27" s="135">
        <v>5000</v>
      </c>
      <c r="AF27" s="135">
        <v>838.8</v>
      </c>
      <c r="AG27" s="135">
        <v>1.19</v>
      </c>
      <c r="AH27" s="135">
        <v>6.1</v>
      </c>
      <c r="AI27" s="135">
        <v>2500</v>
      </c>
      <c r="AJ27" s="135">
        <v>407.4</v>
      </c>
      <c r="AK27" s="135">
        <v>2.4500000000000002</v>
      </c>
      <c r="AL27" s="135">
        <v>4.9000000000000004</v>
      </c>
      <c r="AM27" s="135">
        <v>5000</v>
      </c>
      <c r="AN27" s="135">
        <v>1012.5</v>
      </c>
      <c r="AO27" s="135">
        <v>0.99</v>
      </c>
      <c r="AP27" s="135"/>
      <c r="AQ27" s="135"/>
      <c r="AR27" s="135"/>
      <c r="AS27" s="135"/>
      <c r="AT27" s="135"/>
      <c r="AU27" s="135"/>
      <c r="AV27" s="135"/>
      <c r="AW27" s="135"/>
      <c r="AX27" s="135">
        <v>4.9000000000000004</v>
      </c>
      <c r="AY27" s="135">
        <v>10</v>
      </c>
      <c r="AZ27" s="135">
        <v>2</v>
      </c>
      <c r="BA27" s="135">
        <v>0.49</v>
      </c>
      <c r="BB27" s="135"/>
      <c r="BC27" s="135"/>
      <c r="BD27" s="135"/>
      <c r="BE27" s="135"/>
      <c r="BF27" s="135">
        <v>6.1</v>
      </c>
      <c r="BG27" s="135">
        <v>5000</v>
      </c>
      <c r="BH27" s="135">
        <v>814.9</v>
      </c>
      <c r="BI27" s="135">
        <v>1.23</v>
      </c>
      <c r="BJ27" s="135">
        <v>44.5</v>
      </c>
      <c r="BK27" s="135">
        <v>-7</v>
      </c>
      <c r="BL27" s="135">
        <v>25.75</v>
      </c>
    </row>
    <row r="28" spans="1:64" x14ac:dyDescent="0.3">
      <c r="A28" s="135">
        <v>2016</v>
      </c>
      <c r="B28" s="135">
        <v>4</v>
      </c>
      <c r="C28" s="135" t="s">
        <v>2220</v>
      </c>
      <c r="D28" s="135" t="s">
        <v>263</v>
      </c>
      <c r="E28" s="135" t="s">
        <v>399</v>
      </c>
      <c r="F28" s="135" t="s">
        <v>409</v>
      </c>
      <c r="G28" s="135" t="s">
        <v>2295</v>
      </c>
      <c r="H28" s="135">
        <v>-0.6</v>
      </c>
      <c r="I28" s="135">
        <v>3.8410000000000002</v>
      </c>
      <c r="J28" s="135">
        <v>6.117</v>
      </c>
      <c r="K28" s="135">
        <v>0</v>
      </c>
      <c r="L28" s="135">
        <v>0</v>
      </c>
      <c r="M28" s="135">
        <v>0</v>
      </c>
      <c r="N28" s="135">
        <v>0</v>
      </c>
      <c r="O28" s="135">
        <v>0</v>
      </c>
      <c r="P28" s="135">
        <v>0</v>
      </c>
      <c r="Q28" s="135">
        <v>0</v>
      </c>
      <c r="R28" s="135">
        <v>0</v>
      </c>
      <c r="S28" s="135">
        <v>2.2759999999999998</v>
      </c>
      <c r="T28" s="135">
        <v>28.388999999999999</v>
      </c>
      <c r="U28" s="135">
        <v>0.17499999999999999</v>
      </c>
      <c r="V28" s="135">
        <v>2.4E-2</v>
      </c>
      <c r="W28" s="135">
        <v>0</v>
      </c>
      <c r="X28" s="135">
        <v>0</v>
      </c>
      <c r="Y28" s="135" t="s">
        <v>1995</v>
      </c>
      <c r="Z28" s="135">
        <v>5</v>
      </c>
      <c r="AA28" s="135">
        <v>3000</v>
      </c>
      <c r="AB28" s="135">
        <v>605.5</v>
      </c>
      <c r="AC28" s="135">
        <v>1.65</v>
      </c>
      <c r="AD28" s="135">
        <v>6.1</v>
      </c>
      <c r="AE28" s="135">
        <v>5000</v>
      </c>
      <c r="AF28" s="135">
        <v>817.4</v>
      </c>
      <c r="AG28" s="135">
        <v>1.22</v>
      </c>
      <c r="AH28" s="135">
        <v>6.3</v>
      </c>
      <c r="AI28" s="135">
        <v>2600</v>
      </c>
      <c r="AJ28" s="135">
        <v>412</v>
      </c>
      <c r="AK28" s="135">
        <v>2.4300000000000002</v>
      </c>
      <c r="AL28" s="135">
        <v>5</v>
      </c>
      <c r="AM28" s="135">
        <v>4500</v>
      </c>
      <c r="AN28" s="135">
        <v>903.8</v>
      </c>
      <c r="AO28" s="135">
        <v>1.1100000000000001</v>
      </c>
      <c r="AP28" s="135"/>
      <c r="AQ28" s="135"/>
      <c r="AR28" s="135"/>
      <c r="AS28" s="135"/>
      <c r="AT28" s="135"/>
      <c r="AU28" s="135"/>
      <c r="AV28" s="135"/>
      <c r="AW28" s="135"/>
      <c r="AX28" s="135">
        <v>5</v>
      </c>
      <c r="AY28" s="135">
        <v>10</v>
      </c>
      <c r="AZ28" s="135">
        <v>2</v>
      </c>
      <c r="BA28" s="135">
        <v>0.5</v>
      </c>
      <c r="BB28" s="135"/>
      <c r="BC28" s="135"/>
      <c r="BD28" s="135"/>
      <c r="BE28" s="135"/>
      <c r="BF28" s="135">
        <v>6.3</v>
      </c>
      <c r="BG28" s="135">
        <v>5000</v>
      </c>
      <c r="BH28" s="135">
        <v>792.2</v>
      </c>
      <c r="BI28" s="135">
        <v>1.26</v>
      </c>
      <c r="BJ28" s="135">
        <v>43</v>
      </c>
      <c r="BK28" s="135">
        <v>8</v>
      </c>
      <c r="BL28" s="135">
        <v>17.5</v>
      </c>
    </row>
    <row r="29" spans="1:64" x14ac:dyDescent="0.3">
      <c r="A29" s="135">
        <v>2016</v>
      </c>
      <c r="B29" s="135">
        <v>4</v>
      </c>
      <c r="C29" s="135" t="s">
        <v>2242</v>
      </c>
      <c r="D29" s="135" t="s">
        <v>361</v>
      </c>
      <c r="E29" s="135" t="s">
        <v>399</v>
      </c>
      <c r="F29" s="135" t="s">
        <v>12</v>
      </c>
      <c r="G29" s="135" t="s">
        <v>16</v>
      </c>
      <c r="H29" s="135">
        <v>8.5</v>
      </c>
      <c r="I29" s="135">
        <v>3.6379999999999999</v>
      </c>
      <c r="J29" s="135">
        <v>6.0880000000000001</v>
      </c>
      <c r="K29" s="135">
        <v>0</v>
      </c>
      <c r="L29" s="135">
        <v>0</v>
      </c>
      <c r="M29" s="135">
        <v>0</v>
      </c>
      <c r="N29" s="135">
        <v>0</v>
      </c>
      <c r="O29" s="135">
        <v>0</v>
      </c>
      <c r="P29" s="135">
        <v>0</v>
      </c>
      <c r="Q29" s="135">
        <v>0</v>
      </c>
      <c r="R29" s="135">
        <v>0</v>
      </c>
      <c r="S29" s="135">
        <v>2.4500000000000002</v>
      </c>
      <c r="T29" s="135">
        <v>26.178000000000001</v>
      </c>
      <c r="U29" s="135">
        <v>0.17699999999999999</v>
      </c>
      <c r="V29" s="135">
        <v>2.1000000000000001E-2</v>
      </c>
      <c r="W29" s="135">
        <v>0</v>
      </c>
      <c r="X29" s="135">
        <v>0</v>
      </c>
      <c r="Y29" s="135" t="s">
        <v>1995</v>
      </c>
      <c r="Z29" s="135">
        <v>4.8</v>
      </c>
      <c r="AA29" s="135">
        <v>3300</v>
      </c>
      <c r="AB29" s="135">
        <v>681.6</v>
      </c>
      <c r="AC29" s="135">
        <v>1.47</v>
      </c>
      <c r="AD29" s="135">
        <v>6.1</v>
      </c>
      <c r="AE29" s="135">
        <v>5000</v>
      </c>
      <c r="AF29" s="135">
        <v>821.3</v>
      </c>
      <c r="AG29" s="135">
        <v>1.22</v>
      </c>
      <c r="AH29" s="135">
        <v>6.3</v>
      </c>
      <c r="AI29" s="135">
        <v>2500</v>
      </c>
      <c r="AJ29" s="135">
        <v>399</v>
      </c>
      <c r="AK29" s="135">
        <v>2.5099999999999998</v>
      </c>
      <c r="AL29" s="135">
        <v>4.9000000000000004</v>
      </c>
      <c r="AM29" s="135">
        <v>4600</v>
      </c>
      <c r="AN29" s="135">
        <v>946</v>
      </c>
      <c r="AO29" s="135">
        <v>1.06</v>
      </c>
      <c r="AP29" s="135"/>
      <c r="AQ29" s="135"/>
      <c r="AR29" s="135"/>
      <c r="AS29" s="135"/>
      <c r="AT29" s="135"/>
      <c r="AU29" s="135"/>
      <c r="AV29" s="135"/>
      <c r="AW29" s="135"/>
      <c r="AX29" s="135">
        <v>4.9000000000000004</v>
      </c>
      <c r="AY29" s="135">
        <v>10</v>
      </c>
      <c r="AZ29" s="135">
        <v>2.1</v>
      </c>
      <c r="BA29" s="135">
        <v>0.49</v>
      </c>
      <c r="BB29" s="135"/>
      <c r="BC29" s="135"/>
      <c r="BD29" s="135"/>
      <c r="BE29" s="135"/>
      <c r="BF29" s="135">
        <v>6.3</v>
      </c>
      <c r="BG29" s="135">
        <v>5000</v>
      </c>
      <c r="BH29" s="135">
        <v>798</v>
      </c>
      <c r="BI29" s="135">
        <v>1.25</v>
      </c>
      <c r="BJ29" s="135">
        <v>49.5</v>
      </c>
      <c r="BK29" s="135">
        <v>2.5</v>
      </c>
      <c r="BL29" s="135">
        <v>23.5</v>
      </c>
    </row>
    <row r="30" spans="1:64" x14ac:dyDescent="0.3">
      <c r="A30" s="135">
        <v>2016</v>
      </c>
      <c r="B30" s="135">
        <v>4</v>
      </c>
      <c r="C30" s="135" t="s">
        <v>2238</v>
      </c>
      <c r="D30" s="135" t="s">
        <v>337</v>
      </c>
      <c r="E30" s="135" t="s">
        <v>399</v>
      </c>
      <c r="F30" s="135" t="s">
        <v>43</v>
      </c>
      <c r="G30" s="135" t="s">
        <v>30</v>
      </c>
      <c r="H30" s="135">
        <v>2.35</v>
      </c>
      <c r="I30" s="135">
        <v>2.9729999999999999</v>
      </c>
      <c r="J30" s="135">
        <v>6.2389999999999999</v>
      </c>
      <c r="K30" s="135">
        <v>0</v>
      </c>
      <c r="L30" s="135">
        <v>0</v>
      </c>
      <c r="M30" s="135">
        <v>0</v>
      </c>
      <c r="N30" s="135">
        <v>0</v>
      </c>
      <c r="O30" s="135">
        <v>0</v>
      </c>
      <c r="P30" s="135">
        <v>0</v>
      </c>
      <c r="Q30" s="135">
        <v>0</v>
      </c>
      <c r="R30" s="135">
        <v>0</v>
      </c>
      <c r="S30" s="135">
        <v>3.266</v>
      </c>
      <c r="T30" s="135">
        <v>25.946000000000002</v>
      </c>
      <c r="U30" s="135">
        <v>7.2999999999999995E-2</v>
      </c>
      <c r="V30" s="135">
        <v>0.03</v>
      </c>
      <c r="W30" s="135">
        <v>0</v>
      </c>
      <c r="X30" s="135">
        <v>0</v>
      </c>
      <c r="Y30" s="135" t="s">
        <v>1995</v>
      </c>
      <c r="Z30" s="135">
        <v>4.5999999999999996</v>
      </c>
      <c r="AA30" s="135">
        <v>3000</v>
      </c>
      <c r="AB30" s="135">
        <v>655.7</v>
      </c>
      <c r="AC30" s="135">
        <v>1.53</v>
      </c>
      <c r="AD30" s="135">
        <v>6.2</v>
      </c>
      <c r="AE30" s="135">
        <v>5750</v>
      </c>
      <c r="AF30" s="135">
        <v>921.7</v>
      </c>
      <c r="AG30" s="135">
        <v>1.08</v>
      </c>
      <c r="AH30" s="135">
        <v>6.4</v>
      </c>
      <c r="AI30" s="135">
        <v>2600</v>
      </c>
      <c r="AJ30" s="135">
        <v>404.7</v>
      </c>
      <c r="AK30" s="135">
        <v>2.4700000000000002</v>
      </c>
      <c r="AL30" s="135">
        <v>4.5999999999999996</v>
      </c>
      <c r="AM30" s="135">
        <v>4500</v>
      </c>
      <c r="AN30" s="135">
        <v>977.1</v>
      </c>
      <c r="AO30" s="135">
        <v>1.02</v>
      </c>
      <c r="AP30" s="135"/>
      <c r="AQ30" s="135"/>
      <c r="AR30" s="135"/>
      <c r="AS30" s="135"/>
      <c r="AT30" s="135"/>
      <c r="AU30" s="135"/>
      <c r="AV30" s="135"/>
      <c r="AW30" s="135"/>
      <c r="AX30" s="135">
        <v>4.5999999999999996</v>
      </c>
      <c r="AY30" s="135">
        <v>10</v>
      </c>
      <c r="AZ30" s="135">
        <v>2.2000000000000002</v>
      </c>
      <c r="BA30" s="135">
        <v>0.46</v>
      </c>
      <c r="BB30" s="135"/>
      <c r="BC30" s="135"/>
      <c r="BD30" s="135"/>
      <c r="BE30" s="135"/>
      <c r="BF30" s="135">
        <v>6.4</v>
      </c>
      <c r="BG30" s="135">
        <v>5000</v>
      </c>
      <c r="BH30" s="135">
        <v>778.3</v>
      </c>
      <c r="BI30" s="135">
        <v>1.28</v>
      </c>
      <c r="BJ30" s="135">
        <v>40.5</v>
      </c>
      <c r="BK30" s="135">
        <v>-6.5</v>
      </c>
      <c r="BL30" s="135">
        <v>23.5</v>
      </c>
    </row>
    <row r="31" spans="1:64" x14ac:dyDescent="0.3">
      <c r="A31" s="135">
        <v>2016</v>
      </c>
      <c r="B31" s="135">
        <v>4</v>
      </c>
      <c r="C31" s="135" t="s">
        <v>2582</v>
      </c>
      <c r="D31" s="135" t="s">
        <v>1518</v>
      </c>
      <c r="E31" s="135" t="s">
        <v>399</v>
      </c>
      <c r="F31" s="135" t="s">
        <v>70</v>
      </c>
      <c r="G31" s="135" t="s">
        <v>2005</v>
      </c>
      <c r="H31" s="135">
        <v>3.74</v>
      </c>
      <c r="I31" s="135">
        <v>2.7930000000000001</v>
      </c>
      <c r="J31" s="135">
        <v>4.49</v>
      </c>
      <c r="K31" s="135">
        <v>0</v>
      </c>
      <c r="L31" s="135">
        <v>0</v>
      </c>
      <c r="M31" s="135">
        <v>0</v>
      </c>
      <c r="N31" s="135">
        <v>0</v>
      </c>
      <c r="O31" s="135">
        <v>0</v>
      </c>
      <c r="P31" s="135">
        <v>0</v>
      </c>
      <c r="Q31" s="135">
        <v>0</v>
      </c>
      <c r="R31" s="135">
        <v>0</v>
      </c>
      <c r="S31" s="135">
        <v>1.6970000000000001</v>
      </c>
      <c r="T31" s="135">
        <v>20.327999999999999</v>
      </c>
      <c r="U31" s="135">
        <v>0.13200000000000001</v>
      </c>
      <c r="V31" s="135">
        <v>1.6E-2</v>
      </c>
      <c r="W31" s="135">
        <v>0</v>
      </c>
      <c r="X31" s="135">
        <v>0</v>
      </c>
      <c r="Y31" s="135" t="s">
        <v>1995</v>
      </c>
      <c r="Z31" s="135">
        <v>3.6</v>
      </c>
      <c r="AA31" s="135">
        <v>3000</v>
      </c>
      <c r="AB31" s="135">
        <v>827.5</v>
      </c>
      <c r="AC31" s="135">
        <v>1.21</v>
      </c>
      <c r="AD31" s="135">
        <v>4.5</v>
      </c>
      <c r="AE31" s="135">
        <v>5250</v>
      </c>
      <c r="AF31" s="135">
        <v>1169.3</v>
      </c>
      <c r="AG31" s="135">
        <v>0.86</v>
      </c>
      <c r="AH31" s="135">
        <v>4.5999999999999996</v>
      </c>
      <c r="AI31" s="135">
        <v>2500</v>
      </c>
      <c r="AJ31" s="135">
        <v>540.20000000000005</v>
      </c>
      <c r="AK31" s="135">
        <v>1.85</v>
      </c>
      <c r="AL31" s="135">
        <v>3.6</v>
      </c>
      <c r="AM31" s="135">
        <v>4700</v>
      </c>
      <c r="AN31" s="135">
        <v>1290.7</v>
      </c>
      <c r="AO31" s="135">
        <v>0.77</v>
      </c>
      <c r="AP31" s="135"/>
      <c r="AQ31" s="135"/>
      <c r="AR31" s="135"/>
      <c r="AS31" s="135"/>
      <c r="AT31" s="135"/>
      <c r="AU31" s="135"/>
      <c r="AV31" s="135"/>
      <c r="AW31" s="135"/>
      <c r="AX31" s="135">
        <v>3.6</v>
      </c>
      <c r="AY31" s="135">
        <v>10</v>
      </c>
      <c r="AZ31" s="135">
        <v>2.7</v>
      </c>
      <c r="BA31" s="135">
        <v>0.36</v>
      </c>
      <c r="BB31" s="135"/>
      <c r="BC31" s="135"/>
      <c r="BD31" s="135"/>
      <c r="BE31" s="135"/>
      <c r="BF31" s="135">
        <v>4.5999999999999996</v>
      </c>
      <c r="BG31" s="135">
        <v>5000</v>
      </c>
      <c r="BH31" s="135">
        <v>1080.4000000000001</v>
      </c>
      <c r="BI31" s="135">
        <v>0.93</v>
      </c>
      <c r="BJ31" s="135">
        <v>44</v>
      </c>
      <c r="BK31" s="135">
        <v>-3</v>
      </c>
      <c r="BL31" s="135">
        <v>23.5</v>
      </c>
    </row>
    <row r="32" spans="1:64" x14ac:dyDescent="0.3">
      <c r="A32" s="135">
        <v>2016</v>
      </c>
      <c r="B32" s="135">
        <v>4</v>
      </c>
      <c r="C32" s="135" t="s">
        <v>2225</v>
      </c>
      <c r="D32" s="135" t="s">
        <v>330</v>
      </c>
      <c r="E32" s="135" t="s">
        <v>399</v>
      </c>
      <c r="F32" s="135" t="s">
        <v>32</v>
      </c>
      <c r="G32" s="135" t="s">
        <v>4</v>
      </c>
      <c r="H32" s="135">
        <v>9.34</v>
      </c>
      <c r="I32" s="135">
        <v>2.5609999999999999</v>
      </c>
      <c r="J32" s="135">
        <v>4.056</v>
      </c>
      <c r="K32" s="135">
        <v>0</v>
      </c>
      <c r="L32" s="135">
        <v>0</v>
      </c>
      <c r="M32" s="135">
        <v>0</v>
      </c>
      <c r="N32" s="135">
        <v>0</v>
      </c>
      <c r="O32" s="135">
        <v>0</v>
      </c>
      <c r="P32" s="135">
        <v>0</v>
      </c>
      <c r="Q32" s="135">
        <v>0</v>
      </c>
      <c r="R32" s="135">
        <v>0</v>
      </c>
      <c r="S32" s="135">
        <v>1.4950000000000001</v>
      </c>
      <c r="T32" s="135">
        <v>16.945</v>
      </c>
      <c r="U32" s="135">
        <v>0.14799999999999999</v>
      </c>
      <c r="V32" s="135">
        <v>1.0999999999999999E-2</v>
      </c>
      <c r="W32" s="135">
        <v>0</v>
      </c>
      <c r="X32" s="135">
        <v>0</v>
      </c>
      <c r="Y32" s="135" t="s">
        <v>1995</v>
      </c>
      <c r="Z32" s="135">
        <v>3.3</v>
      </c>
      <c r="AA32" s="135">
        <v>3500</v>
      </c>
      <c r="AB32" s="135">
        <v>1061.5999999999999</v>
      </c>
      <c r="AC32" s="135">
        <v>0.94</v>
      </c>
      <c r="AD32" s="135">
        <v>4.0999999999999996</v>
      </c>
      <c r="AE32" s="135">
        <v>5000</v>
      </c>
      <c r="AF32" s="135">
        <v>1232.9000000000001</v>
      </c>
      <c r="AG32" s="135">
        <v>0.81</v>
      </c>
      <c r="AH32" s="135">
        <v>4.2</v>
      </c>
      <c r="AI32" s="135">
        <v>2500</v>
      </c>
      <c r="AJ32" s="135">
        <v>599.79999999999995</v>
      </c>
      <c r="AK32" s="135">
        <v>1.67</v>
      </c>
      <c r="AL32" s="135">
        <v>3.3</v>
      </c>
      <c r="AM32" s="135">
        <v>4500</v>
      </c>
      <c r="AN32" s="135">
        <v>1360.3</v>
      </c>
      <c r="AO32" s="135">
        <v>0.74</v>
      </c>
      <c r="AP32" s="135"/>
      <c r="AQ32" s="135"/>
      <c r="AR32" s="135"/>
      <c r="AS32" s="135"/>
      <c r="AT32" s="135"/>
      <c r="AU32" s="135"/>
      <c r="AV32" s="135"/>
      <c r="AW32" s="135"/>
      <c r="AX32" s="135">
        <v>3.3</v>
      </c>
      <c r="AY32" s="135">
        <v>10</v>
      </c>
      <c r="AZ32" s="135">
        <v>3</v>
      </c>
      <c r="BA32" s="135">
        <v>0.33</v>
      </c>
      <c r="BB32" s="135"/>
      <c r="BC32" s="135"/>
      <c r="BD32" s="135"/>
      <c r="BE32" s="135"/>
      <c r="BF32" s="135">
        <v>4.2</v>
      </c>
      <c r="BG32" s="135">
        <v>5000</v>
      </c>
      <c r="BH32" s="135">
        <v>1199.5999999999999</v>
      </c>
      <c r="BI32" s="135">
        <v>0.83</v>
      </c>
      <c r="BJ32" s="135">
        <v>46.5</v>
      </c>
      <c r="BK32" s="135">
        <v>-3.5</v>
      </c>
      <c r="BL32" s="135">
        <v>25</v>
      </c>
    </row>
    <row r="33" spans="1:64" x14ac:dyDescent="0.3">
      <c r="A33" s="135">
        <v>2016</v>
      </c>
      <c r="B33" s="135">
        <v>4</v>
      </c>
      <c r="C33" s="135" t="s">
        <v>2224</v>
      </c>
      <c r="D33" s="135" t="s">
        <v>339</v>
      </c>
      <c r="E33" s="135" t="s">
        <v>399</v>
      </c>
      <c r="F33" s="135" t="s">
        <v>37</v>
      </c>
      <c r="G33" s="135" t="s">
        <v>2304</v>
      </c>
      <c r="H33" s="135">
        <v>3.55</v>
      </c>
      <c r="I33" s="135">
        <v>2.4580000000000002</v>
      </c>
      <c r="J33" s="135">
        <v>4.7610000000000001</v>
      </c>
      <c r="K33" s="135">
        <v>0</v>
      </c>
      <c r="L33" s="135">
        <v>0</v>
      </c>
      <c r="M33" s="135">
        <v>0</v>
      </c>
      <c r="N33" s="135">
        <v>0</v>
      </c>
      <c r="O33" s="135">
        <v>0</v>
      </c>
      <c r="P33" s="135">
        <v>0</v>
      </c>
      <c r="Q33" s="135">
        <v>0</v>
      </c>
      <c r="R33" s="135">
        <v>0</v>
      </c>
      <c r="S33" s="135">
        <v>2.3029999999999999</v>
      </c>
      <c r="T33" s="135">
        <v>18.215</v>
      </c>
      <c r="U33" s="135">
        <v>0.115</v>
      </c>
      <c r="V33" s="135">
        <v>2.7E-2</v>
      </c>
      <c r="W33" s="135">
        <v>0</v>
      </c>
      <c r="X33" s="135">
        <v>0</v>
      </c>
      <c r="Y33" s="135" t="s">
        <v>1995</v>
      </c>
      <c r="Z33" s="135">
        <v>3.6</v>
      </c>
      <c r="AA33" s="135">
        <v>3600</v>
      </c>
      <c r="AB33" s="135">
        <v>1005</v>
      </c>
      <c r="AC33" s="135">
        <v>1</v>
      </c>
      <c r="AD33" s="135">
        <v>4.8</v>
      </c>
      <c r="AE33" s="135">
        <v>5000</v>
      </c>
      <c r="AF33" s="135">
        <v>1050.3</v>
      </c>
      <c r="AG33" s="135">
        <v>0.95</v>
      </c>
      <c r="AH33" s="135">
        <v>4.9000000000000004</v>
      </c>
      <c r="AI33" s="135">
        <v>2600</v>
      </c>
      <c r="AJ33" s="135">
        <v>531</v>
      </c>
      <c r="AK33" s="135">
        <v>1.88</v>
      </c>
      <c r="AL33" s="135">
        <v>3.6</v>
      </c>
      <c r="AM33" s="135">
        <v>5100</v>
      </c>
      <c r="AN33" s="135">
        <v>1413.1</v>
      </c>
      <c r="AO33" s="135">
        <v>0.71</v>
      </c>
      <c r="AP33" s="135"/>
      <c r="AQ33" s="135"/>
      <c r="AR33" s="135"/>
      <c r="AS33" s="135"/>
      <c r="AT33" s="135"/>
      <c r="AU33" s="135"/>
      <c r="AV33" s="135"/>
      <c r="AW33" s="135"/>
      <c r="AX33" s="135">
        <v>3.6</v>
      </c>
      <c r="AY33" s="135">
        <v>14</v>
      </c>
      <c r="AZ33" s="135">
        <v>3.9</v>
      </c>
      <c r="BA33" s="135">
        <v>0.26</v>
      </c>
      <c r="BB33" s="135"/>
      <c r="BC33" s="135"/>
      <c r="BD33" s="135"/>
      <c r="BE33" s="135"/>
      <c r="BF33" s="135">
        <v>4.9000000000000004</v>
      </c>
      <c r="BG33" s="135">
        <v>5000</v>
      </c>
      <c r="BH33" s="135">
        <v>1021.1</v>
      </c>
      <c r="BI33" s="135">
        <v>0.98</v>
      </c>
      <c r="BJ33" s="135">
        <v>43.5</v>
      </c>
      <c r="BK33" s="135">
        <v>4</v>
      </c>
      <c r="BL33" s="135">
        <v>19.75</v>
      </c>
    </row>
    <row r="34" spans="1:64" x14ac:dyDescent="0.3">
      <c r="A34" s="135">
        <v>2016</v>
      </c>
      <c r="B34" s="135">
        <v>4</v>
      </c>
      <c r="C34" s="135" t="s">
        <v>2248</v>
      </c>
      <c r="D34" s="135" t="s">
        <v>1253</v>
      </c>
      <c r="E34" s="135" t="s">
        <v>399</v>
      </c>
      <c r="F34" s="135" t="s">
        <v>70</v>
      </c>
      <c r="G34" s="135" t="s">
        <v>2005</v>
      </c>
      <c r="H34" s="135">
        <v>3.74</v>
      </c>
      <c r="I34" s="135">
        <v>2.4409999999999998</v>
      </c>
      <c r="J34" s="135">
        <v>3.9260000000000002</v>
      </c>
      <c r="K34" s="135">
        <v>0</v>
      </c>
      <c r="L34" s="135">
        <v>0</v>
      </c>
      <c r="M34" s="135">
        <v>0</v>
      </c>
      <c r="N34" s="135">
        <v>0</v>
      </c>
      <c r="O34" s="135">
        <v>0</v>
      </c>
      <c r="P34" s="135">
        <v>0</v>
      </c>
      <c r="Q34" s="135">
        <v>0</v>
      </c>
      <c r="R34" s="135">
        <v>0</v>
      </c>
      <c r="S34" s="135">
        <v>1.4850000000000001</v>
      </c>
      <c r="T34" s="135">
        <v>17.786999999999999</v>
      </c>
      <c r="U34" s="135">
        <v>0.115</v>
      </c>
      <c r="V34" s="135">
        <v>1.4E-2</v>
      </c>
      <c r="W34" s="135">
        <v>0</v>
      </c>
      <c r="X34" s="135">
        <v>0</v>
      </c>
      <c r="Y34" s="135" t="s">
        <v>1995</v>
      </c>
      <c r="Z34" s="135">
        <v>3.2</v>
      </c>
      <c r="AA34" s="135">
        <v>3000</v>
      </c>
      <c r="AB34" s="135">
        <v>946.6</v>
      </c>
      <c r="AC34" s="135">
        <v>1.06</v>
      </c>
      <c r="AD34" s="135">
        <v>3.9</v>
      </c>
      <c r="AE34" s="135">
        <v>5000</v>
      </c>
      <c r="AF34" s="135">
        <v>1273.7</v>
      </c>
      <c r="AG34" s="135">
        <v>0.79</v>
      </c>
      <c r="AH34" s="135">
        <v>4</v>
      </c>
      <c r="AI34" s="135">
        <v>2500</v>
      </c>
      <c r="AJ34" s="135">
        <v>617.79999999999995</v>
      </c>
      <c r="AK34" s="135">
        <v>1.62</v>
      </c>
      <c r="AL34" s="135">
        <v>3.2</v>
      </c>
      <c r="AM34" s="135">
        <v>4500</v>
      </c>
      <c r="AN34" s="135">
        <v>1413.7</v>
      </c>
      <c r="AO34" s="135">
        <v>0.71</v>
      </c>
      <c r="AP34" s="135"/>
      <c r="AQ34" s="135"/>
      <c r="AR34" s="135"/>
      <c r="AS34" s="135"/>
      <c r="AT34" s="135"/>
      <c r="AU34" s="135"/>
      <c r="AV34" s="135"/>
      <c r="AW34" s="135"/>
      <c r="AX34" s="135">
        <v>3.2</v>
      </c>
      <c r="AY34" s="135">
        <v>10</v>
      </c>
      <c r="AZ34" s="135">
        <v>3.1</v>
      </c>
      <c r="BA34" s="135">
        <v>0.32</v>
      </c>
      <c r="BB34" s="135"/>
      <c r="BC34" s="135"/>
      <c r="BD34" s="135"/>
      <c r="BE34" s="135"/>
      <c r="BF34" s="135">
        <v>4</v>
      </c>
      <c r="BG34" s="135">
        <v>5000</v>
      </c>
      <c r="BH34" s="135">
        <v>1235.7</v>
      </c>
      <c r="BI34" s="135">
        <v>0.81</v>
      </c>
      <c r="BJ34" s="135">
        <v>44</v>
      </c>
      <c r="BK34" s="135">
        <v>-3</v>
      </c>
      <c r="BL34" s="135">
        <v>23.5</v>
      </c>
    </row>
    <row r="35" spans="1:64" x14ac:dyDescent="0.3">
      <c r="A35" s="135">
        <v>2016</v>
      </c>
      <c r="B35" s="135">
        <v>4</v>
      </c>
      <c r="C35" s="135" t="s">
        <v>2231</v>
      </c>
      <c r="D35" s="135" t="s">
        <v>364</v>
      </c>
      <c r="E35" s="135" t="s">
        <v>399</v>
      </c>
      <c r="F35" s="135" t="s">
        <v>28</v>
      </c>
      <c r="G35" s="135" t="s">
        <v>57</v>
      </c>
      <c r="H35" s="135">
        <v>12.07</v>
      </c>
      <c r="I35" s="135">
        <v>2.4089999999999998</v>
      </c>
      <c r="J35" s="135">
        <v>3.8530000000000002</v>
      </c>
      <c r="K35" s="135">
        <v>0</v>
      </c>
      <c r="L35" s="135">
        <v>0</v>
      </c>
      <c r="M35" s="135">
        <v>0</v>
      </c>
      <c r="N35" s="135">
        <v>0</v>
      </c>
      <c r="O35" s="135">
        <v>0</v>
      </c>
      <c r="P35" s="135">
        <v>0</v>
      </c>
      <c r="Q35" s="135">
        <v>0</v>
      </c>
      <c r="R35" s="135">
        <v>0</v>
      </c>
      <c r="S35" s="135">
        <v>1.444</v>
      </c>
      <c r="T35" s="135">
        <v>16.748000000000001</v>
      </c>
      <c r="U35" s="135">
        <v>0.126</v>
      </c>
      <c r="V35" s="135">
        <v>1.0999999999999999E-2</v>
      </c>
      <c r="W35" s="135">
        <v>0</v>
      </c>
      <c r="X35" s="135">
        <v>0</v>
      </c>
      <c r="Y35" s="135" t="s">
        <v>1995</v>
      </c>
      <c r="Z35" s="135">
        <v>3.1</v>
      </c>
      <c r="AA35" s="135">
        <v>3300</v>
      </c>
      <c r="AB35" s="135">
        <v>1057.8</v>
      </c>
      <c r="AC35" s="135">
        <v>0.95</v>
      </c>
      <c r="AD35" s="135">
        <v>3.9</v>
      </c>
      <c r="AE35" s="135">
        <v>5000</v>
      </c>
      <c r="AF35" s="135">
        <v>1297.8</v>
      </c>
      <c r="AG35" s="135">
        <v>0.77</v>
      </c>
      <c r="AH35" s="135">
        <v>4</v>
      </c>
      <c r="AI35" s="135">
        <v>2500</v>
      </c>
      <c r="AJ35" s="135">
        <v>630.6</v>
      </c>
      <c r="AK35" s="135">
        <v>1.59</v>
      </c>
      <c r="AL35" s="135">
        <v>3.1</v>
      </c>
      <c r="AM35" s="135">
        <v>4600</v>
      </c>
      <c r="AN35" s="135">
        <v>1469.3</v>
      </c>
      <c r="AO35" s="135">
        <v>0.68</v>
      </c>
      <c r="AP35" s="135"/>
      <c r="AQ35" s="135"/>
      <c r="AR35" s="135"/>
      <c r="AS35" s="135"/>
      <c r="AT35" s="135"/>
      <c r="AU35" s="135"/>
      <c r="AV35" s="135"/>
      <c r="AW35" s="135"/>
      <c r="AX35" s="135">
        <v>3.1</v>
      </c>
      <c r="AY35" s="135">
        <v>10</v>
      </c>
      <c r="AZ35" s="135">
        <v>3.2</v>
      </c>
      <c r="BA35" s="135">
        <v>0.31</v>
      </c>
      <c r="BB35" s="135"/>
      <c r="BC35" s="135"/>
      <c r="BD35" s="135"/>
      <c r="BE35" s="135"/>
      <c r="BF35" s="135">
        <v>4</v>
      </c>
      <c r="BG35" s="135">
        <v>5000</v>
      </c>
      <c r="BH35" s="135">
        <v>1261.3</v>
      </c>
      <c r="BI35" s="135">
        <v>0.79</v>
      </c>
      <c r="BJ35" s="135">
        <v>44.5</v>
      </c>
      <c r="BK35" s="135">
        <v>-7</v>
      </c>
      <c r="BL35" s="135">
        <v>25.75</v>
      </c>
    </row>
    <row r="36" spans="1:64" x14ac:dyDescent="0.3">
      <c r="A36" s="135">
        <v>2016</v>
      </c>
      <c r="B36" s="135">
        <v>4</v>
      </c>
      <c r="C36" s="135" t="s">
        <v>2241</v>
      </c>
      <c r="D36" s="135" t="s">
        <v>558</v>
      </c>
      <c r="E36" s="135" t="s">
        <v>399</v>
      </c>
      <c r="F36" s="135" t="s">
        <v>50</v>
      </c>
      <c r="G36" s="135" t="s">
        <v>22</v>
      </c>
      <c r="H36" s="135">
        <v>11.24</v>
      </c>
      <c r="I36" s="135">
        <v>2.21</v>
      </c>
      <c r="J36" s="135">
        <v>3.2469999999999999</v>
      </c>
      <c r="K36" s="135">
        <v>0</v>
      </c>
      <c r="L36" s="135">
        <v>0</v>
      </c>
      <c r="M36" s="135">
        <v>0</v>
      </c>
      <c r="N36" s="135">
        <v>0</v>
      </c>
      <c r="O36" s="135">
        <v>0</v>
      </c>
      <c r="P36" s="135">
        <v>0</v>
      </c>
      <c r="Q36" s="135">
        <v>0</v>
      </c>
      <c r="R36" s="135">
        <v>0</v>
      </c>
      <c r="S36" s="135">
        <v>1.0369999999999999</v>
      </c>
      <c r="T36" s="135">
        <v>19.061</v>
      </c>
      <c r="U36" s="135">
        <v>5.3999999999999999E-2</v>
      </c>
      <c r="V36" s="135">
        <v>0.01</v>
      </c>
      <c r="W36" s="135">
        <v>0</v>
      </c>
      <c r="X36" s="135">
        <v>0</v>
      </c>
      <c r="Y36" s="135" t="s">
        <v>1995</v>
      </c>
      <c r="Z36" s="135">
        <v>2.7</v>
      </c>
      <c r="AA36" s="135">
        <v>3800</v>
      </c>
      <c r="AB36" s="135">
        <v>1397.8</v>
      </c>
      <c r="AC36" s="135">
        <v>0.72</v>
      </c>
      <c r="AD36" s="135">
        <v>3.2</v>
      </c>
      <c r="AE36" s="135">
        <v>5000</v>
      </c>
      <c r="AF36" s="135">
        <v>1539.8</v>
      </c>
      <c r="AG36" s="135">
        <v>0.65</v>
      </c>
      <c r="AH36" s="135">
        <v>3.4</v>
      </c>
      <c r="AI36" s="135">
        <v>2500</v>
      </c>
      <c r="AJ36" s="135">
        <v>741.5</v>
      </c>
      <c r="AK36" s="135">
        <v>1.35</v>
      </c>
      <c r="AL36" s="135">
        <v>2.7</v>
      </c>
      <c r="AM36" s="135">
        <v>4500</v>
      </c>
      <c r="AN36" s="135">
        <v>1649.2</v>
      </c>
      <c r="AO36" s="135">
        <v>0.61</v>
      </c>
      <c r="AP36" s="135"/>
      <c r="AQ36" s="135"/>
      <c r="AR36" s="135"/>
      <c r="AS36" s="135"/>
      <c r="AT36" s="135"/>
      <c r="AU36" s="135"/>
      <c r="AV36" s="135"/>
      <c r="AW36" s="135"/>
      <c r="AX36" s="135">
        <v>2.7</v>
      </c>
      <c r="AY36" s="135">
        <v>10</v>
      </c>
      <c r="AZ36" s="135">
        <v>3.7</v>
      </c>
      <c r="BA36" s="135">
        <v>0.27</v>
      </c>
      <c r="BB36" s="135"/>
      <c r="BC36" s="135"/>
      <c r="BD36" s="135"/>
      <c r="BE36" s="135"/>
      <c r="BF36" s="135">
        <v>3.4</v>
      </c>
      <c r="BG36" s="135">
        <v>5000</v>
      </c>
      <c r="BH36" s="135">
        <v>1483</v>
      </c>
      <c r="BI36" s="135">
        <v>0.67</v>
      </c>
      <c r="BJ36" s="135">
        <v>50</v>
      </c>
      <c r="BK36" s="135">
        <v>3</v>
      </c>
      <c r="BL36" s="135">
        <v>23.5</v>
      </c>
    </row>
    <row r="37" spans="1:64" x14ac:dyDescent="0.3">
      <c r="A37" s="135">
        <v>2016</v>
      </c>
      <c r="B37" s="135">
        <v>4</v>
      </c>
      <c r="C37" s="135" t="s">
        <v>2228</v>
      </c>
      <c r="D37" s="135" t="s">
        <v>244</v>
      </c>
      <c r="E37" s="135" t="s">
        <v>399</v>
      </c>
      <c r="F37" s="135" t="s">
        <v>37</v>
      </c>
      <c r="G37" s="135" t="s">
        <v>2304</v>
      </c>
      <c r="H37" s="135">
        <v>3.55</v>
      </c>
      <c r="I37" s="135">
        <v>2.117</v>
      </c>
      <c r="J37" s="135">
        <v>3.7290000000000001</v>
      </c>
      <c r="K37" s="135">
        <v>0</v>
      </c>
      <c r="L37" s="135">
        <v>0</v>
      </c>
      <c r="M37" s="135">
        <v>0</v>
      </c>
      <c r="N37" s="135">
        <v>0</v>
      </c>
      <c r="O37" s="135">
        <v>0</v>
      </c>
      <c r="P37" s="135">
        <v>0</v>
      </c>
      <c r="Q37" s="135">
        <v>0</v>
      </c>
      <c r="R37" s="135">
        <v>0</v>
      </c>
      <c r="S37" s="135">
        <v>1.6120000000000001</v>
      </c>
      <c r="T37" s="135">
        <v>15.613</v>
      </c>
      <c r="U37" s="135">
        <v>9.9000000000000005E-2</v>
      </c>
      <c r="V37" s="135">
        <v>1.9E-2</v>
      </c>
      <c r="W37" s="135">
        <v>0</v>
      </c>
      <c r="X37" s="135">
        <v>0</v>
      </c>
      <c r="Y37" s="135" t="s">
        <v>1995</v>
      </c>
      <c r="Z37" s="135">
        <v>2.9</v>
      </c>
      <c r="AA37" s="135">
        <v>3500</v>
      </c>
      <c r="AB37" s="135">
        <v>1205.0999999999999</v>
      </c>
      <c r="AC37" s="135">
        <v>0.83</v>
      </c>
      <c r="AD37" s="135">
        <v>3.7</v>
      </c>
      <c r="AE37" s="135">
        <v>5000</v>
      </c>
      <c r="AF37" s="135">
        <v>1340.7</v>
      </c>
      <c r="AG37" s="135">
        <v>0.75</v>
      </c>
      <c r="AH37" s="135">
        <v>3.8</v>
      </c>
      <c r="AI37" s="135">
        <v>2600</v>
      </c>
      <c r="AJ37" s="135">
        <v>676.7</v>
      </c>
      <c r="AK37" s="135">
        <v>1.48</v>
      </c>
      <c r="AL37" s="135">
        <v>2.9</v>
      </c>
      <c r="AM37" s="135">
        <v>4700</v>
      </c>
      <c r="AN37" s="135">
        <v>1607.8</v>
      </c>
      <c r="AO37" s="135">
        <v>0.62</v>
      </c>
      <c r="AP37" s="135"/>
      <c r="AQ37" s="135"/>
      <c r="AR37" s="135"/>
      <c r="AS37" s="135"/>
      <c r="AT37" s="135"/>
      <c r="AU37" s="135"/>
      <c r="AV37" s="135"/>
      <c r="AW37" s="135"/>
      <c r="AX37" s="135">
        <v>2.9</v>
      </c>
      <c r="AY37" s="135">
        <v>10</v>
      </c>
      <c r="AZ37" s="135">
        <v>3.4</v>
      </c>
      <c r="BA37" s="135">
        <v>0.28999999999999998</v>
      </c>
      <c r="BB37" s="135"/>
      <c r="BC37" s="135"/>
      <c r="BD37" s="135"/>
      <c r="BE37" s="135"/>
      <c r="BF37" s="135">
        <v>3.8</v>
      </c>
      <c r="BG37" s="135">
        <v>5000</v>
      </c>
      <c r="BH37" s="135">
        <v>1301.4000000000001</v>
      </c>
      <c r="BI37" s="135">
        <v>0.77</v>
      </c>
      <c r="BJ37" s="135">
        <v>43.5</v>
      </c>
      <c r="BK37" s="135">
        <v>4</v>
      </c>
      <c r="BL37" s="135">
        <v>19.75</v>
      </c>
    </row>
    <row r="38" spans="1:64" x14ac:dyDescent="0.3">
      <c r="A38" s="135">
        <v>2016</v>
      </c>
      <c r="B38" s="135">
        <v>4</v>
      </c>
      <c r="C38" s="135" t="s">
        <v>2227</v>
      </c>
      <c r="D38" s="135" t="s">
        <v>551</v>
      </c>
      <c r="E38" s="135" t="s">
        <v>399</v>
      </c>
      <c r="F38" s="135" t="s">
        <v>43</v>
      </c>
      <c r="G38" s="135" t="s">
        <v>30</v>
      </c>
      <c r="H38" s="135">
        <v>2.35</v>
      </c>
      <c r="I38" s="135">
        <v>1.9790000000000001</v>
      </c>
      <c r="J38" s="135">
        <v>3.42</v>
      </c>
      <c r="K38" s="135">
        <v>0</v>
      </c>
      <c r="L38" s="135">
        <v>0</v>
      </c>
      <c r="M38" s="135">
        <v>0</v>
      </c>
      <c r="N38" s="135">
        <v>0</v>
      </c>
      <c r="O38" s="135">
        <v>0</v>
      </c>
      <c r="P38" s="135">
        <v>0</v>
      </c>
      <c r="Q38" s="135">
        <v>0</v>
      </c>
      <c r="R38" s="135">
        <v>0</v>
      </c>
      <c r="S38" s="135">
        <v>1.4410000000000001</v>
      </c>
      <c r="T38" s="135">
        <v>14.826000000000001</v>
      </c>
      <c r="U38" s="135">
        <v>8.6999999999999994E-2</v>
      </c>
      <c r="V38" s="135">
        <v>1.2999999999999999E-2</v>
      </c>
      <c r="W38" s="135">
        <v>0</v>
      </c>
      <c r="X38" s="135">
        <v>0</v>
      </c>
      <c r="Y38" s="135" t="s">
        <v>1995</v>
      </c>
      <c r="Z38" s="135">
        <v>2.7</v>
      </c>
      <c r="AA38" s="135">
        <v>3100</v>
      </c>
      <c r="AB38" s="135">
        <v>1154.0999999999999</v>
      </c>
      <c r="AC38" s="135">
        <v>0.87</v>
      </c>
      <c r="AD38" s="135">
        <v>3.4</v>
      </c>
      <c r="AE38" s="135">
        <v>5000</v>
      </c>
      <c r="AF38" s="135">
        <v>1462.2</v>
      </c>
      <c r="AG38" s="135">
        <v>0.68</v>
      </c>
      <c r="AH38" s="135">
        <v>3.5</v>
      </c>
      <c r="AI38" s="135">
        <v>2500</v>
      </c>
      <c r="AJ38" s="135">
        <v>709.9</v>
      </c>
      <c r="AK38" s="135">
        <v>1.41</v>
      </c>
      <c r="AL38" s="135">
        <v>2.7</v>
      </c>
      <c r="AM38" s="135">
        <v>4500</v>
      </c>
      <c r="AN38" s="135">
        <v>1667.2</v>
      </c>
      <c r="AO38" s="135">
        <v>0.6</v>
      </c>
      <c r="AP38" s="135"/>
      <c r="AQ38" s="135"/>
      <c r="AR38" s="135"/>
      <c r="AS38" s="135"/>
      <c r="AT38" s="135"/>
      <c r="AU38" s="135"/>
      <c r="AV38" s="135"/>
      <c r="AW38" s="135"/>
      <c r="AX38" s="135">
        <v>2.7</v>
      </c>
      <c r="AY38" s="135">
        <v>10</v>
      </c>
      <c r="AZ38" s="135">
        <v>3.7</v>
      </c>
      <c r="BA38" s="135">
        <v>0.27</v>
      </c>
      <c r="BB38" s="135"/>
      <c r="BC38" s="135"/>
      <c r="BD38" s="135"/>
      <c r="BE38" s="135"/>
      <c r="BF38" s="135">
        <v>3.5</v>
      </c>
      <c r="BG38" s="135">
        <v>5000</v>
      </c>
      <c r="BH38" s="135">
        <v>1419.8</v>
      </c>
      <c r="BI38" s="135">
        <v>0.7</v>
      </c>
      <c r="BJ38" s="135">
        <v>40.5</v>
      </c>
      <c r="BK38" s="135">
        <v>-6.5</v>
      </c>
      <c r="BL38" s="135">
        <v>23.5</v>
      </c>
    </row>
    <row r="39" spans="1:64" x14ac:dyDescent="0.3">
      <c r="A39" s="135">
        <v>2016</v>
      </c>
      <c r="B39" s="135">
        <v>4</v>
      </c>
      <c r="C39" s="135" t="s">
        <v>2230</v>
      </c>
      <c r="D39" s="135" t="s">
        <v>349</v>
      </c>
      <c r="E39" s="135" t="s">
        <v>399</v>
      </c>
      <c r="F39" s="135" t="s">
        <v>18</v>
      </c>
      <c r="G39" s="135" t="s">
        <v>14</v>
      </c>
      <c r="H39" s="135">
        <v>8.52</v>
      </c>
      <c r="I39" s="135">
        <v>1.92</v>
      </c>
      <c r="J39" s="135">
        <v>3.1349999999999998</v>
      </c>
      <c r="K39" s="135">
        <v>0</v>
      </c>
      <c r="L39" s="135">
        <v>0</v>
      </c>
      <c r="M39" s="135">
        <v>0</v>
      </c>
      <c r="N39" s="135">
        <v>0</v>
      </c>
      <c r="O39" s="135">
        <v>0</v>
      </c>
      <c r="P39" s="135">
        <v>0</v>
      </c>
      <c r="Q39" s="135">
        <v>0</v>
      </c>
      <c r="R39" s="135">
        <v>0</v>
      </c>
      <c r="S39" s="135">
        <v>1.2150000000000001</v>
      </c>
      <c r="T39" s="135">
        <v>15.901999999999999</v>
      </c>
      <c r="U39" s="135">
        <v>5.8000000000000003E-2</v>
      </c>
      <c r="V39" s="135">
        <v>8.9999999999999993E-3</v>
      </c>
      <c r="W39" s="135">
        <v>0</v>
      </c>
      <c r="X39" s="135">
        <v>0</v>
      </c>
      <c r="Y39" s="135" t="s">
        <v>1995</v>
      </c>
      <c r="Z39" s="135">
        <v>2.5</v>
      </c>
      <c r="AA39" s="135">
        <v>4000</v>
      </c>
      <c r="AB39" s="135">
        <v>1588.1</v>
      </c>
      <c r="AC39" s="135">
        <v>0.63</v>
      </c>
      <c r="AD39" s="135">
        <v>3.1</v>
      </c>
      <c r="AE39" s="135">
        <v>5000</v>
      </c>
      <c r="AF39" s="135">
        <v>1594.8</v>
      </c>
      <c r="AG39" s="135">
        <v>0.63</v>
      </c>
      <c r="AH39" s="135">
        <v>3.2</v>
      </c>
      <c r="AI39" s="135">
        <v>2500</v>
      </c>
      <c r="AJ39" s="135">
        <v>771.7</v>
      </c>
      <c r="AK39" s="135">
        <v>1.3</v>
      </c>
      <c r="AL39" s="135">
        <v>2.5</v>
      </c>
      <c r="AM39" s="135">
        <v>4500</v>
      </c>
      <c r="AN39" s="135">
        <v>1780.3</v>
      </c>
      <c r="AO39" s="135">
        <v>0.56000000000000005</v>
      </c>
      <c r="AP39" s="135"/>
      <c r="AQ39" s="135"/>
      <c r="AR39" s="135"/>
      <c r="AS39" s="135"/>
      <c r="AT39" s="135"/>
      <c r="AU39" s="135"/>
      <c r="AV39" s="135"/>
      <c r="AW39" s="135"/>
      <c r="AX39" s="135">
        <v>2.5</v>
      </c>
      <c r="AY39" s="135">
        <v>10</v>
      </c>
      <c r="AZ39" s="135">
        <v>4</v>
      </c>
      <c r="BA39" s="135">
        <v>0.25</v>
      </c>
      <c r="BB39" s="135"/>
      <c r="BC39" s="135"/>
      <c r="BD39" s="135"/>
      <c r="BE39" s="135"/>
      <c r="BF39" s="135">
        <v>3.2</v>
      </c>
      <c r="BG39" s="135">
        <v>5000</v>
      </c>
      <c r="BH39" s="135">
        <v>1543.4</v>
      </c>
      <c r="BI39" s="135">
        <v>0.65</v>
      </c>
      <c r="BJ39" s="135">
        <v>45.5</v>
      </c>
      <c r="BK39" s="135">
        <v>-8</v>
      </c>
      <c r="BL39" s="135">
        <v>26.75</v>
      </c>
    </row>
    <row r="40" spans="1:64" x14ac:dyDescent="0.3">
      <c r="A40" s="135">
        <v>2016</v>
      </c>
      <c r="B40" s="135">
        <v>4</v>
      </c>
      <c r="C40" s="135" t="s">
        <v>2222</v>
      </c>
      <c r="D40" s="135" t="s">
        <v>342</v>
      </c>
      <c r="E40" s="135" t="s">
        <v>399</v>
      </c>
      <c r="F40" s="135" t="s">
        <v>24</v>
      </c>
      <c r="G40" s="135" t="s">
        <v>409</v>
      </c>
      <c r="H40" s="135">
        <v>7.87</v>
      </c>
      <c r="I40" s="135">
        <v>1.8320000000000001</v>
      </c>
      <c r="J40" s="135">
        <v>3.71</v>
      </c>
      <c r="K40" s="135">
        <v>0</v>
      </c>
      <c r="L40" s="135">
        <v>0</v>
      </c>
      <c r="M40" s="135">
        <v>0</v>
      </c>
      <c r="N40" s="135">
        <v>0</v>
      </c>
      <c r="O40" s="135">
        <v>0</v>
      </c>
      <c r="P40" s="135">
        <v>0</v>
      </c>
      <c r="Q40" s="135">
        <v>0</v>
      </c>
      <c r="R40" s="135">
        <v>0</v>
      </c>
      <c r="S40" s="135">
        <v>1.8779999999999999</v>
      </c>
      <c r="T40" s="135">
        <v>14.481</v>
      </c>
      <c r="U40" s="135">
        <v>7.0000000000000007E-2</v>
      </c>
      <c r="V40" s="135">
        <v>1.7999999999999999E-2</v>
      </c>
      <c r="W40" s="135">
        <v>0</v>
      </c>
      <c r="X40" s="135">
        <v>0</v>
      </c>
      <c r="Y40" s="135" t="s">
        <v>1995</v>
      </c>
      <c r="Z40" s="135">
        <v>2.8</v>
      </c>
      <c r="AA40" s="135">
        <v>3400</v>
      </c>
      <c r="AB40" s="135">
        <v>1235</v>
      </c>
      <c r="AC40" s="135">
        <v>0.81</v>
      </c>
      <c r="AD40" s="135">
        <v>3.7</v>
      </c>
      <c r="AE40" s="135">
        <v>5000</v>
      </c>
      <c r="AF40" s="135">
        <v>1347.7</v>
      </c>
      <c r="AG40" s="135">
        <v>0.74</v>
      </c>
      <c r="AH40" s="135">
        <v>3.8</v>
      </c>
      <c r="AI40" s="135">
        <v>2500</v>
      </c>
      <c r="AJ40" s="135">
        <v>655.29999999999995</v>
      </c>
      <c r="AK40" s="135">
        <v>1.53</v>
      </c>
      <c r="AL40" s="135">
        <v>2.8</v>
      </c>
      <c r="AM40" s="135">
        <v>4700</v>
      </c>
      <c r="AN40" s="135">
        <v>1696.1</v>
      </c>
      <c r="AO40" s="135">
        <v>0.59</v>
      </c>
      <c r="AP40" s="135"/>
      <c r="AQ40" s="135"/>
      <c r="AR40" s="135"/>
      <c r="AS40" s="135"/>
      <c r="AT40" s="135"/>
      <c r="AU40" s="135"/>
      <c r="AV40" s="135"/>
      <c r="AW40" s="135"/>
      <c r="AX40" s="135">
        <v>2.8</v>
      </c>
      <c r="AY40" s="135">
        <v>10</v>
      </c>
      <c r="AZ40" s="135">
        <v>3.6</v>
      </c>
      <c r="BA40" s="135">
        <v>0.28000000000000003</v>
      </c>
      <c r="BB40" s="135"/>
      <c r="BC40" s="135"/>
      <c r="BD40" s="135"/>
      <c r="BE40" s="135"/>
      <c r="BF40" s="135">
        <v>3.8</v>
      </c>
      <c r="BG40" s="135">
        <v>5000</v>
      </c>
      <c r="BH40" s="135">
        <v>1310.5999999999999</v>
      </c>
      <c r="BI40" s="135">
        <v>0.76</v>
      </c>
      <c r="BJ40" s="135">
        <v>43</v>
      </c>
      <c r="BK40" s="135">
        <v>-8</v>
      </c>
      <c r="BL40" s="135">
        <v>25.5</v>
      </c>
    </row>
    <row r="41" spans="1:64" x14ac:dyDescent="0.3">
      <c r="A41" s="135">
        <v>2016</v>
      </c>
      <c r="B41" s="135">
        <v>4</v>
      </c>
      <c r="C41" s="135" t="s">
        <v>2226</v>
      </c>
      <c r="D41" s="135" t="s">
        <v>352</v>
      </c>
      <c r="E41" s="135" t="s">
        <v>399</v>
      </c>
      <c r="F41" s="135" t="s">
        <v>24</v>
      </c>
      <c r="G41" s="135" t="s">
        <v>409</v>
      </c>
      <c r="H41" s="135">
        <v>7.87</v>
      </c>
      <c r="I41" s="135">
        <v>1.589</v>
      </c>
      <c r="J41" s="135">
        <v>2.9140000000000001</v>
      </c>
      <c r="K41" s="135">
        <v>0</v>
      </c>
      <c r="L41" s="135">
        <v>0</v>
      </c>
      <c r="M41" s="135">
        <v>0</v>
      </c>
      <c r="N41" s="135">
        <v>0</v>
      </c>
      <c r="O41" s="135">
        <v>0</v>
      </c>
      <c r="P41" s="135">
        <v>0</v>
      </c>
      <c r="Q41" s="135">
        <v>0</v>
      </c>
      <c r="R41" s="135">
        <v>0</v>
      </c>
      <c r="S41" s="135">
        <v>1.325</v>
      </c>
      <c r="T41" s="135">
        <v>13.032999999999999</v>
      </c>
      <c r="U41" s="135">
        <v>5.1999999999999998E-2</v>
      </c>
      <c r="V41" s="135">
        <v>1.2999999999999999E-2</v>
      </c>
      <c r="W41" s="135">
        <v>0</v>
      </c>
      <c r="X41" s="135">
        <v>0</v>
      </c>
      <c r="Y41" s="135" t="s">
        <v>1995</v>
      </c>
      <c r="Z41" s="135">
        <v>2.2000000000000002</v>
      </c>
      <c r="AA41" s="135">
        <v>3800</v>
      </c>
      <c r="AB41" s="135">
        <v>1697.3</v>
      </c>
      <c r="AC41" s="135">
        <v>0.59</v>
      </c>
      <c r="AD41" s="135">
        <v>2.9</v>
      </c>
      <c r="AE41" s="135">
        <v>5000</v>
      </c>
      <c r="AF41" s="135">
        <v>1715.7</v>
      </c>
      <c r="AG41" s="135">
        <v>0.57999999999999996</v>
      </c>
      <c r="AH41" s="135">
        <v>3</v>
      </c>
      <c r="AI41" s="135">
        <v>2500</v>
      </c>
      <c r="AJ41" s="135">
        <v>831.8</v>
      </c>
      <c r="AK41" s="135">
        <v>1.2</v>
      </c>
      <c r="AL41" s="135">
        <v>2.2999999999999998</v>
      </c>
      <c r="AM41" s="135">
        <v>4500</v>
      </c>
      <c r="AN41" s="135">
        <v>1998.4</v>
      </c>
      <c r="AO41" s="135">
        <v>0.5</v>
      </c>
      <c r="AP41" s="135"/>
      <c r="AQ41" s="135"/>
      <c r="AR41" s="135"/>
      <c r="AS41" s="135"/>
      <c r="AT41" s="135"/>
      <c r="AU41" s="135"/>
      <c r="AV41" s="135"/>
      <c r="AW41" s="135"/>
      <c r="AX41" s="135">
        <v>2.2999999999999998</v>
      </c>
      <c r="AY41" s="135">
        <v>10</v>
      </c>
      <c r="AZ41" s="135">
        <v>4.4000000000000004</v>
      </c>
      <c r="BA41" s="135">
        <v>0.23</v>
      </c>
      <c r="BB41" s="135"/>
      <c r="BC41" s="135"/>
      <c r="BD41" s="135"/>
      <c r="BE41" s="135"/>
      <c r="BF41" s="135">
        <v>3</v>
      </c>
      <c r="BG41" s="135">
        <v>5000</v>
      </c>
      <c r="BH41" s="135">
        <v>1663.6</v>
      </c>
      <c r="BI41" s="135">
        <v>0.6</v>
      </c>
      <c r="BJ41" s="135">
        <v>43</v>
      </c>
      <c r="BK41" s="135">
        <v>-8</v>
      </c>
      <c r="BL41" s="135">
        <v>25.5</v>
      </c>
    </row>
    <row r="42" spans="1:64" x14ac:dyDescent="0.3">
      <c r="A42" s="135">
        <v>2016</v>
      </c>
      <c r="B42" s="135">
        <v>4</v>
      </c>
      <c r="C42" s="135" t="s">
        <v>2583</v>
      </c>
      <c r="D42" s="135" t="s">
        <v>535</v>
      </c>
      <c r="E42" s="135" t="s">
        <v>399</v>
      </c>
      <c r="F42" s="135" t="s">
        <v>407</v>
      </c>
      <c r="G42" s="135" t="s">
        <v>404</v>
      </c>
      <c r="H42" s="135">
        <v>0.37</v>
      </c>
      <c r="I42" s="135">
        <v>1.5309999999999999</v>
      </c>
      <c r="J42" s="135">
        <v>2.5819999999999999</v>
      </c>
      <c r="K42" s="135">
        <v>0</v>
      </c>
      <c r="L42" s="135">
        <v>0</v>
      </c>
      <c r="M42" s="135">
        <v>0</v>
      </c>
      <c r="N42" s="135">
        <v>0</v>
      </c>
      <c r="O42" s="135">
        <v>0</v>
      </c>
      <c r="P42" s="135">
        <v>0</v>
      </c>
      <c r="Q42" s="135">
        <v>0</v>
      </c>
      <c r="R42" s="135">
        <v>0</v>
      </c>
      <c r="S42" s="135">
        <v>1.0509999999999999</v>
      </c>
      <c r="T42" s="135">
        <v>9.093</v>
      </c>
      <c r="U42" s="135">
        <v>0.106</v>
      </c>
      <c r="V42" s="135">
        <v>7.0000000000000001E-3</v>
      </c>
      <c r="W42" s="135">
        <v>0</v>
      </c>
      <c r="X42" s="135">
        <v>0</v>
      </c>
      <c r="Y42" s="135" t="s">
        <v>1995</v>
      </c>
      <c r="Z42" s="135">
        <v>2</v>
      </c>
      <c r="AA42" s="135">
        <v>3000</v>
      </c>
      <c r="AB42" s="135">
        <v>1463.6</v>
      </c>
      <c r="AC42" s="135">
        <v>0.68</v>
      </c>
      <c r="AD42" s="135">
        <v>2.6</v>
      </c>
      <c r="AE42" s="135">
        <v>5000</v>
      </c>
      <c r="AF42" s="135">
        <v>1936.3</v>
      </c>
      <c r="AG42" s="135">
        <v>0.52</v>
      </c>
      <c r="AH42" s="135">
        <v>2.6</v>
      </c>
      <c r="AI42" s="135">
        <v>2500</v>
      </c>
      <c r="AJ42" s="135">
        <v>945.6</v>
      </c>
      <c r="AK42" s="135">
        <v>1.06</v>
      </c>
      <c r="AL42" s="135">
        <v>2.1</v>
      </c>
      <c r="AM42" s="135">
        <v>4500</v>
      </c>
      <c r="AN42" s="135">
        <v>2187.9</v>
      </c>
      <c r="AO42" s="135">
        <v>0.46</v>
      </c>
      <c r="AP42" s="135"/>
      <c r="AQ42" s="135"/>
      <c r="AR42" s="135"/>
      <c r="AS42" s="135"/>
      <c r="AT42" s="135"/>
      <c r="AU42" s="135"/>
      <c r="AV42" s="135"/>
      <c r="AW42" s="135"/>
      <c r="AX42" s="135">
        <v>2.1</v>
      </c>
      <c r="AY42" s="135">
        <v>10</v>
      </c>
      <c r="AZ42" s="135">
        <v>4.9000000000000004</v>
      </c>
      <c r="BA42" s="135">
        <v>0.21</v>
      </c>
      <c r="BB42" s="135"/>
      <c r="BC42" s="135"/>
      <c r="BD42" s="135"/>
      <c r="BE42" s="135"/>
      <c r="BF42" s="135">
        <v>2.6</v>
      </c>
      <c r="BG42" s="135">
        <v>5000</v>
      </c>
      <c r="BH42" s="135">
        <v>1891.2</v>
      </c>
      <c r="BI42" s="135">
        <v>0.53</v>
      </c>
      <c r="BJ42" s="135">
        <v>53.5</v>
      </c>
      <c r="BK42" s="135">
        <v>-4</v>
      </c>
      <c r="BL42" s="135">
        <v>28.75</v>
      </c>
    </row>
    <row r="43" spans="1:64" x14ac:dyDescent="0.3">
      <c r="A43" s="135">
        <v>2016</v>
      </c>
      <c r="B43" s="135">
        <v>4</v>
      </c>
      <c r="C43" s="135" t="s">
        <v>2233</v>
      </c>
      <c r="D43" s="135" t="s">
        <v>374</v>
      </c>
      <c r="E43" s="135" t="s">
        <v>399</v>
      </c>
      <c r="F43" s="135" t="s">
        <v>397</v>
      </c>
      <c r="G43" s="135" t="s">
        <v>2307</v>
      </c>
      <c r="H43" s="135">
        <v>6.49</v>
      </c>
      <c r="I43" s="135">
        <v>1.41</v>
      </c>
      <c r="J43" s="135">
        <v>2.427</v>
      </c>
      <c r="K43" s="135">
        <v>0</v>
      </c>
      <c r="L43" s="135">
        <v>0</v>
      </c>
      <c r="M43" s="135">
        <v>0</v>
      </c>
      <c r="N43" s="135">
        <v>0</v>
      </c>
      <c r="O43" s="135">
        <v>0</v>
      </c>
      <c r="P43" s="135">
        <v>0</v>
      </c>
      <c r="Q43" s="135">
        <v>0</v>
      </c>
      <c r="R43" s="135">
        <v>0</v>
      </c>
      <c r="S43" s="135">
        <v>1.0169999999999999</v>
      </c>
      <c r="T43" s="135">
        <v>10.579000000000001</v>
      </c>
      <c r="U43" s="135">
        <v>6.2E-2</v>
      </c>
      <c r="V43" s="135">
        <v>0.01</v>
      </c>
      <c r="W43" s="135">
        <v>0</v>
      </c>
      <c r="X43" s="135">
        <v>0</v>
      </c>
      <c r="Y43" s="135" t="s">
        <v>1995</v>
      </c>
      <c r="Z43" s="135">
        <v>1.9</v>
      </c>
      <c r="AA43" s="135">
        <v>3200</v>
      </c>
      <c r="AB43" s="135">
        <v>1676.8</v>
      </c>
      <c r="AC43" s="135">
        <v>0.6</v>
      </c>
      <c r="AD43" s="135">
        <v>2.4</v>
      </c>
      <c r="AE43" s="135">
        <v>5000</v>
      </c>
      <c r="AF43" s="135">
        <v>2060.1999999999998</v>
      </c>
      <c r="AG43" s="135">
        <v>0.49</v>
      </c>
      <c r="AH43" s="135">
        <v>2.5</v>
      </c>
      <c r="AI43" s="135">
        <v>2500</v>
      </c>
      <c r="AJ43" s="135">
        <v>999.9</v>
      </c>
      <c r="AK43" s="135">
        <v>1</v>
      </c>
      <c r="AL43" s="135">
        <v>1.9</v>
      </c>
      <c r="AM43" s="135">
        <v>4500</v>
      </c>
      <c r="AN43" s="135">
        <v>2345.6999999999998</v>
      </c>
      <c r="AO43" s="135">
        <v>0.43</v>
      </c>
      <c r="AP43" s="135"/>
      <c r="AQ43" s="135"/>
      <c r="AR43" s="135"/>
      <c r="AS43" s="135"/>
      <c r="AT43" s="135"/>
      <c r="AU43" s="135"/>
      <c r="AV43" s="135"/>
      <c r="AW43" s="135"/>
      <c r="AX43" s="135">
        <v>1.9</v>
      </c>
      <c r="AY43" s="135">
        <v>10</v>
      </c>
      <c r="AZ43" s="135">
        <v>5.2</v>
      </c>
      <c r="BA43" s="135">
        <v>0.19</v>
      </c>
      <c r="BB43" s="135"/>
      <c r="BC43" s="135"/>
      <c r="BD43" s="135"/>
      <c r="BE43" s="135"/>
      <c r="BF43" s="135">
        <v>2.5</v>
      </c>
      <c r="BG43" s="135">
        <v>5000</v>
      </c>
      <c r="BH43" s="135">
        <v>1999.7</v>
      </c>
      <c r="BI43" s="135">
        <v>0.5</v>
      </c>
      <c r="BJ43" s="135">
        <v>47.5</v>
      </c>
      <c r="BK43" s="135">
        <v>5.5</v>
      </c>
      <c r="BL43" s="135">
        <v>21</v>
      </c>
    </row>
    <row r="44" spans="1:64" x14ac:dyDescent="0.3">
      <c r="A44" s="135">
        <v>2016</v>
      </c>
      <c r="B44" s="135">
        <v>4</v>
      </c>
      <c r="C44" s="135" t="s">
        <v>2235</v>
      </c>
      <c r="D44" s="135" t="s">
        <v>1255</v>
      </c>
      <c r="E44" s="135" t="s">
        <v>399</v>
      </c>
      <c r="F44" s="135" t="s">
        <v>46</v>
      </c>
      <c r="G44" s="135" t="s">
        <v>26</v>
      </c>
      <c r="H44" s="135">
        <v>18.64</v>
      </c>
      <c r="I44" s="135">
        <v>1.2649999999999999</v>
      </c>
      <c r="J44" s="135">
        <v>2.2210000000000001</v>
      </c>
      <c r="K44" s="135">
        <v>0</v>
      </c>
      <c r="L44" s="135">
        <v>0</v>
      </c>
      <c r="M44" s="135">
        <v>0</v>
      </c>
      <c r="N44" s="135">
        <v>0</v>
      </c>
      <c r="O44" s="135">
        <v>0</v>
      </c>
      <c r="P44" s="135">
        <v>0</v>
      </c>
      <c r="Q44" s="135">
        <v>0</v>
      </c>
      <c r="R44" s="135">
        <v>0</v>
      </c>
      <c r="S44" s="135">
        <v>0.95599999999999996</v>
      </c>
      <c r="T44" s="135">
        <v>9.0090000000000003</v>
      </c>
      <c r="U44" s="135">
        <v>6.4000000000000001E-2</v>
      </c>
      <c r="V44" s="135">
        <v>0.01</v>
      </c>
      <c r="W44" s="135">
        <v>0</v>
      </c>
      <c r="X44" s="135">
        <v>0</v>
      </c>
      <c r="Y44" s="135" t="s">
        <v>1995</v>
      </c>
      <c r="Z44" s="135">
        <v>1.7</v>
      </c>
      <c r="AA44" s="135">
        <v>3000</v>
      </c>
      <c r="AB44" s="135">
        <v>1731.2</v>
      </c>
      <c r="AC44" s="135">
        <v>0.57999999999999996</v>
      </c>
      <c r="AD44" s="135">
        <v>2.2000000000000002</v>
      </c>
      <c r="AE44" s="135">
        <v>5000</v>
      </c>
      <c r="AF44" s="135">
        <v>2251.3000000000002</v>
      </c>
      <c r="AG44" s="135">
        <v>0.44</v>
      </c>
      <c r="AH44" s="135">
        <v>2.2999999999999998</v>
      </c>
      <c r="AI44" s="135">
        <v>2500</v>
      </c>
      <c r="AJ44" s="135">
        <v>1094.0999999999999</v>
      </c>
      <c r="AK44" s="135">
        <v>0.91</v>
      </c>
      <c r="AL44" s="135">
        <v>1.7</v>
      </c>
      <c r="AM44" s="135">
        <v>4500</v>
      </c>
      <c r="AN44" s="135">
        <v>2581.9</v>
      </c>
      <c r="AO44" s="135">
        <v>0.39</v>
      </c>
      <c r="AP44" s="135"/>
      <c r="AQ44" s="135"/>
      <c r="AR44" s="135"/>
      <c r="AS44" s="135"/>
      <c r="AT44" s="135"/>
      <c r="AU44" s="135"/>
      <c r="AV44" s="135"/>
      <c r="AW44" s="135"/>
      <c r="AX44" s="135">
        <v>1.7</v>
      </c>
      <c r="AY44" s="135">
        <v>10</v>
      </c>
      <c r="AZ44" s="135">
        <v>5.7</v>
      </c>
      <c r="BA44" s="135">
        <v>0.17</v>
      </c>
      <c r="BB44" s="135"/>
      <c r="BC44" s="135"/>
      <c r="BD44" s="135"/>
      <c r="BE44" s="135"/>
      <c r="BF44" s="135">
        <v>2.2999999999999998</v>
      </c>
      <c r="BG44" s="135">
        <v>5000</v>
      </c>
      <c r="BH44" s="135">
        <v>2188.1999999999998</v>
      </c>
      <c r="BI44" s="135">
        <v>0.46</v>
      </c>
      <c r="BJ44" s="135">
        <v>46.5</v>
      </c>
      <c r="BK44" s="135">
        <v>3</v>
      </c>
      <c r="BL44" s="135">
        <v>21.75</v>
      </c>
    </row>
    <row r="45" spans="1:64" x14ac:dyDescent="0.3">
      <c r="A45" s="135">
        <v>2016</v>
      </c>
      <c r="B45" s="135">
        <v>4</v>
      </c>
      <c r="C45" s="135" t="s">
        <v>2234</v>
      </c>
      <c r="D45" s="135" t="s">
        <v>367</v>
      </c>
      <c r="E45" s="135" t="s">
        <v>399</v>
      </c>
      <c r="F45" s="135" t="s">
        <v>4</v>
      </c>
      <c r="G45" s="135" t="s">
        <v>2297</v>
      </c>
      <c r="H45" s="135">
        <v>3.55</v>
      </c>
      <c r="I45" s="135">
        <v>1.206</v>
      </c>
      <c r="J45" s="135">
        <v>2.343</v>
      </c>
      <c r="K45" s="135">
        <v>0</v>
      </c>
      <c r="L45" s="135">
        <v>0</v>
      </c>
      <c r="M45" s="135">
        <v>0</v>
      </c>
      <c r="N45" s="135">
        <v>0</v>
      </c>
      <c r="O45" s="135">
        <v>0</v>
      </c>
      <c r="P45" s="135">
        <v>0</v>
      </c>
      <c r="Q45" s="135">
        <v>0</v>
      </c>
      <c r="R45" s="135">
        <v>0</v>
      </c>
      <c r="S45" s="135">
        <v>1.137</v>
      </c>
      <c r="T45" s="135">
        <v>7.9009999999999998</v>
      </c>
      <c r="U45" s="135">
        <v>7.2999999999999995E-2</v>
      </c>
      <c r="V45" s="135">
        <v>1.0999999999999999E-2</v>
      </c>
      <c r="W45" s="135">
        <v>0</v>
      </c>
      <c r="X45" s="135">
        <v>0</v>
      </c>
      <c r="Y45" s="135" t="s">
        <v>1995</v>
      </c>
      <c r="Z45" s="135">
        <v>1.8</v>
      </c>
      <c r="AA45" s="135">
        <v>3000</v>
      </c>
      <c r="AB45" s="135">
        <v>1701.1</v>
      </c>
      <c r="AC45" s="135">
        <v>0.59</v>
      </c>
      <c r="AD45" s="135">
        <v>2.2999999999999998</v>
      </c>
      <c r="AE45" s="135">
        <v>5000</v>
      </c>
      <c r="AF45" s="135">
        <v>2133.9</v>
      </c>
      <c r="AG45" s="135">
        <v>0.47</v>
      </c>
      <c r="AH45" s="135">
        <v>2.4</v>
      </c>
      <c r="AI45" s="135">
        <v>2500</v>
      </c>
      <c r="AJ45" s="135">
        <v>1041</v>
      </c>
      <c r="AK45" s="135">
        <v>0.96</v>
      </c>
      <c r="AL45" s="135">
        <v>1.8</v>
      </c>
      <c r="AM45" s="135">
        <v>4500</v>
      </c>
      <c r="AN45" s="135">
        <v>2535.8000000000002</v>
      </c>
      <c r="AO45" s="135">
        <v>0.39</v>
      </c>
      <c r="AP45" s="135"/>
      <c r="AQ45" s="135"/>
      <c r="AR45" s="135"/>
      <c r="AS45" s="135"/>
      <c r="AT45" s="135"/>
      <c r="AU45" s="135"/>
      <c r="AV45" s="135"/>
      <c r="AW45" s="135"/>
      <c r="AX45" s="135">
        <v>1.8</v>
      </c>
      <c r="AY45" s="135">
        <v>10</v>
      </c>
      <c r="AZ45" s="135">
        <v>5.6</v>
      </c>
      <c r="BA45" s="135">
        <v>0.18</v>
      </c>
      <c r="BB45" s="135"/>
      <c r="BC45" s="135"/>
      <c r="BD45" s="135"/>
      <c r="BE45" s="135"/>
      <c r="BF45" s="135">
        <v>2.4</v>
      </c>
      <c r="BG45" s="135">
        <v>5000</v>
      </c>
      <c r="BH45" s="135">
        <v>2082</v>
      </c>
      <c r="BI45" s="135">
        <v>0.48</v>
      </c>
      <c r="BJ45" s="135">
        <v>46.5</v>
      </c>
      <c r="BK45" s="135">
        <v>3.5</v>
      </c>
      <c r="BL45" s="135">
        <v>21.5</v>
      </c>
    </row>
    <row r="46" spans="1:64" x14ac:dyDescent="0.3">
      <c r="A46" s="135">
        <v>2016</v>
      </c>
      <c r="B46" s="135">
        <v>4</v>
      </c>
      <c r="C46" s="135" t="s">
        <v>2237</v>
      </c>
      <c r="D46" s="135" t="s">
        <v>769</v>
      </c>
      <c r="E46" s="135" t="s">
        <v>399</v>
      </c>
      <c r="F46" s="135" t="s">
        <v>409</v>
      </c>
      <c r="G46" s="135" t="s">
        <v>2295</v>
      </c>
      <c r="H46" s="135">
        <v>-0.6</v>
      </c>
      <c r="I46" s="135">
        <v>1.135</v>
      </c>
      <c r="J46" s="135">
        <v>1.704</v>
      </c>
      <c r="K46" s="135">
        <v>0</v>
      </c>
      <c r="L46" s="135">
        <v>0</v>
      </c>
      <c r="M46" s="135">
        <v>0</v>
      </c>
      <c r="N46" s="135">
        <v>0</v>
      </c>
      <c r="O46" s="135">
        <v>0</v>
      </c>
      <c r="P46" s="135">
        <v>0</v>
      </c>
      <c r="Q46" s="135">
        <v>0</v>
      </c>
      <c r="R46" s="135">
        <v>0</v>
      </c>
      <c r="S46" s="135">
        <v>0.56899999999999995</v>
      </c>
      <c r="T46" s="135">
        <v>8.4120000000000008</v>
      </c>
      <c r="U46" s="135">
        <v>5.0999999999999997E-2</v>
      </c>
      <c r="V46" s="135">
        <v>6.0000000000000001E-3</v>
      </c>
      <c r="W46" s="135">
        <v>0</v>
      </c>
      <c r="X46" s="135">
        <v>0</v>
      </c>
      <c r="Y46" s="135" t="s">
        <v>1995</v>
      </c>
      <c r="Z46" s="135">
        <v>1.4</v>
      </c>
      <c r="AA46" s="135">
        <v>3500</v>
      </c>
      <c r="AB46" s="135">
        <v>2475.8000000000002</v>
      </c>
      <c r="AC46" s="135">
        <v>0.4</v>
      </c>
      <c r="AD46" s="135">
        <v>1.7</v>
      </c>
      <c r="AE46" s="135">
        <v>5000</v>
      </c>
      <c r="AF46" s="135">
        <v>2933.9</v>
      </c>
      <c r="AG46" s="135">
        <v>0.34</v>
      </c>
      <c r="AH46" s="135">
        <v>1.8</v>
      </c>
      <c r="AI46" s="135">
        <v>2500</v>
      </c>
      <c r="AJ46" s="135">
        <v>1419.9</v>
      </c>
      <c r="AK46" s="135">
        <v>0.7</v>
      </c>
      <c r="AL46" s="135">
        <v>1.4</v>
      </c>
      <c r="AM46" s="135">
        <v>4500</v>
      </c>
      <c r="AN46" s="135">
        <v>3169.7</v>
      </c>
      <c r="AO46" s="135">
        <v>0.32</v>
      </c>
      <c r="AP46" s="135"/>
      <c r="AQ46" s="135"/>
      <c r="AR46" s="135"/>
      <c r="AS46" s="135"/>
      <c r="AT46" s="135"/>
      <c r="AU46" s="135"/>
      <c r="AV46" s="135"/>
      <c r="AW46" s="135"/>
      <c r="AX46" s="135">
        <v>1.4</v>
      </c>
      <c r="AY46" s="135">
        <v>10</v>
      </c>
      <c r="AZ46" s="135">
        <v>7</v>
      </c>
      <c r="BA46" s="135">
        <v>0.14000000000000001</v>
      </c>
      <c r="BB46" s="135"/>
      <c r="BC46" s="135"/>
      <c r="BD46" s="135"/>
      <c r="BE46" s="135"/>
      <c r="BF46" s="135">
        <v>1.8</v>
      </c>
      <c r="BG46" s="135">
        <v>5000</v>
      </c>
      <c r="BH46" s="135">
        <v>2839.8</v>
      </c>
      <c r="BI46" s="135">
        <v>0.35</v>
      </c>
      <c r="BJ46" s="135">
        <v>43</v>
      </c>
      <c r="BK46" s="135">
        <v>8</v>
      </c>
      <c r="BL46" s="135">
        <v>17.5</v>
      </c>
    </row>
    <row r="47" spans="1:64" x14ac:dyDescent="0.3">
      <c r="A47" s="135">
        <v>2016</v>
      </c>
      <c r="B47" s="135">
        <v>4</v>
      </c>
      <c r="C47" s="135" t="s">
        <v>2584</v>
      </c>
      <c r="D47" s="135" t="s">
        <v>378</v>
      </c>
      <c r="E47" s="135" t="s">
        <v>399</v>
      </c>
      <c r="F47" s="135" t="s">
        <v>10</v>
      </c>
      <c r="G47" s="135" t="s">
        <v>1992</v>
      </c>
      <c r="H47" s="135">
        <v>11.8</v>
      </c>
      <c r="I47" s="135">
        <v>1.107</v>
      </c>
      <c r="J47" s="135">
        <v>1.9059999999999999</v>
      </c>
      <c r="K47" s="135">
        <v>0</v>
      </c>
      <c r="L47" s="135">
        <v>0</v>
      </c>
      <c r="M47" s="135">
        <v>0</v>
      </c>
      <c r="N47" s="135">
        <v>0</v>
      </c>
      <c r="O47" s="135">
        <v>0</v>
      </c>
      <c r="P47" s="135">
        <v>0</v>
      </c>
      <c r="Q47" s="135">
        <v>0</v>
      </c>
      <c r="R47" s="135">
        <v>0</v>
      </c>
      <c r="S47" s="135">
        <v>0.79900000000000004</v>
      </c>
      <c r="T47" s="135">
        <v>8.5079999999999991</v>
      </c>
      <c r="U47" s="135">
        <v>4.5999999999999999E-2</v>
      </c>
      <c r="V47" s="135">
        <v>0.01</v>
      </c>
      <c r="W47" s="135">
        <v>0</v>
      </c>
      <c r="X47" s="135">
        <v>0</v>
      </c>
      <c r="Y47" s="135" t="s">
        <v>1995</v>
      </c>
      <c r="Z47" s="135">
        <v>1.5</v>
      </c>
      <c r="AA47" s="135">
        <v>3000</v>
      </c>
      <c r="AB47" s="135">
        <v>2004.9</v>
      </c>
      <c r="AC47" s="135">
        <v>0.5</v>
      </c>
      <c r="AD47" s="135">
        <v>1.9</v>
      </c>
      <c r="AE47" s="135">
        <v>5000</v>
      </c>
      <c r="AF47" s="135">
        <v>2623.6</v>
      </c>
      <c r="AG47" s="135">
        <v>0.38</v>
      </c>
      <c r="AH47" s="135">
        <v>2</v>
      </c>
      <c r="AI47" s="135">
        <v>2500</v>
      </c>
      <c r="AJ47" s="135">
        <v>1271.0999999999999</v>
      </c>
      <c r="AK47" s="135">
        <v>0.79</v>
      </c>
      <c r="AL47" s="135">
        <v>1.5</v>
      </c>
      <c r="AM47" s="135">
        <v>4500</v>
      </c>
      <c r="AN47" s="135">
        <v>2987.5</v>
      </c>
      <c r="AO47" s="135">
        <v>0.33</v>
      </c>
      <c r="AP47" s="135"/>
      <c r="AQ47" s="135"/>
      <c r="AR47" s="135"/>
      <c r="AS47" s="135"/>
      <c r="AT47" s="135"/>
      <c r="AU47" s="135"/>
      <c r="AV47" s="135"/>
      <c r="AW47" s="135"/>
      <c r="AX47" s="135">
        <v>1.5</v>
      </c>
      <c r="AY47" s="135">
        <v>10</v>
      </c>
      <c r="AZ47" s="135">
        <v>6.6</v>
      </c>
      <c r="BA47" s="135">
        <v>0.15</v>
      </c>
      <c r="BB47" s="135"/>
      <c r="BC47" s="135"/>
      <c r="BD47" s="135"/>
      <c r="BE47" s="135"/>
      <c r="BF47" s="135">
        <v>2</v>
      </c>
      <c r="BG47" s="135">
        <v>5000</v>
      </c>
      <c r="BH47" s="135">
        <v>2542.1</v>
      </c>
      <c r="BI47" s="135">
        <v>0.39</v>
      </c>
      <c r="BJ47" s="135">
        <v>44</v>
      </c>
      <c r="BK47" s="135">
        <v>4.5</v>
      </c>
      <c r="BL47" s="135">
        <v>19.75</v>
      </c>
    </row>
    <row r="48" spans="1:64" x14ac:dyDescent="0.3">
      <c r="A48" s="135">
        <v>2016</v>
      </c>
      <c r="B48" s="135">
        <v>4</v>
      </c>
      <c r="C48" s="135" t="s">
        <v>2585</v>
      </c>
      <c r="D48" s="135" t="s">
        <v>531</v>
      </c>
      <c r="E48" s="135" t="s">
        <v>399</v>
      </c>
      <c r="F48" s="135" t="s">
        <v>30</v>
      </c>
      <c r="G48" s="135" t="s">
        <v>2302</v>
      </c>
      <c r="H48" s="135">
        <v>-2.06</v>
      </c>
      <c r="I48" s="135">
        <v>1.079</v>
      </c>
      <c r="J48" s="135">
        <v>1.9670000000000001</v>
      </c>
      <c r="K48" s="135">
        <v>0</v>
      </c>
      <c r="L48" s="135">
        <v>0</v>
      </c>
      <c r="M48" s="135">
        <v>0</v>
      </c>
      <c r="N48" s="135">
        <v>0</v>
      </c>
      <c r="O48" s="135">
        <v>0</v>
      </c>
      <c r="P48" s="135">
        <v>0</v>
      </c>
      <c r="Q48" s="135">
        <v>0</v>
      </c>
      <c r="R48" s="135">
        <v>0</v>
      </c>
      <c r="S48" s="135">
        <v>0.88800000000000001</v>
      </c>
      <c r="T48" s="135">
        <v>10.372999999999999</v>
      </c>
      <c r="U48" s="135">
        <v>0.01</v>
      </c>
      <c r="V48" s="135">
        <v>8.9999999999999993E-3</v>
      </c>
      <c r="W48" s="135">
        <v>0</v>
      </c>
      <c r="X48" s="135">
        <v>0</v>
      </c>
      <c r="Y48" s="135" t="s">
        <v>1995</v>
      </c>
      <c r="Z48" s="135">
        <v>1.5</v>
      </c>
      <c r="AA48" s="135">
        <v>3000</v>
      </c>
      <c r="AB48" s="135">
        <v>1981.1</v>
      </c>
      <c r="AC48" s="135">
        <v>0.5</v>
      </c>
      <c r="AD48" s="135">
        <v>2</v>
      </c>
      <c r="AE48" s="135">
        <v>5150</v>
      </c>
      <c r="AF48" s="135">
        <v>2617.8000000000002</v>
      </c>
      <c r="AG48" s="135">
        <v>0.38</v>
      </c>
      <c r="AH48" s="135">
        <v>2</v>
      </c>
      <c r="AI48" s="135">
        <v>2600</v>
      </c>
      <c r="AJ48" s="135">
        <v>1275.4000000000001</v>
      </c>
      <c r="AK48" s="135">
        <v>0.78</v>
      </c>
      <c r="AL48" s="135">
        <v>1.5</v>
      </c>
      <c r="AM48" s="135">
        <v>4600</v>
      </c>
      <c r="AN48" s="135">
        <v>3019.8</v>
      </c>
      <c r="AO48" s="135">
        <v>0.33</v>
      </c>
      <c r="AP48" s="135"/>
      <c r="AQ48" s="135"/>
      <c r="AR48" s="135"/>
      <c r="AS48" s="135"/>
      <c r="AT48" s="135"/>
      <c r="AU48" s="135"/>
      <c r="AV48" s="135"/>
      <c r="AW48" s="135"/>
      <c r="AX48" s="135">
        <v>1.5</v>
      </c>
      <c r="AY48" s="135">
        <v>11</v>
      </c>
      <c r="AZ48" s="135">
        <v>7.2</v>
      </c>
      <c r="BA48" s="135">
        <v>0.14000000000000001</v>
      </c>
      <c r="BB48" s="135"/>
      <c r="BC48" s="135"/>
      <c r="BD48" s="135"/>
      <c r="BE48" s="135"/>
      <c r="BF48" s="135">
        <v>2</v>
      </c>
      <c r="BG48" s="135">
        <v>5000</v>
      </c>
      <c r="BH48" s="135">
        <v>2452.6999999999998</v>
      </c>
      <c r="BI48" s="135">
        <v>0.41</v>
      </c>
      <c r="BJ48" s="135">
        <v>40.5</v>
      </c>
      <c r="BK48" s="135">
        <v>6.5</v>
      </c>
      <c r="BL48" s="135">
        <v>17</v>
      </c>
    </row>
    <row r="49" spans="1:64" x14ac:dyDescent="0.3">
      <c r="A49" s="135">
        <v>2016</v>
      </c>
      <c r="B49" s="135">
        <v>4</v>
      </c>
      <c r="C49" s="135" t="s">
        <v>2239</v>
      </c>
      <c r="D49" s="135" t="s">
        <v>351</v>
      </c>
      <c r="E49" s="135" t="s">
        <v>399</v>
      </c>
      <c r="F49" s="135" t="s">
        <v>7</v>
      </c>
      <c r="G49" s="135" t="s">
        <v>2305</v>
      </c>
      <c r="H49" s="135">
        <v>11.35</v>
      </c>
      <c r="I49" s="135">
        <v>0.91100000000000003</v>
      </c>
      <c r="J49" s="135">
        <v>1.9</v>
      </c>
      <c r="K49" s="135">
        <v>0</v>
      </c>
      <c r="L49" s="135">
        <v>0</v>
      </c>
      <c r="M49" s="135">
        <v>0</v>
      </c>
      <c r="N49" s="135">
        <v>0</v>
      </c>
      <c r="O49" s="135">
        <v>0</v>
      </c>
      <c r="P49" s="135">
        <v>0</v>
      </c>
      <c r="Q49" s="135">
        <v>0</v>
      </c>
      <c r="R49" s="135">
        <v>0</v>
      </c>
      <c r="S49" s="135">
        <v>0.98899999999999999</v>
      </c>
      <c r="T49" s="135">
        <v>8.4879999999999995</v>
      </c>
      <c r="U49" s="135">
        <v>1.4E-2</v>
      </c>
      <c r="V49" s="135">
        <v>1.0999999999999999E-2</v>
      </c>
      <c r="W49" s="135">
        <v>0</v>
      </c>
      <c r="X49" s="135">
        <v>0</v>
      </c>
      <c r="Y49" s="135" t="s">
        <v>1995</v>
      </c>
      <c r="Z49" s="135">
        <v>1.4</v>
      </c>
      <c r="AA49" s="135">
        <v>3700</v>
      </c>
      <c r="AB49" s="135">
        <v>2653.7</v>
      </c>
      <c r="AC49" s="135">
        <v>0.38</v>
      </c>
      <c r="AD49" s="135">
        <v>1.9</v>
      </c>
      <c r="AE49" s="135">
        <v>5000</v>
      </c>
      <c r="AF49" s="135">
        <v>2631.9</v>
      </c>
      <c r="AG49" s="135">
        <v>0.38</v>
      </c>
      <c r="AH49" s="135">
        <v>2</v>
      </c>
      <c r="AI49" s="135">
        <v>2500</v>
      </c>
      <c r="AJ49" s="135">
        <v>1274.4000000000001</v>
      </c>
      <c r="AK49" s="135">
        <v>0.78</v>
      </c>
      <c r="AL49" s="135">
        <v>1.4</v>
      </c>
      <c r="AM49" s="135">
        <v>4500</v>
      </c>
      <c r="AN49" s="135">
        <v>3202.2</v>
      </c>
      <c r="AO49" s="135">
        <v>0.31</v>
      </c>
      <c r="AP49" s="135"/>
      <c r="AQ49" s="135"/>
      <c r="AR49" s="135"/>
      <c r="AS49" s="135"/>
      <c r="AT49" s="135"/>
      <c r="AU49" s="135"/>
      <c r="AV49" s="135"/>
      <c r="AW49" s="135"/>
      <c r="AX49" s="135">
        <v>1.4</v>
      </c>
      <c r="AY49" s="135">
        <v>10</v>
      </c>
      <c r="AZ49" s="135">
        <v>7.1</v>
      </c>
      <c r="BA49" s="135">
        <v>0.14000000000000001</v>
      </c>
      <c r="BB49" s="135"/>
      <c r="BC49" s="135"/>
      <c r="BD49" s="135"/>
      <c r="BE49" s="135"/>
      <c r="BF49" s="135">
        <v>2</v>
      </c>
      <c r="BG49" s="135">
        <v>5000</v>
      </c>
      <c r="BH49" s="135">
        <v>2548.8000000000002</v>
      </c>
      <c r="BI49" s="135">
        <v>0.39</v>
      </c>
      <c r="BJ49" s="135">
        <v>40.5</v>
      </c>
      <c r="BK49" s="135">
        <v>-1.5</v>
      </c>
      <c r="BL49" s="135">
        <v>21</v>
      </c>
    </row>
    <row r="50" spans="1:64" x14ac:dyDescent="0.3">
      <c r="A50" s="135">
        <v>2016</v>
      </c>
      <c r="B50" s="135">
        <v>4</v>
      </c>
      <c r="C50" s="135" t="s">
        <v>2244</v>
      </c>
      <c r="D50" s="135" t="s">
        <v>1254</v>
      </c>
      <c r="E50" s="135" t="s">
        <v>399</v>
      </c>
      <c r="F50" s="135" t="s">
        <v>18</v>
      </c>
      <c r="G50" s="135" t="s">
        <v>14</v>
      </c>
      <c r="H50" s="135">
        <v>8.52</v>
      </c>
      <c r="I50" s="135">
        <v>0.80600000000000005</v>
      </c>
      <c r="J50" s="135">
        <v>1.171</v>
      </c>
      <c r="K50" s="135">
        <v>0</v>
      </c>
      <c r="L50" s="135">
        <v>0</v>
      </c>
      <c r="M50" s="135">
        <v>0</v>
      </c>
      <c r="N50" s="135">
        <v>0</v>
      </c>
      <c r="O50" s="135">
        <v>0</v>
      </c>
      <c r="P50" s="135">
        <v>0</v>
      </c>
      <c r="Q50" s="135">
        <v>0</v>
      </c>
      <c r="R50" s="135">
        <v>0</v>
      </c>
      <c r="S50" s="135">
        <v>0.36499999999999999</v>
      </c>
      <c r="T50" s="135">
        <v>5.782</v>
      </c>
      <c r="U50" s="135">
        <v>3.9E-2</v>
      </c>
      <c r="V50" s="135">
        <v>3.0000000000000001E-3</v>
      </c>
      <c r="W50" s="135">
        <v>0</v>
      </c>
      <c r="X50" s="135">
        <v>0</v>
      </c>
      <c r="Y50" s="135" t="s">
        <v>1995</v>
      </c>
      <c r="Z50" s="135">
        <v>1</v>
      </c>
      <c r="AA50" s="135">
        <v>3000</v>
      </c>
      <c r="AB50" s="135">
        <v>3043.5</v>
      </c>
      <c r="AC50" s="135">
        <v>0.33</v>
      </c>
      <c r="AD50" s="135">
        <v>1.2</v>
      </c>
      <c r="AE50" s="135">
        <v>5000</v>
      </c>
      <c r="AF50" s="135">
        <v>4269.1000000000004</v>
      </c>
      <c r="AG50" s="135">
        <v>0.23</v>
      </c>
      <c r="AH50" s="135">
        <v>1.2</v>
      </c>
      <c r="AI50" s="135">
        <v>2500</v>
      </c>
      <c r="AJ50" s="135">
        <v>2068</v>
      </c>
      <c r="AK50" s="135">
        <v>0.48</v>
      </c>
      <c r="AL50" s="135">
        <v>1</v>
      </c>
      <c r="AM50" s="135">
        <v>4500</v>
      </c>
      <c r="AN50" s="135">
        <v>4551.3999999999996</v>
      </c>
      <c r="AO50" s="135">
        <v>0.22</v>
      </c>
      <c r="AP50" s="135"/>
      <c r="AQ50" s="135"/>
      <c r="AR50" s="135"/>
      <c r="AS50" s="135"/>
      <c r="AT50" s="135"/>
      <c r="AU50" s="135"/>
      <c r="AV50" s="135"/>
      <c r="AW50" s="135"/>
      <c r="AX50" s="135">
        <v>1</v>
      </c>
      <c r="AY50" s="135">
        <v>10</v>
      </c>
      <c r="AZ50" s="135">
        <v>10.1</v>
      </c>
      <c r="BA50" s="135">
        <v>0.1</v>
      </c>
      <c r="BB50" s="135"/>
      <c r="BC50" s="135"/>
      <c r="BD50" s="135"/>
      <c r="BE50" s="135"/>
      <c r="BF50" s="135">
        <v>1.2</v>
      </c>
      <c r="BG50" s="135">
        <v>5000</v>
      </c>
      <c r="BH50" s="135">
        <v>4136</v>
      </c>
      <c r="BI50" s="135">
        <v>0.24</v>
      </c>
      <c r="BJ50" s="135">
        <v>45.5</v>
      </c>
      <c r="BK50" s="135">
        <v>-8</v>
      </c>
      <c r="BL50" s="135">
        <v>26.75</v>
      </c>
    </row>
    <row r="51" spans="1:64" x14ac:dyDescent="0.3">
      <c r="A51" s="135">
        <v>2016</v>
      </c>
      <c r="B51" s="135">
        <v>4</v>
      </c>
      <c r="C51" s="135" t="s">
        <v>2243</v>
      </c>
      <c r="D51" s="135" t="s">
        <v>557</v>
      </c>
      <c r="E51" s="135" t="s">
        <v>399</v>
      </c>
      <c r="F51" s="135" t="s">
        <v>26</v>
      </c>
      <c r="G51" s="135" t="s">
        <v>2298</v>
      </c>
      <c r="H51" s="135">
        <v>6.82</v>
      </c>
      <c r="I51" s="135">
        <v>0.77800000000000002</v>
      </c>
      <c r="J51" s="135">
        <v>1.2669999999999999</v>
      </c>
      <c r="K51" s="135">
        <v>0</v>
      </c>
      <c r="L51" s="135">
        <v>0</v>
      </c>
      <c r="M51" s="135">
        <v>0</v>
      </c>
      <c r="N51" s="135">
        <v>0</v>
      </c>
      <c r="O51" s="135">
        <v>0</v>
      </c>
      <c r="P51" s="135">
        <v>0</v>
      </c>
      <c r="Q51" s="135">
        <v>0</v>
      </c>
      <c r="R51" s="135">
        <v>0</v>
      </c>
      <c r="S51" s="135">
        <v>0.48899999999999999</v>
      </c>
      <c r="T51" s="135">
        <v>5.6150000000000002</v>
      </c>
      <c r="U51" s="135">
        <v>3.6999999999999998E-2</v>
      </c>
      <c r="V51" s="135">
        <v>3.0000000000000001E-3</v>
      </c>
      <c r="W51" s="135">
        <v>0</v>
      </c>
      <c r="X51" s="135">
        <v>0</v>
      </c>
      <c r="Y51" s="135" t="s">
        <v>1995</v>
      </c>
      <c r="Z51" s="135">
        <v>1</v>
      </c>
      <c r="AA51" s="135">
        <v>3000</v>
      </c>
      <c r="AB51" s="135">
        <v>2944.1</v>
      </c>
      <c r="AC51" s="135">
        <v>0.34</v>
      </c>
      <c r="AD51" s="135">
        <v>1.3</v>
      </c>
      <c r="AE51" s="135">
        <v>5000</v>
      </c>
      <c r="AF51" s="135">
        <v>3947.9</v>
      </c>
      <c r="AG51" s="135">
        <v>0.25</v>
      </c>
      <c r="AH51" s="135">
        <v>1.3</v>
      </c>
      <c r="AI51" s="135">
        <v>2500</v>
      </c>
      <c r="AJ51" s="135">
        <v>1918.4</v>
      </c>
      <c r="AK51" s="135">
        <v>0.52</v>
      </c>
      <c r="AL51" s="135">
        <v>1</v>
      </c>
      <c r="AM51" s="135">
        <v>4500</v>
      </c>
      <c r="AN51" s="135">
        <v>4403.1000000000004</v>
      </c>
      <c r="AO51" s="135">
        <v>0.23</v>
      </c>
      <c r="AP51" s="135"/>
      <c r="AQ51" s="135"/>
      <c r="AR51" s="135"/>
      <c r="AS51" s="135"/>
      <c r="AT51" s="135"/>
      <c r="AU51" s="135"/>
      <c r="AV51" s="135"/>
      <c r="AW51" s="135"/>
      <c r="AX51" s="135">
        <v>1</v>
      </c>
      <c r="AY51" s="135">
        <v>10</v>
      </c>
      <c r="AZ51" s="135">
        <v>9.8000000000000007</v>
      </c>
      <c r="BA51" s="135">
        <v>0.1</v>
      </c>
      <c r="BB51" s="135"/>
      <c r="BC51" s="135"/>
      <c r="BD51" s="135"/>
      <c r="BE51" s="135"/>
      <c r="BF51" s="135">
        <v>1.3</v>
      </c>
      <c r="BG51" s="135">
        <v>5000</v>
      </c>
      <c r="BH51" s="135">
        <v>3836.7</v>
      </c>
      <c r="BI51" s="135">
        <v>0.26</v>
      </c>
      <c r="BJ51" s="135">
        <v>46.5</v>
      </c>
      <c r="BK51" s="135">
        <v>-3</v>
      </c>
      <c r="BL51" s="135">
        <v>24.75</v>
      </c>
    </row>
    <row r="52" spans="1:64" x14ac:dyDescent="0.3">
      <c r="A52" s="135">
        <v>2016</v>
      </c>
      <c r="B52" s="135">
        <v>4</v>
      </c>
      <c r="C52" s="135" t="s">
        <v>2240</v>
      </c>
      <c r="D52" s="135" t="s">
        <v>353</v>
      </c>
      <c r="E52" s="135" t="s">
        <v>399</v>
      </c>
      <c r="F52" s="135" t="s">
        <v>22</v>
      </c>
      <c r="G52" s="135" t="s">
        <v>2296</v>
      </c>
      <c r="H52" s="135">
        <v>18.57</v>
      </c>
      <c r="I52" s="135">
        <v>0.65900000000000003</v>
      </c>
      <c r="J52" s="135">
        <v>1.139</v>
      </c>
      <c r="K52" s="135">
        <v>0</v>
      </c>
      <c r="L52" s="135">
        <v>0</v>
      </c>
      <c r="M52" s="135">
        <v>0</v>
      </c>
      <c r="N52" s="135">
        <v>0</v>
      </c>
      <c r="O52" s="135">
        <v>0</v>
      </c>
      <c r="P52" s="135">
        <v>0</v>
      </c>
      <c r="Q52" s="135">
        <v>0</v>
      </c>
      <c r="R52" s="135">
        <v>0</v>
      </c>
      <c r="S52" s="135">
        <v>0.48</v>
      </c>
      <c r="T52" s="135">
        <v>5.5330000000000004</v>
      </c>
      <c r="U52" s="135">
        <v>1.9E-2</v>
      </c>
      <c r="V52" s="135">
        <v>4.0000000000000001E-3</v>
      </c>
      <c r="W52" s="135">
        <v>0</v>
      </c>
      <c r="X52" s="135">
        <v>0</v>
      </c>
      <c r="Y52" s="135" t="s">
        <v>1995</v>
      </c>
      <c r="Z52" s="135">
        <v>0.9</v>
      </c>
      <c r="AA52" s="135">
        <v>3000</v>
      </c>
      <c r="AB52" s="135">
        <v>3350.8</v>
      </c>
      <c r="AC52" s="135">
        <v>0.3</v>
      </c>
      <c r="AD52" s="135">
        <v>1.1000000000000001</v>
      </c>
      <c r="AE52" s="135">
        <v>5000</v>
      </c>
      <c r="AF52" s="135">
        <v>4388.7</v>
      </c>
      <c r="AG52" s="135">
        <v>0.23</v>
      </c>
      <c r="AH52" s="135">
        <v>1.2</v>
      </c>
      <c r="AI52" s="135">
        <v>2500</v>
      </c>
      <c r="AJ52" s="135">
        <v>2125</v>
      </c>
      <c r="AK52" s="135">
        <v>0.47</v>
      </c>
      <c r="AL52" s="135">
        <v>0.9</v>
      </c>
      <c r="AM52" s="135">
        <v>4500</v>
      </c>
      <c r="AN52" s="135">
        <v>5003.8999999999996</v>
      </c>
      <c r="AO52" s="135">
        <v>0.2</v>
      </c>
      <c r="AP52" s="135"/>
      <c r="AQ52" s="135"/>
      <c r="AR52" s="135"/>
      <c r="AS52" s="135"/>
      <c r="AT52" s="135"/>
      <c r="AU52" s="135"/>
      <c r="AV52" s="135"/>
      <c r="AW52" s="135"/>
      <c r="AX52" s="135">
        <v>0.9</v>
      </c>
      <c r="AY52" s="135">
        <v>10</v>
      </c>
      <c r="AZ52" s="135">
        <v>11.1</v>
      </c>
      <c r="BA52" s="135">
        <v>0.09</v>
      </c>
      <c r="BB52" s="135"/>
      <c r="BC52" s="135"/>
      <c r="BD52" s="135"/>
      <c r="BE52" s="135"/>
      <c r="BF52" s="135">
        <v>1.2</v>
      </c>
      <c r="BG52" s="135">
        <v>5000</v>
      </c>
      <c r="BH52" s="135">
        <v>4249.8999999999996</v>
      </c>
      <c r="BI52" s="135">
        <v>0.24</v>
      </c>
      <c r="BJ52" s="135">
        <v>50</v>
      </c>
      <c r="BK52" s="135">
        <v>-3</v>
      </c>
      <c r="BL52" s="135">
        <v>26.5</v>
      </c>
    </row>
    <row r="53" spans="1:64" x14ac:dyDescent="0.3">
      <c r="A53" s="135">
        <v>2016</v>
      </c>
      <c r="B53" s="135">
        <v>4</v>
      </c>
      <c r="C53" s="135" t="s">
        <v>2247</v>
      </c>
      <c r="D53" s="135" t="s">
        <v>359</v>
      </c>
      <c r="E53" s="135" t="s">
        <v>399</v>
      </c>
      <c r="F53" s="135" t="s">
        <v>43</v>
      </c>
      <c r="G53" s="135" t="s">
        <v>30</v>
      </c>
      <c r="H53" s="135">
        <v>2.35</v>
      </c>
      <c r="I53" s="135">
        <v>0.65800000000000003</v>
      </c>
      <c r="J53" s="135">
        <v>1.234</v>
      </c>
      <c r="K53" s="135">
        <v>0</v>
      </c>
      <c r="L53" s="135">
        <v>0</v>
      </c>
      <c r="M53" s="135">
        <v>0</v>
      </c>
      <c r="N53" s="135">
        <v>0</v>
      </c>
      <c r="O53" s="135">
        <v>0</v>
      </c>
      <c r="P53" s="135">
        <v>0</v>
      </c>
      <c r="Q53" s="135">
        <v>0</v>
      </c>
      <c r="R53" s="135">
        <v>0</v>
      </c>
      <c r="S53" s="135">
        <v>0.57599999999999996</v>
      </c>
      <c r="T53" s="135">
        <v>4.9420000000000002</v>
      </c>
      <c r="U53" s="135">
        <v>2.9000000000000001E-2</v>
      </c>
      <c r="V53" s="135">
        <v>5.0000000000000001E-3</v>
      </c>
      <c r="W53" s="135">
        <v>0</v>
      </c>
      <c r="X53" s="135">
        <v>0</v>
      </c>
      <c r="Y53" s="135" t="s">
        <v>1995</v>
      </c>
      <c r="Z53" s="135">
        <v>0.9</v>
      </c>
      <c r="AA53" s="135">
        <v>3200</v>
      </c>
      <c r="AB53" s="135">
        <v>3399.9</v>
      </c>
      <c r="AC53" s="135">
        <v>0.28999999999999998</v>
      </c>
      <c r="AD53" s="135">
        <v>1.2</v>
      </c>
      <c r="AE53" s="135">
        <v>5000</v>
      </c>
      <c r="AF53" s="135">
        <v>4051.2</v>
      </c>
      <c r="AG53" s="135">
        <v>0.25</v>
      </c>
      <c r="AH53" s="135">
        <v>1.3</v>
      </c>
      <c r="AI53" s="135">
        <v>2500</v>
      </c>
      <c r="AJ53" s="135">
        <v>1970.3</v>
      </c>
      <c r="AK53" s="135">
        <v>0.51</v>
      </c>
      <c r="AL53" s="135">
        <v>0.9</v>
      </c>
      <c r="AM53" s="135">
        <v>4500</v>
      </c>
      <c r="AN53" s="135">
        <v>4755.8999999999996</v>
      </c>
      <c r="AO53" s="135">
        <v>0.21</v>
      </c>
      <c r="AP53" s="135"/>
      <c r="AQ53" s="135"/>
      <c r="AR53" s="135"/>
      <c r="AS53" s="135"/>
      <c r="AT53" s="135"/>
      <c r="AU53" s="135"/>
      <c r="AV53" s="135"/>
      <c r="AW53" s="135"/>
      <c r="AX53" s="135">
        <v>0.9</v>
      </c>
      <c r="AY53" s="135">
        <v>10</v>
      </c>
      <c r="AZ53" s="135">
        <v>10.6</v>
      </c>
      <c r="BA53" s="135">
        <v>0.09</v>
      </c>
      <c r="BB53" s="135"/>
      <c r="BC53" s="135"/>
      <c r="BD53" s="135"/>
      <c r="BE53" s="135"/>
      <c r="BF53" s="135">
        <v>1.3</v>
      </c>
      <c r="BG53" s="135">
        <v>5000</v>
      </c>
      <c r="BH53" s="135">
        <v>3940.6</v>
      </c>
      <c r="BI53" s="135">
        <v>0.25</v>
      </c>
      <c r="BJ53" s="135">
        <v>40.5</v>
      </c>
      <c r="BK53" s="135">
        <v>-6.5</v>
      </c>
      <c r="BL53" s="135">
        <v>23.5</v>
      </c>
    </row>
    <row r="54" spans="1:64" x14ac:dyDescent="0.3">
      <c r="A54" s="135">
        <v>2016</v>
      </c>
      <c r="B54" s="135">
        <v>4</v>
      </c>
      <c r="C54" s="135" t="s">
        <v>2246</v>
      </c>
      <c r="D54" s="135" t="s">
        <v>360</v>
      </c>
      <c r="E54" s="135" t="s">
        <v>399</v>
      </c>
      <c r="F54" s="135" t="s">
        <v>41</v>
      </c>
      <c r="G54" s="135" t="s">
        <v>37</v>
      </c>
      <c r="H54" s="135">
        <v>4.62</v>
      </c>
      <c r="I54" s="135">
        <v>0.65400000000000003</v>
      </c>
      <c r="J54" s="135">
        <v>1.1040000000000001</v>
      </c>
      <c r="K54" s="135">
        <v>0</v>
      </c>
      <c r="L54" s="135">
        <v>0</v>
      </c>
      <c r="M54" s="135">
        <v>0</v>
      </c>
      <c r="N54" s="135">
        <v>0</v>
      </c>
      <c r="O54" s="135">
        <v>0</v>
      </c>
      <c r="P54" s="135">
        <v>0</v>
      </c>
      <c r="Q54" s="135">
        <v>0</v>
      </c>
      <c r="R54" s="135">
        <v>0</v>
      </c>
      <c r="S54" s="135">
        <v>0.45</v>
      </c>
      <c r="T54" s="135">
        <v>5.1210000000000004</v>
      </c>
      <c r="U54" s="135">
        <v>2.5000000000000001E-2</v>
      </c>
      <c r="V54" s="135">
        <v>4.0000000000000001E-3</v>
      </c>
      <c r="W54" s="135">
        <v>0</v>
      </c>
      <c r="X54" s="135">
        <v>0</v>
      </c>
      <c r="Y54" s="135" t="s">
        <v>1995</v>
      </c>
      <c r="Z54" s="135">
        <v>0.9</v>
      </c>
      <c r="AA54" s="135">
        <v>3000</v>
      </c>
      <c r="AB54" s="135">
        <v>3428.2</v>
      </c>
      <c r="AC54" s="135">
        <v>0.28999999999999998</v>
      </c>
      <c r="AD54" s="135">
        <v>1.1000000000000001</v>
      </c>
      <c r="AE54" s="135">
        <v>5000</v>
      </c>
      <c r="AF54" s="135">
        <v>4528.6000000000004</v>
      </c>
      <c r="AG54" s="135">
        <v>0.22</v>
      </c>
      <c r="AH54" s="135">
        <v>1.1000000000000001</v>
      </c>
      <c r="AI54" s="135">
        <v>2500</v>
      </c>
      <c r="AJ54" s="135">
        <v>2195.1999999999998</v>
      </c>
      <c r="AK54" s="135">
        <v>0.46</v>
      </c>
      <c r="AL54" s="135">
        <v>0.9</v>
      </c>
      <c r="AM54" s="135">
        <v>4500</v>
      </c>
      <c r="AN54" s="135">
        <v>5118.8999999999996</v>
      </c>
      <c r="AO54" s="135">
        <v>0.2</v>
      </c>
      <c r="AP54" s="135"/>
      <c r="AQ54" s="135"/>
      <c r="AR54" s="135"/>
      <c r="AS54" s="135"/>
      <c r="AT54" s="135"/>
      <c r="AU54" s="135"/>
      <c r="AV54" s="135"/>
      <c r="AW54" s="135"/>
      <c r="AX54" s="135">
        <v>0.9</v>
      </c>
      <c r="AY54" s="135">
        <v>10</v>
      </c>
      <c r="AZ54" s="135">
        <v>11.4</v>
      </c>
      <c r="BA54" s="135">
        <v>0.09</v>
      </c>
      <c r="BB54" s="135"/>
      <c r="BC54" s="135"/>
      <c r="BD54" s="135"/>
      <c r="BE54" s="135"/>
      <c r="BF54" s="135">
        <v>1.1000000000000001</v>
      </c>
      <c r="BG54" s="135">
        <v>5000</v>
      </c>
      <c r="BH54" s="135">
        <v>4390.5</v>
      </c>
      <c r="BI54" s="135">
        <v>0.23</v>
      </c>
      <c r="BJ54" s="135">
        <v>43.5</v>
      </c>
      <c r="BK54" s="135">
        <v>-4</v>
      </c>
      <c r="BL54" s="135">
        <v>23.75</v>
      </c>
    </row>
    <row r="55" spans="1:64" x14ac:dyDescent="0.3">
      <c r="A55" s="135">
        <v>2016</v>
      </c>
      <c r="B55" s="135">
        <v>4</v>
      </c>
      <c r="C55" s="135" t="s">
        <v>2249</v>
      </c>
      <c r="D55" s="135" t="s">
        <v>356</v>
      </c>
      <c r="E55" s="135" t="s">
        <v>399</v>
      </c>
      <c r="F55" s="135" t="s">
        <v>398</v>
      </c>
      <c r="G55" s="135" t="s">
        <v>52</v>
      </c>
      <c r="H55" s="135">
        <v>17.34</v>
      </c>
      <c r="I55" s="135">
        <v>0.56599999999999995</v>
      </c>
      <c r="J55" s="135">
        <v>0.96199999999999997</v>
      </c>
      <c r="K55" s="135">
        <v>0</v>
      </c>
      <c r="L55" s="135">
        <v>0</v>
      </c>
      <c r="M55" s="135">
        <v>0</v>
      </c>
      <c r="N55" s="135">
        <v>0</v>
      </c>
      <c r="O55" s="135">
        <v>0</v>
      </c>
      <c r="P55" s="135">
        <v>0</v>
      </c>
      <c r="Q55" s="135">
        <v>0</v>
      </c>
      <c r="R55" s="135">
        <v>0</v>
      </c>
      <c r="S55" s="135">
        <v>0.39600000000000002</v>
      </c>
      <c r="T55" s="135">
        <v>4.1219999999999999</v>
      </c>
      <c r="U55" s="135">
        <v>2.7E-2</v>
      </c>
      <c r="V55" s="135">
        <v>4.0000000000000001E-3</v>
      </c>
      <c r="W55" s="135">
        <v>0</v>
      </c>
      <c r="X55" s="135">
        <v>0</v>
      </c>
      <c r="Y55" s="135" t="s">
        <v>1995</v>
      </c>
      <c r="Z55" s="135">
        <v>0.8</v>
      </c>
      <c r="AA55" s="135">
        <v>3000</v>
      </c>
      <c r="AB55" s="135">
        <v>3946.3</v>
      </c>
      <c r="AC55" s="135">
        <v>0.25</v>
      </c>
      <c r="AD55" s="135">
        <v>1</v>
      </c>
      <c r="AE55" s="135">
        <v>5000</v>
      </c>
      <c r="AF55" s="135">
        <v>5196.3999999999996</v>
      </c>
      <c r="AG55" s="135">
        <v>0.19</v>
      </c>
      <c r="AH55" s="135">
        <v>1</v>
      </c>
      <c r="AI55" s="135">
        <v>2500</v>
      </c>
      <c r="AJ55" s="135">
        <v>2522.9</v>
      </c>
      <c r="AK55" s="135">
        <v>0.4</v>
      </c>
      <c r="AL55" s="135">
        <v>0.8</v>
      </c>
      <c r="AM55" s="135">
        <v>4500</v>
      </c>
      <c r="AN55" s="135">
        <v>5888.5</v>
      </c>
      <c r="AO55" s="135">
        <v>0.17</v>
      </c>
      <c r="AP55" s="135"/>
      <c r="AQ55" s="135"/>
      <c r="AR55" s="135"/>
      <c r="AS55" s="135"/>
      <c r="AT55" s="135"/>
      <c r="AU55" s="135"/>
      <c r="AV55" s="135"/>
      <c r="AW55" s="135"/>
      <c r="AX55" s="135">
        <v>0.8</v>
      </c>
      <c r="AY55" s="135">
        <v>10</v>
      </c>
      <c r="AZ55" s="135">
        <v>13.1</v>
      </c>
      <c r="BA55" s="135">
        <v>0.08</v>
      </c>
      <c r="BB55" s="135"/>
      <c r="BC55" s="135"/>
      <c r="BD55" s="135"/>
      <c r="BE55" s="135"/>
      <c r="BF55" s="135">
        <v>1</v>
      </c>
      <c r="BG55" s="135">
        <v>5000</v>
      </c>
      <c r="BH55" s="135">
        <v>5045.8</v>
      </c>
      <c r="BI55" s="135">
        <v>0.2</v>
      </c>
      <c r="BJ55" s="135">
        <v>46</v>
      </c>
      <c r="BK55" s="135">
        <v>3</v>
      </c>
      <c r="BL55" s="135">
        <v>21.5</v>
      </c>
    </row>
    <row r="56" spans="1:64" x14ac:dyDescent="0.3">
      <c r="A56" s="135">
        <v>2016</v>
      </c>
      <c r="B56" s="135">
        <v>4</v>
      </c>
      <c r="C56" s="135" t="s">
        <v>2252</v>
      </c>
      <c r="D56" s="135" t="s">
        <v>358</v>
      </c>
      <c r="E56" s="135" t="s">
        <v>399</v>
      </c>
      <c r="F56" s="135" t="s">
        <v>401</v>
      </c>
      <c r="G56" s="135" t="s">
        <v>70</v>
      </c>
      <c r="H56" s="135">
        <v>0.44</v>
      </c>
      <c r="I56" s="135">
        <v>0.49399999999999999</v>
      </c>
      <c r="J56" s="135">
        <v>1.1839999999999999</v>
      </c>
      <c r="K56" s="135">
        <v>0</v>
      </c>
      <c r="L56" s="135">
        <v>0</v>
      </c>
      <c r="M56" s="135">
        <v>0</v>
      </c>
      <c r="N56" s="135">
        <v>0</v>
      </c>
      <c r="O56" s="135">
        <v>0</v>
      </c>
      <c r="P56" s="135">
        <v>0</v>
      </c>
      <c r="Q56" s="135">
        <v>0</v>
      </c>
      <c r="R56" s="135">
        <v>0</v>
      </c>
      <c r="S56" s="135">
        <v>0.69</v>
      </c>
      <c r="T56" s="135">
        <v>5.0839999999999996</v>
      </c>
      <c r="U56" s="135">
        <v>0</v>
      </c>
      <c r="V56" s="135">
        <v>7.0000000000000001E-3</v>
      </c>
      <c r="W56" s="135">
        <v>0</v>
      </c>
      <c r="X56" s="135">
        <v>0</v>
      </c>
      <c r="Y56" s="135" t="s">
        <v>1995</v>
      </c>
      <c r="Z56" s="135">
        <v>0.8</v>
      </c>
      <c r="AA56" s="135">
        <v>3000</v>
      </c>
      <c r="AB56" s="135">
        <v>3604</v>
      </c>
      <c r="AC56" s="135">
        <v>0.28000000000000003</v>
      </c>
      <c r="AD56" s="135">
        <v>1.2</v>
      </c>
      <c r="AE56" s="135">
        <v>5000</v>
      </c>
      <c r="AF56" s="135">
        <v>4221.5</v>
      </c>
      <c r="AG56" s="135">
        <v>0.24</v>
      </c>
      <c r="AH56" s="135">
        <v>1.2</v>
      </c>
      <c r="AI56" s="135">
        <v>2500</v>
      </c>
      <c r="AJ56" s="135">
        <v>2046</v>
      </c>
      <c r="AK56" s="135">
        <v>0.49</v>
      </c>
      <c r="AL56" s="135">
        <v>0.8</v>
      </c>
      <c r="AM56" s="135">
        <v>4500</v>
      </c>
      <c r="AN56" s="135">
        <v>5361</v>
      </c>
      <c r="AO56" s="135">
        <v>0.19</v>
      </c>
      <c r="AP56" s="135"/>
      <c r="AQ56" s="135"/>
      <c r="AR56" s="135"/>
      <c r="AS56" s="135"/>
      <c r="AT56" s="135"/>
      <c r="AU56" s="135"/>
      <c r="AV56" s="135"/>
      <c r="AW56" s="135"/>
      <c r="AX56" s="135">
        <v>0.8</v>
      </c>
      <c r="AY56" s="135">
        <v>10</v>
      </c>
      <c r="AZ56" s="135">
        <v>11.9</v>
      </c>
      <c r="BA56" s="135">
        <v>0.08</v>
      </c>
      <c r="BB56" s="135"/>
      <c r="BC56" s="135"/>
      <c r="BD56" s="135"/>
      <c r="BE56" s="135"/>
      <c r="BF56" s="135">
        <v>1.2</v>
      </c>
      <c r="BG56" s="135">
        <v>5000</v>
      </c>
      <c r="BH56" s="135">
        <v>4092</v>
      </c>
      <c r="BI56" s="135">
        <v>0.24</v>
      </c>
      <c r="BJ56" s="135">
        <v>44</v>
      </c>
      <c r="BK56" s="135">
        <v>3</v>
      </c>
      <c r="BL56" s="135">
        <v>20.5</v>
      </c>
    </row>
    <row r="57" spans="1:64" x14ac:dyDescent="0.3">
      <c r="A57" s="135">
        <v>2016</v>
      </c>
      <c r="B57" s="135">
        <v>4</v>
      </c>
      <c r="C57" s="135" t="s">
        <v>2245</v>
      </c>
      <c r="D57" s="135" t="s">
        <v>386</v>
      </c>
      <c r="E57" s="135" t="s">
        <v>399</v>
      </c>
      <c r="F57" s="135" t="s">
        <v>52</v>
      </c>
      <c r="G57" s="135" t="s">
        <v>2309</v>
      </c>
      <c r="H57" s="135">
        <v>13.74</v>
      </c>
      <c r="I57" s="135">
        <v>0.47799999999999998</v>
      </c>
      <c r="J57" s="135">
        <v>1.0049999999999999</v>
      </c>
      <c r="K57" s="135">
        <v>0</v>
      </c>
      <c r="L57" s="135">
        <v>0</v>
      </c>
      <c r="M57" s="135">
        <v>0</v>
      </c>
      <c r="N57" s="135">
        <v>0</v>
      </c>
      <c r="O57" s="135">
        <v>0</v>
      </c>
      <c r="P57" s="135">
        <v>0</v>
      </c>
      <c r="Q57" s="135">
        <v>0</v>
      </c>
      <c r="R57" s="135">
        <v>0</v>
      </c>
      <c r="S57" s="135">
        <v>0.52700000000000002</v>
      </c>
      <c r="T57" s="135">
        <v>4.8609999999999998</v>
      </c>
      <c r="U57" s="135">
        <v>0</v>
      </c>
      <c r="V57" s="135">
        <v>4.0000000000000001E-3</v>
      </c>
      <c r="W57" s="135">
        <v>0</v>
      </c>
      <c r="X57" s="135">
        <v>0</v>
      </c>
      <c r="Y57" s="135" t="s">
        <v>1995</v>
      </c>
      <c r="Z57" s="135">
        <v>0.7</v>
      </c>
      <c r="AA57" s="135">
        <v>3000</v>
      </c>
      <c r="AB57" s="135">
        <v>4067.2</v>
      </c>
      <c r="AC57" s="135">
        <v>0.25</v>
      </c>
      <c r="AD57" s="135">
        <v>1</v>
      </c>
      <c r="AE57" s="135">
        <v>5000</v>
      </c>
      <c r="AF57" s="135">
        <v>4974.6000000000004</v>
      </c>
      <c r="AG57" s="135">
        <v>0.2</v>
      </c>
      <c r="AH57" s="135">
        <v>1</v>
      </c>
      <c r="AI57" s="135">
        <v>2500</v>
      </c>
      <c r="AJ57" s="135">
        <v>2407.9</v>
      </c>
      <c r="AK57" s="135">
        <v>0.42</v>
      </c>
      <c r="AL57" s="135">
        <v>0.7</v>
      </c>
      <c r="AM57" s="135">
        <v>4500</v>
      </c>
      <c r="AN57" s="135">
        <v>6068</v>
      </c>
      <c r="AO57" s="135">
        <v>0.16</v>
      </c>
      <c r="AP57" s="135"/>
      <c r="AQ57" s="135"/>
      <c r="AR57" s="135"/>
      <c r="AS57" s="135"/>
      <c r="AT57" s="135"/>
      <c r="AU57" s="135"/>
      <c r="AV57" s="135"/>
      <c r="AW57" s="135"/>
      <c r="AX57" s="135">
        <v>0.7</v>
      </c>
      <c r="AY57" s="135">
        <v>10</v>
      </c>
      <c r="AZ57" s="135">
        <v>13.5</v>
      </c>
      <c r="BA57" s="135">
        <v>7.0000000000000007E-2</v>
      </c>
      <c r="BB57" s="135"/>
      <c r="BC57" s="135"/>
      <c r="BD57" s="135"/>
      <c r="BE57" s="135"/>
      <c r="BF57" s="135">
        <v>1</v>
      </c>
      <c r="BG57" s="135">
        <v>5000</v>
      </c>
      <c r="BH57" s="135">
        <v>4815.7</v>
      </c>
      <c r="BI57" s="135">
        <v>0.21</v>
      </c>
      <c r="BJ57" s="135">
        <v>46</v>
      </c>
      <c r="BK57" s="135">
        <v>-3</v>
      </c>
      <c r="BL57" s="135">
        <v>24.5</v>
      </c>
    </row>
    <row r="58" spans="1:64" x14ac:dyDescent="0.3">
      <c r="A58" s="135">
        <v>2016</v>
      </c>
      <c r="B58" s="135">
        <v>4</v>
      </c>
      <c r="C58" s="135" t="s">
        <v>2253</v>
      </c>
      <c r="D58" s="135" t="s">
        <v>547</v>
      </c>
      <c r="E58" s="135" t="s">
        <v>399</v>
      </c>
      <c r="F58" s="135" t="s">
        <v>14</v>
      </c>
      <c r="G58" s="135" t="s">
        <v>2310</v>
      </c>
      <c r="H58" s="135">
        <v>4.6500000000000004</v>
      </c>
      <c r="I58" s="135">
        <v>0.436</v>
      </c>
      <c r="J58" s="135">
        <v>0.85499999999999998</v>
      </c>
      <c r="K58" s="135">
        <v>0</v>
      </c>
      <c r="L58" s="135">
        <v>0</v>
      </c>
      <c r="M58" s="135">
        <v>0</v>
      </c>
      <c r="N58" s="135">
        <v>0</v>
      </c>
      <c r="O58" s="135">
        <v>0</v>
      </c>
      <c r="P58" s="135">
        <v>0</v>
      </c>
      <c r="Q58" s="135">
        <v>0</v>
      </c>
      <c r="R58" s="135">
        <v>0</v>
      </c>
      <c r="S58" s="135">
        <v>0.41899999999999998</v>
      </c>
      <c r="T58" s="135">
        <v>4.4379999999999997</v>
      </c>
      <c r="U58" s="135">
        <v>0</v>
      </c>
      <c r="V58" s="135">
        <v>4.0000000000000001E-3</v>
      </c>
      <c r="W58" s="135">
        <v>0</v>
      </c>
      <c r="X58" s="135">
        <v>0</v>
      </c>
      <c r="Y58" s="135" t="s">
        <v>1995</v>
      </c>
      <c r="Z58" s="135">
        <v>0.6</v>
      </c>
      <c r="AA58" s="135">
        <v>3000</v>
      </c>
      <c r="AB58" s="135">
        <v>4678</v>
      </c>
      <c r="AC58" s="135">
        <v>0.21</v>
      </c>
      <c r="AD58" s="135">
        <v>0.9</v>
      </c>
      <c r="AE58" s="135">
        <v>5000</v>
      </c>
      <c r="AF58" s="135">
        <v>5849.3</v>
      </c>
      <c r="AG58" s="135">
        <v>0.17</v>
      </c>
      <c r="AH58" s="135">
        <v>0.9</v>
      </c>
      <c r="AI58" s="135">
        <v>2500</v>
      </c>
      <c r="AJ58" s="135">
        <v>2823.5</v>
      </c>
      <c r="AK58" s="135">
        <v>0.35</v>
      </c>
      <c r="AL58" s="135">
        <v>0.6</v>
      </c>
      <c r="AM58" s="135">
        <v>4500</v>
      </c>
      <c r="AN58" s="135">
        <v>6973.5</v>
      </c>
      <c r="AO58" s="135">
        <v>0.14000000000000001</v>
      </c>
      <c r="AP58" s="135"/>
      <c r="AQ58" s="135"/>
      <c r="AR58" s="135"/>
      <c r="AS58" s="135"/>
      <c r="AT58" s="135"/>
      <c r="AU58" s="135"/>
      <c r="AV58" s="135"/>
      <c r="AW58" s="135"/>
      <c r="AX58" s="135">
        <v>0.6</v>
      </c>
      <c r="AY58" s="135">
        <v>10</v>
      </c>
      <c r="AZ58" s="135">
        <v>15.5</v>
      </c>
      <c r="BA58" s="135">
        <v>0.06</v>
      </c>
      <c r="BB58" s="135"/>
      <c r="BC58" s="135"/>
      <c r="BD58" s="135"/>
      <c r="BE58" s="135"/>
      <c r="BF58" s="135">
        <v>0.9</v>
      </c>
      <c r="BG58" s="135">
        <v>5000</v>
      </c>
      <c r="BH58" s="135">
        <v>5647</v>
      </c>
      <c r="BI58" s="135">
        <v>0.18</v>
      </c>
      <c r="BJ58" s="135">
        <v>45.5</v>
      </c>
      <c r="BK58" s="135">
        <v>8</v>
      </c>
      <c r="BL58" s="135">
        <v>18.75</v>
      </c>
    </row>
    <row r="59" spans="1:64" x14ac:dyDescent="0.3">
      <c r="A59" s="135">
        <v>2016</v>
      </c>
      <c r="B59" s="135">
        <v>4</v>
      </c>
      <c r="C59" s="135" t="s">
        <v>2251</v>
      </c>
      <c r="D59" s="135" t="s">
        <v>381</v>
      </c>
      <c r="E59" s="135" t="s">
        <v>399</v>
      </c>
      <c r="F59" s="135" t="s">
        <v>34</v>
      </c>
      <c r="G59" s="135" t="s">
        <v>7</v>
      </c>
      <c r="H59" s="135">
        <v>3.1</v>
      </c>
      <c r="I59" s="135">
        <v>0.41599999999999998</v>
      </c>
      <c r="J59" s="135">
        <v>0.78</v>
      </c>
      <c r="K59" s="135">
        <v>0</v>
      </c>
      <c r="L59" s="135">
        <v>0</v>
      </c>
      <c r="M59" s="135">
        <v>0</v>
      </c>
      <c r="N59" s="135">
        <v>0</v>
      </c>
      <c r="O59" s="135">
        <v>0</v>
      </c>
      <c r="P59" s="135">
        <v>0</v>
      </c>
      <c r="Q59" s="135">
        <v>0</v>
      </c>
      <c r="R59" s="135">
        <v>0</v>
      </c>
      <c r="S59" s="135">
        <v>0.36399999999999999</v>
      </c>
      <c r="T59" s="135">
        <v>4.2389999999999999</v>
      </c>
      <c r="U59" s="135">
        <v>0</v>
      </c>
      <c r="V59" s="135">
        <v>4.0000000000000001E-3</v>
      </c>
      <c r="W59" s="135">
        <v>0</v>
      </c>
      <c r="X59" s="135">
        <v>0</v>
      </c>
      <c r="Y59" s="135" t="s">
        <v>1995</v>
      </c>
      <c r="Z59" s="135">
        <v>0.6</v>
      </c>
      <c r="AA59" s="135">
        <v>3000</v>
      </c>
      <c r="AB59" s="135">
        <v>5051.3999999999996</v>
      </c>
      <c r="AC59" s="135">
        <v>0.2</v>
      </c>
      <c r="AD59" s="135">
        <v>0.8</v>
      </c>
      <c r="AE59" s="135">
        <v>5000</v>
      </c>
      <c r="AF59" s="135">
        <v>6411.1</v>
      </c>
      <c r="AG59" s="135">
        <v>0.16</v>
      </c>
      <c r="AH59" s="135">
        <v>0.8</v>
      </c>
      <c r="AI59" s="135">
        <v>2500</v>
      </c>
      <c r="AJ59" s="135">
        <v>3089</v>
      </c>
      <c r="AK59" s="135">
        <v>0.32</v>
      </c>
      <c r="AL59" s="135">
        <v>0.6</v>
      </c>
      <c r="AM59" s="135">
        <v>4500</v>
      </c>
      <c r="AN59" s="135">
        <v>7526.3</v>
      </c>
      <c r="AO59" s="135">
        <v>0.13</v>
      </c>
      <c r="AP59" s="135"/>
      <c r="AQ59" s="135"/>
      <c r="AR59" s="135"/>
      <c r="AS59" s="135"/>
      <c r="AT59" s="135"/>
      <c r="AU59" s="135"/>
      <c r="AV59" s="135"/>
      <c r="AW59" s="135"/>
      <c r="AX59" s="135">
        <v>0.6</v>
      </c>
      <c r="AY59" s="135">
        <v>10</v>
      </c>
      <c r="AZ59" s="135">
        <v>16.7</v>
      </c>
      <c r="BA59" s="135">
        <v>0.06</v>
      </c>
      <c r="BB59" s="135"/>
      <c r="BC59" s="135"/>
      <c r="BD59" s="135"/>
      <c r="BE59" s="135"/>
      <c r="BF59" s="135">
        <v>0.8</v>
      </c>
      <c r="BG59" s="135">
        <v>5000</v>
      </c>
      <c r="BH59" s="135">
        <v>6177.9</v>
      </c>
      <c r="BI59" s="135">
        <v>0.16</v>
      </c>
      <c r="BJ59" s="135">
        <v>40.5</v>
      </c>
      <c r="BK59" s="135">
        <v>1.5</v>
      </c>
      <c r="BL59" s="135">
        <v>19.5</v>
      </c>
    </row>
    <row r="60" spans="1:64" x14ac:dyDescent="0.3">
      <c r="A60" s="135">
        <v>2016</v>
      </c>
      <c r="B60" s="135">
        <v>4</v>
      </c>
      <c r="C60" s="135" t="s">
        <v>2254</v>
      </c>
      <c r="D60" s="135" t="s">
        <v>98</v>
      </c>
      <c r="E60" s="135" t="s">
        <v>399</v>
      </c>
      <c r="F60" s="135" t="s">
        <v>20</v>
      </c>
      <c r="G60" s="135" t="s">
        <v>397</v>
      </c>
      <c r="H60" s="135">
        <v>5.2</v>
      </c>
      <c r="I60" s="135">
        <v>0.41299999999999998</v>
      </c>
      <c r="J60" s="135">
        <v>0.63</v>
      </c>
      <c r="K60" s="135">
        <v>0</v>
      </c>
      <c r="L60" s="135">
        <v>0</v>
      </c>
      <c r="M60" s="135">
        <v>0</v>
      </c>
      <c r="N60" s="135">
        <v>0</v>
      </c>
      <c r="O60" s="135">
        <v>0</v>
      </c>
      <c r="P60" s="135">
        <v>0</v>
      </c>
      <c r="Q60" s="135">
        <v>0</v>
      </c>
      <c r="R60" s="135">
        <v>0</v>
      </c>
      <c r="S60" s="135">
        <v>0.217</v>
      </c>
      <c r="T60" s="135">
        <v>3.032</v>
      </c>
      <c r="U60" s="135">
        <v>1.9E-2</v>
      </c>
      <c r="V60" s="135">
        <v>2E-3</v>
      </c>
      <c r="W60" s="135">
        <v>0</v>
      </c>
      <c r="X60" s="135">
        <v>0</v>
      </c>
      <c r="Y60" s="135" t="s">
        <v>1995</v>
      </c>
      <c r="Z60" s="135">
        <v>0.5</v>
      </c>
      <c r="AA60" s="135">
        <v>3000</v>
      </c>
      <c r="AB60" s="135">
        <v>5772.6</v>
      </c>
      <c r="AC60" s="135">
        <v>0.17</v>
      </c>
      <c r="AD60" s="135">
        <v>0.6</v>
      </c>
      <c r="AE60" s="135">
        <v>5000</v>
      </c>
      <c r="AF60" s="135">
        <v>7934</v>
      </c>
      <c r="AG60" s="135">
        <v>0.13</v>
      </c>
      <c r="AH60" s="135">
        <v>0.7</v>
      </c>
      <c r="AI60" s="135">
        <v>2500</v>
      </c>
      <c r="AJ60" s="135">
        <v>3843.8</v>
      </c>
      <c r="AK60" s="135">
        <v>0.26</v>
      </c>
      <c r="AL60" s="135">
        <v>0.5</v>
      </c>
      <c r="AM60" s="135">
        <v>4500</v>
      </c>
      <c r="AN60" s="135">
        <v>8625.6</v>
      </c>
      <c r="AO60" s="135">
        <v>0.12</v>
      </c>
      <c r="AP60" s="135"/>
      <c r="AQ60" s="135"/>
      <c r="AR60" s="135"/>
      <c r="AS60" s="135"/>
      <c r="AT60" s="135"/>
      <c r="AU60" s="135"/>
      <c r="AV60" s="135"/>
      <c r="AW60" s="135"/>
      <c r="AX60" s="135">
        <v>0.5</v>
      </c>
      <c r="AY60" s="135">
        <v>10</v>
      </c>
      <c r="AZ60" s="135">
        <v>19.2</v>
      </c>
      <c r="BA60" s="135">
        <v>0.05</v>
      </c>
      <c r="BB60" s="135"/>
      <c r="BC60" s="135"/>
      <c r="BD60" s="135"/>
      <c r="BE60" s="135"/>
      <c r="BF60" s="135">
        <v>0.7</v>
      </c>
      <c r="BG60" s="135">
        <v>5000</v>
      </c>
      <c r="BH60" s="135">
        <v>7687.7</v>
      </c>
      <c r="BI60" s="135">
        <v>0.13</v>
      </c>
      <c r="BJ60" s="135">
        <v>47.5</v>
      </c>
      <c r="BK60" s="135">
        <v>-5.5</v>
      </c>
      <c r="BL60" s="135">
        <v>26.5</v>
      </c>
    </row>
    <row r="61" spans="1:64" x14ac:dyDescent="0.3">
      <c r="A61" s="135">
        <v>2016</v>
      </c>
      <c r="B61" s="135">
        <v>4</v>
      </c>
      <c r="C61" s="135" t="s">
        <v>2255</v>
      </c>
      <c r="D61" s="135" t="s">
        <v>350</v>
      </c>
      <c r="E61" s="135" t="s">
        <v>399</v>
      </c>
      <c r="F61" s="135" t="s">
        <v>32</v>
      </c>
      <c r="G61" s="135" t="s">
        <v>4</v>
      </c>
      <c r="H61" s="135">
        <v>9.34</v>
      </c>
      <c r="I61" s="135">
        <v>0.38600000000000001</v>
      </c>
      <c r="J61" s="135">
        <v>0.63500000000000001</v>
      </c>
      <c r="K61" s="135">
        <v>0</v>
      </c>
      <c r="L61" s="135">
        <v>0</v>
      </c>
      <c r="M61" s="135">
        <v>0</v>
      </c>
      <c r="N61" s="135">
        <v>0</v>
      </c>
      <c r="O61" s="135">
        <v>0</v>
      </c>
      <c r="P61" s="135">
        <v>0</v>
      </c>
      <c r="Q61" s="135">
        <v>0</v>
      </c>
      <c r="R61" s="135">
        <v>0</v>
      </c>
      <c r="S61" s="135">
        <v>0.249</v>
      </c>
      <c r="T61" s="135">
        <v>2.8239999999999998</v>
      </c>
      <c r="U61" s="135">
        <v>1.7999999999999999E-2</v>
      </c>
      <c r="V61" s="135">
        <v>2E-3</v>
      </c>
      <c r="W61" s="135">
        <v>0</v>
      </c>
      <c r="X61" s="135">
        <v>0</v>
      </c>
      <c r="Y61" s="135" t="s">
        <v>1995</v>
      </c>
      <c r="Z61" s="135">
        <v>0.5</v>
      </c>
      <c r="AA61" s="135">
        <v>3000</v>
      </c>
      <c r="AB61" s="135">
        <v>5895.1</v>
      </c>
      <c r="AC61" s="135">
        <v>0.17</v>
      </c>
      <c r="AD61" s="135">
        <v>0.6</v>
      </c>
      <c r="AE61" s="135">
        <v>5000</v>
      </c>
      <c r="AF61" s="135">
        <v>7869.1</v>
      </c>
      <c r="AG61" s="135">
        <v>0.13</v>
      </c>
      <c r="AH61" s="135">
        <v>0.7</v>
      </c>
      <c r="AI61" s="135">
        <v>2500</v>
      </c>
      <c r="AJ61" s="135">
        <v>3820.6</v>
      </c>
      <c r="AK61" s="135">
        <v>0.26</v>
      </c>
      <c r="AL61" s="135">
        <v>0.5</v>
      </c>
      <c r="AM61" s="135">
        <v>4500</v>
      </c>
      <c r="AN61" s="135">
        <v>8808</v>
      </c>
      <c r="AO61" s="135">
        <v>0.11</v>
      </c>
      <c r="AP61" s="135"/>
      <c r="AQ61" s="135"/>
      <c r="AR61" s="135"/>
      <c r="AS61" s="135"/>
      <c r="AT61" s="135"/>
      <c r="AU61" s="135"/>
      <c r="AV61" s="135"/>
      <c r="AW61" s="135"/>
      <c r="AX61" s="135">
        <v>0.5</v>
      </c>
      <c r="AY61" s="135">
        <v>10</v>
      </c>
      <c r="AZ61" s="135">
        <v>19.600000000000001</v>
      </c>
      <c r="BA61" s="135">
        <v>0.05</v>
      </c>
      <c r="BB61" s="135"/>
      <c r="BC61" s="135"/>
      <c r="BD61" s="135"/>
      <c r="BE61" s="135"/>
      <c r="BF61" s="135">
        <v>0.7</v>
      </c>
      <c r="BG61" s="135">
        <v>5000</v>
      </c>
      <c r="BH61" s="135">
        <v>7641.2</v>
      </c>
      <c r="BI61" s="135">
        <v>0.13</v>
      </c>
      <c r="BJ61" s="135">
        <v>46.5</v>
      </c>
      <c r="BK61" s="135">
        <v>-3.5</v>
      </c>
      <c r="BL61" s="135">
        <v>25</v>
      </c>
    </row>
    <row r="62" spans="1:64" x14ac:dyDescent="0.3">
      <c r="A62" s="135">
        <v>2016</v>
      </c>
      <c r="B62" s="135">
        <v>4</v>
      </c>
      <c r="C62" s="135" t="s">
        <v>2256</v>
      </c>
      <c r="D62" s="135" t="s">
        <v>543</v>
      </c>
      <c r="E62" s="135" t="s">
        <v>399</v>
      </c>
      <c r="F62" s="135" t="s">
        <v>34</v>
      </c>
      <c r="G62" s="135" t="s">
        <v>7</v>
      </c>
      <c r="H62" s="135">
        <v>3.1</v>
      </c>
      <c r="I62" s="135">
        <v>0.20799999999999999</v>
      </c>
      <c r="J62" s="135">
        <v>0.39</v>
      </c>
      <c r="K62" s="135">
        <v>0</v>
      </c>
      <c r="L62" s="135">
        <v>0</v>
      </c>
      <c r="M62" s="135">
        <v>0</v>
      </c>
      <c r="N62" s="135">
        <v>0</v>
      </c>
      <c r="O62" s="135">
        <v>0</v>
      </c>
      <c r="P62" s="135">
        <v>0</v>
      </c>
      <c r="Q62" s="135">
        <v>0</v>
      </c>
      <c r="R62" s="135">
        <v>0</v>
      </c>
      <c r="S62" s="135">
        <v>0.182</v>
      </c>
      <c r="T62" s="135">
        <v>2.1190000000000002</v>
      </c>
      <c r="U62" s="135">
        <v>0</v>
      </c>
      <c r="V62" s="135">
        <v>2E-3</v>
      </c>
      <c r="W62" s="135">
        <v>0</v>
      </c>
      <c r="X62" s="135">
        <v>0</v>
      </c>
      <c r="Y62" s="135" t="s">
        <v>1995</v>
      </c>
      <c r="Z62" s="135">
        <v>0.3</v>
      </c>
      <c r="AA62" s="135">
        <v>3000</v>
      </c>
      <c r="AB62" s="135">
        <v>10104.4</v>
      </c>
      <c r="AC62" s="135">
        <v>0.1</v>
      </c>
      <c r="AD62" s="135">
        <v>0.4</v>
      </c>
      <c r="AE62" s="135">
        <v>5000</v>
      </c>
      <c r="AF62" s="135">
        <v>12823.8</v>
      </c>
      <c r="AG62" s="135">
        <v>0.08</v>
      </c>
      <c r="AH62" s="135">
        <v>0.4</v>
      </c>
      <c r="AI62" s="135">
        <v>2500</v>
      </c>
      <c r="AJ62" s="135">
        <v>6178.7</v>
      </c>
      <c r="AK62" s="135">
        <v>0.16</v>
      </c>
      <c r="AL62" s="135">
        <v>0.3</v>
      </c>
      <c r="AM62" s="135">
        <v>4500</v>
      </c>
      <c r="AN62" s="135">
        <v>15055.2</v>
      </c>
      <c r="AO62" s="135">
        <v>7.0000000000000007E-2</v>
      </c>
      <c r="AP62" s="135"/>
      <c r="AQ62" s="135"/>
      <c r="AR62" s="135"/>
      <c r="AS62" s="135"/>
      <c r="AT62" s="135"/>
      <c r="AU62" s="135"/>
      <c r="AV62" s="135"/>
      <c r="AW62" s="135"/>
      <c r="AX62" s="135">
        <v>0.3</v>
      </c>
      <c r="AY62" s="135">
        <v>10</v>
      </c>
      <c r="AZ62" s="135">
        <v>33.5</v>
      </c>
      <c r="BA62" s="135">
        <v>0.03</v>
      </c>
      <c r="BB62" s="135"/>
      <c r="BC62" s="135"/>
      <c r="BD62" s="135"/>
      <c r="BE62" s="135"/>
      <c r="BF62" s="135">
        <v>0.4</v>
      </c>
      <c r="BG62" s="135">
        <v>5000</v>
      </c>
      <c r="BH62" s="135">
        <v>12357.5</v>
      </c>
      <c r="BI62" s="135">
        <v>0.08</v>
      </c>
      <c r="BJ62" s="135">
        <v>40.5</v>
      </c>
      <c r="BK62" s="135">
        <v>1.5</v>
      </c>
      <c r="BL62" s="135">
        <v>19.5</v>
      </c>
    </row>
    <row r="63" spans="1:64" x14ac:dyDescent="0.3">
      <c r="A63" s="135">
        <v>2016</v>
      </c>
      <c r="B63" s="135">
        <v>4</v>
      </c>
      <c r="C63" s="135" t="s">
        <v>2257</v>
      </c>
      <c r="D63" s="135" t="s">
        <v>546</v>
      </c>
      <c r="E63" s="135" t="s">
        <v>399</v>
      </c>
      <c r="F63" s="135" t="s">
        <v>16</v>
      </c>
      <c r="G63" s="135" t="s">
        <v>1980</v>
      </c>
      <c r="H63" s="135">
        <v>4.9400000000000004</v>
      </c>
      <c r="I63" s="135">
        <v>0.2</v>
      </c>
      <c r="J63" s="135">
        <v>0.32500000000000001</v>
      </c>
      <c r="K63" s="135">
        <v>0</v>
      </c>
      <c r="L63" s="135">
        <v>0</v>
      </c>
      <c r="M63" s="135">
        <v>0</v>
      </c>
      <c r="N63" s="135">
        <v>0</v>
      </c>
      <c r="O63" s="135">
        <v>0</v>
      </c>
      <c r="P63" s="135">
        <v>0</v>
      </c>
      <c r="Q63" s="135">
        <v>0</v>
      </c>
      <c r="R63" s="135">
        <v>0</v>
      </c>
      <c r="S63" s="135">
        <v>0.125</v>
      </c>
      <c r="T63" s="135">
        <v>1.4239999999999999</v>
      </c>
      <c r="U63" s="135">
        <v>0.01</v>
      </c>
      <c r="V63" s="135">
        <v>1E-3</v>
      </c>
      <c r="W63" s="135">
        <v>0</v>
      </c>
      <c r="X63" s="135">
        <v>0</v>
      </c>
      <c r="Y63" s="135" t="s">
        <v>1995</v>
      </c>
      <c r="Z63" s="135">
        <v>0.3</v>
      </c>
      <c r="AA63" s="135">
        <v>3000</v>
      </c>
      <c r="AB63" s="135">
        <v>11454.8</v>
      </c>
      <c r="AC63" s="135">
        <v>0.09</v>
      </c>
      <c r="AD63" s="135">
        <v>0.3</v>
      </c>
      <c r="AE63" s="135">
        <v>5000</v>
      </c>
      <c r="AF63" s="135">
        <v>15365.7</v>
      </c>
      <c r="AG63" s="135">
        <v>7.0000000000000007E-2</v>
      </c>
      <c r="AH63" s="135">
        <v>0.3</v>
      </c>
      <c r="AI63" s="135">
        <v>2500</v>
      </c>
      <c r="AJ63" s="135">
        <v>7463.9</v>
      </c>
      <c r="AK63" s="135">
        <v>0.13</v>
      </c>
      <c r="AL63" s="135"/>
      <c r="AM63" s="135"/>
      <c r="AN63" s="135"/>
      <c r="AO63" s="135"/>
      <c r="AP63" s="135"/>
      <c r="AQ63" s="135"/>
      <c r="AR63" s="135"/>
      <c r="AS63" s="135"/>
      <c r="AT63" s="135"/>
      <c r="AU63" s="135"/>
      <c r="AV63" s="135"/>
      <c r="AW63" s="135"/>
      <c r="AX63" s="135">
        <v>0.3</v>
      </c>
      <c r="AY63" s="135">
        <v>10</v>
      </c>
      <c r="AZ63" s="135">
        <v>38</v>
      </c>
      <c r="BA63" s="135">
        <v>0.03</v>
      </c>
      <c r="BB63" s="135"/>
      <c r="BC63" s="135"/>
      <c r="BD63" s="135"/>
      <c r="BE63" s="135"/>
      <c r="BF63" s="135">
        <v>0.3</v>
      </c>
      <c r="BG63" s="135">
        <v>5000</v>
      </c>
      <c r="BH63" s="135">
        <v>14927.9</v>
      </c>
      <c r="BI63" s="135">
        <v>7.0000000000000007E-2</v>
      </c>
      <c r="BJ63" s="135">
        <v>49.5</v>
      </c>
      <c r="BK63" s="135">
        <v>-2.5</v>
      </c>
      <c r="BL63" s="135">
        <v>26</v>
      </c>
    </row>
    <row r="64" spans="1:64" x14ac:dyDescent="0.3">
      <c r="A64" s="135">
        <v>2016</v>
      </c>
      <c r="B64" s="135">
        <v>3</v>
      </c>
      <c r="C64" s="135" t="s">
        <v>2250</v>
      </c>
      <c r="D64" s="135" t="s">
        <v>554</v>
      </c>
      <c r="E64" s="135" t="s">
        <v>399</v>
      </c>
      <c r="F64" s="135" t="s">
        <v>41</v>
      </c>
      <c r="G64" s="135" t="s">
        <v>1997</v>
      </c>
      <c r="H64" s="135">
        <v>6.46</v>
      </c>
      <c r="I64" s="135">
        <v>0.52300000000000002</v>
      </c>
      <c r="J64" s="135">
        <v>0.95099999999999996</v>
      </c>
      <c r="K64" s="135">
        <v>0</v>
      </c>
      <c r="L64" s="135">
        <v>0</v>
      </c>
      <c r="M64" s="135">
        <v>0</v>
      </c>
      <c r="N64" s="135">
        <v>0</v>
      </c>
      <c r="O64" s="135">
        <v>0</v>
      </c>
      <c r="P64" s="135">
        <v>0</v>
      </c>
      <c r="Q64" s="135">
        <v>0</v>
      </c>
      <c r="R64" s="135">
        <v>0</v>
      </c>
      <c r="S64" s="135">
        <v>0.42799999999999999</v>
      </c>
      <c r="T64" s="135">
        <v>5.3330000000000002</v>
      </c>
      <c r="U64" s="135">
        <v>0</v>
      </c>
      <c r="V64" s="135">
        <v>5.0000000000000001E-3</v>
      </c>
      <c r="W64" s="135">
        <v>0</v>
      </c>
      <c r="X64" s="135">
        <v>0</v>
      </c>
      <c r="Y64" s="135" t="s">
        <v>1995</v>
      </c>
      <c r="Z64" s="135">
        <v>0.7</v>
      </c>
      <c r="AA64" s="135">
        <v>3000</v>
      </c>
      <c r="AB64" s="135">
        <v>4096.7</v>
      </c>
      <c r="AC64" s="135">
        <v>0.24</v>
      </c>
      <c r="AD64" s="135">
        <v>1</v>
      </c>
      <c r="AE64" s="135">
        <v>5000</v>
      </c>
      <c r="AF64" s="135">
        <v>5256</v>
      </c>
      <c r="AG64" s="135">
        <v>0.19</v>
      </c>
      <c r="AH64" s="135">
        <v>1</v>
      </c>
      <c r="AI64" s="135">
        <v>2500</v>
      </c>
      <c r="AJ64" s="135">
        <v>2529.6</v>
      </c>
      <c r="AK64" s="135">
        <v>0.4</v>
      </c>
      <c r="AL64" s="135"/>
      <c r="AM64" s="135"/>
      <c r="AN64" s="135"/>
      <c r="AO64" s="135"/>
      <c r="AP64" s="135"/>
      <c r="AQ64" s="135"/>
      <c r="AR64" s="135"/>
      <c r="AS64" s="135"/>
      <c r="AT64" s="135"/>
      <c r="AU64" s="135"/>
      <c r="AV64" s="135"/>
      <c r="AW64" s="135"/>
      <c r="AX64" s="135">
        <v>0.7</v>
      </c>
      <c r="AY64" s="135">
        <v>10</v>
      </c>
      <c r="AZ64" s="135">
        <v>13.6</v>
      </c>
      <c r="BA64" s="135">
        <v>7.0000000000000007E-2</v>
      </c>
      <c r="BB64" s="135"/>
      <c r="BC64" s="135"/>
      <c r="BD64" s="135"/>
      <c r="BE64" s="135"/>
      <c r="BF64" s="135">
        <v>1</v>
      </c>
      <c r="BG64" s="135">
        <v>5000</v>
      </c>
      <c r="BH64" s="135">
        <v>5059.2</v>
      </c>
      <c r="BI64" s="135">
        <v>0.2</v>
      </c>
      <c r="BJ64" s="135">
        <v>43</v>
      </c>
      <c r="BK64" s="135">
        <v>7</v>
      </c>
      <c r="BL64" s="135">
        <v>18</v>
      </c>
    </row>
    <row r="65" spans="1:64" x14ac:dyDescent="0.3">
      <c r="A65" s="135">
        <v>2016</v>
      </c>
      <c r="B65" s="135">
        <v>3</v>
      </c>
      <c r="C65" s="135" t="s">
        <v>2251</v>
      </c>
      <c r="D65" s="135" t="s">
        <v>381</v>
      </c>
      <c r="E65" s="135" t="s">
        <v>399</v>
      </c>
      <c r="F65" s="135" t="s">
        <v>34</v>
      </c>
      <c r="G65" s="135" t="s">
        <v>1982</v>
      </c>
      <c r="H65" s="135">
        <v>5.31</v>
      </c>
      <c r="I65" s="135">
        <v>0.50900000000000001</v>
      </c>
      <c r="J65" s="135">
        <v>0.91300000000000003</v>
      </c>
      <c r="K65" s="135">
        <v>0</v>
      </c>
      <c r="L65" s="135">
        <v>0</v>
      </c>
      <c r="M65" s="135">
        <v>0</v>
      </c>
      <c r="N65" s="135">
        <v>0</v>
      </c>
      <c r="O65" s="135">
        <v>0</v>
      </c>
      <c r="P65" s="135">
        <v>0</v>
      </c>
      <c r="Q65" s="135">
        <v>0</v>
      </c>
      <c r="R65" s="135">
        <v>0</v>
      </c>
      <c r="S65" s="135">
        <v>0.40400000000000003</v>
      </c>
      <c r="T65" s="135">
        <v>5.165</v>
      </c>
      <c r="U65" s="135">
        <v>0</v>
      </c>
      <c r="V65" s="135">
        <v>4.0000000000000001E-3</v>
      </c>
      <c r="W65" s="135">
        <v>0</v>
      </c>
      <c r="X65" s="135">
        <v>0</v>
      </c>
      <c r="Y65" s="135" t="s">
        <v>1995</v>
      </c>
      <c r="Z65" s="135">
        <v>0.7</v>
      </c>
      <c r="AA65" s="135">
        <v>3000</v>
      </c>
      <c r="AB65" s="135">
        <v>4246.3</v>
      </c>
      <c r="AC65" s="135">
        <v>0.24</v>
      </c>
      <c r="AD65" s="135">
        <v>0.9</v>
      </c>
      <c r="AE65" s="135">
        <v>5000</v>
      </c>
      <c r="AF65" s="135">
        <v>5479.5</v>
      </c>
      <c r="AG65" s="135">
        <v>0.18</v>
      </c>
      <c r="AH65" s="135">
        <v>0.9</v>
      </c>
      <c r="AI65" s="135">
        <v>2500</v>
      </c>
      <c r="AJ65" s="135">
        <v>2638.6</v>
      </c>
      <c r="AK65" s="135">
        <v>0.38</v>
      </c>
      <c r="AL65" s="135">
        <v>0.7</v>
      </c>
      <c r="AM65" s="135">
        <v>4500</v>
      </c>
      <c r="AN65" s="135">
        <v>6333.6</v>
      </c>
      <c r="AO65" s="135">
        <v>0.16</v>
      </c>
      <c r="AP65" s="135"/>
      <c r="AQ65" s="135"/>
      <c r="AR65" s="135"/>
      <c r="AS65" s="135"/>
      <c r="AT65" s="135"/>
      <c r="AU65" s="135"/>
      <c r="AV65" s="135"/>
      <c r="AW65" s="135"/>
      <c r="AX65" s="135">
        <v>0.7</v>
      </c>
      <c r="AY65" s="135">
        <v>10</v>
      </c>
      <c r="AZ65" s="135">
        <v>14.1</v>
      </c>
      <c r="BA65" s="135">
        <v>7.0000000000000007E-2</v>
      </c>
      <c r="BB65" s="135"/>
      <c r="BC65" s="135"/>
      <c r="BD65" s="135"/>
      <c r="BE65" s="135"/>
      <c r="BF65" s="135">
        <v>0.9</v>
      </c>
      <c r="BG65" s="135">
        <v>5000</v>
      </c>
      <c r="BH65" s="135">
        <v>5277.1</v>
      </c>
      <c r="BI65" s="135">
        <v>0.19</v>
      </c>
      <c r="BJ65" s="135">
        <v>43</v>
      </c>
      <c r="BK65" s="135">
        <v>3</v>
      </c>
      <c r="BL65" s="135">
        <v>20</v>
      </c>
    </row>
    <row r="66" spans="1:64" x14ac:dyDescent="0.3">
      <c r="A66" s="135">
        <v>2016</v>
      </c>
      <c r="B66" s="135">
        <v>3</v>
      </c>
      <c r="C66" s="135" t="s">
        <v>2252</v>
      </c>
      <c r="D66" s="135" t="s">
        <v>358</v>
      </c>
      <c r="E66" s="135" t="s">
        <v>399</v>
      </c>
      <c r="F66" s="135" t="s">
        <v>401</v>
      </c>
      <c r="G66" s="135" t="s">
        <v>409</v>
      </c>
      <c r="H66" s="135">
        <v>8.08</v>
      </c>
      <c r="I66" s="135">
        <v>0.47499999999999998</v>
      </c>
      <c r="J66" s="135">
        <v>1.107</v>
      </c>
      <c r="K66" s="135">
        <v>0</v>
      </c>
      <c r="L66" s="135">
        <v>0</v>
      </c>
      <c r="M66" s="135">
        <v>0</v>
      </c>
      <c r="N66" s="135">
        <v>0</v>
      </c>
      <c r="O66" s="135">
        <v>0</v>
      </c>
      <c r="P66" s="135">
        <v>0</v>
      </c>
      <c r="Q66" s="135">
        <v>0</v>
      </c>
      <c r="R66" s="135">
        <v>0</v>
      </c>
      <c r="S66" s="135">
        <v>0.63200000000000001</v>
      </c>
      <c r="T66" s="135">
        <v>4.891</v>
      </c>
      <c r="U66" s="135">
        <v>0</v>
      </c>
      <c r="V66" s="135">
        <v>7.0000000000000001E-3</v>
      </c>
      <c r="W66" s="135">
        <v>0</v>
      </c>
      <c r="X66" s="135">
        <v>0</v>
      </c>
      <c r="Y66" s="135" t="s">
        <v>1995</v>
      </c>
      <c r="Z66" s="135">
        <v>0.8</v>
      </c>
      <c r="AA66" s="135">
        <v>3000</v>
      </c>
      <c r="AB66" s="135">
        <v>3826</v>
      </c>
      <c r="AC66" s="135">
        <v>0.26</v>
      </c>
      <c r="AD66" s="135">
        <v>1.1000000000000001</v>
      </c>
      <c r="AE66" s="135">
        <v>5000</v>
      </c>
      <c r="AF66" s="135">
        <v>4516.3</v>
      </c>
      <c r="AG66" s="135">
        <v>0.22</v>
      </c>
      <c r="AH66" s="135">
        <v>1.1000000000000001</v>
      </c>
      <c r="AI66" s="135">
        <v>2500</v>
      </c>
      <c r="AJ66" s="135">
        <v>2186.4</v>
      </c>
      <c r="AK66" s="135">
        <v>0.46</v>
      </c>
      <c r="AL66" s="135">
        <v>0.8</v>
      </c>
      <c r="AM66" s="135">
        <v>4600</v>
      </c>
      <c r="AN66" s="135">
        <v>5814.7</v>
      </c>
      <c r="AO66" s="135">
        <v>0.17</v>
      </c>
      <c r="AP66" s="135"/>
      <c r="AQ66" s="135"/>
      <c r="AR66" s="135"/>
      <c r="AS66" s="135"/>
      <c r="AT66" s="135"/>
      <c r="AU66" s="135"/>
      <c r="AV66" s="135"/>
      <c r="AW66" s="135"/>
      <c r="AX66" s="135">
        <v>0.8</v>
      </c>
      <c r="AY66" s="135">
        <v>10</v>
      </c>
      <c r="AZ66" s="135">
        <v>12.6</v>
      </c>
      <c r="BA66" s="135">
        <v>0.08</v>
      </c>
      <c r="BB66" s="135"/>
      <c r="BC66" s="135"/>
      <c r="BD66" s="135"/>
      <c r="BE66" s="135"/>
      <c r="BF66" s="135">
        <v>1.1000000000000001</v>
      </c>
      <c r="BG66" s="135">
        <v>5000</v>
      </c>
      <c r="BH66" s="135">
        <v>4372.7</v>
      </c>
      <c r="BI66" s="135">
        <v>0.23</v>
      </c>
      <c r="BJ66" s="135">
        <v>42</v>
      </c>
      <c r="BK66" s="135">
        <v>-4.5</v>
      </c>
      <c r="BL66" s="135">
        <v>23.25</v>
      </c>
    </row>
    <row r="67" spans="1:64" x14ac:dyDescent="0.3">
      <c r="A67" s="135">
        <v>2016</v>
      </c>
      <c r="B67" s="135">
        <v>3</v>
      </c>
      <c r="C67" s="135" t="s">
        <v>2253</v>
      </c>
      <c r="D67" s="135" t="s">
        <v>547</v>
      </c>
      <c r="E67" s="135" t="s">
        <v>399</v>
      </c>
      <c r="F67" s="135" t="s">
        <v>14</v>
      </c>
      <c r="G67" s="135" t="s">
        <v>2003</v>
      </c>
      <c r="H67" s="135">
        <v>6.38</v>
      </c>
      <c r="I67" s="135">
        <v>0.40300000000000002</v>
      </c>
      <c r="J67" s="135">
        <v>0.81499999999999995</v>
      </c>
      <c r="K67" s="135">
        <v>0</v>
      </c>
      <c r="L67" s="135">
        <v>0</v>
      </c>
      <c r="M67" s="135">
        <v>0</v>
      </c>
      <c r="N67" s="135">
        <v>0</v>
      </c>
      <c r="O67" s="135">
        <v>0</v>
      </c>
      <c r="P67" s="135">
        <v>0</v>
      </c>
      <c r="Q67" s="135">
        <v>0</v>
      </c>
      <c r="R67" s="135">
        <v>0</v>
      </c>
      <c r="S67" s="135">
        <v>0.41199999999999998</v>
      </c>
      <c r="T67" s="135">
        <v>4.1070000000000002</v>
      </c>
      <c r="U67" s="135">
        <v>0</v>
      </c>
      <c r="V67" s="135">
        <v>4.0000000000000001E-3</v>
      </c>
      <c r="W67" s="135">
        <v>0</v>
      </c>
      <c r="X67" s="135">
        <v>0</v>
      </c>
      <c r="Y67" s="135" t="s">
        <v>1995</v>
      </c>
      <c r="Z67" s="135">
        <v>0.6</v>
      </c>
      <c r="AA67" s="135">
        <v>3000</v>
      </c>
      <c r="AB67" s="135">
        <v>4961.1000000000004</v>
      </c>
      <c r="AC67" s="135">
        <v>0.2</v>
      </c>
      <c r="AD67" s="135">
        <v>0.8</v>
      </c>
      <c r="AE67" s="135">
        <v>5000</v>
      </c>
      <c r="AF67" s="135">
        <v>6137.2</v>
      </c>
      <c r="AG67" s="135">
        <v>0.16</v>
      </c>
      <c r="AH67" s="135">
        <v>0.8</v>
      </c>
      <c r="AI67" s="135">
        <v>2500</v>
      </c>
      <c r="AJ67" s="135">
        <v>2964.4</v>
      </c>
      <c r="AK67" s="135">
        <v>0.34</v>
      </c>
      <c r="AL67" s="135">
        <v>0.6</v>
      </c>
      <c r="AM67" s="135">
        <v>4500</v>
      </c>
      <c r="AN67" s="135">
        <v>7392.8</v>
      </c>
      <c r="AO67" s="135">
        <v>0.14000000000000001</v>
      </c>
      <c r="AP67" s="135"/>
      <c r="AQ67" s="135"/>
      <c r="AR67" s="135"/>
      <c r="AS67" s="135"/>
      <c r="AT67" s="135"/>
      <c r="AU67" s="135"/>
      <c r="AV67" s="135"/>
      <c r="AW67" s="135"/>
      <c r="AX67" s="135">
        <v>0.6</v>
      </c>
      <c r="AY67" s="135">
        <v>10</v>
      </c>
      <c r="AZ67" s="135">
        <v>16.399999999999999</v>
      </c>
      <c r="BA67" s="135">
        <v>0.06</v>
      </c>
      <c r="BB67" s="135"/>
      <c r="BC67" s="135"/>
      <c r="BD67" s="135"/>
      <c r="BE67" s="135"/>
      <c r="BF67" s="135">
        <v>0.8</v>
      </c>
      <c r="BG67" s="135">
        <v>5000</v>
      </c>
      <c r="BH67" s="135">
        <v>5928.8</v>
      </c>
      <c r="BI67" s="135">
        <v>0.17</v>
      </c>
      <c r="BJ67" s="135">
        <v>41.5</v>
      </c>
      <c r="BK67" s="135">
        <v>9.5</v>
      </c>
      <c r="BL67" s="135">
        <v>16</v>
      </c>
    </row>
    <row r="68" spans="1:64" x14ac:dyDescent="0.3">
      <c r="A68" s="135">
        <v>2016</v>
      </c>
      <c r="B68" s="135">
        <v>3</v>
      </c>
      <c r="C68" s="135" t="s">
        <v>2254</v>
      </c>
      <c r="D68" s="135" t="s">
        <v>98</v>
      </c>
      <c r="E68" s="135" t="s">
        <v>399</v>
      </c>
      <c r="F68" s="135" t="s">
        <v>20</v>
      </c>
      <c r="G68" s="135" t="s">
        <v>1965</v>
      </c>
      <c r="H68" s="135">
        <v>6.88</v>
      </c>
      <c r="I68" s="135">
        <v>0.39300000000000002</v>
      </c>
      <c r="J68" s="135">
        <v>0.629</v>
      </c>
      <c r="K68" s="135">
        <v>0</v>
      </c>
      <c r="L68" s="135">
        <v>0</v>
      </c>
      <c r="M68" s="135">
        <v>0</v>
      </c>
      <c r="N68" s="135">
        <v>0</v>
      </c>
      <c r="O68" s="135">
        <v>0</v>
      </c>
      <c r="P68" s="135">
        <v>0</v>
      </c>
      <c r="Q68" s="135">
        <v>0</v>
      </c>
      <c r="R68" s="135">
        <v>0</v>
      </c>
      <c r="S68" s="135">
        <v>0.23599999999999999</v>
      </c>
      <c r="T68" s="135">
        <v>2.8260000000000001</v>
      </c>
      <c r="U68" s="135">
        <v>1.9E-2</v>
      </c>
      <c r="V68" s="135">
        <v>2E-3</v>
      </c>
      <c r="W68" s="135">
        <v>0</v>
      </c>
      <c r="X68" s="135">
        <v>0</v>
      </c>
      <c r="Y68" s="135" t="s">
        <v>1995</v>
      </c>
      <c r="Z68" s="135">
        <v>0.5</v>
      </c>
      <c r="AA68" s="135">
        <v>3000</v>
      </c>
      <c r="AB68" s="135">
        <v>5898.5</v>
      </c>
      <c r="AC68" s="135">
        <v>0.17</v>
      </c>
      <c r="AD68" s="135">
        <v>0.6</v>
      </c>
      <c r="AE68" s="135">
        <v>5000</v>
      </c>
      <c r="AF68" s="135">
        <v>7954.2</v>
      </c>
      <c r="AG68" s="135">
        <v>0.13</v>
      </c>
      <c r="AH68" s="135">
        <v>0.6</v>
      </c>
      <c r="AI68" s="135">
        <v>2500</v>
      </c>
      <c r="AJ68" s="135">
        <v>3860.7</v>
      </c>
      <c r="AK68" s="135">
        <v>0.26</v>
      </c>
      <c r="AL68" s="135">
        <v>0.5</v>
      </c>
      <c r="AM68" s="135">
        <v>4500</v>
      </c>
      <c r="AN68" s="135">
        <v>8813.2000000000007</v>
      </c>
      <c r="AO68" s="135">
        <v>0.11</v>
      </c>
      <c r="AP68" s="135"/>
      <c r="AQ68" s="135"/>
      <c r="AR68" s="135"/>
      <c r="AS68" s="135"/>
      <c r="AT68" s="135"/>
      <c r="AU68" s="135"/>
      <c r="AV68" s="135"/>
      <c r="AW68" s="135"/>
      <c r="AX68" s="135">
        <v>0.5</v>
      </c>
      <c r="AY68" s="135">
        <v>10</v>
      </c>
      <c r="AZ68" s="135">
        <v>19.600000000000001</v>
      </c>
      <c r="BA68" s="135">
        <v>0.05</v>
      </c>
      <c r="BB68" s="135"/>
      <c r="BC68" s="135"/>
      <c r="BD68" s="135"/>
      <c r="BE68" s="135"/>
      <c r="BF68" s="135">
        <v>0.6</v>
      </c>
      <c r="BG68" s="135">
        <v>6000</v>
      </c>
      <c r="BH68" s="135">
        <v>9265.6</v>
      </c>
      <c r="BI68" s="135">
        <v>0.11</v>
      </c>
      <c r="BJ68" s="135">
        <v>46</v>
      </c>
      <c r="BK68" s="135">
        <v>-3.5</v>
      </c>
      <c r="BL68" s="135">
        <v>24.75</v>
      </c>
    </row>
    <row r="69" spans="1:64" x14ac:dyDescent="0.3">
      <c r="A69" s="135">
        <v>2016</v>
      </c>
      <c r="B69" s="135">
        <v>3</v>
      </c>
      <c r="C69" s="135" t="s">
        <v>2255</v>
      </c>
      <c r="D69" s="135" t="s">
        <v>350</v>
      </c>
      <c r="E69" s="135" t="s">
        <v>399</v>
      </c>
      <c r="F69" s="135" t="s">
        <v>32</v>
      </c>
      <c r="G69" s="135" t="s">
        <v>1980</v>
      </c>
      <c r="H69" s="135">
        <v>9.23</v>
      </c>
      <c r="I69" s="135">
        <v>0.378</v>
      </c>
      <c r="J69" s="135">
        <v>0.62</v>
      </c>
      <c r="K69" s="135">
        <v>0</v>
      </c>
      <c r="L69" s="135">
        <v>0</v>
      </c>
      <c r="M69" s="135">
        <v>0</v>
      </c>
      <c r="N69" s="135">
        <v>0</v>
      </c>
      <c r="O69" s="135">
        <v>0</v>
      </c>
      <c r="P69" s="135">
        <v>0</v>
      </c>
      <c r="Q69" s="135">
        <v>0</v>
      </c>
      <c r="R69" s="135">
        <v>0</v>
      </c>
      <c r="S69" s="135">
        <v>0.24199999999999999</v>
      </c>
      <c r="T69" s="135">
        <v>2.7410000000000001</v>
      </c>
      <c r="U69" s="135">
        <v>1.7999999999999999E-2</v>
      </c>
      <c r="V69" s="135">
        <v>2E-3</v>
      </c>
      <c r="W69" s="135">
        <v>0</v>
      </c>
      <c r="X69" s="135">
        <v>0</v>
      </c>
      <c r="Y69" s="135" t="s">
        <v>1995</v>
      </c>
      <c r="Z69" s="135">
        <v>0.5</v>
      </c>
      <c r="AA69" s="135">
        <v>3000</v>
      </c>
      <c r="AB69" s="135">
        <v>6035</v>
      </c>
      <c r="AC69" s="135">
        <v>0.17</v>
      </c>
      <c r="AD69" s="135">
        <v>0.6</v>
      </c>
      <c r="AE69" s="135">
        <v>5000</v>
      </c>
      <c r="AF69" s="135">
        <v>8063.2</v>
      </c>
      <c r="AG69" s="135">
        <v>0.12</v>
      </c>
      <c r="AH69" s="135">
        <v>0.6</v>
      </c>
      <c r="AI69" s="135">
        <v>2500</v>
      </c>
      <c r="AJ69" s="135">
        <v>3915.1</v>
      </c>
      <c r="AK69" s="135">
        <v>0.26</v>
      </c>
      <c r="AL69" s="135">
        <v>0.5</v>
      </c>
      <c r="AM69" s="135">
        <v>4600</v>
      </c>
      <c r="AN69" s="135">
        <v>9216.6</v>
      </c>
      <c r="AO69" s="135">
        <v>0.11</v>
      </c>
      <c r="AP69" s="135"/>
      <c r="AQ69" s="135"/>
      <c r="AR69" s="135"/>
      <c r="AS69" s="135"/>
      <c r="AT69" s="135"/>
      <c r="AU69" s="135"/>
      <c r="AV69" s="135"/>
      <c r="AW69" s="135"/>
      <c r="AX69" s="135">
        <v>0.5</v>
      </c>
      <c r="AY69" s="135">
        <v>10</v>
      </c>
      <c r="AZ69" s="135">
        <v>20</v>
      </c>
      <c r="BA69" s="135">
        <v>0.05</v>
      </c>
      <c r="BB69" s="135"/>
      <c r="BC69" s="135"/>
      <c r="BD69" s="135"/>
      <c r="BE69" s="135"/>
      <c r="BF69" s="135">
        <v>0.6</v>
      </c>
      <c r="BG69" s="135">
        <v>5000</v>
      </c>
      <c r="BH69" s="135">
        <v>7830.3</v>
      </c>
      <c r="BI69" s="135">
        <v>0.13</v>
      </c>
      <c r="BJ69" s="135">
        <v>47</v>
      </c>
      <c r="BK69" s="135">
        <v>0.5</v>
      </c>
      <c r="BL69" s="135">
        <v>23.25</v>
      </c>
    </row>
    <row r="70" spans="1:64" x14ac:dyDescent="0.3">
      <c r="A70" s="135">
        <v>2016</v>
      </c>
      <c r="B70" s="135">
        <v>3</v>
      </c>
      <c r="C70" s="135" t="s">
        <v>2256</v>
      </c>
      <c r="D70" s="135" t="s">
        <v>543</v>
      </c>
      <c r="E70" s="135" t="s">
        <v>399</v>
      </c>
      <c r="F70" s="135" t="s">
        <v>34</v>
      </c>
      <c r="G70" s="135" t="s">
        <v>1982</v>
      </c>
      <c r="H70" s="135">
        <v>5.31</v>
      </c>
      <c r="I70" s="135">
        <v>0.254</v>
      </c>
      <c r="J70" s="135">
        <v>0.45600000000000002</v>
      </c>
      <c r="K70" s="135">
        <v>0</v>
      </c>
      <c r="L70" s="135">
        <v>0</v>
      </c>
      <c r="M70" s="135">
        <v>0</v>
      </c>
      <c r="N70" s="135">
        <v>0</v>
      </c>
      <c r="O70" s="135">
        <v>0</v>
      </c>
      <c r="P70" s="135">
        <v>0</v>
      </c>
      <c r="Q70" s="135">
        <v>0</v>
      </c>
      <c r="R70" s="135">
        <v>0</v>
      </c>
      <c r="S70" s="135">
        <v>0.20200000000000001</v>
      </c>
      <c r="T70" s="135">
        <v>2.5830000000000002</v>
      </c>
      <c r="U70" s="135">
        <v>0</v>
      </c>
      <c r="V70" s="135">
        <v>2E-3</v>
      </c>
      <c r="W70" s="135">
        <v>0</v>
      </c>
      <c r="X70" s="135">
        <v>0</v>
      </c>
      <c r="Y70" s="135" t="s">
        <v>1995</v>
      </c>
      <c r="Z70" s="135">
        <v>0.4</v>
      </c>
      <c r="AA70" s="135">
        <v>3000</v>
      </c>
      <c r="AB70" s="135">
        <v>8491.4</v>
      </c>
      <c r="AC70" s="135">
        <v>0.12</v>
      </c>
      <c r="AD70" s="135">
        <v>0.5</v>
      </c>
      <c r="AE70" s="135">
        <v>5000</v>
      </c>
      <c r="AF70" s="135">
        <v>10957.7</v>
      </c>
      <c r="AG70" s="135">
        <v>0.09</v>
      </c>
      <c r="AH70" s="135">
        <v>0.5</v>
      </c>
      <c r="AI70" s="135">
        <v>2500</v>
      </c>
      <c r="AJ70" s="135">
        <v>5276.5</v>
      </c>
      <c r="AK70" s="135">
        <v>0.19</v>
      </c>
      <c r="AL70" s="135">
        <v>0.4</v>
      </c>
      <c r="AM70" s="135">
        <v>4500</v>
      </c>
      <c r="AN70" s="135">
        <v>12665.4</v>
      </c>
      <c r="AO70" s="135">
        <v>0.08</v>
      </c>
      <c r="AP70" s="135"/>
      <c r="AQ70" s="135"/>
      <c r="AR70" s="135"/>
      <c r="AS70" s="135"/>
      <c r="AT70" s="135"/>
      <c r="AU70" s="135"/>
      <c r="AV70" s="135"/>
      <c r="AW70" s="135"/>
      <c r="AX70" s="135">
        <v>0.4</v>
      </c>
      <c r="AY70" s="135">
        <v>10</v>
      </c>
      <c r="AZ70" s="135">
        <v>28.1</v>
      </c>
      <c r="BA70" s="135">
        <v>0.04</v>
      </c>
      <c r="BB70" s="135"/>
      <c r="BC70" s="135"/>
      <c r="BD70" s="135"/>
      <c r="BE70" s="135"/>
      <c r="BF70" s="135">
        <v>0.5</v>
      </c>
      <c r="BG70" s="135">
        <v>5000</v>
      </c>
      <c r="BH70" s="135">
        <v>10553</v>
      </c>
      <c r="BI70" s="135">
        <v>0.09</v>
      </c>
      <c r="BJ70" s="135">
        <v>43</v>
      </c>
      <c r="BK70" s="135">
        <v>3</v>
      </c>
      <c r="BL70" s="135">
        <v>20</v>
      </c>
    </row>
    <row r="71" spans="1:64" x14ac:dyDescent="0.3">
      <c r="A71" s="135">
        <v>2016</v>
      </c>
      <c r="B71" s="135">
        <v>3</v>
      </c>
      <c r="C71" s="135" t="s">
        <v>2257</v>
      </c>
      <c r="D71" s="135" t="s">
        <v>546</v>
      </c>
      <c r="E71" s="135" t="s">
        <v>399</v>
      </c>
      <c r="F71" s="135" t="s">
        <v>16</v>
      </c>
      <c r="G71" s="135" t="s">
        <v>407</v>
      </c>
      <c r="H71" s="135">
        <v>8.69</v>
      </c>
      <c r="I71" s="135">
        <v>0.19400000000000001</v>
      </c>
      <c r="J71" s="135">
        <v>0.314</v>
      </c>
      <c r="K71" s="135">
        <v>0</v>
      </c>
      <c r="L71" s="135">
        <v>0</v>
      </c>
      <c r="M71" s="135">
        <v>0</v>
      </c>
      <c r="N71" s="135">
        <v>0</v>
      </c>
      <c r="O71" s="135">
        <v>0</v>
      </c>
      <c r="P71" s="135">
        <v>0</v>
      </c>
      <c r="Q71" s="135">
        <v>0</v>
      </c>
      <c r="R71" s="135">
        <v>0</v>
      </c>
      <c r="S71" s="135">
        <v>0.12</v>
      </c>
      <c r="T71" s="135">
        <v>1.357</v>
      </c>
      <c r="U71" s="135">
        <v>0.01</v>
      </c>
      <c r="V71" s="135">
        <v>1E-3</v>
      </c>
      <c r="W71" s="135">
        <v>0</v>
      </c>
      <c r="X71" s="135">
        <v>0</v>
      </c>
      <c r="Y71" s="135" t="s">
        <v>1995</v>
      </c>
      <c r="Z71" s="135">
        <v>0.3</v>
      </c>
      <c r="AA71" s="135">
        <v>3000</v>
      </c>
      <c r="AB71" s="135">
        <v>11871.8</v>
      </c>
      <c r="AC71" s="135">
        <v>0.08</v>
      </c>
      <c r="AD71" s="135">
        <v>0.3</v>
      </c>
      <c r="AE71" s="135">
        <v>5000</v>
      </c>
      <c r="AF71" s="135">
        <v>15938.8</v>
      </c>
      <c r="AG71" s="135">
        <v>0.06</v>
      </c>
      <c r="AH71" s="135">
        <v>0.3</v>
      </c>
      <c r="AI71" s="135">
        <v>2500</v>
      </c>
      <c r="AJ71" s="135">
        <v>7743.7</v>
      </c>
      <c r="AK71" s="135">
        <v>0.13</v>
      </c>
      <c r="AL71" s="135"/>
      <c r="AM71" s="135"/>
      <c r="AN71" s="135"/>
      <c r="AO71" s="135"/>
      <c r="AP71" s="135"/>
      <c r="AQ71" s="135"/>
      <c r="AR71" s="135"/>
      <c r="AS71" s="135"/>
      <c r="AT71" s="135"/>
      <c r="AU71" s="135"/>
      <c r="AV71" s="135"/>
      <c r="AW71" s="135"/>
      <c r="AX71" s="135">
        <v>0.3</v>
      </c>
      <c r="AY71" s="135">
        <v>10</v>
      </c>
      <c r="AZ71" s="135">
        <v>39.4</v>
      </c>
      <c r="BA71" s="135">
        <v>0.03</v>
      </c>
      <c r="BB71" s="135"/>
      <c r="BC71" s="135"/>
      <c r="BD71" s="135"/>
      <c r="BE71" s="135"/>
      <c r="BF71" s="135">
        <v>0.3</v>
      </c>
      <c r="BG71" s="135">
        <v>5000</v>
      </c>
      <c r="BH71" s="135">
        <v>15487.5</v>
      </c>
      <c r="BI71" s="135">
        <v>0.06</v>
      </c>
      <c r="BJ71" s="135">
        <v>52</v>
      </c>
      <c r="BK71" s="135">
        <v>-3</v>
      </c>
      <c r="BL71" s="135">
        <v>27.5</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48"/>
  <sheetViews>
    <sheetView workbookViewId="0">
      <selection activeCell="A2" sqref="A2:M48"/>
    </sheetView>
  </sheetViews>
  <sheetFormatPr defaultRowHeight="14.4" x14ac:dyDescent="0.3"/>
  <cols>
    <col min="1" max="1" width="22.21875" bestFit="1" customWidth="1"/>
    <col min="4" max="4" width="10.109375" style="6" customWidth="1"/>
    <col min="5" max="5" width="12.21875" style="6" customWidth="1"/>
    <col min="6" max="6" width="9.77734375" style="6" customWidth="1"/>
    <col min="7" max="7" width="9.5546875" style="6" customWidth="1"/>
    <col min="8" max="8" width="9.109375" style="6"/>
    <col min="9" max="9" width="11.109375" style="6" customWidth="1"/>
    <col min="10" max="10" width="9.109375" style="6"/>
  </cols>
  <sheetData>
    <row r="1" spans="1:13" x14ac:dyDescent="0.3">
      <c r="A1" t="s">
        <v>1</v>
      </c>
      <c r="B1" t="s">
        <v>757</v>
      </c>
      <c r="C1" t="s">
        <v>413</v>
      </c>
      <c r="D1" s="6" t="s">
        <v>422</v>
      </c>
      <c r="E1" s="6" t="s">
        <v>423</v>
      </c>
      <c r="F1" s="6" t="s">
        <v>424</v>
      </c>
      <c r="G1" s="6" t="s">
        <v>388</v>
      </c>
      <c r="H1" s="6" t="s">
        <v>389</v>
      </c>
      <c r="I1" s="6" t="s">
        <v>600</v>
      </c>
      <c r="J1" s="6" t="s">
        <v>601</v>
      </c>
      <c r="K1" s="6" t="s">
        <v>0</v>
      </c>
      <c r="L1" s="6" t="s">
        <v>1347</v>
      </c>
      <c r="M1" s="6" t="s">
        <v>1543</v>
      </c>
    </row>
    <row r="2" spans="1:13" x14ac:dyDescent="0.3">
      <c r="A2" s="135" t="s">
        <v>318</v>
      </c>
      <c r="B2" s="135" t="s">
        <v>402</v>
      </c>
      <c r="C2" s="135" t="s">
        <v>399</v>
      </c>
      <c r="D2" s="135" t="s">
        <v>752</v>
      </c>
      <c r="E2" s="135" t="s">
        <v>758</v>
      </c>
      <c r="F2" s="135" t="s">
        <v>758</v>
      </c>
      <c r="G2" s="135" t="s">
        <v>758</v>
      </c>
      <c r="H2" s="135">
        <v>5.9</v>
      </c>
      <c r="I2" s="135">
        <v>65.8</v>
      </c>
      <c r="J2" s="135" t="s">
        <v>752</v>
      </c>
      <c r="K2" s="135">
        <v>11.9</v>
      </c>
      <c r="L2" s="135" t="s">
        <v>1618</v>
      </c>
      <c r="M2" s="135">
        <v>1.61</v>
      </c>
    </row>
    <row r="3" spans="1:13" x14ac:dyDescent="0.3">
      <c r="A3" s="135" t="s">
        <v>215</v>
      </c>
      <c r="B3" s="135" t="s">
        <v>18</v>
      </c>
      <c r="C3" s="135" t="s">
        <v>399</v>
      </c>
      <c r="D3" s="135" t="s">
        <v>752</v>
      </c>
      <c r="E3" s="135" t="s">
        <v>761</v>
      </c>
      <c r="F3" s="135" t="s">
        <v>758</v>
      </c>
      <c r="G3" s="135" t="s">
        <v>758</v>
      </c>
      <c r="H3" s="135">
        <v>5.2</v>
      </c>
      <c r="I3" s="135">
        <v>60.3</v>
      </c>
      <c r="J3" s="135" t="s">
        <v>752</v>
      </c>
      <c r="K3" s="135">
        <v>11.1</v>
      </c>
      <c r="L3" s="135" t="s">
        <v>1617</v>
      </c>
      <c r="M3" s="135">
        <v>1.48</v>
      </c>
    </row>
    <row r="4" spans="1:13" x14ac:dyDescent="0.3">
      <c r="A4" s="135" t="s">
        <v>319</v>
      </c>
      <c r="B4" s="135" t="s">
        <v>22</v>
      </c>
      <c r="C4" s="135" t="s">
        <v>399</v>
      </c>
      <c r="D4" s="135" t="s">
        <v>752</v>
      </c>
      <c r="E4" s="135" t="s">
        <v>758</v>
      </c>
      <c r="F4" s="135" t="s">
        <v>758</v>
      </c>
      <c r="G4" s="135" t="s">
        <v>758</v>
      </c>
      <c r="H4" s="135">
        <v>4.4000000000000004</v>
      </c>
      <c r="I4" s="135">
        <v>58.9</v>
      </c>
      <c r="J4" s="135" t="s">
        <v>752</v>
      </c>
      <c r="K4" s="135">
        <v>10.5</v>
      </c>
      <c r="L4" s="135" t="s">
        <v>1619</v>
      </c>
      <c r="M4" s="135">
        <v>1.33</v>
      </c>
    </row>
    <row r="5" spans="1:13" x14ac:dyDescent="0.3">
      <c r="A5" s="135" t="s">
        <v>326</v>
      </c>
      <c r="B5" s="135" t="s">
        <v>561</v>
      </c>
      <c r="C5" s="135" t="s">
        <v>399</v>
      </c>
      <c r="D5" s="135" t="s">
        <v>752</v>
      </c>
      <c r="E5" s="135" t="s">
        <v>758</v>
      </c>
      <c r="F5" s="135" t="s">
        <v>758</v>
      </c>
      <c r="G5" s="135" t="s">
        <v>758</v>
      </c>
      <c r="H5" s="135">
        <v>4.9000000000000004</v>
      </c>
      <c r="I5" s="135">
        <v>52.2</v>
      </c>
      <c r="J5" s="135" t="s">
        <v>752</v>
      </c>
      <c r="K5" s="135">
        <v>10.1</v>
      </c>
      <c r="L5" s="135" t="s">
        <v>1629</v>
      </c>
      <c r="M5" s="135">
        <v>1.68</v>
      </c>
    </row>
    <row r="6" spans="1:13" x14ac:dyDescent="0.3">
      <c r="A6" s="135" t="s">
        <v>308</v>
      </c>
      <c r="B6" s="135" t="s">
        <v>404</v>
      </c>
      <c r="C6" s="135" t="s">
        <v>399</v>
      </c>
      <c r="D6" s="135" t="s">
        <v>752</v>
      </c>
      <c r="E6" s="135" t="s">
        <v>758</v>
      </c>
      <c r="F6" s="135" t="s">
        <v>758</v>
      </c>
      <c r="G6" s="135" t="s">
        <v>758</v>
      </c>
      <c r="H6" s="135">
        <v>4.3</v>
      </c>
      <c r="I6" s="135">
        <v>44.3</v>
      </c>
      <c r="J6" s="135" t="s">
        <v>752</v>
      </c>
      <c r="K6" s="135">
        <v>9</v>
      </c>
      <c r="L6" s="135" t="s">
        <v>1636</v>
      </c>
      <c r="M6" s="135">
        <v>1.67</v>
      </c>
    </row>
    <row r="7" spans="1:13" x14ac:dyDescent="0.3">
      <c r="A7" s="135" t="s">
        <v>320</v>
      </c>
      <c r="B7" s="135" t="s">
        <v>30</v>
      </c>
      <c r="C7" s="135" t="s">
        <v>399</v>
      </c>
      <c r="D7" s="135" t="s">
        <v>750</v>
      </c>
      <c r="E7" s="135" t="s">
        <v>758</v>
      </c>
      <c r="F7" s="135" t="s">
        <v>758</v>
      </c>
      <c r="G7" s="135" t="s">
        <v>758</v>
      </c>
      <c r="H7" s="135">
        <v>4.5999999999999996</v>
      </c>
      <c r="I7" s="135">
        <v>48.8</v>
      </c>
      <c r="J7" s="135" t="s">
        <v>750</v>
      </c>
      <c r="K7" s="135">
        <v>9</v>
      </c>
      <c r="L7" s="135" t="s">
        <v>1627</v>
      </c>
      <c r="M7" s="135">
        <v>1.34</v>
      </c>
    </row>
    <row r="8" spans="1:13" x14ac:dyDescent="0.3">
      <c r="A8" s="135" t="s">
        <v>329</v>
      </c>
      <c r="B8" s="135" t="s">
        <v>52</v>
      </c>
      <c r="C8" s="135" t="s">
        <v>399</v>
      </c>
      <c r="D8" s="135" t="s">
        <v>750</v>
      </c>
      <c r="E8" s="135" t="s">
        <v>758</v>
      </c>
      <c r="F8" s="135" t="s">
        <v>758</v>
      </c>
      <c r="G8" s="135" t="s">
        <v>758</v>
      </c>
      <c r="H8" s="135">
        <v>4.8</v>
      </c>
      <c r="I8" s="135">
        <v>47.3</v>
      </c>
      <c r="J8" s="135" t="s">
        <v>750</v>
      </c>
      <c r="K8" s="135">
        <v>8.9</v>
      </c>
      <c r="L8" s="135" t="s">
        <v>1629</v>
      </c>
      <c r="M8" s="135">
        <v>1.48</v>
      </c>
    </row>
    <row r="9" spans="1:13" x14ac:dyDescent="0.3">
      <c r="A9" s="135" t="s">
        <v>323</v>
      </c>
      <c r="B9" s="135" t="s">
        <v>397</v>
      </c>
      <c r="C9" s="135" t="s">
        <v>399</v>
      </c>
      <c r="D9" s="135" t="s">
        <v>759</v>
      </c>
      <c r="E9" s="135" t="s">
        <v>758</v>
      </c>
      <c r="F9" s="135" t="s">
        <v>758</v>
      </c>
      <c r="G9" s="135" t="s">
        <v>758</v>
      </c>
      <c r="H9" s="135">
        <v>4.8</v>
      </c>
      <c r="I9" s="135">
        <v>58.1</v>
      </c>
      <c r="J9" s="135" t="s">
        <v>759</v>
      </c>
      <c r="K9" s="135">
        <v>8.8000000000000007</v>
      </c>
      <c r="L9" s="135" t="s">
        <v>1638</v>
      </c>
      <c r="M9" s="135">
        <v>1.35</v>
      </c>
    </row>
    <row r="10" spans="1:13" x14ac:dyDescent="0.3">
      <c r="A10" s="135" t="s">
        <v>332</v>
      </c>
      <c r="B10" s="135" t="s">
        <v>26</v>
      </c>
      <c r="C10" s="135" t="s">
        <v>399</v>
      </c>
      <c r="D10" s="135" t="s">
        <v>750</v>
      </c>
      <c r="E10" s="135" t="s">
        <v>758</v>
      </c>
      <c r="F10" s="135" t="s">
        <v>758</v>
      </c>
      <c r="G10" s="135" t="s">
        <v>758</v>
      </c>
      <c r="H10" s="135">
        <v>3.8</v>
      </c>
      <c r="I10" s="135">
        <v>46.6</v>
      </c>
      <c r="J10" s="135" t="s">
        <v>750</v>
      </c>
      <c r="K10" s="135">
        <v>8.4</v>
      </c>
      <c r="L10" s="135" t="s">
        <v>1642</v>
      </c>
      <c r="M10" s="135">
        <v>1.45</v>
      </c>
    </row>
    <row r="11" spans="1:13" x14ac:dyDescent="0.3">
      <c r="A11" s="135" t="s">
        <v>357</v>
      </c>
      <c r="B11" s="135" t="s">
        <v>16</v>
      </c>
      <c r="C11" s="135" t="s">
        <v>399</v>
      </c>
      <c r="D11" s="135" t="s">
        <v>752</v>
      </c>
      <c r="E11" s="135" t="s">
        <v>758</v>
      </c>
      <c r="F11" s="135" t="s">
        <v>758</v>
      </c>
      <c r="G11" s="135" t="s">
        <v>758</v>
      </c>
      <c r="H11" s="135">
        <v>3.7</v>
      </c>
      <c r="I11" s="135">
        <v>41.5</v>
      </c>
      <c r="J11" s="135" t="s">
        <v>752</v>
      </c>
      <c r="K11" s="135">
        <v>8.4</v>
      </c>
      <c r="L11" s="135" t="s">
        <v>1664</v>
      </c>
      <c r="M11" s="135">
        <v>1.42</v>
      </c>
    </row>
    <row r="12" spans="1:13" x14ac:dyDescent="0.3">
      <c r="A12" s="135" t="s">
        <v>335</v>
      </c>
      <c r="B12" s="135" t="s">
        <v>50</v>
      </c>
      <c r="C12" s="135" t="s">
        <v>399</v>
      </c>
      <c r="D12" s="135" t="s">
        <v>750</v>
      </c>
      <c r="E12" s="135" t="s">
        <v>758</v>
      </c>
      <c r="F12" s="135" t="s">
        <v>758</v>
      </c>
      <c r="G12" s="135" t="s">
        <v>758</v>
      </c>
      <c r="H12" s="135">
        <v>4.3</v>
      </c>
      <c r="I12" s="135">
        <v>43.7</v>
      </c>
      <c r="J12" s="135" t="s">
        <v>750</v>
      </c>
      <c r="K12" s="135">
        <v>8.3000000000000007</v>
      </c>
      <c r="L12" s="135" t="s">
        <v>1646</v>
      </c>
      <c r="M12" s="135">
        <v>1.51</v>
      </c>
    </row>
    <row r="13" spans="1:13" x14ac:dyDescent="0.3">
      <c r="A13" s="135" t="s">
        <v>336</v>
      </c>
      <c r="B13" s="135" t="s">
        <v>402</v>
      </c>
      <c r="C13" s="135" t="s">
        <v>399</v>
      </c>
      <c r="D13" s="135" t="s">
        <v>752</v>
      </c>
      <c r="E13" s="135" t="s">
        <v>758</v>
      </c>
      <c r="F13" s="135" t="s">
        <v>758</v>
      </c>
      <c r="G13" s="135" t="s">
        <v>758</v>
      </c>
      <c r="H13" s="135">
        <v>3.7</v>
      </c>
      <c r="I13" s="135">
        <v>39.9</v>
      </c>
      <c r="J13" s="135" t="s">
        <v>752</v>
      </c>
      <c r="K13" s="135">
        <v>8.1999999999999993</v>
      </c>
      <c r="L13" s="135" t="s">
        <v>1643</v>
      </c>
      <c r="M13" s="135">
        <v>1.3</v>
      </c>
    </row>
    <row r="14" spans="1:13" x14ac:dyDescent="0.3">
      <c r="A14" s="135" t="s">
        <v>559</v>
      </c>
      <c r="B14" s="135" t="s">
        <v>407</v>
      </c>
      <c r="C14" s="135" t="s">
        <v>399</v>
      </c>
      <c r="D14" s="135" t="s">
        <v>759</v>
      </c>
      <c r="E14" s="135" t="s">
        <v>758</v>
      </c>
      <c r="F14" s="135" t="s">
        <v>758</v>
      </c>
      <c r="G14" s="135" t="s">
        <v>758</v>
      </c>
      <c r="H14" s="135">
        <v>5.2</v>
      </c>
      <c r="I14" s="135">
        <v>49.9</v>
      </c>
      <c r="J14" s="135" t="s">
        <v>759</v>
      </c>
      <c r="K14" s="135">
        <v>8.1999999999999993</v>
      </c>
      <c r="L14" s="135" t="s">
        <v>1652</v>
      </c>
      <c r="M14" s="135">
        <v>1.82</v>
      </c>
    </row>
    <row r="15" spans="1:13" x14ac:dyDescent="0.3">
      <c r="A15" s="135" t="s">
        <v>532</v>
      </c>
      <c r="B15" s="135" t="s">
        <v>32</v>
      </c>
      <c r="C15" s="135" t="s">
        <v>399</v>
      </c>
      <c r="D15" s="135" t="s">
        <v>750</v>
      </c>
      <c r="E15" s="135" t="s">
        <v>758</v>
      </c>
      <c r="F15" s="135" t="s">
        <v>758</v>
      </c>
      <c r="G15" s="135" t="s">
        <v>758</v>
      </c>
      <c r="H15" s="135">
        <v>4.2</v>
      </c>
      <c r="I15" s="135">
        <v>41.5</v>
      </c>
      <c r="J15" s="135" t="s">
        <v>750</v>
      </c>
      <c r="K15" s="135">
        <v>8.1</v>
      </c>
      <c r="L15" s="135" t="s">
        <v>1636</v>
      </c>
      <c r="M15" s="135">
        <v>1.5</v>
      </c>
    </row>
    <row r="16" spans="1:13" x14ac:dyDescent="0.3">
      <c r="A16" s="135" t="s">
        <v>328</v>
      </c>
      <c r="B16" s="135" t="s">
        <v>7</v>
      </c>
      <c r="C16" s="135" t="s">
        <v>399</v>
      </c>
      <c r="D16" s="135" t="s">
        <v>752</v>
      </c>
      <c r="E16" s="135" t="s">
        <v>758</v>
      </c>
      <c r="F16" s="135" t="s">
        <v>758</v>
      </c>
      <c r="G16" s="135" t="s">
        <v>758</v>
      </c>
      <c r="H16" s="135">
        <v>3.3</v>
      </c>
      <c r="I16" s="135">
        <v>36.799999999999997</v>
      </c>
      <c r="J16" s="135" t="s">
        <v>752</v>
      </c>
      <c r="K16" s="135">
        <v>7.7</v>
      </c>
      <c r="L16" s="135" t="s">
        <v>1626</v>
      </c>
      <c r="M16" s="135">
        <v>1.2</v>
      </c>
    </row>
    <row r="17" spans="1:13" x14ac:dyDescent="0.3">
      <c r="A17" s="135" t="s">
        <v>331</v>
      </c>
      <c r="B17" s="135" t="s">
        <v>41</v>
      </c>
      <c r="C17" s="135" t="s">
        <v>399</v>
      </c>
      <c r="D17" s="135" t="s">
        <v>750</v>
      </c>
      <c r="E17" s="135" t="s">
        <v>758</v>
      </c>
      <c r="F17" s="135" t="s">
        <v>758</v>
      </c>
      <c r="G17" s="135" t="s">
        <v>758</v>
      </c>
      <c r="H17" s="135">
        <v>3.8</v>
      </c>
      <c r="I17" s="135">
        <v>39.200000000000003</v>
      </c>
      <c r="J17" s="135" t="s">
        <v>750</v>
      </c>
      <c r="K17" s="135">
        <v>7.6</v>
      </c>
      <c r="L17" s="135" t="s">
        <v>1640</v>
      </c>
      <c r="M17" s="135">
        <v>1.36</v>
      </c>
    </row>
    <row r="18" spans="1:13" x14ac:dyDescent="0.3">
      <c r="A18" s="135" t="s">
        <v>334</v>
      </c>
      <c r="B18" s="135" t="s">
        <v>46</v>
      </c>
      <c r="C18" s="135" t="s">
        <v>399</v>
      </c>
      <c r="D18" s="135" t="s">
        <v>750</v>
      </c>
      <c r="E18" s="135" t="s">
        <v>758</v>
      </c>
      <c r="F18" s="135" t="s">
        <v>758</v>
      </c>
      <c r="G18" s="135" t="s">
        <v>758</v>
      </c>
      <c r="H18" s="135">
        <v>3.3</v>
      </c>
      <c r="I18" s="135">
        <v>41.7</v>
      </c>
      <c r="J18" s="135" t="s">
        <v>750</v>
      </c>
      <c r="K18" s="135">
        <v>7.6</v>
      </c>
      <c r="L18" s="135" t="s">
        <v>1235</v>
      </c>
      <c r="M18" s="135" t="s">
        <v>758</v>
      </c>
    </row>
    <row r="19" spans="1:13" x14ac:dyDescent="0.3">
      <c r="A19" s="135" t="s">
        <v>322</v>
      </c>
      <c r="B19" s="135" t="s">
        <v>14</v>
      </c>
      <c r="C19" s="135" t="s">
        <v>399</v>
      </c>
      <c r="D19" s="135" t="s">
        <v>750</v>
      </c>
      <c r="E19" s="135" t="s">
        <v>758</v>
      </c>
      <c r="F19" s="135" t="s">
        <v>758</v>
      </c>
      <c r="G19" s="135" t="s">
        <v>758</v>
      </c>
      <c r="H19" s="135">
        <v>3.3</v>
      </c>
      <c r="I19" s="135">
        <v>36.6</v>
      </c>
      <c r="J19" s="135" t="s">
        <v>750</v>
      </c>
      <c r="K19" s="135">
        <v>7.1</v>
      </c>
      <c r="L19" s="135" t="s">
        <v>1664</v>
      </c>
      <c r="M19" s="135">
        <v>1.2</v>
      </c>
    </row>
    <row r="20" spans="1:13" x14ac:dyDescent="0.3">
      <c r="A20" s="135" t="s">
        <v>344</v>
      </c>
      <c r="B20" s="135" t="s">
        <v>4</v>
      </c>
      <c r="C20" s="135" t="s">
        <v>399</v>
      </c>
      <c r="D20" s="135" t="s">
        <v>752</v>
      </c>
      <c r="E20" s="135" t="s">
        <v>758</v>
      </c>
      <c r="F20" s="135" t="s">
        <v>758</v>
      </c>
      <c r="G20" s="135" t="s">
        <v>758</v>
      </c>
      <c r="H20" s="135">
        <v>2.8</v>
      </c>
      <c r="I20" s="135">
        <v>29.1</v>
      </c>
      <c r="J20" s="135" t="s">
        <v>752</v>
      </c>
      <c r="K20" s="135">
        <v>6.7</v>
      </c>
      <c r="L20" s="135" t="s">
        <v>1649</v>
      </c>
      <c r="M20" s="135">
        <v>1.37</v>
      </c>
    </row>
    <row r="21" spans="1:13" x14ac:dyDescent="0.3">
      <c r="A21" s="135" t="s">
        <v>340</v>
      </c>
      <c r="B21" s="135" t="s">
        <v>401</v>
      </c>
      <c r="C21" s="135" t="s">
        <v>399</v>
      </c>
      <c r="D21" s="135" t="s">
        <v>761</v>
      </c>
      <c r="E21" s="135" t="s">
        <v>758</v>
      </c>
      <c r="F21" s="135" t="s">
        <v>758</v>
      </c>
      <c r="G21" s="135" t="s">
        <v>758</v>
      </c>
      <c r="H21" s="135">
        <v>3.2</v>
      </c>
      <c r="I21" s="135">
        <v>35.799999999999997</v>
      </c>
      <c r="J21" s="135" t="s">
        <v>761</v>
      </c>
      <c r="K21" s="135">
        <v>6.4</v>
      </c>
      <c r="L21" s="135" t="s">
        <v>1647</v>
      </c>
      <c r="M21" s="135">
        <v>1.21</v>
      </c>
    </row>
    <row r="22" spans="1:13" x14ac:dyDescent="0.3">
      <c r="A22" s="135" t="s">
        <v>362</v>
      </c>
      <c r="B22" s="135" t="s">
        <v>57</v>
      </c>
      <c r="C22" s="135" t="s">
        <v>399</v>
      </c>
      <c r="D22" s="135" t="s">
        <v>750</v>
      </c>
      <c r="E22" s="135" t="s">
        <v>758</v>
      </c>
      <c r="F22" s="135" t="s">
        <v>758</v>
      </c>
      <c r="G22" s="135" t="s">
        <v>758</v>
      </c>
      <c r="H22" s="135">
        <v>3.4</v>
      </c>
      <c r="I22" s="135">
        <v>27.5</v>
      </c>
      <c r="J22" s="135" t="s">
        <v>750</v>
      </c>
      <c r="K22" s="135">
        <v>6.3</v>
      </c>
      <c r="L22" s="135" t="s">
        <v>1652</v>
      </c>
      <c r="M22" s="135">
        <v>1.4</v>
      </c>
    </row>
    <row r="23" spans="1:13" x14ac:dyDescent="0.3">
      <c r="A23" s="135" t="s">
        <v>366</v>
      </c>
      <c r="B23" s="135" t="s">
        <v>70</v>
      </c>
      <c r="C23" s="135" t="s">
        <v>399</v>
      </c>
      <c r="D23" s="135" t="s">
        <v>752</v>
      </c>
      <c r="E23" s="135" t="s">
        <v>758</v>
      </c>
      <c r="F23" s="135" t="s">
        <v>758</v>
      </c>
      <c r="G23" s="135" t="s">
        <v>758</v>
      </c>
      <c r="H23" s="135">
        <v>2</v>
      </c>
      <c r="I23" s="135">
        <v>26.6</v>
      </c>
      <c r="J23" s="135" t="s">
        <v>752</v>
      </c>
      <c r="K23" s="135">
        <v>6.1</v>
      </c>
      <c r="L23" s="135" t="s">
        <v>1649</v>
      </c>
      <c r="M23" s="135">
        <v>1.24</v>
      </c>
    </row>
    <row r="24" spans="1:13" x14ac:dyDescent="0.3">
      <c r="A24" s="135" t="s">
        <v>333</v>
      </c>
      <c r="B24" s="135" t="s">
        <v>10</v>
      </c>
      <c r="C24" s="135" t="s">
        <v>399</v>
      </c>
      <c r="D24" s="135" t="s">
        <v>759</v>
      </c>
      <c r="E24" s="135" t="s">
        <v>758</v>
      </c>
      <c r="F24" s="135" t="s">
        <v>758</v>
      </c>
      <c r="G24" s="135" t="s">
        <v>758</v>
      </c>
      <c r="H24" s="135">
        <v>3.4</v>
      </c>
      <c r="I24" s="135">
        <v>36.6</v>
      </c>
      <c r="J24" s="135" t="s">
        <v>759</v>
      </c>
      <c r="K24" s="135">
        <v>6</v>
      </c>
      <c r="L24" s="135" t="s">
        <v>1645</v>
      </c>
      <c r="M24" s="135">
        <v>1.18</v>
      </c>
    </row>
    <row r="25" spans="1:13" x14ac:dyDescent="0.3">
      <c r="A25" s="135" t="s">
        <v>342</v>
      </c>
      <c r="B25" s="135" t="s">
        <v>24</v>
      </c>
      <c r="C25" s="135" t="s">
        <v>399</v>
      </c>
      <c r="D25" s="135" t="s">
        <v>750</v>
      </c>
      <c r="E25" s="135" t="s">
        <v>758</v>
      </c>
      <c r="F25" s="135" t="s">
        <v>758</v>
      </c>
      <c r="G25" s="135" t="s">
        <v>758</v>
      </c>
      <c r="H25" s="135">
        <v>2.5</v>
      </c>
      <c r="I25" s="135">
        <v>28.3</v>
      </c>
      <c r="J25" s="135" t="s">
        <v>750</v>
      </c>
      <c r="K25" s="135">
        <v>5.9</v>
      </c>
      <c r="L25" s="135" t="s">
        <v>1641</v>
      </c>
      <c r="M25" s="135">
        <v>1.26</v>
      </c>
    </row>
    <row r="26" spans="1:13" x14ac:dyDescent="0.3">
      <c r="A26" s="135" t="s">
        <v>383</v>
      </c>
      <c r="B26" s="135" t="s">
        <v>28</v>
      </c>
      <c r="C26" s="135" t="s">
        <v>399</v>
      </c>
      <c r="D26" s="135" t="s">
        <v>761</v>
      </c>
      <c r="E26" s="135" t="s">
        <v>758</v>
      </c>
      <c r="F26" s="135" t="s">
        <v>758</v>
      </c>
      <c r="G26" s="135" t="s">
        <v>758</v>
      </c>
      <c r="H26" s="135">
        <v>2.2000000000000002</v>
      </c>
      <c r="I26" s="135">
        <v>26.5</v>
      </c>
      <c r="J26" s="135" t="s">
        <v>761</v>
      </c>
      <c r="K26" s="135">
        <v>5</v>
      </c>
      <c r="L26" s="135" t="s">
        <v>1628</v>
      </c>
      <c r="M26" s="135">
        <v>1</v>
      </c>
    </row>
    <row r="27" spans="1:13" x14ac:dyDescent="0.3">
      <c r="A27" s="135" t="s">
        <v>354</v>
      </c>
      <c r="B27" s="135" t="s">
        <v>20</v>
      </c>
      <c r="C27" s="135" t="s">
        <v>399</v>
      </c>
      <c r="D27" s="135" t="s">
        <v>761</v>
      </c>
      <c r="E27" s="135" t="s">
        <v>758</v>
      </c>
      <c r="F27" s="135" t="s">
        <v>758</v>
      </c>
      <c r="G27" s="135" t="s">
        <v>758</v>
      </c>
      <c r="H27" s="135">
        <v>2.7</v>
      </c>
      <c r="I27" s="135">
        <v>23.6</v>
      </c>
      <c r="J27" s="135" t="s">
        <v>761</v>
      </c>
      <c r="K27" s="135">
        <v>4.9000000000000004</v>
      </c>
      <c r="L27" s="135" t="s">
        <v>1652</v>
      </c>
      <c r="M27" s="135">
        <v>1.0900000000000001</v>
      </c>
    </row>
    <row r="28" spans="1:13" x14ac:dyDescent="0.3">
      <c r="A28" s="135" t="s">
        <v>368</v>
      </c>
      <c r="B28" s="135" t="s">
        <v>16</v>
      </c>
      <c r="C28" s="135" t="s">
        <v>399</v>
      </c>
      <c r="D28" s="135" t="s">
        <v>761</v>
      </c>
      <c r="E28" s="135" t="s">
        <v>758</v>
      </c>
      <c r="F28" s="135" t="s">
        <v>758</v>
      </c>
      <c r="G28" s="135" t="s">
        <v>758</v>
      </c>
      <c r="H28" s="135">
        <v>2.2000000000000002</v>
      </c>
      <c r="I28" s="135">
        <v>19.8</v>
      </c>
      <c r="J28" s="135" t="s">
        <v>761</v>
      </c>
      <c r="K28" s="135">
        <v>4.3</v>
      </c>
      <c r="L28" s="135" t="s">
        <v>1639</v>
      </c>
      <c r="M28" s="135" t="s">
        <v>1650</v>
      </c>
    </row>
    <row r="29" spans="1:13" x14ac:dyDescent="0.3">
      <c r="A29" s="135" t="s">
        <v>338</v>
      </c>
      <c r="B29" s="135" t="s">
        <v>398</v>
      </c>
      <c r="C29" s="135" t="s">
        <v>399</v>
      </c>
      <c r="D29" s="135" t="s">
        <v>761</v>
      </c>
      <c r="E29" s="135" t="s">
        <v>758</v>
      </c>
      <c r="F29" s="135" t="s">
        <v>758</v>
      </c>
      <c r="G29" s="135" t="s">
        <v>758</v>
      </c>
      <c r="H29" s="135">
        <v>1.9</v>
      </c>
      <c r="I29" s="135">
        <v>21.2</v>
      </c>
      <c r="J29" s="135" t="s">
        <v>761</v>
      </c>
      <c r="K29" s="135">
        <v>4.3</v>
      </c>
      <c r="L29" s="135" t="s">
        <v>1641</v>
      </c>
      <c r="M29" s="135" t="s">
        <v>1759</v>
      </c>
    </row>
    <row r="30" spans="1:13" x14ac:dyDescent="0.3">
      <c r="A30" s="135" t="s">
        <v>337</v>
      </c>
      <c r="B30" s="135" t="s">
        <v>43</v>
      </c>
      <c r="C30" s="135" t="s">
        <v>399</v>
      </c>
      <c r="D30" s="135" t="s">
        <v>759</v>
      </c>
      <c r="E30" s="135" t="s">
        <v>758</v>
      </c>
      <c r="F30" s="135" t="s">
        <v>758</v>
      </c>
      <c r="G30" s="135" t="s">
        <v>758</v>
      </c>
      <c r="H30" s="135">
        <v>2.2000000000000002</v>
      </c>
      <c r="I30" s="135">
        <v>24.6</v>
      </c>
      <c r="J30" s="135" t="s">
        <v>759</v>
      </c>
      <c r="K30" s="135">
        <v>4.2</v>
      </c>
      <c r="L30" s="135" t="s">
        <v>1652</v>
      </c>
      <c r="M30" s="135" t="s">
        <v>1673</v>
      </c>
    </row>
    <row r="31" spans="1:13" x14ac:dyDescent="0.3">
      <c r="A31" s="135" t="s">
        <v>330</v>
      </c>
      <c r="B31" s="135" t="s">
        <v>32</v>
      </c>
      <c r="C31" s="135" t="s">
        <v>399</v>
      </c>
      <c r="D31" s="135" t="s">
        <v>750</v>
      </c>
      <c r="E31" s="135" t="s">
        <v>758</v>
      </c>
      <c r="F31" s="135" t="s">
        <v>758</v>
      </c>
      <c r="G31" s="135" t="s">
        <v>758</v>
      </c>
      <c r="H31" s="135">
        <v>1.4</v>
      </c>
      <c r="I31" s="135">
        <v>14.2</v>
      </c>
      <c r="J31" s="135" t="s">
        <v>750</v>
      </c>
      <c r="K31" s="135">
        <v>3.9</v>
      </c>
      <c r="L31" s="135" t="s">
        <v>1652</v>
      </c>
      <c r="M31" s="135" t="s">
        <v>2586</v>
      </c>
    </row>
    <row r="32" spans="1:13" x14ac:dyDescent="0.3">
      <c r="A32" s="135" t="s">
        <v>263</v>
      </c>
      <c r="B32" s="135" t="s">
        <v>409</v>
      </c>
      <c r="C32" s="135" t="s">
        <v>399</v>
      </c>
      <c r="D32" s="135" t="s">
        <v>759</v>
      </c>
      <c r="E32" s="135" t="s">
        <v>758</v>
      </c>
      <c r="F32" s="135" t="s">
        <v>758</v>
      </c>
      <c r="G32" s="135" t="s">
        <v>758</v>
      </c>
      <c r="H32" s="135">
        <v>2.2999999999999998</v>
      </c>
      <c r="I32" s="135">
        <v>20.3</v>
      </c>
      <c r="J32" s="135" t="s">
        <v>759</v>
      </c>
      <c r="K32" s="135">
        <v>3.8</v>
      </c>
      <c r="L32" s="135" t="s">
        <v>1652</v>
      </c>
      <c r="M32" s="135" t="s">
        <v>1755</v>
      </c>
    </row>
    <row r="33" spans="1:13" x14ac:dyDescent="0.3">
      <c r="A33" s="135" t="s">
        <v>339</v>
      </c>
      <c r="B33" s="135" t="s">
        <v>37</v>
      </c>
      <c r="C33" s="135" t="s">
        <v>399</v>
      </c>
      <c r="D33" s="135" t="s">
        <v>759</v>
      </c>
      <c r="E33" s="135" t="s">
        <v>758</v>
      </c>
      <c r="F33" s="135" t="s">
        <v>758</v>
      </c>
      <c r="G33" s="135" t="s">
        <v>758</v>
      </c>
      <c r="H33" s="135">
        <v>2.2999999999999998</v>
      </c>
      <c r="I33" s="135">
        <v>19.600000000000001</v>
      </c>
      <c r="J33" s="135" t="s">
        <v>759</v>
      </c>
      <c r="K33" s="135">
        <v>3.7</v>
      </c>
      <c r="L33" s="135" t="s">
        <v>1645</v>
      </c>
      <c r="M33" s="135" t="s">
        <v>1656</v>
      </c>
    </row>
    <row r="34" spans="1:13" x14ac:dyDescent="0.3">
      <c r="A34" s="135" t="s">
        <v>1253</v>
      </c>
      <c r="B34" s="135" t="s">
        <v>70</v>
      </c>
      <c r="C34" s="135" t="s">
        <v>399</v>
      </c>
      <c r="D34" s="135" t="s">
        <v>761</v>
      </c>
      <c r="E34" s="135" t="s">
        <v>758</v>
      </c>
      <c r="F34" s="135" t="s">
        <v>758</v>
      </c>
      <c r="G34" s="135" t="s">
        <v>758</v>
      </c>
      <c r="H34" s="135">
        <v>1.4</v>
      </c>
      <c r="I34" s="135">
        <v>15.5</v>
      </c>
      <c r="J34" s="135" t="s">
        <v>761</v>
      </c>
      <c r="K34" s="135">
        <v>3.5</v>
      </c>
      <c r="L34" s="135" t="s">
        <v>1652</v>
      </c>
      <c r="M34" s="135" t="s">
        <v>1760</v>
      </c>
    </row>
    <row r="35" spans="1:13" x14ac:dyDescent="0.3">
      <c r="A35" s="135" t="s">
        <v>325</v>
      </c>
      <c r="B35" s="135" t="s">
        <v>407</v>
      </c>
      <c r="C35" s="135" t="s">
        <v>399</v>
      </c>
      <c r="D35" s="135" t="s">
        <v>759</v>
      </c>
      <c r="E35" s="135" t="s">
        <v>758</v>
      </c>
      <c r="F35" s="135" t="s">
        <v>758</v>
      </c>
      <c r="G35" s="135" t="s">
        <v>758</v>
      </c>
      <c r="H35" s="135">
        <v>1.6</v>
      </c>
      <c r="I35" s="135">
        <v>18</v>
      </c>
      <c r="J35" s="135" t="s">
        <v>759</v>
      </c>
      <c r="K35" s="135">
        <v>3.2</v>
      </c>
      <c r="L35" s="135" t="s">
        <v>1642</v>
      </c>
      <c r="M35" s="135" t="s">
        <v>1766</v>
      </c>
    </row>
    <row r="36" spans="1:13" x14ac:dyDescent="0.3">
      <c r="A36" s="135" t="s">
        <v>244</v>
      </c>
      <c r="B36" s="135" t="s">
        <v>37</v>
      </c>
      <c r="C36" s="135" t="s">
        <v>399</v>
      </c>
      <c r="D36" s="135" t="s">
        <v>759</v>
      </c>
      <c r="E36" s="135" t="s">
        <v>758</v>
      </c>
      <c r="F36" s="135" t="s">
        <v>758</v>
      </c>
      <c r="G36" s="135" t="s">
        <v>758</v>
      </c>
      <c r="H36" s="135">
        <v>1.7</v>
      </c>
      <c r="I36" s="135">
        <v>16.3</v>
      </c>
      <c r="J36" s="135" t="s">
        <v>759</v>
      </c>
      <c r="K36" s="135">
        <v>3.1</v>
      </c>
      <c r="L36" s="135" t="s">
        <v>1641</v>
      </c>
      <c r="M36" s="135" t="s">
        <v>2577</v>
      </c>
    </row>
    <row r="37" spans="1:13" x14ac:dyDescent="0.3">
      <c r="A37" s="135" t="s">
        <v>352</v>
      </c>
      <c r="B37" s="135" t="s">
        <v>24</v>
      </c>
      <c r="C37" s="135" t="s">
        <v>399</v>
      </c>
      <c r="D37" s="135" t="s">
        <v>759</v>
      </c>
      <c r="E37" s="135" t="s">
        <v>758</v>
      </c>
      <c r="F37" s="135" t="s">
        <v>758</v>
      </c>
      <c r="G37" s="135" t="s">
        <v>758</v>
      </c>
      <c r="H37" s="135">
        <v>1.5</v>
      </c>
      <c r="I37" s="135">
        <v>17.8</v>
      </c>
      <c r="J37" s="135" t="s">
        <v>759</v>
      </c>
      <c r="K37" s="135">
        <v>3.1</v>
      </c>
      <c r="L37" s="135" t="s">
        <v>1652</v>
      </c>
      <c r="M37" s="135" t="s">
        <v>1756</v>
      </c>
    </row>
    <row r="38" spans="1:13" x14ac:dyDescent="0.3">
      <c r="A38" s="135" t="s">
        <v>345</v>
      </c>
      <c r="B38" s="135" t="s">
        <v>398</v>
      </c>
      <c r="C38" s="135" t="s">
        <v>399</v>
      </c>
      <c r="D38" s="135" t="s">
        <v>759</v>
      </c>
      <c r="E38" s="135" t="s">
        <v>758</v>
      </c>
      <c r="F38" s="135" t="s">
        <v>758</v>
      </c>
      <c r="G38" s="135" t="s">
        <v>758</v>
      </c>
      <c r="H38" s="135">
        <v>1.4</v>
      </c>
      <c r="I38" s="135">
        <v>16.899999999999999</v>
      </c>
      <c r="J38" s="135" t="s">
        <v>759</v>
      </c>
      <c r="K38" s="135">
        <v>3</v>
      </c>
      <c r="L38" s="135" t="s">
        <v>1652</v>
      </c>
      <c r="M38" s="135" t="s">
        <v>1655</v>
      </c>
    </row>
    <row r="39" spans="1:13" x14ac:dyDescent="0.3">
      <c r="A39" s="135" t="s">
        <v>361</v>
      </c>
      <c r="B39" s="135" t="s">
        <v>561</v>
      </c>
      <c r="C39" s="135" t="s">
        <v>399</v>
      </c>
      <c r="D39" s="135" t="s">
        <v>759</v>
      </c>
      <c r="E39" s="135" t="s">
        <v>758</v>
      </c>
      <c r="F39" s="135" t="s">
        <v>758</v>
      </c>
      <c r="G39" s="135" t="s">
        <v>758</v>
      </c>
      <c r="H39" s="135">
        <v>1.5</v>
      </c>
      <c r="I39" s="135">
        <v>15.3</v>
      </c>
      <c r="J39" s="135" t="s">
        <v>759</v>
      </c>
      <c r="K39" s="135">
        <v>2.9</v>
      </c>
      <c r="L39" s="135" t="s">
        <v>1654</v>
      </c>
      <c r="M39" s="135" t="s">
        <v>1657</v>
      </c>
    </row>
    <row r="40" spans="1:13" x14ac:dyDescent="0.3">
      <c r="A40" s="135" t="s">
        <v>531</v>
      </c>
      <c r="B40" s="135" t="s">
        <v>30</v>
      </c>
      <c r="C40" s="135" t="s">
        <v>399</v>
      </c>
      <c r="D40" s="135" t="s">
        <v>759</v>
      </c>
      <c r="E40" s="135" t="s">
        <v>758</v>
      </c>
      <c r="F40" s="135" t="s">
        <v>758</v>
      </c>
      <c r="G40" s="135" t="s">
        <v>758</v>
      </c>
      <c r="H40" s="135">
        <v>1.4</v>
      </c>
      <c r="I40" s="135">
        <v>15.9</v>
      </c>
      <c r="J40" s="135" t="s">
        <v>759</v>
      </c>
      <c r="K40" s="135">
        <v>2.9</v>
      </c>
      <c r="L40" s="135" t="s">
        <v>1654</v>
      </c>
      <c r="M40" s="135" t="s">
        <v>1657</v>
      </c>
    </row>
    <row r="41" spans="1:13" x14ac:dyDescent="0.3">
      <c r="A41" s="135" t="s">
        <v>542</v>
      </c>
      <c r="B41" s="135" t="s">
        <v>26</v>
      </c>
      <c r="C41" s="135" t="s">
        <v>399</v>
      </c>
      <c r="D41" s="135" t="s">
        <v>759</v>
      </c>
      <c r="E41" s="135" t="s">
        <v>758</v>
      </c>
      <c r="F41" s="135" t="s">
        <v>758</v>
      </c>
      <c r="G41" s="135" t="s">
        <v>758</v>
      </c>
      <c r="H41" s="135">
        <v>1.3</v>
      </c>
      <c r="I41" s="135">
        <v>14</v>
      </c>
      <c r="J41" s="135" t="s">
        <v>759</v>
      </c>
      <c r="K41" s="135">
        <v>2.7</v>
      </c>
      <c r="L41" s="135" t="s">
        <v>1652</v>
      </c>
      <c r="M41" s="135" t="s">
        <v>1762</v>
      </c>
    </row>
    <row r="42" spans="1:13" x14ac:dyDescent="0.3">
      <c r="A42" s="135" t="s">
        <v>558</v>
      </c>
      <c r="B42" s="135" t="s">
        <v>50</v>
      </c>
      <c r="C42" s="135" t="s">
        <v>399</v>
      </c>
      <c r="D42" s="135" t="s">
        <v>759</v>
      </c>
      <c r="E42" s="135" t="s">
        <v>758</v>
      </c>
      <c r="F42" s="135" t="s">
        <v>758</v>
      </c>
      <c r="G42" s="135" t="s">
        <v>758</v>
      </c>
      <c r="H42" s="135">
        <v>1.4</v>
      </c>
      <c r="I42" s="135">
        <v>14.3</v>
      </c>
      <c r="J42" s="135" t="s">
        <v>759</v>
      </c>
      <c r="K42" s="135">
        <v>2.7</v>
      </c>
      <c r="L42" s="135" t="s">
        <v>1652</v>
      </c>
      <c r="M42" s="135" t="s">
        <v>1762</v>
      </c>
    </row>
    <row r="43" spans="1:13" x14ac:dyDescent="0.3">
      <c r="A43" s="135" t="s">
        <v>351</v>
      </c>
      <c r="B43" s="135" t="s">
        <v>7</v>
      </c>
      <c r="C43" s="135" t="s">
        <v>399</v>
      </c>
      <c r="D43" s="135" t="s">
        <v>759</v>
      </c>
      <c r="E43" s="135" t="s">
        <v>758</v>
      </c>
      <c r="F43" s="135" t="s">
        <v>758</v>
      </c>
      <c r="G43" s="135" t="s">
        <v>758</v>
      </c>
      <c r="H43" s="135">
        <v>1.3</v>
      </c>
      <c r="I43" s="135">
        <v>13.4</v>
      </c>
      <c r="J43" s="135" t="s">
        <v>759</v>
      </c>
      <c r="K43" s="135">
        <v>2.6</v>
      </c>
      <c r="L43" s="135" t="s">
        <v>1652</v>
      </c>
      <c r="M43" s="135" t="s">
        <v>2587</v>
      </c>
    </row>
    <row r="44" spans="1:13" x14ac:dyDescent="0.3">
      <c r="A44" s="135" t="s">
        <v>557</v>
      </c>
      <c r="B44" s="135" t="s">
        <v>26</v>
      </c>
      <c r="C44" s="135" t="s">
        <v>399</v>
      </c>
      <c r="D44" s="135" t="s">
        <v>759</v>
      </c>
      <c r="E44" s="135" t="s">
        <v>758</v>
      </c>
      <c r="F44" s="135" t="s">
        <v>758</v>
      </c>
      <c r="G44" s="135" t="s">
        <v>758</v>
      </c>
      <c r="H44" s="135">
        <v>1.1000000000000001</v>
      </c>
      <c r="I44" s="135">
        <v>13</v>
      </c>
      <c r="J44" s="135" t="s">
        <v>759</v>
      </c>
      <c r="K44" s="135">
        <v>2.5</v>
      </c>
      <c r="L44" s="135" t="s">
        <v>1652</v>
      </c>
      <c r="M44" s="135" t="s">
        <v>2578</v>
      </c>
    </row>
    <row r="45" spans="1:13" x14ac:dyDescent="0.3">
      <c r="A45" s="135" t="s">
        <v>347</v>
      </c>
      <c r="B45" s="135" t="s">
        <v>4</v>
      </c>
      <c r="C45" s="135" t="s">
        <v>399</v>
      </c>
      <c r="D45" s="135" t="s">
        <v>759</v>
      </c>
      <c r="E45" s="135" t="s">
        <v>758</v>
      </c>
      <c r="F45" s="135" t="s">
        <v>758</v>
      </c>
      <c r="G45" s="135" t="s">
        <v>758</v>
      </c>
      <c r="H45" s="135">
        <v>1.4</v>
      </c>
      <c r="I45" s="135">
        <v>12.1</v>
      </c>
      <c r="J45" s="135" t="s">
        <v>759</v>
      </c>
      <c r="K45" s="135">
        <v>2.5</v>
      </c>
      <c r="L45" s="135" t="s">
        <v>1652</v>
      </c>
      <c r="M45" s="135" t="s">
        <v>2578</v>
      </c>
    </row>
    <row r="46" spans="1:13" x14ac:dyDescent="0.3">
      <c r="A46" s="135" t="s">
        <v>355</v>
      </c>
      <c r="B46" s="135" t="s">
        <v>404</v>
      </c>
      <c r="C46" s="135" t="s">
        <v>399</v>
      </c>
      <c r="D46" s="135" t="s">
        <v>759</v>
      </c>
      <c r="E46" s="135" t="s">
        <v>758</v>
      </c>
      <c r="F46" s="135" t="s">
        <v>758</v>
      </c>
      <c r="G46" s="135" t="s">
        <v>758</v>
      </c>
      <c r="H46" s="135">
        <v>1.3</v>
      </c>
      <c r="I46" s="135">
        <v>12</v>
      </c>
      <c r="J46" s="135" t="s">
        <v>759</v>
      </c>
      <c r="K46" s="135">
        <v>2.5</v>
      </c>
      <c r="L46" s="135" t="s">
        <v>1652</v>
      </c>
      <c r="M46" s="135" t="s">
        <v>2578</v>
      </c>
    </row>
    <row r="47" spans="1:13" x14ac:dyDescent="0.3">
      <c r="A47" s="135" t="s">
        <v>349</v>
      </c>
      <c r="B47" s="135" t="s">
        <v>18</v>
      </c>
      <c r="C47" s="135" t="s">
        <v>399</v>
      </c>
      <c r="D47" s="135" t="s">
        <v>759</v>
      </c>
      <c r="E47" s="135" t="s">
        <v>758</v>
      </c>
      <c r="F47" s="135" t="s">
        <v>758</v>
      </c>
      <c r="G47" s="135" t="s">
        <v>758</v>
      </c>
      <c r="H47" s="135">
        <v>1.3</v>
      </c>
      <c r="I47" s="135">
        <v>11.5</v>
      </c>
      <c r="J47" s="135" t="s">
        <v>759</v>
      </c>
      <c r="K47" s="135">
        <v>2.4</v>
      </c>
      <c r="L47" s="135" t="s">
        <v>1652</v>
      </c>
      <c r="M47" s="135" t="s">
        <v>1763</v>
      </c>
    </row>
    <row r="48" spans="1:13" x14ac:dyDescent="0.3">
      <c r="A48" s="135" t="s">
        <v>1255</v>
      </c>
      <c r="B48" s="135" t="s">
        <v>46</v>
      </c>
      <c r="C48" s="135" t="s">
        <v>399</v>
      </c>
      <c r="D48" s="135" t="s">
        <v>759</v>
      </c>
      <c r="E48" s="135" t="s">
        <v>758</v>
      </c>
      <c r="F48" s="135" t="s">
        <v>758</v>
      </c>
      <c r="G48" s="135" t="s">
        <v>758</v>
      </c>
      <c r="H48" s="135">
        <v>1.1000000000000001</v>
      </c>
      <c r="I48" s="135">
        <v>11.3</v>
      </c>
      <c r="J48" s="135" t="s">
        <v>759</v>
      </c>
      <c r="K48" s="135">
        <v>2.2999999999999998</v>
      </c>
      <c r="L48" s="135" t="s">
        <v>1652</v>
      </c>
      <c r="M48" s="135" t="s">
        <v>2579</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9"/>
  <sheetViews>
    <sheetView topLeftCell="A30" workbookViewId="0">
      <selection activeCell="A2" sqref="A2:Q83"/>
    </sheetView>
  </sheetViews>
  <sheetFormatPr defaultRowHeight="14.4" x14ac:dyDescent="0.3"/>
  <cols>
    <col min="2" max="2" width="23.77734375" bestFit="1" customWidth="1"/>
    <col min="6" max="6" width="9.77734375" customWidth="1"/>
    <col min="8" max="8" width="11.44140625" customWidth="1"/>
    <col min="10" max="10" width="10" customWidth="1"/>
    <col min="11" max="11" width="9.88671875" customWidth="1"/>
  </cols>
  <sheetData>
    <row r="1" spans="1:17" ht="15" thickBot="1" x14ac:dyDescent="0.35">
      <c r="A1" s="100" t="s">
        <v>863</v>
      </c>
      <c r="B1" s="100" t="s">
        <v>1</v>
      </c>
      <c r="C1" s="100" t="s">
        <v>387</v>
      </c>
      <c r="D1" s="100" t="s">
        <v>81</v>
      </c>
      <c r="E1" s="100" t="s">
        <v>1228</v>
      </c>
      <c r="F1" s="100" t="s">
        <v>388</v>
      </c>
      <c r="G1" s="100" t="s">
        <v>389</v>
      </c>
      <c r="H1" s="100" t="s">
        <v>600</v>
      </c>
      <c r="I1" s="100" t="s">
        <v>601</v>
      </c>
      <c r="J1" s="100" t="s">
        <v>1243</v>
      </c>
      <c r="K1" s="100" t="s">
        <v>1244</v>
      </c>
      <c r="L1" s="100" t="s">
        <v>1230</v>
      </c>
      <c r="M1" s="100" t="s">
        <v>1231</v>
      </c>
      <c r="N1" s="100" t="s">
        <v>1232</v>
      </c>
      <c r="O1" s="100" t="s">
        <v>1233</v>
      </c>
      <c r="P1" s="100" t="s">
        <v>1234</v>
      </c>
      <c r="Q1" s="100" t="s">
        <v>1235</v>
      </c>
    </row>
    <row r="2" spans="1:17" ht="15" thickTop="1" x14ac:dyDescent="0.3">
      <c r="A2" s="506" t="s">
        <v>2588</v>
      </c>
      <c r="B2" s="507" t="s">
        <v>1</v>
      </c>
      <c r="C2" s="507" t="s">
        <v>387</v>
      </c>
      <c r="D2" s="507" t="s">
        <v>81</v>
      </c>
      <c r="E2" s="507" t="s">
        <v>1228</v>
      </c>
      <c r="F2" s="507" t="s">
        <v>388</v>
      </c>
      <c r="G2" s="507" t="s">
        <v>389</v>
      </c>
      <c r="H2" s="507" t="s">
        <v>600</v>
      </c>
      <c r="I2" s="507" t="s">
        <v>601</v>
      </c>
      <c r="J2" s="507" t="s">
        <v>1243</v>
      </c>
      <c r="K2" s="507" t="s">
        <v>1244</v>
      </c>
      <c r="L2" s="507" t="s">
        <v>1230</v>
      </c>
      <c r="M2" s="507" t="s">
        <v>1231</v>
      </c>
      <c r="N2" s="507" t="s">
        <v>1232</v>
      </c>
      <c r="O2" s="507" t="s">
        <v>1233</v>
      </c>
      <c r="P2" s="507" t="s">
        <v>1234</v>
      </c>
      <c r="Q2" s="508" t="s">
        <v>1235</v>
      </c>
    </row>
    <row r="3" spans="1:17" x14ac:dyDescent="0.3">
      <c r="A3" s="135">
        <v>1</v>
      </c>
      <c r="B3" s="135" t="s">
        <v>215</v>
      </c>
      <c r="C3" s="135" t="s">
        <v>18</v>
      </c>
      <c r="D3" s="135" t="s">
        <v>1239</v>
      </c>
      <c r="E3" s="135">
        <v>1</v>
      </c>
      <c r="F3" s="135">
        <v>6.6</v>
      </c>
      <c r="G3" s="135">
        <v>5</v>
      </c>
      <c r="H3" s="135">
        <v>62.8</v>
      </c>
      <c r="I3" s="135">
        <v>0.7</v>
      </c>
      <c r="J3" s="135">
        <v>0</v>
      </c>
      <c r="K3" s="135">
        <v>0</v>
      </c>
      <c r="L3" s="135">
        <v>0</v>
      </c>
      <c r="M3" s="135">
        <v>0</v>
      </c>
      <c r="N3" s="135">
        <v>0</v>
      </c>
      <c r="O3" s="135">
        <v>15.2</v>
      </c>
      <c r="P3" s="135">
        <v>15.2</v>
      </c>
      <c r="Q3" s="135">
        <v>17</v>
      </c>
    </row>
    <row r="4" spans="1:17" x14ac:dyDescent="0.3">
      <c r="A4" s="135">
        <v>2</v>
      </c>
      <c r="B4" s="135" t="s">
        <v>318</v>
      </c>
      <c r="C4" s="135" t="s">
        <v>402</v>
      </c>
      <c r="D4" s="135" t="s">
        <v>10</v>
      </c>
      <c r="E4" s="135">
        <v>1</v>
      </c>
      <c r="F4" s="135">
        <v>8</v>
      </c>
      <c r="G4" s="135">
        <v>5</v>
      </c>
      <c r="H4" s="135">
        <v>63.7</v>
      </c>
      <c r="I4" s="135">
        <v>0.6</v>
      </c>
      <c r="J4" s="135">
        <v>0</v>
      </c>
      <c r="K4" s="135">
        <v>0</v>
      </c>
      <c r="L4" s="135">
        <v>0</v>
      </c>
      <c r="M4" s="135">
        <v>0</v>
      </c>
      <c r="N4" s="135">
        <v>0</v>
      </c>
      <c r="O4" s="135">
        <v>14.7</v>
      </c>
      <c r="P4" s="135">
        <v>14.7</v>
      </c>
      <c r="Q4" s="135">
        <v>15</v>
      </c>
    </row>
    <row r="5" spans="1:17" x14ac:dyDescent="0.3">
      <c r="A5" s="135">
        <v>3</v>
      </c>
      <c r="B5" s="135" t="s">
        <v>323</v>
      </c>
      <c r="C5" s="135" t="s">
        <v>397</v>
      </c>
      <c r="D5" s="135" t="s">
        <v>20</v>
      </c>
      <c r="E5" s="135">
        <v>1</v>
      </c>
      <c r="F5" s="135">
        <v>7</v>
      </c>
      <c r="G5" s="135">
        <v>5</v>
      </c>
      <c r="H5" s="135">
        <v>68.099999999999994</v>
      </c>
      <c r="I5" s="135">
        <v>0.4</v>
      </c>
      <c r="J5" s="135">
        <v>0</v>
      </c>
      <c r="K5" s="135">
        <v>0</v>
      </c>
      <c r="L5" s="135">
        <v>0.1</v>
      </c>
      <c r="M5" s="135">
        <v>0</v>
      </c>
      <c r="N5" s="135">
        <v>0</v>
      </c>
      <c r="O5" s="135">
        <v>14.2</v>
      </c>
      <c r="P5" s="135">
        <v>14.2</v>
      </c>
      <c r="Q5" s="135">
        <v>14</v>
      </c>
    </row>
    <row r="6" spans="1:17" x14ac:dyDescent="0.3">
      <c r="A6" s="135">
        <v>4</v>
      </c>
      <c r="B6" s="135" t="s">
        <v>319</v>
      </c>
      <c r="C6" s="135" t="s">
        <v>22</v>
      </c>
      <c r="D6" s="135" t="s">
        <v>50</v>
      </c>
      <c r="E6" s="135">
        <v>1</v>
      </c>
      <c r="F6" s="135">
        <v>6.4</v>
      </c>
      <c r="G6" s="135">
        <v>4.3</v>
      </c>
      <c r="H6" s="135">
        <v>58.1</v>
      </c>
      <c r="I6" s="135">
        <v>0.5</v>
      </c>
      <c r="J6" s="135">
        <v>0</v>
      </c>
      <c r="K6" s="135">
        <v>0</v>
      </c>
      <c r="L6" s="135">
        <v>0</v>
      </c>
      <c r="M6" s="135">
        <v>0</v>
      </c>
      <c r="N6" s="135">
        <v>0</v>
      </c>
      <c r="O6" s="135">
        <v>13.2</v>
      </c>
      <c r="P6" s="135">
        <v>13.2</v>
      </c>
      <c r="Q6" s="135">
        <v>11</v>
      </c>
    </row>
    <row r="7" spans="1:17" x14ac:dyDescent="0.3">
      <c r="A7" s="135">
        <v>5</v>
      </c>
      <c r="B7" s="135" t="s">
        <v>559</v>
      </c>
      <c r="C7" s="135" t="s">
        <v>407</v>
      </c>
      <c r="D7" s="135" t="s">
        <v>404</v>
      </c>
      <c r="E7" s="135">
        <v>1</v>
      </c>
      <c r="F7" s="135">
        <v>6.2</v>
      </c>
      <c r="G7" s="135">
        <v>4.2</v>
      </c>
      <c r="H7" s="135">
        <v>52.6</v>
      </c>
      <c r="I7" s="135">
        <v>0.4</v>
      </c>
      <c r="J7" s="135">
        <v>0</v>
      </c>
      <c r="K7" s="135">
        <v>0</v>
      </c>
      <c r="L7" s="135">
        <v>0.1</v>
      </c>
      <c r="M7" s="135">
        <v>0</v>
      </c>
      <c r="N7" s="135">
        <v>0</v>
      </c>
      <c r="O7" s="135">
        <v>12.1</v>
      </c>
      <c r="P7" s="135">
        <v>12.1</v>
      </c>
      <c r="Q7" s="135">
        <v>8</v>
      </c>
    </row>
    <row r="8" spans="1:17" x14ac:dyDescent="0.3">
      <c r="A8" s="135">
        <v>6</v>
      </c>
      <c r="B8" s="135" t="s">
        <v>320</v>
      </c>
      <c r="C8" s="135" t="s">
        <v>30</v>
      </c>
      <c r="D8" s="135" t="s">
        <v>1238</v>
      </c>
      <c r="E8" s="135">
        <v>1</v>
      </c>
      <c r="F8" s="135">
        <v>6</v>
      </c>
      <c r="G8" s="135">
        <v>4.4000000000000004</v>
      </c>
      <c r="H8" s="135">
        <v>52.7</v>
      </c>
      <c r="I8" s="135">
        <v>0.3</v>
      </c>
      <c r="J8" s="135">
        <v>0</v>
      </c>
      <c r="K8" s="135">
        <v>0</v>
      </c>
      <c r="L8" s="135">
        <v>0</v>
      </c>
      <c r="M8" s="135">
        <v>0</v>
      </c>
      <c r="N8" s="135">
        <v>0</v>
      </c>
      <c r="O8" s="135">
        <v>11.4</v>
      </c>
      <c r="P8" s="135">
        <v>11.4</v>
      </c>
      <c r="Q8" s="135">
        <v>6</v>
      </c>
    </row>
    <row r="9" spans="1:17" x14ac:dyDescent="0.3">
      <c r="A9" s="135">
        <v>7</v>
      </c>
      <c r="B9" s="135" t="s">
        <v>331</v>
      </c>
      <c r="C9" s="135" t="s">
        <v>41</v>
      </c>
      <c r="D9" s="135" t="s">
        <v>37</v>
      </c>
      <c r="E9" s="135">
        <v>1</v>
      </c>
      <c r="F9" s="135">
        <v>6</v>
      </c>
      <c r="G9" s="135">
        <v>4.5999999999999996</v>
      </c>
      <c r="H9" s="135">
        <v>49</v>
      </c>
      <c r="I9" s="135">
        <v>0.3</v>
      </c>
      <c r="J9" s="135">
        <v>0</v>
      </c>
      <c r="K9" s="135">
        <v>0</v>
      </c>
      <c r="L9" s="135">
        <v>0.1</v>
      </c>
      <c r="M9" s="135">
        <v>0</v>
      </c>
      <c r="N9" s="135">
        <v>0</v>
      </c>
      <c r="O9" s="135">
        <v>11.4</v>
      </c>
      <c r="P9" s="135">
        <v>11.4</v>
      </c>
      <c r="Q9" s="135">
        <v>5</v>
      </c>
    </row>
    <row r="10" spans="1:17" x14ac:dyDescent="0.3">
      <c r="A10" s="135">
        <v>8</v>
      </c>
      <c r="B10" s="135" t="s">
        <v>532</v>
      </c>
      <c r="C10" s="135" t="s">
        <v>1237</v>
      </c>
      <c r="D10" s="135" t="s">
        <v>4</v>
      </c>
      <c r="E10" s="135">
        <v>1</v>
      </c>
      <c r="F10" s="135">
        <v>6.8</v>
      </c>
      <c r="G10" s="135">
        <v>4.5999999999999996</v>
      </c>
      <c r="H10" s="135">
        <v>46</v>
      </c>
      <c r="I10" s="135">
        <v>0.4</v>
      </c>
      <c r="J10" s="135">
        <v>0</v>
      </c>
      <c r="K10" s="135">
        <v>0</v>
      </c>
      <c r="L10" s="135">
        <v>0</v>
      </c>
      <c r="M10" s="135">
        <v>0</v>
      </c>
      <c r="N10" s="135">
        <v>0</v>
      </c>
      <c r="O10" s="135">
        <v>11.3</v>
      </c>
      <c r="P10" s="135">
        <v>11.3</v>
      </c>
      <c r="Q10" s="135">
        <v>5</v>
      </c>
    </row>
    <row r="11" spans="1:17" x14ac:dyDescent="0.3">
      <c r="A11" s="135">
        <v>9</v>
      </c>
      <c r="B11" s="135" t="s">
        <v>308</v>
      </c>
      <c r="C11" s="135" t="s">
        <v>404</v>
      </c>
      <c r="D11" s="135" t="s">
        <v>407</v>
      </c>
      <c r="E11" s="135">
        <v>1</v>
      </c>
      <c r="F11" s="135">
        <v>5.5</v>
      </c>
      <c r="G11" s="135">
        <v>3.6</v>
      </c>
      <c r="H11" s="135">
        <v>47.2</v>
      </c>
      <c r="I11" s="135">
        <v>0.4</v>
      </c>
      <c r="J11" s="135">
        <v>0</v>
      </c>
      <c r="K11" s="135">
        <v>0</v>
      </c>
      <c r="L11" s="135">
        <v>0</v>
      </c>
      <c r="M11" s="135">
        <v>0</v>
      </c>
      <c r="N11" s="135">
        <v>0</v>
      </c>
      <c r="O11" s="135">
        <v>10.8</v>
      </c>
      <c r="P11" s="135">
        <v>10.8</v>
      </c>
      <c r="Q11" s="135">
        <v>4</v>
      </c>
    </row>
    <row r="12" spans="1:17" x14ac:dyDescent="0.3">
      <c r="A12" s="135">
        <v>10</v>
      </c>
      <c r="B12" s="135" t="s">
        <v>328</v>
      </c>
      <c r="C12" s="135" t="s">
        <v>7</v>
      </c>
      <c r="D12" s="135" t="s">
        <v>34</v>
      </c>
      <c r="E12" s="135">
        <v>1</v>
      </c>
      <c r="F12" s="135">
        <v>5.3</v>
      </c>
      <c r="G12" s="135">
        <v>3.7</v>
      </c>
      <c r="H12" s="135">
        <v>43.9</v>
      </c>
      <c r="I12" s="135">
        <v>0.4</v>
      </c>
      <c r="J12" s="135">
        <v>0</v>
      </c>
      <c r="K12" s="135">
        <v>0</v>
      </c>
      <c r="L12" s="135">
        <v>0</v>
      </c>
      <c r="M12" s="135">
        <v>0</v>
      </c>
      <c r="N12" s="135">
        <v>0</v>
      </c>
      <c r="O12" s="135">
        <v>10.3</v>
      </c>
      <c r="P12" s="135">
        <v>10.3</v>
      </c>
      <c r="Q12" s="135">
        <v>2</v>
      </c>
    </row>
    <row r="13" spans="1:17" x14ac:dyDescent="0.3">
      <c r="A13" s="135">
        <v>11</v>
      </c>
      <c r="B13" s="135" t="s">
        <v>329</v>
      </c>
      <c r="C13" s="135" t="s">
        <v>52</v>
      </c>
      <c r="D13" s="135" t="s">
        <v>398</v>
      </c>
      <c r="E13" s="135">
        <v>1</v>
      </c>
      <c r="F13" s="135">
        <v>5.0999999999999996</v>
      </c>
      <c r="G13" s="135">
        <v>3.8</v>
      </c>
      <c r="H13" s="135">
        <v>40.200000000000003</v>
      </c>
      <c r="I13" s="135">
        <v>0.4</v>
      </c>
      <c r="J13" s="135">
        <v>0</v>
      </c>
      <c r="K13" s="135">
        <v>0</v>
      </c>
      <c r="L13" s="135">
        <v>0</v>
      </c>
      <c r="M13" s="135">
        <v>0</v>
      </c>
      <c r="N13" s="135">
        <v>0</v>
      </c>
      <c r="O13" s="135">
        <v>10.199999999999999</v>
      </c>
      <c r="P13" s="135">
        <v>10.199999999999999</v>
      </c>
      <c r="Q13" s="135">
        <v>2</v>
      </c>
    </row>
    <row r="14" spans="1:17" x14ac:dyDescent="0.3">
      <c r="A14" s="135">
        <v>12</v>
      </c>
      <c r="B14" s="135" t="s">
        <v>335</v>
      </c>
      <c r="C14" s="135" t="s">
        <v>50</v>
      </c>
      <c r="D14" s="135" t="s">
        <v>22</v>
      </c>
      <c r="E14" s="135">
        <v>1</v>
      </c>
      <c r="F14" s="135">
        <v>5.6</v>
      </c>
      <c r="G14" s="135">
        <v>4.2</v>
      </c>
      <c r="H14" s="135">
        <v>46.4</v>
      </c>
      <c r="I14" s="135">
        <v>0.2</v>
      </c>
      <c r="J14" s="135">
        <v>0</v>
      </c>
      <c r="K14" s="135">
        <v>0</v>
      </c>
      <c r="L14" s="135">
        <v>0.1</v>
      </c>
      <c r="M14" s="135">
        <v>0</v>
      </c>
      <c r="N14" s="135">
        <v>0</v>
      </c>
      <c r="O14" s="135">
        <v>10.199999999999999</v>
      </c>
      <c r="P14" s="135">
        <v>10.199999999999999</v>
      </c>
      <c r="Q14" s="135">
        <v>2</v>
      </c>
    </row>
    <row r="15" spans="1:17" x14ac:dyDescent="0.3">
      <c r="A15" s="135">
        <v>13</v>
      </c>
      <c r="B15" s="135" t="s">
        <v>332</v>
      </c>
      <c r="C15" s="135" t="s">
        <v>26</v>
      </c>
      <c r="D15" s="135" t="s">
        <v>46</v>
      </c>
      <c r="E15" s="135">
        <v>1</v>
      </c>
      <c r="F15" s="135">
        <v>5.2</v>
      </c>
      <c r="G15" s="135">
        <v>3.7</v>
      </c>
      <c r="H15" s="135">
        <v>44</v>
      </c>
      <c r="I15" s="135">
        <v>0.3</v>
      </c>
      <c r="J15" s="135">
        <v>0</v>
      </c>
      <c r="K15" s="135">
        <v>0</v>
      </c>
      <c r="L15" s="135">
        <v>0</v>
      </c>
      <c r="M15" s="135">
        <v>0</v>
      </c>
      <c r="N15" s="135">
        <v>0</v>
      </c>
      <c r="O15" s="135">
        <v>10.1</v>
      </c>
      <c r="P15" s="135">
        <v>10.1</v>
      </c>
      <c r="Q15" s="135">
        <v>2</v>
      </c>
    </row>
    <row r="16" spans="1:17" x14ac:dyDescent="0.3">
      <c r="A16" s="135">
        <v>14</v>
      </c>
      <c r="B16" s="135" t="s">
        <v>334</v>
      </c>
      <c r="C16" s="135" t="s">
        <v>46</v>
      </c>
      <c r="D16" s="135" t="s">
        <v>26</v>
      </c>
      <c r="E16" s="135">
        <v>1</v>
      </c>
      <c r="F16" s="135">
        <v>4.8</v>
      </c>
      <c r="G16" s="135">
        <v>3.8</v>
      </c>
      <c r="H16" s="135">
        <v>42.7</v>
      </c>
      <c r="I16" s="135">
        <v>0.3</v>
      </c>
      <c r="J16" s="135">
        <v>0</v>
      </c>
      <c r="K16" s="135">
        <v>0</v>
      </c>
      <c r="L16" s="135">
        <v>0</v>
      </c>
      <c r="M16" s="135">
        <v>0</v>
      </c>
      <c r="N16" s="135">
        <v>0</v>
      </c>
      <c r="O16" s="135">
        <v>9.8000000000000007</v>
      </c>
      <c r="P16" s="135">
        <v>9.8000000000000007</v>
      </c>
      <c r="Q16" s="135">
        <v>1</v>
      </c>
    </row>
    <row r="17" spans="1:17" x14ac:dyDescent="0.3">
      <c r="A17" s="135">
        <v>15</v>
      </c>
      <c r="B17" s="135" t="s">
        <v>322</v>
      </c>
      <c r="C17" s="135" t="s">
        <v>1239</v>
      </c>
      <c r="D17" s="135" t="s">
        <v>18</v>
      </c>
      <c r="E17" s="135">
        <v>1</v>
      </c>
      <c r="F17" s="135">
        <v>5.2</v>
      </c>
      <c r="G17" s="135">
        <v>3.4</v>
      </c>
      <c r="H17" s="135">
        <v>42.3</v>
      </c>
      <c r="I17" s="135">
        <v>0.3</v>
      </c>
      <c r="J17" s="135">
        <v>0</v>
      </c>
      <c r="K17" s="135">
        <v>0</v>
      </c>
      <c r="L17" s="135">
        <v>0</v>
      </c>
      <c r="M17" s="135">
        <v>0</v>
      </c>
      <c r="N17" s="135">
        <v>0</v>
      </c>
      <c r="O17" s="135">
        <v>9.5</v>
      </c>
      <c r="P17" s="135">
        <v>9.5</v>
      </c>
      <c r="Q17" s="135">
        <v>0</v>
      </c>
    </row>
    <row r="18" spans="1:17" x14ac:dyDescent="0.3">
      <c r="A18" s="135">
        <v>16</v>
      </c>
      <c r="B18" s="135" t="s">
        <v>357</v>
      </c>
      <c r="C18" s="135" t="s">
        <v>16</v>
      </c>
      <c r="D18" s="135" t="s">
        <v>12</v>
      </c>
      <c r="E18" s="135">
        <v>1</v>
      </c>
      <c r="F18" s="135">
        <v>4.9000000000000004</v>
      </c>
      <c r="G18" s="135">
        <v>3.1</v>
      </c>
      <c r="H18" s="135">
        <v>36.5</v>
      </c>
      <c r="I18" s="135">
        <v>0.4</v>
      </c>
      <c r="J18" s="135">
        <v>0</v>
      </c>
      <c r="K18" s="135">
        <v>0</v>
      </c>
      <c r="L18" s="135">
        <v>0</v>
      </c>
      <c r="M18" s="135">
        <v>0</v>
      </c>
      <c r="N18" s="135">
        <v>0</v>
      </c>
      <c r="O18" s="135">
        <v>9.5</v>
      </c>
      <c r="P18" s="135">
        <v>9.5</v>
      </c>
      <c r="Q18" s="135">
        <v>0</v>
      </c>
    </row>
    <row r="19" spans="1:17" x14ac:dyDescent="0.3">
      <c r="A19" s="135">
        <v>17</v>
      </c>
      <c r="B19" s="135" t="s">
        <v>362</v>
      </c>
      <c r="C19" s="135" t="s">
        <v>57</v>
      </c>
      <c r="D19" s="135" t="s">
        <v>28</v>
      </c>
      <c r="E19" s="135">
        <v>1</v>
      </c>
      <c r="F19" s="135">
        <v>5.4</v>
      </c>
      <c r="G19" s="135">
        <v>3.8</v>
      </c>
      <c r="H19" s="135">
        <v>36.6</v>
      </c>
      <c r="I19" s="135">
        <v>0.3</v>
      </c>
      <c r="J19" s="135">
        <v>0</v>
      </c>
      <c r="K19" s="135">
        <v>0</v>
      </c>
      <c r="L19" s="135">
        <v>0</v>
      </c>
      <c r="M19" s="135">
        <v>0</v>
      </c>
      <c r="N19" s="135">
        <v>0</v>
      </c>
      <c r="O19" s="135">
        <v>9.3000000000000007</v>
      </c>
      <c r="P19" s="135">
        <v>9.3000000000000007</v>
      </c>
      <c r="Q19" s="135">
        <v>0</v>
      </c>
    </row>
    <row r="20" spans="1:17" x14ac:dyDescent="0.3">
      <c r="A20" s="135">
        <v>18</v>
      </c>
      <c r="B20" s="135" t="s">
        <v>354</v>
      </c>
      <c r="C20" s="135" t="s">
        <v>20</v>
      </c>
      <c r="D20" s="135" t="s">
        <v>397</v>
      </c>
      <c r="E20" s="135">
        <v>1</v>
      </c>
      <c r="F20" s="135">
        <v>4.5999999999999996</v>
      </c>
      <c r="G20" s="135">
        <v>3.6</v>
      </c>
      <c r="H20" s="135">
        <v>33.4</v>
      </c>
      <c r="I20" s="135">
        <v>0.4</v>
      </c>
      <c r="J20" s="135">
        <v>0</v>
      </c>
      <c r="K20" s="135">
        <v>0</v>
      </c>
      <c r="L20" s="135">
        <v>0</v>
      </c>
      <c r="M20" s="135">
        <v>0</v>
      </c>
      <c r="N20" s="135">
        <v>0</v>
      </c>
      <c r="O20" s="135">
        <v>9.3000000000000007</v>
      </c>
      <c r="P20" s="135">
        <v>9.3000000000000007</v>
      </c>
      <c r="Q20" s="135">
        <v>0</v>
      </c>
    </row>
    <row r="21" spans="1:17" x14ac:dyDescent="0.3">
      <c r="A21" s="135">
        <v>19</v>
      </c>
      <c r="B21" s="135" t="s">
        <v>326</v>
      </c>
      <c r="C21" s="135" t="s">
        <v>12</v>
      </c>
      <c r="D21" s="135" t="s">
        <v>16</v>
      </c>
      <c r="E21" s="135">
        <v>1</v>
      </c>
      <c r="F21" s="135">
        <v>5.0999999999999996</v>
      </c>
      <c r="G21" s="135">
        <v>3.1</v>
      </c>
      <c r="H21" s="135">
        <v>37.299999999999997</v>
      </c>
      <c r="I21" s="135">
        <v>0.4</v>
      </c>
      <c r="J21" s="135">
        <v>0</v>
      </c>
      <c r="K21" s="135">
        <v>0</v>
      </c>
      <c r="L21" s="135">
        <v>0</v>
      </c>
      <c r="M21" s="135">
        <v>0</v>
      </c>
      <c r="N21" s="135">
        <v>0</v>
      </c>
      <c r="O21" s="135">
        <v>9.1999999999999993</v>
      </c>
      <c r="P21" s="135">
        <v>9.1999999999999993</v>
      </c>
      <c r="Q21" s="135">
        <v>0</v>
      </c>
    </row>
    <row r="22" spans="1:17" x14ac:dyDescent="0.3">
      <c r="A22" s="135">
        <v>20</v>
      </c>
      <c r="B22" s="135" t="s">
        <v>368</v>
      </c>
      <c r="C22" s="135" t="s">
        <v>16</v>
      </c>
      <c r="D22" s="135" t="s">
        <v>12</v>
      </c>
      <c r="E22" s="135">
        <v>1</v>
      </c>
      <c r="F22" s="135">
        <v>4.2</v>
      </c>
      <c r="G22" s="135">
        <v>3.2</v>
      </c>
      <c r="H22" s="135">
        <v>33.4</v>
      </c>
      <c r="I22" s="135">
        <v>0.4</v>
      </c>
      <c r="J22" s="135">
        <v>0</v>
      </c>
      <c r="K22" s="135">
        <v>0</v>
      </c>
      <c r="L22" s="135">
        <v>0</v>
      </c>
      <c r="M22" s="135">
        <v>0</v>
      </c>
      <c r="N22" s="135">
        <v>0</v>
      </c>
      <c r="O22" s="135">
        <v>8.9</v>
      </c>
      <c r="P22" s="135">
        <v>8.9</v>
      </c>
      <c r="Q22" s="135">
        <v>0</v>
      </c>
    </row>
    <row r="23" spans="1:17" x14ac:dyDescent="0.3">
      <c r="A23" s="135">
        <v>21</v>
      </c>
      <c r="B23" s="135" t="s">
        <v>344</v>
      </c>
      <c r="C23" s="135" t="s">
        <v>4</v>
      </c>
      <c r="D23" s="135" t="s">
        <v>1237</v>
      </c>
      <c r="E23" s="135">
        <v>1</v>
      </c>
      <c r="F23" s="135">
        <v>4.8</v>
      </c>
      <c r="G23" s="135">
        <v>2.7</v>
      </c>
      <c r="H23" s="135">
        <v>32.6</v>
      </c>
      <c r="I23" s="135">
        <v>0.4</v>
      </c>
      <c r="J23" s="135">
        <v>0</v>
      </c>
      <c r="K23" s="135">
        <v>0</v>
      </c>
      <c r="L23" s="135">
        <v>0</v>
      </c>
      <c r="M23" s="135">
        <v>0</v>
      </c>
      <c r="N23" s="135">
        <v>0</v>
      </c>
      <c r="O23" s="135">
        <v>8.1</v>
      </c>
      <c r="P23" s="135">
        <v>8.1</v>
      </c>
      <c r="Q23" s="135">
        <v>0</v>
      </c>
    </row>
    <row r="24" spans="1:17" x14ac:dyDescent="0.3">
      <c r="A24" s="135">
        <v>22</v>
      </c>
      <c r="B24" s="135" t="s">
        <v>366</v>
      </c>
      <c r="C24" s="135" t="s">
        <v>70</v>
      </c>
      <c r="D24" s="135" t="s">
        <v>401</v>
      </c>
      <c r="E24" s="135">
        <v>1</v>
      </c>
      <c r="F24" s="135">
        <v>4</v>
      </c>
      <c r="G24" s="135">
        <v>3.3</v>
      </c>
      <c r="H24" s="135">
        <v>32.299999999999997</v>
      </c>
      <c r="I24" s="135">
        <v>0.2</v>
      </c>
      <c r="J24" s="135">
        <v>0</v>
      </c>
      <c r="K24" s="135">
        <v>0</v>
      </c>
      <c r="L24" s="135">
        <v>0</v>
      </c>
      <c r="M24" s="135">
        <v>0</v>
      </c>
      <c r="N24" s="135">
        <v>0</v>
      </c>
      <c r="O24" s="135">
        <v>7.9</v>
      </c>
      <c r="P24" s="135">
        <v>7.9</v>
      </c>
      <c r="Q24" s="135">
        <v>0</v>
      </c>
    </row>
    <row r="25" spans="1:17" x14ac:dyDescent="0.3">
      <c r="A25" s="135">
        <v>23</v>
      </c>
      <c r="B25" s="135" t="s">
        <v>336</v>
      </c>
      <c r="C25" s="135" t="s">
        <v>402</v>
      </c>
      <c r="D25" s="135" t="s">
        <v>10</v>
      </c>
      <c r="E25" s="135">
        <v>1</v>
      </c>
      <c r="F25" s="135">
        <v>4.7</v>
      </c>
      <c r="G25" s="135">
        <v>3.2</v>
      </c>
      <c r="H25" s="135">
        <v>31.1</v>
      </c>
      <c r="I25" s="135">
        <v>0.3</v>
      </c>
      <c r="J25" s="135">
        <v>0</v>
      </c>
      <c r="K25" s="135">
        <v>0</v>
      </c>
      <c r="L25" s="135">
        <v>0</v>
      </c>
      <c r="M25" s="135">
        <v>0</v>
      </c>
      <c r="N25" s="135">
        <v>0</v>
      </c>
      <c r="O25" s="135">
        <v>7.9</v>
      </c>
      <c r="P25" s="135">
        <v>7.9</v>
      </c>
      <c r="Q25" s="135">
        <v>0</v>
      </c>
    </row>
    <row r="26" spans="1:17" x14ac:dyDescent="0.3">
      <c r="A26" s="135">
        <v>24</v>
      </c>
      <c r="B26" s="135" t="s">
        <v>333</v>
      </c>
      <c r="C26" s="135" t="s">
        <v>10</v>
      </c>
      <c r="D26" s="135" t="s">
        <v>402</v>
      </c>
      <c r="E26" s="135">
        <v>1</v>
      </c>
      <c r="F26" s="135">
        <v>4.5999999999999996</v>
      </c>
      <c r="G26" s="135">
        <v>3.1</v>
      </c>
      <c r="H26" s="135">
        <v>34.1</v>
      </c>
      <c r="I26" s="135">
        <v>0.2</v>
      </c>
      <c r="J26" s="135">
        <v>0</v>
      </c>
      <c r="K26" s="135">
        <v>0</v>
      </c>
      <c r="L26" s="135">
        <v>0</v>
      </c>
      <c r="M26" s="135">
        <v>0</v>
      </c>
      <c r="N26" s="135">
        <v>0</v>
      </c>
      <c r="O26" s="135">
        <v>7.9</v>
      </c>
      <c r="P26" s="135">
        <v>7.9</v>
      </c>
      <c r="Q26" s="135">
        <v>0</v>
      </c>
    </row>
    <row r="27" spans="1:17" x14ac:dyDescent="0.3">
      <c r="A27" s="135">
        <v>25</v>
      </c>
      <c r="B27" s="135" t="s">
        <v>340</v>
      </c>
      <c r="C27" s="135" t="s">
        <v>401</v>
      </c>
      <c r="D27" s="135" t="s">
        <v>70</v>
      </c>
      <c r="E27" s="135">
        <v>1</v>
      </c>
      <c r="F27" s="135">
        <v>3.8</v>
      </c>
      <c r="G27" s="135">
        <v>2.8</v>
      </c>
      <c r="H27" s="135">
        <v>32.200000000000003</v>
      </c>
      <c r="I27" s="135">
        <v>0.2</v>
      </c>
      <c r="J27" s="135">
        <v>0</v>
      </c>
      <c r="K27" s="135">
        <v>0</v>
      </c>
      <c r="L27" s="135">
        <v>0</v>
      </c>
      <c r="M27" s="135">
        <v>0</v>
      </c>
      <c r="N27" s="135">
        <v>0</v>
      </c>
      <c r="O27" s="135">
        <v>7.2</v>
      </c>
      <c r="P27" s="135">
        <v>7.2</v>
      </c>
      <c r="Q27" s="135">
        <v>0</v>
      </c>
    </row>
    <row r="28" spans="1:17" x14ac:dyDescent="0.3">
      <c r="A28" s="135">
        <v>26</v>
      </c>
      <c r="B28" s="135" t="s">
        <v>338</v>
      </c>
      <c r="C28" s="135" t="s">
        <v>398</v>
      </c>
      <c r="D28" s="135" t="s">
        <v>52</v>
      </c>
      <c r="E28" s="135">
        <v>1</v>
      </c>
      <c r="F28" s="135">
        <v>3.7</v>
      </c>
      <c r="G28" s="135">
        <v>2.4</v>
      </c>
      <c r="H28" s="135">
        <v>29.7</v>
      </c>
      <c r="I28" s="135">
        <v>0.2</v>
      </c>
      <c r="J28" s="135">
        <v>0</v>
      </c>
      <c r="K28" s="135">
        <v>0</v>
      </c>
      <c r="L28" s="135">
        <v>0</v>
      </c>
      <c r="M28" s="135">
        <v>0</v>
      </c>
      <c r="N28" s="135">
        <v>0</v>
      </c>
      <c r="O28" s="135">
        <v>6.3</v>
      </c>
      <c r="P28" s="135">
        <v>6.3</v>
      </c>
      <c r="Q28" s="135">
        <v>0</v>
      </c>
    </row>
    <row r="29" spans="1:17" x14ac:dyDescent="0.3">
      <c r="A29" s="135">
        <v>27</v>
      </c>
      <c r="B29" s="135" t="s">
        <v>383</v>
      </c>
      <c r="C29" s="135" t="s">
        <v>28</v>
      </c>
      <c r="D29" s="135" t="s">
        <v>57</v>
      </c>
      <c r="E29" s="135">
        <v>1</v>
      </c>
      <c r="F29" s="135">
        <v>2.8</v>
      </c>
      <c r="G29" s="135">
        <v>2.7</v>
      </c>
      <c r="H29" s="135">
        <v>23.4</v>
      </c>
      <c r="I29" s="135">
        <v>0.2</v>
      </c>
      <c r="J29" s="135">
        <v>0</v>
      </c>
      <c r="K29" s="135">
        <v>0</v>
      </c>
      <c r="L29" s="135">
        <v>0</v>
      </c>
      <c r="M29" s="135">
        <v>0</v>
      </c>
      <c r="N29" s="135">
        <v>0</v>
      </c>
      <c r="O29" s="135">
        <v>6.1</v>
      </c>
      <c r="P29" s="135">
        <v>6.1</v>
      </c>
      <c r="Q29" s="135">
        <v>0</v>
      </c>
    </row>
    <row r="30" spans="1:17" x14ac:dyDescent="0.3">
      <c r="A30" s="135">
        <v>28</v>
      </c>
      <c r="B30" s="135" t="s">
        <v>244</v>
      </c>
      <c r="C30" s="135" t="s">
        <v>37</v>
      </c>
      <c r="D30" s="135" t="s">
        <v>41</v>
      </c>
      <c r="E30" s="135">
        <v>1</v>
      </c>
      <c r="F30" s="135">
        <v>3.2</v>
      </c>
      <c r="G30" s="135">
        <v>2.4</v>
      </c>
      <c r="H30" s="135">
        <v>23.7</v>
      </c>
      <c r="I30" s="135">
        <v>0.2</v>
      </c>
      <c r="J30" s="135">
        <v>0</v>
      </c>
      <c r="K30" s="135">
        <v>0</v>
      </c>
      <c r="L30" s="135">
        <v>0</v>
      </c>
      <c r="M30" s="135">
        <v>0</v>
      </c>
      <c r="N30" s="135">
        <v>0</v>
      </c>
      <c r="O30" s="135">
        <v>5.9</v>
      </c>
      <c r="P30" s="135">
        <v>5.9</v>
      </c>
      <c r="Q30" s="135">
        <v>0</v>
      </c>
    </row>
    <row r="31" spans="1:17" x14ac:dyDescent="0.3">
      <c r="A31" s="135">
        <v>29</v>
      </c>
      <c r="B31" s="135" t="s">
        <v>263</v>
      </c>
      <c r="C31" s="135" t="s">
        <v>409</v>
      </c>
      <c r="D31" s="135" t="s">
        <v>1236</v>
      </c>
      <c r="E31" s="135">
        <v>1</v>
      </c>
      <c r="F31" s="135">
        <v>3.5</v>
      </c>
      <c r="G31" s="135">
        <v>2.5</v>
      </c>
      <c r="H31" s="135">
        <v>26.7</v>
      </c>
      <c r="I31" s="135">
        <v>0.1</v>
      </c>
      <c r="J31" s="135">
        <v>0</v>
      </c>
      <c r="K31" s="135">
        <v>0</v>
      </c>
      <c r="L31" s="135">
        <v>0</v>
      </c>
      <c r="M31" s="135">
        <v>0</v>
      </c>
      <c r="N31" s="135">
        <v>0</v>
      </c>
      <c r="O31" s="135">
        <v>5.7</v>
      </c>
      <c r="P31" s="135">
        <v>5.7</v>
      </c>
      <c r="Q31" s="135">
        <v>0</v>
      </c>
    </row>
    <row r="32" spans="1:17" x14ac:dyDescent="0.3">
      <c r="A32" s="135">
        <v>30</v>
      </c>
      <c r="B32" s="135" t="s">
        <v>337</v>
      </c>
      <c r="C32" s="135" t="s">
        <v>1238</v>
      </c>
      <c r="D32" s="135" t="s">
        <v>30</v>
      </c>
      <c r="E32" s="135">
        <v>1</v>
      </c>
      <c r="F32" s="135">
        <v>2.9</v>
      </c>
      <c r="G32" s="135">
        <v>1.8</v>
      </c>
      <c r="H32" s="135">
        <v>19.899999999999999</v>
      </c>
      <c r="I32" s="135">
        <v>0.2</v>
      </c>
      <c r="J32" s="135">
        <v>0</v>
      </c>
      <c r="K32" s="135">
        <v>0</v>
      </c>
      <c r="L32" s="135">
        <v>0</v>
      </c>
      <c r="M32" s="135">
        <v>0</v>
      </c>
      <c r="N32" s="135">
        <v>0</v>
      </c>
      <c r="O32" s="135">
        <v>4.9000000000000004</v>
      </c>
      <c r="P32" s="135">
        <v>4.9000000000000004</v>
      </c>
      <c r="Q32" s="135">
        <v>0</v>
      </c>
    </row>
    <row r="33" spans="1:17" x14ac:dyDescent="0.3">
      <c r="A33" s="135">
        <v>31</v>
      </c>
      <c r="B33" s="135" t="s">
        <v>339</v>
      </c>
      <c r="C33" s="135" t="s">
        <v>37</v>
      </c>
      <c r="D33" s="135" t="s">
        <v>41</v>
      </c>
      <c r="E33" s="135">
        <v>1</v>
      </c>
      <c r="F33" s="135">
        <v>2.5</v>
      </c>
      <c r="G33" s="135">
        <v>1.8</v>
      </c>
      <c r="H33" s="135">
        <v>17.8</v>
      </c>
      <c r="I33" s="135">
        <v>0.2</v>
      </c>
      <c r="J33" s="135">
        <v>0</v>
      </c>
      <c r="K33" s="135">
        <v>0</v>
      </c>
      <c r="L33" s="135">
        <v>0</v>
      </c>
      <c r="M33" s="135">
        <v>0</v>
      </c>
      <c r="N33" s="135">
        <v>0</v>
      </c>
      <c r="O33" s="135">
        <v>4.5</v>
      </c>
      <c r="P33" s="135">
        <v>4.5</v>
      </c>
      <c r="Q33" s="135">
        <v>0</v>
      </c>
    </row>
    <row r="34" spans="1:17" x14ac:dyDescent="0.3">
      <c r="A34" s="135">
        <v>32</v>
      </c>
      <c r="B34" s="135" t="s">
        <v>375</v>
      </c>
      <c r="C34" s="135" t="s">
        <v>407</v>
      </c>
      <c r="D34" s="135" t="s">
        <v>404</v>
      </c>
      <c r="E34" s="135">
        <v>1</v>
      </c>
      <c r="F34" s="135">
        <v>2.1</v>
      </c>
      <c r="G34" s="135">
        <v>1.4</v>
      </c>
      <c r="H34" s="135">
        <v>15</v>
      </c>
      <c r="I34" s="135">
        <v>0.1</v>
      </c>
      <c r="J34" s="135">
        <v>0</v>
      </c>
      <c r="K34" s="135">
        <v>0</v>
      </c>
      <c r="L34" s="135">
        <v>0</v>
      </c>
      <c r="M34" s="135">
        <v>0</v>
      </c>
      <c r="N34" s="135">
        <v>0</v>
      </c>
      <c r="O34" s="135">
        <v>3.7</v>
      </c>
      <c r="P34" s="135">
        <v>3.7</v>
      </c>
      <c r="Q34" s="135">
        <v>0</v>
      </c>
    </row>
    <row r="35" spans="1:17" x14ac:dyDescent="0.3">
      <c r="A35" s="135">
        <v>33</v>
      </c>
      <c r="B35" s="135" t="s">
        <v>330</v>
      </c>
      <c r="C35" s="135" t="s">
        <v>1237</v>
      </c>
      <c r="D35" s="135" t="s">
        <v>4</v>
      </c>
      <c r="E35" s="135">
        <v>1</v>
      </c>
      <c r="F35" s="135">
        <v>1.9</v>
      </c>
      <c r="G35" s="135">
        <v>1.4</v>
      </c>
      <c r="H35" s="135">
        <v>16.2</v>
      </c>
      <c r="I35" s="135">
        <v>0.1</v>
      </c>
      <c r="J35" s="135">
        <v>0</v>
      </c>
      <c r="K35" s="135">
        <v>0</v>
      </c>
      <c r="L35" s="135">
        <v>0</v>
      </c>
      <c r="M35" s="135">
        <v>0</v>
      </c>
      <c r="N35" s="135">
        <v>0</v>
      </c>
      <c r="O35" s="135">
        <v>3.6</v>
      </c>
      <c r="P35" s="135">
        <v>3.6</v>
      </c>
      <c r="Q35" s="135">
        <v>0</v>
      </c>
    </row>
    <row r="36" spans="1:17" x14ac:dyDescent="0.3">
      <c r="A36" s="135">
        <v>34</v>
      </c>
      <c r="B36" s="135" t="s">
        <v>361</v>
      </c>
      <c r="C36" s="135" t="s">
        <v>12</v>
      </c>
      <c r="D36" s="135" t="s">
        <v>16</v>
      </c>
      <c r="E36" s="135">
        <v>1</v>
      </c>
      <c r="F36" s="135">
        <v>1.9</v>
      </c>
      <c r="G36" s="135">
        <v>1.3</v>
      </c>
      <c r="H36" s="135">
        <v>13.9</v>
      </c>
      <c r="I36" s="135">
        <v>0.1</v>
      </c>
      <c r="J36" s="135">
        <v>0</v>
      </c>
      <c r="K36" s="135">
        <v>0</v>
      </c>
      <c r="L36" s="135">
        <v>0</v>
      </c>
      <c r="M36" s="135">
        <v>0</v>
      </c>
      <c r="N36" s="135">
        <v>0</v>
      </c>
      <c r="O36" s="135">
        <v>3.5</v>
      </c>
      <c r="P36" s="135">
        <v>3.5</v>
      </c>
      <c r="Q36" s="135">
        <v>0</v>
      </c>
    </row>
    <row r="37" spans="1:17" x14ac:dyDescent="0.3">
      <c r="A37" s="135">
        <v>35</v>
      </c>
      <c r="B37" s="135" t="s">
        <v>352</v>
      </c>
      <c r="C37" s="135" t="s">
        <v>1236</v>
      </c>
      <c r="D37" s="135" t="s">
        <v>409</v>
      </c>
      <c r="E37" s="135">
        <v>1</v>
      </c>
      <c r="F37" s="135">
        <v>2</v>
      </c>
      <c r="G37" s="135">
        <v>1.3</v>
      </c>
      <c r="H37" s="135">
        <v>14.2</v>
      </c>
      <c r="I37" s="135">
        <v>0.1</v>
      </c>
      <c r="J37" s="135">
        <v>0</v>
      </c>
      <c r="K37" s="135">
        <v>0</v>
      </c>
      <c r="L37" s="135">
        <v>0</v>
      </c>
      <c r="M37" s="135">
        <v>0</v>
      </c>
      <c r="N37" s="135">
        <v>0</v>
      </c>
      <c r="O37" s="135">
        <v>3.5</v>
      </c>
      <c r="P37" s="135">
        <v>3.5</v>
      </c>
      <c r="Q37" s="135">
        <v>0</v>
      </c>
    </row>
    <row r="38" spans="1:17" x14ac:dyDescent="0.3">
      <c r="A38" s="135">
        <v>36</v>
      </c>
      <c r="B38" s="135" t="s">
        <v>349</v>
      </c>
      <c r="C38" s="135" t="s">
        <v>18</v>
      </c>
      <c r="D38" s="135" t="s">
        <v>1239</v>
      </c>
      <c r="E38" s="135">
        <v>1</v>
      </c>
      <c r="F38" s="135">
        <v>1.9</v>
      </c>
      <c r="G38" s="135">
        <v>1.3</v>
      </c>
      <c r="H38" s="135">
        <v>14</v>
      </c>
      <c r="I38" s="135">
        <v>0.1</v>
      </c>
      <c r="J38" s="135">
        <v>0</v>
      </c>
      <c r="K38" s="135">
        <v>0</v>
      </c>
      <c r="L38" s="135">
        <v>0</v>
      </c>
      <c r="M38" s="135">
        <v>0</v>
      </c>
      <c r="N38" s="135">
        <v>0</v>
      </c>
      <c r="O38" s="135">
        <v>3.5</v>
      </c>
      <c r="P38" s="135">
        <v>3.5</v>
      </c>
      <c r="Q38" s="135">
        <v>0</v>
      </c>
    </row>
    <row r="39" spans="1:17" x14ac:dyDescent="0.3">
      <c r="A39" s="135">
        <v>37</v>
      </c>
      <c r="B39" s="135" t="s">
        <v>364</v>
      </c>
      <c r="C39" s="135" t="s">
        <v>28</v>
      </c>
      <c r="D39" s="135" t="s">
        <v>57</v>
      </c>
      <c r="E39" s="135">
        <v>1</v>
      </c>
      <c r="F39" s="135">
        <v>1.4</v>
      </c>
      <c r="G39" s="135">
        <v>1.1000000000000001</v>
      </c>
      <c r="H39" s="135">
        <v>13.3</v>
      </c>
      <c r="I39" s="135">
        <v>0.1</v>
      </c>
      <c r="J39" s="135">
        <v>0</v>
      </c>
      <c r="K39" s="135">
        <v>0</v>
      </c>
      <c r="L39" s="135">
        <v>0</v>
      </c>
      <c r="M39" s="135">
        <v>0</v>
      </c>
      <c r="N39" s="135">
        <v>0</v>
      </c>
      <c r="O39" s="135">
        <v>2.9</v>
      </c>
      <c r="P39" s="135">
        <v>2.9</v>
      </c>
      <c r="Q39" s="135">
        <v>0</v>
      </c>
    </row>
    <row r="40" spans="1:17" x14ac:dyDescent="0.3">
      <c r="A40" s="135">
        <v>38</v>
      </c>
      <c r="B40" s="135" t="s">
        <v>367</v>
      </c>
      <c r="C40" s="135" t="s">
        <v>4</v>
      </c>
      <c r="D40" s="135" t="s">
        <v>1237</v>
      </c>
      <c r="E40" s="135">
        <v>1</v>
      </c>
      <c r="F40" s="135">
        <v>1.4</v>
      </c>
      <c r="G40" s="135">
        <v>1.2</v>
      </c>
      <c r="H40" s="135">
        <v>11</v>
      </c>
      <c r="I40" s="135">
        <v>0.1</v>
      </c>
      <c r="J40" s="135">
        <v>0</v>
      </c>
      <c r="K40" s="135">
        <v>0</v>
      </c>
      <c r="L40" s="135">
        <v>0</v>
      </c>
      <c r="M40" s="135">
        <v>0</v>
      </c>
      <c r="N40" s="135">
        <v>0</v>
      </c>
      <c r="O40" s="135">
        <v>2.9</v>
      </c>
      <c r="P40" s="135">
        <v>2.9</v>
      </c>
      <c r="Q40" s="135">
        <v>0</v>
      </c>
    </row>
    <row r="41" spans="1:17" x14ac:dyDescent="0.3">
      <c r="A41" s="135">
        <v>39</v>
      </c>
      <c r="B41" s="135" t="s">
        <v>384</v>
      </c>
      <c r="C41" s="135" t="s">
        <v>57</v>
      </c>
      <c r="D41" s="135" t="s">
        <v>28</v>
      </c>
      <c r="E41" s="135">
        <v>1</v>
      </c>
      <c r="F41" s="135">
        <v>1.3</v>
      </c>
      <c r="G41" s="135">
        <v>1.3</v>
      </c>
      <c r="H41" s="135">
        <v>10</v>
      </c>
      <c r="I41" s="135">
        <v>0.1</v>
      </c>
      <c r="J41" s="135">
        <v>0</v>
      </c>
      <c r="K41" s="135">
        <v>0</v>
      </c>
      <c r="L41" s="135">
        <v>0</v>
      </c>
      <c r="M41" s="135">
        <v>0</v>
      </c>
      <c r="N41" s="135">
        <v>0</v>
      </c>
      <c r="O41" s="135">
        <v>2.7</v>
      </c>
      <c r="P41" s="135">
        <v>2.7</v>
      </c>
      <c r="Q41" s="135">
        <v>0</v>
      </c>
    </row>
    <row r="42" spans="1:17" x14ac:dyDescent="0.3">
      <c r="A42" s="135">
        <v>40</v>
      </c>
      <c r="B42" s="135" t="s">
        <v>351</v>
      </c>
      <c r="C42" s="135" t="s">
        <v>7</v>
      </c>
      <c r="D42" s="135" t="s">
        <v>34</v>
      </c>
      <c r="E42" s="135">
        <v>1</v>
      </c>
      <c r="F42" s="135">
        <v>1.5</v>
      </c>
      <c r="G42" s="135">
        <v>1</v>
      </c>
      <c r="H42" s="135">
        <v>10.6</v>
      </c>
      <c r="I42" s="135">
        <v>0.1</v>
      </c>
      <c r="J42" s="135">
        <v>0</v>
      </c>
      <c r="K42" s="135">
        <v>0</v>
      </c>
      <c r="L42" s="135">
        <v>0</v>
      </c>
      <c r="M42" s="135">
        <v>0</v>
      </c>
      <c r="N42" s="135">
        <v>0</v>
      </c>
      <c r="O42" s="135">
        <v>2.6</v>
      </c>
      <c r="P42" s="135">
        <v>2.6</v>
      </c>
      <c r="Q42" s="135">
        <v>0</v>
      </c>
    </row>
    <row r="43" spans="1:17" x14ac:dyDescent="0.3">
      <c r="A43" s="135">
        <v>41</v>
      </c>
      <c r="B43" s="135" t="s">
        <v>345</v>
      </c>
      <c r="C43" s="135" t="s">
        <v>398</v>
      </c>
      <c r="D43" s="135" t="s">
        <v>52</v>
      </c>
      <c r="E43" s="135">
        <v>1</v>
      </c>
      <c r="F43" s="135">
        <v>1.4</v>
      </c>
      <c r="G43" s="135">
        <v>1</v>
      </c>
      <c r="H43" s="135">
        <v>11.8</v>
      </c>
      <c r="I43" s="135">
        <v>0.1</v>
      </c>
      <c r="J43" s="135">
        <v>0</v>
      </c>
      <c r="K43" s="135">
        <v>0</v>
      </c>
      <c r="L43" s="135">
        <v>0</v>
      </c>
      <c r="M43" s="135">
        <v>0</v>
      </c>
      <c r="N43" s="135">
        <v>0</v>
      </c>
      <c r="O43" s="135">
        <v>2.6</v>
      </c>
      <c r="P43" s="135">
        <v>2.6</v>
      </c>
      <c r="Q43" s="135">
        <v>0</v>
      </c>
    </row>
    <row r="44" spans="1:17" x14ac:dyDescent="0.3">
      <c r="A44" s="135">
        <v>42</v>
      </c>
      <c r="B44" s="135" t="s">
        <v>353</v>
      </c>
      <c r="C44" s="135" t="s">
        <v>22</v>
      </c>
      <c r="D44" s="135" t="s">
        <v>50</v>
      </c>
      <c r="E44" s="135">
        <v>1</v>
      </c>
      <c r="F44" s="135">
        <v>1.4</v>
      </c>
      <c r="G44" s="135">
        <v>1</v>
      </c>
      <c r="H44" s="135">
        <v>9</v>
      </c>
      <c r="I44" s="135">
        <v>0.1</v>
      </c>
      <c r="J44" s="135">
        <v>0</v>
      </c>
      <c r="K44" s="135">
        <v>0</v>
      </c>
      <c r="L44" s="135">
        <v>0</v>
      </c>
      <c r="M44" s="135">
        <v>0</v>
      </c>
      <c r="N44" s="135">
        <v>0</v>
      </c>
      <c r="O44" s="135">
        <v>2.6</v>
      </c>
      <c r="P44" s="135">
        <v>2.6</v>
      </c>
      <c r="Q44" s="135">
        <v>0</v>
      </c>
    </row>
    <row r="45" spans="1:17" x14ac:dyDescent="0.3">
      <c r="A45" s="135">
        <v>43</v>
      </c>
      <c r="B45" s="135" t="s">
        <v>558</v>
      </c>
      <c r="C45" s="135" t="s">
        <v>50</v>
      </c>
      <c r="D45" s="135" t="s">
        <v>22</v>
      </c>
      <c r="E45" s="135">
        <v>1</v>
      </c>
      <c r="F45" s="135">
        <v>1.6</v>
      </c>
      <c r="G45" s="135">
        <v>1.1000000000000001</v>
      </c>
      <c r="H45" s="135">
        <v>10.9</v>
      </c>
      <c r="I45" s="135">
        <v>0.1</v>
      </c>
      <c r="J45" s="135">
        <v>0</v>
      </c>
      <c r="K45" s="135">
        <v>0</v>
      </c>
      <c r="L45" s="135">
        <v>0</v>
      </c>
      <c r="M45" s="135">
        <v>0</v>
      </c>
      <c r="N45" s="135">
        <v>0</v>
      </c>
      <c r="O45" s="135">
        <v>2.6</v>
      </c>
      <c r="P45" s="135">
        <v>2.6</v>
      </c>
      <c r="Q45" s="135">
        <v>0</v>
      </c>
    </row>
    <row r="46" spans="1:17" x14ac:dyDescent="0.3">
      <c r="A46" s="135">
        <v>44</v>
      </c>
      <c r="B46" s="135" t="s">
        <v>371</v>
      </c>
      <c r="C46" s="135" t="s">
        <v>1236</v>
      </c>
      <c r="D46" s="135" t="s">
        <v>409</v>
      </c>
      <c r="E46" s="135">
        <v>1</v>
      </c>
      <c r="F46" s="135">
        <v>1</v>
      </c>
      <c r="G46" s="135">
        <v>1</v>
      </c>
      <c r="H46" s="135">
        <v>10.8</v>
      </c>
      <c r="I46" s="135">
        <v>0.1</v>
      </c>
      <c r="J46" s="135">
        <v>0</v>
      </c>
      <c r="K46" s="135">
        <v>0</v>
      </c>
      <c r="L46" s="135">
        <v>0</v>
      </c>
      <c r="M46" s="135">
        <v>0</v>
      </c>
      <c r="N46" s="135">
        <v>0</v>
      </c>
      <c r="O46" s="135">
        <v>2.4</v>
      </c>
      <c r="P46" s="135">
        <v>2.4</v>
      </c>
      <c r="Q46" s="135">
        <v>0</v>
      </c>
    </row>
    <row r="47" spans="1:17" x14ac:dyDescent="0.3">
      <c r="A47" s="135">
        <v>45</v>
      </c>
      <c r="B47" s="135" t="s">
        <v>356</v>
      </c>
      <c r="C47" s="135" t="s">
        <v>398</v>
      </c>
      <c r="D47" s="135" t="s">
        <v>52</v>
      </c>
      <c r="E47" s="135">
        <v>1</v>
      </c>
      <c r="F47" s="135">
        <v>1.4</v>
      </c>
      <c r="G47" s="135">
        <v>1</v>
      </c>
      <c r="H47" s="135">
        <v>10.1</v>
      </c>
      <c r="I47" s="135">
        <v>0.1</v>
      </c>
      <c r="J47" s="135">
        <v>0</v>
      </c>
      <c r="K47" s="135">
        <v>0</v>
      </c>
      <c r="L47" s="135">
        <v>0</v>
      </c>
      <c r="M47" s="135">
        <v>0</v>
      </c>
      <c r="N47" s="135">
        <v>0</v>
      </c>
      <c r="O47" s="135">
        <v>2.2999999999999998</v>
      </c>
      <c r="P47" s="135">
        <v>2.2999999999999998</v>
      </c>
      <c r="Q47" s="135">
        <v>0</v>
      </c>
    </row>
    <row r="48" spans="1:17" x14ac:dyDescent="0.3">
      <c r="A48" s="135">
        <v>46</v>
      </c>
      <c r="B48" s="135" t="s">
        <v>769</v>
      </c>
      <c r="C48" s="135" t="s">
        <v>409</v>
      </c>
      <c r="D48" s="135" t="s">
        <v>1236</v>
      </c>
      <c r="E48" s="135">
        <v>1</v>
      </c>
      <c r="F48" s="135">
        <v>1.5</v>
      </c>
      <c r="G48" s="135">
        <v>1</v>
      </c>
      <c r="H48" s="135">
        <v>9.9</v>
      </c>
      <c r="I48" s="135">
        <v>0</v>
      </c>
      <c r="J48" s="135">
        <v>0</v>
      </c>
      <c r="K48" s="135">
        <v>0</v>
      </c>
      <c r="L48" s="135">
        <v>0</v>
      </c>
      <c r="M48" s="135">
        <v>0</v>
      </c>
      <c r="N48" s="135">
        <v>0</v>
      </c>
      <c r="O48" s="135">
        <v>2.2000000000000002</v>
      </c>
      <c r="P48" s="135">
        <v>2.2000000000000002</v>
      </c>
      <c r="Q48" s="135">
        <v>0</v>
      </c>
    </row>
    <row r="49" spans="1:17" x14ac:dyDescent="0.3">
      <c r="A49" s="135">
        <v>47</v>
      </c>
      <c r="B49" s="135" t="s">
        <v>347</v>
      </c>
      <c r="C49" s="135" t="s">
        <v>4</v>
      </c>
      <c r="D49" s="135" t="s">
        <v>1237</v>
      </c>
      <c r="E49" s="135">
        <v>1</v>
      </c>
      <c r="F49" s="135">
        <v>1</v>
      </c>
      <c r="G49" s="135">
        <v>0.7</v>
      </c>
      <c r="H49" s="135">
        <v>7.8</v>
      </c>
      <c r="I49" s="135">
        <v>0.1</v>
      </c>
      <c r="J49" s="135">
        <v>0</v>
      </c>
      <c r="K49" s="135">
        <v>0</v>
      </c>
      <c r="L49" s="135">
        <v>0</v>
      </c>
      <c r="M49" s="135">
        <v>0</v>
      </c>
      <c r="N49" s="135">
        <v>0</v>
      </c>
      <c r="O49" s="135">
        <v>1.9</v>
      </c>
      <c r="P49" s="135">
        <v>1.9</v>
      </c>
      <c r="Q49" s="135">
        <v>0</v>
      </c>
    </row>
    <row r="50" spans="1:17" x14ac:dyDescent="0.3">
      <c r="A50" s="135">
        <v>48</v>
      </c>
      <c r="B50" s="135" t="s">
        <v>342</v>
      </c>
      <c r="C50" s="135" t="s">
        <v>1236</v>
      </c>
      <c r="D50" s="135" t="s">
        <v>409</v>
      </c>
      <c r="E50" s="135">
        <v>1</v>
      </c>
      <c r="F50" s="135">
        <v>1</v>
      </c>
      <c r="G50" s="135">
        <v>0.7</v>
      </c>
      <c r="H50" s="135">
        <v>8.1999999999999993</v>
      </c>
      <c r="I50" s="135">
        <v>0.1</v>
      </c>
      <c r="J50" s="135">
        <v>0</v>
      </c>
      <c r="K50" s="135">
        <v>0</v>
      </c>
      <c r="L50" s="135">
        <v>0</v>
      </c>
      <c r="M50" s="135">
        <v>0</v>
      </c>
      <c r="N50" s="135">
        <v>0</v>
      </c>
      <c r="O50" s="135">
        <v>1.9</v>
      </c>
      <c r="P50" s="135">
        <v>1.9</v>
      </c>
      <c r="Q50" s="135">
        <v>0</v>
      </c>
    </row>
    <row r="51" spans="1:17" x14ac:dyDescent="0.3">
      <c r="A51" s="135">
        <v>49</v>
      </c>
      <c r="B51" s="135" t="s">
        <v>360</v>
      </c>
      <c r="C51" s="135" t="s">
        <v>41</v>
      </c>
      <c r="D51" s="135" t="s">
        <v>37</v>
      </c>
      <c r="E51" s="135">
        <v>1</v>
      </c>
      <c r="F51" s="135">
        <v>0.9</v>
      </c>
      <c r="G51" s="135">
        <v>0.7</v>
      </c>
      <c r="H51" s="135">
        <v>8.1999999999999993</v>
      </c>
      <c r="I51" s="135">
        <v>0</v>
      </c>
      <c r="J51" s="135">
        <v>0</v>
      </c>
      <c r="K51" s="135">
        <v>0</v>
      </c>
      <c r="L51" s="135">
        <v>0</v>
      </c>
      <c r="M51" s="135">
        <v>0</v>
      </c>
      <c r="N51" s="135">
        <v>0</v>
      </c>
      <c r="O51" s="135">
        <v>1.8</v>
      </c>
      <c r="P51" s="135">
        <v>1.8</v>
      </c>
      <c r="Q51" s="135">
        <v>0</v>
      </c>
    </row>
    <row r="52" spans="1:17" x14ac:dyDescent="0.3">
      <c r="A52" s="135">
        <v>50</v>
      </c>
      <c r="B52" s="135" t="s">
        <v>543</v>
      </c>
      <c r="C52" s="135" t="s">
        <v>34</v>
      </c>
      <c r="D52" s="135" t="s">
        <v>7</v>
      </c>
      <c r="E52" s="135">
        <v>1</v>
      </c>
      <c r="F52" s="135">
        <v>1</v>
      </c>
      <c r="G52" s="135">
        <v>0.7</v>
      </c>
      <c r="H52" s="135">
        <v>6.6</v>
      </c>
      <c r="I52" s="135">
        <v>0</v>
      </c>
      <c r="J52" s="135">
        <v>0</v>
      </c>
      <c r="K52" s="135">
        <v>0</v>
      </c>
      <c r="L52" s="135">
        <v>0</v>
      </c>
      <c r="M52" s="135">
        <v>0</v>
      </c>
      <c r="N52" s="135">
        <v>0</v>
      </c>
      <c r="O52" s="135">
        <v>1.6</v>
      </c>
      <c r="P52" s="135">
        <v>1.6</v>
      </c>
      <c r="Q52" s="135">
        <v>0</v>
      </c>
    </row>
    <row r="53" spans="1:17" x14ac:dyDescent="0.3">
      <c r="A53" s="135">
        <v>51</v>
      </c>
      <c r="B53" s="135" t="s">
        <v>1518</v>
      </c>
      <c r="C53" s="135" t="s">
        <v>70</v>
      </c>
      <c r="D53" s="135" t="s">
        <v>401</v>
      </c>
      <c r="E53" s="135">
        <v>1</v>
      </c>
      <c r="F53" s="135">
        <v>0.9</v>
      </c>
      <c r="G53" s="135">
        <v>0.6</v>
      </c>
      <c r="H53" s="135">
        <v>6.2</v>
      </c>
      <c r="I53" s="135">
        <v>0.1</v>
      </c>
      <c r="J53" s="135">
        <v>0</v>
      </c>
      <c r="K53" s="135">
        <v>0</v>
      </c>
      <c r="L53" s="135">
        <v>0</v>
      </c>
      <c r="M53" s="135">
        <v>0</v>
      </c>
      <c r="N53" s="135">
        <v>0</v>
      </c>
      <c r="O53" s="135">
        <v>1.6</v>
      </c>
      <c r="P53" s="135">
        <v>1.6</v>
      </c>
      <c r="Q53" s="135">
        <v>0</v>
      </c>
    </row>
    <row r="54" spans="1:17" x14ac:dyDescent="0.3">
      <c r="A54" s="135">
        <v>52</v>
      </c>
      <c r="B54" s="135" t="s">
        <v>1560</v>
      </c>
      <c r="C54" s="135" t="s">
        <v>20</v>
      </c>
      <c r="D54" s="135" t="s">
        <v>397</v>
      </c>
      <c r="E54" s="135">
        <v>1</v>
      </c>
      <c r="F54" s="135">
        <v>0.8</v>
      </c>
      <c r="G54" s="135">
        <v>0.5</v>
      </c>
      <c r="H54" s="135">
        <v>5.7</v>
      </c>
      <c r="I54" s="135">
        <v>0.1</v>
      </c>
      <c r="J54" s="135">
        <v>0</v>
      </c>
      <c r="K54" s="135">
        <v>0</v>
      </c>
      <c r="L54" s="135">
        <v>0</v>
      </c>
      <c r="M54" s="135">
        <v>0</v>
      </c>
      <c r="N54" s="135">
        <v>0</v>
      </c>
      <c r="O54" s="135">
        <v>1.4</v>
      </c>
      <c r="P54" s="135">
        <v>1.4</v>
      </c>
      <c r="Q54" s="135">
        <v>0</v>
      </c>
    </row>
    <row r="55" spans="1:17" x14ac:dyDescent="0.3">
      <c r="A55" s="135">
        <v>53</v>
      </c>
      <c r="B55" s="135" t="s">
        <v>381</v>
      </c>
      <c r="C55" s="135" t="s">
        <v>34</v>
      </c>
      <c r="D55" s="135" t="s">
        <v>7</v>
      </c>
      <c r="E55" s="135">
        <v>1</v>
      </c>
      <c r="F55" s="135">
        <v>1</v>
      </c>
      <c r="G55" s="135">
        <v>0.7</v>
      </c>
      <c r="H55" s="135">
        <v>4.5999999999999996</v>
      </c>
      <c r="I55" s="135">
        <v>0</v>
      </c>
      <c r="J55" s="135">
        <v>0</v>
      </c>
      <c r="K55" s="135">
        <v>0</v>
      </c>
      <c r="L55" s="135">
        <v>0</v>
      </c>
      <c r="M55" s="135">
        <v>0</v>
      </c>
      <c r="N55" s="135">
        <v>0</v>
      </c>
      <c r="O55" s="135">
        <v>1.4</v>
      </c>
      <c r="P55" s="135">
        <v>1.4</v>
      </c>
      <c r="Q55" s="135">
        <v>0</v>
      </c>
    </row>
    <row r="56" spans="1:17" x14ac:dyDescent="0.3">
      <c r="A56" s="135">
        <v>54</v>
      </c>
      <c r="B56" s="135" t="s">
        <v>98</v>
      </c>
      <c r="C56" s="135" t="s">
        <v>20</v>
      </c>
      <c r="D56" s="135" t="s">
        <v>397</v>
      </c>
      <c r="E56" s="135">
        <v>1</v>
      </c>
      <c r="F56" s="135">
        <v>0.8</v>
      </c>
      <c r="G56" s="135">
        <v>0.5</v>
      </c>
      <c r="H56" s="135">
        <v>4</v>
      </c>
      <c r="I56" s="135">
        <v>0.1</v>
      </c>
      <c r="J56" s="135">
        <v>0</v>
      </c>
      <c r="K56" s="135">
        <v>0</v>
      </c>
      <c r="L56" s="135">
        <v>0</v>
      </c>
      <c r="M56" s="135">
        <v>0</v>
      </c>
      <c r="N56" s="135">
        <v>0</v>
      </c>
      <c r="O56" s="135">
        <v>1.3</v>
      </c>
      <c r="P56" s="135">
        <v>1.3</v>
      </c>
      <c r="Q56" s="135">
        <v>0</v>
      </c>
    </row>
    <row r="57" spans="1:17" x14ac:dyDescent="0.3">
      <c r="A57" s="135">
        <v>55</v>
      </c>
      <c r="B57" s="135" t="s">
        <v>386</v>
      </c>
      <c r="C57" s="135" t="s">
        <v>52</v>
      </c>
      <c r="D57" s="135" t="s">
        <v>398</v>
      </c>
      <c r="E57" s="135">
        <v>1</v>
      </c>
      <c r="F57" s="135">
        <v>0.6</v>
      </c>
      <c r="G57" s="135">
        <v>0.6</v>
      </c>
      <c r="H57" s="135">
        <v>3.9</v>
      </c>
      <c r="I57" s="135">
        <v>0</v>
      </c>
      <c r="J57" s="135">
        <v>0</v>
      </c>
      <c r="K57" s="135">
        <v>0</v>
      </c>
      <c r="L57" s="135">
        <v>0</v>
      </c>
      <c r="M57" s="135">
        <v>0</v>
      </c>
      <c r="N57" s="135">
        <v>0</v>
      </c>
      <c r="O57" s="135">
        <v>1.2</v>
      </c>
      <c r="P57" s="135">
        <v>1.2</v>
      </c>
      <c r="Q57" s="135">
        <v>0</v>
      </c>
    </row>
    <row r="58" spans="1:17" x14ac:dyDescent="0.3">
      <c r="A58" s="135">
        <v>56</v>
      </c>
      <c r="B58" s="135" t="s">
        <v>373</v>
      </c>
      <c r="C58" s="135" t="s">
        <v>41</v>
      </c>
      <c r="D58" s="135" t="s">
        <v>37</v>
      </c>
      <c r="E58" s="135">
        <v>1</v>
      </c>
      <c r="F58" s="135">
        <v>0.6</v>
      </c>
      <c r="G58" s="135">
        <v>0.5</v>
      </c>
      <c r="H58" s="135">
        <v>5.3</v>
      </c>
      <c r="I58" s="135">
        <v>0</v>
      </c>
      <c r="J58" s="135">
        <v>0</v>
      </c>
      <c r="K58" s="135">
        <v>0</v>
      </c>
      <c r="L58" s="135">
        <v>0</v>
      </c>
      <c r="M58" s="135">
        <v>0</v>
      </c>
      <c r="N58" s="135">
        <v>0</v>
      </c>
      <c r="O58" s="135">
        <v>1.2</v>
      </c>
      <c r="P58" s="135">
        <v>1.2</v>
      </c>
      <c r="Q58" s="135">
        <v>0</v>
      </c>
    </row>
    <row r="59" spans="1:17" x14ac:dyDescent="0.3">
      <c r="A59" s="135">
        <v>57</v>
      </c>
      <c r="B59" s="135" t="s">
        <v>359</v>
      </c>
      <c r="C59" s="135" t="s">
        <v>1238</v>
      </c>
      <c r="D59" s="135" t="s">
        <v>30</v>
      </c>
      <c r="E59" s="135">
        <v>1</v>
      </c>
      <c r="F59" s="135">
        <v>0.6</v>
      </c>
      <c r="G59" s="135">
        <v>0.4</v>
      </c>
      <c r="H59" s="135">
        <v>4.3</v>
      </c>
      <c r="I59" s="135">
        <v>0</v>
      </c>
      <c r="J59" s="135">
        <v>0</v>
      </c>
      <c r="K59" s="135">
        <v>0</v>
      </c>
      <c r="L59" s="135">
        <v>0</v>
      </c>
      <c r="M59" s="135">
        <v>0</v>
      </c>
      <c r="N59" s="135">
        <v>0</v>
      </c>
      <c r="O59" s="135">
        <v>1.1000000000000001</v>
      </c>
      <c r="P59" s="135">
        <v>1.1000000000000001</v>
      </c>
      <c r="Q59" s="135">
        <v>0</v>
      </c>
    </row>
    <row r="60" spans="1:17" x14ac:dyDescent="0.3">
      <c r="A60" s="135">
        <v>58</v>
      </c>
      <c r="B60" s="135" t="s">
        <v>358</v>
      </c>
      <c r="C60" s="135" t="s">
        <v>401</v>
      </c>
      <c r="D60" s="135" t="s">
        <v>70</v>
      </c>
      <c r="E60" s="135">
        <v>1</v>
      </c>
      <c r="F60" s="135">
        <v>0.6</v>
      </c>
      <c r="G60" s="135">
        <v>0.5</v>
      </c>
      <c r="H60" s="135">
        <v>4.4000000000000004</v>
      </c>
      <c r="I60" s="135">
        <v>0</v>
      </c>
      <c r="J60" s="135">
        <v>0</v>
      </c>
      <c r="K60" s="135">
        <v>0</v>
      </c>
      <c r="L60" s="135">
        <v>0</v>
      </c>
      <c r="M60" s="135">
        <v>0</v>
      </c>
      <c r="N60" s="135">
        <v>0</v>
      </c>
      <c r="O60" s="135">
        <v>1.1000000000000001</v>
      </c>
      <c r="P60" s="135">
        <v>1.1000000000000001</v>
      </c>
      <c r="Q60" s="135">
        <v>0</v>
      </c>
    </row>
    <row r="61" spans="1:17" x14ac:dyDescent="0.3">
      <c r="A61" s="135">
        <v>59</v>
      </c>
      <c r="B61" s="135" t="s">
        <v>551</v>
      </c>
      <c r="C61" s="135" t="s">
        <v>1238</v>
      </c>
      <c r="D61" s="135" t="s">
        <v>30</v>
      </c>
      <c r="E61" s="135">
        <v>1</v>
      </c>
      <c r="F61" s="135">
        <v>0.6</v>
      </c>
      <c r="G61" s="135">
        <v>0.4</v>
      </c>
      <c r="H61" s="135">
        <v>4.5</v>
      </c>
      <c r="I61" s="135">
        <v>0</v>
      </c>
      <c r="J61" s="135">
        <v>0</v>
      </c>
      <c r="K61" s="135">
        <v>0</v>
      </c>
      <c r="L61" s="135">
        <v>0</v>
      </c>
      <c r="M61" s="135">
        <v>0</v>
      </c>
      <c r="N61" s="135">
        <v>0</v>
      </c>
      <c r="O61" s="135">
        <v>1.1000000000000001</v>
      </c>
      <c r="P61" s="135">
        <v>1.1000000000000001</v>
      </c>
      <c r="Q61" s="135">
        <v>0</v>
      </c>
    </row>
    <row r="62" spans="1:17" x14ac:dyDescent="0.3">
      <c r="A62" s="135">
        <v>60</v>
      </c>
      <c r="B62" s="135" t="s">
        <v>376</v>
      </c>
      <c r="C62" s="135" t="s">
        <v>50</v>
      </c>
      <c r="D62" s="135" t="s">
        <v>22</v>
      </c>
      <c r="E62" s="135">
        <v>1</v>
      </c>
      <c r="F62" s="135">
        <v>0.8</v>
      </c>
      <c r="G62" s="135">
        <v>0.5</v>
      </c>
      <c r="H62" s="135">
        <v>3.8</v>
      </c>
      <c r="I62" s="135">
        <v>0</v>
      </c>
      <c r="J62" s="135">
        <v>0</v>
      </c>
      <c r="K62" s="135">
        <v>0</v>
      </c>
      <c r="L62" s="135">
        <v>0</v>
      </c>
      <c r="M62" s="135">
        <v>0</v>
      </c>
      <c r="N62" s="135">
        <v>0</v>
      </c>
      <c r="O62" s="135">
        <v>1.1000000000000001</v>
      </c>
      <c r="P62" s="135">
        <v>1.1000000000000001</v>
      </c>
      <c r="Q62" s="135">
        <v>0</v>
      </c>
    </row>
    <row r="63" spans="1:17" x14ac:dyDescent="0.3">
      <c r="A63" s="135">
        <v>61</v>
      </c>
      <c r="B63" s="135" t="s">
        <v>355</v>
      </c>
      <c r="C63" s="135" t="s">
        <v>404</v>
      </c>
      <c r="D63" s="135" t="s">
        <v>407</v>
      </c>
      <c r="E63" s="135">
        <v>1</v>
      </c>
      <c r="F63" s="135">
        <v>0.7</v>
      </c>
      <c r="G63" s="135">
        <v>0.4</v>
      </c>
      <c r="H63" s="135">
        <v>3.7</v>
      </c>
      <c r="I63" s="135">
        <v>0</v>
      </c>
      <c r="J63" s="135">
        <v>0</v>
      </c>
      <c r="K63" s="135">
        <v>0</v>
      </c>
      <c r="L63" s="135">
        <v>0</v>
      </c>
      <c r="M63" s="135">
        <v>0</v>
      </c>
      <c r="N63" s="135">
        <v>0</v>
      </c>
      <c r="O63" s="135">
        <v>1</v>
      </c>
      <c r="P63" s="135">
        <v>1</v>
      </c>
      <c r="Q63" s="135">
        <v>0</v>
      </c>
    </row>
    <row r="64" spans="1:17" x14ac:dyDescent="0.3">
      <c r="A64" s="135">
        <v>62</v>
      </c>
      <c r="B64" s="135" t="s">
        <v>370</v>
      </c>
      <c r="C64" s="135" t="s">
        <v>401</v>
      </c>
      <c r="D64" s="135" t="s">
        <v>70</v>
      </c>
      <c r="E64" s="135">
        <v>1</v>
      </c>
      <c r="F64" s="135">
        <v>0.6</v>
      </c>
      <c r="G64" s="135">
        <v>0.5</v>
      </c>
      <c r="H64" s="135">
        <v>3.8</v>
      </c>
      <c r="I64" s="135">
        <v>0</v>
      </c>
      <c r="J64" s="135">
        <v>0</v>
      </c>
      <c r="K64" s="135">
        <v>0</v>
      </c>
      <c r="L64" s="135">
        <v>0</v>
      </c>
      <c r="M64" s="135">
        <v>0</v>
      </c>
      <c r="N64" s="135">
        <v>0</v>
      </c>
      <c r="O64" s="135">
        <v>1</v>
      </c>
      <c r="P64" s="135">
        <v>1</v>
      </c>
      <c r="Q64" s="135">
        <v>0</v>
      </c>
    </row>
    <row r="65" spans="1:17" x14ac:dyDescent="0.3">
      <c r="A65" s="135">
        <v>63</v>
      </c>
      <c r="B65" s="135" t="s">
        <v>550</v>
      </c>
      <c r="C65" s="135" t="s">
        <v>7</v>
      </c>
      <c r="D65" s="135" t="s">
        <v>34</v>
      </c>
      <c r="E65" s="135">
        <v>1</v>
      </c>
      <c r="F65" s="135">
        <v>0.6</v>
      </c>
      <c r="G65" s="135">
        <v>0.4</v>
      </c>
      <c r="H65" s="135">
        <v>4</v>
      </c>
      <c r="I65" s="135">
        <v>0</v>
      </c>
      <c r="J65" s="135">
        <v>0</v>
      </c>
      <c r="K65" s="135">
        <v>0</v>
      </c>
      <c r="L65" s="135">
        <v>0</v>
      </c>
      <c r="M65" s="135">
        <v>0</v>
      </c>
      <c r="N65" s="135">
        <v>0</v>
      </c>
      <c r="O65" s="135">
        <v>1</v>
      </c>
      <c r="P65" s="135">
        <v>1</v>
      </c>
      <c r="Q65" s="135">
        <v>0</v>
      </c>
    </row>
    <row r="66" spans="1:17" x14ac:dyDescent="0.3">
      <c r="A66" s="135">
        <v>64</v>
      </c>
      <c r="B66" s="135" t="s">
        <v>374</v>
      </c>
      <c r="C66" s="135" t="s">
        <v>397</v>
      </c>
      <c r="D66" s="135" t="s">
        <v>20</v>
      </c>
      <c r="E66" s="135">
        <v>1</v>
      </c>
      <c r="F66" s="135">
        <v>0.6</v>
      </c>
      <c r="G66" s="135">
        <v>0.3</v>
      </c>
      <c r="H66" s="135">
        <v>3.3</v>
      </c>
      <c r="I66" s="135">
        <v>0</v>
      </c>
      <c r="J66" s="135">
        <v>0</v>
      </c>
      <c r="K66" s="135">
        <v>0</v>
      </c>
      <c r="L66" s="135">
        <v>0</v>
      </c>
      <c r="M66" s="135">
        <v>0</v>
      </c>
      <c r="N66" s="135">
        <v>0</v>
      </c>
      <c r="O66" s="135">
        <v>0.9</v>
      </c>
      <c r="P66" s="135">
        <v>0.9</v>
      </c>
      <c r="Q66" s="135">
        <v>0</v>
      </c>
    </row>
    <row r="67" spans="1:17" x14ac:dyDescent="0.3">
      <c r="A67" s="135">
        <v>65</v>
      </c>
      <c r="B67" s="135" t="s">
        <v>363</v>
      </c>
      <c r="C67" s="135" t="s">
        <v>402</v>
      </c>
      <c r="D67" s="135" t="s">
        <v>10</v>
      </c>
      <c r="E67" s="135">
        <v>1</v>
      </c>
      <c r="F67" s="135">
        <v>0.4</v>
      </c>
      <c r="G67" s="135">
        <v>0.3</v>
      </c>
      <c r="H67" s="135">
        <v>2.5</v>
      </c>
      <c r="I67" s="135">
        <v>0</v>
      </c>
      <c r="J67" s="135">
        <v>0</v>
      </c>
      <c r="K67" s="135">
        <v>0</v>
      </c>
      <c r="L67" s="135">
        <v>0</v>
      </c>
      <c r="M67" s="135">
        <v>0</v>
      </c>
      <c r="N67" s="135">
        <v>0</v>
      </c>
      <c r="O67" s="135">
        <v>0.6</v>
      </c>
      <c r="P67" s="135">
        <v>0.6</v>
      </c>
      <c r="Q67" s="135">
        <v>0</v>
      </c>
    </row>
    <row r="68" spans="1:17" x14ac:dyDescent="0.3">
      <c r="A68" s="135">
        <v>66</v>
      </c>
      <c r="B68" s="135" t="s">
        <v>350</v>
      </c>
      <c r="C68" s="135" t="s">
        <v>1237</v>
      </c>
      <c r="D68" s="135" t="s">
        <v>4</v>
      </c>
      <c r="E68" s="135">
        <v>1</v>
      </c>
      <c r="F68" s="135">
        <v>0.4</v>
      </c>
      <c r="G68" s="135">
        <v>0.3</v>
      </c>
      <c r="H68" s="135">
        <v>2.5</v>
      </c>
      <c r="I68" s="135">
        <v>0</v>
      </c>
      <c r="J68" s="135">
        <v>0</v>
      </c>
      <c r="K68" s="135">
        <v>0</v>
      </c>
      <c r="L68" s="135">
        <v>0</v>
      </c>
      <c r="M68" s="135">
        <v>0</v>
      </c>
      <c r="N68" s="135">
        <v>0</v>
      </c>
      <c r="O68" s="135">
        <v>0.6</v>
      </c>
      <c r="P68" s="135">
        <v>0.6</v>
      </c>
      <c r="Q68" s="135">
        <v>0</v>
      </c>
    </row>
    <row r="69" spans="1:17" x14ac:dyDescent="0.3">
      <c r="A69" s="135">
        <v>67</v>
      </c>
      <c r="B69" s="135" t="s">
        <v>556</v>
      </c>
      <c r="C69" s="135" t="s">
        <v>37</v>
      </c>
      <c r="D69" s="135" t="s">
        <v>41</v>
      </c>
      <c r="E69" s="135">
        <v>1</v>
      </c>
      <c r="F69" s="135">
        <v>0.4</v>
      </c>
      <c r="G69" s="135">
        <v>0.2</v>
      </c>
      <c r="H69" s="135">
        <v>2.5</v>
      </c>
      <c r="I69" s="135">
        <v>0</v>
      </c>
      <c r="J69" s="135">
        <v>0</v>
      </c>
      <c r="K69" s="135">
        <v>0</v>
      </c>
      <c r="L69" s="135">
        <v>0</v>
      </c>
      <c r="M69" s="135">
        <v>0</v>
      </c>
      <c r="N69" s="135">
        <v>0</v>
      </c>
      <c r="O69" s="135">
        <v>0.6</v>
      </c>
      <c r="P69" s="135">
        <v>0.6</v>
      </c>
      <c r="Q69" s="135">
        <v>0</v>
      </c>
    </row>
    <row r="70" spans="1:17" x14ac:dyDescent="0.3">
      <c r="A70" s="135">
        <v>68</v>
      </c>
      <c r="B70" s="135" t="s">
        <v>380</v>
      </c>
      <c r="C70" s="135" t="s">
        <v>30</v>
      </c>
      <c r="D70" s="135" t="s">
        <v>1238</v>
      </c>
      <c r="E70" s="135">
        <v>1</v>
      </c>
      <c r="F70" s="135">
        <v>0.3</v>
      </c>
      <c r="G70" s="135">
        <v>0.2</v>
      </c>
      <c r="H70" s="135">
        <v>2.8</v>
      </c>
      <c r="I70" s="135">
        <v>0</v>
      </c>
      <c r="J70" s="135">
        <v>0</v>
      </c>
      <c r="K70" s="135">
        <v>0</v>
      </c>
      <c r="L70" s="135">
        <v>0</v>
      </c>
      <c r="M70" s="135">
        <v>0</v>
      </c>
      <c r="N70" s="135">
        <v>0</v>
      </c>
      <c r="O70" s="135">
        <v>0.6</v>
      </c>
      <c r="P70" s="135">
        <v>0.6</v>
      </c>
      <c r="Q70" s="135">
        <v>0</v>
      </c>
    </row>
    <row r="71" spans="1:17" x14ac:dyDescent="0.3">
      <c r="A71" s="135">
        <v>69</v>
      </c>
      <c r="B71" s="135" t="s">
        <v>546</v>
      </c>
      <c r="C71" s="135" t="s">
        <v>16</v>
      </c>
      <c r="D71" s="135" t="s">
        <v>12</v>
      </c>
      <c r="E71" s="135">
        <v>1</v>
      </c>
      <c r="F71" s="135">
        <v>0.3</v>
      </c>
      <c r="G71" s="135">
        <v>0.2</v>
      </c>
      <c r="H71" s="135">
        <v>1.7</v>
      </c>
      <c r="I71" s="135">
        <v>0</v>
      </c>
      <c r="J71" s="135">
        <v>0</v>
      </c>
      <c r="K71" s="135">
        <v>0</v>
      </c>
      <c r="L71" s="135">
        <v>0</v>
      </c>
      <c r="M71" s="135">
        <v>0</v>
      </c>
      <c r="N71" s="135">
        <v>0</v>
      </c>
      <c r="O71" s="135">
        <v>0.6</v>
      </c>
      <c r="P71" s="135">
        <v>0.6</v>
      </c>
      <c r="Q71" s="135">
        <v>0</v>
      </c>
    </row>
    <row r="72" spans="1:17" x14ac:dyDescent="0.3">
      <c r="A72" s="135">
        <v>70</v>
      </c>
      <c r="B72" s="135" t="s">
        <v>379</v>
      </c>
      <c r="C72" s="135" t="s">
        <v>409</v>
      </c>
      <c r="D72" s="135" t="s">
        <v>1236</v>
      </c>
      <c r="E72" s="135">
        <v>1</v>
      </c>
      <c r="F72" s="135">
        <v>0.3</v>
      </c>
      <c r="G72" s="135">
        <v>0.3</v>
      </c>
      <c r="H72" s="135">
        <v>2.2999999999999998</v>
      </c>
      <c r="I72" s="135">
        <v>0</v>
      </c>
      <c r="J72" s="135">
        <v>0</v>
      </c>
      <c r="K72" s="135">
        <v>0</v>
      </c>
      <c r="L72" s="135">
        <v>0</v>
      </c>
      <c r="M72" s="135">
        <v>0</v>
      </c>
      <c r="N72" s="135">
        <v>0</v>
      </c>
      <c r="O72" s="135">
        <v>0.5</v>
      </c>
      <c r="P72" s="135">
        <v>0.5</v>
      </c>
      <c r="Q72" s="135">
        <v>0</v>
      </c>
    </row>
    <row r="73" spans="1:17" x14ac:dyDescent="0.3">
      <c r="A73" s="135">
        <v>71</v>
      </c>
      <c r="B73" s="135" t="s">
        <v>1254</v>
      </c>
      <c r="C73" s="135" t="s">
        <v>18</v>
      </c>
      <c r="D73" s="135" t="s">
        <v>1239</v>
      </c>
      <c r="E73" s="135">
        <v>1</v>
      </c>
      <c r="F73" s="135">
        <v>0.3</v>
      </c>
      <c r="G73" s="135">
        <v>0.2</v>
      </c>
      <c r="H73" s="135">
        <v>2.2999999999999998</v>
      </c>
      <c r="I73" s="135">
        <v>0</v>
      </c>
      <c r="J73" s="135">
        <v>0</v>
      </c>
      <c r="K73" s="135">
        <v>0</v>
      </c>
      <c r="L73" s="135">
        <v>0</v>
      </c>
      <c r="M73" s="135">
        <v>0</v>
      </c>
      <c r="N73" s="135">
        <v>0</v>
      </c>
      <c r="O73" s="135">
        <v>0.5</v>
      </c>
      <c r="P73" s="135">
        <v>0.5</v>
      </c>
      <c r="Q73" s="135">
        <v>0</v>
      </c>
    </row>
    <row r="74" spans="1:17" x14ac:dyDescent="0.3">
      <c r="A74" s="135">
        <v>72</v>
      </c>
      <c r="B74" s="135" t="s">
        <v>557</v>
      </c>
      <c r="C74" s="135" t="s">
        <v>26</v>
      </c>
      <c r="D74" s="135" t="s">
        <v>46</v>
      </c>
      <c r="E74" s="135">
        <v>1</v>
      </c>
      <c r="F74" s="135">
        <v>0.3</v>
      </c>
      <c r="G74" s="135">
        <v>0.2</v>
      </c>
      <c r="H74" s="135">
        <v>2.2999999999999998</v>
      </c>
      <c r="I74" s="135">
        <v>0</v>
      </c>
      <c r="J74" s="135">
        <v>0</v>
      </c>
      <c r="K74" s="135">
        <v>0</v>
      </c>
      <c r="L74" s="135">
        <v>0</v>
      </c>
      <c r="M74" s="135">
        <v>0</v>
      </c>
      <c r="N74" s="135">
        <v>0</v>
      </c>
      <c r="O74" s="135">
        <v>0.5</v>
      </c>
      <c r="P74" s="135">
        <v>0.5</v>
      </c>
      <c r="Q74" s="135">
        <v>0</v>
      </c>
    </row>
    <row r="75" spans="1:17" x14ac:dyDescent="0.3">
      <c r="A75" s="135">
        <v>73</v>
      </c>
      <c r="B75" s="135" t="s">
        <v>554</v>
      </c>
      <c r="C75" s="135" t="s">
        <v>41</v>
      </c>
      <c r="D75" s="135" t="s">
        <v>37</v>
      </c>
      <c r="E75" s="135">
        <v>1</v>
      </c>
      <c r="F75" s="135">
        <v>0.3</v>
      </c>
      <c r="G75" s="135">
        <v>0.2</v>
      </c>
      <c r="H75" s="135">
        <v>2.2000000000000002</v>
      </c>
      <c r="I75" s="135">
        <v>0</v>
      </c>
      <c r="J75" s="135">
        <v>0</v>
      </c>
      <c r="K75" s="135">
        <v>0</v>
      </c>
      <c r="L75" s="135">
        <v>0</v>
      </c>
      <c r="M75" s="135">
        <v>0</v>
      </c>
      <c r="N75" s="135">
        <v>0</v>
      </c>
      <c r="O75" s="135">
        <v>0.5</v>
      </c>
      <c r="P75" s="135">
        <v>0.5</v>
      </c>
      <c r="Q75" s="135">
        <v>0</v>
      </c>
    </row>
    <row r="76" spans="1:17" x14ac:dyDescent="0.3">
      <c r="A76" s="135">
        <v>74</v>
      </c>
      <c r="B76" s="135" t="s">
        <v>1253</v>
      </c>
      <c r="C76" s="135" t="s">
        <v>70</v>
      </c>
      <c r="D76" s="135" t="s">
        <v>401</v>
      </c>
      <c r="E76" s="135">
        <v>1</v>
      </c>
      <c r="F76" s="135">
        <v>0.3</v>
      </c>
      <c r="G76" s="135">
        <v>0.2</v>
      </c>
      <c r="H76" s="135">
        <v>2.2000000000000002</v>
      </c>
      <c r="I76" s="135">
        <v>0</v>
      </c>
      <c r="J76" s="135">
        <v>0</v>
      </c>
      <c r="K76" s="135">
        <v>0</v>
      </c>
      <c r="L76" s="135">
        <v>0</v>
      </c>
      <c r="M76" s="135">
        <v>0</v>
      </c>
      <c r="N76" s="135">
        <v>0</v>
      </c>
      <c r="O76" s="135">
        <v>0.5</v>
      </c>
      <c r="P76" s="135">
        <v>0.5</v>
      </c>
      <c r="Q76" s="135">
        <v>0</v>
      </c>
    </row>
    <row r="77" spans="1:17" x14ac:dyDescent="0.3">
      <c r="A77" s="135">
        <v>75</v>
      </c>
      <c r="B77" s="135" t="s">
        <v>369</v>
      </c>
      <c r="C77" s="135" t="s">
        <v>10</v>
      </c>
      <c r="D77" s="135" t="s">
        <v>402</v>
      </c>
      <c r="E77" s="135">
        <v>1</v>
      </c>
      <c r="F77" s="135">
        <v>0.3</v>
      </c>
      <c r="G77" s="135">
        <v>0.2</v>
      </c>
      <c r="H77" s="135">
        <v>2.2999999999999998</v>
      </c>
      <c r="I77" s="135">
        <v>0</v>
      </c>
      <c r="J77" s="135">
        <v>0</v>
      </c>
      <c r="K77" s="135">
        <v>0</v>
      </c>
      <c r="L77" s="135">
        <v>0</v>
      </c>
      <c r="M77" s="135">
        <v>0</v>
      </c>
      <c r="N77" s="135">
        <v>0</v>
      </c>
      <c r="O77" s="135">
        <v>0.5</v>
      </c>
      <c r="P77" s="135">
        <v>0.5</v>
      </c>
      <c r="Q77" s="135">
        <v>0</v>
      </c>
    </row>
    <row r="78" spans="1:17" x14ac:dyDescent="0.3">
      <c r="A78" s="135">
        <v>76</v>
      </c>
      <c r="B78" s="135" t="s">
        <v>544</v>
      </c>
      <c r="C78" s="135" t="s">
        <v>7</v>
      </c>
      <c r="D78" s="135" t="s">
        <v>34</v>
      </c>
      <c r="E78" s="135">
        <v>1</v>
      </c>
      <c r="F78" s="135">
        <v>0.3</v>
      </c>
      <c r="G78" s="135">
        <v>0.2</v>
      </c>
      <c r="H78" s="135">
        <v>2</v>
      </c>
      <c r="I78" s="135">
        <v>0</v>
      </c>
      <c r="J78" s="135">
        <v>0</v>
      </c>
      <c r="K78" s="135">
        <v>0</v>
      </c>
      <c r="L78" s="135">
        <v>0</v>
      </c>
      <c r="M78" s="135">
        <v>0</v>
      </c>
      <c r="N78" s="135">
        <v>0</v>
      </c>
      <c r="O78" s="135">
        <v>0.5</v>
      </c>
      <c r="P78" s="135">
        <v>0.5</v>
      </c>
      <c r="Q78" s="135">
        <v>0</v>
      </c>
    </row>
    <row r="79" spans="1:17" x14ac:dyDescent="0.3">
      <c r="A79" s="135">
        <v>77</v>
      </c>
      <c r="B79" s="135" t="s">
        <v>531</v>
      </c>
      <c r="C79" s="135" t="s">
        <v>30</v>
      </c>
      <c r="D79" s="135" t="s">
        <v>1238</v>
      </c>
      <c r="E79" s="135">
        <v>1</v>
      </c>
      <c r="F79" s="135">
        <v>0.3</v>
      </c>
      <c r="G79" s="135">
        <v>0.2</v>
      </c>
      <c r="H79" s="135">
        <v>2</v>
      </c>
      <c r="I79" s="135">
        <v>0</v>
      </c>
      <c r="J79" s="135">
        <v>0</v>
      </c>
      <c r="K79" s="135">
        <v>0</v>
      </c>
      <c r="L79" s="135">
        <v>0</v>
      </c>
      <c r="M79" s="135">
        <v>0</v>
      </c>
      <c r="N79" s="135">
        <v>0</v>
      </c>
      <c r="O79" s="135">
        <v>0.5</v>
      </c>
      <c r="P79" s="135">
        <v>0.5</v>
      </c>
      <c r="Q79" s="135">
        <v>0</v>
      </c>
    </row>
    <row r="80" spans="1:17" x14ac:dyDescent="0.3">
      <c r="A80" s="135">
        <v>78</v>
      </c>
      <c r="B80" s="135" t="s">
        <v>346</v>
      </c>
      <c r="C80" s="135" t="s">
        <v>30</v>
      </c>
      <c r="D80" s="135" t="s">
        <v>1238</v>
      </c>
      <c r="E80" s="135">
        <v>1</v>
      </c>
      <c r="F80" s="135">
        <v>0.3</v>
      </c>
      <c r="G80" s="135">
        <v>0.2</v>
      </c>
      <c r="H80" s="135">
        <v>1.9</v>
      </c>
      <c r="I80" s="135">
        <v>0</v>
      </c>
      <c r="J80" s="135">
        <v>0</v>
      </c>
      <c r="K80" s="135">
        <v>0</v>
      </c>
      <c r="L80" s="135">
        <v>0</v>
      </c>
      <c r="M80" s="135">
        <v>0</v>
      </c>
      <c r="N80" s="135">
        <v>0</v>
      </c>
      <c r="O80" s="135">
        <v>0.5</v>
      </c>
      <c r="P80" s="135">
        <v>0.5</v>
      </c>
      <c r="Q80" s="135">
        <v>0</v>
      </c>
    </row>
    <row r="81" spans="1:17" x14ac:dyDescent="0.3">
      <c r="A81" s="135">
        <v>79</v>
      </c>
      <c r="B81" s="135" t="s">
        <v>385</v>
      </c>
      <c r="C81" s="135" t="s">
        <v>26</v>
      </c>
      <c r="D81" s="135" t="s">
        <v>46</v>
      </c>
      <c r="E81" s="135">
        <v>1</v>
      </c>
      <c r="F81" s="135">
        <v>0.3</v>
      </c>
      <c r="G81" s="135">
        <v>0.2</v>
      </c>
      <c r="H81" s="135">
        <v>1.6</v>
      </c>
      <c r="I81" s="135">
        <v>0</v>
      </c>
      <c r="J81" s="135">
        <v>0</v>
      </c>
      <c r="K81" s="135">
        <v>0</v>
      </c>
      <c r="L81" s="135">
        <v>0</v>
      </c>
      <c r="M81" s="135">
        <v>0</v>
      </c>
      <c r="N81" s="135">
        <v>0</v>
      </c>
      <c r="O81" s="135">
        <v>0.5</v>
      </c>
      <c r="P81" s="135">
        <v>0.5</v>
      </c>
      <c r="Q81" s="135">
        <v>0</v>
      </c>
    </row>
    <row r="82" spans="1:17" x14ac:dyDescent="0.3">
      <c r="A82" s="135">
        <v>80</v>
      </c>
      <c r="B82" s="135" t="s">
        <v>372</v>
      </c>
      <c r="C82" s="135" t="s">
        <v>52</v>
      </c>
      <c r="D82" s="135" t="s">
        <v>398</v>
      </c>
      <c r="E82" s="135">
        <v>1</v>
      </c>
      <c r="F82" s="135">
        <v>0.3</v>
      </c>
      <c r="G82" s="135">
        <v>0.2</v>
      </c>
      <c r="H82" s="135">
        <v>1.6</v>
      </c>
      <c r="I82" s="135">
        <v>0</v>
      </c>
      <c r="J82" s="135">
        <v>0</v>
      </c>
      <c r="K82" s="135">
        <v>0</v>
      </c>
      <c r="L82" s="135">
        <v>0</v>
      </c>
      <c r="M82" s="135">
        <v>0</v>
      </c>
      <c r="N82" s="135">
        <v>0</v>
      </c>
      <c r="O82" s="135">
        <v>0.4</v>
      </c>
      <c r="P82" s="135">
        <v>0.4</v>
      </c>
      <c r="Q82" s="135">
        <v>0</v>
      </c>
    </row>
    <row r="83" spans="1:17" x14ac:dyDescent="0.3">
      <c r="A83" s="135">
        <v>81</v>
      </c>
      <c r="B83" s="135" t="s">
        <v>378</v>
      </c>
      <c r="C83" s="135" t="s">
        <v>10</v>
      </c>
      <c r="D83" s="135" t="s">
        <v>402</v>
      </c>
      <c r="E83" s="135">
        <v>1</v>
      </c>
      <c r="F83" s="135">
        <v>0.3</v>
      </c>
      <c r="G83" s="135">
        <v>0.2</v>
      </c>
      <c r="H83" s="135">
        <v>1.4</v>
      </c>
      <c r="I83" s="135">
        <v>0</v>
      </c>
      <c r="J83" s="135">
        <v>0</v>
      </c>
      <c r="K83" s="135">
        <v>0</v>
      </c>
      <c r="L83" s="135">
        <v>0</v>
      </c>
      <c r="M83" s="135">
        <v>0</v>
      </c>
      <c r="N83" s="135">
        <v>0</v>
      </c>
      <c r="O83" s="135">
        <v>0.4</v>
      </c>
      <c r="P83" s="135">
        <v>0.4</v>
      </c>
      <c r="Q83" s="135">
        <v>0</v>
      </c>
    </row>
    <row r="84" spans="1:17" x14ac:dyDescent="0.3">
      <c r="A84" s="135">
        <v>83</v>
      </c>
      <c r="B84" s="135" t="s">
        <v>370</v>
      </c>
      <c r="C84" s="135" t="s">
        <v>401</v>
      </c>
      <c r="D84" s="135" t="s">
        <v>1236</v>
      </c>
      <c r="E84" s="135">
        <v>1</v>
      </c>
      <c r="F84" s="135">
        <v>0.3</v>
      </c>
      <c r="G84" s="135">
        <v>0.2</v>
      </c>
      <c r="H84" s="135">
        <v>1.9</v>
      </c>
      <c r="I84" s="135">
        <v>0</v>
      </c>
      <c r="J84" s="135">
        <v>0</v>
      </c>
      <c r="K84" s="135">
        <v>0</v>
      </c>
      <c r="L84" s="135">
        <v>0</v>
      </c>
      <c r="M84" s="135">
        <v>0</v>
      </c>
      <c r="N84" s="135">
        <v>0</v>
      </c>
      <c r="O84" s="135">
        <v>0.5</v>
      </c>
      <c r="P84" s="135">
        <v>0.5</v>
      </c>
      <c r="Q84" s="135">
        <v>0</v>
      </c>
    </row>
    <row r="85" spans="1:17" x14ac:dyDescent="0.3">
      <c r="A85" s="135">
        <v>84</v>
      </c>
      <c r="B85" s="135" t="s">
        <v>546</v>
      </c>
      <c r="C85" s="135" t="s">
        <v>16</v>
      </c>
      <c r="D85" s="135" t="s">
        <v>70</v>
      </c>
      <c r="E85" s="135">
        <v>1</v>
      </c>
      <c r="F85" s="135">
        <v>0.3</v>
      </c>
      <c r="G85" s="135">
        <v>0.2</v>
      </c>
      <c r="H85" s="135">
        <v>1.6</v>
      </c>
      <c r="I85" s="135">
        <v>0</v>
      </c>
      <c r="J85" s="135">
        <v>0</v>
      </c>
      <c r="K85" s="135">
        <v>0</v>
      </c>
      <c r="L85" s="135">
        <v>0</v>
      </c>
      <c r="M85" s="135">
        <v>0</v>
      </c>
      <c r="N85" s="135">
        <v>0</v>
      </c>
      <c r="O85" s="135">
        <v>0.5</v>
      </c>
      <c r="P85" s="135">
        <v>0.5</v>
      </c>
      <c r="Q85" s="135">
        <v>0</v>
      </c>
    </row>
    <row r="86" spans="1:17" x14ac:dyDescent="0.3">
      <c r="A86" s="135">
        <v>85</v>
      </c>
      <c r="B86" s="135" t="s">
        <v>1518</v>
      </c>
      <c r="C86" s="135" t="s">
        <v>70</v>
      </c>
      <c r="D86" s="135" t="s">
        <v>16</v>
      </c>
      <c r="E86" s="135">
        <v>1</v>
      </c>
      <c r="F86" s="135">
        <v>0.3</v>
      </c>
      <c r="G86" s="135">
        <v>0.2</v>
      </c>
      <c r="H86" s="135">
        <v>1.9</v>
      </c>
      <c r="I86" s="135">
        <v>0</v>
      </c>
      <c r="J86" s="135">
        <v>0</v>
      </c>
      <c r="K86" s="135">
        <v>0</v>
      </c>
      <c r="L86" s="135">
        <v>0</v>
      </c>
      <c r="M86" s="135">
        <v>0</v>
      </c>
      <c r="N86" s="135">
        <v>0</v>
      </c>
      <c r="O86" s="135">
        <v>0.5</v>
      </c>
      <c r="P86" s="135">
        <v>0.5</v>
      </c>
      <c r="Q86" s="135">
        <v>0</v>
      </c>
    </row>
    <row r="87" spans="1:17" x14ac:dyDescent="0.3">
      <c r="A87" s="135">
        <v>86</v>
      </c>
      <c r="B87" s="135" t="s">
        <v>544</v>
      </c>
      <c r="C87" s="135" t="s">
        <v>7</v>
      </c>
      <c r="D87" s="135" t="s">
        <v>409</v>
      </c>
      <c r="E87" s="135">
        <v>1</v>
      </c>
      <c r="F87" s="135">
        <v>0.3</v>
      </c>
      <c r="G87" s="135">
        <v>0.2</v>
      </c>
      <c r="H87" s="135">
        <v>1.9</v>
      </c>
      <c r="I87" s="135">
        <v>0</v>
      </c>
      <c r="J87" s="135">
        <v>0</v>
      </c>
      <c r="K87" s="135">
        <v>0</v>
      </c>
      <c r="L87" s="135">
        <v>0</v>
      </c>
      <c r="M87" s="135">
        <v>0</v>
      </c>
      <c r="N87" s="135">
        <v>0</v>
      </c>
      <c r="O87" s="135">
        <v>0.5</v>
      </c>
      <c r="P87" s="135">
        <v>0.5</v>
      </c>
      <c r="Q87" s="135">
        <v>0</v>
      </c>
    </row>
    <row r="88" spans="1:17" x14ac:dyDescent="0.3">
      <c r="A88" s="135">
        <v>87</v>
      </c>
      <c r="B88" s="135" t="s">
        <v>369</v>
      </c>
      <c r="C88" s="135" t="s">
        <v>10</v>
      </c>
      <c r="D88" s="135" t="s">
        <v>34</v>
      </c>
      <c r="E88" s="135">
        <v>1</v>
      </c>
      <c r="F88" s="135">
        <v>0.3</v>
      </c>
      <c r="G88" s="135">
        <v>0.2</v>
      </c>
      <c r="H88" s="135">
        <v>2</v>
      </c>
      <c r="I88" s="135">
        <v>0</v>
      </c>
      <c r="J88" s="135">
        <v>0</v>
      </c>
      <c r="K88" s="135">
        <v>0</v>
      </c>
      <c r="L88" s="135">
        <v>0</v>
      </c>
      <c r="M88" s="135">
        <v>0</v>
      </c>
      <c r="N88" s="135">
        <v>0</v>
      </c>
      <c r="O88" s="135">
        <v>0.4</v>
      </c>
      <c r="P88" s="135">
        <v>0.4</v>
      </c>
      <c r="Q88" s="135">
        <v>0</v>
      </c>
    </row>
    <row r="89" spans="1:17" x14ac:dyDescent="0.3">
      <c r="A89" s="135">
        <v>88</v>
      </c>
      <c r="B89" s="135" t="s">
        <v>365</v>
      </c>
      <c r="C89" s="135" t="s">
        <v>397</v>
      </c>
      <c r="D89" s="135" t="s">
        <v>1238</v>
      </c>
      <c r="E89" s="135">
        <v>1</v>
      </c>
      <c r="F89" s="135">
        <v>0.3</v>
      </c>
      <c r="G89" s="135">
        <v>0.2</v>
      </c>
      <c r="H89" s="135">
        <v>1.8</v>
      </c>
      <c r="I89" s="135">
        <v>0</v>
      </c>
      <c r="J89" s="135">
        <v>0</v>
      </c>
      <c r="K89" s="135">
        <v>0</v>
      </c>
      <c r="L89" s="135">
        <v>0</v>
      </c>
      <c r="M89" s="135">
        <v>0</v>
      </c>
      <c r="N89" s="135">
        <v>0</v>
      </c>
      <c r="O89" s="135">
        <v>0.4</v>
      </c>
      <c r="P89" s="135">
        <v>0.4</v>
      </c>
      <c r="Q89" s="135">
        <v>0</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workbookViewId="0">
      <selection activeCell="O2" sqref="O2:O33"/>
    </sheetView>
  </sheetViews>
  <sheetFormatPr defaultRowHeight="14.4" x14ac:dyDescent="0.3"/>
  <cols>
    <col min="1" max="1" width="29.88671875" bestFit="1" customWidth="1"/>
    <col min="2" max="2" width="4.77734375" bestFit="1" customWidth="1"/>
    <col min="3" max="3" width="6.44140625" bestFit="1" customWidth="1"/>
    <col min="4" max="4" width="7.21875" bestFit="1" customWidth="1"/>
    <col min="5" max="5" width="5.5546875" bestFit="1" customWidth="1"/>
    <col min="6" max="6" width="7" bestFit="1" customWidth="1"/>
    <col min="7" max="7" width="9.21875" bestFit="1" customWidth="1"/>
    <col min="8" max="8" width="4.77734375" bestFit="1" customWidth="1"/>
    <col min="9" max="9" width="29.88671875" bestFit="1" customWidth="1"/>
    <col min="10" max="10" width="7.21875" bestFit="1" customWidth="1"/>
    <col min="11" max="11" width="6.21875" customWidth="1"/>
    <col min="12" max="12" width="7.109375" customWidth="1"/>
    <col min="13" max="13" width="9.21875" bestFit="1" customWidth="1"/>
    <col min="14" max="15" width="11" customWidth="1"/>
  </cols>
  <sheetData>
    <row r="1" spans="1:16" x14ac:dyDescent="0.3">
      <c r="A1" s="3" t="s">
        <v>387</v>
      </c>
      <c r="B1" s="3" t="s">
        <v>412</v>
      </c>
      <c r="C1" s="3" t="s">
        <v>389</v>
      </c>
      <c r="D1" s="3" t="s">
        <v>609</v>
      </c>
      <c r="E1" s="3" t="s">
        <v>391</v>
      </c>
      <c r="F1" s="3" t="s">
        <v>613</v>
      </c>
      <c r="G1" s="2" t="s">
        <v>614</v>
      </c>
      <c r="I1" s="24" t="s">
        <v>1540</v>
      </c>
      <c r="J1" s="24" t="s">
        <v>412</v>
      </c>
      <c r="K1" s="24" t="s">
        <v>389</v>
      </c>
      <c r="L1" s="24" t="s">
        <v>609</v>
      </c>
      <c r="M1" s="24" t="s">
        <v>391</v>
      </c>
      <c r="N1" t="s">
        <v>387</v>
      </c>
      <c r="O1" t="s">
        <v>81</v>
      </c>
      <c r="P1" s="133" t="s">
        <v>1346</v>
      </c>
    </row>
    <row r="2" spans="1:16" x14ac:dyDescent="0.3">
      <c r="A2" s="3" t="s">
        <v>714</v>
      </c>
      <c r="B2" s="3">
        <v>16</v>
      </c>
      <c r="C2" s="3">
        <v>96</v>
      </c>
      <c r="D2" s="3">
        <v>1290</v>
      </c>
      <c r="E2" s="3">
        <v>11</v>
      </c>
      <c r="F2" s="3">
        <v>195</v>
      </c>
      <c r="G2" s="2">
        <v>12.2</v>
      </c>
      <c r="I2" s="26" t="s">
        <v>727</v>
      </c>
      <c r="J2" s="26">
        <v>16</v>
      </c>
      <c r="K2">
        <f>SUM(Table_3__4[[#This Row],[Rec]]/$J$2)</f>
        <v>6</v>
      </c>
      <c r="L2">
        <f>SUM(Table_3__4[[#This Row],[Yard]]/$J$2)</f>
        <v>80.625</v>
      </c>
      <c r="M2">
        <f>SUM(Table_3__4[[#This Row],[TD]]/$J$2)</f>
        <v>0.6875</v>
      </c>
      <c r="N2" t="s">
        <v>24</v>
      </c>
      <c r="O2" s="135" t="s">
        <v>2295</v>
      </c>
      <c r="P2" s="103">
        <v>19</v>
      </c>
    </row>
    <row r="3" spans="1:16" x14ac:dyDescent="0.3">
      <c r="A3" s="3" t="s">
        <v>715</v>
      </c>
      <c r="B3" s="3">
        <v>16</v>
      </c>
      <c r="C3" s="3">
        <v>101</v>
      </c>
      <c r="D3" s="3">
        <v>1303</v>
      </c>
      <c r="E3" s="3">
        <v>9</v>
      </c>
      <c r="F3" s="3">
        <v>184.3</v>
      </c>
      <c r="G3" s="2">
        <v>11.5</v>
      </c>
      <c r="I3" s="25" t="s">
        <v>718</v>
      </c>
      <c r="J3" s="25">
        <v>16</v>
      </c>
      <c r="K3">
        <f>SUM(Table_3__4[[#This Row],[Rec]]/$J$2)</f>
        <v>6.3125</v>
      </c>
      <c r="L3">
        <f>SUM(Table_3__4[[#This Row],[Yard]]/$J$2)</f>
        <v>81.4375</v>
      </c>
      <c r="M3">
        <f>SUM(Table_3__4[[#This Row],[TD]]/$J$2)</f>
        <v>0.5625</v>
      </c>
      <c r="N3" t="s">
        <v>50</v>
      </c>
      <c r="O3" s="135" t="s">
        <v>2296</v>
      </c>
      <c r="P3" s="103">
        <v>28</v>
      </c>
    </row>
    <row r="4" spans="1:16" x14ac:dyDescent="0.3">
      <c r="A4" s="3" t="s">
        <v>716</v>
      </c>
      <c r="B4" s="3">
        <v>16</v>
      </c>
      <c r="C4" s="3">
        <v>81</v>
      </c>
      <c r="D4" s="3">
        <v>911</v>
      </c>
      <c r="E4" s="3">
        <v>12</v>
      </c>
      <c r="F4" s="3">
        <v>163.1</v>
      </c>
      <c r="G4" s="2">
        <v>10.199999999999999</v>
      </c>
      <c r="I4" s="25" t="s">
        <v>742</v>
      </c>
      <c r="J4" s="25">
        <v>16</v>
      </c>
      <c r="K4">
        <f>SUM(Table_3__4[[#This Row],[Rec]]/$J$2)</f>
        <v>5.0625</v>
      </c>
      <c r="L4">
        <f>SUM(Table_3__4[[#This Row],[Yard]]/$J$2)</f>
        <v>56.9375</v>
      </c>
      <c r="M4">
        <f>SUM(Table_3__4[[#This Row],[TD]]/$J$2)</f>
        <v>0.75</v>
      </c>
      <c r="N4" t="s">
        <v>32</v>
      </c>
      <c r="O4" s="135" t="s">
        <v>2297</v>
      </c>
      <c r="P4" s="103">
        <v>4</v>
      </c>
    </row>
    <row r="5" spans="1:16" x14ac:dyDescent="0.3">
      <c r="A5" s="3" t="s">
        <v>717</v>
      </c>
      <c r="B5" s="3">
        <v>16</v>
      </c>
      <c r="C5" s="3">
        <v>78</v>
      </c>
      <c r="D5" s="3">
        <v>838</v>
      </c>
      <c r="E5" s="3">
        <v>12</v>
      </c>
      <c r="F5" s="3">
        <v>155.80000000000001</v>
      </c>
      <c r="G5" s="2">
        <v>9.6999999999999993</v>
      </c>
      <c r="I5" s="25" t="s">
        <v>736</v>
      </c>
      <c r="J5" s="25">
        <v>16</v>
      </c>
      <c r="K5">
        <f>SUM(Table_3__4[[#This Row],[Rec]]/$J$2)</f>
        <v>4.875</v>
      </c>
      <c r="L5">
        <f>SUM(Table_3__4[[#This Row],[Yard]]/$J$2)</f>
        <v>52.375</v>
      </c>
      <c r="M5">
        <f>SUM(Table_3__4[[#This Row],[TD]]/$J$2)</f>
        <v>0.75</v>
      </c>
      <c r="N5" t="s">
        <v>10</v>
      </c>
      <c r="O5" s="135" t="s">
        <v>1969</v>
      </c>
      <c r="P5" s="103">
        <v>10</v>
      </c>
    </row>
    <row r="6" spans="1:16" x14ac:dyDescent="0.3">
      <c r="A6" s="3" t="s">
        <v>718</v>
      </c>
      <c r="B6" s="3">
        <v>16</v>
      </c>
      <c r="C6" s="3">
        <v>95</v>
      </c>
      <c r="D6" s="3">
        <v>1014</v>
      </c>
      <c r="E6" s="3">
        <v>9</v>
      </c>
      <c r="F6" s="3">
        <v>155.4</v>
      </c>
      <c r="G6" s="2">
        <v>9.6999999999999993</v>
      </c>
      <c r="I6" s="25" t="s">
        <v>734</v>
      </c>
      <c r="J6" s="25">
        <v>16</v>
      </c>
      <c r="K6">
        <f>SUM(Table_3__4[[#This Row],[Rec]]/$J$2)</f>
        <v>5.9375</v>
      </c>
      <c r="L6">
        <f>SUM(Table_3__4[[#This Row],[Yard]]/$J$2)</f>
        <v>63.375</v>
      </c>
      <c r="M6">
        <f>SUM(Table_3__4[[#This Row],[TD]]/$J$2)</f>
        <v>0.5625</v>
      </c>
      <c r="N6" t="s">
        <v>22</v>
      </c>
      <c r="O6" s="135" t="s">
        <v>1997</v>
      </c>
      <c r="P6" s="103">
        <v>12</v>
      </c>
    </row>
    <row r="7" spans="1:16" x14ac:dyDescent="0.3">
      <c r="A7" s="3" t="s">
        <v>719</v>
      </c>
      <c r="B7" s="3">
        <v>16</v>
      </c>
      <c r="C7" s="3">
        <v>81</v>
      </c>
      <c r="D7" s="3">
        <v>965</v>
      </c>
      <c r="E7" s="3">
        <v>9</v>
      </c>
      <c r="F7" s="3">
        <v>150.5</v>
      </c>
      <c r="G7" s="2">
        <v>9.4</v>
      </c>
      <c r="I7" s="26" t="s">
        <v>729</v>
      </c>
      <c r="J7" s="26">
        <v>16</v>
      </c>
      <c r="K7">
        <f>SUM(Table_3__4[[#This Row],[Rec]]/$J$2)</f>
        <v>5.0625</v>
      </c>
      <c r="L7">
        <f>SUM(Table_3__4[[#This Row],[Yard]]/$J$2)</f>
        <v>60.3125</v>
      </c>
      <c r="M7">
        <f>SUM(Table_3__4[[#This Row],[TD]]/$J$2)</f>
        <v>0.5625</v>
      </c>
      <c r="N7" t="s">
        <v>46</v>
      </c>
      <c r="O7" s="135" t="s">
        <v>2298</v>
      </c>
      <c r="P7" s="103">
        <v>17</v>
      </c>
    </row>
    <row r="8" spans="1:16" x14ac:dyDescent="0.3">
      <c r="A8" s="3" t="s">
        <v>720</v>
      </c>
      <c r="B8" s="3">
        <v>16</v>
      </c>
      <c r="C8" s="3">
        <v>76</v>
      </c>
      <c r="D8" s="3">
        <v>807</v>
      </c>
      <c r="E8" s="3">
        <v>11</v>
      </c>
      <c r="F8" s="3">
        <v>146.69999999999999</v>
      </c>
      <c r="G8" s="2">
        <v>9.1999999999999993</v>
      </c>
      <c r="I8" s="25" t="s">
        <v>738</v>
      </c>
      <c r="J8" s="25">
        <v>16</v>
      </c>
      <c r="K8">
        <f>SUM(Table_3__4[[#This Row],[Rec]]/$J$2)</f>
        <v>4.75</v>
      </c>
      <c r="L8">
        <f>SUM(Table_3__4[[#This Row],[Yard]]/$J$2)</f>
        <v>50.4375</v>
      </c>
      <c r="M8">
        <f>SUM(Table_3__4[[#This Row],[TD]]/$J$2)</f>
        <v>0.6875</v>
      </c>
      <c r="N8" t="s">
        <v>28</v>
      </c>
      <c r="O8" s="135" t="s">
        <v>1999</v>
      </c>
      <c r="P8" s="103">
        <v>8</v>
      </c>
    </row>
    <row r="9" spans="1:16" x14ac:dyDescent="0.3">
      <c r="A9" s="3" t="s">
        <v>721</v>
      </c>
      <c r="B9" s="3">
        <v>16</v>
      </c>
      <c r="C9" s="3">
        <v>88</v>
      </c>
      <c r="D9" s="3">
        <v>931</v>
      </c>
      <c r="E9" s="3">
        <v>8</v>
      </c>
      <c r="F9" s="3">
        <v>141.1</v>
      </c>
      <c r="G9" s="2">
        <v>8.8000000000000007</v>
      </c>
      <c r="I9" s="25" t="s">
        <v>732</v>
      </c>
      <c r="J9" s="25">
        <v>16</v>
      </c>
      <c r="K9">
        <f>SUM(Table_3__4[[#This Row],[Rec]]/$J$2)</f>
        <v>5.5</v>
      </c>
      <c r="L9">
        <f>SUM(Table_3__4[[#This Row],[Yard]]/$J$2)</f>
        <v>58.1875</v>
      </c>
      <c r="M9">
        <f>SUM(Table_3__4[[#This Row],[TD]]/$J$2)</f>
        <v>0.5</v>
      </c>
      <c r="N9" t="s">
        <v>14</v>
      </c>
      <c r="O9" s="135" t="s">
        <v>2299</v>
      </c>
      <c r="P9" s="103">
        <v>14</v>
      </c>
    </row>
    <row r="10" spans="1:16" x14ac:dyDescent="0.3">
      <c r="A10" s="3" t="s">
        <v>722</v>
      </c>
      <c r="B10" s="3">
        <v>16</v>
      </c>
      <c r="C10" s="3">
        <v>84</v>
      </c>
      <c r="D10" s="3">
        <v>976</v>
      </c>
      <c r="E10" s="3">
        <v>6</v>
      </c>
      <c r="F10" s="3">
        <v>137.19999999999999</v>
      </c>
      <c r="G10" s="2">
        <v>8.6</v>
      </c>
      <c r="I10" s="25" t="s">
        <v>744</v>
      </c>
      <c r="J10" s="25">
        <v>16</v>
      </c>
      <c r="K10">
        <f>SUM(Table_3__4[[#This Row],[Rec]]/$J$2)</f>
        <v>5.25</v>
      </c>
      <c r="L10">
        <f>SUM(Table_3__4[[#This Row],[Yard]]/$J$2)</f>
        <v>61</v>
      </c>
      <c r="M10">
        <f>SUM(Table_3__4[[#This Row],[TD]]/$J$2)</f>
        <v>0.375</v>
      </c>
      <c r="N10" t="s">
        <v>52</v>
      </c>
      <c r="O10" s="135" t="s">
        <v>1994</v>
      </c>
      <c r="P10" s="103">
        <v>2</v>
      </c>
    </row>
    <row r="11" spans="1:16" x14ac:dyDescent="0.3">
      <c r="A11" s="3" t="s">
        <v>723</v>
      </c>
      <c r="B11" s="3">
        <v>16</v>
      </c>
      <c r="C11" s="3">
        <v>75</v>
      </c>
      <c r="D11" s="3">
        <v>873</v>
      </c>
      <c r="E11" s="3">
        <v>8</v>
      </c>
      <c r="F11" s="3">
        <v>135.30000000000001</v>
      </c>
      <c r="G11" s="2">
        <v>8.5</v>
      </c>
      <c r="I11" s="25" t="s">
        <v>724</v>
      </c>
      <c r="J11" s="25">
        <v>16</v>
      </c>
      <c r="K11">
        <f>SUM(Table_3__4[[#This Row],[Rec]]/$J$2)</f>
        <v>4.6875</v>
      </c>
      <c r="L11">
        <f>SUM(Table_3__4[[#This Row],[Yard]]/$J$2)</f>
        <v>54.5625</v>
      </c>
      <c r="M11">
        <f>SUM(Table_3__4[[#This Row],[TD]]/$J$2)</f>
        <v>0.5</v>
      </c>
      <c r="N11" t="s">
        <v>70</v>
      </c>
      <c r="O11" s="135" t="s">
        <v>2300</v>
      </c>
      <c r="P11" s="103">
        <v>22</v>
      </c>
    </row>
    <row r="12" spans="1:16" x14ac:dyDescent="0.3">
      <c r="A12" s="3" t="s">
        <v>724</v>
      </c>
      <c r="B12" s="3">
        <v>16</v>
      </c>
      <c r="C12" s="3">
        <v>80</v>
      </c>
      <c r="D12" s="3">
        <v>914</v>
      </c>
      <c r="E12" s="3">
        <v>7</v>
      </c>
      <c r="F12" s="3">
        <v>133.6</v>
      </c>
      <c r="G12" s="2">
        <v>8.4</v>
      </c>
      <c r="I12" s="26" t="s">
        <v>717</v>
      </c>
      <c r="J12" s="26">
        <v>16</v>
      </c>
      <c r="K12">
        <f>SUM(Table_3__4[[#This Row],[Rec]]/$J$2)</f>
        <v>5</v>
      </c>
      <c r="L12">
        <f>SUM(Table_3__4[[#This Row],[Yard]]/$J$2)</f>
        <v>57.125</v>
      </c>
      <c r="M12">
        <f>SUM(Table_3__4[[#This Row],[TD]]/$J$2)</f>
        <v>0.4375</v>
      </c>
      <c r="N12" t="s">
        <v>26</v>
      </c>
      <c r="O12" s="135" t="s">
        <v>2301</v>
      </c>
      <c r="P12" s="103">
        <v>29</v>
      </c>
    </row>
    <row r="13" spans="1:16" x14ac:dyDescent="0.3">
      <c r="A13" s="3" t="s">
        <v>725</v>
      </c>
      <c r="B13" s="3">
        <v>16</v>
      </c>
      <c r="C13" s="3">
        <v>75</v>
      </c>
      <c r="D13" s="3">
        <v>851</v>
      </c>
      <c r="E13" s="3">
        <v>8</v>
      </c>
      <c r="F13" s="3">
        <v>133.1</v>
      </c>
      <c r="G13" s="2">
        <v>8.3000000000000007</v>
      </c>
      <c r="I13" s="25" t="s">
        <v>728</v>
      </c>
      <c r="J13" s="25">
        <v>16</v>
      </c>
      <c r="K13">
        <f>SUM(Table_3__4[[#This Row],[Rec]]/$J$2)</f>
        <v>4.6875</v>
      </c>
      <c r="L13">
        <f>SUM(Table_3__4[[#This Row],[Yard]]/$J$2)</f>
        <v>53.1875</v>
      </c>
      <c r="M13">
        <f>SUM(Table_3__4[[#This Row],[TD]]/$J$2)</f>
        <v>0.5</v>
      </c>
      <c r="N13" t="s">
        <v>395</v>
      </c>
      <c r="O13" s="135" t="s">
        <v>1976</v>
      </c>
      <c r="P13" s="103">
        <v>18</v>
      </c>
    </row>
    <row r="14" spans="1:16" x14ac:dyDescent="0.3">
      <c r="A14" s="3" t="s">
        <v>726</v>
      </c>
      <c r="B14" s="3">
        <v>16</v>
      </c>
      <c r="C14" s="3">
        <v>87</v>
      </c>
      <c r="D14" s="3">
        <v>962</v>
      </c>
      <c r="E14" s="3">
        <v>6</v>
      </c>
      <c r="F14" s="3">
        <v>132.19999999999999</v>
      </c>
      <c r="G14" s="2">
        <v>8.3000000000000007</v>
      </c>
      <c r="I14" s="26" t="s">
        <v>735</v>
      </c>
      <c r="J14" s="26">
        <v>16</v>
      </c>
      <c r="K14">
        <f>SUM(Table_3__4[[#This Row],[Rec]]/$J$2)</f>
        <v>5.4375</v>
      </c>
      <c r="L14">
        <f>SUM(Table_3__4[[#This Row],[Yard]]/$J$2)</f>
        <v>60.125</v>
      </c>
      <c r="M14">
        <f>SUM(Table_3__4[[#This Row],[TD]]/$J$2)</f>
        <v>0.375</v>
      </c>
      <c r="N14" t="s">
        <v>43</v>
      </c>
      <c r="O14" s="135" t="s">
        <v>2302</v>
      </c>
      <c r="P14" s="103">
        <v>11</v>
      </c>
    </row>
    <row r="15" spans="1:16" x14ac:dyDescent="0.3">
      <c r="A15" s="3" t="s">
        <v>727</v>
      </c>
      <c r="B15" s="3">
        <v>16</v>
      </c>
      <c r="C15" s="3">
        <v>87</v>
      </c>
      <c r="D15" s="3">
        <v>878</v>
      </c>
      <c r="E15" s="3">
        <v>6</v>
      </c>
      <c r="F15" s="3">
        <v>123.8</v>
      </c>
      <c r="G15" s="2">
        <v>7.7</v>
      </c>
      <c r="I15" s="25" t="s">
        <v>722</v>
      </c>
      <c r="J15" s="25">
        <v>16</v>
      </c>
      <c r="K15">
        <f>SUM(Table_3__4[[#This Row],[Rec]]/$J$2)</f>
        <v>5.4375</v>
      </c>
      <c r="L15">
        <f>SUM(Table_3__4[[#This Row],[Yard]]/$J$2)</f>
        <v>54.875</v>
      </c>
      <c r="M15">
        <f>SUM(Table_3__4[[#This Row],[TD]]/$J$2)</f>
        <v>0.375</v>
      </c>
      <c r="N15" t="s">
        <v>16</v>
      </c>
      <c r="O15" s="135" t="s">
        <v>1967</v>
      </c>
      <c r="P15" s="103">
        <v>24</v>
      </c>
    </row>
    <row r="16" spans="1:16" x14ac:dyDescent="0.3">
      <c r="A16" s="3" t="s">
        <v>728</v>
      </c>
      <c r="B16" s="3">
        <v>16</v>
      </c>
      <c r="C16" s="3">
        <v>75</v>
      </c>
      <c r="D16" s="3">
        <v>810</v>
      </c>
      <c r="E16" s="3">
        <v>7</v>
      </c>
      <c r="F16" s="3">
        <v>123</v>
      </c>
      <c r="G16" s="2">
        <v>7.7</v>
      </c>
      <c r="I16" s="26" t="s">
        <v>719</v>
      </c>
      <c r="J16" s="26">
        <v>16</v>
      </c>
      <c r="K16">
        <f>SUM(Table_3__4[[#This Row],[Rec]]/$J$2)</f>
        <v>4.6875</v>
      </c>
      <c r="L16">
        <f>SUM(Table_3__4[[#This Row],[Yard]]/$J$2)</f>
        <v>50.625</v>
      </c>
      <c r="M16">
        <f>SUM(Table_3__4[[#This Row],[TD]]/$J$2)</f>
        <v>0.4375</v>
      </c>
      <c r="N16" t="s">
        <v>561</v>
      </c>
      <c r="O16" s="135" t="s">
        <v>1980</v>
      </c>
      <c r="P16" s="103">
        <v>27</v>
      </c>
    </row>
    <row r="17" spans="1:16" x14ac:dyDescent="0.3">
      <c r="A17" s="3" t="s">
        <v>729</v>
      </c>
      <c r="B17" s="3">
        <v>16</v>
      </c>
      <c r="C17" s="3">
        <v>76</v>
      </c>
      <c r="D17" s="3">
        <v>841</v>
      </c>
      <c r="E17" s="3">
        <v>6</v>
      </c>
      <c r="F17" s="3">
        <v>121.2</v>
      </c>
      <c r="G17" s="2">
        <v>7.6</v>
      </c>
      <c r="I17" s="26" t="s">
        <v>745</v>
      </c>
      <c r="J17" s="26">
        <v>16</v>
      </c>
      <c r="K17">
        <f>SUM(Table_3__4[[#This Row],[Rec]]/$J$2)</f>
        <v>4.75</v>
      </c>
      <c r="L17">
        <f>SUM(Table_3__4[[#This Row],[Yard]]/$J$2)</f>
        <v>52.5625</v>
      </c>
      <c r="M17">
        <f>SUM(Table_3__4[[#This Row],[TD]]/$J$2)</f>
        <v>0.375</v>
      </c>
      <c r="N17" t="s">
        <v>397</v>
      </c>
      <c r="O17" s="135" t="s">
        <v>1982</v>
      </c>
      <c r="P17" s="103">
        <v>1</v>
      </c>
    </row>
    <row r="18" spans="1:16" x14ac:dyDescent="0.3">
      <c r="A18" s="3" t="s">
        <v>730</v>
      </c>
      <c r="B18" s="3">
        <v>16</v>
      </c>
      <c r="C18" s="3">
        <v>84</v>
      </c>
      <c r="D18" s="3">
        <v>903</v>
      </c>
      <c r="E18" s="3">
        <v>5</v>
      </c>
      <c r="F18" s="3">
        <v>120.5</v>
      </c>
      <c r="G18" s="2">
        <v>7.5</v>
      </c>
      <c r="I18" s="25" t="s">
        <v>726</v>
      </c>
      <c r="J18" s="25">
        <v>16</v>
      </c>
      <c r="K18">
        <f>SUM(Table_3__4[[#This Row],[Rec]]/$J$2)</f>
        <v>5.25</v>
      </c>
      <c r="L18">
        <f>SUM(Table_3__4[[#This Row],[Yard]]/$J$2)</f>
        <v>56.4375</v>
      </c>
      <c r="M18">
        <f>SUM(Table_3__4[[#This Row],[TD]]/$J$2)</f>
        <v>0.3125</v>
      </c>
      <c r="N18" t="s">
        <v>409</v>
      </c>
      <c r="O18" s="135" t="s">
        <v>2303</v>
      </c>
      <c r="P18" s="103">
        <v>20</v>
      </c>
    </row>
    <row r="19" spans="1:16" x14ac:dyDescent="0.3">
      <c r="A19" s="3" t="s">
        <v>731</v>
      </c>
      <c r="B19" s="3">
        <v>16</v>
      </c>
      <c r="C19" s="3">
        <v>85</v>
      </c>
      <c r="D19" s="3">
        <v>958</v>
      </c>
      <c r="E19" s="3">
        <v>4</v>
      </c>
      <c r="F19" s="3">
        <v>119.8</v>
      </c>
      <c r="G19" s="2">
        <v>7.5</v>
      </c>
      <c r="I19" s="25" t="s">
        <v>740</v>
      </c>
      <c r="J19" s="25">
        <v>16</v>
      </c>
      <c r="K19">
        <f>SUM(Table_3__4[[#This Row],[Rec]]/$J$2)</f>
        <v>5.3125</v>
      </c>
      <c r="L19">
        <f>SUM(Table_3__4[[#This Row],[Yard]]/$J$2)</f>
        <v>59.875</v>
      </c>
      <c r="M19">
        <f>SUM(Table_3__4[[#This Row],[TD]]/$J$2)</f>
        <v>0.25</v>
      </c>
      <c r="N19" t="s">
        <v>57</v>
      </c>
      <c r="O19" s="135" t="s">
        <v>2003</v>
      </c>
      <c r="P19" s="103">
        <v>6</v>
      </c>
    </row>
    <row r="20" spans="1:16" x14ac:dyDescent="0.3">
      <c r="A20" s="3" t="s">
        <v>732</v>
      </c>
      <c r="B20" s="3">
        <v>16</v>
      </c>
      <c r="C20" s="3">
        <v>63</v>
      </c>
      <c r="D20" s="3">
        <v>596</v>
      </c>
      <c r="E20" s="3">
        <v>10</v>
      </c>
      <c r="F20" s="3">
        <v>119.6</v>
      </c>
      <c r="G20" s="2">
        <v>7.5</v>
      </c>
      <c r="I20" s="25" t="s">
        <v>730</v>
      </c>
      <c r="J20" s="25">
        <v>16</v>
      </c>
      <c r="K20">
        <f>SUM(Table_3__4[[#This Row],[Rec]]/$J$2)</f>
        <v>3.9375</v>
      </c>
      <c r="L20">
        <f>SUM(Table_3__4[[#This Row],[Yard]]/$J$2)</f>
        <v>37.25</v>
      </c>
      <c r="M20">
        <f>SUM(Table_3__4[[#This Row],[TD]]/$J$2)</f>
        <v>0.625</v>
      </c>
      <c r="N20" t="s">
        <v>41</v>
      </c>
      <c r="O20" s="135" t="s">
        <v>2304</v>
      </c>
      <c r="P20" s="103">
        <v>16</v>
      </c>
    </row>
    <row r="21" spans="1:16" x14ac:dyDescent="0.3">
      <c r="A21" s="3" t="s">
        <v>733</v>
      </c>
      <c r="B21" s="3">
        <v>16</v>
      </c>
      <c r="C21" s="3">
        <v>73</v>
      </c>
      <c r="D21" s="3">
        <v>799</v>
      </c>
      <c r="E21" s="3">
        <v>6</v>
      </c>
      <c r="F21" s="3">
        <v>115.9</v>
      </c>
      <c r="G21" s="2">
        <v>7.2</v>
      </c>
      <c r="I21" s="26" t="s">
        <v>741</v>
      </c>
      <c r="J21" s="26">
        <v>16</v>
      </c>
      <c r="K21">
        <f>SUM(Table_3__4[[#This Row],[Rec]]/$J$2)</f>
        <v>4.5625</v>
      </c>
      <c r="L21">
        <f>SUM(Table_3__4[[#This Row],[Yard]]/$J$2)</f>
        <v>49.9375</v>
      </c>
      <c r="M21">
        <f>SUM(Table_3__4[[#This Row],[TD]]/$J$2)</f>
        <v>0.375</v>
      </c>
      <c r="N21" t="s">
        <v>402</v>
      </c>
      <c r="O21" s="135" t="s">
        <v>1992</v>
      </c>
      <c r="P21" s="103">
        <v>5</v>
      </c>
    </row>
    <row r="22" spans="1:16" x14ac:dyDescent="0.3">
      <c r="A22" s="3" t="s">
        <v>734</v>
      </c>
      <c r="B22" s="3">
        <v>16</v>
      </c>
      <c r="C22" s="3">
        <v>81</v>
      </c>
      <c r="D22" s="3">
        <v>781</v>
      </c>
      <c r="E22" s="3">
        <v>6</v>
      </c>
      <c r="F22" s="3">
        <v>114.1</v>
      </c>
      <c r="G22" s="2">
        <v>7.1</v>
      </c>
      <c r="I22" s="25" t="s">
        <v>714</v>
      </c>
      <c r="J22" s="25">
        <v>16</v>
      </c>
      <c r="K22">
        <f>SUM(Table_3__4[[#This Row],[Rec]]/$J$2)</f>
        <v>5.0625</v>
      </c>
      <c r="L22">
        <f>SUM(Table_3__4[[#This Row],[Yard]]/$J$2)</f>
        <v>48.8125</v>
      </c>
      <c r="M22">
        <f>SUM(Table_3__4[[#This Row],[TD]]/$J$2)</f>
        <v>0.375</v>
      </c>
      <c r="N22" t="s">
        <v>404</v>
      </c>
      <c r="O22" s="135" t="s">
        <v>1963</v>
      </c>
      <c r="P22" s="103">
        <v>32</v>
      </c>
    </row>
    <row r="23" spans="1:16" x14ac:dyDescent="0.3">
      <c r="A23" s="3" t="s">
        <v>735</v>
      </c>
      <c r="B23" s="3">
        <v>16</v>
      </c>
      <c r="C23" s="3">
        <v>72</v>
      </c>
      <c r="D23" s="3">
        <v>829</v>
      </c>
      <c r="E23" s="3">
        <v>5</v>
      </c>
      <c r="F23" s="3">
        <v>113</v>
      </c>
      <c r="G23" s="2">
        <v>7.1</v>
      </c>
      <c r="I23" s="26" t="s">
        <v>715</v>
      </c>
      <c r="J23" s="26">
        <v>16</v>
      </c>
      <c r="K23">
        <f>SUM(Table_3__4[[#This Row],[Rec]]/$J$2)</f>
        <v>4.5</v>
      </c>
      <c r="L23">
        <f>SUM(Table_3__4[[#This Row],[Yard]]/$J$2)</f>
        <v>51.8125</v>
      </c>
      <c r="M23">
        <f>SUM(Table_3__4[[#This Row],[TD]]/$J$2)</f>
        <v>0.3125</v>
      </c>
      <c r="N23" t="s">
        <v>37</v>
      </c>
      <c r="O23" s="135" t="s">
        <v>1987</v>
      </c>
      <c r="P23" s="103">
        <v>31</v>
      </c>
    </row>
    <row r="24" spans="1:16" x14ac:dyDescent="0.3">
      <c r="A24" s="3" t="s">
        <v>736</v>
      </c>
      <c r="B24" s="3">
        <v>16</v>
      </c>
      <c r="C24" s="3">
        <v>65</v>
      </c>
      <c r="D24" s="3">
        <v>706</v>
      </c>
      <c r="E24" s="3">
        <v>7</v>
      </c>
      <c r="F24" s="3">
        <v>112.6</v>
      </c>
      <c r="G24" s="2">
        <v>7</v>
      </c>
      <c r="I24" s="26" t="s">
        <v>743</v>
      </c>
      <c r="J24" s="26">
        <v>16</v>
      </c>
      <c r="K24">
        <f>SUM(Table_3__4[[#This Row],[Rec]]/$J$2)</f>
        <v>4.0625</v>
      </c>
      <c r="L24">
        <f>SUM(Table_3__4[[#This Row],[Yard]]/$J$2)</f>
        <v>44.125</v>
      </c>
      <c r="M24">
        <f>SUM(Table_3__4[[#This Row],[TD]]/$J$2)</f>
        <v>0.4375</v>
      </c>
      <c r="N24" t="s">
        <v>34</v>
      </c>
      <c r="O24" s="135" t="s">
        <v>2305</v>
      </c>
      <c r="P24" s="103">
        <v>3</v>
      </c>
    </row>
    <row r="25" spans="1:16" x14ac:dyDescent="0.3">
      <c r="A25" s="3" t="s">
        <v>737</v>
      </c>
      <c r="B25" s="3">
        <v>16</v>
      </c>
      <c r="C25" s="3">
        <v>91</v>
      </c>
      <c r="D25" s="3">
        <v>853</v>
      </c>
      <c r="E25" s="3">
        <v>4</v>
      </c>
      <c r="F25" s="3">
        <v>109.3</v>
      </c>
      <c r="G25" s="2">
        <v>6.8</v>
      </c>
      <c r="I25" s="25" t="s">
        <v>716</v>
      </c>
      <c r="J25" s="25">
        <v>16</v>
      </c>
      <c r="K25">
        <f>SUM(Table_3__4[[#This Row],[Rec]]/$J$2)</f>
        <v>5.6875</v>
      </c>
      <c r="L25">
        <f>SUM(Table_3__4[[#This Row],[Yard]]/$J$2)</f>
        <v>53.3125</v>
      </c>
      <c r="M25">
        <f>SUM(Table_3__4[[#This Row],[TD]]/$J$2)</f>
        <v>0.25</v>
      </c>
      <c r="N25" t="s">
        <v>4</v>
      </c>
      <c r="O25" s="135" t="s">
        <v>2306</v>
      </c>
      <c r="P25" s="103">
        <v>30</v>
      </c>
    </row>
    <row r="26" spans="1:16" x14ac:dyDescent="0.3">
      <c r="A26" s="3" t="s">
        <v>738</v>
      </c>
      <c r="B26" s="3">
        <v>16</v>
      </c>
      <c r="C26" s="3">
        <v>101</v>
      </c>
      <c r="D26" s="3">
        <v>1009</v>
      </c>
      <c r="E26" s="3">
        <v>1</v>
      </c>
      <c r="F26" s="3">
        <v>107.1</v>
      </c>
      <c r="G26" s="2">
        <v>6.7</v>
      </c>
      <c r="I26" s="26" t="s">
        <v>733</v>
      </c>
      <c r="J26" s="26">
        <v>16</v>
      </c>
      <c r="K26">
        <f>SUM(Table_3__4[[#This Row],[Rec]]/$J$2)</f>
        <v>6.3125</v>
      </c>
      <c r="L26">
        <f>SUM(Table_3__4[[#This Row],[Yard]]/$J$2)</f>
        <v>63.0625</v>
      </c>
      <c r="M26">
        <f>SUM(Table_3__4[[#This Row],[TD]]/$J$2)</f>
        <v>6.25E-2</v>
      </c>
      <c r="N26" t="s">
        <v>39</v>
      </c>
      <c r="O26" s="135" t="s">
        <v>1965</v>
      </c>
      <c r="P26" s="103">
        <v>13</v>
      </c>
    </row>
    <row r="27" spans="1:16" x14ac:dyDescent="0.3">
      <c r="A27" s="3" t="s">
        <v>739</v>
      </c>
      <c r="B27" s="3">
        <v>16</v>
      </c>
      <c r="C27" s="3">
        <v>76</v>
      </c>
      <c r="D27" s="3">
        <v>769</v>
      </c>
      <c r="E27" s="3">
        <v>5</v>
      </c>
      <c r="F27" s="3">
        <v>106.9</v>
      </c>
      <c r="G27" s="2">
        <v>6.7</v>
      </c>
      <c r="I27" s="26" t="s">
        <v>721</v>
      </c>
      <c r="J27" s="26">
        <v>16</v>
      </c>
      <c r="K27">
        <f>SUM(Table_3__4[[#This Row],[Rec]]/$J$2)</f>
        <v>4.75</v>
      </c>
      <c r="L27">
        <f>SUM(Table_3__4[[#This Row],[Yard]]/$J$2)</f>
        <v>48.0625</v>
      </c>
      <c r="M27">
        <f>SUM(Table_3__4[[#This Row],[TD]]/$J$2)</f>
        <v>0.3125</v>
      </c>
      <c r="N27" t="s">
        <v>20</v>
      </c>
      <c r="O27" s="135" t="s">
        <v>2307</v>
      </c>
      <c r="P27" s="103">
        <v>25</v>
      </c>
    </row>
    <row r="28" spans="1:16" x14ac:dyDescent="0.3">
      <c r="A28" s="3" t="s">
        <v>740</v>
      </c>
      <c r="B28" s="3">
        <v>16</v>
      </c>
      <c r="C28" s="3">
        <v>70</v>
      </c>
      <c r="D28" s="3">
        <v>819</v>
      </c>
      <c r="E28" s="3">
        <v>4</v>
      </c>
      <c r="F28" s="3">
        <v>105.9</v>
      </c>
      <c r="G28" s="2">
        <v>6.6</v>
      </c>
      <c r="I28" s="26" t="s">
        <v>725</v>
      </c>
      <c r="J28" s="26">
        <v>16</v>
      </c>
      <c r="K28">
        <f>SUM(Table_3__4[[#This Row],[Rec]]/$J$2)</f>
        <v>4.375</v>
      </c>
      <c r="L28">
        <f>SUM(Table_3__4[[#This Row],[Yard]]/$J$2)</f>
        <v>51.1875</v>
      </c>
      <c r="M28">
        <f>SUM(Table_3__4[[#This Row],[TD]]/$J$2)</f>
        <v>0.25</v>
      </c>
      <c r="N28" t="s">
        <v>407</v>
      </c>
      <c r="O28" s="135" t="s">
        <v>2308</v>
      </c>
      <c r="P28" s="103">
        <v>21</v>
      </c>
    </row>
    <row r="29" spans="1:16" x14ac:dyDescent="0.3">
      <c r="A29" s="3" t="s">
        <v>741</v>
      </c>
      <c r="B29" s="3">
        <v>16</v>
      </c>
      <c r="C29" s="3">
        <v>64</v>
      </c>
      <c r="D29" s="3">
        <v>630</v>
      </c>
      <c r="E29" s="3">
        <v>7</v>
      </c>
      <c r="F29" s="3">
        <v>105</v>
      </c>
      <c r="G29" s="2">
        <v>6.6</v>
      </c>
      <c r="I29" s="26" t="s">
        <v>723</v>
      </c>
      <c r="J29" s="26">
        <v>16</v>
      </c>
      <c r="K29">
        <f>SUM(Table_3__4[[#This Row],[Rec]]/$J$2)</f>
        <v>4</v>
      </c>
      <c r="L29">
        <f>SUM(Table_3__4[[#This Row],[Yard]]/$J$2)</f>
        <v>39.375</v>
      </c>
      <c r="M29">
        <f>SUM(Table_3__4[[#This Row],[TD]]/$J$2)</f>
        <v>0.4375</v>
      </c>
      <c r="N29" t="s">
        <v>7</v>
      </c>
      <c r="O29" s="135" t="s">
        <v>2001</v>
      </c>
      <c r="P29" s="103">
        <v>23</v>
      </c>
    </row>
    <row r="30" spans="1:16" x14ac:dyDescent="0.3">
      <c r="A30" s="3" t="s">
        <v>742</v>
      </c>
      <c r="B30" s="3">
        <v>16</v>
      </c>
      <c r="C30" s="3">
        <v>68</v>
      </c>
      <c r="D30" s="3">
        <v>742</v>
      </c>
      <c r="E30" s="3">
        <v>3</v>
      </c>
      <c r="F30" s="3">
        <v>92.2</v>
      </c>
      <c r="G30" s="2">
        <v>5.8</v>
      </c>
      <c r="I30" s="26" t="s">
        <v>739</v>
      </c>
      <c r="J30" s="26">
        <v>16</v>
      </c>
      <c r="K30">
        <f>SUM(Table_3__4[[#This Row],[Rec]]/$J$2)</f>
        <v>4.25</v>
      </c>
      <c r="L30">
        <f>SUM(Table_3__4[[#This Row],[Yard]]/$J$2)</f>
        <v>46.375</v>
      </c>
      <c r="M30">
        <f>SUM(Table_3__4[[#This Row],[TD]]/$J$2)</f>
        <v>0.1875</v>
      </c>
      <c r="N30" t="s">
        <v>398</v>
      </c>
      <c r="O30" s="135" t="s">
        <v>2309</v>
      </c>
      <c r="P30" s="103">
        <v>7</v>
      </c>
    </row>
    <row r="31" spans="1:16" x14ac:dyDescent="0.3">
      <c r="A31" s="3" t="s">
        <v>743</v>
      </c>
      <c r="B31" s="3">
        <v>16</v>
      </c>
      <c r="C31" s="3">
        <v>69</v>
      </c>
      <c r="D31" s="3">
        <v>760</v>
      </c>
      <c r="E31" s="3">
        <v>2</v>
      </c>
      <c r="F31" s="3">
        <v>88</v>
      </c>
      <c r="G31" s="2">
        <v>5.5</v>
      </c>
      <c r="I31" s="26" t="s">
        <v>737</v>
      </c>
      <c r="J31" s="26">
        <v>16</v>
      </c>
      <c r="K31">
        <f>SUM(Table_3__4[[#This Row],[Rec]]/$J$2)</f>
        <v>4.3125</v>
      </c>
      <c r="L31">
        <f>SUM(Table_3__4[[#This Row],[Yard]]/$J$2)</f>
        <v>47.5</v>
      </c>
      <c r="M31">
        <f>SUM(Table_3__4[[#This Row],[TD]]/$J$2)</f>
        <v>0.125</v>
      </c>
      <c r="N31" t="s">
        <v>401</v>
      </c>
      <c r="O31" s="135" t="s">
        <v>2005</v>
      </c>
      <c r="P31" s="103">
        <v>9</v>
      </c>
    </row>
    <row r="32" spans="1:16" x14ac:dyDescent="0.3">
      <c r="A32" s="3" t="s">
        <v>744</v>
      </c>
      <c r="B32" s="3">
        <v>16</v>
      </c>
      <c r="C32" s="3">
        <v>61</v>
      </c>
      <c r="D32" s="3">
        <v>615</v>
      </c>
      <c r="E32" s="3">
        <v>4</v>
      </c>
      <c r="F32" s="3">
        <v>85.5</v>
      </c>
      <c r="G32" s="2">
        <v>5.3</v>
      </c>
      <c r="I32" s="25" t="s">
        <v>720</v>
      </c>
      <c r="J32" s="25">
        <v>16</v>
      </c>
      <c r="K32">
        <f>SUM(Table_3__4[[#This Row],[Rec]]/$J$2)</f>
        <v>3.8125</v>
      </c>
      <c r="L32">
        <f>SUM(Table_3__4[[#This Row],[Yard]]/$J$2)</f>
        <v>38.4375</v>
      </c>
      <c r="M32">
        <f>SUM(Table_3__4[[#This Row],[TD]]/$J$2)</f>
        <v>0.25</v>
      </c>
      <c r="N32" t="s">
        <v>30</v>
      </c>
      <c r="O32" s="135" t="s">
        <v>1978</v>
      </c>
      <c r="P32" s="103">
        <v>26</v>
      </c>
    </row>
    <row r="33" spans="1:16" x14ac:dyDescent="0.3">
      <c r="A33" s="3" t="s">
        <v>745</v>
      </c>
      <c r="B33" s="3">
        <v>16</v>
      </c>
      <c r="C33" s="3">
        <v>66</v>
      </c>
      <c r="D33" s="3">
        <v>652</v>
      </c>
      <c r="E33" s="3">
        <v>3</v>
      </c>
      <c r="F33" s="3">
        <v>83.2</v>
      </c>
      <c r="G33" s="2">
        <v>5.2</v>
      </c>
      <c r="I33" s="26" t="s">
        <v>731</v>
      </c>
      <c r="J33" s="26">
        <v>16</v>
      </c>
      <c r="K33">
        <f>SUM(Table_3__4[[#This Row],[Rec]]/$J$2)</f>
        <v>4.125</v>
      </c>
      <c r="L33">
        <f>SUM(Table_3__4[[#This Row],[Yard]]/$J$2)</f>
        <v>40.75</v>
      </c>
      <c r="M33">
        <f>SUM(Table_3__4[[#This Row],[TD]]/$J$2)</f>
        <v>0.1875</v>
      </c>
      <c r="N33" t="s">
        <v>18</v>
      </c>
      <c r="O33" s="135" t="s">
        <v>2310</v>
      </c>
      <c r="P33" s="103">
        <v>15</v>
      </c>
    </row>
  </sheetData>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5:W111"/>
  <sheetViews>
    <sheetView zoomScale="90" zoomScaleNormal="90" workbookViewId="0">
      <pane xSplit="4" ySplit="9" topLeftCell="E16" activePane="bottomRight" state="frozen"/>
      <selection activeCell="A2" sqref="A2"/>
      <selection pane="topRight" activeCell="A2" sqref="A2"/>
      <selection pane="bottomLeft" activeCell="A2" sqref="A2"/>
      <selection pane="bottomRight"/>
    </sheetView>
  </sheetViews>
  <sheetFormatPr defaultColWidth="9.109375" defaultRowHeight="14.4" x14ac:dyDescent="0.3"/>
  <cols>
    <col min="1" max="1" width="2.88671875" style="9" customWidth="1"/>
    <col min="2" max="2" width="23.109375" style="9" bestFit="1" customWidth="1"/>
    <col min="3" max="3" width="8.21875" style="196" bestFit="1" customWidth="1"/>
    <col min="4" max="4" width="11" style="9" bestFit="1" customWidth="1"/>
    <col min="5" max="5" width="7.44140625" style="9" bestFit="1" customWidth="1"/>
    <col min="6" max="6" width="7.21875" style="9" bestFit="1" customWidth="1"/>
    <col min="7" max="7" width="11.88671875" style="9" customWidth="1"/>
    <col min="8" max="8" width="11.88671875" style="40" customWidth="1"/>
    <col min="9" max="9" width="11.88671875" style="42" customWidth="1"/>
    <col min="10" max="11" width="16.77734375" style="40" customWidth="1"/>
    <col min="12" max="12" width="17.21875" style="40" bestFit="1" customWidth="1"/>
    <col min="13" max="15" width="13.109375" style="40" bestFit="1" customWidth="1"/>
    <col min="16" max="16" width="9.5546875" style="40" bestFit="1" customWidth="1"/>
    <col min="17" max="17" width="16.88671875" style="40" hidden="1" customWidth="1"/>
    <col min="18" max="18" width="12" style="40" hidden="1" customWidth="1"/>
    <col min="19" max="19" width="10.44140625" style="49" bestFit="1" customWidth="1"/>
    <col min="20" max="20" width="11.44140625" style="9" hidden="1" customWidth="1"/>
    <col min="21" max="23" width="12" style="9" hidden="1" customWidth="1"/>
    <col min="24" max="16384" width="9.109375" style="9"/>
  </cols>
  <sheetData>
    <row r="5" spans="1:23" x14ac:dyDescent="0.3">
      <c r="B5" s="516" t="s">
        <v>414</v>
      </c>
      <c r="C5" s="516"/>
      <c r="D5" s="516"/>
      <c r="E5" s="13"/>
      <c r="F5" s="13"/>
    </row>
    <row r="7" spans="1:23" x14ac:dyDescent="0.3">
      <c r="A7" s="554" t="s">
        <v>1911</v>
      </c>
      <c r="B7" s="554"/>
      <c r="C7" s="554"/>
      <c r="D7" s="555"/>
      <c r="E7" s="12"/>
      <c r="F7" s="12"/>
    </row>
    <row r="8" spans="1:23" x14ac:dyDescent="0.3">
      <c r="A8" s="556">
        <f>QB_matchups!A9</f>
        <v>42641</v>
      </c>
      <c r="B8" s="556"/>
      <c r="C8" s="556"/>
      <c r="D8" s="557"/>
      <c r="E8" s="20"/>
      <c r="F8" s="20"/>
    </row>
    <row r="9" spans="1:23" s="124" customFormat="1" x14ac:dyDescent="0.3">
      <c r="A9" s="123" t="s">
        <v>0</v>
      </c>
      <c r="B9" s="123" t="s">
        <v>415</v>
      </c>
      <c r="C9" s="197" t="s">
        <v>416</v>
      </c>
      <c r="D9" s="197" t="s">
        <v>1912</v>
      </c>
      <c r="E9" s="123" t="s">
        <v>387</v>
      </c>
      <c r="F9" s="123" t="s">
        <v>81</v>
      </c>
      <c r="G9" s="123" t="s">
        <v>1606</v>
      </c>
      <c r="H9" s="123" t="s">
        <v>1607</v>
      </c>
      <c r="I9" s="123" t="s">
        <v>2294</v>
      </c>
      <c r="J9" s="123" t="s">
        <v>1329</v>
      </c>
      <c r="K9" s="123" t="s">
        <v>1351</v>
      </c>
      <c r="L9" s="123" t="s">
        <v>1352</v>
      </c>
      <c r="M9" s="123" t="s">
        <v>1672</v>
      </c>
      <c r="N9" s="41" t="s">
        <v>604</v>
      </c>
      <c r="O9" s="41" t="s">
        <v>1592</v>
      </c>
      <c r="P9" s="43" t="s">
        <v>749</v>
      </c>
      <c r="Q9" s="43" t="s">
        <v>1674</v>
      </c>
      <c r="R9" s="43" t="s">
        <v>1675</v>
      </c>
      <c r="S9" s="211" t="s">
        <v>1412</v>
      </c>
      <c r="T9" s="211" t="s">
        <v>1543</v>
      </c>
      <c r="U9" s="41" t="s">
        <v>1690</v>
      </c>
      <c r="V9" s="41" t="s">
        <v>1691</v>
      </c>
      <c r="W9" s="41" t="s">
        <v>1692</v>
      </c>
    </row>
    <row r="10" spans="1:23" x14ac:dyDescent="0.3">
      <c r="A10" s="37">
        <f>DEFstats1!AL14</f>
        <v>8.5</v>
      </c>
      <c r="B10" s="5" t="str">
        <f>DEFstats1!D14</f>
        <v>Denver Broncos</v>
      </c>
      <c r="C10" s="172">
        <f>IFERROR(INDEX(Salaries[DraftKings (Price)],MATCH(defenses[[#This Row],[Name]],Salaries[Player],0)),"")</f>
        <v>3700</v>
      </c>
      <c r="D10" s="172">
        <f>IFERROR(INDEX(DK_Salary_Changes[WeekChange],MATCH(defenses[[#This Row],[Name]],Salaries[Player],0)),"")</f>
        <v>0</v>
      </c>
      <c r="E10" s="515" t="str">
        <f>IFERROR(INDEX(Salaries[Team],MATCH(defenses[[#This Row],[Name]],Salaries[Player],0)),"")</f>
        <v>DEN</v>
      </c>
      <c r="F10" s="515" t="str">
        <f>IFERROR(INDEX(Salaries[Opp],MATCH(defenses[[#This Row],[Name]],Salaries[Player],0)),"")</f>
        <v>@TB</v>
      </c>
      <c r="G10" s="32">
        <f>IFERROR(INDEX(Salaries[O/U],MATCH(defenses[[#This Row],[Team]],Salaries[Team],0)),"")</f>
        <v>44</v>
      </c>
      <c r="H10" s="32">
        <f>IFERROR(INDEX(Salaries[Team O/U],MATCH(defenses[[#This Row],[Team]],Salaries[Team],0)),"")</f>
        <v>23.5</v>
      </c>
      <c r="I10" s="32">
        <f>IFERROR(INDEX(Salaries[Spread],MATCH(defenses[[#This Row],[Team]],Salaries[Team],0)),"")</f>
        <v>-3</v>
      </c>
      <c r="J10" s="14">
        <f>IFERROR(INDEX(TeamOffense2015[Rank],MATCH(defenses[[#This Row],[Opp]],TeamOffense2015[Team],0)),IFERROR(INDEX(TeamOffense2015[Rank],MATCH(defenses[[#This Row],[Opp]],TeamOffense2015[Column1],0)),""))</f>
        <v>5</v>
      </c>
      <c r="K10" s="14">
        <f>IFERROR(INDEX(TeamPassing2015[Yds/G],MATCH(defenses[[#This Row],[Opp]],TeamPassing2015[Team],0)),IFERROR(INDEX(TeamPassing2015[Yds/G],MATCH(defenses[[#This Row],[Opp]],TeamPassing2015[Column1],0)),""))</f>
        <v>240.8</v>
      </c>
      <c r="L10" s="14">
        <f>IFERROR(INDEX(TeamRushing2015[Yds/G],MATCH(defenses[[#This Row],[Opp]],TeamRushing2015[Team],0)),IFERROR(INDEX(TeamRushing2015[Yds/G],MATCH(defenses[[#This Row],[Opp]],TeamRushing2015[Column1],0)),""))</f>
        <v>135.1</v>
      </c>
      <c r="M10" s="14">
        <f>_xlfn.RANK.EQ(defenses[[#This Row],[Projection]],defenses[Projection],0)</f>
        <v>1</v>
      </c>
      <c r="N10" s="19">
        <f>AVERAGE(defenses[[#This Row],[DEFstats1]:[DEFstats3]])</f>
        <v>10.4</v>
      </c>
      <c r="O10" s="8">
        <f>_xlfn.RANK.EQ(defenses[[#This Row],[$/FP]],defenses[$/FP],1)</f>
        <v>4</v>
      </c>
      <c r="P10" s="125">
        <f>SUM(defenses[[#This Row],[Salary]]/defenses[[#This Row],[Projection]])</f>
        <v>355.76923076923077</v>
      </c>
      <c r="Q10" s="317">
        <f>_xlfn.RANK.EQ(defenses[[#This Row],[Average]],defenses[Average],1)</f>
        <v>1</v>
      </c>
      <c r="R10" s="317">
        <f>AVERAGE(defenses[[#This Row],[Proj Rank]],defenses[[#This Row],[Value Rank]])</f>
        <v>2.5</v>
      </c>
      <c r="S10" s="215">
        <f>defenses[[#This Row],[Salary]]/50000</f>
        <v>7.3999999999999996E-2</v>
      </c>
      <c r="T10" s="215"/>
      <c r="U10" s="19">
        <f>IFERROR(INDEX(DEFstats1[DraftKings (Projected points)],MATCH(defenses[[#This Row],[Name]],DEFstats1[Player],0)),"")</f>
        <v>8.5</v>
      </c>
      <c r="V10" s="19" t="str">
        <f>IFERROR(INDEX(DEFstats2[FP],MATCH(defenses[[#This Row],[Name]],DEFstats2[Team],0)),"")</f>
        <v>0</v>
      </c>
      <c r="W10" s="19">
        <f>IFERROR(INDEX(DEFstats3[Pts],MATCH(defenses[[#This Row],[Name]],DEFstats3[Name],0)),"")</f>
        <v>12.3</v>
      </c>
    </row>
    <row r="11" spans="1:23" x14ac:dyDescent="0.3">
      <c r="A11" s="37">
        <f>DEFstats1!AL28</f>
        <v>9.1999999999999993</v>
      </c>
      <c r="B11" s="5" t="str">
        <f>DEFstats1!D28</f>
        <v>Arizona Cardinals</v>
      </c>
      <c r="C11" s="172">
        <f>IFERROR(INDEX(Salaries[DraftKings (Price)],MATCH(defenses[[#This Row],[Name]],Salaries[Player],0)),"")</f>
        <v>3900</v>
      </c>
      <c r="D11" s="172">
        <f>IFERROR(INDEX(DK_Salary_Changes[WeekChange],MATCH(defenses[[#This Row],[Name]],Salaries[Player],0)),"")</f>
        <v>-100</v>
      </c>
      <c r="E11" s="515" t="str">
        <f>IFERROR(INDEX(Salaries[Team],MATCH(defenses[[#This Row],[Name]],Salaries[Player],0)),"")</f>
        <v>ARI</v>
      </c>
      <c r="F11" s="515" t="str">
        <f>IFERROR(INDEX(Salaries[Opp],MATCH(defenses[[#This Row],[Name]],Salaries[Player],0)),"")</f>
        <v>LA</v>
      </c>
      <c r="G11" s="32">
        <f>IFERROR(INDEX(Salaries[O/U],MATCH(defenses[[#This Row],[Team]],Salaries[Team],0)),"")</f>
        <v>43</v>
      </c>
      <c r="H11" s="32">
        <f>IFERROR(INDEX(Salaries[Team O/U],MATCH(defenses[[#This Row],[Team]],Salaries[Team],0)),"")</f>
        <v>25.5</v>
      </c>
      <c r="I11" s="32">
        <f>IFERROR(INDEX(Salaries[Spread],MATCH(defenses[[#This Row],[Team]],Salaries[Team],0)),"")</f>
        <v>-8</v>
      </c>
      <c r="J11" s="14">
        <f>IFERROR(INDEX(TeamOffense2015[Rank],MATCH(defenses[[#This Row],[Opp]],TeamOffense2015[Team],0)),IFERROR(INDEX(TeamOffense2015[Rank],MATCH(defenses[[#This Row],[Opp]],TeamOffense2015[Column1],0)),""))</f>
        <v>32</v>
      </c>
      <c r="K11" s="14">
        <f>IFERROR(INDEX(TeamPassing2015[Yds/G],MATCH(defenses[[#This Row],[Opp]],TeamPassing2015[Team],0)),IFERROR(INDEX(TeamPassing2015[Yds/G],MATCH(defenses[[#This Row],[Opp]],TeamPassing2015[Column1],0)),""))</f>
        <v>175.3</v>
      </c>
      <c r="L11" s="14">
        <f>IFERROR(INDEX(TeamRushing2015[Yds/G],MATCH(defenses[[#This Row],[Opp]],TeamRushing2015[Team],0)),IFERROR(INDEX(TeamRushing2015[Yds/G],MATCH(defenses[[#This Row],[Opp]],TeamRushing2015[Column1],0)),""))</f>
        <v>122.2</v>
      </c>
      <c r="M11" s="14">
        <f>_xlfn.RANK.EQ(defenses[[#This Row],[Projection]],defenses[Projection],0)</f>
        <v>2</v>
      </c>
      <c r="N11" s="19">
        <f>AVERAGE(defenses[[#This Row],[DEFstats1]:[DEFstats3]])</f>
        <v>10.3</v>
      </c>
      <c r="O11" s="8">
        <f>_xlfn.RANK.EQ(defenses[[#This Row],[$/FP]],defenses[$/FP],1)</f>
        <v>8</v>
      </c>
      <c r="P11" s="23">
        <f>SUM(defenses[[#This Row],[Salary]]/defenses[[#This Row],[Projection]])</f>
        <v>378.64077669902912</v>
      </c>
      <c r="Q11" s="241">
        <f>_xlfn.RANK.EQ(defenses[[#This Row],[Average]],defenses[Average],1)</f>
        <v>3</v>
      </c>
      <c r="R11" s="241">
        <f>AVERAGE(defenses[[#This Row],[Proj Rank]],defenses[[#This Row],[Value Rank]])</f>
        <v>5</v>
      </c>
      <c r="S11" s="216">
        <f>defenses[[#This Row],[Salary]]/50000</f>
        <v>7.8E-2</v>
      </c>
      <c r="T11" s="216"/>
      <c r="U11" s="19">
        <f>IFERROR(INDEX(DEFstats1[DraftKings (Projected points)],MATCH(defenses[[#This Row],[Name]],DEFstats1[Player],0)),"")</f>
        <v>9.1999999999999993</v>
      </c>
      <c r="V11" s="19" t="str">
        <f>IFERROR(INDEX(DEFstats2[FP],MATCH(defenses[[#This Row],[Name]],DEFstats2[Team],0)),"")</f>
        <v>0</v>
      </c>
      <c r="W11" s="19">
        <f>IFERROR(INDEX(DEFstats3[Pts],MATCH(defenses[[#This Row],[Name]],DEFstats3[Name],0)),"")</f>
        <v>11.4</v>
      </c>
    </row>
    <row r="12" spans="1:23" x14ac:dyDescent="0.3">
      <c r="A12" s="37">
        <f>DEFstats1!AL29</f>
        <v>7.8</v>
      </c>
      <c r="B12" s="5" t="str">
        <f>DEFstats1!D29</f>
        <v>Seattle Seahawks</v>
      </c>
      <c r="C12" s="172">
        <f>IFERROR(INDEX(Salaries[DraftKings (Price)],MATCH(defenses[[#This Row],[Name]],Salaries[Player],0)),"")</f>
        <v>3800</v>
      </c>
      <c r="D12" s="172">
        <f>IFERROR(INDEX(DK_Salary_Changes[WeekChange],MATCH(defenses[[#This Row],[Name]],Salaries[Player],0)),"")</f>
        <v>-100</v>
      </c>
      <c r="E12" s="515" t="str">
        <f>IFERROR(INDEX(Salaries[Team],MATCH(defenses[[#This Row],[Name]],Salaries[Player],0)),"")</f>
        <v>SEA</v>
      </c>
      <c r="F12" s="515" t="str">
        <f>IFERROR(INDEX(Salaries[Opp],MATCH(defenses[[#This Row],[Name]],Salaries[Player],0)),"")</f>
        <v>@NYJ</v>
      </c>
      <c r="G12" s="32">
        <f>IFERROR(INDEX(Salaries[O/U],MATCH(defenses[[#This Row],[Team]],Salaries[Team],0)),"")</f>
        <v>40.5</v>
      </c>
      <c r="H12" s="32">
        <f>IFERROR(INDEX(Salaries[Team O/U],MATCH(defenses[[#This Row],[Team]],Salaries[Team],0)),"")</f>
        <v>21</v>
      </c>
      <c r="I12" s="32">
        <f>IFERROR(INDEX(Salaries[Spread],MATCH(defenses[[#This Row],[Team]],Salaries[Team],0)),"")</f>
        <v>-1.5</v>
      </c>
      <c r="J12" s="14">
        <f>IFERROR(INDEX(TeamOffense2015[Rank],MATCH(defenses[[#This Row],[Opp]],TeamOffense2015[Team],0)),IFERROR(INDEX(TeamOffense2015[Rank],MATCH(defenses[[#This Row],[Opp]],TeamOffense2015[Column1],0)),""))</f>
        <v>10</v>
      </c>
      <c r="K12" s="14">
        <f>IFERROR(INDEX(TeamPassing2015[Yds/G],MATCH(defenses[[#This Row],[Opp]],TeamPassing2015[Team],0)),IFERROR(INDEX(TeamPassing2015[Yds/G],MATCH(defenses[[#This Row],[Opp]],TeamPassing2015[Column1],0)),""))</f>
        <v>253.6</v>
      </c>
      <c r="L12" s="14">
        <f>IFERROR(INDEX(TeamRushing2015[Yds/G],MATCH(defenses[[#This Row],[Opp]],TeamRushing2015[Team],0)),IFERROR(INDEX(TeamRushing2015[Yds/G],MATCH(defenses[[#This Row],[Opp]],TeamRushing2015[Column1],0)),""))</f>
        <v>116.8</v>
      </c>
      <c r="M12" s="14">
        <f>_xlfn.RANK.EQ(defenses[[#This Row],[Projection]],defenses[Projection],0)</f>
        <v>3</v>
      </c>
      <c r="N12" s="19">
        <f>AVERAGE(defenses[[#This Row],[DEFstats1]:[DEFstats3]])</f>
        <v>9.6999999999999993</v>
      </c>
      <c r="O12" s="8">
        <f>_xlfn.RANK.EQ(defenses[[#This Row],[$/FP]],defenses[$/FP],1)</f>
        <v>11</v>
      </c>
      <c r="P12" s="23">
        <f>SUM(defenses[[#This Row],[Salary]]/defenses[[#This Row],[Projection]])</f>
        <v>391.75257731958766</v>
      </c>
      <c r="Q12" s="241">
        <f>_xlfn.RANK.EQ(defenses[[#This Row],[Average]],defenses[Average],1)</f>
        <v>4</v>
      </c>
      <c r="R12" s="241">
        <f>AVERAGE(defenses[[#This Row],[Proj Rank]],defenses[[#This Row],[Value Rank]])</f>
        <v>7</v>
      </c>
      <c r="S12" s="216">
        <f>defenses[[#This Row],[Salary]]/50000</f>
        <v>7.5999999999999998E-2</v>
      </c>
      <c r="T12" s="216"/>
      <c r="U12" s="19">
        <f>IFERROR(INDEX(DEFstats1[DraftKings (Projected points)],MATCH(defenses[[#This Row],[Name]],DEFstats1[Player],0)),"")</f>
        <v>7.8</v>
      </c>
      <c r="V12" s="19" t="str">
        <f>IFERROR(INDEX(DEFstats2[FP],MATCH(defenses[[#This Row],[Name]],DEFstats2[Team],0)),"")</f>
        <v>0</v>
      </c>
      <c r="W12" s="19">
        <f>IFERROR(INDEX(DEFstats3[Pts],MATCH(defenses[[#This Row],[Name]],DEFstats3[Name],0)),"")</f>
        <v>11.6</v>
      </c>
    </row>
    <row r="13" spans="1:23" x14ac:dyDescent="0.3">
      <c r="A13" s="37">
        <f>DEFstats1!AL12</f>
        <v>8.1999999999999993</v>
      </c>
      <c r="B13" s="5" t="str">
        <f>DEFstats1!D12</f>
        <v>Houston Texans</v>
      </c>
      <c r="C13" s="172">
        <f>IFERROR(INDEX(Salaries[DraftKings (Price)],MATCH(defenses[[#This Row],[Name]],Salaries[Player],0)),"")</f>
        <v>3200</v>
      </c>
      <c r="D13" s="172">
        <f>IFERROR(INDEX(DK_Salary_Changes[WeekChange],MATCH(defenses[[#This Row],[Name]],Salaries[Player],0)),"")</f>
        <v>0</v>
      </c>
      <c r="E13" s="515" t="str">
        <f>IFERROR(INDEX(Salaries[Team],MATCH(defenses[[#This Row],[Name]],Salaries[Player],0)),"")</f>
        <v>HOU</v>
      </c>
      <c r="F13" s="515" t="str">
        <f>IFERROR(INDEX(Salaries[Opp],MATCH(defenses[[#This Row],[Name]],Salaries[Player],0)),"")</f>
        <v>TEN</v>
      </c>
      <c r="G13" s="32">
        <f>IFERROR(INDEX(Salaries[O/U],MATCH(defenses[[#This Row],[Team]],Salaries[Team],0)),"")</f>
        <v>40.5</v>
      </c>
      <c r="H13" s="32">
        <f>IFERROR(INDEX(Salaries[Team O/U],MATCH(defenses[[#This Row],[Team]],Salaries[Team],0)),"")</f>
        <v>23.5</v>
      </c>
      <c r="I13" s="32">
        <f>IFERROR(INDEX(Salaries[Spread],MATCH(defenses[[#This Row],[Team]],Salaries[Team],0)),"")</f>
        <v>-6.5</v>
      </c>
      <c r="J13" s="14">
        <f>IFERROR(INDEX(TeamOffense2015[Rank],MATCH(defenses[[#This Row],[Opp]],TeamOffense2015[Team],0)),IFERROR(INDEX(TeamOffense2015[Rank],MATCH(defenses[[#This Row],[Opp]],TeamOffense2015[Column1],0)),""))</f>
        <v>30</v>
      </c>
      <c r="K13" s="14">
        <f>IFERROR(INDEX(TeamPassing2015[Yds/G],MATCH(defenses[[#This Row],[Opp]],TeamPassing2015[Team],0)),IFERROR(INDEX(TeamPassing2015[Yds/G],MATCH(defenses[[#This Row],[Opp]],TeamPassing2015[Column1],0)),""))</f>
        <v>218.9</v>
      </c>
      <c r="L13" s="14">
        <f>IFERROR(INDEX(TeamRushing2015[Yds/G],MATCH(defenses[[#This Row],[Opp]],TeamRushing2015[Team],0)),IFERROR(INDEX(TeamRushing2015[Yds/G],MATCH(defenses[[#This Row],[Opp]],TeamRushing2015[Column1],0)),""))</f>
        <v>92.8</v>
      </c>
      <c r="M13" s="14">
        <f>_xlfn.RANK.EQ(defenses[[#This Row],[Projection]],defenses[Projection],0)</f>
        <v>4</v>
      </c>
      <c r="N13" s="19">
        <f>AVERAGE(defenses[[#This Row],[DEFstats1]:[DEFstats3]])</f>
        <v>9.3999999999999986</v>
      </c>
      <c r="O13" s="8">
        <f>_xlfn.RANK.EQ(defenses[[#This Row],[$/FP]],defenses[$/FP],1)</f>
        <v>3</v>
      </c>
      <c r="P13" s="125">
        <f>SUM(defenses[[#This Row],[Salary]]/defenses[[#This Row],[Projection]])</f>
        <v>340.42553191489367</v>
      </c>
      <c r="Q13" s="241">
        <f>_xlfn.RANK.EQ(defenses[[#This Row],[Average]],defenses[Average],1)</f>
        <v>2</v>
      </c>
      <c r="R13" s="241">
        <f>AVERAGE(defenses[[#This Row],[Proj Rank]],defenses[[#This Row],[Value Rank]])</f>
        <v>3.5</v>
      </c>
      <c r="S13" s="216">
        <f>defenses[[#This Row],[Salary]]/50000</f>
        <v>6.4000000000000001E-2</v>
      </c>
      <c r="T13" s="216"/>
      <c r="U13" s="19">
        <f>IFERROR(INDEX(DEFstats1[DraftKings (Projected points)],MATCH(defenses[[#This Row],[Name]],DEFstats1[Player],0)),"")</f>
        <v>8.1999999999999993</v>
      </c>
      <c r="V13" s="19" t="str">
        <f>IFERROR(INDEX(DEFstats2[FP],MATCH(defenses[[#This Row],[Name]],DEFstats2[Team],0)),"")</f>
        <v>0</v>
      </c>
      <c r="W13" s="19">
        <f>IFERROR(INDEX(DEFstats3[Pts],MATCH(defenses[[#This Row],[Name]],DEFstats3[Name],0)),"")</f>
        <v>10.6</v>
      </c>
    </row>
    <row r="14" spans="1:23" x14ac:dyDescent="0.3">
      <c r="A14" s="37">
        <f>DEFstats1!AL25</f>
        <v>7.8</v>
      </c>
      <c r="B14" s="5" t="str">
        <f>DEFstats1!D25</f>
        <v>Carolina Panthers</v>
      </c>
      <c r="C14" s="172">
        <f>IFERROR(INDEX(Salaries[DraftKings (Price)],MATCH(defenses[[#This Row],[Name]],Salaries[Player],0)),"")</f>
        <v>3400</v>
      </c>
      <c r="D14" s="172">
        <f>IFERROR(INDEX(DK_Salary_Changes[WeekChange],MATCH(defenses[[#This Row],[Name]],Salaries[Player],0)),"")</f>
        <v>0</v>
      </c>
      <c r="E14" s="515" t="str">
        <f>IFERROR(INDEX(Salaries[Team],MATCH(defenses[[#This Row],[Name]],Salaries[Player],0)),"")</f>
        <v>CAR</v>
      </c>
      <c r="F14" s="515" t="str">
        <f>IFERROR(INDEX(Salaries[Opp],MATCH(defenses[[#This Row],[Name]],Salaries[Player],0)),"")</f>
        <v>@ATL</v>
      </c>
      <c r="G14" s="32">
        <f>IFERROR(INDEX(Salaries[O/U],MATCH(defenses[[#This Row],[Team]],Salaries[Team],0)),"")</f>
        <v>50</v>
      </c>
      <c r="H14" s="32">
        <f>IFERROR(INDEX(Salaries[Team O/U],MATCH(defenses[[#This Row],[Team]],Salaries[Team],0)),"")</f>
        <v>26.5</v>
      </c>
      <c r="I14" s="32">
        <f>IFERROR(INDEX(Salaries[Spread],MATCH(defenses[[#This Row],[Team]],Salaries[Team],0)),"")</f>
        <v>-3</v>
      </c>
      <c r="J14" s="14">
        <f>IFERROR(INDEX(TeamOffense2015[Rank],MATCH(defenses[[#This Row],[Opp]],TeamOffense2015[Team],0)),IFERROR(INDEX(TeamOffense2015[Rank],MATCH(defenses[[#This Row],[Opp]],TeamOffense2015[Column1],0)),""))</f>
        <v>7</v>
      </c>
      <c r="K14" s="14">
        <f>IFERROR(INDEX(TeamPassing2015[Yds/G],MATCH(defenses[[#This Row],[Opp]],TeamPassing2015[Team],0)),IFERROR(INDEX(TeamPassing2015[Yds/G],MATCH(defenses[[#This Row],[Opp]],TeamPassing2015[Column1],0)),""))</f>
        <v>273.7</v>
      </c>
      <c r="L14" s="14">
        <f>IFERROR(INDEX(TeamRushing2015[Yds/G],MATCH(defenses[[#This Row],[Opp]],TeamRushing2015[Team],0)),IFERROR(INDEX(TeamRushing2015[Yds/G],MATCH(defenses[[#This Row],[Opp]],TeamRushing2015[Column1],0)),""))</f>
        <v>100.4</v>
      </c>
      <c r="M14" s="14">
        <f>_xlfn.RANK.EQ(defenses[[#This Row],[Projection]],defenses[Projection],0)</f>
        <v>5</v>
      </c>
      <c r="N14" s="19">
        <f>AVERAGE(defenses[[#This Row],[DEFstats1]:[DEFstats3]])</f>
        <v>8.8000000000000007</v>
      </c>
      <c r="O14" s="8">
        <f>_xlfn.RANK.EQ(defenses[[#This Row],[$/FP]],defenses[$/FP],1)</f>
        <v>10</v>
      </c>
      <c r="P14" s="23">
        <f>SUM(defenses[[#This Row],[Salary]]/defenses[[#This Row],[Projection]])</f>
        <v>386.36363636363632</v>
      </c>
      <c r="Q14" s="241">
        <f>_xlfn.RANK.EQ(defenses[[#This Row],[Average]],defenses[Average],1)</f>
        <v>6</v>
      </c>
      <c r="R14" s="241">
        <f>AVERAGE(defenses[[#This Row],[Proj Rank]],defenses[[#This Row],[Value Rank]])</f>
        <v>7.5</v>
      </c>
      <c r="S14" s="216">
        <f>defenses[[#This Row],[Salary]]/50000</f>
        <v>6.8000000000000005E-2</v>
      </c>
      <c r="T14" s="216"/>
      <c r="U14" s="19">
        <f>IFERROR(INDEX(DEFstats1[DraftKings (Projected points)],MATCH(defenses[[#This Row],[Name]],DEFstats1[Player],0)),"")</f>
        <v>7.8</v>
      </c>
      <c r="V14" s="19" t="str">
        <f>IFERROR(INDEX(DEFstats2[FP],MATCH(defenses[[#This Row],[Name]],DEFstats2[Team],0)),"")</f>
        <v>0</v>
      </c>
      <c r="W14" s="19">
        <f>IFERROR(INDEX(DEFstats3[Pts],MATCH(defenses[[#This Row],[Name]],DEFstats3[Name],0)),"")</f>
        <v>9.8000000000000007</v>
      </c>
    </row>
    <row r="15" spans="1:23" x14ac:dyDescent="0.3">
      <c r="A15" s="37">
        <f>DEFstats1!AL6</f>
        <v>8.4</v>
      </c>
      <c r="B15" s="5" t="str">
        <f>DEFstats1!D6</f>
        <v>Cincinnati Bengals</v>
      </c>
      <c r="C15" s="172">
        <f>IFERROR(INDEX(Salaries[DraftKings (Price)],MATCH(defenses[[#This Row],[Name]],Salaries[Player],0)),"")</f>
        <v>3200</v>
      </c>
      <c r="D15" s="172">
        <f>IFERROR(INDEX(DK_Salary_Changes[WeekChange],MATCH(defenses[[#This Row],[Name]],Salaries[Player],0)),"")</f>
        <v>0</v>
      </c>
      <c r="E15" s="515" t="str">
        <f>IFERROR(INDEX(Salaries[Team],MATCH(defenses[[#This Row],[Name]],Salaries[Player],0)),"")</f>
        <v>CIN</v>
      </c>
      <c r="F15" s="515" t="str">
        <f>IFERROR(INDEX(Salaries[Opp],MATCH(defenses[[#This Row],[Name]],Salaries[Player],0)),"")</f>
        <v>MIA</v>
      </c>
      <c r="G15" s="32">
        <f>IFERROR(INDEX(Salaries[O/U],MATCH(defenses[[#This Row],[Team]],Salaries[Team],0)),"")</f>
        <v>44.5</v>
      </c>
      <c r="H15" s="32">
        <f>IFERROR(INDEX(Salaries[Team O/U],MATCH(defenses[[#This Row],[Team]],Salaries[Team],0)),"")</f>
        <v>25.75</v>
      </c>
      <c r="I15" s="32">
        <f>IFERROR(INDEX(Salaries[Spread],MATCH(defenses[[#This Row],[Team]],Salaries[Team],0)),"")</f>
        <v>-7</v>
      </c>
      <c r="J15" s="14">
        <f>IFERROR(INDEX(TeamOffense2015[Rank],MATCH(defenses[[#This Row],[Opp]],TeamOffense2015[Team],0)),IFERROR(INDEX(TeamOffense2015[Rank],MATCH(defenses[[#This Row],[Opp]],TeamOffense2015[Column1],0)),""))</f>
        <v>26</v>
      </c>
      <c r="K15" s="14">
        <f>IFERROR(INDEX(TeamPassing2015[Yds/G],MATCH(defenses[[#This Row],[Opp]],TeamPassing2015[Team],0)),IFERROR(INDEX(TeamPassing2015[Yds/G],MATCH(defenses[[#This Row],[Opp]],TeamPassing2015[Column1],0)),""))</f>
        <v>238.2</v>
      </c>
      <c r="L15" s="14">
        <f>IFERROR(INDEX(TeamRushing2015[Yds/G],MATCH(defenses[[#This Row],[Opp]],TeamRushing2015[Team],0)),IFERROR(INDEX(TeamRushing2015[Yds/G],MATCH(defenses[[#This Row],[Opp]],TeamRushing2015[Column1],0)),""))</f>
        <v>93.5</v>
      </c>
      <c r="M15" s="14">
        <f>_xlfn.RANK.EQ(defenses[[#This Row],[Projection]],defenses[Projection],0)</f>
        <v>6</v>
      </c>
      <c r="N15" s="19">
        <f>AVERAGE(defenses[[#This Row],[DEFstats1]:[DEFstats3]])</f>
        <v>8.0500000000000007</v>
      </c>
      <c r="O15" s="8">
        <f>_xlfn.RANK.EQ(defenses[[#This Row],[$/FP]],defenses[$/FP],1)</f>
        <v>14</v>
      </c>
      <c r="P15" s="125">
        <f>SUM(defenses[[#This Row],[Salary]]/defenses[[#This Row],[Projection]])</f>
        <v>397.51552795031051</v>
      </c>
      <c r="Q15" s="241">
        <f>_xlfn.RANK.EQ(defenses[[#This Row],[Average]],defenses[Average],1)</f>
        <v>9</v>
      </c>
      <c r="R15" s="241">
        <f>AVERAGE(defenses[[#This Row],[Proj Rank]],defenses[[#This Row],[Value Rank]])</f>
        <v>10</v>
      </c>
      <c r="S15" s="216">
        <f>defenses[[#This Row],[Salary]]/50000</f>
        <v>6.4000000000000001E-2</v>
      </c>
      <c r="T15" s="216"/>
      <c r="U15" s="19">
        <f>IFERROR(INDEX(DEFstats1[DraftKings (Projected points)],MATCH(defenses[[#This Row],[Name]],DEFstats1[Player],0)),"")</f>
        <v>8.4</v>
      </c>
      <c r="V15" s="19" t="str">
        <f>IFERROR(INDEX(DEFstats2[FP],MATCH(defenses[[#This Row],[Name]],DEFstats2[Team],0)),"")</f>
        <v>0</v>
      </c>
      <c r="W15" s="19">
        <f>IFERROR(INDEX(DEFstats3[Pts],MATCH(defenses[[#This Row],[Name]],DEFstats3[Name],0)),"")</f>
        <v>7.7</v>
      </c>
    </row>
    <row r="16" spans="1:23" x14ac:dyDescent="0.3">
      <c r="A16" s="37">
        <f>DEFstats1!AL16</f>
        <v>6.8</v>
      </c>
      <c r="B16" s="5" t="str">
        <f>DEFstats1!D16</f>
        <v>Kansas City Chiefs</v>
      </c>
      <c r="C16" s="172">
        <f>IFERROR(INDEX(Salaries[DraftKings (Price)],MATCH(defenses[[#This Row],[Name]],Salaries[Player],0)),"")</f>
        <v>3000</v>
      </c>
      <c r="D16" s="172">
        <f>IFERROR(INDEX(DK_Salary_Changes[WeekChange],MATCH(defenses[[#This Row],[Name]],Salaries[Player],0)),"")</f>
        <v>0</v>
      </c>
      <c r="E16" s="515" t="str">
        <f>IFERROR(INDEX(Salaries[Team],MATCH(defenses[[#This Row],[Name]],Salaries[Player],0)),"")</f>
        <v>KC</v>
      </c>
      <c r="F16" s="515" t="str">
        <f>IFERROR(INDEX(Salaries[Opp],MATCH(defenses[[#This Row],[Name]],Salaries[Player],0)),"")</f>
        <v>@PIT</v>
      </c>
      <c r="G16" s="32">
        <f>IFERROR(INDEX(Salaries[O/U],MATCH(defenses[[#This Row],[Team]],Salaries[Team],0)),"")</f>
        <v>47.5</v>
      </c>
      <c r="H16" s="32">
        <f>IFERROR(INDEX(Salaries[Team O/U],MATCH(defenses[[#This Row],[Team]],Salaries[Team],0)),"")</f>
        <v>21</v>
      </c>
      <c r="I16" s="32">
        <f>IFERROR(INDEX(Salaries[Spread],MATCH(defenses[[#This Row],[Team]],Salaries[Team],0)),"")</f>
        <v>5.5</v>
      </c>
      <c r="J16" s="14">
        <f>IFERROR(INDEX(TeamOffense2015[Rank],MATCH(defenses[[#This Row],[Opp]],TeamOffense2015[Team],0)),IFERROR(INDEX(TeamOffense2015[Rank],MATCH(defenses[[#This Row],[Opp]],TeamOffense2015[Column1],0)),""))</f>
        <v>3</v>
      </c>
      <c r="K16" s="14">
        <f>IFERROR(INDEX(TeamPassing2015[Yds/G],MATCH(defenses[[#This Row],[Opp]],TeamPassing2015[Team],0)),IFERROR(INDEX(TeamPassing2015[Yds/G],MATCH(defenses[[#This Row],[Opp]],TeamPassing2015[Column1],0)),""))</f>
        <v>287.7</v>
      </c>
      <c r="L16" s="14">
        <f>IFERROR(INDEX(TeamRushing2015[Yds/G],MATCH(defenses[[#This Row],[Opp]],TeamRushing2015[Team],0)),IFERROR(INDEX(TeamRushing2015[Yds/G],MATCH(defenses[[#This Row],[Opp]],TeamRushing2015[Column1],0)),""))</f>
        <v>107.8</v>
      </c>
      <c r="M16" s="14">
        <f>_xlfn.RANK.EQ(defenses[[#This Row],[Projection]],defenses[Projection],0)</f>
        <v>7</v>
      </c>
      <c r="N16" s="19">
        <f>AVERAGE(defenses[[#This Row],[DEFstats1]:[DEFstats3]])</f>
        <v>7.65</v>
      </c>
      <c r="O16" s="8">
        <f>_xlfn.RANK.EQ(defenses[[#This Row],[$/FP]],defenses[$/FP],1)</f>
        <v>12</v>
      </c>
      <c r="P16" s="23">
        <f>SUM(defenses[[#This Row],[Salary]]/defenses[[#This Row],[Projection]])</f>
        <v>392.15686274509801</v>
      </c>
      <c r="Q16" s="241">
        <f>_xlfn.RANK.EQ(defenses[[#This Row],[Average]],defenses[Average],1)</f>
        <v>8</v>
      </c>
      <c r="R16" s="241">
        <f>AVERAGE(defenses[[#This Row],[Proj Rank]],defenses[[#This Row],[Value Rank]])</f>
        <v>9.5</v>
      </c>
      <c r="S16" s="216">
        <f>defenses[[#This Row],[Salary]]/50000</f>
        <v>0.06</v>
      </c>
      <c r="T16" s="216"/>
      <c r="U16" s="19">
        <f>IFERROR(INDEX(DEFstats1[DraftKings (Projected points)],MATCH(defenses[[#This Row],[Name]],DEFstats1[Player],0)),"")</f>
        <v>6.8</v>
      </c>
      <c r="V16" s="19" t="str">
        <f>IFERROR(INDEX(DEFstats2[FP],MATCH(defenses[[#This Row],[Name]],DEFstats2[Team],0)),"")</f>
        <v>0</v>
      </c>
      <c r="W16" s="19">
        <f>IFERROR(INDEX(DEFstats3[Pts],MATCH(defenses[[#This Row],[Name]],DEFstats3[Name],0)),"")</f>
        <v>8.5</v>
      </c>
    </row>
    <row r="17" spans="1:23" x14ac:dyDescent="0.3">
      <c r="A17" s="37">
        <f>DEFstats1!AL22</f>
        <v>8.5</v>
      </c>
      <c r="B17" s="5" t="str">
        <f>DEFstats1!D22</f>
        <v>Minnesota Vikings</v>
      </c>
      <c r="C17" s="172">
        <f>IFERROR(INDEX(Salaries[DraftKings (Price)],MATCH(defenses[[#This Row],[Name]],Salaries[Player],0)),"")</f>
        <v>3600</v>
      </c>
      <c r="D17" s="172">
        <f>IFERROR(INDEX(DK_Salary_Changes[WeekChange],MATCH(defenses[[#This Row],[Name]],Salaries[Player],0)),"")</f>
        <v>0</v>
      </c>
      <c r="E17" s="515" t="str">
        <f>IFERROR(INDEX(Salaries[Team],MATCH(defenses[[#This Row],[Name]],Salaries[Player],0)),"")</f>
        <v>MIN</v>
      </c>
      <c r="F17" s="515" t="str">
        <f>IFERROR(INDEX(Salaries[Opp],MATCH(defenses[[#This Row],[Name]],Salaries[Player],0)),"")</f>
        <v>NYG</v>
      </c>
      <c r="G17" s="32">
        <f>IFERROR(INDEX(Salaries[O/U],MATCH(defenses[[#This Row],[Team]],Salaries[Team],0)),"")</f>
        <v>43.5</v>
      </c>
      <c r="H17" s="32">
        <f>IFERROR(INDEX(Salaries[Team O/U],MATCH(defenses[[#This Row],[Team]],Salaries[Team],0)),"")</f>
        <v>23.75</v>
      </c>
      <c r="I17" s="32">
        <f>IFERROR(INDEX(Salaries[Spread],MATCH(defenses[[#This Row],[Team]],Salaries[Team],0)),"")</f>
        <v>-4</v>
      </c>
      <c r="J17" s="14">
        <f>IFERROR(INDEX(TeamOffense2015[Rank],MATCH(defenses[[#This Row],[Opp]],TeamOffense2015[Team],0)),IFERROR(INDEX(TeamOffense2015[Rank],MATCH(defenses[[#This Row],[Opp]],TeamOffense2015[Column1],0)),""))</f>
        <v>8</v>
      </c>
      <c r="K17" s="14">
        <f>IFERROR(INDEX(TeamPassing2015[Yds/G],MATCH(defenses[[#This Row],[Opp]],TeamPassing2015[Team],0)),IFERROR(INDEX(TeamPassing2015[Yds/G],MATCH(defenses[[#This Row],[Opp]],TeamPassing2015[Column1],0)),""))</f>
        <v>271.39999999999998</v>
      </c>
      <c r="L17" s="14">
        <f>IFERROR(INDEX(TeamRushing2015[Yds/G],MATCH(defenses[[#This Row],[Opp]],TeamRushing2015[Team],0)),IFERROR(INDEX(TeamRushing2015[Yds/G],MATCH(defenses[[#This Row],[Opp]],TeamRushing2015[Column1],0)),""))</f>
        <v>100.6</v>
      </c>
      <c r="M17" s="14">
        <f>_xlfn.RANK.EQ(defenses[[#This Row],[Projection]],defenses[Projection],0)</f>
        <v>8</v>
      </c>
      <c r="N17" s="19">
        <f>AVERAGE(defenses[[#This Row],[DEFstats1]:[DEFstats3]])</f>
        <v>7.55</v>
      </c>
      <c r="O17" s="8">
        <f>_xlfn.RANK.EQ(defenses[[#This Row],[$/FP]],defenses[$/FP],1)</f>
        <v>25</v>
      </c>
      <c r="P17" s="23">
        <f>SUM(defenses[[#This Row],[Salary]]/defenses[[#This Row],[Projection]])</f>
        <v>476.82119205298017</v>
      </c>
      <c r="Q17" s="241">
        <f>_xlfn.RANK.EQ(defenses[[#This Row],[Average]],defenses[Average],1)</f>
        <v>17</v>
      </c>
      <c r="R17" s="241">
        <f>AVERAGE(defenses[[#This Row],[Proj Rank]],defenses[[#This Row],[Value Rank]])</f>
        <v>16.5</v>
      </c>
      <c r="S17" s="216">
        <f>defenses[[#This Row],[Salary]]/50000</f>
        <v>7.1999999999999995E-2</v>
      </c>
      <c r="T17" s="216"/>
      <c r="U17" s="19">
        <f>IFERROR(INDEX(DEFstats1[DraftKings (Projected points)],MATCH(defenses[[#This Row],[Name]],DEFstats1[Player],0)),"")</f>
        <v>8.5</v>
      </c>
      <c r="V17" s="19" t="str">
        <f>IFERROR(INDEX(DEFstats2[FP],MATCH(defenses[[#This Row],[Name]],DEFstats2[Team],0)),"")</f>
        <v>0</v>
      </c>
      <c r="W17" s="19">
        <f>IFERROR(INDEX(DEFstats3[Pts],MATCH(defenses[[#This Row],[Name]],DEFstats3[Name],0)),"")</f>
        <v>6.6</v>
      </c>
    </row>
    <row r="18" spans="1:23" x14ac:dyDescent="0.3">
      <c r="A18" s="37">
        <f>DEFstats1!AL9</f>
        <v>7.5</v>
      </c>
      <c r="B18" s="5" t="str">
        <f>DEFstats1!D9</f>
        <v>Pittsburgh Steelers</v>
      </c>
      <c r="C18" s="172">
        <f>IFERROR(INDEX(Salaries[DraftKings (Price)],MATCH(defenses[[#This Row],[Name]],Salaries[Player],0)),"")</f>
        <v>2800</v>
      </c>
      <c r="D18" s="172">
        <f>IFERROR(INDEX(DK_Salary_Changes[WeekChange],MATCH(defenses[[#This Row],[Name]],Salaries[Player],0)),"")</f>
        <v>0</v>
      </c>
      <c r="E18" s="515" t="str">
        <f>IFERROR(INDEX(Salaries[Team],MATCH(defenses[[#This Row],[Name]],Salaries[Player],0)),"")</f>
        <v>PIT</v>
      </c>
      <c r="F18" s="515" t="str">
        <f>IFERROR(INDEX(Salaries[Opp],MATCH(defenses[[#This Row],[Name]],Salaries[Player],0)),"")</f>
        <v>KC</v>
      </c>
      <c r="G18" s="32">
        <f>IFERROR(INDEX(Salaries[O/U],MATCH(defenses[[#This Row],[Team]],Salaries[Team],0)),"")</f>
        <v>47.5</v>
      </c>
      <c r="H18" s="32">
        <f>IFERROR(INDEX(Salaries[Team O/U],MATCH(defenses[[#This Row],[Team]],Salaries[Team],0)),"")</f>
        <v>26.5</v>
      </c>
      <c r="I18" s="32">
        <f>IFERROR(INDEX(Salaries[Spread],MATCH(defenses[[#This Row],[Team]],Salaries[Team],0)),"")</f>
        <v>-5.5</v>
      </c>
      <c r="J18" s="14">
        <f>IFERROR(INDEX(TeamOffense2015[Rank],MATCH(defenses[[#This Row],[Opp]],TeamOffense2015[Team],0)),IFERROR(INDEX(TeamOffense2015[Rank],MATCH(defenses[[#This Row],[Opp]],TeamOffense2015[Column1],0)),""))</f>
        <v>27</v>
      </c>
      <c r="K18" s="14">
        <f>IFERROR(INDEX(TeamPassing2015[Yds/G],MATCH(defenses[[#This Row],[Opp]],TeamPassing2015[Team],0)),IFERROR(INDEX(TeamPassing2015[Yds/G],MATCH(defenses[[#This Row],[Opp]],TeamPassing2015[Column1],0)),""))</f>
        <v>203.4</v>
      </c>
      <c r="L18" s="14">
        <f>IFERROR(INDEX(TeamRushing2015[Yds/G],MATCH(defenses[[#This Row],[Opp]],TeamRushing2015[Team],0)),IFERROR(INDEX(TeamRushing2015[Yds/G],MATCH(defenses[[#This Row],[Opp]],TeamRushing2015[Column1],0)),""))</f>
        <v>127.8</v>
      </c>
      <c r="M18" s="14">
        <f>_xlfn.RANK.EQ(defenses[[#This Row],[Projection]],defenses[Projection],0)</f>
        <v>9</v>
      </c>
      <c r="N18" s="19">
        <f>AVERAGE(defenses[[#This Row],[DEFstats1]:[DEFstats3]])</f>
        <v>7.5</v>
      </c>
      <c r="O18" s="8">
        <f>_xlfn.RANK.EQ(defenses[[#This Row],[$/FP]],defenses[$/FP],1)</f>
        <v>7</v>
      </c>
      <c r="P18" s="23">
        <f>SUM(defenses[[#This Row],[Salary]]/defenses[[#This Row],[Projection]])</f>
        <v>373.33333333333331</v>
      </c>
      <c r="Q18" s="241">
        <f>_xlfn.RANK.EQ(defenses[[#This Row],[Average]],defenses[Average],1)</f>
        <v>7</v>
      </c>
      <c r="R18" s="241">
        <f>AVERAGE(defenses[[#This Row],[Proj Rank]],defenses[[#This Row],[Value Rank]])</f>
        <v>8</v>
      </c>
      <c r="S18" s="216">
        <f>defenses[[#This Row],[Salary]]/50000</f>
        <v>5.6000000000000001E-2</v>
      </c>
      <c r="T18" s="216"/>
      <c r="U18" s="19">
        <f>IFERROR(INDEX(DEFstats1[DraftKings (Projected points)],MATCH(defenses[[#This Row],[Name]],DEFstats1[Player],0)),"")</f>
        <v>7.5</v>
      </c>
      <c r="V18" s="19" t="str">
        <f>IFERROR(INDEX(DEFstats2[FP],MATCH(defenses[[#This Row],[Name]],DEFstats2[Team],0)),"")</f>
        <v>0</v>
      </c>
      <c r="W18" s="19">
        <f>IFERROR(INDEX(DEFstats3[Pts],MATCH(defenses[[#This Row],[Name]],DEFstats3[Name],0)),"")</f>
        <v>7.5</v>
      </c>
    </row>
    <row r="19" spans="1:23" x14ac:dyDescent="0.3">
      <c r="A19" s="37">
        <f>DEFstats1!AL21</f>
        <v>7.5</v>
      </c>
      <c r="B19" s="5" t="str">
        <f>DEFstats1!D21</f>
        <v>Detroit Lions</v>
      </c>
      <c r="C19" s="172">
        <f>IFERROR(INDEX(Salaries[DraftKings (Price)],MATCH(defenses[[#This Row],[Name]],Salaries[Player],0)),"")</f>
        <v>3100</v>
      </c>
      <c r="D19" s="172">
        <f>IFERROR(INDEX(DK_Salary_Changes[WeekChange],MATCH(defenses[[#This Row],[Name]],Salaries[Player],0)),"")</f>
        <v>0</v>
      </c>
      <c r="E19" s="515" t="str">
        <f>IFERROR(INDEX(Salaries[Team],MATCH(defenses[[#This Row],[Name]],Salaries[Player],0)),"")</f>
        <v>DET</v>
      </c>
      <c r="F19" s="515" t="str">
        <f>IFERROR(INDEX(Salaries[Opp],MATCH(defenses[[#This Row],[Name]],Salaries[Player],0)),"")</f>
        <v>@CHI</v>
      </c>
      <c r="G19" s="32">
        <f>IFERROR(INDEX(Salaries[O/U],MATCH(defenses[[#This Row],[Team]],Salaries[Team],0)),"")</f>
        <v>46.5</v>
      </c>
      <c r="H19" s="32">
        <f>IFERROR(INDEX(Salaries[Team O/U],MATCH(defenses[[#This Row],[Team]],Salaries[Team],0)),"")</f>
        <v>24.75</v>
      </c>
      <c r="I19" s="32">
        <f>IFERROR(INDEX(Salaries[Spread],MATCH(defenses[[#This Row],[Team]],Salaries[Team],0)),"")</f>
        <v>-3</v>
      </c>
      <c r="J19" s="14">
        <f>IFERROR(INDEX(TeamOffense2015[Rank],MATCH(defenses[[#This Row],[Opp]],TeamOffense2015[Team],0)),IFERROR(INDEX(TeamOffense2015[Rank],MATCH(defenses[[#This Row],[Opp]],TeamOffense2015[Column1],0)),""))</f>
        <v>21</v>
      </c>
      <c r="K19" s="14">
        <f>IFERROR(INDEX(TeamPassing2015[Yds/G],MATCH(defenses[[#This Row],[Opp]],TeamPassing2015[Team],0)),IFERROR(INDEX(TeamPassing2015[Yds/G],MATCH(defenses[[#This Row],[Opp]],TeamPassing2015[Column1],0)),""))</f>
        <v>228.8</v>
      </c>
      <c r="L19" s="14">
        <f>IFERROR(INDEX(TeamRushing2015[Yds/G],MATCH(defenses[[#This Row],[Opp]],TeamRushing2015[Team],0)),IFERROR(INDEX(TeamRushing2015[Yds/G],MATCH(defenses[[#This Row],[Opp]],TeamRushing2015[Column1],0)),""))</f>
        <v>115.9</v>
      </c>
      <c r="M19" s="14">
        <f>_xlfn.RANK.EQ(defenses[[#This Row],[Projection]],defenses[Projection],0)</f>
        <v>10</v>
      </c>
      <c r="N19" s="19">
        <f>AVERAGE(defenses[[#This Row],[DEFstats1]:[DEFstats3]])</f>
        <v>7.3</v>
      </c>
      <c r="O19" s="8">
        <f>_xlfn.RANK.EQ(defenses[[#This Row],[$/FP]],defenses[$/FP],1)</f>
        <v>22</v>
      </c>
      <c r="P19" s="23">
        <f>SUM(defenses[[#This Row],[Salary]]/defenses[[#This Row],[Projection]])</f>
        <v>424.65753424657538</v>
      </c>
      <c r="Q19" s="241">
        <f>_xlfn.RANK.EQ(defenses[[#This Row],[Average]],defenses[Average],1)</f>
        <v>16</v>
      </c>
      <c r="R19" s="241">
        <f>AVERAGE(defenses[[#This Row],[Proj Rank]],defenses[[#This Row],[Value Rank]])</f>
        <v>16</v>
      </c>
      <c r="S19" s="216">
        <f>defenses[[#This Row],[Salary]]/50000</f>
        <v>6.2E-2</v>
      </c>
      <c r="T19" s="216"/>
      <c r="U19" s="19">
        <f>IFERROR(INDEX(DEFstats1[DraftKings (Projected points)],MATCH(defenses[[#This Row],[Name]],DEFstats1[Player],0)),"")</f>
        <v>7.5</v>
      </c>
      <c r="V19" s="19" t="str">
        <f>IFERROR(INDEX(DEFstats2[FP],MATCH(defenses[[#This Row],[Name]],DEFstats2[Team],0)),"")</f>
        <v>0</v>
      </c>
      <c r="W19" s="19">
        <f>IFERROR(INDEX(DEFstats3[Pts],MATCH(defenses[[#This Row],[Name]],DEFstats3[Name],0)),"")</f>
        <v>7.1</v>
      </c>
    </row>
    <row r="20" spans="1:23" x14ac:dyDescent="0.3">
      <c r="A20" s="37">
        <f>DEFstats1!AL5</f>
        <v>7.6</v>
      </c>
      <c r="B20" s="5" t="str">
        <f>DEFstats1!D5</f>
        <v>New England Patriots</v>
      </c>
      <c r="C20" s="172">
        <f>IFERROR(INDEX(Salaries[DraftKings (Price)],MATCH(defenses[[#This Row],[Name]],Salaries[Player],0)),"")</f>
        <v>3300</v>
      </c>
      <c r="D20" s="172">
        <f>IFERROR(INDEX(DK_Salary_Changes[WeekChange],MATCH(defenses[[#This Row],[Name]],Salaries[Player],0)),"")</f>
        <v>0</v>
      </c>
      <c r="E20" s="515" t="str">
        <f>IFERROR(INDEX(Salaries[Team],MATCH(defenses[[#This Row],[Name]],Salaries[Player],0)),"")</f>
        <v>NE</v>
      </c>
      <c r="F20" s="515" t="str">
        <f>IFERROR(INDEX(Salaries[Opp],MATCH(defenses[[#This Row],[Name]],Salaries[Player],0)),"")</f>
        <v>BUF</v>
      </c>
      <c r="G20" s="32">
        <f>IFERROR(INDEX(Salaries[O/U],MATCH(defenses[[#This Row],[Team]],Salaries[Team],0)),"")</f>
        <v>44</v>
      </c>
      <c r="H20" s="32">
        <f>IFERROR(INDEX(Salaries[Team O/U],MATCH(defenses[[#This Row],[Team]],Salaries[Team],0)),"")</f>
        <v>24.25</v>
      </c>
      <c r="I20" s="32">
        <f>IFERROR(INDEX(Salaries[Spread],MATCH(defenses[[#This Row],[Team]],Salaries[Team],0)),"")</f>
        <v>-4.5</v>
      </c>
      <c r="J20" s="14">
        <f>IFERROR(INDEX(TeamOffense2015[Rank],MATCH(defenses[[#This Row],[Opp]],TeamOffense2015[Team],0)),IFERROR(INDEX(TeamOffense2015[Rank],MATCH(defenses[[#This Row],[Opp]],TeamOffense2015[Column1],0)),""))</f>
        <v>13</v>
      </c>
      <c r="K20" s="14">
        <f>IFERROR(INDEX(TeamPassing2015[Yds/G],MATCH(defenses[[#This Row],[Opp]],TeamPassing2015[Team],0)),IFERROR(INDEX(TeamPassing2015[Yds/G],MATCH(defenses[[#This Row],[Opp]],TeamPassing2015[Column1],0)),""))</f>
        <v>208.9</v>
      </c>
      <c r="L20" s="14">
        <f>IFERROR(INDEX(TeamRushing2015[Yds/G],MATCH(defenses[[#This Row],[Opp]],TeamRushing2015[Team],0)),IFERROR(INDEX(TeamRushing2015[Yds/G],MATCH(defenses[[#This Row],[Opp]],TeamRushing2015[Column1],0)),""))</f>
        <v>152</v>
      </c>
      <c r="M20" s="14">
        <f>_xlfn.RANK.EQ(defenses[[#This Row],[Projection]],defenses[Projection],0)</f>
        <v>11</v>
      </c>
      <c r="N20" s="19">
        <f>AVERAGE(defenses[[#This Row],[DEFstats1]:[DEFstats3]])</f>
        <v>7.25</v>
      </c>
      <c r="O20" s="8">
        <f>_xlfn.RANK.EQ(defenses[[#This Row],[$/FP]],defenses[$/FP],1)</f>
        <v>23</v>
      </c>
      <c r="P20" s="23">
        <f>SUM(defenses[[#This Row],[Salary]]/defenses[[#This Row],[Projection]])</f>
        <v>455.17241379310343</v>
      </c>
      <c r="Q20" s="241">
        <f>_xlfn.RANK.EQ(defenses[[#This Row],[Average]],defenses[Average],1)</f>
        <v>19</v>
      </c>
      <c r="R20" s="241">
        <f>AVERAGE(defenses[[#This Row],[Proj Rank]],defenses[[#This Row],[Value Rank]])</f>
        <v>17</v>
      </c>
      <c r="S20" s="216">
        <f>defenses[[#This Row],[Salary]]/50000</f>
        <v>6.6000000000000003E-2</v>
      </c>
      <c r="T20" s="216"/>
      <c r="U20" s="19">
        <f>IFERROR(INDEX(DEFstats1[DraftKings (Projected points)],MATCH(defenses[[#This Row],[Name]],DEFstats1[Player],0)),"")</f>
        <v>7.6</v>
      </c>
      <c r="V20" s="19" t="str">
        <f>IFERROR(INDEX(DEFstats2[FP],MATCH(defenses[[#This Row],[Name]],DEFstats2[Team],0)),"")</f>
        <v>0</v>
      </c>
      <c r="W20" s="19">
        <f>IFERROR(INDEX(DEFstats3[Pts],MATCH(defenses[[#This Row],[Name]],DEFstats3[Name],0)),"")</f>
        <v>6.9</v>
      </c>
    </row>
    <row r="21" spans="1:23" x14ac:dyDescent="0.3">
      <c r="A21" s="37">
        <f>DEFstats1!AL19</f>
        <v>7.7</v>
      </c>
      <c r="B21" s="5" t="str">
        <f>DEFstats1!D19</f>
        <v>Washington Redskins</v>
      </c>
      <c r="C21" s="172">
        <f>IFERROR(INDEX(Salaries[DraftKings (Price)],MATCH(defenses[[#This Row],[Name]],Salaries[Player],0)),"")</f>
        <v>3500</v>
      </c>
      <c r="D21" s="172">
        <f>IFERROR(INDEX(DK_Salary_Changes[WeekChange],MATCH(defenses[[#This Row],[Name]],Salaries[Player],0)),"")</f>
        <v>0</v>
      </c>
      <c r="E21" s="515" t="str">
        <f>IFERROR(INDEX(Salaries[Team],MATCH(defenses[[#This Row],[Name]],Salaries[Player],0)),"")</f>
        <v>WAS</v>
      </c>
      <c r="F21" s="515" t="str">
        <f>IFERROR(INDEX(Salaries[Opp],MATCH(defenses[[#This Row],[Name]],Salaries[Player],0)),"")</f>
        <v>CLE</v>
      </c>
      <c r="G21" s="32">
        <f>IFERROR(INDEX(Salaries[O/U],MATCH(defenses[[#This Row],[Team]],Salaries[Team],0)),"")</f>
        <v>45.5</v>
      </c>
      <c r="H21" s="32">
        <f>IFERROR(INDEX(Salaries[Team O/U],MATCH(defenses[[#This Row],[Team]],Salaries[Team],0)),"")</f>
        <v>26.75</v>
      </c>
      <c r="I21" s="32">
        <f>IFERROR(INDEX(Salaries[Spread],MATCH(defenses[[#This Row],[Team]],Salaries[Team],0)),"")</f>
        <v>-8</v>
      </c>
      <c r="J21" s="14">
        <f>IFERROR(INDEX(TeamOffense2015[Rank],MATCH(defenses[[#This Row],[Opp]],TeamOffense2015[Team],0)),IFERROR(INDEX(TeamOffense2015[Rank],MATCH(defenses[[#This Row],[Opp]],TeamOffense2015[Column1],0)),""))</f>
        <v>25</v>
      </c>
      <c r="K21" s="14">
        <f>IFERROR(INDEX(TeamPassing2015[Yds/G],MATCH(defenses[[#This Row],[Opp]],TeamPassing2015[Team],0)),IFERROR(INDEX(TeamPassing2015[Yds/G],MATCH(defenses[[#This Row],[Opp]],TeamPassing2015[Column1],0)),""))</f>
        <v>236.4</v>
      </c>
      <c r="L21" s="14">
        <f>IFERROR(INDEX(TeamRushing2015[Yds/G],MATCH(defenses[[#This Row],[Opp]],TeamRushing2015[Team],0)),IFERROR(INDEX(TeamRushing2015[Yds/G],MATCH(defenses[[#This Row],[Opp]],TeamRushing2015[Column1],0)),""))</f>
        <v>95.6</v>
      </c>
      <c r="M21" s="14">
        <f>_xlfn.RANK.EQ(defenses[[#This Row],[Projection]],defenses[Projection],0)</f>
        <v>12</v>
      </c>
      <c r="N21" s="19">
        <f>AVERAGE(defenses[[#This Row],[DEFstats1]:[DEFstats3]])</f>
        <v>7.2</v>
      </c>
      <c r="O21" s="8">
        <f>_xlfn.RANK.EQ(defenses[[#This Row],[$/FP]],defenses[$/FP],1)</f>
        <v>27</v>
      </c>
      <c r="P21" s="23">
        <f>SUM(defenses[[#This Row],[Salary]]/defenses[[#This Row],[Projection]])</f>
        <v>486.11111111111109</v>
      </c>
      <c r="Q21" s="241">
        <f>_xlfn.RANK.EQ(defenses[[#This Row],[Average]],defenses[Average],1)</f>
        <v>21</v>
      </c>
      <c r="R21" s="241">
        <f>AVERAGE(defenses[[#This Row],[Proj Rank]],defenses[[#This Row],[Value Rank]])</f>
        <v>19.5</v>
      </c>
      <c r="S21" s="216">
        <f>defenses[[#This Row],[Salary]]/50000</f>
        <v>7.0000000000000007E-2</v>
      </c>
      <c r="T21" s="216"/>
      <c r="U21" s="19">
        <f>IFERROR(INDEX(DEFstats1[DraftKings (Projected points)],MATCH(defenses[[#This Row],[Name]],DEFstats1[Player],0)),"")</f>
        <v>7.7</v>
      </c>
      <c r="V21" s="19" t="str">
        <f>IFERROR(INDEX(DEFstats2[FP],MATCH(defenses[[#This Row],[Name]],DEFstats2[Team],0)),"")</f>
        <v>0</v>
      </c>
      <c r="W21" s="19">
        <f>IFERROR(INDEX(DEFstats3[Pts],MATCH(defenses[[#This Row],[Name]],DEFstats3[Name],0)),"")</f>
        <v>6.7</v>
      </c>
    </row>
    <row r="22" spans="1:23" x14ac:dyDescent="0.3">
      <c r="A22" s="37">
        <f>DEFstats1!AL10</f>
        <v>7.4</v>
      </c>
      <c r="B22" s="5" t="str">
        <f>DEFstats1!D10</f>
        <v>Indianapolis Colts</v>
      </c>
      <c r="C22" s="195">
        <f>IFERROR(INDEX(Salaries[DraftKings (Price)],MATCH(defenses[[#This Row],[Name]],Salaries[Player],0)),"")</f>
        <v>2200</v>
      </c>
      <c r="D22" s="195">
        <f>IFERROR(INDEX(DK_Salary_Changes[WeekChange],MATCH(defenses[[#This Row],[Name]],Salaries[Player],0)),"")</f>
        <v>0</v>
      </c>
      <c r="E22" s="515" t="str">
        <f>IFERROR(INDEX(Salaries[Team],MATCH(defenses[[#This Row],[Name]],Salaries[Player],0)),"")</f>
        <v>IND</v>
      </c>
      <c r="F22" s="515" t="str">
        <f>IFERROR(INDEX(Salaries[Opp],MATCH(defenses[[#This Row],[Name]],Salaries[Player],0)),"")</f>
        <v>@JAX</v>
      </c>
      <c r="G22" s="32">
        <f>IFERROR(INDEX(Salaries[O/U],MATCH(defenses[[#This Row],[Team]],Salaries[Team],0)),"")</f>
        <v>49.5</v>
      </c>
      <c r="H22" s="32">
        <f>IFERROR(INDEX(Salaries[Team O/U],MATCH(defenses[[#This Row],[Team]],Salaries[Team],0)),"")</f>
        <v>26</v>
      </c>
      <c r="I22" s="32">
        <f>IFERROR(INDEX(Salaries[Spread],MATCH(defenses[[#This Row],[Team]],Salaries[Team],0)),"")</f>
        <v>-2.5</v>
      </c>
      <c r="J22" s="14">
        <f>IFERROR(INDEX(TeamOffense2015[Rank],MATCH(defenses[[#This Row],[Opp]],TeamOffense2015[Team],0)),IFERROR(INDEX(TeamOffense2015[Rank],MATCH(defenses[[#This Row],[Opp]],TeamOffense2015[Column1],0)),""))</f>
        <v>18</v>
      </c>
      <c r="K22" s="14">
        <f>IFERROR(INDEX(TeamPassing2015[Yds/G],MATCH(defenses[[#This Row],[Opp]],TeamPassing2015[Team],0)),IFERROR(INDEX(TeamPassing2015[Yds/G],MATCH(defenses[[#This Row],[Opp]],TeamPassing2015[Column1],0)),""))</f>
        <v>256.8</v>
      </c>
      <c r="L22" s="14">
        <f>IFERROR(INDEX(TeamRushing2015[Yds/G],MATCH(defenses[[#This Row],[Opp]],TeamRushing2015[Team],0)),IFERROR(INDEX(TeamRushing2015[Yds/G],MATCH(defenses[[#This Row],[Opp]],TeamRushing2015[Column1],0)),""))</f>
        <v>92.1</v>
      </c>
      <c r="M22" s="14">
        <f>_xlfn.RANK.EQ(defenses[[#This Row],[Projection]],defenses[Projection],0)</f>
        <v>13</v>
      </c>
      <c r="N22" s="19">
        <f>AVERAGE(defenses[[#This Row],[DEFstats1]:[DEFstats3]])</f>
        <v>7.15</v>
      </c>
      <c r="O22" s="8">
        <f>_xlfn.RANK.EQ(defenses[[#This Row],[$/FP]],defenses[$/FP],1)</f>
        <v>1</v>
      </c>
      <c r="P22" s="125">
        <f>SUM(defenses[[#This Row],[Salary]]/defenses[[#This Row],[Projection]])</f>
        <v>307.69230769230768</v>
      </c>
      <c r="Q22" s="241">
        <f>_xlfn.RANK.EQ(defenses[[#This Row],[Average]],defenses[Average],1)</f>
        <v>4</v>
      </c>
      <c r="R22" s="241">
        <f>AVERAGE(defenses[[#This Row],[Proj Rank]],defenses[[#This Row],[Value Rank]])</f>
        <v>7</v>
      </c>
      <c r="S22" s="216">
        <f>defenses[[#This Row],[Salary]]/50000</f>
        <v>4.3999999999999997E-2</v>
      </c>
      <c r="T22" s="216"/>
      <c r="U22" s="19">
        <f>IFERROR(INDEX(DEFstats1[DraftKings (Projected points)],MATCH(defenses[[#This Row],[Name]],DEFstats1[Player],0)),"")</f>
        <v>7.4</v>
      </c>
      <c r="V22" s="19" t="str">
        <f>IFERROR(INDEX(DEFstats2[FP],MATCH(defenses[[#This Row],[Name]],DEFstats2[Team],0)),"")</f>
        <v>0</v>
      </c>
      <c r="W22" s="19">
        <f>IFERROR(INDEX(DEFstats3[Pts],MATCH(defenses[[#This Row],[Name]],DEFstats3[Name],0)),"")</f>
        <v>6.9</v>
      </c>
    </row>
    <row r="23" spans="1:23" x14ac:dyDescent="0.3">
      <c r="A23" s="37">
        <f>DEFstats1!AL30</f>
        <v>6.7</v>
      </c>
      <c r="B23" s="5" t="str">
        <f>DEFstats1!D30</f>
        <v>New York Giants</v>
      </c>
      <c r="C23" s="172">
        <f>IFERROR(INDEX(Salaries[DraftKings (Price)],MATCH(defenses[[#This Row],[Name]],Salaries[Player],0)),"")</f>
        <v>2900</v>
      </c>
      <c r="D23" s="172">
        <f>IFERROR(INDEX(DK_Salary_Changes[WeekChange],MATCH(defenses[[#This Row],[Name]],Salaries[Player],0)),"")</f>
        <v>-100</v>
      </c>
      <c r="E23" s="515" t="str">
        <f>IFERROR(INDEX(Salaries[Team],MATCH(defenses[[#This Row],[Name]],Salaries[Player],0)),"")</f>
        <v>NYG</v>
      </c>
      <c r="F23" s="515" t="str">
        <f>IFERROR(INDEX(Salaries[Opp],MATCH(defenses[[#This Row],[Name]],Salaries[Player],0)),"")</f>
        <v>@MIN</v>
      </c>
      <c r="G23" s="32">
        <f>IFERROR(INDEX(Salaries[O/U],MATCH(defenses[[#This Row],[Team]],Salaries[Team],0)),"")</f>
        <v>43.5</v>
      </c>
      <c r="H23" s="32">
        <f>IFERROR(INDEX(Salaries[Team O/U],MATCH(defenses[[#This Row],[Team]],Salaries[Team],0)),"")</f>
        <v>19.75</v>
      </c>
      <c r="I23" s="32">
        <f>IFERROR(INDEX(Salaries[Spread],MATCH(defenses[[#This Row],[Team]],Salaries[Team],0)),"")</f>
        <v>4</v>
      </c>
      <c r="J23" s="14">
        <f>IFERROR(INDEX(TeamOffense2015[Rank],MATCH(defenses[[#This Row],[Opp]],TeamOffense2015[Team],0)),IFERROR(INDEX(TeamOffense2015[Rank],MATCH(defenses[[#This Row],[Opp]],TeamOffense2015[Column1],0)),""))</f>
        <v>29</v>
      </c>
      <c r="K23" s="14">
        <f>IFERROR(INDEX(TeamPassing2015[Yds/G],MATCH(defenses[[#This Row],[Opp]],TeamPassing2015[Team],0)),IFERROR(INDEX(TeamPassing2015[Yds/G],MATCH(defenses[[#This Row],[Opp]],TeamPassing2015[Column1],0)),""))</f>
        <v>183</v>
      </c>
      <c r="L23" s="14">
        <f>IFERROR(INDEX(TeamRushing2015[Yds/G],MATCH(defenses[[#This Row],[Opp]],TeamRushing2015[Team],0)),IFERROR(INDEX(TeamRushing2015[Yds/G],MATCH(defenses[[#This Row],[Opp]],TeamRushing2015[Column1],0)),""))</f>
        <v>138.19999999999999</v>
      </c>
      <c r="M23" s="14">
        <f>_xlfn.RANK.EQ(defenses[[#This Row],[Projection]],defenses[Projection],0)</f>
        <v>14</v>
      </c>
      <c r="N23" s="19">
        <f>AVERAGE(defenses[[#This Row],[DEFstats1]:[DEFstats3]])</f>
        <v>7.0500000000000007</v>
      </c>
      <c r="O23" s="8">
        <f>_xlfn.RANK.EQ(defenses[[#This Row],[$/FP]],defenses[$/FP],1)</f>
        <v>19</v>
      </c>
      <c r="P23" s="23">
        <f>SUM(defenses[[#This Row],[Salary]]/defenses[[#This Row],[Projection]])</f>
        <v>411.34751773049641</v>
      </c>
      <c r="Q23" s="241">
        <f>_xlfn.RANK.EQ(defenses[[#This Row],[Average]],defenses[Average],1)</f>
        <v>17</v>
      </c>
      <c r="R23" s="241">
        <f>AVERAGE(defenses[[#This Row],[Proj Rank]],defenses[[#This Row],[Value Rank]])</f>
        <v>16.5</v>
      </c>
      <c r="S23" s="216">
        <f>defenses[[#This Row],[Salary]]/50000</f>
        <v>5.8000000000000003E-2</v>
      </c>
      <c r="T23" s="216"/>
      <c r="U23" s="19">
        <f>IFERROR(INDEX(DEFstats1[DraftKings (Projected points)],MATCH(defenses[[#This Row],[Name]],DEFstats1[Player],0)),"")</f>
        <v>6.7</v>
      </c>
      <c r="V23" s="19" t="str">
        <f>IFERROR(INDEX(DEFstats2[FP],MATCH(defenses[[#This Row],[Name]],DEFstats2[Team],0)),"")</f>
        <v>0</v>
      </c>
      <c r="W23" s="19">
        <f>IFERROR(INDEX(DEFstats3[Pts],MATCH(defenses[[#This Row],[Name]],DEFstats3[Name],0)),"")</f>
        <v>7.4</v>
      </c>
    </row>
    <row r="24" spans="1:23" x14ac:dyDescent="0.3">
      <c r="A24" s="37">
        <f>DEFstats1!AL4</f>
        <v>6.8</v>
      </c>
      <c r="B24" s="5" t="str">
        <f>DEFstats1!D4</f>
        <v>New York Jets</v>
      </c>
      <c r="C24" s="172">
        <f>IFERROR(INDEX(Salaries[DraftKings (Price)],MATCH(defenses[[#This Row],[Name]],Salaries[Player],0)),"")</f>
        <v>2800</v>
      </c>
      <c r="D24" s="172">
        <f>IFERROR(INDEX(DK_Salary_Changes[WeekChange],MATCH(defenses[[#This Row],[Name]],Salaries[Player],0)),"")</f>
        <v>0</v>
      </c>
      <c r="E24" s="515" t="str">
        <f>IFERROR(INDEX(Salaries[Team],MATCH(defenses[[#This Row],[Name]],Salaries[Player],0)),"")</f>
        <v>NYJ</v>
      </c>
      <c r="F24" s="515" t="str">
        <f>IFERROR(INDEX(Salaries[Opp],MATCH(defenses[[#This Row],[Name]],Salaries[Player],0)),"")</f>
        <v>SEA</v>
      </c>
      <c r="G24" s="32">
        <f>IFERROR(INDEX(Salaries[O/U],MATCH(defenses[[#This Row],[Team]],Salaries[Team],0)),"")</f>
        <v>40.5</v>
      </c>
      <c r="H24" s="32">
        <f>IFERROR(INDEX(Salaries[Team O/U],MATCH(defenses[[#This Row],[Team]],Salaries[Team],0)),"")</f>
        <v>19.5</v>
      </c>
      <c r="I24" s="32">
        <f>IFERROR(INDEX(Salaries[Spread],MATCH(defenses[[#This Row],[Team]],Salaries[Team],0)),"")</f>
        <v>1.5</v>
      </c>
      <c r="J24" s="14">
        <f>IFERROR(INDEX(TeamOffense2015[Rank],MATCH(defenses[[#This Row],[Opp]],TeamOffense2015[Team],0)),IFERROR(INDEX(TeamOffense2015[Rank],MATCH(defenses[[#This Row],[Opp]],TeamOffense2015[Column1],0)),""))</f>
        <v>4</v>
      </c>
      <c r="K24" s="14">
        <f>IFERROR(INDEX(TeamPassing2015[Yds/G],MATCH(defenses[[#This Row],[Opp]],TeamPassing2015[Team],0)),IFERROR(INDEX(TeamPassing2015[Yds/G],MATCH(defenses[[#This Row],[Opp]],TeamPassing2015[Column1],0)),""))</f>
        <v>236.9</v>
      </c>
      <c r="L24" s="14">
        <f>IFERROR(INDEX(TeamRushing2015[Yds/G],MATCH(defenses[[#This Row],[Opp]],TeamRushing2015[Team],0)),IFERROR(INDEX(TeamRushing2015[Yds/G],MATCH(defenses[[#This Row],[Opp]],TeamRushing2015[Column1],0)),""))</f>
        <v>141.80000000000001</v>
      </c>
      <c r="M24" s="14">
        <f>_xlfn.RANK.EQ(defenses[[#This Row],[Projection]],defenses[Projection],0)</f>
        <v>15</v>
      </c>
      <c r="N24" s="19">
        <f>AVERAGE(defenses[[#This Row],[DEFstats1]:[DEFstats3]])</f>
        <v>6.9499999999999993</v>
      </c>
      <c r="O24" s="8">
        <f>_xlfn.RANK.EQ(defenses[[#This Row],[$/FP]],defenses[$/FP],1)</f>
        <v>16</v>
      </c>
      <c r="P24" s="125">
        <f>SUM(defenses[[#This Row],[Salary]]/defenses[[#This Row],[Projection]])</f>
        <v>402.87769784172667</v>
      </c>
      <c r="Q24" s="241">
        <f>_xlfn.RANK.EQ(defenses[[#This Row],[Average]],defenses[Average],1)</f>
        <v>15</v>
      </c>
      <c r="R24" s="241">
        <f>AVERAGE(defenses[[#This Row],[Proj Rank]],defenses[[#This Row],[Value Rank]])</f>
        <v>15.5</v>
      </c>
      <c r="S24" s="216">
        <f>defenses[[#This Row],[Salary]]/50000</f>
        <v>5.6000000000000001E-2</v>
      </c>
      <c r="T24" s="216"/>
      <c r="U24" s="19">
        <f>IFERROR(INDEX(DEFstats1[DraftKings (Projected points)],MATCH(defenses[[#This Row],[Name]],DEFstats1[Player],0)),"")</f>
        <v>6.8</v>
      </c>
      <c r="V24" s="19" t="str">
        <f>IFERROR(INDEX(DEFstats2[FP],MATCH(defenses[[#This Row],[Name]],DEFstats2[Team],0)),"")</f>
        <v>0</v>
      </c>
      <c r="W24" s="19">
        <f>IFERROR(INDEX(DEFstats3[Pts],MATCH(defenses[[#This Row],[Name]],DEFstats3[Name],0)),"")</f>
        <v>7.1</v>
      </c>
    </row>
    <row r="25" spans="1:23" x14ac:dyDescent="0.3">
      <c r="A25" s="37">
        <f>DEFstats1!AL31</f>
        <v>6.5</v>
      </c>
      <c r="B25" s="5" t="str">
        <f>DEFstats1!D31</f>
        <v>Los Angeles Rams</v>
      </c>
      <c r="C25" s="172">
        <f>IFERROR(INDEX(Salaries[DraftKings (Price)],MATCH(defenses[[#This Row],[Name]],Salaries[Player],0)),"")</f>
        <v>4400</v>
      </c>
      <c r="D25" s="172">
        <f>IFERROR(INDEX(DK_Salary_Changes[WeekChange],MATCH(defenses[[#This Row],[Name]],Salaries[Player],0)),"")</f>
        <v>-100</v>
      </c>
      <c r="E25" s="515" t="str">
        <f>IFERROR(INDEX(Salaries[Team],MATCH(defenses[[#This Row],[Name]],Salaries[Player],0)),"")</f>
        <v>LA</v>
      </c>
      <c r="F25" s="515" t="str">
        <f>IFERROR(INDEX(Salaries[Opp],MATCH(defenses[[#This Row],[Name]],Salaries[Player],0)),"")</f>
        <v>@ARI</v>
      </c>
      <c r="G25" s="32">
        <f>IFERROR(INDEX(Salaries[O/U],MATCH(defenses[[#This Row],[Team]],Salaries[Team],0)),"")</f>
        <v>43</v>
      </c>
      <c r="H25" s="32">
        <f>IFERROR(INDEX(Salaries[Team O/U],MATCH(defenses[[#This Row],[Team]],Salaries[Team],0)),"")</f>
        <v>17.5</v>
      </c>
      <c r="I25" s="32">
        <f>IFERROR(INDEX(Salaries[Spread],MATCH(defenses[[#This Row],[Team]],Salaries[Team],0)),"")</f>
        <v>8</v>
      </c>
      <c r="J25" s="14">
        <f>IFERROR(INDEX(TeamOffense2015[Rank],MATCH(defenses[[#This Row],[Opp]],TeamOffense2015[Team],0)),IFERROR(INDEX(TeamOffense2015[Rank],MATCH(defenses[[#This Row],[Opp]],TeamOffense2015[Column1],0)),""))</f>
        <v>1</v>
      </c>
      <c r="K25" s="14">
        <f>IFERROR(INDEX(TeamPassing2015[Yds/G],MATCH(defenses[[#This Row],[Opp]],TeamPassing2015[Team],0)),IFERROR(INDEX(TeamPassing2015[Yds/G],MATCH(defenses[[#This Row],[Opp]],TeamPassing2015[Column1],0)),""))</f>
        <v>288.5</v>
      </c>
      <c r="L25" s="14">
        <f>IFERROR(INDEX(TeamRushing2015[Yds/G],MATCH(defenses[[#This Row],[Opp]],TeamRushing2015[Team],0)),IFERROR(INDEX(TeamRushing2015[Yds/G],MATCH(defenses[[#This Row],[Opp]],TeamRushing2015[Column1],0)),""))</f>
        <v>119.8</v>
      </c>
      <c r="M25" s="14">
        <f>_xlfn.RANK.EQ(defenses[[#This Row],[Projection]],defenses[Projection],0)</f>
        <v>16</v>
      </c>
      <c r="N25" s="19">
        <f>AVERAGE(defenses[[#This Row],[DEFstats1]:[DEFstats3]])</f>
        <v>6.9</v>
      </c>
      <c r="O25" s="8">
        <f>_xlfn.RANK.EQ(defenses[[#This Row],[$/FP]],defenses[$/FP],1)</f>
        <v>30</v>
      </c>
      <c r="P25" s="23">
        <f>SUM(defenses[[#This Row],[Salary]]/defenses[[#This Row],[Projection]])</f>
        <v>637.68115942028987</v>
      </c>
      <c r="Q25" s="241">
        <f>_xlfn.RANK.EQ(defenses[[#This Row],[Average]],defenses[Average],1)</f>
        <v>25</v>
      </c>
      <c r="R25" s="241">
        <f>AVERAGE(defenses[[#This Row],[Proj Rank]],defenses[[#This Row],[Value Rank]])</f>
        <v>23</v>
      </c>
      <c r="S25" s="216">
        <f>defenses[[#This Row],[Salary]]/50000</f>
        <v>8.7999999999999995E-2</v>
      </c>
      <c r="T25" s="216"/>
      <c r="U25" s="19">
        <f>IFERROR(INDEX(DEFstats1[DraftKings (Projected points)],MATCH(defenses[[#This Row],[Name]],DEFstats1[Player],0)),"")</f>
        <v>6.5</v>
      </c>
      <c r="V25" s="19" t="str">
        <f>IFERROR(INDEX(DEFstats2[FP],MATCH(defenses[[#This Row],[Name]],DEFstats2[Team],0)),"")</f>
        <v>0</v>
      </c>
      <c r="W25" s="19">
        <f>IFERROR(INDEX(DEFstats3[Pts],MATCH(defenses[[#This Row],[Name]],DEFstats3[Name],0)),"")</f>
        <v>7.3</v>
      </c>
    </row>
    <row r="26" spans="1:23" x14ac:dyDescent="0.3">
      <c r="A26" s="37">
        <f>DEFstats1!AL17</f>
        <v>6.2</v>
      </c>
      <c r="B26" s="5" t="str">
        <f>DEFstats1!D17</f>
        <v>Oakland Raiders</v>
      </c>
      <c r="C26" s="172">
        <f>IFERROR(INDEX(Salaries[DraftKings (Price)],MATCH(defenses[[#This Row],[Name]],Salaries[Player],0)),"")</f>
        <v>2700</v>
      </c>
      <c r="D26" s="172">
        <f>IFERROR(INDEX(DK_Salary_Changes[WeekChange],MATCH(defenses[[#This Row],[Name]],Salaries[Player],0)),"")</f>
        <v>0</v>
      </c>
      <c r="E26" s="515" t="str">
        <f>IFERROR(INDEX(Salaries[Team],MATCH(defenses[[#This Row],[Name]],Salaries[Player],0)),"")</f>
        <v>OAK</v>
      </c>
      <c r="F26" s="515" t="str">
        <f>IFERROR(INDEX(Salaries[Opp],MATCH(defenses[[#This Row],[Name]],Salaries[Player],0)),"")</f>
        <v>@BAL</v>
      </c>
      <c r="G26" s="32">
        <f>IFERROR(INDEX(Salaries[O/U],MATCH(defenses[[#This Row],[Team]],Salaries[Team],0)),"")</f>
        <v>46.5</v>
      </c>
      <c r="H26" s="32">
        <f>IFERROR(INDEX(Salaries[Team O/U],MATCH(defenses[[#This Row],[Team]],Salaries[Team],0)),"")</f>
        <v>21.5</v>
      </c>
      <c r="I26" s="32">
        <f>IFERROR(INDEX(Salaries[Spread],MATCH(defenses[[#This Row],[Team]],Salaries[Team],0)),"")</f>
        <v>3.5</v>
      </c>
      <c r="J26" s="14">
        <f>IFERROR(INDEX(TeamOffense2015[Rank],MATCH(defenses[[#This Row],[Opp]],TeamOffense2015[Team],0)),IFERROR(INDEX(TeamOffense2015[Rank],MATCH(defenses[[#This Row],[Opp]],TeamOffense2015[Column1],0)),""))</f>
        <v>14</v>
      </c>
      <c r="K26" s="14">
        <f>IFERROR(INDEX(TeamPassing2015[Yds/G],MATCH(defenses[[#This Row],[Opp]],TeamPassing2015[Team],0)),IFERROR(INDEX(TeamPassing2015[Yds/G],MATCH(defenses[[#This Row],[Opp]],TeamPassing2015[Column1],0)),""))</f>
        <v>266.89999999999998</v>
      </c>
      <c r="L26" s="14">
        <f>IFERROR(INDEX(TeamRushing2015[Yds/G],MATCH(defenses[[#This Row],[Opp]],TeamRushing2015[Team],0)),IFERROR(INDEX(TeamRushing2015[Yds/G],MATCH(defenses[[#This Row],[Opp]],TeamRushing2015[Column1],0)),""))</f>
        <v>92.4</v>
      </c>
      <c r="M26" s="14">
        <f>_xlfn.RANK.EQ(defenses[[#This Row],[Projection]],defenses[Projection],0)</f>
        <v>17</v>
      </c>
      <c r="N26" s="19">
        <f>AVERAGE(defenses[[#This Row],[DEFstats1]:[DEFstats3]])</f>
        <v>6.85</v>
      </c>
      <c r="O26" s="8">
        <f>_xlfn.RANK.EQ(defenses[[#This Row],[$/FP]],defenses[$/FP],1)</f>
        <v>13</v>
      </c>
      <c r="P26" s="23">
        <f>SUM(defenses[[#This Row],[Salary]]/defenses[[#This Row],[Projection]])</f>
        <v>394.16058394160586</v>
      </c>
      <c r="Q26" s="241">
        <f>_xlfn.RANK.EQ(defenses[[#This Row],[Average]],defenses[Average],1)</f>
        <v>14</v>
      </c>
      <c r="R26" s="241">
        <f>AVERAGE(defenses[[#This Row],[Proj Rank]],defenses[[#This Row],[Value Rank]])</f>
        <v>15</v>
      </c>
      <c r="S26" s="216">
        <f>defenses[[#This Row],[Salary]]/50000</f>
        <v>5.3999999999999999E-2</v>
      </c>
      <c r="T26" s="216"/>
      <c r="U26" s="19">
        <f>IFERROR(INDEX(DEFstats1[DraftKings (Projected points)],MATCH(defenses[[#This Row],[Name]],DEFstats1[Player],0)),"")</f>
        <v>6.2</v>
      </c>
      <c r="V26" s="19" t="str">
        <f>IFERROR(INDEX(DEFstats2[FP],MATCH(defenses[[#This Row],[Name]],DEFstats2[Team],0)),"")</f>
        <v>0</v>
      </c>
      <c r="W26" s="19">
        <f>IFERROR(INDEX(DEFstats3[Pts],MATCH(defenses[[#This Row],[Name]],DEFstats3[Name],0)),"")</f>
        <v>7.5</v>
      </c>
    </row>
    <row r="27" spans="1:23" x14ac:dyDescent="0.3">
      <c r="A27" s="37">
        <f>DEFstats1!AL11</f>
        <v>6.4</v>
      </c>
      <c r="B27" s="5" t="str">
        <f>DEFstats1!D11</f>
        <v>Jacksonville Jaguars</v>
      </c>
      <c r="C27" s="172">
        <f>IFERROR(INDEX(Salaries[DraftKings (Price)],MATCH(defenses[[#This Row],[Name]],Salaries[Player],0)),"")</f>
        <v>2400</v>
      </c>
      <c r="D27" s="172">
        <f>IFERROR(INDEX(DK_Salary_Changes[WeekChange],MATCH(defenses[[#This Row],[Name]],Salaries[Player],0)),"")</f>
        <v>0</v>
      </c>
      <c r="E27" s="515" t="str">
        <f>IFERROR(INDEX(Salaries[Team],MATCH(defenses[[#This Row],[Name]],Salaries[Player],0)),"")</f>
        <v>JAX</v>
      </c>
      <c r="F27" s="515" t="str">
        <f>IFERROR(INDEX(Salaries[Opp],MATCH(defenses[[#This Row],[Name]],Salaries[Player],0)),"")</f>
        <v>IND</v>
      </c>
      <c r="G27" s="32">
        <f>IFERROR(INDEX(Salaries[O/U],MATCH(defenses[[#This Row],[Team]],Salaries[Team],0)),"")</f>
        <v>49.5</v>
      </c>
      <c r="H27" s="32">
        <f>IFERROR(INDEX(Salaries[Team O/U],MATCH(defenses[[#This Row],[Team]],Salaries[Team],0)),"")</f>
        <v>23.5</v>
      </c>
      <c r="I27" s="32">
        <f>IFERROR(INDEX(Salaries[Spread],MATCH(defenses[[#This Row],[Team]],Salaries[Team],0)),"")</f>
        <v>2.5</v>
      </c>
      <c r="J27" s="14">
        <f>IFERROR(INDEX(TeamOffense2015[Rank],MATCH(defenses[[#This Row],[Opp]],TeamOffense2015[Team],0)),IFERROR(INDEX(TeamOffense2015[Rank],MATCH(defenses[[#This Row],[Opp]],TeamOffense2015[Column1],0)),""))</f>
        <v>28</v>
      </c>
      <c r="K27" s="14">
        <f>IFERROR(INDEX(TeamPassing2015[Yds/G],MATCH(defenses[[#This Row],[Opp]],TeamPassing2015[Team],0)),IFERROR(INDEX(TeamPassing2015[Yds/G],MATCH(defenses[[#This Row],[Opp]],TeamPassing2015[Column1],0)),""))</f>
        <v>231.5</v>
      </c>
      <c r="L27" s="14">
        <f>IFERROR(INDEX(TeamRushing2015[Yds/G],MATCH(defenses[[#This Row],[Opp]],TeamRushing2015[Team],0)),IFERROR(INDEX(TeamRushing2015[Yds/G],MATCH(defenses[[#This Row],[Opp]],TeamRushing2015[Column1],0)),""))</f>
        <v>89.9</v>
      </c>
      <c r="M27" s="14">
        <f>_xlfn.RANK.EQ(defenses[[#This Row],[Projection]],defenses[Projection],0)</f>
        <v>18</v>
      </c>
      <c r="N27" s="19">
        <f>AVERAGE(defenses[[#This Row],[DEFstats1]:[DEFstats3]])</f>
        <v>6.7</v>
      </c>
      <c r="O27" s="8">
        <f>_xlfn.RANK.EQ(defenses[[#This Row],[$/FP]],defenses[$/FP],1)</f>
        <v>5</v>
      </c>
      <c r="P27" s="125">
        <f>SUM(defenses[[#This Row],[Salary]]/defenses[[#This Row],[Projection]])</f>
        <v>358.20895522388059</v>
      </c>
      <c r="Q27" s="241">
        <f>_xlfn.RANK.EQ(defenses[[#This Row],[Average]],defenses[Average],1)</f>
        <v>10</v>
      </c>
      <c r="R27" s="241">
        <f>AVERAGE(defenses[[#This Row],[Proj Rank]],defenses[[#This Row],[Value Rank]])</f>
        <v>11.5</v>
      </c>
      <c r="S27" s="216">
        <f>defenses[[#This Row],[Salary]]/50000</f>
        <v>4.8000000000000001E-2</v>
      </c>
      <c r="T27" s="216"/>
      <c r="U27" s="19">
        <f>IFERROR(INDEX(DEFstats1[DraftKings (Projected points)],MATCH(defenses[[#This Row],[Name]],DEFstats1[Player],0)),"")</f>
        <v>6.4</v>
      </c>
      <c r="V27" s="19" t="str">
        <f>IFERROR(INDEX(DEFstats2[FP],MATCH(defenses[[#This Row],[Name]],DEFstats2[Team],0)),"")</f>
        <v>0</v>
      </c>
      <c r="W27" s="19">
        <f>IFERROR(INDEX(DEFstats3[Pts],MATCH(defenses[[#This Row],[Name]],DEFstats3[Name],0)),"")</f>
        <v>7</v>
      </c>
    </row>
    <row r="28" spans="1:23" x14ac:dyDescent="0.3">
      <c r="A28" s="37">
        <f>DEFstats1!AL23</f>
        <v>6.2</v>
      </c>
      <c r="B28" s="5" t="str">
        <f>DEFstats1!D23</f>
        <v>Tampa Bay Buccaneers</v>
      </c>
      <c r="C28" s="172">
        <f>IFERROR(INDEX(Salaries[DraftKings (Price)],MATCH(defenses[[#This Row],[Name]],Salaries[Player],0)),"")</f>
        <v>2600</v>
      </c>
      <c r="D28" s="172">
        <f>IFERROR(INDEX(DK_Salary_Changes[WeekChange],MATCH(defenses[[#This Row],[Name]],Salaries[Player],0)),"")</f>
        <v>0</v>
      </c>
      <c r="E28" s="515" t="str">
        <f>IFERROR(INDEX(Salaries[Team],MATCH(defenses[[#This Row],[Name]],Salaries[Player],0)),"")</f>
        <v>TB</v>
      </c>
      <c r="F28" s="515" t="str">
        <f>IFERROR(INDEX(Salaries[Opp],MATCH(defenses[[#This Row],[Name]],Salaries[Player],0)),"")</f>
        <v>DEN</v>
      </c>
      <c r="G28" s="32">
        <f>IFERROR(INDEX(Salaries[O/U],MATCH(defenses[[#This Row],[Team]],Salaries[Team],0)),"")</f>
        <v>44</v>
      </c>
      <c r="H28" s="32">
        <f>IFERROR(INDEX(Salaries[Team O/U],MATCH(defenses[[#This Row],[Team]],Salaries[Team],0)),"")</f>
        <v>20.5</v>
      </c>
      <c r="I28" s="32">
        <f>IFERROR(INDEX(Salaries[Spread],MATCH(defenses[[#This Row],[Team]],Salaries[Team],0)),"")</f>
        <v>3</v>
      </c>
      <c r="J28" s="14">
        <f>IFERROR(INDEX(TeamOffense2015[Rank],MATCH(defenses[[#This Row],[Opp]],TeamOffense2015[Team],0)),IFERROR(INDEX(TeamOffense2015[Rank],MATCH(defenses[[#This Row],[Opp]],TeamOffense2015[Column1],0)),""))</f>
        <v>16</v>
      </c>
      <c r="K28" s="14">
        <f>IFERROR(INDEX(TeamPassing2015[Yds/G],MATCH(defenses[[#This Row],[Opp]],TeamPassing2015[Team],0)),IFERROR(INDEX(TeamPassing2015[Yds/G],MATCH(defenses[[#This Row],[Opp]],TeamPassing2015[Column1],0)),""))</f>
        <v>248.1</v>
      </c>
      <c r="L28" s="14">
        <f>IFERROR(INDEX(TeamRushing2015[Yds/G],MATCH(defenses[[#This Row],[Opp]],TeamRushing2015[Team],0)),IFERROR(INDEX(TeamRushing2015[Yds/G],MATCH(defenses[[#This Row],[Opp]],TeamRushing2015[Column1],0)),""))</f>
        <v>107.4</v>
      </c>
      <c r="M28" s="14">
        <f>_xlfn.RANK.EQ(defenses[[#This Row],[Projection]],defenses[Projection],0)</f>
        <v>19</v>
      </c>
      <c r="N28" s="19">
        <f>AVERAGE(defenses[[#This Row],[DEFstats1]:[DEFstats3]])</f>
        <v>6.45</v>
      </c>
      <c r="O28" s="8">
        <f>_xlfn.RANK.EQ(defenses[[#This Row],[$/FP]],defenses[$/FP],1)</f>
        <v>17</v>
      </c>
      <c r="P28" s="23">
        <f>SUM(defenses[[#This Row],[Salary]]/defenses[[#This Row],[Projection]])</f>
        <v>403.10077519379843</v>
      </c>
      <c r="Q28" s="241">
        <f>_xlfn.RANK.EQ(defenses[[#This Row],[Average]],defenses[Average],1)</f>
        <v>20</v>
      </c>
      <c r="R28" s="241">
        <f>AVERAGE(defenses[[#This Row],[Proj Rank]],defenses[[#This Row],[Value Rank]])</f>
        <v>18</v>
      </c>
      <c r="S28" s="216">
        <f>defenses[[#This Row],[Salary]]/50000</f>
        <v>5.1999999999999998E-2</v>
      </c>
      <c r="T28" s="216"/>
      <c r="U28" s="19">
        <f>IFERROR(INDEX(DEFstats1[DraftKings (Projected points)],MATCH(defenses[[#This Row],[Name]],DEFstats1[Player],0)),"")</f>
        <v>6.2</v>
      </c>
      <c r="V28" s="19" t="str">
        <f>IFERROR(INDEX(DEFstats2[FP],MATCH(defenses[[#This Row],[Name]],DEFstats2[Team],0)),"")</f>
        <v>0</v>
      </c>
      <c r="W28" s="19">
        <f>IFERROR(INDEX(DEFstats3[Pts],MATCH(defenses[[#This Row],[Name]],DEFstats3[Name],0)),"")</f>
        <v>6.7</v>
      </c>
    </row>
    <row r="29" spans="1:23" x14ac:dyDescent="0.3">
      <c r="A29" s="37">
        <f>DEFstats1!AL8</f>
        <v>6.7</v>
      </c>
      <c r="B29" s="5" t="str">
        <f>DEFstats1!D8</f>
        <v>Baltimore Ravens</v>
      </c>
      <c r="C29" s="172">
        <f>IFERROR(INDEX(Salaries[DraftKings (Price)],MATCH(defenses[[#This Row],[Name]],Salaries[Player],0)),"")</f>
        <v>2400</v>
      </c>
      <c r="D29" s="172">
        <f>IFERROR(INDEX(DK_Salary_Changes[WeekChange],MATCH(defenses[[#This Row],[Name]],Salaries[Player],0)),"")</f>
        <v>0</v>
      </c>
      <c r="E29" s="515" t="str">
        <f>IFERROR(INDEX(Salaries[Team],MATCH(defenses[[#This Row],[Name]],Salaries[Player],0)),"")</f>
        <v>BAL</v>
      </c>
      <c r="F29" s="515" t="str">
        <f>IFERROR(INDEX(Salaries[Opp],MATCH(defenses[[#This Row],[Name]],Salaries[Player],0)),"")</f>
        <v>OAK</v>
      </c>
      <c r="G29" s="32">
        <f>IFERROR(INDEX(Salaries[O/U],MATCH(defenses[[#This Row],[Team]],Salaries[Team],0)),"")</f>
        <v>46.5</v>
      </c>
      <c r="H29" s="32">
        <f>IFERROR(INDEX(Salaries[Team O/U],MATCH(defenses[[#This Row],[Team]],Salaries[Team],0)),"")</f>
        <v>25</v>
      </c>
      <c r="I29" s="32">
        <f>IFERROR(INDEX(Salaries[Spread],MATCH(defenses[[#This Row],[Team]],Salaries[Team],0)),"")</f>
        <v>-3.5</v>
      </c>
      <c r="J29" s="14">
        <f>IFERROR(INDEX(TeamOffense2015[Rank],MATCH(defenses[[#This Row],[Opp]],TeamOffense2015[Team],0)),IFERROR(INDEX(TeamOffense2015[Rank],MATCH(defenses[[#This Row],[Opp]],TeamOffense2015[Column1],0)),""))</f>
        <v>24</v>
      </c>
      <c r="K29" s="14">
        <f>IFERROR(INDEX(TeamPassing2015[Yds/G],MATCH(defenses[[#This Row],[Opp]],TeamPassing2015[Team],0)),IFERROR(INDEX(TeamPassing2015[Yds/G],MATCH(defenses[[#This Row],[Opp]],TeamPassing2015[Column1],0)),""))</f>
        <v>242.4</v>
      </c>
      <c r="L29" s="14">
        <f>IFERROR(INDEX(TeamRushing2015[Yds/G],MATCH(defenses[[#This Row],[Opp]],TeamRushing2015[Team],0)),IFERROR(INDEX(TeamRushing2015[Yds/G],MATCH(defenses[[#This Row],[Opp]],TeamRushing2015[Column1],0)),""))</f>
        <v>91.1</v>
      </c>
      <c r="M29" s="14">
        <f>_xlfn.RANK.EQ(defenses[[#This Row],[Projection]],defenses[Projection],0)</f>
        <v>20</v>
      </c>
      <c r="N29" s="19">
        <f>AVERAGE(defenses[[#This Row],[DEFstats1]:[DEFstats3]])</f>
        <v>6.3000000000000007</v>
      </c>
      <c r="O29" s="8">
        <f>_xlfn.RANK.EQ(defenses[[#This Row],[$/FP]],defenses[$/FP],1)</f>
        <v>9</v>
      </c>
      <c r="P29" s="125">
        <f>SUM(defenses[[#This Row],[Salary]]/defenses[[#This Row],[Projection]])</f>
        <v>380.95238095238091</v>
      </c>
      <c r="Q29" s="241">
        <f>_xlfn.RANK.EQ(defenses[[#This Row],[Average]],defenses[Average],1)</f>
        <v>13</v>
      </c>
      <c r="R29" s="241">
        <f>AVERAGE(defenses[[#This Row],[Proj Rank]],defenses[[#This Row],[Value Rank]])</f>
        <v>14.5</v>
      </c>
      <c r="S29" s="216">
        <f>defenses[[#This Row],[Salary]]/50000</f>
        <v>4.8000000000000001E-2</v>
      </c>
      <c r="T29" s="216"/>
      <c r="U29" s="19">
        <f>IFERROR(INDEX(DEFstats1[DraftKings (Projected points)],MATCH(defenses[[#This Row],[Name]],DEFstats1[Player],0)),"")</f>
        <v>6.7</v>
      </c>
      <c r="V29" s="19" t="str">
        <f>IFERROR(INDEX(DEFstats2[FP],MATCH(defenses[[#This Row],[Name]],DEFstats2[Team],0)),"")</f>
        <v>0</v>
      </c>
      <c r="W29" s="19">
        <f>IFERROR(INDEX(DEFstats3[Pts],MATCH(defenses[[#This Row],[Name]],DEFstats3[Name],0)),"")</f>
        <v>5.9</v>
      </c>
    </row>
    <row r="30" spans="1:23" x14ac:dyDescent="0.3">
      <c r="A30" s="37">
        <f>DEFstats1!AL15</f>
        <v>6.4</v>
      </c>
      <c r="B30" s="5" t="str">
        <f>DEFstats1!D15</f>
        <v>San Diego Chargers</v>
      </c>
      <c r="C30" s="172">
        <f>IFERROR(INDEX(Salaries[DraftKings (Price)],MATCH(defenses[[#This Row],[Name]],Salaries[Player],0)),"")</f>
        <v>2300</v>
      </c>
      <c r="D30" s="172">
        <f>IFERROR(INDEX(DK_Salary_Changes[WeekChange],MATCH(defenses[[#This Row],[Name]],Salaries[Player],0)),"")</f>
        <v>0</v>
      </c>
      <c r="E30" s="515" t="str">
        <f>IFERROR(INDEX(Salaries[Team],MATCH(defenses[[#This Row],[Name]],Salaries[Player],0)),"")</f>
        <v>SD</v>
      </c>
      <c r="F30" s="515" t="str">
        <f>IFERROR(INDEX(Salaries[Opp],MATCH(defenses[[#This Row],[Name]],Salaries[Player],0)),"")</f>
        <v>NO</v>
      </c>
      <c r="G30" s="32">
        <f>IFERROR(INDEX(Salaries[O/U],MATCH(defenses[[#This Row],[Team]],Salaries[Team],0)),"")</f>
        <v>53.5</v>
      </c>
      <c r="H30" s="32">
        <f>IFERROR(INDEX(Salaries[Team O/U],MATCH(defenses[[#This Row],[Team]],Salaries[Team],0)),"")</f>
        <v>28.75</v>
      </c>
      <c r="I30" s="32">
        <f>IFERROR(INDEX(Salaries[Spread],MATCH(defenses[[#This Row],[Team]],Salaries[Team],0)),"")</f>
        <v>-4</v>
      </c>
      <c r="J30" s="14">
        <f>IFERROR(INDEX(TeamOffense2015[Rank],MATCH(defenses[[#This Row],[Opp]],TeamOffense2015[Team],0)),IFERROR(INDEX(TeamOffense2015[Rank],MATCH(defenses[[#This Row],[Opp]],TeamOffense2015[Column1],0)),""))</f>
        <v>2</v>
      </c>
      <c r="K30" s="14">
        <f>IFERROR(INDEX(TeamPassing2015[Yds/G],MATCH(defenses[[#This Row],[Opp]],TeamPassing2015[Team],0)),IFERROR(INDEX(TeamPassing2015[Yds/G],MATCH(defenses[[#This Row],[Opp]],TeamPassing2015[Column1],0)),""))</f>
        <v>310.60000000000002</v>
      </c>
      <c r="L30" s="14">
        <f>IFERROR(INDEX(TeamRushing2015[Yds/G],MATCH(defenses[[#This Row],[Opp]],TeamRushing2015[Team],0)),IFERROR(INDEX(TeamRushing2015[Yds/G],MATCH(defenses[[#This Row],[Opp]],TeamRushing2015[Column1],0)),""))</f>
        <v>93.2</v>
      </c>
      <c r="M30" s="14">
        <f>_xlfn.RANK.EQ(defenses[[#This Row],[Projection]],defenses[Projection],0)</f>
        <v>21</v>
      </c>
      <c r="N30" s="19">
        <f>AVERAGE(defenses[[#This Row],[DEFstats1]:[DEFstats3]])</f>
        <v>6.25</v>
      </c>
      <c r="O30" s="8">
        <f>_xlfn.RANK.EQ(defenses[[#This Row],[$/FP]],defenses[$/FP],1)</f>
        <v>6</v>
      </c>
      <c r="P30" s="23">
        <f>SUM(defenses[[#This Row],[Salary]]/defenses[[#This Row],[Projection]])</f>
        <v>368</v>
      </c>
      <c r="Q30" s="241">
        <f>_xlfn.RANK.EQ(defenses[[#This Row],[Average]],defenses[Average],1)</f>
        <v>12</v>
      </c>
      <c r="R30" s="241">
        <f>AVERAGE(defenses[[#This Row],[Proj Rank]],defenses[[#This Row],[Value Rank]])</f>
        <v>13.5</v>
      </c>
      <c r="S30" s="216">
        <f>defenses[[#This Row],[Salary]]/50000</f>
        <v>4.5999999999999999E-2</v>
      </c>
      <c r="T30" s="216"/>
      <c r="U30" s="19">
        <f>IFERROR(INDEX(DEFstats1[DraftKings (Projected points)],MATCH(defenses[[#This Row],[Name]],DEFstats1[Player],0)),"")</f>
        <v>6.4</v>
      </c>
      <c r="V30" s="19" t="str">
        <f>IFERROR(INDEX(DEFstats2[FP],MATCH(defenses[[#This Row],[Name]],DEFstats2[Team],0)),"")</f>
        <v>0</v>
      </c>
      <c r="W30" s="19">
        <f>IFERROR(INDEX(DEFstats3[Pts],MATCH(defenses[[#This Row],[Name]],DEFstats3[Name],0)),"")</f>
        <v>6.1</v>
      </c>
    </row>
    <row r="31" spans="1:23" x14ac:dyDescent="0.3">
      <c r="A31" s="37">
        <f>DEFstats1!AL2</f>
        <v>6.6</v>
      </c>
      <c r="B31" s="5" t="str">
        <f>DEFstats1!D2</f>
        <v>Buffalo Bills</v>
      </c>
      <c r="C31" s="172">
        <f>IFERROR(INDEX(Salaries[DraftKings (Price)],MATCH(defenses[[#This Row],[Name]],Salaries[Player],0)),"")</f>
        <v>2600</v>
      </c>
      <c r="D31" s="172">
        <f>IFERROR(INDEX(DK_Salary_Changes[WeekChange],MATCH(defenses[[#This Row],[Name]],Salaries[Player],0)),"")</f>
        <v>0</v>
      </c>
      <c r="E31" s="172" t="str">
        <f>IFERROR(INDEX(Salaries[Team],MATCH(defenses[[#This Row],[Name]],Salaries[Player],0)),"")</f>
        <v>BUF</v>
      </c>
      <c r="F31" s="172" t="str">
        <f>IFERROR(INDEX(Salaries[Opp],MATCH(defenses[[#This Row],[Name]],Salaries[Player],0)),"")</f>
        <v>@NE</v>
      </c>
      <c r="G31" s="32">
        <f>IFERROR(INDEX(Salaries[O/U],MATCH(defenses[[#This Row],[Team]],Salaries[Team],0)),"")</f>
        <v>44</v>
      </c>
      <c r="H31" s="32">
        <f>IFERROR(INDEX(Salaries[Team O/U],MATCH(defenses[[#This Row],[Team]],Salaries[Team],0)),"")</f>
        <v>19.75</v>
      </c>
      <c r="I31" s="32">
        <f>IFERROR(INDEX(Salaries[Spread],MATCH(defenses[[#This Row],[Team]],Salaries[Team],0)),"")</f>
        <v>4.5</v>
      </c>
      <c r="J31" s="14">
        <f>IFERROR(INDEX(TeamOffense2015[Rank],MATCH(defenses[[#This Row],[Opp]],TeamOffense2015[Team],0)),IFERROR(INDEX(TeamOffense2015[Rank],MATCH(defenses[[#This Row],[Opp]],TeamOffense2015[Column1],0)),""))</f>
        <v>6</v>
      </c>
      <c r="K31" s="14">
        <f>IFERROR(INDEX(TeamPassing2015[Yds/G],MATCH(defenses[[#This Row],[Opp]],TeamPassing2015[Team],0)),IFERROR(INDEX(TeamPassing2015[Yds/G],MATCH(defenses[[#This Row],[Opp]],TeamPassing2015[Column1],0)),""))</f>
        <v>286.7</v>
      </c>
      <c r="L31" s="14">
        <f>IFERROR(INDEX(TeamRushing2015[Yds/G],MATCH(defenses[[#This Row],[Opp]],TeamRushing2015[Team],0)),IFERROR(INDEX(TeamRushing2015[Yds/G],MATCH(defenses[[#This Row],[Opp]],TeamRushing2015[Column1],0)),""))</f>
        <v>87.8</v>
      </c>
      <c r="M31" s="14">
        <f>_xlfn.RANK.EQ(defenses[[#This Row],[Projection]],defenses[Projection],0)</f>
        <v>21</v>
      </c>
      <c r="N31" s="19">
        <f>AVERAGE(defenses[[#This Row],[DEFstats1]:[DEFstats3]])</f>
        <v>6.25</v>
      </c>
      <c r="O31" s="8">
        <f>_xlfn.RANK.EQ(defenses[[#This Row],[$/FP]],defenses[$/FP],1)</f>
        <v>20</v>
      </c>
      <c r="P31" s="125">
        <f>SUM(defenses[[#This Row],[Salary]]/defenses[[#This Row],[Projection]])</f>
        <v>416</v>
      </c>
      <c r="Q31" s="241">
        <f>_xlfn.RANK.EQ(defenses[[#This Row],[Average]],defenses[Average],1)</f>
        <v>23</v>
      </c>
      <c r="R31" s="241">
        <f>AVERAGE(defenses[[#This Row],[Proj Rank]],defenses[[#This Row],[Value Rank]])</f>
        <v>20.5</v>
      </c>
      <c r="S31" s="216">
        <f>defenses[[#This Row],[Salary]]/50000</f>
        <v>5.1999999999999998E-2</v>
      </c>
      <c r="T31" s="216"/>
      <c r="U31" s="19">
        <f>IFERROR(INDEX(DEFstats1[DraftKings (Projected points)],MATCH(defenses[[#This Row],[Name]],DEFstats1[Player],0)),"")</f>
        <v>6.6</v>
      </c>
      <c r="V31" s="19" t="str">
        <f>IFERROR(INDEX(DEFstats2[FP],MATCH(defenses[[#This Row],[Name]],DEFstats2[Team],0)),"")</f>
        <v>0</v>
      </c>
      <c r="W31" s="19">
        <f>IFERROR(INDEX(DEFstats3[Pts],MATCH(defenses[[#This Row],[Name]],DEFstats3[Name],0)),"")</f>
        <v>5.9</v>
      </c>
    </row>
    <row r="32" spans="1:23" x14ac:dyDescent="0.3">
      <c r="A32" s="37">
        <f>DEFstats1!AL26</f>
        <v>5.5</v>
      </c>
      <c r="B32" s="5" t="str">
        <f>DEFstats1!D26</f>
        <v>New Orleans Saints</v>
      </c>
      <c r="C32" s="172">
        <f>IFERROR(INDEX(Salaries[DraftKings (Price)],MATCH(defenses[[#This Row],[Name]],Salaries[Player],0)),"")</f>
        <v>2000</v>
      </c>
      <c r="D32" s="172">
        <f>IFERROR(INDEX(DK_Salary_Changes[WeekChange],MATCH(defenses[[#This Row],[Name]],Salaries[Player],0)),"")</f>
        <v>0</v>
      </c>
      <c r="E32" s="515" t="str">
        <f>IFERROR(INDEX(Salaries[Team],MATCH(defenses[[#This Row],[Name]],Salaries[Player],0)),"")</f>
        <v>NO</v>
      </c>
      <c r="F32" s="515" t="str">
        <f>IFERROR(INDEX(Salaries[Opp],MATCH(defenses[[#This Row],[Name]],Salaries[Player],0)),"")</f>
        <v>@SD</v>
      </c>
      <c r="G32" s="32">
        <f>IFERROR(INDEX(Salaries[O/U],MATCH(defenses[[#This Row],[Team]],Salaries[Team],0)),"")</f>
        <v>53.5</v>
      </c>
      <c r="H32" s="32">
        <f>IFERROR(INDEX(Salaries[Team O/U],MATCH(defenses[[#This Row],[Team]],Salaries[Team],0)),"")</f>
        <v>24.75</v>
      </c>
      <c r="I32" s="32">
        <f>IFERROR(INDEX(Salaries[Spread],MATCH(defenses[[#This Row],[Team]],Salaries[Team],0)),"")</f>
        <v>4</v>
      </c>
      <c r="J32" s="14">
        <f>IFERROR(INDEX(TeamOffense2015[Rank],MATCH(defenses[[#This Row],[Opp]],TeamOffense2015[Team],0)),IFERROR(INDEX(TeamOffense2015[Rank],MATCH(defenses[[#This Row],[Opp]],TeamOffense2015[Column1],0)),""))</f>
        <v>9</v>
      </c>
      <c r="K32" s="14">
        <f>IFERROR(INDEX(TeamPassing2015[Yds/G],MATCH(defenses[[#This Row],[Opp]],TeamPassing2015[Team],0)),IFERROR(INDEX(TeamPassing2015[Yds/G],MATCH(defenses[[#This Row],[Opp]],TeamPassing2015[Column1],0)),""))</f>
        <v>286.89999999999998</v>
      </c>
      <c r="L32" s="14">
        <f>IFERROR(INDEX(TeamRushing2015[Yds/G],MATCH(defenses[[#This Row],[Opp]],TeamRushing2015[Team],0)),IFERROR(INDEX(TeamRushing2015[Yds/G],MATCH(defenses[[#This Row],[Opp]],TeamRushing2015[Column1],0)),""))</f>
        <v>84.9</v>
      </c>
      <c r="M32" s="14">
        <f>_xlfn.RANK.EQ(defenses[[#This Row],[Projection]],defenses[Projection],0)</f>
        <v>23</v>
      </c>
      <c r="N32" s="19">
        <f>AVERAGE(defenses[[#This Row],[DEFstats1]:[DEFstats3]])</f>
        <v>6.2</v>
      </c>
      <c r="O32" s="8">
        <f>_xlfn.RANK.EQ(defenses[[#This Row],[$/FP]],defenses[$/FP],1)</f>
        <v>2</v>
      </c>
      <c r="P32" s="23">
        <f>SUM(defenses[[#This Row],[Salary]]/defenses[[#This Row],[Projection]])</f>
        <v>322.58064516129031</v>
      </c>
      <c r="Q32" s="241">
        <f>_xlfn.RANK.EQ(defenses[[#This Row],[Average]],defenses[Average],1)</f>
        <v>11</v>
      </c>
      <c r="R32" s="241">
        <f>AVERAGE(defenses[[#This Row],[Proj Rank]],defenses[[#This Row],[Value Rank]])</f>
        <v>12.5</v>
      </c>
      <c r="S32" s="216">
        <f>defenses[[#This Row],[Salary]]/50000</f>
        <v>0.04</v>
      </c>
      <c r="T32" s="216"/>
      <c r="U32" s="19">
        <f>IFERROR(INDEX(DEFstats1[DraftKings (Projected points)],MATCH(defenses[[#This Row],[Name]],DEFstats1[Player],0)),"")</f>
        <v>5.5</v>
      </c>
      <c r="V32" s="19" t="str">
        <f>IFERROR(INDEX(DEFstats2[FP],MATCH(defenses[[#This Row],[Name]],DEFstats2[Team],0)),"")</f>
        <v>0</v>
      </c>
      <c r="W32" s="19">
        <f>IFERROR(INDEX(DEFstats3[Pts],MATCH(defenses[[#This Row],[Name]],DEFstats3[Name],0)),"")</f>
        <v>6.9</v>
      </c>
    </row>
    <row r="33" spans="1:23" x14ac:dyDescent="0.3">
      <c r="A33" s="37">
        <f>DEFstats1!AL13</f>
        <v>6.3</v>
      </c>
      <c r="B33" s="5" t="str">
        <f>DEFstats1!D13</f>
        <v>Tennessee Titans</v>
      </c>
      <c r="C33" s="172">
        <f>IFERROR(INDEX(Salaries[DraftKings (Price)],MATCH(defenses[[#This Row],[Name]],Salaries[Player],0)),"")</f>
        <v>2400</v>
      </c>
      <c r="D33" s="172">
        <f>IFERROR(INDEX(DK_Salary_Changes[WeekChange],MATCH(defenses[[#This Row],[Name]],Salaries[Player],0)),"")</f>
        <v>0</v>
      </c>
      <c r="E33" s="515" t="str">
        <f>IFERROR(INDEX(Salaries[Team],MATCH(defenses[[#This Row],[Name]],Salaries[Player],0)),"")</f>
        <v>TEN</v>
      </c>
      <c r="F33" s="515" t="str">
        <f>IFERROR(INDEX(Salaries[Opp],MATCH(defenses[[#This Row],[Name]],Salaries[Player],0)),"")</f>
        <v>@HOU</v>
      </c>
      <c r="G33" s="32">
        <f>IFERROR(INDEX(Salaries[O/U],MATCH(defenses[[#This Row],[Team]],Salaries[Team],0)),"")</f>
        <v>40.5</v>
      </c>
      <c r="H33" s="32">
        <f>IFERROR(INDEX(Salaries[Team O/U],MATCH(defenses[[#This Row],[Team]],Salaries[Team],0)),"")</f>
        <v>17</v>
      </c>
      <c r="I33" s="32">
        <f>IFERROR(INDEX(Salaries[Spread],MATCH(defenses[[#This Row],[Team]],Salaries[Team],0)),"")</f>
        <v>6.5</v>
      </c>
      <c r="J33" s="14">
        <f>IFERROR(INDEX(TeamOffense2015[Rank],MATCH(defenses[[#This Row],[Opp]],TeamOffense2015[Team],0)),IFERROR(INDEX(TeamOffense2015[Rank],MATCH(defenses[[#This Row],[Opp]],TeamOffense2015[Column1],0)),""))</f>
        <v>19</v>
      </c>
      <c r="K33" s="14">
        <f>IFERROR(INDEX(TeamPassing2015[Yds/G],MATCH(defenses[[#This Row],[Opp]],TeamPassing2015[Team],0)),IFERROR(INDEX(TeamPassing2015[Yds/G],MATCH(defenses[[#This Row],[Opp]],TeamPassing2015[Column1],0)),""))</f>
        <v>239.6</v>
      </c>
      <c r="L33" s="14">
        <f>IFERROR(INDEX(TeamRushing2015[Yds/G],MATCH(defenses[[#This Row],[Opp]],TeamRushing2015[Team],0)),IFERROR(INDEX(TeamRushing2015[Yds/G],MATCH(defenses[[#This Row],[Opp]],TeamRushing2015[Column1],0)),""))</f>
        <v>108.2</v>
      </c>
      <c r="M33" s="14">
        <f>_xlfn.RANK.EQ(defenses[[#This Row],[Projection]],defenses[Projection],0)</f>
        <v>24</v>
      </c>
      <c r="N33" s="19">
        <f>AVERAGE(defenses[[#This Row],[DEFstats1]:[DEFstats3]])</f>
        <v>6</v>
      </c>
      <c r="O33" s="8">
        <f>_xlfn.RANK.EQ(defenses[[#This Row],[$/FP]],defenses[$/FP],1)</f>
        <v>15</v>
      </c>
      <c r="P33" s="125">
        <f>SUM(defenses[[#This Row],[Salary]]/defenses[[#This Row],[Projection]])</f>
        <v>400</v>
      </c>
      <c r="Q33" s="241">
        <f>_xlfn.RANK.EQ(defenses[[#This Row],[Average]],defenses[Average],1)</f>
        <v>21</v>
      </c>
      <c r="R33" s="241">
        <f>AVERAGE(defenses[[#This Row],[Proj Rank]],defenses[[#This Row],[Value Rank]])</f>
        <v>19.5</v>
      </c>
      <c r="S33" s="216">
        <f>defenses[[#This Row],[Salary]]/50000</f>
        <v>4.8000000000000001E-2</v>
      </c>
      <c r="T33" s="216"/>
      <c r="U33" s="19">
        <f>IFERROR(INDEX(DEFstats1[DraftKings (Projected points)],MATCH(defenses[[#This Row],[Name]],DEFstats1[Player],0)),"")</f>
        <v>6.3</v>
      </c>
      <c r="V33" s="19" t="str">
        <f>IFERROR(INDEX(DEFstats2[FP],MATCH(defenses[[#This Row],[Name]],DEFstats2[Team],0)),"")</f>
        <v>0</v>
      </c>
      <c r="W33" s="19">
        <f>IFERROR(INDEX(DEFstats3[Pts],MATCH(defenses[[#This Row],[Name]],DEFstats3[Name],0)),"")</f>
        <v>5.7</v>
      </c>
    </row>
    <row r="34" spans="1:23" x14ac:dyDescent="0.3">
      <c r="A34" s="37">
        <f>DEFstats1!AL7</f>
        <v>5.8</v>
      </c>
      <c r="B34" s="5" t="str">
        <f>DEFstats1!D7</f>
        <v>Cleveland Browns</v>
      </c>
      <c r="C34" s="172">
        <f>IFERROR(INDEX(Salaries[DraftKings (Price)],MATCH(defenses[[#This Row],[Name]],Salaries[Player],0)),"")</f>
        <v>2500</v>
      </c>
      <c r="D34" s="172">
        <f>IFERROR(INDEX(DK_Salary_Changes[WeekChange],MATCH(defenses[[#This Row],[Name]],Salaries[Player],0)),"")</f>
        <v>0</v>
      </c>
      <c r="E34" s="515" t="str">
        <f>IFERROR(INDEX(Salaries[Team],MATCH(defenses[[#This Row],[Name]],Salaries[Player],0)),"")</f>
        <v>CLE</v>
      </c>
      <c r="F34" s="515" t="str">
        <f>IFERROR(INDEX(Salaries[Opp],MATCH(defenses[[#This Row],[Name]],Salaries[Player],0)),"")</f>
        <v>@WAS</v>
      </c>
      <c r="G34" s="32">
        <f>IFERROR(INDEX(Salaries[O/U],MATCH(defenses[[#This Row],[Team]],Salaries[Team],0)),"")</f>
        <v>45.5</v>
      </c>
      <c r="H34" s="32">
        <f>IFERROR(INDEX(Salaries[Team O/U],MATCH(defenses[[#This Row],[Team]],Salaries[Team],0)),"")</f>
        <v>18.75</v>
      </c>
      <c r="I34" s="32">
        <f>IFERROR(INDEX(Salaries[Spread],MATCH(defenses[[#This Row],[Team]],Salaries[Team],0)),"")</f>
        <v>8</v>
      </c>
      <c r="J34" s="14">
        <f>IFERROR(INDEX(TeamOffense2015[Rank],MATCH(defenses[[#This Row],[Opp]],TeamOffense2015[Team],0)),IFERROR(INDEX(TeamOffense2015[Rank],MATCH(defenses[[#This Row],[Opp]],TeamOffense2015[Column1],0)),""))</f>
        <v>17</v>
      </c>
      <c r="K34" s="14">
        <f>IFERROR(INDEX(TeamPassing2015[Yds/G],MATCH(defenses[[#This Row],[Opp]],TeamPassing2015[Team],0)),IFERROR(INDEX(TeamPassing2015[Yds/G],MATCH(defenses[[#This Row],[Opp]],TeamPassing2015[Column1],0)),""))</f>
        <v>255.9</v>
      </c>
      <c r="L34" s="14">
        <f>IFERROR(INDEX(TeamRushing2015[Yds/G],MATCH(defenses[[#This Row],[Opp]],TeamRushing2015[Team],0)),IFERROR(INDEX(TeamRushing2015[Yds/G],MATCH(defenses[[#This Row],[Opp]],TeamRushing2015[Column1],0)),""))</f>
        <v>97.9</v>
      </c>
      <c r="M34" s="14">
        <f>_xlfn.RANK.EQ(defenses[[#This Row],[Projection]],defenses[Projection],0)</f>
        <v>25</v>
      </c>
      <c r="N34" s="19">
        <f>AVERAGE(defenses[[#This Row],[DEFstats1]:[DEFstats3]])</f>
        <v>5.9</v>
      </c>
      <c r="O34" s="8">
        <f>_xlfn.RANK.EQ(defenses[[#This Row],[$/FP]],defenses[$/FP],1)</f>
        <v>21</v>
      </c>
      <c r="P34" s="125">
        <f>SUM(defenses[[#This Row],[Salary]]/defenses[[#This Row],[Projection]])</f>
        <v>423.72881355932202</v>
      </c>
      <c r="Q34" s="241">
        <f>_xlfn.RANK.EQ(defenses[[#This Row],[Average]],defenses[Average],1)</f>
        <v>25</v>
      </c>
      <c r="R34" s="241">
        <f>AVERAGE(defenses[[#This Row],[Proj Rank]],defenses[[#This Row],[Value Rank]])</f>
        <v>23</v>
      </c>
      <c r="S34" s="216">
        <f>defenses[[#This Row],[Salary]]/50000</f>
        <v>0.05</v>
      </c>
      <c r="T34" s="216"/>
      <c r="U34" s="19">
        <f>IFERROR(INDEX(DEFstats1[DraftKings (Projected points)],MATCH(defenses[[#This Row],[Name]],DEFstats1[Player],0)),"")</f>
        <v>5.8</v>
      </c>
      <c r="V34" s="19" t="str">
        <f>IFERROR(INDEX(DEFstats2[FP],MATCH(defenses[[#This Row],[Name]],DEFstats2[Team],0)),"")</f>
        <v>0</v>
      </c>
      <c r="W34" s="19">
        <f>IFERROR(INDEX(DEFstats3[Pts],MATCH(defenses[[#This Row],[Name]],DEFstats3[Name],0)),"")</f>
        <v>6</v>
      </c>
    </row>
    <row r="35" spans="1:23" x14ac:dyDescent="0.3">
      <c r="A35" s="37">
        <f>DEFstats1!AL24</f>
        <v>6.4</v>
      </c>
      <c r="B35" s="5" t="str">
        <f>DEFstats1!D24</f>
        <v>Atlanta Falcons</v>
      </c>
      <c r="C35" s="172">
        <f>IFERROR(INDEX(Salaries[DraftKings (Price)],MATCH(defenses[[#This Row],[Name]],Salaries[Player],0)),"")</f>
        <v>2400</v>
      </c>
      <c r="D35" s="172">
        <f>IFERROR(INDEX(DK_Salary_Changes[WeekChange],MATCH(defenses[[#This Row],[Name]],Salaries[Player],0)),"")</f>
        <v>0</v>
      </c>
      <c r="E35" s="515" t="str">
        <f>IFERROR(INDEX(Salaries[Team],MATCH(defenses[[#This Row],[Name]],Salaries[Player],0)),"")</f>
        <v>ATL</v>
      </c>
      <c r="F35" s="515" t="str">
        <f>IFERROR(INDEX(Salaries[Opp],MATCH(defenses[[#This Row],[Name]],Salaries[Player],0)),"")</f>
        <v>CAR</v>
      </c>
      <c r="G35" s="32">
        <f>IFERROR(INDEX(Salaries[O/U],MATCH(defenses[[#This Row],[Team]],Salaries[Team],0)),"")</f>
        <v>50</v>
      </c>
      <c r="H35" s="32">
        <f>IFERROR(INDEX(Salaries[Team O/U],MATCH(defenses[[#This Row],[Team]],Salaries[Team],0)),"")</f>
        <v>23.5</v>
      </c>
      <c r="I35" s="32">
        <f>IFERROR(INDEX(Salaries[Spread],MATCH(defenses[[#This Row],[Team]],Salaries[Team],0)),"")</f>
        <v>3</v>
      </c>
      <c r="J35" s="14">
        <f>IFERROR(INDEX(TeamOffense2015[Rank],MATCH(defenses[[#This Row],[Opp]],TeamOffense2015[Team],0)),IFERROR(INDEX(TeamOffense2015[Rank],MATCH(defenses[[#This Row],[Opp]],TeamOffense2015[Column1],0)),""))</f>
        <v>11</v>
      </c>
      <c r="K35" s="14">
        <f>IFERROR(INDEX(TeamPassing2015[Yds/G],MATCH(defenses[[#This Row],[Opp]],TeamPassing2015[Team],0)),IFERROR(INDEX(TeamPassing2015[Yds/G],MATCH(defenses[[#This Row],[Opp]],TeamPassing2015[Column1],0)),""))</f>
        <v>224.3</v>
      </c>
      <c r="L35" s="14">
        <f>IFERROR(INDEX(TeamRushing2015[Yds/G],MATCH(defenses[[#This Row],[Opp]],TeamRushing2015[Team],0)),IFERROR(INDEX(TeamRushing2015[Yds/G],MATCH(defenses[[#This Row],[Opp]],TeamRushing2015[Column1],0)),""))</f>
        <v>142.6</v>
      </c>
      <c r="M35" s="14">
        <f>_xlfn.RANK.EQ(defenses[[#This Row],[Projection]],defenses[Projection],0)</f>
        <v>26</v>
      </c>
      <c r="N35" s="19">
        <f>AVERAGE(defenses[[#This Row],[DEFstats1]:[DEFstats3]])</f>
        <v>5.85</v>
      </c>
      <c r="O35" s="8">
        <f>_xlfn.RANK.EQ(defenses[[#This Row],[$/FP]],defenses[$/FP],1)</f>
        <v>18</v>
      </c>
      <c r="P35" s="23">
        <f>SUM(defenses[[#This Row],[Salary]]/defenses[[#This Row],[Projection]])</f>
        <v>410.25641025641028</v>
      </c>
      <c r="Q35" s="241">
        <f>_xlfn.RANK.EQ(defenses[[#This Row],[Average]],defenses[Average],1)</f>
        <v>24</v>
      </c>
      <c r="R35" s="241">
        <f>AVERAGE(defenses[[#This Row],[Proj Rank]],defenses[[#This Row],[Value Rank]])</f>
        <v>22</v>
      </c>
      <c r="S35" s="216">
        <f>defenses[[#This Row],[Salary]]/50000</f>
        <v>4.8000000000000001E-2</v>
      </c>
      <c r="T35" s="216"/>
      <c r="U35" s="19">
        <f>IFERROR(INDEX(DEFstats1[DraftKings (Projected points)],MATCH(defenses[[#This Row],[Name]],DEFstats1[Player],0)),"")</f>
        <v>6.4</v>
      </c>
      <c r="V35" s="19" t="str">
        <f>IFERROR(INDEX(DEFstats2[FP],MATCH(defenses[[#This Row],[Name]],DEFstats2[Team],0)),"")</f>
        <v>0</v>
      </c>
      <c r="W35" s="19">
        <f>IFERROR(INDEX(DEFstats3[Pts],MATCH(defenses[[#This Row],[Name]],DEFstats3[Name],0)),"")</f>
        <v>5.3</v>
      </c>
    </row>
    <row r="36" spans="1:23" x14ac:dyDescent="0.3">
      <c r="A36" s="37">
        <f>DEFstats1!AL18</f>
        <v>6.6</v>
      </c>
      <c r="B36" s="5" t="str">
        <f>DEFstats1!D18</f>
        <v>Dallas Cowboys</v>
      </c>
      <c r="C36" s="172">
        <f>IFERROR(INDEX(Salaries[DraftKings (Price)],MATCH(defenses[[#This Row],[Name]],Salaries[Player],0)),"")</f>
        <v>2900</v>
      </c>
      <c r="D36" s="172">
        <f>IFERROR(INDEX(DK_Salary_Changes[WeekChange],MATCH(defenses[[#This Row],[Name]],Salaries[Player],0)),"")</f>
        <v>0</v>
      </c>
      <c r="E36" s="515" t="str">
        <f>IFERROR(INDEX(Salaries[Team],MATCH(defenses[[#This Row],[Name]],Salaries[Player],0)),"")</f>
        <v>DAL</v>
      </c>
      <c r="F36" s="515" t="str">
        <f>IFERROR(INDEX(Salaries[Opp],MATCH(defenses[[#This Row],[Name]],Salaries[Player],0)),"")</f>
        <v>@SF</v>
      </c>
      <c r="G36" s="32">
        <f>IFERROR(INDEX(Salaries[O/U],MATCH(defenses[[#This Row],[Team]],Salaries[Team],0)),"")</f>
        <v>46</v>
      </c>
      <c r="H36" s="32">
        <f>IFERROR(INDEX(Salaries[Team O/U],MATCH(defenses[[#This Row],[Team]],Salaries[Team],0)),"")</f>
        <v>24.5</v>
      </c>
      <c r="I36" s="32">
        <f>IFERROR(INDEX(Salaries[Spread],MATCH(defenses[[#This Row],[Team]],Salaries[Team],0)),"")</f>
        <v>-3</v>
      </c>
      <c r="J36" s="14">
        <f>IFERROR(INDEX(TeamOffense2015[Rank],MATCH(defenses[[#This Row],[Opp]],TeamOffense2015[Team],0)),IFERROR(INDEX(TeamOffense2015[Rank],MATCH(defenses[[#This Row],[Opp]],TeamOffense2015[Column1],0)),""))</f>
        <v>31</v>
      </c>
      <c r="K36" s="14">
        <f>IFERROR(INDEX(TeamPassing2015[Yds/G],MATCH(defenses[[#This Row],[Opp]],TeamPassing2015[Team],0)),IFERROR(INDEX(TeamPassing2015[Yds/G],MATCH(defenses[[#This Row],[Opp]],TeamPassing2015[Column1],0)),""))</f>
        <v>207.2</v>
      </c>
      <c r="L36" s="14">
        <f>IFERROR(INDEX(TeamRushing2015[Yds/G],MATCH(defenses[[#This Row],[Opp]],TeamRushing2015[Team],0)),IFERROR(INDEX(TeamRushing2015[Yds/G],MATCH(defenses[[#This Row],[Opp]],TeamRushing2015[Column1],0)),""))</f>
        <v>96.5</v>
      </c>
      <c r="M36" s="14">
        <f>_xlfn.RANK.EQ(defenses[[#This Row],[Projection]],defenses[Projection],0)</f>
        <v>27</v>
      </c>
      <c r="N36" s="19">
        <f>AVERAGE(defenses[[#This Row],[DEFstats1]:[DEFstats3]])</f>
        <v>5.8</v>
      </c>
      <c r="O36" s="8">
        <f>_xlfn.RANK.EQ(defenses[[#This Row],[$/FP]],defenses[$/FP],1)</f>
        <v>28</v>
      </c>
      <c r="P36" s="23">
        <f>SUM(defenses[[#This Row],[Salary]]/defenses[[#This Row],[Projection]])</f>
        <v>500</v>
      </c>
      <c r="Q36" s="241">
        <f>_xlfn.RANK.EQ(defenses[[#This Row],[Average]],defenses[Average],1)</f>
        <v>29</v>
      </c>
      <c r="R36" s="241">
        <f>AVERAGE(defenses[[#This Row],[Proj Rank]],defenses[[#This Row],[Value Rank]])</f>
        <v>27.5</v>
      </c>
      <c r="S36" s="216">
        <f>defenses[[#This Row],[Salary]]/50000</f>
        <v>5.8000000000000003E-2</v>
      </c>
      <c r="T36" s="216"/>
      <c r="U36" s="19">
        <f>IFERROR(INDEX(DEFstats1[DraftKings (Projected points)],MATCH(defenses[[#This Row],[Name]],DEFstats1[Player],0)),"")</f>
        <v>6.6</v>
      </c>
      <c r="V36" s="19" t="str">
        <f>IFERROR(INDEX(DEFstats2[FP],MATCH(defenses[[#This Row],[Name]],DEFstats2[Team],0)),"")</f>
        <v>0</v>
      </c>
      <c r="W36" s="19">
        <f>IFERROR(INDEX(DEFstats3[Pts],MATCH(defenses[[#This Row],[Name]],DEFstats3[Name],0)),"")</f>
        <v>5</v>
      </c>
    </row>
    <row r="37" spans="1:23" x14ac:dyDescent="0.3">
      <c r="A37" s="37">
        <f>DEFstats1!AL3</f>
        <v>6.1</v>
      </c>
      <c r="B37" s="5" t="str">
        <f>DEFstats1!D3</f>
        <v>Miami Dolphins</v>
      </c>
      <c r="C37" s="172">
        <f>IFERROR(INDEX(Salaries[DraftKings (Price)],MATCH(defenses[[#This Row],[Name]],Salaries[Player],0)),"")</f>
        <v>2700</v>
      </c>
      <c r="D37" s="172">
        <f>IFERROR(INDEX(DK_Salary_Changes[WeekChange],MATCH(defenses[[#This Row],[Name]],Salaries[Player],0)),"")</f>
        <v>0</v>
      </c>
      <c r="E37" s="515" t="str">
        <f>IFERROR(INDEX(Salaries[Team],MATCH(defenses[[#This Row],[Name]],Salaries[Player],0)),"")</f>
        <v>MIA</v>
      </c>
      <c r="F37" s="515" t="str">
        <f>IFERROR(INDEX(Salaries[Opp],MATCH(defenses[[#This Row],[Name]],Salaries[Player],0)),"")</f>
        <v>@CIN</v>
      </c>
      <c r="G37" s="32">
        <f>IFERROR(INDEX(Salaries[O/U],MATCH(defenses[[#This Row],[Team]],Salaries[Team],0)),"")</f>
        <v>44.5</v>
      </c>
      <c r="H37" s="32">
        <f>IFERROR(INDEX(Salaries[Team O/U],MATCH(defenses[[#This Row],[Team]],Salaries[Team],0)),"")</f>
        <v>18.75</v>
      </c>
      <c r="I37" s="32">
        <f>IFERROR(INDEX(Salaries[Spread],MATCH(defenses[[#This Row],[Team]],Salaries[Team],0)),"")</f>
        <v>7</v>
      </c>
      <c r="J37" s="14">
        <f>IFERROR(INDEX(TeamOffense2015[Rank],MATCH(defenses[[#This Row],[Opp]],TeamOffense2015[Team],0)),IFERROR(INDEX(TeamOffense2015[Rank],MATCH(defenses[[#This Row],[Opp]],TeamOffense2015[Column1],0)),""))</f>
        <v>15</v>
      </c>
      <c r="K37" s="14">
        <f>IFERROR(INDEX(TeamPassing2015[Yds/G],MATCH(defenses[[#This Row],[Opp]],TeamPassing2015[Team],0)),IFERROR(INDEX(TeamPassing2015[Yds/G],MATCH(defenses[[#This Row],[Opp]],TeamPassing2015[Column1],0)),""))</f>
        <v>245.2</v>
      </c>
      <c r="L37" s="14">
        <f>IFERROR(INDEX(TeamRushing2015[Yds/G],MATCH(defenses[[#This Row],[Opp]],TeamRushing2015[Team],0)),IFERROR(INDEX(TeamRushing2015[Yds/G],MATCH(defenses[[#This Row],[Opp]],TeamRushing2015[Column1],0)),""))</f>
        <v>112.8</v>
      </c>
      <c r="M37" s="14">
        <f>_xlfn.RANK.EQ(defenses[[#This Row],[Projection]],defenses[Projection],0)</f>
        <v>28</v>
      </c>
      <c r="N37" s="19">
        <f>AVERAGE(defenses[[#This Row],[DEFstats1]:[DEFstats3]])</f>
        <v>5.65</v>
      </c>
      <c r="O37" s="8">
        <f>_xlfn.RANK.EQ(defenses[[#This Row],[$/FP]],defenses[$/FP],1)</f>
        <v>26</v>
      </c>
      <c r="P37" s="125">
        <f>SUM(defenses[[#This Row],[Salary]]/defenses[[#This Row],[Projection]])</f>
        <v>477.87610619469024</v>
      </c>
      <c r="Q37" s="241">
        <f>_xlfn.RANK.EQ(defenses[[#This Row],[Average]],defenses[Average],1)</f>
        <v>28</v>
      </c>
      <c r="R37" s="241">
        <f>AVERAGE(defenses[[#This Row],[Proj Rank]],defenses[[#This Row],[Value Rank]])</f>
        <v>27</v>
      </c>
      <c r="S37" s="216">
        <f>defenses[[#This Row],[Salary]]/50000</f>
        <v>5.3999999999999999E-2</v>
      </c>
      <c r="T37" s="216"/>
      <c r="U37" s="19">
        <f>IFERROR(INDEX(DEFstats1[DraftKings (Projected points)],MATCH(defenses[[#This Row],[Name]],DEFstats1[Player],0)),"")</f>
        <v>6.1</v>
      </c>
      <c r="V37" s="19" t="str">
        <f>IFERROR(INDEX(DEFstats2[FP],MATCH(defenses[[#This Row],[Name]],DEFstats2[Team],0)),"")</f>
        <v>0</v>
      </c>
      <c r="W37" s="19">
        <f>IFERROR(INDEX(DEFstats3[Pts],MATCH(defenses[[#This Row],[Name]],DEFstats3[Name],0)),"")</f>
        <v>5.2</v>
      </c>
    </row>
    <row r="38" spans="1:23" x14ac:dyDescent="0.3">
      <c r="A38" s="37">
        <f>DEFstats1!AL20</f>
        <v>5.3</v>
      </c>
      <c r="B38" s="5" t="str">
        <f>DEFstats1!D20</f>
        <v>Chicago Bears</v>
      </c>
      <c r="C38" s="172">
        <f>IFERROR(INDEX(Salaries[DraftKings (Price)],MATCH(defenses[[#This Row],[Name]],Salaries[Player],0)),"")</f>
        <v>2500</v>
      </c>
      <c r="D38" s="172">
        <f>IFERROR(INDEX(DK_Salary_Changes[WeekChange],MATCH(defenses[[#This Row],[Name]],Salaries[Player],0)),"")</f>
        <v>0</v>
      </c>
      <c r="E38" s="515" t="str">
        <f>IFERROR(INDEX(Salaries[Team],MATCH(defenses[[#This Row],[Name]],Salaries[Player],0)),"")</f>
        <v>CHI</v>
      </c>
      <c r="F38" s="515" t="str">
        <f>IFERROR(INDEX(Salaries[Opp],MATCH(defenses[[#This Row],[Name]],Salaries[Player],0)),"")</f>
        <v>DET</v>
      </c>
      <c r="G38" s="32">
        <f>IFERROR(INDEX(Salaries[O/U],MATCH(defenses[[#This Row],[Team]],Salaries[Team],0)),"")</f>
        <v>46.5</v>
      </c>
      <c r="H38" s="32">
        <f>IFERROR(INDEX(Salaries[Team O/U],MATCH(defenses[[#This Row],[Team]],Salaries[Team],0)),"")</f>
        <v>21.75</v>
      </c>
      <c r="I38" s="32">
        <f>IFERROR(INDEX(Salaries[Spread],MATCH(defenses[[#This Row],[Team]],Salaries[Team],0)),"")</f>
        <v>3</v>
      </c>
      <c r="J38" s="14">
        <f>IFERROR(INDEX(TeamOffense2015[Rank],MATCH(defenses[[#This Row],[Opp]],TeamOffense2015[Team],0)),IFERROR(INDEX(TeamOffense2015[Rank],MATCH(defenses[[#This Row],[Opp]],TeamOffense2015[Column1],0)),""))</f>
        <v>20</v>
      </c>
      <c r="K38" s="14">
        <f>IFERROR(INDEX(TeamPassing2015[Yds/G],MATCH(defenses[[#This Row],[Opp]],TeamPassing2015[Team],0)),IFERROR(INDEX(TeamPassing2015[Yds/G],MATCH(defenses[[#This Row],[Opp]],TeamPassing2015[Column1],0)),""))</f>
        <v>263.2</v>
      </c>
      <c r="L38" s="14">
        <f>IFERROR(INDEX(TeamRushing2015[Yds/G],MATCH(defenses[[#This Row],[Opp]],TeamRushing2015[Team],0)),IFERROR(INDEX(TeamRushing2015[Yds/G],MATCH(defenses[[#This Row],[Opp]],TeamRushing2015[Column1],0)),""))</f>
        <v>83.4</v>
      </c>
      <c r="M38" s="14">
        <f>_xlfn.RANK.EQ(defenses[[#This Row],[Projection]],defenses[Projection],0)</f>
        <v>29</v>
      </c>
      <c r="N38" s="19">
        <f>AVERAGE(defenses[[#This Row],[DEFstats1]:[DEFstats3]])</f>
        <v>5.25</v>
      </c>
      <c r="O38" s="8">
        <f>_xlfn.RANK.EQ(defenses[[#This Row],[$/FP]],defenses[$/FP],1)</f>
        <v>24</v>
      </c>
      <c r="P38" s="23">
        <f>SUM(defenses[[#This Row],[Salary]]/defenses[[#This Row],[Projection]])</f>
        <v>476.1904761904762</v>
      </c>
      <c r="Q38" s="241">
        <f>_xlfn.RANK.EQ(defenses[[#This Row],[Average]],defenses[Average],1)</f>
        <v>27</v>
      </c>
      <c r="R38" s="241">
        <f>AVERAGE(defenses[[#This Row],[Proj Rank]],defenses[[#This Row],[Value Rank]])</f>
        <v>26.5</v>
      </c>
      <c r="S38" s="216">
        <f>defenses[[#This Row],[Salary]]/50000</f>
        <v>0.05</v>
      </c>
      <c r="T38" s="216"/>
      <c r="U38" s="19">
        <f>IFERROR(INDEX(DEFstats1[DraftKings (Projected points)],MATCH(defenses[[#This Row],[Name]],DEFstats1[Player],0)),"")</f>
        <v>5.3</v>
      </c>
      <c r="V38" s="19" t="str">
        <f>IFERROR(INDEX(DEFstats2[FP],MATCH(defenses[[#This Row],[Name]],DEFstats2[Team],0)),"")</f>
        <v>0</v>
      </c>
      <c r="W38" s="19">
        <f>IFERROR(INDEX(DEFstats3[Pts],MATCH(defenses[[#This Row],[Name]],DEFstats3[Name],0)),"")</f>
        <v>5.2</v>
      </c>
    </row>
    <row r="39" spans="1:23" x14ac:dyDescent="0.3">
      <c r="A39" s="131">
        <f>DEFstats1!AL27</f>
        <v>5.9</v>
      </c>
      <c r="B39" s="5" t="str">
        <f>DEFstats1!D27</f>
        <v>San Francisco 49ers</v>
      </c>
      <c r="C39" s="172">
        <f>IFERROR(INDEX(Salaries[DraftKings (Price)],MATCH(defenses[[#This Row],[Name]],Salaries[Player],0)),"")</f>
        <v>2600</v>
      </c>
      <c r="D39" s="172">
        <f>IFERROR(INDEX(DK_Salary_Changes[WeekChange],MATCH(defenses[[#This Row],[Name]],Salaries[Player],0)),"")</f>
        <v>0</v>
      </c>
      <c r="E39" s="515" t="str">
        <f>IFERROR(INDEX(Salaries[Team],MATCH(defenses[[#This Row],[Name]],Salaries[Player],0)),"")</f>
        <v>SF</v>
      </c>
      <c r="F39" s="515" t="str">
        <f>IFERROR(INDEX(Salaries[Opp],MATCH(defenses[[#This Row],[Name]],Salaries[Player],0)),"")</f>
        <v>DAL</v>
      </c>
      <c r="G39" s="32">
        <f>IFERROR(INDEX(Salaries[O/U],MATCH(defenses[[#This Row],[Team]],Salaries[Team],0)),"")</f>
        <v>46</v>
      </c>
      <c r="H39" s="32">
        <f>IFERROR(INDEX(Salaries[Team O/U],MATCH(defenses[[#This Row],[Team]],Salaries[Team],0)),"")</f>
        <v>21.5</v>
      </c>
      <c r="I39" s="32">
        <f>IFERROR(INDEX(Salaries[Spread],MATCH(defenses[[#This Row],[Team]],Salaries[Team],0)),"")</f>
        <v>3</v>
      </c>
      <c r="J39" s="14">
        <f>IFERROR(INDEX(TeamOffense2015[Rank],MATCH(defenses[[#This Row],[Opp]],TeamOffense2015[Team],0)),IFERROR(INDEX(TeamOffense2015[Rank],MATCH(defenses[[#This Row],[Opp]],TeamOffense2015[Column1],0)),""))</f>
        <v>22</v>
      </c>
      <c r="K39" s="14">
        <f>IFERROR(INDEX(TeamPassing2015[Yds/G],MATCH(defenses[[#This Row],[Opp]],TeamPassing2015[Team],0)),IFERROR(INDEX(TeamPassing2015[Yds/G],MATCH(defenses[[#This Row],[Opp]],TeamPassing2015[Column1],0)),""))</f>
        <v>216.9</v>
      </c>
      <c r="L39" s="14">
        <f>IFERROR(INDEX(TeamRushing2015[Yds/G],MATCH(defenses[[#This Row],[Opp]],TeamRushing2015[Team],0)),IFERROR(INDEX(TeamRushing2015[Yds/G],MATCH(defenses[[#This Row],[Opp]],TeamRushing2015[Column1],0)),""))</f>
        <v>118.1</v>
      </c>
      <c r="M39" s="14">
        <f>_xlfn.RANK.EQ(defenses[[#This Row],[Projection]],defenses[Projection],0)</f>
        <v>30</v>
      </c>
      <c r="N39" s="19">
        <f>AVERAGE(defenses[[#This Row],[DEFstats1]:[DEFstats3]])</f>
        <v>5.0999999999999996</v>
      </c>
      <c r="O39" s="8">
        <f>_xlfn.RANK.EQ(defenses[[#This Row],[$/FP]],defenses[$/FP],1)</f>
        <v>29</v>
      </c>
      <c r="P39" s="23">
        <f>SUM(defenses[[#This Row],[Salary]]/defenses[[#This Row],[Projection]])</f>
        <v>509.80392156862746</v>
      </c>
      <c r="Q39" s="241">
        <f>_xlfn.RANK.EQ(defenses[[#This Row],[Average]],defenses[Average],1)</f>
        <v>30</v>
      </c>
      <c r="R39" s="241">
        <f>AVERAGE(defenses[[#This Row],[Proj Rank]],defenses[[#This Row],[Value Rank]])</f>
        <v>29.5</v>
      </c>
      <c r="S39" s="216">
        <f>defenses[[#This Row],[Salary]]/50000</f>
        <v>5.1999999999999998E-2</v>
      </c>
      <c r="T39" s="216"/>
      <c r="U39" s="19">
        <f>IFERROR(INDEX(DEFstats1[DraftKings (Projected points)],MATCH(defenses[[#This Row],[Name]],DEFstats1[Player],0)),"")</f>
        <v>5.9</v>
      </c>
      <c r="V39" s="19" t="str">
        <f>IFERROR(INDEX(DEFstats2[FP],MATCH(defenses[[#This Row],[Name]],DEFstats2[Team],0)),"")</f>
        <v>0</v>
      </c>
      <c r="W39" s="19">
        <f>IFERROR(INDEX(DEFstats3[Pts],MATCH(defenses[[#This Row],[Name]],DEFstats3[Name],0)),"")</f>
        <v>4.3</v>
      </c>
    </row>
    <row r="40" spans="1:23" x14ac:dyDescent="0.3">
      <c r="A40" s="105"/>
      <c r="L40" s="261"/>
      <c r="M40" s="142" t="str">
        <f>IFERROR(INDEX(DEFstats3[Sacks],MATCH(defenses[[#This Row],[Name]],#REF!,0)),"")</f>
        <v/>
      </c>
      <c r="N40" s="142" t="str">
        <f>IFERROR(INDEX(DEFstats3[Safeties],MATCH(defenses[[#This Row],[Name]],#REF!,0)),"")</f>
        <v/>
      </c>
      <c r="O40" s="142" t="str">
        <f>IFERROR(INDEX(DEFstats3[INT],MATCH(defenses[[#This Row],[Name]],#REF!,0)),"")</f>
        <v/>
      </c>
      <c r="P40" s="142" t="str">
        <f>IFERROR(INDEX(DEFstats3[FR],MATCH(defenses[[#This Row],[Name]],#REF!,0)),"")</f>
        <v/>
      </c>
      <c r="Q40" s="142" t="str">
        <f>IFERROR(INDEX(DEFstats3[Def TD],MATCH(defenses[[#This Row],[Name]],#REF!,0)),"")</f>
        <v/>
      </c>
      <c r="R40" s="142" t="str">
        <f>IFERROR(INDEX(DEFstats3[0],MATCH(defenses[[#This Row],[Name]],#REF!,0)),"")</f>
        <v/>
      </c>
      <c r="S40" s="9"/>
    </row>
    <row r="41" spans="1:23" x14ac:dyDescent="0.3">
      <c r="L41" s="261"/>
      <c r="M41" s="142" t="str">
        <f>IFERROR(INDEX(DEFstats3[Sacks],MATCH(defenses[[#This Row],[Name]],#REF!,0)),"")</f>
        <v/>
      </c>
      <c r="N41" s="142" t="str">
        <f>IFERROR(INDEX(DEFstats3[Safeties],MATCH(defenses[[#This Row],[Name]],#REF!,0)),"")</f>
        <v/>
      </c>
      <c r="O41" s="142" t="str">
        <f>IFERROR(INDEX(DEFstats3[INT],MATCH(defenses[[#This Row],[Name]],#REF!,0)),"")</f>
        <v/>
      </c>
      <c r="P41" s="142" t="str">
        <f>IFERROR(INDEX(DEFstats3[FR],MATCH(defenses[[#This Row],[Name]],#REF!,0)),"")</f>
        <v/>
      </c>
      <c r="Q41" s="142" t="str">
        <f>IFERROR(INDEX(DEFstats3[Def TD],MATCH(defenses[[#This Row],[Name]],#REF!,0)),"")</f>
        <v/>
      </c>
      <c r="R41" s="142" t="str">
        <f>IFERROR(INDEX(DEFstats3[0],MATCH(defenses[[#This Row],[Name]],#REF!,0)),"")</f>
        <v/>
      </c>
      <c r="S41" s="9"/>
    </row>
    <row r="42" spans="1:23" x14ac:dyDescent="0.3">
      <c r="L42" s="261"/>
      <c r="M42" s="142" t="str">
        <f>IFERROR(INDEX(DEFstats3[Sacks],MATCH(defenses[[#This Row],[Name]],#REF!,0)),"")</f>
        <v/>
      </c>
      <c r="N42" s="142" t="str">
        <f>IFERROR(INDEX(DEFstats3[Safeties],MATCH(defenses[[#This Row],[Name]],#REF!,0)),"")</f>
        <v/>
      </c>
      <c r="O42" s="142" t="str">
        <f>IFERROR(INDEX(DEFstats3[INT],MATCH(defenses[[#This Row],[Name]],#REF!,0)),"")</f>
        <v/>
      </c>
      <c r="P42" s="142" t="str">
        <f>IFERROR(INDEX(DEFstats3[FR],MATCH(defenses[[#This Row],[Name]],#REF!,0)),"")</f>
        <v/>
      </c>
      <c r="Q42" s="142" t="str">
        <f>IFERROR(INDEX(DEFstats3[Def TD],MATCH(defenses[[#This Row],[Name]],#REF!,0)),"")</f>
        <v/>
      </c>
      <c r="R42" s="142" t="str">
        <f>IFERROR(INDEX(DEFstats3[0],MATCH(defenses[[#This Row],[Name]],#REF!,0)),"")</f>
        <v/>
      </c>
      <c r="S42" s="9"/>
    </row>
    <row r="43" spans="1:23" x14ac:dyDescent="0.3">
      <c r="L43" s="261"/>
      <c r="M43" s="142" t="str">
        <f>IFERROR(INDEX(DEFstats3[Sacks],MATCH(defenses[[#This Row],[Name]],#REF!,0)),"")</f>
        <v/>
      </c>
      <c r="N43" s="142" t="str">
        <f>IFERROR(INDEX(DEFstats3[Safeties],MATCH(defenses[[#This Row],[Name]],#REF!,0)),"")</f>
        <v/>
      </c>
      <c r="O43" s="142" t="str">
        <f>IFERROR(INDEX(DEFstats3[INT],MATCH(defenses[[#This Row],[Name]],#REF!,0)),"")</f>
        <v/>
      </c>
      <c r="P43" s="142" t="str">
        <f>IFERROR(INDEX(DEFstats3[FR],MATCH(defenses[[#This Row],[Name]],#REF!,0)),"")</f>
        <v/>
      </c>
      <c r="Q43" s="142" t="str">
        <f>IFERROR(INDEX(DEFstats3[Def TD],MATCH(defenses[[#This Row],[Name]],#REF!,0)),"")</f>
        <v/>
      </c>
      <c r="R43" s="142" t="str">
        <f>IFERROR(INDEX(DEFstats3[0],MATCH(defenses[[#This Row],[Name]],#REF!,0)),"")</f>
        <v/>
      </c>
      <c r="S43" s="9"/>
    </row>
    <row r="44" spans="1:23" x14ac:dyDescent="0.3">
      <c r="L44" s="261"/>
      <c r="M44" s="142" t="str">
        <f>IFERROR(INDEX(DEFstats3[Sacks],MATCH(defenses[[#This Row],[Name]],#REF!,0)),"")</f>
        <v/>
      </c>
      <c r="N44" s="142" t="str">
        <f>IFERROR(INDEX(DEFstats3[Safeties],MATCH(defenses[[#This Row],[Name]],#REF!,0)),"")</f>
        <v/>
      </c>
      <c r="O44" s="142" t="str">
        <f>IFERROR(INDEX(DEFstats3[INT],MATCH(defenses[[#This Row],[Name]],#REF!,0)),"")</f>
        <v/>
      </c>
      <c r="P44" s="142" t="str">
        <f>IFERROR(INDEX(DEFstats3[FR],MATCH(defenses[[#This Row],[Name]],#REF!,0)),"")</f>
        <v/>
      </c>
      <c r="Q44" s="142" t="str">
        <f>IFERROR(INDEX(DEFstats3[Def TD],MATCH(defenses[[#This Row],[Name]],#REF!,0)),"")</f>
        <v/>
      </c>
      <c r="R44" s="142" t="str">
        <f>IFERROR(INDEX(DEFstats3[0],MATCH(defenses[[#This Row],[Name]],#REF!,0)),"")</f>
        <v/>
      </c>
      <c r="S44" s="9"/>
    </row>
    <row r="45" spans="1:23" x14ac:dyDescent="0.3">
      <c r="L45" s="261"/>
      <c r="M45" s="142" t="str">
        <f>IFERROR(INDEX(DEFstats3[Sacks],MATCH(defenses[[#This Row],[Name]],#REF!,0)),"")</f>
        <v/>
      </c>
      <c r="N45" s="142" t="str">
        <f>IFERROR(INDEX(DEFstats3[Safeties],MATCH(defenses[[#This Row],[Name]],#REF!,0)),"")</f>
        <v/>
      </c>
      <c r="O45" s="142" t="str">
        <f>IFERROR(INDEX(DEFstats3[INT],MATCH(defenses[[#This Row],[Name]],#REF!,0)),"")</f>
        <v/>
      </c>
      <c r="P45" s="142" t="str">
        <f>IFERROR(INDEX(DEFstats3[FR],MATCH(defenses[[#This Row],[Name]],#REF!,0)),"")</f>
        <v/>
      </c>
      <c r="Q45" s="142" t="str">
        <f>IFERROR(INDEX(DEFstats3[Def TD],MATCH(defenses[[#This Row],[Name]],#REF!,0)),"")</f>
        <v/>
      </c>
      <c r="R45" s="142" t="str">
        <f>IFERROR(INDEX(DEFstats3[0],MATCH(defenses[[#This Row],[Name]],#REF!,0)),"")</f>
        <v/>
      </c>
      <c r="S45" s="9"/>
    </row>
    <row r="46" spans="1:23" x14ac:dyDescent="0.3">
      <c r="L46" s="261"/>
      <c r="M46" s="142" t="str">
        <f>IFERROR(INDEX(DEFstats3[Sacks],MATCH(defenses[[#This Row],[Name]],#REF!,0)),"")</f>
        <v/>
      </c>
      <c r="N46" s="142" t="str">
        <f>IFERROR(INDEX(DEFstats3[Safeties],MATCH(defenses[[#This Row],[Name]],#REF!,0)),"")</f>
        <v/>
      </c>
      <c r="O46" s="142" t="str">
        <f>IFERROR(INDEX(DEFstats3[INT],MATCH(defenses[[#This Row],[Name]],#REF!,0)),"")</f>
        <v/>
      </c>
      <c r="P46" s="142" t="str">
        <f>IFERROR(INDEX(DEFstats3[FR],MATCH(defenses[[#This Row],[Name]],#REF!,0)),"")</f>
        <v/>
      </c>
      <c r="Q46" s="142" t="str">
        <f>IFERROR(INDEX(DEFstats3[Def TD],MATCH(defenses[[#This Row],[Name]],#REF!,0)),"")</f>
        <v/>
      </c>
      <c r="R46" s="142" t="str">
        <f>IFERROR(INDEX(DEFstats3[0],MATCH(defenses[[#This Row],[Name]],#REF!,0)),"")</f>
        <v/>
      </c>
      <c r="S46" s="9"/>
    </row>
    <row r="47" spans="1:23" x14ac:dyDescent="0.3">
      <c r="L47" s="261"/>
      <c r="M47" s="142" t="str">
        <f>IFERROR(INDEX(DEFstats3[Sacks],MATCH(defenses[[#This Row],[Name]],#REF!,0)),"")</f>
        <v/>
      </c>
      <c r="N47" s="142" t="str">
        <f>IFERROR(INDEX(DEFstats3[Safeties],MATCH(defenses[[#This Row],[Name]],#REF!,0)),"")</f>
        <v/>
      </c>
      <c r="O47" s="142" t="str">
        <f>IFERROR(INDEX(DEFstats3[INT],MATCH(defenses[[#This Row],[Name]],#REF!,0)),"")</f>
        <v/>
      </c>
      <c r="P47" s="142" t="str">
        <f>IFERROR(INDEX(DEFstats3[FR],MATCH(defenses[[#This Row],[Name]],#REF!,0)),"")</f>
        <v/>
      </c>
      <c r="Q47" s="142" t="str">
        <f>IFERROR(INDEX(DEFstats3[Def TD],MATCH(defenses[[#This Row],[Name]],#REF!,0)),"")</f>
        <v/>
      </c>
      <c r="R47" s="142" t="str">
        <f>IFERROR(INDEX(DEFstats3[0],MATCH(defenses[[#This Row],[Name]],#REF!,0)),"")</f>
        <v/>
      </c>
      <c r="S47" s="9"/>
    </row>
    <row r="48" spans="1:23" x14ac:dyDescent="0.3">
      <c r="L48" s="261"/>
      <c r="M48" s="142" t="str">
        <f>IFERROR(INDEX(DEFstats3[Sacks],MATCH(defenses[[#This Row],[Name]],#REF!,0)),"")</f>
        <v/>
      </c>
      <c r="N48" s="142" t="str">
        <f>IFERROR(INDEX(DEFstats3[Safeties],MATCH(defenses[[#This Row],[Name]],#REF!,0)),"")</f>
        <v/>
      </c>
      <c r="O48" s="142" t="str">
        <f>IFERROR(INDEX(DEFstats3[INT],MATCH(defenses[[#This Row],[Name]],#REF!,0)),"")</f>
        <v/>
      </c>
      <c r="P48" s="142" t="str">
        <f>IFERROR(INDEX(DEFstats3[FR],MATCH(defenses[[#This Row],[Name]],#REF!,0)),"")</f>
        <v/>
      </c>
      <c r="Q48" s="142" t="str">
        <f>IFERROR(INDEX(DEFstats3[Def TD],MATCH(defenses[[#This Row],[Name]],#REF!,0)),"")</f>
        <v/>
      </c>
      <c r="R48" s="142" t="str">
        <f>IFERROR(INDEX(DEFstats3[0],MATCH(defenses[[#This Row],[Name]],#REF!,0)),"")</f>
        <v/>
      </c>
      <c r="S48" s="9"/>
    </row>
    <row r="49" spans="12:19" x14ac:dyDescent="0.3">
      <c r="L49" s="261"/>
      <c r="M49" s="142" t="str">
        <f>IFERROR(INDEX(DEFstats3[Sacks],MATCH(defenses[[#This Row],[Name]],#REF!,0)),"")</f>
        <v/>
      </c>
      <c r="N49" s="142" t="str">
        <f>IFERROR(INDEX(DEFstats3[Safeties],MATCH(defenses[[#This Row],[Name]],#REF!,0)),"")</f>
        <v/>
      </c>
      <c r="O49" s="142" t="str">
        <f>IFERROR(INDEX(DEFstats3[INT],MATCH(defenses[[#This Row],[Name]],#REF!,0)),"")</f>
        <v/>
      </c>
      <c r="P49" s="142" t="str">
        <f>IFERROR(INDEX(DEFstats3[FR],MATCH(defenses[[#This Row],[Name]],#REF!,0)),"")</f>
        <v/>
      </c>
      <c r="Q49" s="142" t="str">
        <f>IFERROR(INDEX(DEFstats3[Def TD],MATCH(defenses[[#This Row],[Name]],#REF!,0)),"")</f>
        <v/>
      </c>
      <c r="R49" s="142" t="str">
        <f>IFERROR(INDEX(DEFstats3[0],MATCH(defenses[[#This Row],[Name]],#REF!,0)),"")</f>
        <v/>
      </c>
      <c r="S49" s="9"/>
    </row>
    <row r="50" spans="12:19" x14ac:dyDescent="0.3">
      <c r="L50" s="261"/>
      <c r="M50" s="142" t="str">
        <f>IFERROR(INDEX(DEFstats3[Sacks],MATCH(defenses[[#This Row],[Name]],#REF!,0)),"")</f>
        <v/>
      </c>
      <c r="N50" s="142" t="str">
        <f>IFERROR(INDEX(DEFstats3[Safeties],MATCH(defenses[[#This Row],[Name]],#REF!,0)),"")</f>
        <v/>
      </c>
      <c r="O50" s="142" t="str">
        <f>IFERROR(INDEX(DEFstats3[INT],MATCH(defenses[[#This Row],[Name]],#REF!,0)),"")</f>
        <v/>
      </c>
      <c r="P50" s="142" t="str">
        <f>IFERROR(INDEX(DEFstats3[FR],MATCH(defenses[[#This Row],[Name]],#REF!,0)),"")</f>
        <v/>
      </c>
      <c r="Q50" s="142" t="str">
        <f>IFERROR(INDEX(DEFstats3[Def TD],MATCH(defenses[[#This Row],[Name]],#REF!,0)),"")</f>
        <v/>
      </c>
      <c r="R50" s="142" t="str">
        <f>IFERROR(INDEX(DEFstats3[0],MATCH(defenses[[#This Row],[Name]],#REF!,0)),"")</f>
        <v/>
      </c>
      <c r="S50" s="9"/>
    </row>
    <row r="51" spans="12:19" x14ac:dyDescent="0.3">
      <c r="L51" s="261"/>
      <c r="M51" s="142" t="str">
        <f>IFERROR(INDEX(DEFstats3[Sacks],MATCH(defenses[[#This Row],[Name]],#REF!,0)),"")</f>
        <v/>
      </c>
      <c r="N51" s="142" t="str">
        <f>IFERROR(INDEX(DEFstats3[Safeties],MATCH(defenses[[#This Row],[Name]],#REF!,0)),"")</f>
        <v/>
      </c>
      <c r="O51" s="142" t="str">
        <f>IFERROR(INDEX(DEFstats3[INT],MATCH(defenses[[#This Row],[Name]],#REF!,0)),"")</f>
        <v/>
      </c>
      <c r="P51" s="142" t="str">
        <f>IFERROR(INDEX(DEFstats3[FR],MATCH(defenses[[#This Row],[Name]],#REF!,0)),"")</f>
        <v/>
      </c>
      <c r="Q51" s="142" t="str">
        <f>IFERROR(INDEX(DEFstats3[Def TD],MATCH(defenses[[#This Row],[Name]],#REF!,0)),"")</f>
        <v/>
      </c>
      <c r="R51" s="142" t="str">
        <f>IFERROR(INDEX(DEFstats3[0],MATCH(defenses[[#This Row],[Name]],#REF!,0)),"")</f>
        <v/>
      </c>
      <c r="S51" s="9"/>
    </row>
    <row r="52" spans="12:19" x14ac:dyDescent="0.3">
      <c r="L52" s="261"/>
      <c r="M52" s="142" t="str">
        <f>IFERROR(INDEX(DEFstats3[Sacks],MATCH(defenses[[#This Row],[Name]],#REF!,0)),"")</f>
        <v/>
      </c>
      <c r="N52" s="142" t="str">
        <f>IFERROR(INDEX(DEFstats3[Safeties],MATCH(defenses[[#This Row],[Name]],#REF!,0)),"")</f>
        <v/>
      </c>
      <c r="O52" s="142" t="str">
        <f>IFERROR(INDEX(DEFstats3[INT],MATCH(defenses[[#This Row],[Name]],#REF!,0)),"")</f>
        <v/>
      </c>
      <c r="P52" s="142" t="str">
        <f>IFERROR(INDEX(DEFstats3[FR],MATCH(defenses[[#This Row],[Name]],#REF!,0)),"")</f>
        <v/>
      </c>
      <c r="Q52" s="142" t="str">
        <f>IFERROR(INDEX(DEFstats3[Def TD],MATCH(defenses[[#This Row],[Name]],#REF!,0)),"")</f>
        <v/>
      </c>
      <c r="R52" s="142" t="str">
        <f>IFERROR(INDEX(DEFstats3[0],MATCH(defenses[[#This Row],[Name]],#REF!,0)),"")</f>
        <v/>
      </c>
      <c r="S52" s="9"/>
    </row>
    <row r="53" spans="12:19" x14ac:dyDescent="0.3">
      <c r="L53" s="261"/>
      <c r="M53" s="142" t="str">
        <f>IFERROR(INDEX(DEFstats3[Sacks],MATCH(defenses[[#This Row],[Name]],#REF!,0)),"")</f>
        <v/>
      </c>
      <c r="N53" s="142" t="str">
        <f>IFERROR(INDEX(DEFstats3[Safeties],MATCH(defenses[[#This Row],[Name]],#REF!,0)),"")</f>
        <v/>
      </c>
      <c r="O53" s="142" t="str">
        <f>IFERROR(INDEX(DEFstats3[INT],MATCH(defenses[[#This Row],[Name]],#REF!,0)),"")</f>
        <v/>
      </c>
      <c r="P53" s="142" t="str">
        <f>IFERROR(INDEX(DEFstats3[FR],MATCH(defenses[[#This Row],[Name]],#REF!,0)),"")</f>
        <v/>
      </c>
      <c r="Q53" s="142" t="str">
        <f>IFERROR(INDEX(DEFstats3[Def TD],MATCH(defenses[[#This Row],[Name]],#REF!,0)),"")</f>
        <v/>
      </c>
      <c r="R53" s="142" t="str">
        <f>IFERROR(INDEX(DEFstats3[0],MATCH(defenses[[#This Row],[Name]],#REF!,0)),"")</f>
        <v/>
      </c>
      <c r="S53" s="9"/>
    </row>
    <row r="54" spans="12:19" x14ac:dyDescent="0.3">
      <c r="L54" s="261"/>
      <c r="M54" s="142" t="str">
        <f>IFERROR(INDEX(DEFstats3[Sacks],MATCH(defenses[[#This Row],[Name]],#REF!,0)),"")</f>
        <v/>
      </c>
      <c r="N54" s="142" t="str">
        <f>IFERROR(INDEX(DEFstats3[Safeties],MATCH(defenses[[#This Row],[Name]],#REF!,0)),"")</f>
        <v/>
      </c>
      <c r="O54" s="142" t="str">
        <f>IFERROR(INDEX(DEFstats3[INT],MATCH(defenses[[#This Row],[Name]],#REF!,0)),"")</f>
        <v/>
      </c>
      <c r="P54" s="142" t="str">
        <f>IFERROR(INDEX(DEFstats3[FR],MATCH(defenses[[#This Row],[Name]],#REF!,0)),"")</f>
        <v/>
      </c>
      <c r="Q54" s="142" t="str">
        <f>IFERROR(INDEX(DEFstats3[Def TD],MATCH(defenses[[#This Row],[Name]],#REF!,0)),"")</f>
        <v/>
      </c>
      <c r="R54" s="142" t="str">
        <f>IFERROR(INDEX(DEFstats3[0],MATCH(defenses[[#This Row],[Name]],#REF!,0)),"")</f>
        <v/>
      </c>
      <c r="S54" s="9"/>
    </row>
    <row r="55" spans="12:19" x14ac:dyDescent="0.3">
      <c r="L55" s="261"/>
      <c r="M55" s="142" t="str">
        <f>IFERROR(INDEX(DEFstats3[Sacks],MATCH(defenses[[#This Row],[Name]],#REF!,0)),"")</f>
        <v/>
      </c>
      <c r="N55" s="142" t="str">
        <f>IFERROR(INDEX(DEFstats3[Safeties],MATCH(defenses[[#This Row],[Name]],#REF!,0)),"")</f>
        <v/>
      </c>
      <c r="O55" s="142" t="str">
        <f>IFERROR(INDEX(DEFstats3[INT],MATCH(defenses[[#This Row],[Name]],#REF!,0)),"")</f>
        <v/>
      </c>
      <c r="P55" s="142" t="str">
        <f>IFERROR(INDEX(DEFstats3[FR],MATCH(defenses[[#This Row],[Name]],#REF!,0)),"")</f>
        <v/>
      </c>
      <c r="Q55" s="142" t="str">
        <f>IFERROR(INDEX(DEFstats3[Def TD],MATCH(defenses[[#This Row],[Name]],#REF!,0)),"")</f>
        <v/>
      </c>
      <c r="R55" s="142" t="str">
        <f>IFERROR(INDEX(DEFstats3[0],MATCH(defenses[[#This Row],[Name]],#REF!,0)),"")</f>
        <v/>
      </c>
      <c r="S55" s="9"/>
    </row>
    <row r="56" spans="12:19" x14ac:dyDescent="0.3">
      <c r="L56" s="261"/>
      <c r="M56" s="142" t="str">
        <f>IFERROR(INDEX(DEFstats3[Sacks],MATCH(defenses[[#This Row],[Name]],#REF!,0)),"")</f>
        <v/>
      </c>
      <c r="N56" s="142" t="str">
        <f>IFERROR(INDEX(DEFstats3[Safeties],MATCH(defenses[[#This Row],[Name]],#REF!,0)),"")</f>
        <v/>
      </c>
      <c r="O56" s="142" t="str">
        <f>IFERROR(INDEX(DEFstats3[INT],MATCH(defenses[[#This Row],[Name]],#REF!,0)),"")</f>
        <v/>
      </c>
      <c r="P56" s="142" t="str">
        <f>IFERROR(INDEX(DEFstats3[FR],MATCH(defenses[[#This Row],[Name]],#REF!,0)),"")</f>
        <v/>
      </c>
      <c r="Q56" s="142" t="str">
        <f>IFERROR(INDEX(DEFstats3[Def TD],MATCH(defenses[[#This Row],[Name]],#REF!,0)),"")</f>
        <v/>
      </c>
      <c r="R56" s="142" t="str">
        <f>IFERROR(INDEX(DEFstats3[0],MATCH(defenses[[#This Row],[Name]],#REF!,0)),"")</f>
        <v/>
      </c>
      <c r="S56" s="9"/>
    </row>
    <row r="57" spans="12:19" x14ac:dyDescent="0.3">
      <c r="L57" s="261"/>
      <c r="M57" s="142" t="str">
        <f>IFERROR(INDEX(DEFstats3[Sacks],MATCH(defenses[[#This Row],[Name]],#REF!,0)),"")</f>
        <v/>
      </c>
      <c r="N57" s="142" t="str">
        <f>IFERROR(INDEX(DEFstats3[Safeties],MATCH(defenses[[#This Row],[Name]],#REF!,0)),"")</f>
        <v/>
      </c>
      <c r="O57" s="142" t="str">
        <f>IFERROR(INDEX(DEFstats3[INT],MATCH(defenses[[#This Row],[Name]],#REF!,0)),"")</f>
        <v/>
      </c>
      <c r="P57" s="142" t="str">
        <f>IFERROR(INDEX(DEFstats3[FR],MATCH(defenses[[#This Row],[Name]],#REF!,0)),"")</f>
        <v/>
      </c>
      <c r="Q57" s="142" t="str">
        <f>IFERROR(INDEX(DEFstats3[Def TD],MATCH(defenses[[#This Row],[Name]],#REF!,0)),"")</f>
        <v/>
      </c>
      <c r="R57" s="142" t="str">
        <f>IFERROR(INDEX(DEFstats3[0],MATCH(defenses[[#This Row],[Name]],#REF!,0)),"")</f>
        <v/>
      </c>
      <c r="S57" s="9"/>
    </row>
    <row r="58" spans="12:19" x14ac:dyDescent="0.3">
      <c r="L58" s="261"/>
      <c r="M58" s="142" t="str">
        <f>IFERROR(INDEX(DEFstats3[Sacks],MATCH(defenses[[#This Row],[Name]],#REF!,0)),"")</f>
        <v/>
      </c>
      <c r="N58" s="142" t="str">
        <f>IFERROR(INDEX(DEFstats3[Safeties],MATCH(defenses[[#This Row],[Name]],#REF!,0)),"")</f>
        <v/>
      </c>
      <c r="O58" s="142" t="str">
        <f>IFERROR(INDEX(DEFstats3[INT],MATCH(defenses[[#This Row],[Name]],#REF!,0)),"")</f>
        <v/>
      </c>
      <c r="P58" s="142" t="str">
        <f>IFERROR(INDEX(DEFstats3[FR],MATCH(defenses[[#This Row],[Name]],#REF!,0)),"")</f>
        <v/>
      </c>
      <c r="Q58" s="142" t="str">
        <f>IFERROR(INDEX(DEFstats3[Def TD],MATCH(defenses[[#This Row],[Name]],#REF!,0)),"")</f>
        <v/>
      </c>
      <c r="R58" s="142" t="str">
        <f>IFERROR(INDEX(DEFstats3[0],MATCH(defenses[[#This Row],[Name]],#REF!,0)),"")</f>
        <v/>
      </c>
      <c r="S58" s="9"/>
    </row>
    <row r="59" spans="12:19" x14ac:dyDescent="0.3">
      <c r="L59" s="261"/>
      <c r="M59" s="142" t="str">
        <f>IFERROR(INDEX(DEFstats3[Sacks],MATCH(defenses[[#This Row],[Name]],#REF!,0)),"")</f>
        <v/>
      </c>
      <c r="N59" s="142" t="str">
        <f>IFERROR(INDEX(DEFstats3[Safeties],MATCH(defenses[[#This Row],[Name]],#REF!,0)),"")</f>
        <v/>
      </c>
      <c r="O59" s="142" t="str">
        <f>IFERROR(INDEX(DEFstats3[INT],MATCH(defenses[[#This Row],[Name]],#REF!,0)),"")</f>
        <v/>
      </c>
      <c r="P59" s="142" t="str">
        <f>IFERROR(INDEX(DEFstats3[FR],MATCH(defenses[[#This Row],[Name]],#REF!,0)),"")</f>
        <v/>
      </c>
      <c r="Q59" s="142" t="str">
        <f>IFERROR(INDEX(DEFstats3[Def TD],MATCH(defenses[[#This Row],[Name]],#REF!,0)),"")</f>
        <v/>
      </c>
      <c r="R59" s="142" t="str">
        <f>IFERROR(INDEX(DEFstats3[0],MATCH(defenses[[#This Row],[Name]],#REF!,0)),"")</f>
        <v/>
      </c>
      <c r="S59" s="9"/>
    </row>
    <row r="60" spans="12:19" x14ac:dyDescent="0.3">
      <c r="L60" s="261"/>
      <c r="M60" s="142" t="str">
        <f>IFERROR(INDEX(DEFstats3[Sacks],MATCH(defenses[[#This Row],[Name]],#REF!,0)),"")</f>
        <v/>
      </c>
      <c r="N60" s="142" t="str">
        <f>IFERROR(INDEX(DEFstats3[Safeties],MATCH(defenses[[#This Row],[Name]],#REF!,0)),"")</f>
        <v/>
      </c>
      <c r="O60" s="142" t="str">
        <f>IFERROR(INDEX(DEFstats3[INT],MATCH(defenses[[#This Row],[Name]],#REF!,0)),"")</f>
        <v/>
      </c>
      <c r="P60" s="142" t="str">
        <f>IFERROR(INDEX(DEFstats3[FR],MATCH(defenses[[#This Row],[Name]],#REF!,0)),"")</f>
        <v/>
      </c>
      <c r="Q60" s="142" t="str">
        <f>IFERROR(INDEX(DEFstats3[Def TD],MATCH(defenses[[#This Row],[Name]],#REF!,0)),"")</f>
        <v/>
      </c>
      <c r="R60" s="142" t="str">
        <f>IFERROR(INDEX(DEFstats3[0],MATCH(defenses[[#This Row],[Name]],#REF!,0)),"")</f>
        <v/>
      </c>
      <c r="S60" s="9"/>
    </row>
    <row r="61" spans="12:19" x14ac:dyDescent="0.3">
      <c r="L61" s="261"/>
      <c r="M61" s="142" t="str">
        <f>IFERROR(INDEX(DEFstats3[Sacks],MATCH(defenses[[#This Row],[Name]],#REF!,0)),"")</f>
        <v/>
      </c>
      <c r="N61" s="142" t="str">
        <f>IFERROR(INDEX(DEFstats3[Safeties],MATCH(defenses[[#This Row],[Name]],#REF!,0)),"")</f>
        <v/>
      </c>
      <c r="O61" s="142" t="str">
        <f>IFERROR(INDEX(DEFstats3[INT],MATCH(defenses[[#This Row],[Name]],#REF!,0)),"")</f>
        <v/>
      </c>
      <c r="P61" s="142" t="str">
        <f>IFERROR(INDEX(DEFstats3[FR],MATCH(defenses[[#This Row],[Name]],#REF!,0)),"")</f>
        <v/>
      </c>
      <c r="Q61" s="142" t="str">
        <f>IFERROR(INDEX(DEFstats3[Def TD],MATCH(defenses[[#This Row],[Name]],#REF!,0)),"")</f>
        <v/>
      </c>
      <c r="R61" s="142" t="str">
        <f>IFERROR(INDEX(DEFstats3[0],MATCH(defenses[[#This Row],[Name]],#REF!,0)),"")</f>
        <v/>
      </c>
      <c r="S61" s="9"/>
    </row>
    <row r="62" spans="12:19" x14ac:dyDescent="0.3">
      <c r="L62" s="261"/>
      <c r="M62" s="142" t="str">
        <f>IFERROR(INDEX(DEFstats3[Sacks],MATCH(defenses[[#This Row],[Name]],#REF!,0)),"")</f>
        <v/>
      </c>
      <c r="N62" s="142" t="str">
        <f>IFERROR(INDEX(DEFstats3[Safeties],MATCH(defenses[[#This Row],[Name]],#REF!,0)),"")</f>
        <v/>
      </c>
      <c r="O62" s="142" t="str">
        <f>IFERROR(INDEX(DEFstats3[INT],MATCH(defenses[[#This Row],[Name]],#REF!,0)),"")</f>
        <v/>
      </c>
      <c r="P62" s="142" t="str">
        <f>IFERROR(INDEX(DEFstats3[FR],MATCH(defenses[[#This Row],[Name]],#REF!,0)),"")</f>
        <v/>
      </c>
      <c r="Q62" s="142" t="str">
        <f>IFERROR(INDEX(DEFstats3[Def TD],MATCH(defenses[[#This Row],[Name]],#REF!,0)),"")</f>
        <v/>
      </c>
      <c r="R62" s="142" t="str">
        <f>IFERROR(INDEX(DEFstats3[0],MATCH(defenses[[#This Row],[Name]],#REF!,0)),"")</f>
        <v/>
      </c>
      <c r="S62" s="9"/>
    </row>
    <row r="63" spans="12:19" x14ac:dyDescent="0.3">
      <c r="L63" s="261"/>
      <c r="M63" s="142" t="str">
        <f>IFERROR(INDEX(DEFstats3[Sacks],MATCH(defenses[[#This Row],[Name]],#REF!,0)),"")</f>
        <v/>
      </c>
      <c r="N63" s="142" t="str">
        <f>IFERROR(INDEX(DEFstats3[Safeties],MATCH(defenses[[#This Row],[Name]],#REF!,0)),"")</f>
        <v/>
      </c>
      <c r="O63" s="142" t="str">
        <f>IFERROR(INDEX(DEFstats3[INT],MATCH(defenses[[#This Row],[Name]],#REF!,0)),"")</f>
        <v/>
      </c>
      <c r="P63" s="142" t="str">
        <f>IFERROR(INDEX(DEFstats3[FR],MATCH(defenses[[#This Row],[Name]],#REF!,0)),"")</f>
        <v/>
      </c>
      <c r="Q63" s="142" t="str">
        <f>IFERROR(INDEX(DEFstats3[Def TD],MATCH(defenses[[#This Row],[Name]],#REF!,0)),"")</f>
        <v/>
      </c>
      <c r="R63" s="142" t="str">
        <f>IFERROR(INDEX(DEFstats3[0],MATCH(defenses[[#This Row],[Name]],#REF!,0)),"")</f>
        <v/>
      </c>
      <c r="S63" s="9"/>
    </row>
    <row r="64" spans="12:19" x14ac:dyDescent="0.3">
      <c r="L64" s="261"/>
      <c r="M64" s="142" t="str">
        <f>IFERROR(INDEX(DEFstats3[Sacks],MATCH(defenses[[#This Row],[Name]],#REF!,0)),"")</f>
        <v/>
      </c>
      <c r="N64" s="142" t="str">
        <f>IFERROR(INDEX(DEFstats3[Safeties],MATCH(defenses[[#This Row],[Name]],#REF!,0)),"")</f>
        <v/>
      </c>
      <c r="O64" s="142" t="str">
        <f>IFERROR(INDEX(DEFstats3[INT],MATCH(defenses[[#This Row],[Name]],#REF!,0)),"")</f>
        <v/>
      </c>
      <c r="P64" s="142" t="str">
        <f>IFERROR(INDEX(DEFstats3[FR],MATCH(defenses[[#This Row],[Name]],#REF!,0)),"")</f>
        <v/>
      </c>
      <c r="Q64" s="142" t="str">
        <f>IFERROR(INDEX(DEFstats3[Def TD],MATCH(defenses[[#This Row],[Name]],#REF!,0)),"")</f>
        <v/>
      </c>
      <c r="R64" s="142" t="str">
        <f>IFERROR(INDEX(DEFstats3[0],MATCH(defenses[[#This Row],[Name]],#REF!,0)),"")</f>
        <v/>
      </c>
      <c r="S64" s="9"/>
    </row>
    <row r="65" spans="12:19" x14ac:dyDescent="0.3">
      <c r="L65" s="261"/>
      <c r="M65" s="142" t="str">
        <f>IFERROR(INDEX(DEFstats3[Sacks],MATCH(defenses[[#This Row],[Name]],#REF!,0)),"")</f>
        <v/>
      </c>
      <c r="N65" s="142" t="str">
        <f>IFERROR(INDEX(DEFstats3[Safeties],MATCH(defenses[[#This Row],[Name]],#REF!,0)),"")</f>
        <v/>
      </c>
      <c r="O65" s="142" t="str">
        <f>IFERROR(INDEX(DEFstats3[INT],MATCH(defenses[[#This Row],[Name]],#REF!,0)),"")</f>
        <v/>
      </c>
      <c r="P65" s="142" t="str">
        <f>IFERROR(INDEX(DEFstats3[FR],MATCH(defenses[[#This Row],[Name]],#REF!,0)),"")</f>
        <v/>
      </c>
      <c r="Q65" s="142" t="str">
        <f>IFERROR(INDEX(DEFstats3[Def TD],MATCH(defenses[[#This Row],[Name]],#REF!,0)),"")</f>
        <v/>
      </c>
      <c r="R65" s="142" t="str">
        <f>IFERROR(INDEX(DEFstats3[0],MATCH(defenses[[#This Row],[Name]],#REF!,0)),"")</f>
        <v/>
      </c>
      <c r="S65" s="9"/>
    </row>
    <row r="66" spans="12:19" x14ac:dyDescent="0.3">
      <c r="L66" s="261"/>
      <c r="M66" s="142" t="str">
        <f>IFERROR(INDEX(DEFstats3[Sacks],MATCH(defenses[[#This Row],[Name]],#REF!,0)),"")</f>
        <v/>
      </c>
      <c r="N66" s="142" t="str">
        <f>IFERROR(INDEX(DEFstats3[Safeties],MATCH(defenses[[#This Row],[Name]],#REF!,0)),"")</f>
        <v/>
      </c>
      <c r="O66" s="142" t="str">
        <f>IFERROR(INDEX(DEFstats3[INT],MATCH(defenses[[#This Row],[Name]],#REF!,0)),"")</f>
        <v/>
      </c>
      <c r="P66" s="142" t="str">
        <f>IFERROR(INDEX(DEFstats3[FR],MATCH(defenses[[#This Row],[Name]],#REF!,0)),"")</f>
        <v/>
      </c>
      <c r="Q66" s="142" t="str">
        <f>IFERROR(INDEX(DEFstats3[Def TD],MATCH(defenses[[#This Row],[Name]],#REF!,0)),"")</f>
        <v/>
      </c>
      <c r="R66" s="142" t="str">
        <f>IFERROR(INDEX(DEFstats3[0],MATCH(defenses[[#This Row],[Name]],#REF!,0)),"")</f>
        <v/>
      </c>
      <c r="S66" s="9"/>
    </row>
    <row r="67" spans="12:19" x14ac:dyDescent="0.3">
      <c r="L67" s="261"/>
      <c r="M67" s="142" t="str">
        <f>IFERROR(INDEX(DEFstats3[Sacks],MATCH(defenses[[#This Row],[Name]],#REF!,0)),"")</f>
        <v/>
      </c>
      <c r="N67" s="142" t="str">
        <f>IFERROR(INDEX(DEFstats3[Safeties],MATCH(defenses[[#This Row],[Name]],#REF!,0)),"")</f>
        <v/>
      </c>
      <c r="O67" s="142" t="str">
        <f>IFERROR(INDEX(DEFstats3[INT],MATCH(defenses[[#This Row],[Name]],#REF!,0)),"")</f>
        <v/>
      </c>
      <c r="P67" s="142" t="str">
        <f>IFERROR(INDEX(DEFstats3[FR],MATCH(defenses[[#This Row],[Name]],#REF!,0)),"")</f>
        <v/>
      </c>
      <c r="Q67" s="142" t="str">
        <f>IFERROR(INDEX(DEFstats3[Def TD],MATCH(defenses[[#This Row],[Name]],#REF!,0)),"")</f>
        <v/>
      </c>
      <c r="R67" s="142" t="str">
        <f>IFERROR(INDEX(DEFstats3[0],MATCH(defenses[[#This Row],[Name]],#REF!,0)),"")</f>
        <v/>
      </c>
      <c r="S67" s="9"/>
    </row>
    <row r="68" spans="12:19" x14ac:dyDescent="0.3">
      <c r="L68" s="261"/>
      <c r="M68" s="142" t="str">
        <f>IFERROR(INDEX(DEFstats3[Sacks],MATCH(defenses[[#This Row],[Name]],#REF!,0)),"")</f>
        <v/>
      </c>
      <c r="N68" s="142" t="str">
        <f>IFERROR(INDEX(DEFstats3[Safeties],MATCH(defenses[[#This Row],[Name]],#REF!,0)),"")</f>
        <v/>
      </c>
      <c r="O68" s="142" t="str">
        <f>IFERROR(INDEX(DEFstats3[INT],MATCH(defenses[[#This Row],[Name]],#REF!,0)),"")</f>
        <v/>
      </c>
      <c r="P68" s="142" t="str">
        <f>IFERROR(INDEX(DEFstats3[FR],MATCH(defenses[[#This Row],[Name]],#REF!,0)),"")</f>
        <v/>
      </c>
      <c r="Q68" s="142" t="str">
        <f>IFERROR(INDEX(DEFstats3[Def TD],MATCH(defenses[[#This Row],[Name]],#REF!,0)),"")</f>
        <v/>
      </c>
      <c r="R68" s="142" t="str">
        <f>IFERROR(INDEX(DEFstats3[0],MATCH(defenses[[#This Row],[Name]],#REF!,0)),"")</f>
        <v/>
      </c>
      <c r="S68" s="9"/>
    </row>
    <row r="69" spans="12:19" x14ac:dyDescent="0.3">
      <c r="L69" s="261"/>
      <c r="M69" s="142" t="str">
        <f>IFERROR(INDEX(DEFstats3[Sacks],MATCH(defenses[[#This Row],[Name]],#REF!,0)),"")</f>
        <v/>
      </c>
      <c r="N69" s="142" t="str">
        <f>IFERROR(INDEX(DEFstats3[Safeties],MATCH(defenses[[#This Row],[Name]],#REF!,0)),"")</f>
        <v/>
      </c>
      <c r="O69" s="142" t="str">
        <f>IFERROR(INDEX(DEFstats3[INT],MATCH(defenses[[#This Row],[Name]],#REF!,0)),"")</f>
        <v/>
      </c>
      <c r="P69" s="142" t="str">
        <f>IFERROR(INDEX(DEFstats3[FR],MATCH(defenses[[#This Row],[Name]],#REF!,0)),"")</f>
        <v/>
      </c>
      <c r="Q69" s="142" t="str">
        <f>IFERROR(INDEX(DEFstats3[Def TD],MATCH(defenses[[#This Row],[Name]],#REF!,0)),"")</f>
        <v/>
      </c>
      <c r="R69" s="142" t="str">
        <f>IFERROR(INDEX(DEFstats3[0],MATCH(defenses[[#This Row],[Name]],#REF!,0)),"")</f>
        <v/>
      </c>
      <c r="S69" s="9"/>
    </row>
    <row r="70" spans="12:19" x14ac:dyDescent="0.3">
      <c r="L70" s="261"/>
      <c r="M70" s="142" t="str">
        <f>IFERROR(INDEX(DEFstats3[Sacks],MATCH(defenses[[#This Row],[Name]],#REF!,0)),"")</f>
        <v/>
      </c>
      <c r="N70" s="142" t="str">
        <f>IFERROR(INDEX(DEFstats3[Safeties],MATCH(defenses[[#This Row],[Name]],#REF!,0)),"")</f>
        <v/>
      </c>
      <c r="O70" s="142" t="str">
        <f>IFERROR(INDEX(DEFstats3[INT],MATCH(defenses[[#This Row],[Name]],#REF!,0)),"")</f>
        <v/>
      </c>
      <c r="P70" s="142" t="str">
        <f>IFERROR(INDEX(DEFstats3[FR],MATCH(defenses[[#This Row],[Name]],#REF!,0)),"")</f>
        <v/>
      </c>
      <c r="Q70" s="142" t="str">
        <f>IFERROR(INDEX(DEFstats3[Def TD],MATCH(defenses[[#This Row],[Name]],#REF!,0)),"")</f>
        <v/>
      </c>
      <c r="R70" s="142" t="str">
        <f>IFERROR(INDEX(DEFstats3[0],MATCH(defenses[[#This Row],[Name]],#REF!,0)),"")</f>
        <v/>
      </c>
      <c r="S70" s="9"/>
    </row>
    <row r="71" spans="12:19" x14ac:dyDescent="0.3">
      <c r="L71" s="261"/>
      <c r="M71" s="142" t="str">
        <f>IFERROR(INDEX(DEFstats3[Sacks],MATCH(defenses[[#This Row],[Name]],#REF!,0)),"")</f>
        <v/>
      </c>
      <c r="N71" s="142" t="str">
        <f>IFERROR(INDEX(DEFstats3[Safeties],MATCH(defenses[[#This Row],[Name]],#REF!,0)),"")</f>
        <v/>
      </c>
      <c r="O71" s="142" t="str">
        <f>IFERROR(INDEX(DEFstats3[INT],MATCH(defenses[[#This Row],[Name]],#REF!,0)),"")</f>
        <v/>
      </c>
      <c r="P71" s="142" t="str">
        <f>IFERROR(INDEX(DEFstats3[FR],MATCH(defenses[[#This Row],[Name]],#REF!,0)),"")</f>
        <v/>
      </c>
      <c r="Q71" s="142" t="str">
        <f>IFERROR(INDEX(DEFstats3[Def TD],MATCH(defenses[[#This Row],[Name]],#REF!,0)),"")</f>
        <v/>
      </c>
      <c r="R71" s="142" t="str">
        <f>IFERROR(INDEX(DEFstats3[0],MATCH(defenses[[#This Row],[Name]],#REF!,0)),"")</f>
        <v/>
      </c>
      <c r="S71" s="9"/>
    </row>
    <row r="72" spans="12:19" x14ac:dyDescent="0.3">
      <c r="L72" s="261"/>
      <c r="M72" s="142" t="str">
        <f>IFERROR(INDEX(DEFstats3[Sacks],MATCH(defenses[[#This Row],[Name]],#REF!,0)),"")</f>
        <v/>
      </c>
      <c r="N72" s="142" t="str">
        <f>IFERROR(INDEX(DEFstats3[Safeties],MATCH(defenses[[#This Row],[Name]],#REF!,0)),"")</f>
        <v/>
      </c>
      <c r="O72" s="142" t="str">
        <f>IFERROR(INDEX(DEFstats3[INT],MATCH(defenses[[#This Row],[Name]],#REF!,0)),"")</f>
        <v/>
      </c>
      <c r="P72" s="142" t="str">
        <f>IFERROR(INDEX(DEFstats3[FR],MATCH(defenses[[#This Row],[Name]],#REF!,0)),"")</f>
        <v/>
      </c>
      <c r="Q72" s="142" t="str">
        <f>IFERROR(INDEX(DEFstats3[Def TD],MATCH(defenses[[#This Row],[Name]],#REF!,0)),"")</f>
        <v/>
      </c>
      <c r="R72" s="142" t="str">
        <f>IFERROR(INDEX(DEFstats3[0],MATCH(defenses[[#This Row],[Name]],#REF!,0)),"")</f>
        <v/>
      </c>
      <c r="S72" s="9"/>
    </row>
    <row r="73" spans="12:19" x14ac:dyDescent="0.3">
      <c r="L73" s="261"/>
      <c r="M73" s="142" t="str">
        <f>IFERROR(INDEX(DEFstats3[Sacks],MATCH(defenses[[#This Row],[Name]],#REF!,0)),"")</f>
        <v/>
      </c>
      <c r="N73" s="142" t="str">
        <f>IFERROR(INDEX(DEFstats3[Safeties],MATCH(defenses[[#This Row],[Name]],#REF!,0)),"")</f>
        <v/>
      </c>
      <c r="O73" s="142" t="str">
        <f>IFERROR(INDEX(DEFstats3[INT],MATCH(defenses[[#This Row],[Name]],#REF!,0)),"")</f>
        <v/>
      </c>
      <c r="P73" s="142" t="str">
        <f>IFERROR(INDEX(DEFstats3[FR],MATCH(defenses[[#This Row],[Name]],#REF!,0)),"")</f>
        <v/>
      </c>
      <c r="Q73" s="142" t="str">
        <f>IFERROR(INDEX(DEFstats3[Def TD],MATCH(defenses[[#This Row],[Name]],#REF!,0)),"")</f>
        <v/>
      </c>
      <c r="R73" s="142" t="str">
        <f>IFERROR(INDEX(DEFstats3[0],MATCH(defenses[[#This Row],[Name]],#REF!,0)),"")</f>
        <v/>
      </c>
      <c r="S73" s="9"/>
    </row>
    <row r="74" spans="12:19" x14ac:dyDescent="0.3">
      <c r="L74" s="261"/>
      <c r="M74" s="142" t="str">
        <f>IFERROR(INDEX(DEFstats3[Sacks],MATCH(defenses[[#This Row],[Name]],#REF!,0)),"")</f>
        <v/>
      </c>
      <c r="N74" s="142" t="str">
        <f>IFERROR(INDEX(DEFstats3[Safeties],MATCH(defenses[[#This Row],[Name]],#REF!,0)),"")</f>
        <v/>
      </c>
      <c r="O74" s="142" t="str">
        <f>IFERROR(INDEX(DEFstats3[INT],MATCH(defenses[[#This Row],[Name]],#REF!,0)),"")</f>
        <v/>
      </c>
      <c r="P74" s="142" t="str">
        <f>IFERROR(INDEX(DEFstats3[FR],MATCH(defenses[[#This Row],[Name]],#REF!,0)),"")</f>
        <v/>
      </c>
      <c r="Q74" s="142" t="str">
        <f>IFERROR(INDEX(DEFstats3[Def TD],MATCH(defenses[[#This Row],[Name]],#REF!,0)),"")</f>
        <v/>
      </c>
      <c r="R74" s="142" t="str">
        <f>IFERROR(INDEX(DEFstats3[0],MATCH(defenses[[#This Row],[Name]],#REF!,0)),"")</f>
        <v/>
      </c>
      <c r="S74" s="9"/>
    </row>
    <row r="75" spans="12:19" x14ac:dyDescent="0.3">
      <c r="L75" s="261"/>
      <c r="M75" s="142" t="str">
        <f>IFERROR(INDEX(DEFstats3[Sacks],MATCH(defenses[[#This Row],[Name]],#REF!,0)),"")</f>
        <v/>
      </c>
      <c r="N75" s="142" t="str">
        <f>IFERROR(INDEX(DEFstats3[Safeties],MATCH(defenses[[#This Row],[Name]],#REF!,0)),"")</f>
        <v/>
      </c>
      <c r="O75" s="142" t="str">
        <f>IFERROR(INDEX(DEFstats3[INT],MATCH(defenses[[#This Row],[Name]],#REF!,0)),"")</f>
        <v/>
      </c>
      <c r="P75" s="142" t="str">
        <f>IFERROR(INDEX(DEFstats3[FR],MATCH(defenses[[#This Row],[Name]],#REF!,0)),"")</f>
        <v/>
      </c>
      <c r="Q75" s="142" t="str">
        <f>IFERROR(INDEX(DEFstats3[Def TD],MATCH(defenses[[#This Row],[Name]],#REF!,0)),"")</f>
        <v/>
      </c>
      <c r="R75" s="142" t="str">
        <f>IFERROR(INDEX(DEFstats3[0],MATCH(defenses[[#This Row],[Name]],#REF!,0)),"")</f>
        <v/>
      </c>
      <c r="S75" s="9"/>
    </row>
    <row r="76" spans="12:19" x14ac:dyDescent="0.3">
      <c r="L76" s="261"/>
      <c r="M76" s="142" t="str">
        <f>IFERROR(INDEX(DEFstats3[Sacks],MATCH(defenses[[#This Row],[Name]],#REF!,0)),"")</f>
        <v/>
      </c>
      <c r="N76" s="142" t="str">
        <f>IFERROR(INDEX(DEFstats3[Safeties],MATCH(defenses[[#This Row],[Name]],#REF!,0)),"")</f>
        <v/>
      </c>
      <c r="O76" s="142" t="str">
        <f>IFERROR(INDEX(DEFstats3[INT],MATCH(defenses[[#This Row],[Name]],#REF!,0)),"")</f>
        <v/>
      </c>
      <c r="P76" s="142" t="str">
        <f>IFERROR(INDEX(DEFstats3[FR],MATCH(defenses[[#This Row],[Name]],#REF!,0)),"")</f>
        <v/>
      </c>
      <c r="Q76" s="142" t="str">
        <f>IFERROR(INDEX(DEFstats3[Def TD],MATCH(defenses[[#This Row],[Name]],#REF!,0)),"")</f>
        <v/>
      </c>
      <c r="R76" s="142" t="str">
        <f>IFERROR(INDEX(DEFstats3[0],MATCH(defenses[[#This Row],[Name]],#REF!,0)),"")</f>
        <v/>
      </c>
      <c r="S76" s="9"/>
    </row>
    <row r="77" spans="12:19" x14ac:dyDescent="0.3">
      <c r="L77" s="261"/>
      <c r="M77" s="142" t="str">
        <f>IFERROR(INDEX(DEFstats3[Sacks],MATCH(defenses[[#This Row],[Name]],#REF!,0)),"")</f>
        <v/>
      </c>
      <c r="N77" s="142" t="str">
        <f>IFERROR(INDEX(DEFstats3[Safeties],MATCH(defenses[[#This Row],[Name]],#REF!,0)),"")</f>
        <v/>
      </c>
      <c r="O77" s="142" t="str">
        <f>IFERROR(INDEX(DEFstats3[INT],MATCH(defenses[[#This Row],[Name]],#REF!,0)),"")</f>
        <v/>
      </c>
      <c r="P77" s="142" t="str">
        <f>IFERROR(INDEX(DEFstats3[FR],MATCH(defenses[[#This Row],[Name]],#REF!,0)),"")</f>
        <v/>
      </c>
      <c r="Q77" s="142" t="str">
        <f>IFERROR(INDEX(DEFstats3[Def TD],MATCH(defenses[[#This Row],[Name]],#REF!,0)),"")</f>
        <v/>
      </c>
      <c r="R77" s="142" t="str">
        <f>IFERROR(INDEX(DEFstats3[0],MATCH(defenses[[#This Row],[Name]],#REF!,0)),"")</f>
        <v/>
      </c>
      <c r="S77" s="9"/>
    </row>
    <row r="78" spans="12:19" x14ac:dyDescent="0.3">
      <c r="L78" s="261"/>
      <c r="M78" s="142" t="str">
        <f>IFERROR(INDEX(DEFstats3[Sacks],MATCH(defenses[[#This Row],[Name]],#REF!,0)),"")</f>
        <v/>
      </c>
      <c r="N78" s="142" t="str">
        <f>IFERROR(INDEX(DEFstats3[Safeties],MATCH(defenses[[#This Row],[Name]],#REF!,0)),"")</f>
        <v/>
      </c>
      <c r="O78" s="142" t="str">
        <f>IFERROR(INDEX(DEFstats3[INT],MATCH(defenses[[#This Row],[Name]],#REF!,0)),"")</f>
        <v/>
      </c>
      <c r="P78" s="142" t="str">
        <f>IFERROR(INDEX(DEFstats3[FR],MATCH(defenses[[#This Row],[Name]],#REF!,0)),"")</f>
        <v/>
      </c>
      <c r="Q78" s="142" t="str">
        <f>IFERROR(INDEX(DEFstats3[Def TD],MATCH(defenses[[#This Row],[Name]],#REF!,0)),"")</f>
        <v/>
      </c>
      <c r="R78" s="142" t="str">
        <f>IFERROR(INDEX(DEFstats3[0],MATCH(defenses[[#This Row],[Name]],#REF!,0)),"")</f>
        <v/>
      </c>
      <c r="S78" s="9"/>
    </row>
    <row r="79" spans="12:19" x14ac:dyDescent="0.3">
      <c r="L79" s="261"/>
      <c r="M79" s="142" t="str">
        <f>IFERROR(INDEX(DEFstats3[Sacks],MATCH(defenses[[#This Row],[Name]],#REF!,0)),"")</f>
        <v/>
      </c>
      <c r="N79" s="142" t="str">
        <f>IFERROR(INDEX(DEFstats3[Safeties],MATCH(defenses[[#This Row],[Name]],#REF!,0)),"")</f>
        <v/>
      </c>
      <c r="O79" s="142" t="str">
        <f>IFERROR(INDEX(DEFstats3[INT],MATCH(defenses[[#This Row],[Name]],#REF!,0)),"")</f>
        <v/>
      </c>
      <c r="P79" s="142" t="str">
        <f>IFERROR(INDEX(DEFstats3[FR],MATCH(defenses[[#This Row],[Name]],#REF!,0)),"")</f>
        <v/>
      </c>
      <c r="Q79" s="142" t="str">
        <f>IFERROR(INDEX(DEFstats3[Def TD],MATCH(defenses[[#This Row],[Name]],#REF!,0)),"")</f>
        <v/>
      </c>
      <c r="R79" s="142" t="str">
        <f>IFERROR(INDEX(DEFstats3[0],MATCH(defenses[[#This Row],[Name]],#REF!,0)),"")</f>
        <v/>
      </c>
      <c r="S79" s="9"/>
    </row>
    <row r="80" spans="12:19" x14ac:dyDescent="0.3">
      <c r="L80" s="261"/>
      <c r="M80" s="142" t="str">
        <f>IFERROR(INDEX(DEFstats3[Sacks],MATCH(defenses[[#This Row],[Name]],#REF!,0)),"")</f>
        <v/>
      </c>
      <c r="N80" s="142" t="str">
        <f>IFERROR(INDEX(DEFstats3[Safeties],MATCH(defenses[[#This Row],[Name]],#REF!,0)),"")</f>
        <v/>
      </c>
      <c r="O80" s="142" t="str">
        <f>IFERROR(INDEX(DEFstats3[INT],MATCH(defenses[[#This Row],[Name]],#REF!,0)),"")</f>
        <v/>
      </c>
      <c r="P80" s="142" t="str">
        <f>IFERROR(INDEX(DEFstats3[FR],MATCH(defenses[[#This Row],[Name]],#REF!,0)),"")</f>
        <v/>
      </c>
      <c r="Q80" s="142" t="str">
        <f>IFERROR(INDEX(DEFstats3[Def TD],MATCH(defenses[[#This Row],[Name]],#REF!,0)),"")</f>
        <v/>
      </c>
      <c r="R80" s="142" t="str">
        <f>IFERROR(INDEX(DEFstats3[0],MATCH(defenses[[#This Row],[Name]],#REF!,0)),"")</f>
        <v/>
      </c>
      <c r="S80" s="9"/>
    </row>
    <row r="81" spans="12:19" x14ac:dyDescent="0.3">
      <c r="L81" s="261"/>
      <c r="M81" s="142" t="str">
        <f>IFERROR(INDEX(DEFstats3[Sacks],MATCH(defenses[[#This Row],[Name]],#REF!,0)),"")</f>
        <v/>
      </c>
      <c r="N81" s="142" t="str">
        <f>IFERROR(INDEX(DEFstats3[Safeties],MATCH(defenses[[#This Row],[Name]],#REF!,0)),"")</f>
        <v/>
      </c>
      <c r="O81" s="142" t="str">
        <f>IFERROR(INDEX(DEFstats3[INT],MATCH(defenses[[#This Row],[Name]],#REF!,0)),"")</f>
        <v/>
      </c>
      <c r="P81" s="142" t="str">
        <f>IFERROR(INDEX(DEFstats3[FR],MATCH(defenses[[#This Row],[Name]],#REF!,0)),"")</f>
        <v/>
      </c>
      <c r="Q81" s="142" t="str">
        <f>IFERROR(INDEX(DEFstats3[Def TD],MATCH(defenses[[#This Row],[Name]],#REF!,0)),"")</f>
        <v/>
      </c>
      <c r="R81" s="142" t="str">
        <f>IFERROR(INDEX(DEFstats3[0],MATCH(defenses[[#This Row],[Name]],#REF!,0)),"")</f>
        <v/>
      </c>
      <c r="S81" s="9"/>
    </row>
    <row r="82" spans="12:19" x14ac:dyDescent="0.3">
      <c r="L82" s="261"/>
      <c r="M82" s="142" t="str">
        <f>IFERROR(INDEX(DEFstats3[Sacks],MATCH(defenses[[#This Row],[Name]],#REF!,0)),"")</f>
        <v/>
      </c>
      <c r="N82" s="142" t="str">
        <f>IFERROR(INDEX(DEFstats3[Safeties],MATCH(defenses[[#This Row],[Name]],#REF!,0)),"")</f>
        <v/>
      </c>
      <c r="O82" s="142" t="str">
        <f>IFERROR(INDEX(DEFstats3[INT],MATCH(defenses[[#This Row],[Name]],#REF!,0)),"")</f>
        <v/>
      </c>
      <c r="P82" s="142" t="str">
        <f>IFERROR(INDEX(DEFstats3[FR],MATCH(defenses[[#This Row],[Name]],#REF!,0)),"")</f>
        <v/>
      </c>
      <c r="Q82" s="142" t="str">
        <f>IFERROR(INDEX(DEFstats3[Def TD],MATCH(defenses[[#This Row],[Name]],#REF!,0)),"")</f>
        <v/>
      </c>
      <c r="R82" s="142" t="str">
        <f>IFERROR(INDEX(DEFstats3[0],MATCH(defenses[[#This Row],[Name]],#REF!,0)),"")</f>
        <v/>
      </c>
      <c r="S82" s="9"/>
    </row>
    <row r="83" spans="12:19" x14ac:dyDescent="0.3">
      <c r="L83" s="261"/>
      <c r="M83" s="142" t="str">
        <f>IFERROR(INDEX(DEFstats3[Sacks],MATCH(defenses[[#This Row],[Name]],#REF!,0)),"")</f>
        <v/>
      </c>
      <c r="N83" s="142" t="str">
        <f>IFERROR(INDEX(DEFstats3[Safeties],MATCH(defenses[[#This Row],[Name]],#REF!,0)),"")</f>
        <v/>
      </c>
      <c r="O83" s="142" t="str">
        <f>IFERROR(INDEX(DEFstats3[INT],MATCH(defenses[[#This Row],[Name]],#REF!,0)),"")</f>
        <v/>
      </c>
      <c r="P83" s="142" t="str">
        <f>IFERROR(INDEX(DEFstats3[FR],MATCH(defenses[[#This Row],[Name]],#REF!,0)),"")</f>
        <v/>
      </c>
      <c r="Q83" s="142" t="str">
        <f>IFERROR(INDEX(DEFstats3[Def TD],MATCH(defenses[[#This Row],[Name]],#REF!,0)),"")</f>
        <v/>
      </c>
      <c r="R83" s="142" t="str">
        <f>IFERROR(INDEX(DEFstats3[0],MATCH(defenses[[#This Row],[Name]],#REF!,0)),"")</f>
        <v/>
      </c>
      <c r="S83" s="9"/>
    </row>
    <row r="84" spans="12:19" x14ac:dyDescent="0.3">
      <c r="L84" s="261"/>
      <c r="M84" s="142" t="str">
        <f>IFERROR(INDEX(DEFstats3[Sacks],MATCH(defenses[[#This Row],[Name]],#REF!,0)),"")</f>
        <v/>
      </c>
      <c r="N84" s="142" t="str">
        <f>IFERROR(INDEX(DEFstats3[Safeties],MATCH(defenses[[#This Row],[Name]],#REF!,0)),"")</f>
        <v/>
      </c>
      <c r="O84" s="142" t="str">
        <f>IFERROR(INDEX(DEFstats3[INT],MATCH(defenses[[#This Row],[Name]],#REF!,0)),"")</f>
        <v/>
      </c>
      <c r="P84" s="142" t="str">
        <f>IFERROR(INDEX(DEFstats3[FR],MATCH(defenses[[#This Row],[Name]],#REF!,0)),"")</f>
        <v/>
      </c>
      <c r="Q84" s="142" t="str">
        <f>IFERROR(INDEX(DEFstats3[Def TD],MATCH(defenses[[#This Row],[Name]],#REF!,0)),"")</f>
        <v/>
      </c>
      <c r="R84" s="142" t="str">
        <f>IFERROR(INDEX(DEFstats3[0],MATCH(defenses[[#This Row],[Name]],#REF!,0)),"")</f>
        <v/>
      </c>
      <c r="S84" s="9"/>
    </row>
    <row r="85" spans="12:19" x14ac:dyDescent="0.3">
      <c r="L85" s="261"/>
      <c r="M85" s="142" t="str">
        <f>IFERROR(INDEX(DEFstats3[Sacks],MATCH(defenses[[#This Row],[Name]],#REF!,0)),"")</f>
        <v/>
      </c>
      <c r="N85" s="142" t="str">
        <f>IFERROR(INDEX(DEFstats3[Safeties],MATCH(defenses[[#This Row],[Name]],#REF!,0)),"")</f>
        <v/>
      </c>
      <c r="O85" s="142" t="str">
        <f>IFERROR(INDEX(DEFstats3[INT],MATCH(defenses[[#This Row],[Name]],#REF!,0)),"")</f>
        <v/>
      </c>
      <c r="P85" s="142" t="str">
        <f>IFERROR(INDEX(DEFstats3[FR],MATCH(defenses[[#This Row],[Name]],#REF!,0)),"")</f>
        <v/>
      </c>
      <c r="Q85" s="142" t="str">
        <f>IFERROR(INDEX(DEFstats3[Def TD],MATCH(defenses[[#This Row],[Name]],#REF!,0)),"")</f>
        <v/>
      </c>
      <c r="R85" s="142" t="str">
        <f>IFERROR(INDEX(DEFstats3[0],MATCH(defenses[[#This Row],[Name]],#REF!,0)),"")</f>
        <v/>
      </c>
      <c r="S85" s="9"/>
    </row>
    <row r="86" spans="12:19" x14ac:dyDescent="0.3">
      <c r="L86" s="261"/>
      <c r="M86" s="142" t="str">
        <f>IFERROR(INDEX(DEFstats3[Sacks],MATCH(defenses[[#This Row],[Name]],#REF!,0)),"")</f>
        <v/>
      </c>
      <c r="N86" s="142" t="str">
        <f>IFERROR(INDEX(DEFstats3[Safeties],MATCH(defenses[[#This Row],[Name]],#REF!,0)),"")</f>
        <v/>
      </c>
      <c r="O86" s="142" t="str">
        <f>IFERROR(INDEX(DEFstats3[INT],MATCH(defenses[[#This Row],[Name]],#REF!,0)),"")</f>
        <v/>
      </c>
      <c r="P86" s="142" t="str">
        <f>IFERROR(INDEX(DEFstats3[FR],MATCH(defenses[[#This Row],[Name]],#REF!,0)),"")</f>
        <v/>
      </c>
      <c r="Q86" s="142" t="str">
        <f>IFERROR(INDEX(DEFstats3[Def TD],MATCH(defenses[[#This Row],[Name]],#REF!,0)),"")</f>
        <v/>
      </c>
      <c r="R86" s="142" t="str">
        <f>IFERROR(INDEX(DEFstats3[0],MATCH(defenses[[#This Row],[Name]],#REF!,0)),"")</f>
        <v/>
      </c>
      <c r="S86" s="9"/>
    </row>
    <row r="87" spans="12:19" x14ac:dyDescent="0.3">
      <c r="L87" s="261"/>
      <c r="M87" s="142" t="str">
        <f>IFERROR(INDEX(DEFstats3[Sacks],MATCH(defenses[[#This Row],[Name]],#REF!,0)),"")</f>
        <v/>
      </c>
      <c r="N87" s="142" t="str">
        <f>IFERROR(INDEX(DEFstats3[Safeties],MATCH(defenses[[#This Row],[Name]],#REF!,0)),"")</f>
        <v/>
      </c>
      <c r="O87" s="142" t="str">
        <f>IFERROR(INDEX(DEFstats3[INT],MATCH(defenses[[#This Row],[Name]],#REF!,0)),"")</f>
        <v/>
      </c>
      <c r="P87" s="142" t="str">
        <f>IFERROR(INDEX(DEFstats3[FR],MATCH(defenses[[#This Row],[Name]],#REF!,0)),"")</f>
        <v/>
      </c>
      <c r="Q87" s="142" t="str">
        <f>IFERROR(INDEX(DEFstats3[Def TD],MATCH(defenses[[#This Row],[Name]],#REF!,0)),"")</f>
        <v/>
      </c>
      <c r="R87" s="142" t="str">
        <f>IFERROR(INDEX(DEFstats3[0],MATCH(defenses[[#This Row],[Name]],#REF!,0)),"")</f>
        <v/>
      </c>
      <c r="S87" s="9"/>
    </row>
    <row r="88" spans="12:19" x14ac:dyDescent="0.3">
      <c r="L88" s="261"/>
      <c r="M88" s="142" t="str">
        <f>IFERROR(INDEX(DEFstats3[Sacks],MATCH(defenses[[#This Row],[Name]],#REF!,0)),"")</f>
        <v/>
      </c>
      <c r="N88" s="142" t="str">
        <f>IFERROR(INDEX(DEFstats3[Safeties],MATCH(defenses[[#This Row],[Name]],#REF!,0)),"")</f>
        <v/>
      </c>
      <c r="O88" s="142" t="str">
        <f>IFERROR(INDEX(DEFstats3[INT],MATCH(defenses[[#This Row],[Name]],#REF!,0)),"")</f>
        <v/>
      </c>
      <c r="P88" s="142" t="str">
        <f>IFERROR(INDEX(DEFstats3[FR],MATCH(defenses[[#This Row],[Name]],#REF!,0)),"")</f>
        <v/>
      </c>
      <c r="Q88" s="142" t="str">
        <f>IFERROR(INDEX(DEFstats3[Def TD],MATCH(defenses[[#This Row],[Name]],#REF!,0)),"")</f>
        <v/>
      </c>
      <c r="R88" s="142" t="str">
        <f>IFERROR(INDEX(DEFstats3[0],MATCH(defenses[[#This Row],[Name]],#REF!,0)),"")</f>
        <v/>
      </c>
      <c r="S88" s="9"/>
    </row>
    <row r="89" spans="12:19" x14ac:dyDescent="0.3">
      <c r="L89" s="261"/>
      <c r="M89" s="142" t="str">
        <f>IFERROR(INDEX(DEFstats3[Sacks],MATCH(defenses[[#This Row],[Name]],#REF!,0)),"")</f>
        <v/>
      </c>
      <c r="N89" s="142" t="str">
        <f>IFERROR(INDEX(DEFstats3[Safeties],MATCH(defenses[[#This Row],[Name]],#REF!,0)),"")</f>
        <v/>
      </c>
      <c r="O89" s="142" t="str">
        <f>IFERROR(INDEX(DEFstats3[INT],MATCH(defenses[[#This Row],[Name]],#REF!,0)),"")</f>
        <v/>
      </c>
      <c r="P89" s="142" t="str">
        <f>IFERROR(INDEX(DEFstats3[FR],MATCH(defenses[[#This Row],[Name]],#REF!,0)),"")</f>
        <v/>
      </c>
      <c r="Q89" s="142" t="str">
        <f>IFERROR(INDEX(DEFstats3[Def TD],MATCH(defenses[[#This Row],[Name]],#REF!,0)),"")</f>
        <v/>
      </c>
      <c r="R89" s="142" t="str">
        <f>IFERROR(INDEX(DEFstats3[0],MATCH(defenses[[#This Row],[Name]],#REF!,0)),"")</f>
        <v/>
      </c>
      <c r="S89" s="9"/>
    </row>
    <row r="90" spans="12:19" x14ac:dyDescent="0.3">
      <c r="L90" s="261"/>
      <c r="M90" s="142" t="str">
        <f>IFERROR(INDEX(DEFstats3[Sacks],MATCH(defenses[[#This Row],[Name]],#REF!,0)),"")</f>
        <v/>
      </c>
      <c r="N90" s="142" t="str">
        <f>IFERROR(INDEX(DEFstats3[Safeties],MATCH(defenses[[#This Row],[Name]],#REF!,0)),"")</f>
        <v/>
      </c>
      <c r="O90" s="142" t="str">
        <f>IFERROR(INDEX(DEFstats3[INT],MATCH(defenses[[#This Row],[Name]],#REF!,0)),"")</f>
        <v/>
      </c>
      <c r="P90" s="142" t="str">
        <f>IFERROR(INDEX(DEFstats3[FR],MATCH(defenses[[#This Row],[Name]],#REF!,0)),"")</f>
        <v/>
      </c>
      <c r="Q90" s="142" t="str">
        <f>IFERROR(INDEX(DEFstats3[Def TD],MATCH(defenses[[#This Row],[Name]],#REF!,0)),"")</f>
        <v/>
      </c>
      <c r="R90" s="142" t="str">
        <f>IFERROR(INDEX(DEFstats3[0],MATCH(defenses[[#This Row],[Name]],#REF!,0)),"")</f>
        <v/>
      </c>
      <c r="S90" s="9"/>
    </row>
    <row r="91" spans="12:19" x14ac:dyDescent="0.3">
      <c r="L91" s="261"/>
      <c r="M91" s="142" t="str">
        <f>IFERROR(INDEX(DEFstats3[Sacks],MATCH(defenses[[#This Row],[Name]],#REF!,0)),"")</f>
        <v/>
      </c>
      <c r="N91" s="142" t="str">
        <f>IFERROR(INDEX(DEFstats3[Safeties],MATCH(defenses[[#This Row],[Name]],#REF!,0)),"")</f>
        <v/>
      </c>
      <c r="O91" s="142" t="str">
        <f>IFERROR(INDEX(DEFstats3[INT],MATCH(defenses[[#This Row],[Name]],#REF!,0)),"")</f>
        <v/>
      </c>
      <c r="P91" s="142" t="str">
        <f>IFERROR(INDEX(DEFstats3[FR],MATCH(defenses[[#This Row],[Name]],#REF!,0)),"")</f>
        <v/>
      </c>
      <c r="Q91" s="142" t="str">
        <f>IFERROR(INDEX(DEFstats3[Def TD],MATCH(defenses[[#This Row],[Name]],#REF!,0)),"")</f>
        <v/>
      </c>
      <c r="R91" s="142" t="str">
        <f>IFERROR(INDEX(DEFstats3[0],MATCH(defenses[[#This Row],[Name]],#REF!,0)),"")</f>
        <v/>
      </c>
      <c r="S91" s="9"/>
    </row>
    <row r="92" spans="12:19" x14ac:dyDescent="0.3">
      <c r="L92" s="261"/>
      <c r="M92" s="142" t="str">
        <f>IFERROR(INDEX(DEFstats3[Sacks],MATCH(defenses[[#This Row],[Name]],#REF!,0)),"")</f>
        <v/>
      </c>
      <c r="N92" s="142" t="str">
        <f>IFERROR(INDEX(DEFstats3[Safeties],MATCH(defenses[[#This Row],[Name]],#REF!,0)),"")</f>
        <v/>
      </c>
      <c r="O92" s="142" t="str">
        <f>IFERROR(INDEX(DEFstats3[INT],MATCH(defenses[[#This Row],[Name]],#REF!,0)),"")</f>
        <v/>
      </c>
      <c r="P92" s="142" t="str">
        <f>IFERROR(INDEX(DEFstats3[FR],MATCH(defenses[[#This Row],[Name]],#REF!,0)),"")</f>
        <v/>
      </c>
      <c r="Q92" s="142" t="str">
        <f>IFERROR(INDEX(DEFstats3[Def TD],MATCH(defenses[[#This Row],[Name]],#REF!,0)),"")</f>
        <v/>
      </c>
      <c r="R92" s="142" t="str">
        <f>IFERROR(INDEX(DEFstats3[0],MATCH(defenses[[#This Row],[Name]],#REF!,0)),"")</f>
        <v/>
      </c>
      <c r="S92" s="9"/>
    </row>
    <row r="93" spans="12:19" x14ac:dyDescent="0.3">
      <c r="L93" s="261"/>
      <c r="M93" s="142" t="str">
        <f>IFERROR(INDEX(DEFstats3[Sacks],MATCH(defenses[[#This Row],[Name]],#REF!,0)),"")</f>
        <v/>
      </c>
      <c r="N93" s="142" t="str">
        <f>IFERROR(INDEX(DEFstats3[Safeties],MATCH(defenses[[#This Row],[Name]],#REF!,0)),"")</f>
        <v/>
      </c>
      <c r="O93" s="142" t="str">
        <f>IFERROR(INDEX(DEFstats3[INT],MATCH(defenses[[#This Row],[Name]],#REF!,0)),"")</f>
        <v/>
      </c>
      <c r="P93" s="142" t="str">
        <f>IFERROR(INDEX(DEFstats3[FR],MATCH(defenses[[#This Row],[Name]],#REF!,0)),"")</f>
        <v/>
      </c>
      <c r="Q93" s="142" t="str">
        <f>IFERROR(INDEX(DEFstats3[Def TD],MATCH(defenses[[#This Row],[Name]],#REF!,0)),"")</f>
        <v/>
      </c>
      <c r="R93" s="142" t="str">
        <f>IFERROR(INDEX(DEFstats3[0],MATCH(defenses[[#This Row],[Name]],#REF!,0)),"")</f>
        <v/>
      </c>
      <c r="S93" s="9"/>
    </row>
    <row r="94" spans="12:19" x14ac:dyDescent="0.3">
      <c r="L94" s="261"/>
      <c r="M94" s="142" t="str">
        <f>IFERROR(INDEX(DEFstats3[Sacks],MATCH(defenses[[#This Row],[Name]],#REF!,0)),"")</f>
        <v/>
      </c>
      <c r="N94" s="142" t="str">
        <f>IFERROR(INDEX(DEFstats3[Safeties],MATCH(defenses[[#This Row],[Name]],#REF!,0)),"")</f>
        <v/>
      </c>
      <c r="O94" s="142" t="str">
        <f>IFERROR(INDEX(DEFstats3[INT],MATCH(defenses[[#This Row],[Name]],#REF!,0)),"")</f>
        <v/>
      </c>
      <c r="P94" s="142" t="str">
        <f>IFERROR(INDEX(DEFstats3[FR],MATCH(defenses[[#This Row],[Name]],#REF!,0)),"")</f>
        <v/>
      </c>
      <c r="Q94" s="142" t="str">
        <f>IFERROR(INDEX(DEFstats3[Def TD],MATCH(defenses[[#This Row],[Name]],#REF!,0)),"")</f>
        <v/>
      </c>
      <c r="R94" s="142" t="str">
        <f>IFERROR(INDEX(DEFstats3[0],MATCH(defenses[[#This Row],[Name]],#REF!,0)),"")</f>
        <v/>
      </c>
      <c r="S94" s="9"/>
    </row>
    <row r="95" spans="12:19" x14ac:dyDescent="0.3">
      <c r="L95" s="261"/>
      <c r="M95" s="142" t="str">
        <f>IFERROR(INDEX(DEFstats3[Sacks],MATCH(defenses[[#This Row],[Name]],#REF!,0)),"")</f>
        <v/>
      </c>
      <c r="N95" s="142" t="str">
        <f>IFERROR(INDEX(DEFstats3[Safeties],MATCH(defenses[[#This Row],[Name]],#REF!,0)),"")</f>
        <v/>
      </c>
      <c r="O95" s="142" t="str">
        <f>IFERROR(INDEX(DEFstats3[INT],MATCH(defenses[[#This Row],[Name]],#REF!,0)),"")</f>
        <v/>
      </c>
      <c r="P95" s="142" t="str">
        <f>IFERROR(INDEX(DEFstats3[FR],MATCH(defenses[[#This Row],[Name]],#REF!,0)),"")</f>
        <v/>
      </c>
      <c r="Q95" s="142" t="str">
        <f>IFERROR(INDEX(DEFstats3[Def TD],MATCH(defenses[[#This Row],[Name]],#REF!,0)),"")</f>
        <v/>
      </c>
      <c r="R95" s="142" t="str">
        <f>IFERROR(INDEX(DEFstats3[0],MATCH(defenses[[#This Row],[Name]],#REF!,0)),"")</f>
        <v/>
      </c>
      <c r="S95" s="9"/>
    </row>
    <row r="96" spans="12:19" x14ac:dyDescent="0.3">
      <c r="L96" s="261"/>
      <c r="M96" s="142" t="str">
        <f>IFERROR(INDEX(DEFstats3[Sacks],MATCH(defenses[[#This Row],[Name]],#REF!,0)),"")</f>
        <v/>
      </c>
      <c r="N96" s="142" t="str">
        <f>IFERROR(INDEX(DEFstats3[Safeties],MATCH(defenses[[#This Row],[Name]],#REF!,0)),"")</f>
        <v/>
      </c>
      <c r="O96" s="142" t="str">
        <f>IFERROR(INDEX(DEFstats3[INT],MATCH(defenses[[#This Row],[Name]],#REF!,0)),"")</f>
        <v/>
      </c>
      <c r="P96" s="142" t="str">
        <f>IFERROR(INDEX(DEFstats3[FR],MATCH(defenses[[#This Row],[Name]],#REF!,0)),"")</f>
        <v/>
      </c>
      <c r="Q96" s="142" t="str">
        <f>IFERROR(INDEX(DEFstats3[Def TD],MATCH(defenses[[#This Row],[Name]],#REF!,0)),"")</f>
        <v/>
      </c>
      <c r="R96" s="142" t="str">
        <f>IFERROR(INDEX(DEFstats3[0],MATCH(defenses[[#This Row],[Name]],#REF!,0)),"")</f>
        <v/>
      </c>
      <c r="S96" s="9"/>
    </row>
    <row r="97" spans="12:19" x14ac:dyDescent="0.3">
      <c r="L97" s="261"/>
      <c r="M97" s="142" t="str">
        <f>IFERROR(INDEX(DEFstats3[Sacks],MATCH(defenses[[#This Row],[Name]],#REF!,0)),"")</f>
        <v/>
      </c>
      <c r="N97" s="142" t="str">
        <f>IFERROR(INDEX(DEFstats3[Safeties],MATCH(defenses[[#This Row],[Name]],#REF!,0)),"")</f>
        <v/>
      </c>
      <c r="O97" s="142" t="str">
        <f>IFERROR(INDEX(DEFstats3[INT],MATCH(defenses[[#This Row],[Name]],#REF!,0)),"")</f>
        <v/>
      </c>
      <c r="P97" s="142" t="str">
        <f>IFERROR(INDEX(DEFstats3[FR],MATCH(defenses[[#This Row],[Name]],#REF!,0)),"")</f>
        <v/>
      </c>
      <c r="Q97" s="142" t="str">
        <f>IFERROR(INDEX(DEFstats3[Def TD],MATCH(defenses[[#This Row],[Name]],#REF!,0)),"")</f>
        <v/>
      </c>
      <c r="R97" s="142" t="str">
        <f>IFERROR(INDEX(DEFstats3[0],MATCH(defenses[[#This Row],[Name]],#REF!,0)),"")</f>
        <v/>
      </c>
      <c r="S97" s="9"/>
    </row>
    <row r="98" spans="12:19" x14ac:dyDescent="0.3">
      <c r="L98" s="261"/>
      <c r="M98" s="142" t="str">
        <f>IFERROR(INDEX(DEFstats3[Sacks],MATCH(defenses[[#This Row],[Name]],#REF!,0)),"")</f>
        <v/>
      </c>
      <c r="N98" s="142" t="str">
        <f>IFERROR(INDEX(DEFstats3[Safeties],MATCH(defenses[[#This Row],[Name]],#REF!,0)),"")</f>
        <v/>
      </c>
      <c r="O98" s="142" t="str">
        <f>IFERROR(INDEX(DEFstats3[INT],MATCH(defenses[[#This Row],[Name]],#REF!,0)),"")</f>
        <v/>
      </c>
      <c r="P98" s="142" t="str">
        <f>IFERROR(INDEX(DEFstats3[FR],MATCH(defenses[[#This Row],[Name]],#REF!,0)),"")</f>
        <v/>
      </c>
      <c r="Q98" s="142" t="str">
        <f>IFERROR(INDEX(DEFstats3[Def TD],MATCH(defenses[[#This Row],[Name]],#REF!,0)),"")</f>
        <v/>
      </c>
      <c r="R98" s="142" t="str">
        <f>IFERROR(INDEX(DEFstats3[0],MATCH(defenses[[#This Row],[Name]],#REF!,0)),"")</f>
        <v/>
      </c>
      <c r="S98" s="9"/>
    </row>
    <row r="99" spans="12:19" x14ac:dyDescent="0.3">
      <c r="L99" s="261"/>
      <c r="M99" s="142" t="str">
        <f>IFERROR(INDEX(DEFstats3[Sacks],MATCH(defenses[[#This Row],[Name]],#REF!,0)),"")</f>
        <v/>
      </c>
      <c r="N99" s="142" t="str">
        <f>IFERROR(INDEX(DEFstats3[Safeties],MATCH(defenses[[#This Row],[Name]],#REF!,0)),"")</f>
        <v/>
      </c>
      <c r="O99" s="142" t="str">
        <f>IFERROR(INDEX(DEFstats3[INT],MATCH(defenses[[#This Row],[Name]],#REF!,0)),"")</f>
        <v/>
      </c>
      <c r="P99" s="142" t="str">
        <f>IFERROR(INDEX(DEFstats3[FR],MATCH(defenses[[#This Row],[Name]],#REF!,0)),"")</f>
        <v/>
      </c>
      <c r="Q99" s="142" t="str">
        <f>IFERROR(INDEX(DEFstats3[Def TD],MATCH(defenses[[#This Row],[Name]],#REF!,0)),"")</f>
        <v/>
      </c>
      <c r="R99" s="142" t="str">
        <f>IFERROR(INDEX(DEFstats3[0],MATCH(defenses[[#This Row],[Name]],#REF!,0)),"")</f>
        <v/>
      </c>
      <c r="S99" s="9"/>
    </row>
    <row r="100" spans="12:19" x14ac:dyDescent="0.3">
      <c r="L100" s="261"/>
      <c r="M100" s="142" t="str">
        <f>IFERROR(INDEX(DEFstats3[Sacks],MATCH(defenses[[#This Row],[Name]],#REF!,0)),"")</f>
        <v/>
      </c>
      <c r="N100" s="142" t="str">
        <f>IFERROR(INDEX(DEFstats3[Safeties],MATCH(defenses[[#This Row],[Name]],#REF!,0)),"")</f>
        <v/>
      </c>
      <c r="O100" s="142" t="str">
        <f>IFERROR(INDEX(DEFstats3[INT],MATCH(defenses[[#This Row],[Name]],#REF!,0)),"")</f>
        <v/>
      </c>
      <c r="P100" s="142" t="str">
        <f>IFERROR(INDEX(DEFstats3[FR],MATCH(defenses[[#This Row],[Name]],#REF!,0)),"")</f>
        <v/>
      </c>
      <c r="Q100" s="142" t="str">
        <f>IFERROR(INDEX(DEFstats3[Def TD],MATCH(defenses[[#This Row],[Name]],#REF!,0)),"")</f>
        <v/>
      </c>
      <c r="R100" s="142" t="str">
        <f>IFERROR(INDEX(DEFstats3[0],MATCH(defenses[[#This Row],[Name]],#REF!,0)),"")</f>
        <v/>
      </c>
      <c r="S100" s="9"/>
    </row>
    <row r="101" spans="12:19" x14ac:dyDescent="0.3">
      <c r="L101" s="261"/>
      <c r="M101" s="142" t="str">
        <f>IFERROR(INDEX(DEFstats3[Sacks],MATCH(defenses[[#This Row],[Name]],#REF!,0)),"")</f>
        <v/>
      </c>
      <c r="N101" s="142" t="str">
        <f>IFERROR(INDEX(DEFstats3[Safeties],MATCH(defenses[[#This Row],[Name]],#REF!,0)),"")</f>
        <v/>
      </c>
      <c r="O101" s="142" t="str">
        <f>IFERROR(INDEX(DEFstats3[INT],MATCH(defenses[[#This Row],[Name]],#REF!,0)),"")</f>
        <v/>
      </c>
      <c r="P101" s="142" t="str">
        <f>IFERROR(INDEX(DEFstats3[FR],MATCH(defenses[[#This Row],[Name]],#REF!,0)),"")</f>
        <v/>
      </c>
      <c r="Q101" s="142" t="str">
        <f>IFERROR(INDEX(DEFstats3[Def TD],MATCH(defenses[[#This Row],[Name]],#REF!,0)),"")</f>
        <v/>
      </c>
      <c r="R101" s="142" t="str">
        <f>IFERROR(INDEX(DEFstats3[0],MATCH(defenses[[#This Row],[Name]],#REF!,0)),"")</f>
        <v/>
      </c>
      <c r="S101" s="9"/>
    </row>
    <row r="102" spans="12:19" x14ac:dyDescent="0.3">
      <c r="L102" s="261"/>
      <c r="M102" s="142" t="str">
        <f>IFERROR(INDEX(DEFstats3[Sacks],MATCH(defenses[[#This Row],[Name]],#REF!,0)),"")</f>
        <v/>
      </c>
      <c r="N102" s="142" t="str">
        <f>IFERROR(INDEX(DEFstats3[Safeties],MATCH(defenses[[#This Row],[Name]],#REF!,0)),"")</f>
        <v/>
      </c>
      <c r="O102" s="142" t="str">
        <f>IFERROR(INDEX(DEFstats3[INT],MATCH(defenses[[#This Row],[Name]],#REF!,0)),"")</f>
        <v/>
      </c>
      <c r="P102" s="142" t="str">
        <f>IFERROR(INDEX(DEFstats3[FR],MATCH(defenses[[#This Row],[Name]],#REF!,0)),"")</f>
        <v/>
      </c>
      <c r="Q102" s="142" t="str">
        <f>IFERROR(INDEX(DEFstats3[Def TD],MATCH(defenses[[#This Row],[Name]],#REF!,0)),"")</f>
        <v/>
      </c>
      <c r="R102" s="142" t="str">
        <f>IFERROR(INDEX(DEFstats3[0],MATCH(defenses[[#This Row],[Name]],#REF!,0)),"")</f>
        <v/>
      </c>
      <c r="S102" s="9"/>
    </row>
    <row r="103" spans="12:19" x14ac:dyDescent="0.3">
      <c r="L103" s="261"/>
      <c r="M103" s="142" t="str">
        <f>IFERROR(INDEX(DEFstats3[Sacks],MATCH(defenses[[#This Row],[Name]],#REF!,0)),"")</f>
        <v/>
      </c>
      <c r="N103" s="142" t="str">
        <f>IFERROR(INDEX(DEFstats3[Safeties],MATCH(defenses[[#This Row],[Name]],#REF!,0)),"")</f>
        <v/>
      </c>
      <c r="O103" s="142" t="str">
        <f>IFERROR(INDEX(DEFstats3[INT],MATCH(defenses[[#This Row],[Name]],#REF!,0)),"")</f>
        <v/>
      </c>
      <c r="P103" s="142" t="str">
        <f>IFERROR(INDEX(DEFstats3[FR],MATCH(defenses[[#This Row],[Name]],#REF!,0)),"")</f>
        <v/>
      </c>
      <c r="Q103" s="142" t="str">
        <f>IFERROR(INDEX(DEFstats3[Def TD],MATCH(defenses[[#This Row],[Name]],#REF!,0)),"")</f>
        <v/>
      </c>
      <c r="R103" s="142" t="str">
        <f>IFERROR(INDEX(DEFstats3[0],MATCH(defenses[[#This Row],[Name]],#REF!,0)),"")</f>
        <v/>
      </c>
      <c r="S103" s="9"/>
    </row>
    <row r="104" spans="12:19" x14ac:dyDescent="0.3">
      <c r="L104" s="261"/>
      <c r="M104" s="142" t="str">
        <f>IFERROR(INDEX(DEFstats3[Sacks],MATCH(defenses[[#This Row],[Name]],#REF!,0)),"")</f>
        <v/>
      </c>
      <c r="N104" s="142" t="str">
        <f>IFERROR(INDEX(DEFstats3[Safeties],MATCH(defenses[[#This Row],[Name]],#REF!,0)),"")</f>
        <v/>
      </c>
      <c r="O104" s="142" t="str">
        <f>IFERROR(INDEX(DEFstats3[INT],MATCH(defenses[[#This Row],[Name]],#REF!,0)),"")</f>
        <v/>
      </c>
      <c r="P104" s="142" t="str">
        <f>IFERROR(INDEX(DEFstats3[FR],MATCH(defenses[[#This Row],[Name]],#REF!,0)),"")</f>
        <v/>
      </c>
      <c r="Q104" s="142" t="str">
        <f>IFERROR(INDEX(DEFstats3[Def TD],MATCH(defenses[[#This Row],[Name]],#REF!,0)),"")</f>
        <v/>
      </c>
      <c r="R104" s="142" t="str">
        <f>IFERROR(INDEX(DEFstats3[0],MATCH(defenses[[#This Row],[Name]],#REF!,0)),"")</f>
        <v/>
      </c>
      <c r="S104" s="9"/>
    </row>
    <row r="105" spans="12:19" x14ac:dyDescent="0.3">
      <c r="L105" s="261"/>
      <c r="M105" s="142" t="str">
        <f>IFERROR(INDEX(DEFstats3[Sacks],MATCH(defenses[[#This Row],[Name]],#REF!,0)),"")</f>
        <v/>
      </c>
      <c r="N105" s="142" t="str">
        <f>IFERROR(INDEX(DEFstats3[Safeties],MATCH(defenses[[#This Row],[Name]],#REF!,0)),"")</f>
        <v/>
      </c>
      <c r="O105" s="142" t="str">
        <f>IFERROR(INDEX(DEFstats3[INT],MATCH(defenses[[#This Row],[Name]],#REF!,0)),"")</f>
        <v/>
      </c>
      <c r="P105" s="142" t="str">
        <f>IFERROR(INDEX(DEFstats3[FR],MATCH(defenses[[#This Row],[Name]],#REF!,0)),"")</f>
        <v/>
      </c>
      <c r="Q105" s="142" t="str">
        <f>IFERROR(INDEX(DEFstats3[Def TD],MATCH(defenses[[#This Row],[Name]],#REF!,0)),"")</f>
        <v/>
      </c>
      <c r="R105" s="142" t="str">
        <f>IFERROR(INDEX(DEFstats3[0],MATCH(defenses[[#This Row],[Name]],#REF!,0)),"")</f>
        <v/>
      </c>
      <c r="S105" s="9"/>
    </row>
    <row r="106" spans="12:19" x14ac:dyDescent="0.3">
      <c r="L106" s="261"/>
      <c r="M106" s="142" t="str">
        <f>IFERROR(INDEX(DEFstats3[Sacks],MATCH(defenses[[#This Row],[Name]],#REF!,0)),"")</f>
        <v/>
      </c>
      <c r="N106" s="142" t="str">
        <f>IFERROR(INDEX(DEFstats3[Safeties],MATCH(defenses[[#This Row],[Name]],#REF!,0)),"")</f>
        <v/>
      </c>
      <c r="O106" s="142" t="str">
        <f>IFERROR(INDEX(DEFstats3[INT],MATCH(defenses[[#This Row],[Name]],#REF!,0)),"")</f>
        <v/>
      </c>
      <c r="P106" s="142" t="str">
        <f>IFERROR(INDEX(DEFstats3[FR],MATCH(defenses[[#This Row],[Name]],#REF!,0)),"")</f>
        <v/>
      </c>
      <c r="Q106" s="142" t="str">
        <f>IFERROR(INDEX(DEFstats3[Def TD],MATCH(defenses[[#This Row],[Name]],#REF!,0)),"")</f>
        <v/>
      </c>
      <c r="R106" s="142" t="str">
        <f>IFERROR(INDEX(DEFstats3[0],MATCH(defenses[[#This Row],[Name]],#REF!,0)),"")</f>
        <v/>
      </c>
      <c r="S106" s="9"/>
    </row>
    <row r="107" spans="12:19" x14ac:dyDescent="0.3">
      <c r="L107" s="261"/>
      <c r="M107" s="142" t="str">
        <f>IFERROR(INDEX(DEFstats3[Sacks],MATCH(defenses[[#This Row],[Name]],#REF!,0)),"")</f>
        <v/>
      </c>
      <c r="N107" s="142" t="str">
        <f>IFERROR(INDEX(DEFstats3[Safeties],MATCH(defenses[[#This Row],[Name]],#REF!,0)),"")</f>
        <v/>
      </c>
      <c r="O107" s="142" t="str">
        <f>IFERROR(INDEX(DEFstats3[INT],MATCH(defenses[[#This Row],[Name]],#REF!,0)),"")</f>
        <v/>
      </c>
      <c r="P107" s="142" t="str">
        <f>IFERROR(INDEX(DEFstats3[FR],MATCH(defenses[[#This Row],[Name]],#REF!,0)),"")</f>
        <v/>
      </c>
      <c r="Q107" s="142" t="str">
        <f>IFERROR(INDEX(DEFstats3[Def TD],MATCH(defenses[[#This Row],[Name]],#REF!,0)),"")</f>
        <v/>
      </c>
      <c r="R107" s="142" t="str">
        <f>IFERROR(INDEX(DEFstats3[0],MATCH(defenses[[#This Row],[Name]],#REF!,0)),"")</f>
        <v/>
      </c>
      <c r="S107" s="9"/>
    </row>
    <row r="108" spans="12:19" x14ac:dyDescent="0.3">
      <c r="L108" s="261"/>
      <c r="M108" s="142" t="str">
        <f>IFERROR(INDEX(DEFstats3[Sacks],MATCH(defenses[[#This Row],[Name]],#REF!,0)),"")</f>
        <v/>
      </c>
      <c r="N108" s="142" t="str">
        <f>IFERROR(INDEX(DEFstats3[Safeties],MATCH(defenses[[#This Row],[Name]],#REF!,0)),"")</f>
        <v/>
      </c>
      <c r="O108" s="142" t="str">
        <f>IFERROR(INDEX(DEFstats3[INT],MATCH(defenses[[#This Row],[Name]],#REF!,0)),"")</f>
        <v/>
      </c>
      <c r="P108" s="142" t="str">
        <f>IFERROR(INDEX(DEFstats3[FR],MATCH(defenses[[#This Row],[Name]],#REF!,0)),"")</f>
        <v/>
      </c>
      <c r="Q108" s="142" t="str">
        <f>IFERROR(INDEX(DEFstats3[Def TD],MATCH(defenses[[#This Row],[Name]],#REF!,0)),"")</f>
        <v/>
      </c>
      <c r="R108" s="142" t="str">
        <f>IFERROR(INDEX(DEFstats3[0],MATCH(defenses[[#This Row],[Name]],#REF!,0)),"")</f>
        <v/>
      </c>
      <c r="S108" s="9"/>
    </row>
    <row r="109" spans="12:19" x14ac:dyDescent="0.3">
      <c r="L109" s="261"/>
      <c r="M109" s="142" t="str">
        <f>IFERROR(INDEX(DEFstats3[Sacks],MATCH(defenses[[#This Row],[Name]],#REF!,0)),"")</f>
        <v/>
      </c>
      <c r="N109" s="142" t="str">
        <f>IFERROR(INDEX(DEFstats3[Safeties],MATCH(defenses[[#This Row],[Name]],#REF!,0)),"")</f>
        <v/>
      </c>
      <c r="O109" s="142" t="str">
        <f>IFERROR(INDEX(DEFstats3[INT],MATCH(defenses[[#This Row],[Name]],#REF!,0)),"")</f>
        <v/>
      </c>
      <c r="P109" s="142" t="str">
        <f>IFERROR(INDEX(DEFstats3[FR],MATCH(defenses[[#This Row],[Name]],#REF!,0)),"")</f>
        <v/>
      </c>
      <c r="Q109" s="142" t="str">
        <f>IFERROR(INDEX(DEFstats3[Def TD],MATCH(defenses[[#This Row],[Name]],#REF!,0)),"")</f>
        <v/>
      </c>
      <c r="R109" s="142" t="str">
        <f>IFERROR(INDEX(DEFstats3[0],MATCH(defenses[[#This Row],[Name]],#REF!,0)),"")</f>
        <v/>
      </c>
      <c r="S109" s="9"/>
    </row>
    <row r="110" spans="12:19" x14ac:dyDescent="0.3">
      <c r="L110" s="261"/>
      <c r="M110" s="142" t="str">
        <f>IFERROR(INDEX(DEFstats3[Sacks],MATCH(defenses[[#This Row],[Name]],#REF!,0)),"")</f>
        <v/>
      </c>
      <c r="N110" s="142" t="str">
        <f>IFERROR(INDEX(DEFstats3[Safeties],MATCH(defenses[[#This Row],[Name]],#REF!,0)),"")</f>
        <v/>
      </c>
      <c r="O110" s="142" t="str">
        <f>IFERROR(INDEX(DEFstats3[INT],MATCH(defenses[[#This Row],[Name]],#REF!,0)),"")</f>
        <v/>
      </c>
      <c r="P110" s="142" t="str">
        <f>IFERROR(INDEX(DEFstats3[FR],MATCH(defenses[[#This Row],[Name]],#REF!,0)),"")</f>
        <v/>
      </c>
      <c r="Q110" s="142" t="str">
        <f>IFERROR(INDEX(DEFstats3[Def TD],MATCH(defenses[[#This Row],[Name]],#REF!,0)),"")</f>
        <v/>
      </c>
      <c r="R110" s="142" t="str">
        <f>IFERROR(INDEX(DEFstats3[0],MATCH(defenses[[#This Row],[Name]],#REF!,0)),"")</f>
        <v/>
      </c>
      <c r="S110" s="9"/>
    </row>
    <row r="111" spans="12:19" x14ac:dyDescent="0.3">
      <c r="L111" s="181"/>
      <c r="M111" s="181"/>
      <c r="N111" s="181"/>
      <c r="O111" s="181"/>
      <c r="P111" s="181"/>
      <c r="Q111" s="181"/>
      <c r="R111" s="181"/>
    </row>
  </sheetData>
  <mergeCells count="3">
    <mergeCell ref="B5:D5"/>
    <mergeCell ref="A7:D7"/>
    <mergeCell ref="A8:D8"/>
  </mergeCells>
  <conditionalFormatting sqref="M40:P110">
    <cfRule type="colorScale" priority="103">
      <colorScale>
        <cfvo type="min"/>
        <cfvo type="percentile" val="50"/>
        <cfvo type="max"/>
        <color rgb="FFF8696B"/>
        <color rgb="FFFFEB84"/>
        <color rgb="FF63BE7B"/>
      </colorScale>
    </cfRule>
  </conditionalFormatting>
  <conditionalFormatting sqref="Q40:Q110">
    <cfRule type="colorScale" priority="102">
      <colorScale>
        <cfvo type="min"/>
        <cfvo type="percentile" val="50"/>
        <cfvo type="max"/>
        <color rgb="FFF8696B"/>
        <color rgb="FFFFEB84"/>
        <color rgb="FF63BE7B"/>
      </colorScale>
    </cfRule>
  </conditionalFormatting>
  <conditionalFormatting sqref="F40:F1048576 F1:F8 J9">
    <cfRule type="colorScale" priority="57">
      <colorScale>
        <cfvo type="min"/>
        <cfvo type="percentile" val="50"/>
        <cfvo type="max"/>
        <color rgb="FF63BE7B"/>
        <color rgb="FFFFEB84"/>
        <color rgb="FFF8696B"/>
      </colorScale>
    </cfRule>
  </conditionalFormatting>
  <conditionalFormatting sqref="G40:G1048576 G1:G8 K9">
    <cfRule type="colorScale" priority="56">
      <colorScale>
        <cfvo type="min"/>
        <cfvo type="percentile" val="50"/>
        <cfvo type="max"/>
        <color rgb="FF63BE7B"/>
        <color rgb="FFFFEB84"/>
        <color rgb="FFF8696B"/>
      </colorScale>
    </cfRule>
  </conditionalFormatting>
  <conditionalFormatting sqref="H40:H1048576 H1:H8 L9">
    <cfRule type="colorScale" priority="55">
      <colorScale>
        <cfvo type="min"/>
        <cfvo type="percentile" val="50"/>
        <cfvo type="max"/>
        <color rgb="FF63BE7B"/>
        <color rgb="FFFFEB84"/>
        <color rgb="FFF8696B"/>
      </colorScale>
    </cfRule>
  </conditionalFormatting>
  <conditionalFormatting sqref="J40:J1048576 J1:J8 O9">
    <cfRule type="colorScale" priority="54">
      <colorScale>
        <cfvo type="min"/>
        <cfvo type="percentile" val="50"/>
        <cfvo type="max"/>
        <color rgb="FFF8696B"/>
        <color rgb="FFFFEB84"/>
        <color rgb="FF63BE7B"/>
      </colorScale>
    </cfRule>
  </conditionalFormatting>
  <conditionalFormatting sqref="I40:I1048576 I1:I8 M9">
    <cfRule type="colorScale" priority="52">
      <colorScale>
        <cfvo type="min"/>
        <cfvo type="percentile" val="50"/>
        <cfvo type="max"/>
        <color rgb="FF63BE7B"/>
        <color rgb="FFFFEB84"/>
        <color rgb="FFF8696B"/>
      </colorScale>
    </cfRule>
  </conditionalFormatting>
  <conditionalFormatting sqref="S9:T9">
    <cfRule type="colorScale" priority="51">
      <colorScale>
        <cfvo type="min"/>
        <cfvo type="percentile" val="50"/>
        <cfvo type="max"/>
        <color rgb="FF63BE7B"/>
        <color rgb="FFFFEB84"/>
        <color rgb="FFF8696B"/>
      </colorScale>
    </cfRule>
  </conditionalFormatting>
  <conditionalFormatting sqref="C40:C1048576 C1:C9 D9">
    <cfRule type="colorScale" priority="48">
      <colorScale>
        <cfvo type="min"/>
        <cfvo type="percentile" val="50"/>
        <cfvo type="max"/>
        <color rgb="FF63BE7B"/>
        <color rgb="FFFFEB84"/>
        <color rgb="FFF8696B"/>
      </colorScale>
    </cfRule>
  </conditionalFormatting>
  <conditionalFormatting sqref="R40:R110">
    <cfRule type="colorScale" priority="1028">
      <colorScale>
        <cfvo type="min"/>
        <cfvo type="percentile" val="50"/>
        <cfvo type="max"/>
        <color rgb="FFF8696B"/>
        <color rgb="FFFFEB84"/>
        <color rgb="FF63BE7B"/>
      </colorScale>
    </cfRule>
  </conditionalFormatting>
  <conditionalFormatting sqref="V10">
    <cfRule type="colorScale" priority="44">
      <colorScale>
        <cfvo type="min"/>
        <cfvo type="percentile" val="50"/>
        <cfvo type="max"/>
        <color rgb="FFF8696B"/>
        <color rgb="FFFFEB84"/>
        <color rgb="FF63BE7B"/>
      </colorScale>
    </cfRule>
  </conditionalFormatting>
  <conditionalFormatting sqref="V10">
    <cfRule type="colorScale" priority="43">
      <colorScale>
        <cfvo type="min"/>
        <cfvo type="percentile" val="50"/>
        <cfvo type="max"/>
        <color rgb="FFF8696B"/>
        <color rgb="FFFFEB84"/>
        <color rgb="FF63BE7B"/>
      </colorScale>
    </cfRule>
  </conditionalFormatting>
  <conditionalFormatting sqref="W10">
    <cfRule type="colorScale" priority="42">
      <colorScale>
        <cfvo type="min"/>
        <cfvo type="percentile" val="50"/>
        <cfvo type="max"/>
        <color rgb="FFF8696B"/>
        <color rgb="FFFFEB84"/>
        <color rgb="FF63BE7B"/>
      </colorScale>
    </cfRule>
  </conditionalFormatting>
  <conditionalFormatting sqref="W10">
    <cfRule type="colorScale" priority="41">
      <colorScale>
        <cfvo type="min"/>
        <cfvo type="percentile" val="50"/>
        <cfvo type="max"/>
        <color rgb="FFF8696B"/>
        <color rgb="FFFFEB84"/>
        <color rgb="FF63BE7B"/>
      </colorScale>
    </cfRule>
  </conditionalFormatting>
  <conditionalFormatting sqref="K40:K1048576 P9:R9 K1:K8">
    <cfRule type="colorScale" priority="1029">
      <colorScale>
        <cfvo type="min"/>
        <cfvo type="percentile" val="50"/>
        <cfvo type="max"/>
        <color rgb="FF63BE7B"/>
        <color rgb="FFFFEB84"/>
        <color rgb="FFF8696B"/>
      </colorScale>
    </cfRule>
  </conditionalFormatting>
  <conditionalFormatting sqref="E10">
    <cfRule type="colorScale" priority="19">
      <colorScale>
        <cfvo type="min"/>
        <cfvo type="percentile" val="50"/>
        <cfvo type="max"/>
        <color rgb="FF63BE7B"/>
        <color rgb="FFFFEB84"/>
        <color rgb="FFF8696B"/>
      </colorScale>
    </cfRule>
  </conditionalFormatting>
  <conditionalFormatting sqref="F10">
    <cfRule type="colorScale" priority="18">
      <colorScale>
        <cfvo type="min"/>
        <cfvo type="percentile" val="50"/>
        <cfvo type="max"/>
        <color rgb="FF63BE7B"/>
        <color rgb="FFFFEB84"/>
        <color rgb="FFF8696B"/>
      </colorScale>
    </cfRule>
  </conditionalFormatting>
  <conditionalFormatting sqref="F10:F39">
    <cfRule type="containsText" dxfId="522" priority="17" operator="containsText" text="@">
      <formula>NOT(ISERROR(SEARCH("@",F10)))</formula>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1:U39">
    <cfRule type="colorScale" priority="3125">
      <colorScale>
        <cfvo type="min"/>
        <cfvo type="percentile" val="50"/>
        <cfvo type="max"/>
        <color rgb="FFF8696B"/>
        <color rgb="FFFFEB84"/>
        <color rgb="FF63BE7B"/>
      </colorScale>
    </cfRule>
  </conditionalFormatting>
  <conditionalFormatting sqref="V11:V39">
    <cfRule type="colorScale" priority="3127">
      <colorScale>
        <cfvo type="min"/>
        <cfvo type="percentile" val="50"/>
        <cfvo type="max"/>
        <color rgb="FFF8696B"/>
        <color rgb="FFFFEB84"/>
        <color rgb="FF63BE7B"/>
      </colorScale>
    </cfRule>
  </conditionalFormatting>
  <conditionalFormatting sqref="W11:W39">
    <cfRule type="colorScale" priority="3129">
      <colorScale>
        <cfvo type="min"/>
        <cfvo type="percentile" val="50"/>
        <cfvo type="max"/>
        <color rgb="FFF8696B"/>
        <color rgb="FFFFEB84"/>
        <color rgb="FF63BE7B"/>
      </colorScale>
    </cfRule>
  </conditionalFormatting>
  <conditionalFormatting sqref="T10:T39">
    <cfRule type="dataBar" priority="3131">
      <dataBar>
        <cfvo type="min"/>
        <cfvo type="max"/>
        <color rgb="FFFF555A"/>
      </dataBar>
      <extLst>
        <ext xmlns:x14="http://schemas.microsoft.com/office/spreadsheetml/2009/9/main" uri="{B025F937-C7B1-47D3-B67F-A62EFF666E3E}">
          <x14:id>{CFC7CE5C-1C17-476A-A2B6-7FBE704D85A6}</x14:id>
        </ext>
      </extLst>
    </cfRule>
  </conditionalFormatting>
  <conditionalFormatting sqref="J10:J39">
    <cfRule type="colorScale" priority="3133">
      <colorScale>
        <cfvo type="min"/>
        <cfvo type="percentile" val="50"/>
        <cfvo type="max"/>
        <color rgb="FFF8696B"/>
        <color rgb="FFFFEB84"/>
        <color rgb="FF63BE7B"/>
      </colorScale>
    </cfRule>
  </conditionalFormatting>
  <conditionalFormatting sqref="K10:K39">
    <cfRule type="colorScale" priority="3135">
      <colorScale>
        <cfvo type="min"/>
        <cfvo type="percentile" val="50"/>
        <cfvo type="max"/>
        <color rgb="FF63BE7B"/>
        <color rgb="FFFFEB84"/>
        <color rgb="FFF8696B"/>
      </colorScale>
    </cfRule>
  </conditionalFormatting>
  <conditionalFormatting sqref="L10:L39">
    <cfRule type="colorScale" priority="3137">
      <colorScale>
        <cfvo type="min"/>
        <cfvo type="percentile" val="50"/>
        <cfvo type="max"/>
        <color rgb="FF63BE7B"/>
        <color rgb="FFFFEB84"/>
        <color rgb="FFF8696B"/>
      </colorScale>
    </cfRule>
  </conditionalFormatting>
  <conditionalFormatting sqref="O10:O39">
    <cfRule type="colorScale" priority="3">
      <colorScale>
        <cfvo type="min"/>
        <cfvo type="percentile" val="50"/>
        <cfvo type="max"/>
        <color rgb="FF63BE7B"/>
        <color rgb="FFFFEB84"/>
        <color rgb="FFF8696B"/>
      </colorScale>
    </cfRule>
  </conditionalFormatting>
  <conditionalFormatting sqref="M10:M39">
    <cfRule type="colorScale" priority="3141">
      <colorScale>
        <cfvo type="min"/>
        <cfvo type="percentile" val="50"/>
        <cfvo type="max"/>
        <color rgb="FF63BE7B"/>
        <color rgb="FFFFEB84"/>
        <color rgb="FFF8696B"/>
      </colorScale>
    </cfRule>
  </conditionalFormatting>
  <conditionalFormatting sqref="S10:S39">
    <cfRule type="dataBar" priority="3143">
      <dataBar>
        <cfvo type="min"/>
        <cfvo type="max"/>
        <color rgb="FFFF555A"/>
      </dataBar>
      <extLst>
        <ext xmlns:x14="http://schemas.microsoft.com/office/spreadsheetml/2009/9/main" uri="{B025F937-C7B1-47D3-B67F-A62EFF666E3E}">
          <x14:id>{1279E261-E1E6-48D7-8225-AB0B77572400}</x14:id>
        </ext>
      </extLst>
    </cfRule>
  </conditionalFormatting>
  <conditionalFormatting sqref="C10:D39">
    <cfRule type="colorScale" priority="3145">
      <colorScale>
        <cfvo type="min"/>
        <cfvo type="percentile" val="50"/>
        <cfvo type="max"/>
        <color rgb="FF63BE7B"/>
        <color rgb="FFFFEB84"/>
        <color rgb="FFF8696B"/>
      </colorScale>
    </cfRule>
  </conditionalFormatting>
  <conditionalFormatting sqref="G10:G39">
    <cfRule type="iconSet" priority="3147">
      <iconSet iconSet="3Symbols" reverse="1">
        <cfvo type="percent" val="0"/>
        <cfvo type="percent" val="33"/>
        <cfvo type="percent" val="67"/>
      </iconSet>
    </cfRule>
    <cfRule type="colorScale" priority="3148">
      <colorScale>
        <cfvo type="min"/>
        <cfvo type="percentile" val="50"/>
        <cfvo type="max"/>
        <color rgb="FF63BE7B"/>
        <color rgb="FFFFEB84"/>
        <color rgb="FFF8696B"/>
      </colorScale>
    </cfRule>
  </conditionalFormatting>
  <conditionalFormatting sqref="O10:O39">
    <cfRule type="colorScale" priority="3151">
      <colorScale>
        <cfvo type="min"/>
        <cfvo type="percentile" val="50"/>
        <cfvo type="max"/>
        <color rgb="FF63BE7B"/>
        <color rgb="FFFFEB84"/>
        <color rgb="FFF8696B"/>
      </colorScale>
    </cfRule>
  </conditionalFormatting>
  <conditionalFormatting sqref="P10:R39">
    <cfRule type="colorScale" priority="3153">
      <colorScale>
        <cfvo type="min"/>
        <cfvo type="percentile" val="50"/>
        <cfvo type="max"/>
        <color rgb="FF63BE7B"/>
        <color rgb="FFFFEB84"/>
        <color rgb="FFF8696B"/>
      </colorScale>
    </cfRule>
  </conditionalFormatting>
  <conditionalFormatting sqref="P10:P39">
    <cfRule type="colorScale" priority="3155">
      <colorScale>
        <cfvo type="min"/>
        <cfvo type="percentile" val="50"/>
        <cfvo type="max"/>
        <color rgb="FF63BE7B"/>
        <color rgb="FFFFEB84"/>
        <color rgb="FFF8696B"/>
      </colorScale>
    </cfRule>
  </conditionalFormatting>
  <conditionalFormatting sqref="N10:N39">
    <cfRule type="dataBar" priority="3157">
      <dataBar>
        <cfvo type="min"/>
        <cfvo type="max"/>
        <color rgb="FF63C384"/>
      </dataBar>
      <extLst>
        <ext xmlns:x14="http://schemas.microsoft.com/office/spreadsheetml/2009/9/main" uri="{B025F937-C7B1-47D3-B67F-A62EFF666E3E}">
          <x14:id>{29E1AE19-06A5-4F8B-B6D7-526EF10DE3F0}</x14:id>
        </ext>
      </extLst>
    </cfRule>
  </conditionalFormatting>
  <conditionalFormatting sqref="H10:H39">
    <cfRule type="colorScale" priority="3159">
      <colorScale>
        <cfvo type="min"/>
        <cfvo type="percentile" val="50"/>
        <cfvo type="max"/>
        <color rgb="FFF8696B"/>
        <color rgb="FFFFEB84"/>
        <color rgb="FF63BE7B"/>
      </colorScale>
    </cfRule>
    <cfRule type="iconSet" priority="1">
      <iconSet iconSet="3Symbols">
        <cfvo type="percent" val="0"/>
        <cfvo type="percent" val="33"/>
        <cfvo type="percent" val="67"/>
      </iconSet>
    </cfRule>
  </conditionalFormatting>
  <conditionalFormatting sqref="I10:I39">
    <cfRule type="colorScale" priority="3161">
      <colorScale>
        <cfvo type="min"/>
        <cfvo type="percentile" val="50"/>
        <cfvo type="max"/>
        <color rgb="FF63BE7B"/>
        <color rgb="FFFFEB84"/>
        <color rgb="FFF8696B"/>
      </colorScale>
    </cfRule>
  </conditionalFormatting>
  <conditionalFormatting sqref="D10:D39">
    <cfRule type="colorScale" priority="2">
      <colorScale>
        <cfvo type="min"/>
        <cfvo type="percentile" val="50"/>
        <cfvo type="max"/>
        <color rgb="FF63BE7B"/>
        <color rgb="FFFCFCFF"/>
        <color rgb="FFF8696B"/>
      </colorScale>
    </cfRule>
  </conditionalFormatting>
  <conditionalFormatting sqref="C10:C39">
    <cfRule type="colorScale" priority="3165">
      <colorScale>
        <cfvo type="min"/>
        <cfvo type="percentile" val="50"/>
        <cfvo type="max"/>
        <color rgb="FF63BE7B"/>
        <color rgb="FFFFEB84"/>
        <color rgb="FFF8696B"/>
      </colorScale>
    </cfRule>
  </conditionalFormatting>
  <hyperlinks>
    <hyperlink ref="B5" r:id="rId1"/>
  </hyperlinks>
  <pageMargins left="0.7" right="0.7" top="0.75" bottom="0.75" header="0.3" footer="0.3"/>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CFC7CE5C-1C17-476A-A2B6-7FBE704D85A6}">
            <x14:dataBar minLength="0" maxLength="100" border="1" negativeBarBorderColorSameAsPositive="0">
              <x14:cfvo type="autoMin"/>
              <x14:cfvo type="autoMax"/>
              <x14:borderColor rgb="FFFF555A"/>
              <x14:negativeFillColor rgb="FFFF0000"/>
              <x14:negativeBorderColor rgb="FFFF0000"/>
              <x14:axisColor rgb="FF000000"/>
            </x14:dataBar>
          </x14:cfRule>
          <xm:sqref>T10:T39</xm:sqref>
        </x14:conditionalFormatting>
        <x14:conditionalFormatting xmlns:xm="http://schemas.microsoft.com/office/excel/2006/main">
          <x14:cfRule type="dataBar" id="{1279E261-E1E6-48D7-8225-AB0B77572400}">
            <x14:dataBar minLength="0" maxLength="100" border="1" negativeBarBorderColorSameAsPositive="0">
              <x14:cfvo type="autoMin"/>
              <x14:cfvo type="autoMax"/>
              <x14:borderColor rgb="FFFF555A"/>
              <x14:negativeFillColor rgb="FFFF0000"/>
              <x14:negativeBorderColor rgb="FFFF0000"/>
              <x14:axisColor rgb="FF000000"/>
            </x14:dataBar>
          </x14:cfRule>
          <xm:sqref>S10:S39</xm:sqref>
        </x14:conditionalFormatting>
        <x14:conditionalFormatting xmlns:xm="http://schemas.microsoft.com/office/excel/2006/main">
          <x14:cfRule type="dataBar" id="{29E1AE19-06A5-4F8B-B6D7-526EF10DE3F0}">
            <x14:dataBar minLength="0" maxLength="100" border="1" negativeBarBorderColorSameAsPositive="0">
              <x14:cfvo type="autoMin"/>
              <x14:cfvo type="autoMax"/>
              <x14:borderColor rgb="FF63C384"/>
              <x14:negativeFillColor rgb="FFFF0000"/>
              <x14:negativeBorderColor rgb="FFFF0000"/>
              <x14:axisColor rgb="FF000000"/>
            </x14:dataBar>
          </x14:cfRule>
          <xm:sqref>N10:N39</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9"/>
  <sheetViews>
    <sheetView workbookViewId="0">
      <selection sqref="A1:H329"/>
    </sheetView>
  </sheetViews>
  <sheetFormatPr defaultRowHeight="14.4" x14ac:dyDescent="0.3"/>
  <cols>
    <col min="1" max="1" width="5.77734375" customWidth="1"/>
    <col min="2" max="2" width="7.44140625" bestFit="1" customWidth="1"/>
    <col min="3" max="3" width="18.88671875" customWidth="1"/>
    <col min="4" max="4" width="7.77734375" customWidth="1"/>
    <col min="5" max="5" width="11.77734375" bestFit="1" customWidth="1"/>
    <col min="6" max="6" width="9.77734375" customWidth="1"/>
    <col min="7" max="7" width="12.109375" bestFit="1" customWidth="1"/>
    <col min="8" max="8" width="13" bestFit="1" customWidth="1"/>
  </cols>
  <sheetData>
    <row r="1" spans="1:8" x14ac:dyDescent="0.3">
      <c r="A1" s="101" t="s">
        <v>413</v>
      </c>
      <c r="B1" s="101" t="s">
        <v>387</v>
      </c>
      <c r="C1" s="101" t="s">
        <v>415</v>
      </c>
      <c r="D1" s="101" t="s">
        <v>416</v>
      </c>
      <c r="E1" s="101" t="s">
        <v>604</v>
      </c>
      <c r="F1" s="101" t="s">
        <v>749</v>
      </c>
      <c r="G1" t="s">
        <v>1566</v>
      </c>
      <c r="H1" t="s">
        <v>1565</v>
      </c>
    </row>
    <row r="2" spans="1:8" x14ac:dyDescent="0.3">
      <c r="A2" s="101" t="s">
        <v>405</v>
      </c>
      <c r="B2" s="101" t="s">
        <v>404</v>
      </c>
      <c r="C2" s="101" t="s">
        <v>8</v>
      </c>
      <c r="D2" s="101">
        <v>7900</v>
      </c>
      <c r="E2" s="101">
        <v>25.106020833333332</v>
      </c>
      <c r="F2" s="101">
        <v>314.66559999999998</v>
      </c>
      <c r="G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NO QB1</v>
      </c>
      <c r="H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NO QB1</v>
      </c>
    </row>
    <row r="3" spans="1:8" x14ac:dyDescent="0.3">
      <c r="A3" s="101" t="s">
        <v>405</v>
      </c>
      <c r="B3" s="101" t="s">
        <v>22</v>
      </c>
      <c r="C3" s="101" t="s">
        <v>21</v>
      </c>
      <c r="D3" s="101">
        <v>7800</v>
      </c>
      <c r="E3" s="101">
        <v>21.519829166666664</v>
      </c>
      <c r="F3" s="101">
        <v>362.45639999999997</v>
      </c>
      <c r="G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CAR QB1</v>
      </c>
      <c r="H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CAR QB1</v>
      </c>
    </row>
    <row r="4" spans="1:8" x14ac:dyDescent="0.3">
      <c r="A4" s="101" t="s">
        <v>405</v>
      </c>
      <c r="B4" s="101" t="s">
        <v>24</v>
      </c>
      <c r="C4" s="101" t="s">
        <v>23</v>
      </c>
      <c r="D4" s="101">
        <v>7200</v>
      </c>
      <c r="E4" s="101">
        <v>20.047866666666671</v>
      </c>
      <c r="F4" s="101">
        <v>359.14049999999997</v>
      </c>
      <c r="G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ARI QB1</v>
      </c>
      <c r="H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ARI QB1</v>
      </c>
    </row>
    <row r="5" spans="1:8" x14ac:dyDescent="0.3">
      <c r="A5" s="101" t="s">
        <v>405</v>
      </c>
      <c r="B5" s="101" t="s">
        <v>37</v>
      </c>
      <c r="C5" s="101" t="s">
        <v>36</v>
      </c>
      <c r="D5" s="101">
        <v>7000</v>
      </c>
      <c r="E5" s="101">
        <v>18.160988333333329</v>
      </c>
      <c r="F5" s="101">
        <v>385.44159999999999</v>
      </c>
      <c r="G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NYG QB1</v>
      </c>
      <c r="H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NYG QB1</v>
      </c>
    </row>
    <row r="6" spans="1:8" x14ac:dyDescent="0.3">
      <c r="A6" s="101" t="s">
        <v>405</v>
      </c>
      <c r="B6" s="101" t="s">
        <v>26</v>
      </c>
      <c r="C6" s="101" t="s">
        <v>25</v>
      </c>
      <c r="D6" s="101">
        <v>6800</v>
      </c>
      <c r="E6" s="101">
        <v>19.264366666666668</v>
      </c>
      <c r="F6" s="101">
        <v>352.98329999999999</v>
      </c>
      <c r="G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DET QB1</v>
      </c>
      <c r="H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DET QB1</v>
      </c>
    </row>
    <row r="7" spans="1:8" x14ac:dyDescent="0.3">
      <c r="A7" s="101" t="s">
        <v>405</v>
      </c>
      <c r="B7" s="101" t="s">
        <v>12</v>
      </c>
      <c r="C7" s="101" t="s">
        <v>11</v>
      </c>
      <c r="D7" s="101">
        <v>6500</v>
      </c>
      <c r="E7" s="101">
        <v>19.923425833333333</v>
      </c>
      <c r="F7" s="101">
        <v>326.2491</v>
      </c>
      <c r="G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JAX QB1</v>
      </c>
      <c r="H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JAX QB1</v>
      </c>
    </row>
    <row r="8" spans="1:8" x14ac:dyDescent="0.3">
      <c r="A8" s="101" t="s">
        <v>405</v>
      </c>
      <c r="B8" s="101" t="s">
        <v>395</v>
      </c>
      <c r="C8" s="101" t="s">
        <v>5</v>
      </c>
      <c r="D8" s="101">
        <v>7700</v>
      </c>
      <c r="E8" s="101">
        <v>19.723555000000001</v>
      </c>
      <c r="F8" s="101">
        <v>390.39620000000002</v>
      </c>
      <c r="G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GB QB1</v>
      </c>
      <c r="H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GB QB1</v>
      </c>
    </row>
    <row r="9" spans="1:8" x14ac:dyDescent="0.3">
      <c r="A9" s="101" t="s">
        <v>405</v>
      </c>
      <c r="B9" s="101" t="s">
        <v>407</v>
      </c>
      <c r="C9" s="101" t="s">
        <v>40</v>
      </c>
      <c r="D9" s="101">
        <v>6700</v>
      </c>
      <c r="E9" s="101">
        <v>18.590613333333337</v>
      </c>
      <c r="F9" s="101">
        <v>360.39690000000002</v>
      </c>
      <c r="G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SD QB1</v>
      </c>
      <c r="H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SD QB1</v>
      </c>
    </row>
    <row r="10" spans="1:8" x14ac:dyDescent="0.3">
      <c r="A10" s="101" t="s">
        <v>405</v>
      </c>
      <c r="B10" s="101" t="s">
        <v>4</v>
      </c>
      <c r="C10" s="101" t="s">
        <v>3</v>
      </c>
      <c r="D10" s="101">
        <v>6900</v>
      </c>
      <c r="E10" s="101">
        <v>18.235399999999998</v>
      </c>
      <c r="F10" s="101">
        <v>378.38490000000002</v>
      </c>
      <c r="G1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QB1</v>
      </c>
      <c r="H1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QB1</v>
      </c>
    </row>
    <row r="11" spans="1:8" x14ac:dyDescent="0.3">
      <c r="A11" s="101" t="s">
        <v>405</v>
      </c>
      <c r="B11" s="101" t="s">
        <v>16</v>
      </c>
      <c r="C11" s="101" t="s">
        <v>15</v>
      </c>
      <c r="D11" s="101">
        <v>7600</v>
      </c>
      <c r="E11" s="101">
        <v>19.342775</v>
      </c>
      <c r="F11" s="101">
        <v>392.91160000000002</v>
      </c>
      <c r="G1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IND QB1</v>
      </c>
      <c r="H1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IND QB1</v>
      </c>
    </row>
    <row r="12" spans="1:8" x14ac:dyDescent="0.3">
      <c r="A12" s="101" t="s">
        <v>405</v>
      </c>
      <c r="B12" s="101" t="s">
        <v>57</v>
      </c>
      <c r="C12" s="101" t="s">
        <v>56</v>
      </c>
      <c r="D12" s="101">
        <v>6200</v>
      </c>
      <c r="E12" s="101">
        <v>17.9743025</v>
      </c>
      <c r="F12" s="101">
        <v>344.93689999999998</v>
      </c>
      <c r="G1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MIA QB1</v>
      </c>
      <c r="H1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MIA QB1</v>
      </c>
    </row>
    <row r="13" spans="1:8" x14ac:dyDescent="0.3">
      <c r="A13" s="101" t="s">
        <v>405</v>
      </c>
      <c r="B13" s="101" t="s">
        <v>30</v>
      </c>
      <c r="C13" s="101" t="s">
        <v>29</v>
      </c>
      <c r="D13" s="101">
        <v>5900</v>
      </c>
      <c r="E13" s="101">
        <v>17.748027499999999</v>
      </c>
      <c r="F13" s="101">
        <v>332.43130000000002</v>
      </c>
      <c r="G1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TEN QB1</v>
      </c>
      <c r="H1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TEN QB1</v>
      </c>
    </row>
    <row r="14" spans="1:8" x14ac:dyDescent="0.3">
      <c r="A14" s="101" t="s">
        <v>405</v>
      </c>
      <c r="B14" s="101" t="s">
        <v>7</v>
      </c>
      <c r="C14" s="101" t="s">
        <v>6</v>
      </c>
      <c r="D14" s="101">
        <v>7100</v>
      </c>
      <c r="E14" s="101">
        <v>18.118735833333336</v>
      </c>
      <c r="F14" s="101">
        <v>391.8596</v>
      </c>
      <c r="G1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SEA QB1</v>
      </c>
      <c r="H1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SEA QB1</v>
      </c>
    </row>
    <row r="15" spans="1:8" x14ac:dyDescent="0.3">
      <c r="A15" s="101" t="s">
        <v>405</v>
      </c>
      <c r="B15" s="101" t="s">
        <v>20</v>
      </c>
      <c r="C15" s="101" t="s">
        <v>19</v>
      </c>
      <c r="D15" s="101">
        <v>7300</v>
      </c>
      <c r="E15" s="101">
        <v>18.425433333333331</v>
      </c>
      <c r="F15" s="101">
        <v>396.19150000000002</v>
      </c>
      <c r="G1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PIT QB1</v>
      </c>
      <c r="H1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PIT QB1</v>
      </c>
    </row>
    <row r="16" spans="1:8" x14ac:dyDescent="0.3">
      <c r="A16" s="101" t="s">
        <v>405</v>
      </c>
      <c r="B16" s="101" t="s">
        <v>18</v>
      </c>
      <c r="C16" s="101" t="s">
        <v>17</v>
      </c>
      <c r="D16" s="101">
        <v>6400</v>
      </c>
      <c r="E16" s="101">
        <v>17.582573333333336</v>
      </c>
      <c r="F16" s="101">
        <v>363.99680000000001</v>
      </c>
      <c r="G1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QB1</v>
      </c>
      <c r="H1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QB1</v>
      </c>
    </row>
    <row r="17" spans="1:8" x14ac:dyDescent="0.3">
      <c r="A17" s="101" t="s">
        <v>405</v>
      </c>
      <c r="B17" s="101" t="s">
        <v>50</v>
      </c>
      <c r="C17" s="101" t="s">
        <v>49</v>
      </c>
      <c r="D17" s="101">
        <v>7400</v>
      </c>
      <c r="E17" s="101">
        <v>18.242420000000003</v>
      </c>
      <c r="F17" s="101">
        <v>405.64789999999999</v>
      </c>
      <c r="G1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ATL QB1</v>
      </c>
      <c r="H1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ATL QB1</v>
      </c>
    </row>
    <row r="18" spans="1:8" x14ac:dyDescent="0.3">
      <c r="A18" s="101" t="s">
        <v>405</v>
      </c>
      <c r="B18" s="101" t="s">
        <v>52</v>
      </c>
      <c r="C18" s="101" t="s">
        <v>444</v>
      </c>
      <c r="D18" s="101">
        <v>5700</v>
      </c>
      <c r="E18" s="101">
        <v>17.386741666666666</v>
      </c>
      <c r="F18" s="101">
        <v>327.83600000000001</v>
      </c>
      <c r="G1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DAL QB1</v>
      </c>
      <c r="H1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DAL QB1</v>
      </c>
    </row>
    <row r="19" spans="1:8" x14ac:dyDescent="0.3">
      <c r="A19" s="101" t="s">
        <v>405</v>
      </c>
      <c r="B19" s="101" t="s">
        <v>32</v>
      </c>
      <c r="C19" s="101" t="s">
        <v>31</v>
      </c>
      <c r="D19" s="101">
        <v>6100</v>
      </c>
      <c r="E19" s="101">
        <v>17.574133333333339</v>
      </c>
      <c r="F19" s="101">
        <v>347.101</v>
      </c>
      <c r="G1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QB1</v>
      </c>
      <c r="H1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QB1</v>
      </c>
    </row>
    <row r="20" spans="1:8" x14ac:dyDescent="0.3">
      <c r="A20" s="101" t="s">
        <v>405</v>
      </c>
      <c r="B20" s="101" t="s">
        <v>39</v>
      </c>
      <c r="C20" s="101" t="s">
        <v>450</v>
      </c>
      <c r="D20" s="101">
        <v>5500</v>
      </c>
      <c r="E20" s="101">
        <v>15.897195833333333</v>
      </c>
      <c r="F20" s="101">
        <v>345.97300000000001</v>
      </c>
      <c r="G2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PHI QB1</v>
      </c>
      <c r="H2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PHI QB1</v>
      </c>
    </row>
    <row r="21" spans="1:8" x14ac:dyDescent="0.3">
      <c r="A21" s="101" t="s">
        <v>405</v>
      </c>
      <c r="B21" s="101" t="s">
        <v>402</v>
      </c>
      <c r="C21" s="101" t="s">
        <v>449</v>
      </c>
      <c r="D21" s="101">
        <v>5000</v>
      </c>
      <c r="E21" s="101">
        <v>16.418975</v>
      </c>
      <c r="F21" s="101">
        <v>304.52569999999997</v>
      </c>
      <c r="G2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NE QB1</v>
      </c>
      <c r="H2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NE QB1</v>
      </c>
    </row>
    <row r="22" spans="1:8" x14ac:dyDescent="0.3">
      <c r="A22" s="101" t="s">
        <v>405</v>
      </c>
      <c r="B22" s="101" t="s">
        <v>34</v>
      </c>
      <c r="C22" s="101" t="s">
        <v>411</v>
      </c>
      <c r="D22" s="101">
        <v>5900</v>
      </c>
      <c r="E22" s="101">
        <v>16.976866666666666</v>
      </c>
      <c r="F22" s="101">
        <v>347.5317</v>
      </c>
      <c r="G2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NYJ QB1</v>
      </c>
      <c r="H2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NYJ QB1</v>
      </c>
    </row>
    <row r="23" spans="1:8" x14ac:dyDescent="0.3">
      <c r="A23" s="101" t="s">
        <v>405</v>
      </c>
      <c r="B23" s="101" t="s">
        <v>28</v>
      </c>
      <c r="C23" s="101" t="s">
        <v>27</v>
      </c>
      <c r="D23" s="101">
        <v>5700</v>
      </c>
      <c r="E23" s="101">
        <v>18.085789999999999</v>
      </c>
      <c r="F23" s="101">
        <v>315.16460000000001</v>
      </c>
      <c r="G2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CIN QB1</v>
      </c>
      <c r="H2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CIN QB1</v>
      </c>
    </row>
    <row r="24" spans="1:8" x14ac:dyDescent="0.3">
      <c r="A24" s="101" t="s">
        <v>405</v>
      </c>
      <c r="B24" s="101" t="s">
        <v>10</v>
      </c>
      <c r="C24" s="101" t="s">
        <v>9</v>
      </c>
      <c r="D24" s="101">
        <v>5800</v>
      </c>
      <c r="E24" s="101">
        <v>18.439083333333333</v>
      </c>
      <c r="F24" s="101">
        <v>314.54930000000002</v>
      </c>
      <c r="G2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BUF QB1</v>
      </c>
      <c r="H2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BUF QB1</v>
      </c>
    </row>
    <row r="25" spans="1:8" x14ac:dyDescent="0.3">
      <c r="A25" s="101" t="s">
        <v>405</v>
      </c>
      <c r="B25" s="101" t="s">
        <v>401</v>
      </c>
      <c r="C25" s="101" t="s">
        <v>44</v>
      </c>
      <c r="D25" s="101">
        <v>6000</v>
      </c>
      <c r="E25" s="101">
        <v>16.4912125</v>
      </c>
      <c r="F25" s="101">
        <v>363.83010000000002</v>
      </c>
      <c r="G2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TB QB1</v>
      </c>
      <c r="H2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TB QB1</v>
      </c>
    </row>
    <row r="26" spans="1:8" x14ac:dyDescent="0.3">
      <c r="A26" s="101" t="s">
        <v>405</v>
      </c>
      <c r="B26" s="101" t="s">
        <v>397</v>
      </c>
      <c r="C26" s="101" t="s">
        <v>35</v>
      </c>
      <c r="D26" s="101">
        <v>5800</v>
      </c>
      <c r="E26" s="101">
        <v>15.485788333333334</v>
      </c>
      <c r="F26" s="101">
        <v>374.53699999999998</v>
      </c>
      <c r="G2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KC QB1</v>
      </c>
      <c r="H2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KC QB1</v>
      </c>
    </row>
    <row r="27" spans="1:8" x14ac:dyDescent="0.3">
      <c r="A27" s="101" t="s">
        <v>405</v>
      </c>
      <c r="B27" s="101" t="s">
        <v>43</v>
      </c>
      <c r="C27" s="101" t="s">
        <v>42</v>
      </c>
      <c r="D27" s="101">
        <v>6000</v>
      </c>
      <c r="E27" s="101">
        <v>15.012066666666664</v>
      </c>
      <c r="F27" s="101">
        <v>399.67849999999999</v>
      </c>
      <c r="G2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HOU QB1</v>
      </c>
      <c r="H2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HOU QB1</v>
      </c>
    </row>
    <row r="28" spans="1:8" x14ac:dyDescent="0.3">
      <c r="A28" s="101" t="s">
        <v>405</v>
      </c>
      <c r="B28" s="101" t="s">
        <v>41</v>
      </c>
      <c r="C28" s="101" t="s">
        <v>38</v>
      </c>
      <c r="D28" s="101">
        <v>5300</v>
      </c>
      <c r="E28" s="101">
        <v>13.241866666666667</v>
      </c>
      <c r="F28" s="101">
        <v>400.2457</v>
      </c>
      <c r="G2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QB1</v>
      </c>
      <c r="H2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QB1</v>
      </c>
    </row>
    <row r="29" spans="1:8" x14ac:dyDescent="0.3">
      <c r="A29" s="101" t="s">
        <v>405</v>
      </c>
      <c r="B29" s="101" t="s">
        <v>398</v>
      </c>
      <c r="C29" s="101" t="s">
        <v>47</v>
      </c>
      <c r="D29" s="101">
        <v>5000</v>
      </c>
      <c r="E29" s="101">
        <v>13.000900000000001</v>
      </c>
      <c r="F29" s="101">
        <v>384.58879999999999</v>
      </c>
      <c r="G2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SF QB1</v>
      </c>
      <c r="H2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SF QB1</v>
      </c>
    </row>
    <row r="30" spans="1:8" x14ac:dyDescent="0.3">
      <c r="A30" s="101" t="s">
        <v>405</v>
      </c>
      <c r="B30" s="101" t="s">
        <v>70</v>
      </c>
      <c r="C30" s="101" t="s">
        <v>1240</v>
      </c>
      <c r="D30" s="101">
        <v>5100</v>
      </c>
      <c r="E30" s="101">
        <v>12.410246666666668</v>
      </c>
      <c r="F30" s="101">
        <v>410.95069999999998</v>
      </c>
      <c r="G3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DEN QB1</v>
      </c>
      <c r="H3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DEN QB1</v>
      </c>
    </row>
    <row r="31" spans="1:8" x14ac:dyDescent="0.3">
      <c r="A31" s="101" t="s">
        <v>405</v>
      </c>
      <c r="B31" s="101" t="s">
        <v>409</v>
      </c>
      <c r="C31" s="101" t="s">
        <v>63</v>
      </c>
      <c r="D31" s="101">
        <v>5000</v>
      </c>
      <c r="E31" s="101">
        <v>11.238593333333334</v>
      </c>
      <c r="F31" s="101">
        <v>444.89550000000003</v>
      </c>
      <c r="G3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LA QB1</v>
      </c>
      <c r="H3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LA QB1</v>
      </c>
    </row>
    <row r="32" spans="1:8" x14ac:dyDescent="0.3">
      <c r="A32" s="101" t="s">
        <v>405</v>
      </c>
      <c r="B32" s="101" t="s">
        <v>14</v>
      </c>
      <c r="C32" s="101" t="s">
        <v>445</v>
      </c>
      <c r="D32" s="101">
        <v>5000</v>
      </c>
      <c r="E32" s="101">
        <v>6.600340000000001</v>
      </c>
      <c r="F32" s="101">
        <v>757.5367</v>
      </c>
      <c r="G3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CLE QB1</v>
      </c>
      <c r="H3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CLE QB1</v>
      </c>
    </row>
    <row r="33" spans="1:8" x14ac:dyDescent="0.3">
      <c r="A33" s="101" t="s">
        <v>405</v>
      </c>
      <c r="B33" s="101" t="s">
        <v>46</v>
      </c>
      <c r="C33" s="101" t="s">
        <v>45</v>
      </c>
      <c r="D33" s="101">
        <v>5000</v>
      </c>
      <c r="E33" s="101">
        <v>7.956570000000001</v>
      </c>
      <c r="F33" s="101">
        <v>628.41150000000005</v>
      </c>
      <c r="G3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CHI QB1</v>
      </c>
      <c r="H3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CHI QB1</v>
      </c>
    </row>
    <row r="34" spans="1:8" x14ac:dyDescent="0.3">
      <c r="A34" s="101" t="s">
        <v>394</v>
      </c>
      <c r="B34" s="101" t="s">
        <v>20</v>
      </c>
      <c r="C34" s="101" t="s">
        <v>88</v>
      </c>
      <c r="D34" s="101">
        <v>7500</v>
      </c>
      <c r="E34" s="101">
        <v>19.277266666666669</v>
      </c>
      <c r="F34" s="101">
        <v>389.05930000000001</v>
      </c>
      <c r="G3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PIT RB1</v>
      </c>
      <c r="H3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PIT RB1</v>
      </c>
    </row>
    <row r="35" spans="1:8" x14ac:dyDescent="0.3">
      <c r="A35" s="101" t="s">
        <v>394</v>
      </c>
      <c r="B35" s="101" t="s">
        <v>24</v>
      </c>
      <c r="C35" s="101" t="s">
        <v>98</v>
      </c>
      <c r="D35" s="101">
        <v>7700</v>
      </c>
      <c r="E35" s="101">
        <v>18.322800000000001</v>
      </c>
      <c r="F35" s="101">
        <v>420.2414</v>
      </c>
      <c r="G3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ARI RB1</v>
      </c>
      <c r="H3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ARI RB1</v>
      </c>
    </row>
    <row r="36" spans="1:8" x14ac:dyDescent="0.3">
      <c r="A36" s="101" t="s">
        <v>394</v>
      </c>
      <c r="B36" s="101" t="s">
        <v>43</v>
      </c>
      <c r="C36" s="101" t="s">
        <v>122</v>
      </c>
      <c r="D36" s="101">
        <v>7200</v>
      </c>
      <c r="E36" s="101">
        <v>16.808266666666668</v>
      </c>
      <c r="F36" s="101">
        <v>428.36059999999998</v>
      </c>
      <c r="G3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HOU RB1</v>
      </c>
      <c r="H3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HOU RB1</v>
      </c>
    </row>
    <row r="37" spans="1:8" x14ac:dyDescent="0.3">
      <c r="A37" s="101" t="s">
        <v>394</v>
      </c>
      <c r="B37" s="101" t="s">
        <v>404</v>
      </c>
      <c r="C37" s="101" t="s">
        <v>89</v>
      </c>
      <c r="D37" s="101">
        <v>5900</v>
      </c>
      <c r="E37" s="101">
        <v>16.572966666666666</v>
      </c>
      <c r="F37" s="101">
        <v>356.00139999999999</v>
      </c>
      <c r="G3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NO RB1</v>
      </c>
      <c r="H3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NO RB1</v>
      </c>
    </row>
    <row r="38" spans="1:8" x14ac:dyDescent="0.3">
      <c r="A38" s="101" t="s">
        <v>394</v>
      </c>
      <c r="B38" s="101" t="s">
        <v>70</v>
      </c>
      <c r="C38" s="101" t="s">
        <v>106</v>
      </c>
      <c r="D38" s="101">
        <v>7300</v>
      </c>
      <c r="E38" s="101">
        <v>16.277733333333334</v>
      </c>
      <c r="F38" s="101">
        <v>448.46539999999999</v>
      </c>
      <c r="G3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DEN RB1</v>
      </c>
      <c r="H3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DEN RB1</v>
      </c>
    </row>
    <row r="39" spans="1:8" x14ac:dyDescent="0.3">
      <c r="A39" s="101" t="s">
        <v>394</v>
      </c>
      <c r="B39" s="101" t="s">
        <v>52</v>
      </c>
      <c r="C39" s="101" t="s">
        <v>428</v>
      </c>
      <c r="D39" s="101">
        <v>6900</v>
      </c>
      <c r="E39" s="101">
        <v>15.999833333333333</v>
      </c>
      <c r="F39" s="101">
        <v>431.25450000000001</v>
      </c>
      <c r="G3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DAL RB1</v>
      </c>
      <c r="H3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DAL RB1</v>
      </c>
    </row>
    <row r="40" spans="1:8" x14ac:dyDescent="0.3">
      <c r="A40" s="101" t="s">
        <v>394</v>
      </c>
      <c r="B40" s="101" t="s">
        <v>50</v>
      </c>
      <c r="C40" s="101" t="s">
        <v>84</v>
      </c>
      <c r="D40" s="101">
        <v>5800</v>
      </c>
      <c r="E40" s="101">
        <v>15.314666666666666</v>
      </c>
      <c r="F40" s="101">
        <v>378.72190000000001</v>
      </c>
      <c r="G4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ATL RB1</v>
      </c>
      <c r="H4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ATL RB1</v>
      </c>
    </row>
    <row r="41" spans="1:8" x14ac:dyDescent="0.3">
      <c r="A41" s="101" t="s">
        <v>394</v>
      </c>
      <c r="B41" s="101" t="s">
        <v>34</v>
      </c>
      <c r="C41" s="101" t="s">
        <v>115</v>
      </c>
      <c r="D41" s="101">
        <v>7000</v>
      </c>
      <c r="E41" s="101">
        <v>15.206833333333334</v>
      </c>
      <c r="F41" s="101">
        <v>460.31939999999997</v>
      </c>
      <c r="G4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NYJ RB1</v>
      </c>
      <c r="H4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NYJ RB1</v>
      </c>
    </row>
    <row r="42" spans="1:8" x14ac:dyDescent="0.3">
      <c r="A42" s="101" t="s">
        <v>394</v>
      </c>
      <c r="B42" s="101" t="s">
        <v>30</v>
      </c>
      <c r="C42" s="101" t="s">
        <v>128</v>
      </c>
      <c r="D42" s="101">
        <v>6300</v>
      </c>
      <c r="E42" s="101">
        <v>15.175633333333334</v>
      </c>
      <c r="F42" s="101">
        <v>415.13920000000002</v>
      </c>
      <c r="G4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TEN RB1</v>
      </c>
      <c r="H4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TEN RB1</v>
      </c>
    </row>
    <row r="43" spans="1:8" x14ac:dyDescent="0.3">
      <c r="A43" s="101" t="s">
        <v>394</v>
      </c>
      <c r="B43" s="101" t="s">
        <v>10</v>
      </c>
      <c r="C43" s="101" t="s">
        <v>93</v>
      </c>
      <c r="D43" s="101">
        <v>6500</v>
      </c>
      <c r="E43" s="101">
        <v>15.003366666666665</v>
      </c>
      <c r="F43" s="101">
        <v>433.23610000000002</v>
      </c>
      <c r="G4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BUF RB1</v>
      </c>
      <c r="H4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BUF RB1</v>
      </c>
    </row>
    <row r="44" spans="1:8" x14ac:dyDescent="0.3">
      <c r="A44" s="101" t="s">
        <v>394</v>
      </c>
      <c r="B44" s="101" t="s">
        <v>409</v>
      </c>
      <c r="C44" s="101" t="s">
        <v>83</v>
      </c>
      <c r="D44" s="101">
        <v>7100</v>
      </c>
      <c r="E44" s="101">
        <v>14.898400000000001</v>
      </c>
      <c r="F44" s="101">
        <v>476.56119999999999</v>
      </c>
      <c r="G4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LA RB1</v>
      </c>
      <c r="H4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LA RB1</v>
      </c>
    </row>
    <row r="45" spans="1:8" x14ac:dyDescent="0.3">
      <c r="A45" s="101" t="s">
        <v>394</v>
      </c>
      <c r="B45" s="101" t="s">
        <v>407</v>
      </c>
      <c r="C45" s="101" t="s">
        <v>119</v>
      </c>
      <c r="D45" s="101">
        <v>5800</v>
      </c>
      <c r="E45" s="101">
        <v>14.572000000000001</v>
      </c>
      <c r="F45" s="101">
        <v>398.02359999999999</v>
      </c>
      <c r="G4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SD RB1</v>
      </c>
      <c r="H4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SD RB1</v>
      </c>
    </row>
    <row r="46" spans="1:8" x14ac:dyDescent="0.3">
      <c r="A46" s="101" t="s">
        <v>394</v>
      </c>
      <c r="B46" s="101" t="s">
        <v>395</v>
      </c>
      <c r="C46" s="101" t="s">
        <v>96</v>
      </c>
      <c r="D46" s="101">
        <v>6100</v>
      </c>
      <c r="E46" s="101">
        <v>14.474233333333334</v>
      </c>
      <c r="F46" s="101">
        <v>421.43860000000001</v>
      </c>
      <c r="G4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GB RB1</v>
      </c>
      <c r="H4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GB RB1</v>
      </c>
    </row>
    <row r="47" spans="1:8" x14ac:dyDescent="0.3">
      <c r="A47" s="101" t="s">
        <v>394</v>
      </c>
      <c r="B47" s="101" t="s">
        <v>4</v>
      </c>
      <c r="C47" s="101" t="s">
        <v>82</v>
      </c>
      <c r="D47" s="101">
        <v>5700</v>
      </c>
      <c r="E47" s="101">
        <v>13.610100000000003</v>
      </c>
      <c r="F47" s="101">
        <v>418.8066</v>
      </c>
      <c r="G4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RB1</v>
      </c>
      <c r="H4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RB1</v>
      </c>
    </row>
    <row r="48" spans="1:8" x14ac:dyDescent="0.3">
      <c r="A48" s="101" t="s">
        <v>394</v>
      </c>
      <c r="B48" s="101" t="s">
        <v>46</v>
      </c>
      <c r="C48" s="101" t="s">
        <v>109</v>
      </c>
      <c r="D48" s="101">
        <v>5200</v>
      </c>
      <c r="E48" s="101">
        <v>13.040533333333332</v>
      </c>
      <c r="F48" s="101">
        <v>398.75670000000002</v>
      </c>
      <c r="G4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CHI RB1</v>
      </c>
      <c r="H4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CHI RB1</v>
      </c>
    </row>
    <row r="49" spans="1:8" x14ac:dyDescent="0.3">
      <c r="A49" s="101" t="s">
        <v>394</v>
      </c>
      <c r="B49" s="101" t="s">
        <v>12</v>
      </c>
      <c r="C49" s="101" t="s">
        <v>92</v>
      </c>
      <c r="D49" s="101">
        <v>5600</v>
      </c>
      <c r="E49" s="101">
        <v>12.518133333333333</v>
      </c>
      <c r="F49" s="101">
        <v>447.351</v>
      </c>
      <c r="G4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JAX RB1</v>
      </c>
      <c r="H4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JAX RB1</v>
      </c>
    </row>
    <row r="50" spans="1:8" x14ac:dyDescent="0.3">
      <c r="A50" s="101" t="s">
        <v>394</v>
      </c>
      <c r="B50" s="101" t="s">
        <v>401</v>
      </c>
      <c r="C50" s="101" t="s">
        <v>114</v>
      </c>
      <c r="D50" s="101">
        <v>4900</v>
      </c>
      <c r="E50" s="101">
        <v>12.372633333333333</v>
      </c>
      <c r="F50" s="101">
        <v>396.03530000000001</v>
      </c>
      <c r="G5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TB RB1</v>
      </c>
      <c r="H5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TB RB1</v>
      </c>
    </row>
    <row r="51" spans="1:8" x14ac:dyDescent="0.3">
      <c r="A51" s="101" t="s">
        <v>394</v>
      </c>
      <c r="B51" s="101" t="s">
        <v>39</v>
      </c>
      <c r="C51" s="101" t="s">
        <v>111</v>
      </c>
      <c r="D51" s="101">
        <v>5800</v>
      </c>
      <c r="E51" s="101">
        <v>12.361899999999999</v>
      </c>
      <c r="F51" s="101">
        <v>469.18349999999998</v>
      </c>
      <c r="G5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PHI RB1</v>
      </c>
      <c r="H5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PHI RB2</v>
      </c>
    </row>
    <row r="52" spans="1:8" x14ac:dyDescent="0.3">
      <c r="A52" s="101" t="s">
        <v>394</v>
      </c>
      <c r="B52" s="101" t="s">
        <v>26</v>
      </c>
      <c r="C52" s="101" t="s">
        <v>129</v>
      </c>
      <c r="D52" s="101">
        <v>4900</v>
      </c>
      <c r="E52" s="101">
        <v>12.281233333333333</v>
      </c>
      <c r="F52" s="101">
        <v>398.98270000000002</v>
      </c>
      <c r="G5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DET RB1</v>
      </c>
      <c r="H5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DET RB1</v>
      </c>
    </row>
    <row r="53" spans="1:8" x14ac:dyDescent="0.3">
      <c r="A53" s="101" t="s">
        <v>394</v>
      </c>
      <c r="B53" s="101" t="s">
        <v>398</v>
      </c>
      <c r="C53" s="101" t="s">
        <v>104</v>
      </c>
      <c r="D53" s="101">
        <v>4400</v>
      </c>
      <c r="E53" s="101">
        <v>12.162600000000001</v>
      </c>
      <c r="F53" s="101">
        <v>361.76479999999998</v>
      </c>
      <c r="G5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SF RB1</v>
      </c>
      <c r="H5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SF RB1</v>
      </c>
    </row>
    <row r="54" spans="1:8" x14ac:dyDescent="0.3">
      <c r="A54" s="101" t="s">
        <v>394</v>
      </c>
      <c r="B54" s="101" t="s">
        <v>397</v>
      </c>
      <c r="C54" s="101" t="s">
        <v>125</v>
      </c>
      <c r="D54" s="101">
        <v>5700</v>
      </c>
      <c r="E54" s="101">
        <v>12.1448</v>
      </c>
      <c r="F54" s="101">
        <v>469.33670000000001</v>
      </c>
      <c r="G5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KC RB1</v>
      </c>
      <c r="H5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KC RB1</v>
      </c>
    </row>
    <row r="55" spans="1:8" x14ac:dyDescent="0.3">
      <c r="A55" s="101" t="s">
        <v>394</v>
      </c>
      <c r="B55" s="101" t="s">
        <v>28</v>
      </c>
      <c r="C55" s="101" t="s">
        <v>113</v>
      </c>
      <c r="D55" s="101">
        <v>4300</v>
      </c>
      <c r="E55" s="101">
        <v>12.015133333333335</v>
      </c>
      <c r="F55" s="101">
        <v>357.88200000000001</v>
      </c>
      <c r="G5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CIN RB1</v>
      </c>
      <c r="H5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CIN RB1</v>
      </c>
    </row>
    <row r="56" spans="1:8" x14ac:dyDescent="0.3">
      <c r="A56" s="101" t="s">
        <v>394</v>
      </c>
      <c r="B56" s="101" t="s">
        <v>37</v>
      </c>
      <c r="C56" s="101" t="s">
        <v>94</v>
      </c>
      <c r="D56" s="101">
        <v>5100</v>
      </c>
      <c r="E56" s="101">
        <v>11.869666666666667</v>
      </c>
      <c r="F56" s="101">
        <v>429.66669999999999</v>
      </c>
      <c r="G5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NYG RB1</v>
      </c>
      <c r="H5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NYG RB2</v>
      </c>
    </row>
    <row r="57" spans="1:8" x14ac:dyDescent="0.3">
      <c r="A57" s="101" t="s">
        <v>394</v>
      </c>
      <c r="B57" s="101" t="s">
        <v>14</v>
      </c>
      <c r="C57" s="101" t="s">
        <v>120</v>
      </c>
      <c r="D57" s="101">
        <v>4200</v>
      </c>
      <c r="E57" s="101">
        <v>11.677500000000002</v>
      </c>
      <c r="F57" s="101">
        <v>359.666</v>
      </c>
      <c r="G5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CLE RB1</v>
      </c>
      <c r="H5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CLE RB1</v>
      </c>
    </row>
    <row r="58" spans="1:8" x14ac:dyDescent="0.3">
      <c r="A58" s="101" t="s">
        <v>394</v>
      </c>
      <c r="B58" s="101" t="s">
        <v>402</v>
      </c>
      <c r="C58" s="101" t="s">
        <v>101</v>
      </c>
      <c r="D58" s="101">
        <v>4400</v>
      </c>
      <c r="E58" s="101">
        <v>11.604233333333333</v>
      </c>
      <c r="F58" s="101">
        <v>379.17200000000003</v>
      </c>
      <c r="G5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NE RB1</v>
      </c>
      <c r="H5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NE RB1</v>
      </c>
    </row>
    <row r="59" spans="1:8" x14ac:dyDescent="0.3">
      <c r="A59" s="101" t="s">
        <v>394</v>
      </c>
      <c r="B59" s="101" t="s">
        <v>16</v>
      </c>
      <c r="C59" s="101" t="s">
        <v>87</v>
      </c>
      <c r="D59" s="101">
        <v>5000</v>
      </c>
      <c r="E59" s="101">
        <v>11.548166666666667</v>
      </c>
      <c r="F59" s="101">
        <v>432.9692</v>
      </c>
      <c r="G5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IND RB1</v>
      </c>
      <c r="H5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IND RB1</v>
      </c>
    </row>
    <row r="60" spans="1:8" x14ac:dyDescent="0.3">
      <c r="A60" s="101" t="s">
        <v>394</v>
      </c>
      <c r="B60" s="101" t="s">
        <v>18</v>
      </c>
      <c r="C60" s="101" t="s">
        <v>121</v>
      </c>
      <c r="D60" s="101">
        <v>4100</v>
      </c>
      <c r="E60" s="101">
        <v>11.1632</v>
      </c>
      <c r="F60" s="101">
        <v>367.27820000000003</v>
      </c>
      <c r="G6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RB1</v>
      </c>
      <c r="H6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RB1</v>
      </c>
    </row>
    <row r="61" spans="1:8" x14ac:dyDescent="0.3">
      <c r="A61" s="101" t="s">
        <v>394</v>
      </c>
      <c r="B61" s="101" t="s">
        <v>14</v>
      </c>
      <c r="C61" s="101" t="s">
        <v>95</v>
      </c>
      <c r="D61" s="101">
        <v>4700</v>
      </c>
      <c r="E61" s="101">
        <v>10.591866666666665</v>
      </c>
      <c r="F61" s="101">
        <v>443.73669999999998</v>
      </c>
      <c r="G6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CLE RB2</v>
      </c>
      <c r="H6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CLE RB2</v>
      </c>
    </row>
    <row r="62" spans="1:8" x14ac:dyDescent="0.3">
      <c r="A62" s="101" t="s">
        <v>394</v>
      </c>
      <c r="B62" s="101" t="s">
        <v>37</v>
      </c>
      <c r="C62" s="101" t="s">
        <v>127</v>
      </c>
      <c r="D62" s="101">
        <v>3700</v>
      </c>
      <c r="E62" s="101">
        <v>10.3277</v>
      </c>
      <c r="F62" s="101">
        <v>358.25979999999998</v>
      </c>
      <c r="G6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NYG RB2</v>
      </c>
      <c r="H6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NYG RB1</v>
      </c>
    </row>
    <row r="63" spans="1:8" x14ac:dyDescent="0.3">
      <c r="A63" s="101" t="s">
        <v>394</v>
      </c>
      <c r="B63" s="101" t="s">
        <v>50</v>
      </c>
      <c r="C63" s="101" t="s">
        <v>135</v>
      </c>
      <c r="D63" s="101">
        <v>4500</v>
      </c>
      <c r="E63" s="101">
        <v>10.322533333333332</v>
      </c>
      <c r="F63" s="101">
        <v>435.93950000000001</v>
      </c>
      <c r="G6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ATL RB2</v>
      </c>
      <c r="H6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ATL RB2</v>
      </c>
    </row>
    <row r="64" spans="1:8" x14ac:dyDescent="0.3">
      <c r="A64" s="101" t="s">
        <v>394</v>
      </c>
      <c r="B64" s="101" t="s">
        <v>7</v>
      </c>
      <c r="C64" s="101" t="s">
        <v>145</v>
      </c>
      <c r="D64" s="101">
        <v>5000</v>
      </c>
      <c r="E64" s="101">
        <v>10.154766666666667</v>
      </c>
      <c r="F64" s="101">
        <v>492.37959999999998</v>
      </c>
      <c r="G6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SEA RB1</v>
      </c>
      <c r="H6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SEA RB1</v>
      </c>
    </row>
    <row r="65" spans="1:8" x14ac:dyDescent="0.3">
      <c r="A65" s="101" t="s">
        <v>394</v>
      </c>
      <c r="B65" s="101" t="s">
        <v>32</v>
      </c>
      <c r="C65" s="101" t="s">
        <v>99</v>
      </c>
      <c r="D65" s="101">
        <v>3900</v>
      </c>
      <c r="E65" s="101">
        <v>9.7139999999999986</v>
      </c>
      <c r="F65" s="101">
        <v>401.48239999999998</v>
      </c>
      <c r="G6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RB1</v>
      </c>
      <c r="H6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RB2</v>
      </c>
    </row>
    <row r="66" spans="1:8" x14ac:dyDescent="0.3">
      <c r="A66" s="101" t="s">
        <v>394</v>
      </c>
      <c r="B66" s="101" t="s">
        <v>28</v>
      </c>
      <c r="C66" s="101" t="s">
        <v>102</v>
      </c>
      <c r="D66" s="101">
        <v>3700</v>
      </c>
      <c r="E66" s="101">
        <v>9.6006666666666671</v>
      </c>
      <c r="F66" s="101">
        <v>385.38990000000001</v>
      </c>
      <c r="G6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CIN RB2</v>
      </c>
      <c r="H6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CIN RB2</v>
      </c>
    </row>
    <row r="67" spans="1:8" x14ac:dyDescent="0.3">
      <c r="A67" s="101" t="s">
        <v>394</v>
      </c>
      <c r="B67" s="101" t="s">
        <v>32</v>
      </c>
      <c r="C67" s="101" t="s">
        <v>149</v>
      </c>
      <c r="D67" s="101">
        <v>3500</v>
      </c>
      <c r="E67" s="101">
        <v>9.563600000000001</v>
      </c>
      <c r="F67" s="101">
        <v>365.971</v>
      </c>
      <c r="G6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RB2</v>
      </c>
      <c r="H6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RB1</v>
      </c>
    </row>
    <row r="68" spans="1:8" x14ac:dyDescent="0.3">
      <c r="A68" s="101" t="s">
        <v>394</v>
      </c>
      <c r="B68" s="101" t="s">
        <v>402</v>
      </c>
      <c r="C68" s="101" t="s">
        <v>137</v>
      </c>
      <c r="D68" s="101">
        <v>4200</v>
      </c>
      <c r="E68" s="101">
        <v>9.521466666666667</v>
      </c>
      <c r="F68" s="101">
        <v>441.10849999999999</v>
      </c>
      <c r="G6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NE RB2</v>
      </c>
      <c r="H6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NE RB2</v>
      </c>
    </row>
    <row r="69" spans="1:8" x14ac:dyDescent="0.3">
      <c r="A69" s="101" t="s">
        <v>394</v>
      </c>
      <c r="B69" s="101" t="s">
        <v>39</v>
      </c>
      <c r="C69" s="101" t="s">
        <v>126</v>
      </c>
      <c r="D69" s="101">
        <v>3700</v>
      </c>
      <c r="E69" s="101">
        <v>8.9962666666666653</v>
      </c>
      <c r="F69" s="101">
        <v>411.2817</v>
      </c>
      <c r="G6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PHI RB2</v>
      </c>
      <c r="H6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PHI RB1</v>
      </c>
    </row>
    <row r="70" spans="1:8" x14ac:dyDescent="0.3">
      <c r="A70" s="101" t="s">
        <v>394</v>
      </c>
      <c r="B70" s="101" t="s">
        <v>41</v>
      </c>
      <c r="C70" s="101" t="s">
        <v>143</v>
      </c>
      <c r="D70" s="101">
        <v>3800</v>
      </c>
      <c r="E70" s="101">
        <v>8.7343666666666664</v>
      </c>
      <c r="F70" s="101">
        <v>435.06299999999999</v>
      </c>
      <c r="G7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RB1</v>
      </c>
      <c r="H7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RB1</v>
      </c>
    </row>
    <row r="71" spans="1:8" x14ac:dyDescent="0.3">
      <c r="A71" s="101" t="s">
        <v>394</v>
      </c>
      <c r="B71" s="101" t="s">
        <v>7</v>
      </c>
      <c r="C71" s="101" t="s">
        <v>100</v>
      </c>
      <c r="D71" s="101">
        <v>5500</v>
      </c>
      <c r="E71" s="101">
        <v>8.192499999999999</v>
      </c>
      <c r="F71" s="101">
        <v>671.34569999999997</v>
      </c>
      <c r="G7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SEA RB2</v>
      </c>
      <c r="H7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SEA RB2</v>
      </c>
    </row>
    <row r="72" spans="1:8" x14ac:dyDescent="0.3">
      <c r="A72" s="101" t="s">
        <v>394</v>
      </c>
      <c r="B72" s="101" t="s">
        <v>18</v>
      </c>
      <c r="C72" s="101" t="s">
        <v>141</v>
      </c>
      <c r="D72" s="101">
        <v>3400</v>
      </c>
      <c r="E72" s="101">
        <v>7.9742000000000006</v>
      </c>
      <c r="F72" s="101">
        <v>426.37509999999997</v>
      </c>
      <c r="G7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RB2</v>
      </c>
      <c r="H7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RB2</v>
      </c>
    </row>
    <row r="73" spans="1:8" x14ac:dyDescent="0.3">
      <c r="A73" s="101" t="s">
        <v>394</v>
      </c>
      <c r="B73" s="101" t="s">
        <v>30</v>
      </c>
      <c r="C73" s="101" t="s">
        <v>458</v>
      </c>
      <c r="D73" s="101">
        <v>3700</v>
      </c>
      <c r="E73" s="101">
        <v>6.9754666666666658</v>
      </c>
      <c r="F73" s="101">
        <v>530.43050000000005</v>
      </c>
      <c r="G7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TEN RB2</v>
      </c>
      <c r="H7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TEN RB2</v>
      </c>
    </row>
    <row r="74" spans="1:8" x14ac:dyDescent="0.3">
      <c r="A74" s="101" t="s">
        <v>394</v>
      </c>
      <c r="B74" s="101" t="s">
        <v>404</v>
      </c>
      <c r="C74" s="101" t="s">
        <v>152</v>
      </c>
      <c r="D74" s="101">
        <v>3100</v>
      </c>
      <c r="E74" s="101">
        <v>6.6769999999999996</v>
      </c>
      <c r="F74" s="101">
        <v>464.28039999999999</v>
      </c>
      <c r="G7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NO RB2</v>
      </c>
      <c r="H7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NO RB2</v>
      </c>
    </row>
    <row r="75" spans="1:8" x14ac:dyDescent="0.3">
      <c r="A75" s="101" t="s">
        <v>394</v>
      </c>
      <c r="B75" s="101" t="s">
        <v>57</v>
      </c>
      <c r="C75" s="101" t="s">
        <v>139</v>
      </c>
      <c r="D75" s="101">
        <v>4000</v>
      </c>
      <c r="E75" s="101">
        <v>6.6611333333333338</v>
      </c>
      <c r="F75" s="101">
        <v>600.49839999999995</v>
      </c>
      <c r="G7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MIA RB1</v>
      </c>
      <c r="H7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MIA RB1</v>
      </c>
    </row>
    <row r="76" spans="1:8" x14ac:dyDescent="0.3">
      <c r="A76" s="101" t="s">
        <v>394</v>
      </c>
      <c r="B76" s="101" t="s">
        <v>34</v>
      </c>
      <c r="C76" s="101" t="s">
        <v>124</v>
      </c>
      <c r="D76" s="101">
        <v>3400</v>
      </c>
      <c r="E76" s="101">
        <v>6.6057000000000006</v>
      </c>
      <c r="F76" s="101">
        <v>514.70699999999999</v>
      </c>
      <c r="G7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NYJ RB2</v>
      </c>
      <c r="H7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NYJ RB2</v>
      </c>
    </row>
    <row r="77" spans="1:8" x14ac:dyDescent="0.3">
      <c r="A77" s="101" t="s">
        <v>394</v>
      </c>
      <c r="B77" s="101" t="s">
        <v>41</v>
      </c>
      <c r="C77" s="101" t="s">
        <v>161</v>
      </c>
      <c r="D77" s="101">
        <v>3000</v>
      </c>
      <c r="E77" s="101">
        <v>6.3767500000000004</v>
      </c>
      <c r="F77" s="101">
        <v>470.45909999999998</v>
      </c>
      <c r="G7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RB2</v>
      </c>
      <c r="H7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RB2</v>
      </c>
    </row>
    <row r="78" spans="1:8" x14ac:dyDescent="0.3">
      <c r="A78" s="101" t="s">
        <v>394</v>
      </c>
      <c r="B78" s="101" t="s">
        <v>395</v>
      </c>
      <c r="C78" s="101" t="s">
        <v>105</v>
      </c>
      <c r="D78" s="101">
        <v>4000</v>
      </c>
      <c r="E78" s="101">
        <v>6.2827999999999999</v>
      </c>
      <c r="F78" s="101">
        <v>636.65880000000004</v>
      </c>
      <c r="G7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GB RB2</v>
      </c>
      <c r="H7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GB RB2</v>
      </c>
    </row>
    <row r="79" spans="1:8" x14ac:dyDescent="0.3">
      <c r="A79" s="101" t="s">
        <v>394</v>
      </c>
      <c r="B79" s="101" t="s">
        <v>398</v>
      </c>
      <c r="C79" s="101" t="s">
        <v>131</v>
      </c>
      <c r="D79" s="101">
        <v>3400</v>
      </c>
      <c r="E79" s="101">
        <v>5.7398666666666669</v>
      </c>
      <c r="F79" s="101">
        <v>592.34829999999999</v>
      </c>
      <c r="G7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SF RB2</v>
      </c>
      <c r="H7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SF RB2</v>
      </c>
    </row>
    <row r="80" spans="1:8" x14ac:dyDescent="0.3">
      <c r="A80" s="101" t="s">
        <v>394</v>
      </c>
      <c r="B80" s="101" t="s">
        <v>22</v>
      </c>
      <c r="C80" s="101" t="s">
        <v>150</v>
      </c>
      <c r="D80" s="101">
        <v>3000</v>
      </c>
      <c r="E80" s="101">
        <v>5.6961333333333339</v>
      </c>
      <c r="F80" s="101">
        <v>526.67309999999998</v>
      </c>
      <c r="G8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CAR RB1</v>
      </c>
      <c r="H8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CAR RB1</v>
      </c>
    </row>
    <row r="81" spans="1:8" x14ac:dyDescent="0.3">
      <c r="A81" s="101" t="s">
        <v>394</v>
      </c>
      <c r="B81" s="101" t="s">
        <v>4</v>
      </c>
      <c r="C81" s="101" t="s">
        <v>461</v>
      </c>
      <c r="D81" s="101">
        <v>3400</v>
      </c>
      <c r="E81" s="101">
        <v>5.6738666666666671</v>
      </c>
      <c r="F81" s="101">
        <v>599.23860000000002</v>
      </c>
      <c r="G8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RB2</v>
      </c>
      <c r="H8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RB2</v>
      </c>
    </row>
    <row r="82" spans="1:8" x14ac:dyDescent="0.3">
      <c r="A82" s="101" t="s">
        <v>394</v>
      </c>
      <c r="B82" s="101" t="s">
        <v>26</v>
      </c>
      <c r="C82" s="101" t="s">
        <v>520</v>
      </c>
      <c r="D82" s="101">
        <v>3600</v>
      </c>
      <c r="E82" s="101">
        <v>5.5021000000000004</v>
      </c>
      <c r="F82" s="101">
        <v>654.29560000000004</v>
      </c>
      <c r="G8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DET RB2</v>
      </c>
      <c r="H8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DET RB2</v>
      </c>
    </row>
    <row r="83" spans="1:8" x14ac:dyDescent="0.3">
      <c r="A83" s="101" t="s">
        <v>394</v>
      </c>
      <c r="B83" s="101" t="s">
        <v>70</v>
      </c>
      <c r="C83" s="101" t="s">
        <v>764</v>
      </c>
      <c r="D83" s="101">
        <v>3000</v>
      </c>
      <c r="E83" s="101">
        <v>5.2928333333333333</v>
      </c>
      <c r="F83" s="101">
        <v>566.80420000000004</v>
      </c>
      <c r="G8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DEN RB2</v>
      </c>
      <c r="H8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DEN RB2</v>
      </c>
    </row>
    <row r="84" spans="1:8" x14ac:dyDescent="0.3">
      <c r="A84" s="101" t="s">
        <v>394</v>
      </c>
      <c r="B84" s="101" t="s">
        <v>397</v>
      </c>
      <c r="C84" s="101" t="s">
        <v>97</v>
      </c>
      <c r="D84" s="101">
        <v>3500</v>
      </c>
      <c r="E84" s="101">
        <v>5.117700000000001</v>
      </c>
      <c r="F84" s="101">
        <v>683.90099999999995</v>
      </c>
      <c r="G8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KC RB2</v>
      </c>
      <c r="H8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KC RB2</v>
      </c>
    </row>
    <row r="85" spans="1:8" x14ac:dyDescent="0.3">
      <c r="A85" s="101" t="s">
        <v>394</v>
      </c>
      <c r="B85" s="101" t="s">
        <v>46</v>
      </c>
      <c r="C85" s="101" t="s">
        <v>464</v>
      </c>
      <c r="D85" s="101">
        <v>3300</v>
      </c>
      <c r="E85" s="101">
        <v>5.0779333333333332</v>
      </c>
      <c r="F85" s="101">
        <v>649.87070000000006</v>
      </c>
      <c r="G8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CHI RB2</v>
      </c>
      <c r="H8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CHI RB2</v>
      </c>
    </row>
    <row r="86" spans="1:8" x14ac:dyDescent="0.3">
      <c r="A86" s="101" t="s">
        <v>394</v>
      </c>
      <c r="B86" s="101" t="s">
        <v>404</v>
      </c>
      <c r="C86" s="101" t="s">
        <v>117</v>
      </c>
      <c r="D86" s="101">
        <v>3300</v>
      </c>
      <c r="E86" s="101">
        <v>4.797133333333333</v>
      </c>
      <c r="F86" s="101">
        <v>687.91079999999999</v>
      </c>
      <c r="G8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NO RB3</v>
      </c>
      <c r="H8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NO RB3</v>
      </c>
    </row>
    <row r="87" spans="1:8" x14ac:dyDescent="0.3">
      <c r="A87" s="101" t="s">
        <v>394</v>
      </c>
      <c r="B87" s="101" t="s">
        <v>57</v>
      </c>
      <c r="C87" s="101" t="s">
        <v>516</v>
      </c>
      <c r="D87" s="101">
        <v>3600</v>
      </c>
      <c r="E87" s="101">
        <v>4.7403500000000003</v>
      </c>
      <c r="F87" s="101">
        <v>759.43759999999997</v>
      </c>
      <c r="G8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MIA RB2</v>
      </c>
      <c r="H8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MIA RB2</v>
      </c>
    </row>
    <row r="88" spans="1:8" x14ac:dyDescent="0.3">
      <c r="A88" s="101" t="s">
        <v>394</v>
      </c>
      <c r="B88" s="101" t="s">
        <v>52</v>
      </c>
      <c r="C88" s="101" t="s">
        <v>148</v>
      </c>
      <c r="D88" s="101">
        <v>3700</v>
      </c>
      <c r="E88" s="101">
        <v>4.6417000000000002</v>
      </c>
      <c r="F88" s="101">
        <v>797.12170000000003</v>
      </c>
      <c r="G8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DAL RB2</v>
      </c>
      <c r="H8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DAL RB2</v>
      </c>
    </row>
    <row r="89" spans="1:8" x14ac:dyDescent="0.3">
      <c r="A89" s="101" t="s">
        <v>394</v>
      </c>
      <c r="B89" s="101" t="s">
        <v>409</v>
      </c>
      <c r="C89" s="101" t="s">
        <v>151</v>
      </c>
      <c r="D89" s="101">
        <v>3400</v>
      </c>
      <c r="E89" s="101">
        <v>4.6368999999999998</v>
      </c>
      <c r="F89" s="101">
        <v>733.24850000000004</v>
      </c>
      <c r="G8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LA RB2</v>
      </c>
      <c r="H8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LA RB2</v>
      </c>
    </row>
    <row r="90" spans="1:8" x14ac:dyDescent="0.3">
      <c r="A90" s="101" t="s">
        <v>394</v>
      </c>
      <c r="B90" s="101" t="s">
        <v>7</v>
      </c>
      <c r="C90" s="101" t="s">
        <v>460</v>
      </c>
      <c r="D90" s="101">
        <v>3300</v>
      </c>
      <c r="E90" s="101">
        <v>3.9640666666666666</v>
      </c>
      <c r="F90" s="101">
        <v>832.47839999999997</v>
      </c>
      <c r="G9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SEA RB3</v>
      </c>
      <c r="H9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SEA RB3</v>
      </c>
    </row>
    <row r="91" spans="1:8" x14ac:dyDescent="0.3">
      <c r="A91" s="101" t="s">
        <v>394</v>
      </c>
      <c r="B91" s="101" t="s">
        <v>24</v>
      </c>
      <c r="C91" s="101" t="s">
        <v>130</v>
      </c>
      <c r="D91" s="101">
        <v>3600</v>
      </c>
      <c r="E91" s="101">
        <v>3.9455</v>
      </c>
      <c r="F91" s="101">
        <v>912.43190000000004</v>
      </c>
      <c r="G9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ARI RB2</v>
      </c>
      <c r="H9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ARI RB2</v>
      </c>
    </row>
    <row r="92" spans="1:8" x14ac:dyDescent="0.3">
      <c r="A92" s="101" t="s">
        <v>394</v>
      </c>
      <c r="B92" s="101" t="s">
        <v>22</v>
      </c>
      <c r="C92" s="101" t="s">
        <v>138</v>
      </c>
      <c r="D92" s="101">
        <v>3000</v>
      </c>
      <c r="E92" s="101">
        <v>3.8838000000000004</v>
      </c>
      <c r="F92" s="101">
        <v>772.43939999999998</v>
      </c>
      <c r="G9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CAR RB2</v>
      </c>
      <c r="H9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CAR RB2</v>
      </c>
    </row>
    <row r="93" spans="1:8" x14ac:dyDescent="0.3">
      <c r="A93" s="101" t="s">
        <v>394</v>
      </c>
      <c r="B93" s="101" t="s">
        <v>22</v>
      </c>
      <c r="C93" s="101" t="s">
        <v>162</v>
      </c>
      <c r="D93" s="101">
        <v>3800</v>
      </c>
      <c r="E93" s="101">
        <v>3.8048500000000001</v>
      </c>
      <c r="F93" s="101">
        <v>998.72529999999995</v>
      </c>
      <c r="G9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CAR RB3</v>
      </c>
      <c r="H9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CAR RB3</v>
      </c>
    </row>
    <row r="94" spans="1:8" x14ac:dyDescent="0.3">
      <c r="A94" s="101" t="s">
        <v>394</v>
      </c>
      <c r="B94" s="101" t="s">
        <v>12</v>
      </c>
      <c r="C94" s="101" t="s">
        <v>133</v>
      </c>
      <c r="D94" s="101">
        <v>3000</v>
      </c>
      <c r="E94" s="101">
        <v>3.6226333333333329</v>
      </c>
      <c r="F94" s="101">
        <v>828.12689999999998</v>
      </c>
      <c r="G9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JAX RB2</v>
      </c>
      <c r="H9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JAX RB2</v>
      </c>
    </row>
    <row r="95" spans="1:8" x14ac:dyDescent="0.3">
      <c r="A95" s="101" t="s">
        <v>394</v>
      </c>
      <c r="B95" s="101" t="s">
        <v>16</v>
      </c>
      <c r="C95" s="101" t="s">
        <v>466</v>
      </c>
      <c r="D95" s="101">
        <v>3000</v>
      </c>
      <c r="E95" s="101">
        <v>3.398366666666667</v>
      </c>
      <c r="F95" s="101">
        <v>882.77700000000004</v>
      </c>
      <c r="G9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IND RB2</v>
      </c>
      <c r="H9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IND RB2</v>
      </c>
    </row>
    <row r="96" spans="1:8" x14ac:dyDescent="0.3">
      <c r="A96" s="101" t="s">
        <v>394</v>
      </c>
      <c r="B96" s="101" t="s">
        <v>24</v>
      </c>
      <c r="C96" s="101" t="s">
        <v>103</v>
      </c>
      <c r="D96" s="101">
        <v>3500</v>
      </c>
      <c r="E96" s="101">
        <v>3.1843333333333339</v>
      </c>
      <c r="F96" s="101">
        <v>1099.1312</v>
      </c>
      <c r="G9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ARI RB3</v>
      </c>
      <c r="H9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ARI RB3</v>
      </c>
    </row>
    <row r="97" spans="1:8" x14ac:dyDescent="0.3">
      <c r="A97" s="101" t="s">
        <v>394</v>
      </c>
      <c r="B97" s="101" t="s">
        <v>4</v>
      </c>
      <c r="C97" s="101" t="s">
        <v>512</v>
      </c>
      <c r="D97" s="101">
        <v>3600</v>
      </c>
      <c r="E97" s="101">
        <v>3.0474000000000001</v>
      </c>
      <c r="F97" s="101">
        <v>1181.3349000000001</v>
      </c>
      <c r="G9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RB3</v>
      </c>
      <c r="H9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RB3</v>
      </c>
    </row>
    <row r="98" spans="1:8" x14ac:dyDescent="0.3">
      <c r="A98" s="101" t="s">
        <v>394</v>
      </c>
      <c r="B98" s="101" t="s">
        <v>43</v>
      </c>
      <c r="C98" s="101" t="s">
        <v>108</v>
      </c>
      <c r="D98" s="101">
        <v>3400</v>
      </c>
      <c r="E98" s="101">
        <v>2.9180000000000001</v>
      </c>
      <c r="F98" s="101">
        <v>1165.1815999999999</v>
      </c>
      <c r="G9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HOU RB2</v>
      </c>
      <c r="H9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HOU RB2</v>
      </c>
    </row>
    <row r="99" spans="1:8" x14ac:dyDescent="0.3">
      <c r="A99" s="101" t="s">
        <v>394</v>
      </c>
      <c r="B99" s="101" t="s">
        <v>16</v>
      </c>
      <c r="C99" s="101" t="s">
        <v>156</v>
      </c>
      <c r="D99" s="101">
        <v>3000</v>
      </c>
      <c r="E99" s="101">
        <v>2.8942333333333332</v>
      </c>
      <c r="F99" s="101">
        <v>1036.5438999999999</v>
      </c>
      <c r="G9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IND RB3</v>
      </c>
      <c r="H9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IND RB3</v>
      </c>
    </row>
    <row r="100" spans="1:8" x14ac:dyDescent="0.3">
      <c r="A100" s="101" t="s">
        <v>394</v>
      </c>
      <c r="B100" s="101" t="s">
        <v>32</v>
      </c>
      <c r="C100" s="101" t="s">
        <v>155</v>
      </c>
      <c r="D100" s="101">
        <v>3000</v>
      </c>
      <c r="E100" s="101">
        <v>2.77095</v>
      </c>
      <c r="F100" s="101">
        <v>1082.6612</v>
      </c>
      <c r="G10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RB3</v>
      </c>
      <c r="H10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RB3</v>
      </c>
    </row>
    <row r="101" spans="1:8" x14ac:dyDescent="0.3">
      <c r="A101" s="101" t="s">
        <v>394</v>
      </c>
      <c r="B101" s="101" t="s">
        <v>20</v>
      </c>
      <c r="C101" s="101" t="s">
        <v>159</v>
      </c>
      <c r="D101" s="101">
        <v>3000</v>
      </c>
      <c r="E101" s="101">
        <v>2.7447500000000007</v>
      </c>
      <c r="F101" s="101">
        <v>1092.9956999999999</v>
      </c>
      <c r="G10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PIT RB2</v>
      </c>
      <c r="H10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PIT RB2</v>
      </c>
    </row>
    <row r="102" spans="1:8" x14ac:dyDescent="0.3">
      <c r="A102" s="101" t="s">
        <v>394</v>
      </c>
      <c r="B102" s="101" t="s">
        <v>39</v>
      </c>
      <c r="C102" s="101" t="s">
        <v>164</v>
      </c>
      <c r="D102" s="101">
        <v>3000</v>
      </c>
      <c r="E102" s="101">
        <v>2.71305</v>
      </c>
      <c r="F102" s="101">
        <v>1105.7665999999999</v>
      </c>
      <c r="G10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PHI RB3</v>
      </c>
      <c r="H10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PHI RB3</v>
      </c>
    </row>
    <row r="103" spans="1:8" x14ac:dyDescent="0.3">
      <c r="A103" s="101" t="s">
        <v>394</v>
      </c>
      <c r="B103" s="101" t="s">
        <v>10</v>
      </c>
      <c r="C103" s="101" t="s">
        <v>400</v>
      </c>
      <c r="D103" s="101">
        <v>3200</v>
      </c>
      <c r="E103" s="101">
        <v>2.7022000000000004</v>
      </c>
      <c r="F103" s="101">
        <v>1184.2203</v>
      </c>
      <c r="G10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BUF RB2</v>
      </c>
      <c r="H10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BUF RB2</v>
      </c>
    </row>
    <row r="104" spans="1:8" x14ac:dyDescent="0.3">
      <c r="A104" s="101" t="s">
        <v>394</v>
      </c>
      <c r="B104" s="101" t="s">
        <v>37</v>
      </c>
      <c r="C104" s="101" t="s">
        <v>153</v>
      </c>
      <c r="D104" s="101">
        <v>3000</v>
      </c>
      <c r="E104" s="101">
        <v>2.4538000000000002</v>
      </c>
      <c r="F104" s="101">
        <v>1222.5934999999999</v>
      </c>
      <c r="G10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NYG RB3</v>
      </c>
      <c r="H10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NYG RB3</v>
      </c>
    </row>
    <row r="105" spans="1:8" x14ac:dyDescent="0.3">
      <c r="A105" s="101" t="s">
        <v>394</v>
      </c>
      <c r="B105" s="101" t="s">
        <v>10</v>
      </c>
      <c r="C105" s="101" t="s">
        <v>118</v>
      </c>
      <c r="D105" s="101">
        <v>3300</v>
      </c>
      <c r="E105" s="101">
        <v>2.3862000000000001</v>
      </c>
      <c r="F105" s="101">
        <v>1382.952</v>
      </c>
      <c r="G10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BUF RB3</v>
      </c>
      <c r="H10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BUF RB3</v>
      </c>
    </row>
    <row r="106" spans="1:8" x14ac:dyDescent="0.3">
      <c r="A106" s="101" t="s">
        <v>394</v>
      </c>
      <c r="B106" s="101" t="s">
        <v>57</v>
      </c>
      <c r="C106" s="101" t="s">
        <v>167</v>
      </c>
      <c r="D106" s="101">
        <v>3000</v>
      </c>
      <c r="E106" s="101">
        <v>2.375433333333334</v>
      </c>
      <c r="F106" s="101">
        <v>1262.9275</v>
      </c>
      <c r="G10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MIA RB3</v>
      </c>
      <c r="H10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MIA RB3</v>
      </c>
    </row>
    <row r="107" spans="1:8" x14ac:dyDescent="0.3">
      <c r="A107" s="101" t="s">
        <v>394</v>
      </c>
      <c r="B107" s="101" t="s">
        <v>43</v>
      </c>
      <c r="C107" s="101" t="s">
        <v>492</v>
      </c>
      <c r="D107" s="101">
        <v>3000</v>
      </c>
      <c r="E107" s="101">
        <v>2.3088500000000005</v>
      </c>
      <c r="F107" s="101">
        <v>1299.3481999999999</v>
      </c>
      <c r="G10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HOU RB3</v>
      </c>
      <c r="H10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HOU RB3</v>
      </c>
    </row>
    <row r="108" spans="1:8" x14ac:dyDescent="0.3">
      <c r="A108" s="101" t="s">
        <v>394</v>
      </c>
      <c r="B108" s="101" t="s">
        <v>18</v>
      </c>
      <c r="C108" s="101" t="s">
        <v>1245</v>
      </c>
      <c r="D108" s="101">
        <v>3000</v>
      </c>
      <c r="E108" s="101">
        <v>2.2037</v>
      </c>
      <c r="F108" s="101">
        <v>1361.3468</v>
      </c>
      <c r="G10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RB3</v>
      </c>
      <c r="H10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RB3</v>
      </c>
    </row>
    <row r="109" spans="1:8" x14ac:dyDescent="0.3">
      <c r="A109" s="101" t="s">
        <v>394</v>
      </c>
      <c r="B109" s="101" t="s">
        <v>407</v>
      </c>
      <c r="C109" s="101" t="s">
        <v>502</v>
      </c>
      <c r="D109" s="101">
        <v>3000</v>
      </c>
      <c r="E109" s="101">
        <v>1.8634499999999998</v>
      </c>
      <c r="F109" s="101">
        <v>1609.9170999999999</v>
      </c>
      <c r="G10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SD RB2</v>
      </c>
      <c r="H10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SD RB2</v>
      </c>
    </row>
    <row r="110" spans="1:8" x14ac:dyDescent="0.3">
      <c r="A110" s="101" t="s">
        <v>394</v>
      </c>
      <c r="B110" s="101" t="s">
        <v>52</v>
      </c>
      <c r="C110" s="101" t="s">
        <v>134</v>
      </c>
      <c r="D110" s="101">
        <v>3000</v>
      </c>
      <c r="E110" s="101">
        <v>1.80555</v>
      </c>
      <c r="F110" s="101">
        <v>1661.5436</v>
      </c>
      <c r="G11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DAL RB3</v>
      </c>
      <c r="H11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DAL RB3</v>
      </c>
    </row>
    <row r="111" spans="1:8" x14ac:dyDescent="0.3">
      <c r="A111" s="101" t="s">
        <v>394</v>
      </c>
      <c r="B111" s="101" t="s">
        <v>70</v>
      </c>
      <c r="C111" s="101" t="s">
        <v>1523</v>
      </c>
      <c r="D111" s="101">
        <v>3000</v>
      </c>
      <c r="E111" s="101">
        <v>1.6951499999999999</v>
      </c>
      <c r="F111" s="101">
        <v>1769.7548999999999</v>
      </c>
      <c r="G11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DEN RB3</v>
      </c>
      <c r="H11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DEN RB3</v>
      </c>
    </row>
    <row r="112" spans="1:8" x14ac:dyDescent="0.3">
      <c r="A112" s="101" t="s">
        <v>394</v>
      </c>
      <c r="B112" s="101" t="s">
        <v>20</v>
      </c>
      <c r="C112" s="101" t="s">
        <v>1555</v>
      </c>
      <c r="D112" s="101">
        <v>3000</v>
      </c>
      <c r="E112" s="101">
        <v>1.6053500000000001</v>
      </c>
      <c r="F112" s="101">
        <v>1868.7514000000001</v>
      </c>
      <c r="G11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PIT RB3</v>
      </c>
      <c r="H11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PIT RB3</v>
      </c>
    </row>
    <row r="113" spans="1:8" x14ac:dyDescent="0.3">
      <c r="A113" s="101" t="s">
        <v>394</v>
      </c>
      <c r="B113" s="101" t="s">
        <v>50</v>
      </c>
      <c r="C113" s="101" t="s">
        <v>169</v>
      </c>
      <c r="D113" s="101">
        <v>3000</v>
      </c>
      <c r="E113" s="101">
        <v>1.5710500000000001</v>
      </c>
      <c r="F113" s="101">
        <v>1909.5509</v>
      </c>
      <c r="G11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ATL RB3</v>
      </c>
      <c r="H11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ATL RB3</v>
      </c>
    </row>
    <row r="114" spans="1:8" x14ac:dyDescent="0.3">
      <c r="A114" s="101" t="s">
        <v>394</v>
      </c>
      <c r="B114" s="101" t="s">
        <v>43</v>
      </c>
      <c r="C114" s="101" t="s">
        <v>142</v>
      </c>
      <c r="D114" s="101">
        <v>3000</v>
      </c>
      <c r="E114" s="101">
        <v>0.93884999999999996</v>
      </c>
      <c r="F114" s="101">
        <v>3195.3986</v>
      </c>
      <c r="G11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HOU RB4</v>
      </c>
      <c r="H11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HOU RB4</v>
      </c>
    </row>
    <row r="115" spans="1:8" x14ac:dyDescent="0.3">
      <c r="A115" s="101" t="s">
        <v>394</v>
      </c>
      <c r="B115" s="101" t="s">
        <v>4</v>
      </c>
      <c r="C115" s="101" t="s">
        <v>154</v>
      </c>
      <c r="D115" s="101">
        <v>3000</v>
      </c>
      <c r="E115" s="101">
        <v>0.90999999999999992</v>
      </c>
      <c r="F115" s="101">
        <v>3296.7033000000001</v>
      </c>
      <c r="G11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RB4</v>
      </c>
      <c r="H11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RB4</v>
      </c>
    </row>
    <row r="116" spans="1:8" x14ac:dyDescent="0.3">
      <c r="A116" s="101" t="s">
        <v>394</v>
      </c>
      <c r="B116" s="101" t="s">
        <v>26</v>
      </c>
      <c r="C116" s="101" t="s">
        <v>165</v>
      </c>
      <c r="D116" s="101">
        <v>3000</v>
      </c>
      <c r="E116" s="101">
        <v>0.90639999999999998</v>
      </c>
      <c r="F116" s="101">
        <v>3309.797</v>
      </c>
      <c r="G11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DET RB3</v>
      </c>
      <c r="H11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DET RB3</v>
      </c>
    </row>
    <row r="117" spans="1:8" x14ac:dyDescent="0.3">
      <c r="A117" s="101" t="s">
        <v>394</v>
      </c>
      <c r="B117" s="101" t="s">
        <v>41</v>
      </c>
      <c r="C117" s="101" t="s">
        <v>163</v>
      </c>
      <c r="D117" s="101">
        <v>3000</v>
      </c>
      <c r="E117" s="101">
        <v>0.76944999999999997</v>
      </c>
      <c r="F117" s="101">
        <v>3898.8888000000002</v>
      </c>
      <c r="G11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RB3</v>
      </c>
      <c r="H11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RB3</v>
      </c>
    </row>
    <row r="118" spans="1:8" x14ac:dyDescent="0.3">
      <c r="A118" s="101" t="s">
        <v>394</v>
      </c>
      <c r="B118" s="101" t="s">
        <v>395</v>
      </c>
      <c r="C118" s="101" t="s">
        <v>494</v>
      </c>
      <c r="D118" s="101">
        <v>3000</v>
      </c>
      <c r="E118" s="101">
        <v>0.58735000000000004</v>
      </c>
      <c r="F118" s="101">
        <v>5107.6871000000001</v>
      </c>
      <c r="G11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GB RB3</v>
      </c>
      <c r="H11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GB RB3</v>
      </c>
    </row>
    <row r="119" spans="1:8" x14ac:dyDescent="0.3">
      <c r="A119" s="101" t="s">
        <v>394</v>
      </c>
      <c r="B119" s="101" t="s">
        <v>397</v>
      </c>
      <c r="C119" s="101" t="s">
        <v>157</v>
      </c>
      <c r="D119" s="101">
        <v>3000</v>
      </c>
      <c r="E119" s="101">
        <v>0.46010000000000001</v>
      </c>
      <c r="F119" s="101">
        <v>6520.3217000000004</v>
      </c>
      <c r="G11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KC RB3</v>
      </c>
      <c r="H11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KC RB3</v>
      </c>
    </row>
    <row r="120" spans="1:8" x14ac:dyDescent="0.3">
      <c r="A120" s="101" t="s">
        <v>394</v>
      </c>
      <c r="B120" s="101" t="s">
        <v>402</v>
      </c>
      <c r="C120" s="101" t="s">
        <v>508</v>
      </c>
      <c r="D120" s="101">
        <v>3000</v>
      </c>
      <c r="E120" s="101">
        <v>0.29185</v>
      </c>
      <c r="F120" s="101">
        <v>10279.253000000001</v>
      </c>
      <c r="G12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NE RB3</v>
      </c>
      <c r="H12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NE RB3</v>
      </c>
    </row>
    <row r="121" spans="1:8" x14ac:dyDescent="0.3">
      <c r="A121" s="101" t="s">
        <v>396</v>
      </c>
      <c r="B121" s="101" t="s">
        <v>20</v>
      </c>
      <c r="C121" s="101" t="s">
        <v>187</v>
      </c>
      <c r="D121" s="101">
        <v>9600</v>
      </c>
      <c r="E121" s="101">
        <v>25.982566666666671</v>
      </c>
      <c r="F121" s="101">
        <v>369.4785</v>
      </c>
      <c r="G12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PIT WR1</v>
      </c>
      <c r="H12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PIT WR1</v>
      </c>
    </row>
    <row r="122" spans="1:8" x14ac:dyDescent="0.3">
      <c r="A122" s="101" t="s">
        <v>396</v>
      </c>
      <c r="B122" s="101" t="s">
        <v>50</v>
      </c>
      <c r="C122" s="101" t="s">
        <v>188</v>
      </c>
      <c r="D122" s="101">
        <v>9500</v>
      </c>
      <c r="E122" s="101">
        <v>25.032566666666668</v>
      </c>
      <c r="F122" s="101">
        <v>379.50560000000002</v>
      </c>
      <c r="G12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ATL WR1</v>
      </c>
      <c r="H12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ATL WR1</v>
      </c>
    </row>
    <row r="123" spans="1:8" x14ac:dyDescent="0.3">
      <c r="A123" s="101" t="s">
        <v>396</v>
      </c>
      <c r="B123" s="101" t="s">
        <v>37</v>
      </c>
      <c r="C123" s="101" t="s">
        <v>426</v>
      </c>
      <c r="D123" s="101">
        <v>9100</v>
      </c>
      <c r="E123" s="101">
        <v>20.622800000000002</v>
      </c>
      <c r="F123" s="101">
        <v>441.25920000000002</v>
      </c>
      <c r="G12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NYG WR1</v>
      </c>
      <c r="H12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NYG WR2</v>
      </c>
    </row>
    <row r="124" spans="1:8" x14ac:dyDescent="0.3">
      <c r="A124" s="101" t="s">
        <v>396</v>
      </c>
      <c r="B124" s="101" t="s">
        <v>43</v>
      </c>
      <c r="C124" s="101" t="s">
        <v>189</v>
      </c>
      <c r="D124" s="101">
        <v>8600</v>
      </c>
      <c r="E124" s="101">
        <v>17.995866666666668</v>
      </c>
      <c r="F124" s="101">
        <v>477.88749999999999</v>
      </c>
      <c r="G12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HOU WR1</v>
      </c>
      <c r="H12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HOU WR2</v>
      </c>
    </row>
    <row r="125" spans="1:8" x14ac:dyDescent="0.3">
      <c r="A125" s="101" t="s">
        <v>396</v>
      </c>
      <c r="B125" s="101" t="s">
        <v>28</v>
      </c>
      <c r="C125" s="101" t="s">
        <v>195</v>
      </c>
      <c r="D125" s="101">
        <v>8100</v>
      </c>
      <c r="E125" s="101">
        <v>17.677366666666668</v>
      </c>
      <c r="F125" s="101">
        <v>458.21300000000002</v>
      </c>
      <c r="G12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CIN WR1</v>
      </c>
      <c r="H12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CIN WR2</v>
      </c>
    </row>
    <row r="126" spans="1:8" x14ac:dyDescent="0.3">
      <c r="A126" s="101" t="s">
        <v>396</v>
      </c>
      <c r="B126" s="101" t="s">
        <v>404</v>
      </c>
      <c r="C126" s="101" t="s">
        <v>206</v>
      </c>
      <c r="D126" s="101">
        <v>7900</v>
      </c>
      <c r="E126" s="101">
        <v>17.035433333333334</v>
      </c>
      <c r="F126" s="101">
        <v>463.73930000000001</v>
      </c>
      <c r="G12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NO WR1</v>
      </c>
      <c r="H12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NO WR3</v>
      </c>
    </row>
    <row r="127" spans="1:8" x14ac:dyDescent="0.3">
      <c r="A127" s="101" t="s">
        <v>396</v>
      </c>
      <c r="B127" s="101" t="s">
        <v>12</v>
      </c>
      <c r="C127" s="101" t="s">
        <v>194</v>
      </c>
      <c r="D127" s="101">
        <v>7500</v>
      </c>
      <c r="E127" s="101">
        <v>17.004266666666666</v>
      </c>
      <c r="F127" s="101">
        <v>441.06580000000002</v>
      </c>
      <c r="G12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JAX WR1</v>
      </c>
      <c r="H12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JAX WR2</v>
      </c>
    </row>
    <row r="128" spans="1:8" x14ac:dyDescent="0.3">
      <c r="A128" s="101" t="s">
        <v>396</v>
      </c>
      <c r="B128" s="101" t="s">
        <v>24</v>
      </c>
      <c r="C128" s="101" t="s">
        <v>193</v>
      </c>
      <c r="D128" s="101">
        <v>6900</v>
      </c>
      <c r="E128" s="101">
        <v>16.942599999999999</v>
      </c>
      <c r="F128" s="101">
        <v>407.25740000000002</v>
      </c>
      <c r="G12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ARI WR1</v>
      </c>
      <c r="H12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ARI WR1</v>
      </c>
    </row>
    <row r="129" spans="1:8" x14ac:dyDescent="0.3">
      <c r="A129" s="101" t="s">
        <v>396</v>
      </c>
      <c r="B129" s="101" t="s">
        <v>46</v>
      </c>
      <c r="C129" s="101" t="s">
        <v>208</v>
      </c>
      <c r="D129" s="101">
        <v>8000</v>
      </c>
      <c r="E129" s="101">
        <v>16.428233333333331</v>
      </c>
      <c r="F129" s="101">
        <v>486.9665</v>
      </c>
      <c r="G12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CHI WR1</v>
      </c>
      <c r="H12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CHI WR2</v>
      </c>
    </row>
    <row r="130" spans="1:8" x14ac:dyDescent="0.3">
      <c r="A130" s="101" t="s">
        <v>396</v>
      </c>
      <c r="B130" s="101" t="s">
        <v>57</v>
      </c>
      <c r="C130" s="101" t="s">
        <v>205</v>
      </c>
      <c r="D130" s="101">
        <v>6600</v>
      </c>
      <c r="E130" s="101">
        <v>16.312766666666665</v>
      </c>
      <c r="F130" s="101">
        <v>404.59109999999998</v>
      </c>
      <c r="G13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MIA WR1</v>
      </c>
      <c r="H13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MIA WR2</v>
      </c>
    </row>
    <row r="131" spans="1:8" x14ac:dyDescent="0.3">
      <c r="A131" s="101" t="s">
        <v>396</v>
      </c>
      <c r="B131" s="101" t="s">
        <v>395</v>
      </c>
      <c r="C131" s="101" t="s">
        <v>427</v>
      </c>
      <c r="D131" s="101">
        <v>7400</v>
      </c>
      <c r="E131" s="101">
        <v>16.265033333333335</v>
      </c>
      <c r="F131" s="101">
        <v>454.96370000000002</v>
      </c>
      <c r="G13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GB WR1</v>
      </c>
      <c r="H13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GB WR1</v>
      </c>
    </row>
    <row r="132" spans="1:8" x14ac:dyDescent="0.3">
      <c r="A132" s="101" t="s">
        <v>396</v>
      </c>
      <c r="B132" s="101" t="s">
        <v>22</v>
      </c>
      <c r="C132" s="101" t="s">
        <v>768</v>
      </c>
      <c r="D132" s="101">
        <v>7200</v>
      </c>
      <c r="E132" s="101">
        <v>16.200800000000001</v>
      </c>
      <c r="F132" s="101">
        <v>444.42250000000001</v>
      </c>
      <c r="G13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CAR WR1</v>
      </c>
      <c r="H13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CAR WR1</v>
      </c>
    </row>
    <row r="133" spans="1:8" x14ac:dyDescent="0.3">
      <c r="A133" s="101" t="s">
        <v>396</v>
      </c>
      <c r="B133" s="101" t="s">
        <v>52</v>
      </c>
      <c r="C133" s="101" t="s">
        <v>234</v>
      </c>
      <c r="D133" s="101">
        <v>8400</v>
      </c>
      <c r="E133" s="101">
        <v>15.798433333333334</v>
      </c>
      <c r="F133" s="101">
        <v>531.69830000000002</v>
      </c>
      <c r="G13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DAL WR1</v>
      </c>
      <c r="H13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DAL WR3</v>
      </c>
    </row>
    <row r="134" spans="1:8" x14ac:dyDescent="0.3">
      <c r="A134" s="101" t="s">
        <v>396</v>
      </c>
      <c r="B134" s="101" t="s">
        <v>401</v>
      </c>
      <c r="C134" s="101" t="s">
        <v>217</v>
      </c>
      <c r="D134" s="101">
        <v>7000</v>
      </c>
      <c r="E134" s="101">
        <v>15.793333333333333</v>
      </c>
      <c r="F134" s="101">
        <v>443.22500000000002</v>
      </c>
      <c r="G13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TB WR1</v>
      </c>
      <c r="H13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TB WR2</v>
      </c>
    </row>
    <row r="135" spans="1:8" x14ac:dyDescent="0.3">
      <c r="A135" s="101" t="s">
        <v>396</v>
      </c>
      <c r="B135" s="101" t="s">
        <v>39</v>
      </c>
      <c r="C135" s="101" t="s">
        <v>211</v>
      </c>
      <c r="D135" s="101">
        <v>7100</v>
      </c>
      <c r="E135" s="101">
        <v>15.679466666666666</v>
      </c>
      <c r="F135" s="101">
        <v>452.82150000000001</v>
      </c>
      <c r="G13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PHI WR1</v>
      </c>
      <c r="H13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PHI WR2</v>
      </c>
    </row>
    <row r="136" spans="1:8" x14ac:dyDescent="0.3">
      <c r="A136" s="101" t="s">
        <v>396</v>
      </c>
      <c r="B136" s="101" t="s">
        <v>4</v>
      </c>
      <c r="C136" s="101" t="s">
        <v>210</v>
      </c>
      <c r="D136" s="101">
        <v>7700</v>
      </c>
      <c r="E136" s="101">
        <v>15.615733333333335</v>
      </c>
      <c r="F136" s="101">
        <v>493.0924</v>
      </c>
      <c r="G13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WR1</v>
      </c>
      <c r="H13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WR2</v>
      </c>
    </row>
    <row r="137" spans="1:8" x14ac:dyDescent="0.3">
      <c r="A137" s="101" t="s">
        <v>396</v>
      </c>
      <c r="B137" s="101" t="s">
        <v>34</v>
      </c>
      <c r="C137" s="101" t="s">
        <v>190</v>
      </c>
      <c r="D137" s="101">
        <v>7300</v>
      </c>
      <c r="E137" s="101">
        <v>15.4823</v>
      </c>
      <c r="F137" s="101">
        <v>471.50619999999998</v>
      </c>
      <c r="G13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NYJ WR1</v>
      </c>
      <c r="H13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NYJ WR2</v>
      </c>
    </row>
    <row r="138" spans="1:8" x14ac:dyDescent="0.3">
      <c r="A138" s="101" t="s">
        <v>396</v>
      </c>
      <c r="B138" s="101" t="s">
        <v>407</v>
      </c>
      <c r="C138" s="101" t="s">
        <v>241</v>
      </c>
      <c r="D138" s="101">
        <v>5200</v>
      </c>
      <c r="E138" s="101">
        <v>14.798166666666667</v>
      </c>
      <c r="F138" s="101">
        <v>351.39490000000001</v>
      </c>
      <c r="G13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SD WR1</v>
      </c>
      <c r="H13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SD WR1</v>
      </c>
    </row>
    <row r="139" spans="1:8" x14ac:dyDescent="0.3">
      <c r="A139" s="101" t="s">
        <v>396</v>
      </c>
      <c r="B139" s="101" t="s">
        <v>34</v>
      </c>
      <c r="C139" s="101" t="s">
        <v>197</v>
      </c>
      <c r="D139" s="101">
        <v>6900</v>
      </c>
      <c r="E139" s="101">
        <v>14.697733333333334</v>
      </c>
      <c r="F139" s="101">
        <v>469.46010000000001</v>
      </c>
      <c r="G13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NYJ WR2</v>
      </c>
      <c r="H13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NYJ WR1</v>
      </c>
    </row>
    <row r="140" spans="1:8" x14ac:dyDescent="0.3">
      <c r="A140" s="101" t="s">
        <v>396</v>
      </c>
      <c r="B140" s="101" t="s">
        <v>26</v>
      </c>
      <c r="C140" s="101" t="s">
        <v>173</v>
      </c>
      <c r="D140" s="101">
        <v>6200</v>
      </c>
      <c r="E140" s="101">
        <v>14.539066666666667</v>
      </c>
      <c r="F140" s="101">
        <v>426.43729999999999</v>
      </c>
      <c r="G14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DET WR1</v>
      </c>
      <c r="H14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DET WR1</v>
      </c>
    </row>
    <row r="141" spans="1:8" x14ac:dyDescent="0.3">
      <c r="A141" s="101" t="s">
        <v>396</v>
      </c>
      <c r="B141" s="101" t="s">
        <v>70</v>
      </c>
      <c r="C141" s="101" t="s">
        <v>199</v>
      </c>
      <c r="D141" s="101">
        <v>6400</v>
      </c>
      <c r="E141" s="101">
        <v>14.525966666666669</v>
      </c>
      <c r="F141" s="101">
        <v>440.59030000000001</v>
      </c>
      <c r="G14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DEN WR1</v>
      </c>
      <c r="H14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DEN WR1</v>
      </c>
    </row>
    <row r="142" spans="1:8" x14ac:dyDescent="0.3">
      <c r="A142" s="101" t="s">
        <v>396</v>
      </c>
      <c r="B142" s="101" t="s">
        <v>397</v>
      </c>
      <c r="C142" s="101" t="s">
        <v>201</v>
      </c>
      <c r="D142" s="101">
        <v>6000</v>
      </c>
      <c r="E142" s="101">
        <v>14.397533333333332</v>
      </c>
      <c r="F142" s="101">
        <v>416.73809999999997</v>
      </c>
      <c r="G14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KC WR1</v>
      </c>
      <c r="H14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KC WR1</v>
      </c>
    </row>
    <row r="143" spans="1:8" x14ac:dyDescent="0.3">
      <c r="A143" s="101" t="s">
        <v>396</v>
      </c>
      <c r="B143" s="101" t="s">
        <v>395</v>
      </c>
      <c r="C143" s="101" t="s">
        <v>216</v>
      </c>
      <c r="D143" s="101">
        <v>7300</v>
      </c>
      <c r="E143" s="101">
        <v>14.346233333333334</v>
      </c>
      <c r="F143" s="101">
        <v>508.84440000000001</v>
      </c>
      <c r="G14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GB WR2</v>
      </c>
      <c r="H14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GB WR3</v>
      </c>
    </row>
    <row r="144" spans="1:8" x14ac:dyDescent="0.3">
      <c r="A144" s="101" t="s">
        <v>396</v>
      </c>
      <c r="B144" s="101" t="s">
        <v>404</v>
      </c>
      <c r="C144" s="101" t="s">
        <v>227</v>
      </c>
      <c r="D144" s="101">
        <v>6500</v>
      </c>
      <c r="E144" s="101">
        <v>14.313666666666666</v>
      </c>
      <c r="F144" s="101">
        <v>454.11149999999998</v>
      </c>
      <c r="G14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NO WR2</v>
      </c>
      <c r="H14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NO WR2</v>
      </c>
    </row>
    <row r="145" spans="1:8" x14ac:dyDescent="0.3">
      <c r="A145" s="101" t="s">
        <v>396</v>
      </c>
      <c r="B145" s="101" t="s">
        <v>402</v>
      </c>
      <c r="C145" s="101" t="s">
        <v>198</v>
      </c>
      <c r="D145" s="101">
        <v>6400</v>
      </c>
      <c r="E145" s="101">
        <v>14.240000000000002</v>
      </c>
      <c r="F145" s="101">
        <v>449.43819999999999</v>
      </c>
      <c r="G14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NE WR1</v>
      </c>
      <c r="H14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NE WR1</v>
      </c>
    </row>
    <row r="146" spans="1:8" x14ac:dyDescent="0.3">
      <c r="A146" s="101" t="s">
        <v>396</v>
      </c>
      <c r="B146" s="101" t="s">
        <v>7</v>
      </c>
      <c r="C146" s="101" t="s">
        <v>192</v>
      </c>
      <c r="D146" s="101">
        <v>6300</v>
      </c>
      <c r="E146" s="101">
        <v>14.112133333333334</v>
      </c>
      <c r="F146" s="101">
        <v>446.42439999999999</v>
      </c>
      <c r="G14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SEA WR1</v>
      </c>
      <c r="H14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SEA WR3</v>
      </c>
    </row>
    <row r="147" spans="1:8" x14ac:dyDescent="0.3">
      <c r="A147" s="101" t="s">
        <v>396</v>
      </c>
      <c r="B147" s="101" t="s">
        <v>16</v>
      </c>
      <c r="C147" s="101" t="s">
        <v>213</v>
      </c>
      <c r="D147" s="101">
        <v>6800</v>
      </c>
      <c r="E147" s="101">
        <v>13.73</v>
      </c>
      <c r="F147" s="101">
        <v>495.26580000000001</v>
      </c>
      <c r="G14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IND WR1</v>
      </c>
      <c r="H14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IND WR2</v>
      </c>
    </row>
    <row r="148" spans="1:8" x14ac:dyDescent="0.3">
      <c r="A148" s="101" t="s">
        <v>396</v>
      </c>
      <c r="B148" s="101" t="s">
        <v>26</v>
      </c>
      <c r="C148" s="101" t="s">
        <v>212</v>
      </c>
      <c r="D148" s="101">
        <v>5900</v>
      </c>
      <c r="E148" s="101">
        <v>13.711500000000001</v>
      </c>
      <c r="F148" s="101">
        <v>430.29570000000001</v>
      </c>
      <c r="G14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DET WR2</v>
      </c>
      <c r="H14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DET WR2</v>
      </c>
    </row>
    <row r="149" spans="1:8" x14ac:dyDescent="0.3">
      <c r="A149" s="101" t="s">
        <v>396</v>
      </c>
      <c r="B149" s="101" t="s">
        <v>4</v>
      </c>
      <c r="C149" s="101" t="s">
        <v>204</v>
      </c>
      <c r="D149" s="101">
        <v>6000</v>
      </c>
      <c r="E149" s="101">
        <v>13.2438</v>
      </c>
      <c r="F149" s="101">
        <v>453.04219999999998</v>
      </c>
      <c r="G14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WR2</v>
      </c>
      <c r="H14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WR1</v>
      </c>
    </row>
    <row r="150" spans="1:8" x14ac:dyDescent="0.3">
      <c r="A150" s="101" t="s">
        <v>396</v>
      </c>
      <c r="B150" s="101" t="s">
        <v>37</v>
      </c>
      <c r="C150" s="101" t="s">
        <v>454</v>
      </c>
      <c r="D150" s="101">
        <v>5500</v>
      </c>
      <c r="E150" s="101">
        <v>13.068933333333334</v>
      </c>
      <c r="F150" s="101">
        <v>420.84539999999998</v>
      </c>
      <c r="G15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NYG WR2</v>
      </c>
      <c r="H15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NYG WR1</v>
      </c>
    </row>
    <row r="151" spans="1:8" x14ac:dyDescent="0.3">
      <c r="A151" s="101" t="s">
        <v>396</v>
      </c>
      <c r="B151" s="101" t="s">
        <v>41</v>
      </c>
      <c r="C151" s="101" t="s">
        <v>218</v>
      </c>
      <c r="D151" s="101">
        <v>5100</v>
      </c>
      <c r="E151" s="101">
        <v>12.899033333333334</v>
      </c>
      <c r="F151" s="101">
        <v>395.37849999999997</v>
      </c>
      <c r="G15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WR1</v>
      </c>
      <c r="H15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WR1</v>
      </c>
    </row>
    <row r="152" spans="1:8" x14ac:dyDescent="0.3">
      <c r="A152" s="101" t="s">
        <v>396</v>
      </c>
      <c r="B152" s="101" t="s">
        <v>24</v>
      </c>
      <c r="C152" s="101" t="s">
        <v>219</v>
      </c>
      <c r="D152" s="101">
        <v>5800</v>
      </c>
      <c r="E152" s="101">
        <v>12.694666666666668</v>
      </c>
      <c r="F152" s="101">
        <v>456.88479999999998</v>
      </c>
      <c r="G15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ARI WR2</v>
      </c>
      <c r="H15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ARI WR2</v>
      </c>
    </row>
    <row r="153" spans="1:8" x14ac:dyDescent="0.3">
      <c r="A153" s="101" t="s">
        <v>396</v>
      </c>
      <c r="B153" s="101" t="s">
        <v>12</v>
      </c>
      <c r="C153" s="101" t="s">
        <v>202</v>
      </c>
      <c r="D153" s="101">
        <v>5200</v>
      </c>
      <c r="E153" s="101">
        <v>12.419400000000001</v>
      </c>
      <c r="F153" s="101">
        <v>418.69979999999998</v>
      </c>
      <c r="G15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JAX WR2</v>
      </c>
      <c r="H15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JAX WR1</v>
      </c>
    </row>
    <row r="154" spans="1:8" x14ac:dyDescent="0.3">
      <c r="A154" s="101" t="s">
        <v>396</v>
      </c>
      <c r="B154" s="101" t="s">
        <v>18</v>
      </c>
      <c r="C154" s="101" t="s">
        <v>226</v>
      </c>
      <c r="D154" s="101">
        <v>5900</v>
      </c>
      <c r="E154" s="101">
        <v>12.292166666666665</v>
      </c>
      <c r="F154" s="101">
        <v>479.98050000000001</v>
      </c>
      <c r="G15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WR1</v>
      </c>
      <c r="H15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WR3</v>
      </c>
    </row>
    <row r="155" spans="1:8" x14ac:dyDescent="0.3">
      <c r="A155" s="101" t="s">
        <v>396</v>
      </c>
      <c r="B155" s="101" t="s">
        <v>70</v>
      </c>
      <c r="C155" s="101" t="s">
        <v>203</v>
      </c>
      <c r="D155" s="101">
        <v>6000</v>
      </c>
      <c r="E155" s="101">
        <v>12.1286</v>
      </c>
      <c r="F155" s="101">
        <v>494.69850000000002</v>
      </c>
      <c r="G15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DEN WR2</v>
      </c>
      <c r="H15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DEN WR2</v>
      </c>
    </row>
    <row r="156" spans="1:8" x14ac:dyDescent="0.3">
      <c r="A156" s="101" t="s">
        <v>396</v>
      </c>
      <c r="B156" s="101" t="s">
        <v>30</v>
      </c>
      <c r="C156" s="101" t="s">
        <v>519</v>
      </c>
      <c r="D156" s="101">
        <v>4700</v>
      </c>
      <c r="E156" s="101">
        <v>11.879466666666666</v>
      </c>
      <c r="F156" s="101">
        <v>395.64069999999998</v>
      </c>
      <c r="G15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TEN WR1</v>
      </c>
      <c r="H15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TEN WR2</v>
      </c>
    </row>
    <row r="157" spans="1:8" x14ac:dyDescent="0.3">
      <c r="A157" s="101" t="s">
        <v>396</v>
      </c>
      <c r="B157" s="101" t="s">
        <v>10</v>
      </c>
      <c r="C157" s="101" t="s">
        <v>196</v>
      </c>
      <c r="D157" s="101">
        <v>6100</v>
      </c>
      <c r="E157" s="101">
        <v>11.620033333333332</v>
      </c>
      <c r="F157" s="101">
        <v>524.95550000000003</v>
      </c>
      <c r="G15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BUF WR1</v>
      </c>
      <c r="H15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BUF WR2</v>
      </c>
    </row>
    <row r="158" spans="1:8" x14ac:dyDescent="0.3">
      <c r="A158" s="101" t="s">
        <v>396</v>
      </c>
      <c r="B158" s="101" t="s">
        <v>32</v>
      </c>
      <c r="C158" s="101" t="s">
        <v>209</v>
      </c>
      <c r="D158" s="101">
        <v>4100</v>
      </c>
      <c r="E158" s="101">
        <v>11.5922</v>
      </c>
      <c r="F158" s="101">
        <v>353.68610000000001</v>
      </c>
      <c r="G15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WR1</v>
      </c>
      <c r="H15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WR1</v>
      </c>
    </row>
    <row r="159" spans="1:8" x14ac:dyDescent="0.3">
      <c r="A159" s="101" t="s">
        <v>396</v>
      </c>
      <c r="B159" s="101" t="s">
        <v>7</v>
      </c>
      <c r="C159" s="101" t="s">
        <v>224</v>
      </c>
      <c r="D159" s="101">
        <v>4200</v>
      </c>
      <c r="E159" s="101">
        <v>11.322833333333335</v>
      </c>
      <c r="F159" s="101">
        <v>370.93189999999998</v>
      </c>
      <c r="G15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SEA WR2</v>
      </c>
      <c r="H15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SEA WR1</v>
      </c>
    </row>
    <row r="160" spans="1:8" x14ac:dyDescent="0.3">
      <c r="A160" s="101" t="s">
        <v>396</v>
      </c>
      <c r="B160" s="101" t="s">
        <v>14</v>
      </c>
      <c r="C160" s="101" t="s">
        <v>479</v>
      </c>
      <c r="D160" s="101">
        <v>3400</v>
      </c>
      <c r="E160" s="101">
        <v>11.2796</v>
      </c>
      <c r="F160" s="101">
        <v>301.42910000000001</v>
      </c>
      <c r="G16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CLE WR1</v>
      </c>
      <c r="H16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CLE WR1</v>
      </c>
    </row>
    <row r="161" spans="1:8" x14ac:dyDescent="0.3">
      <c r="A161" s="101" t="s">
        <v>396</v>
      </c>
      <c r="B161" s="101" t="s">
        <v>407</v>
      </c>
      <c r="C161" s="101" t="s">
        <v>505</v>
      </c>
      <c r="D161" s="101">
        <v>4300</v>
      </c>
      <c r="E161" s="101">
        <v>10.899633333333334</v>
      </c>
      <c r="F161" s="101">
        <v>394.50869999999998</v>
      </c>
      <c r="G16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SD WR2</v>
      </c>
      <c r="H16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SD WR2</v>
      </c>
    </row>
    <row r="162" spans="1:8" x14ac:dyDescent="0.3">
      <c r="A162" s="101" t="s">
        <v>396</v>
      </c>
      <c r="B162" s="101" t="s">
        <v>43</v>
      </c>
      <c r="C162" s="101" t="s">
        <v>463</v>
      </c>
      <c r="D162" s="101">
        <v>4800</v>
      </c>
      <c r="E162" s="101">
        <v>10.874500000000001</v>
      </c>
      <c r="F162" s="101">
        <v>441.39960000000002</v>
      </c>
      <c r="G16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HOU WR2</v>
      </c>
      <c r="H16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HOU WR1</v>
      </c>
    </row>
    <row r="163" spans="1:8" x14ac:dyDescent="0.3">
      <c r="A163" s="101" t="s">
        <v>396</v>
      </c>
      <c r="B163" s="101" t="s">
        <v>401</v>
      </c>
      <c r="C163" s="101" t="s">
        <v>233</v>
      </c>
      <c r="D163" s="101">
        <v>3900</v>
      </c>
      <c r="E163" s="101">
        <v>10.809033333333334</v>
      </c>
      <c r="F163" s="101">
        <v>360.80930000000001</v>
      </c>
      <c r="G16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TB WR2</v>
      </c>
      <c r="H16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TB WR1</v>
      </c>
    </row>
    <row r="164" spans="1:8" x14ac:dyDescent="0.3">
      <c r="A164" s="101" t="s">
        <v>396</v>
      </c>
      <c r="B164" s="101" t="s">
        <v>404</v>
      </c>
      <c r="C164" s="101" t="s">
        <v>457</v>
      </c>
      <c r="D164" s="101">
        <v>4200</v>
      </c>
      <c r="E164" s="101">
        <v>10.732533333333334</v>
      </c>
      <c r="F164" s="101">
        <v>391.33350000000002</v>
      </c>
      <c r="G16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NO WR3</v>
      </c>
      <c r="H16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NO WR1</v>
      </c>
    </row>
    <row r="165" spans="1:8" x14ac:dyDescent="0.3">
      <c r="A165" s="101" t="s">
        <v>396</v>
      </c>
      <c r="B165" s="101" t="s">
        <v>50</v>
      </c>
      <c r="C165" s="101" t="s">
        <v>277</v>
      </c>
      <c r="D165" s="101">
        <v>5700</v>
      </c>
      <c r="E165" s="101">
        <v>10.650066666666666</v>
      </c>
      <c r="F165" s="101">
        <v>535.2079</v>
      </c>
      <c r="G16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ATL WR2</v>
      </c>
      <c r="H16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ATL WR2</v>
      </c>
    </row>
    <row r="166" spans="1:8" x14ac:dyDescent="0.3">
      <c r="A166" s="101" t="s">
        <v>396</v>
      </c>
      <c r="B166" s="101" t="s">
        <v>16</v>
      </c>
      <c r="C166" s="101" t="s">
        <v>283</v>
      </c>
      <c r="D166" s="101">
        <v>4400</v>
      </c>
      <c r="E166" s="101">
        <v>10.352433333333334</v>
      </c>
      <c r="F166" s="101">
        <v>425.02080000000001</v>
      </c>
      <c r="G16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IND WR2</v>
      </c>
      <c r="H16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IND WR1</v>
      </c>
    </row>
    <row r="167" spans="1:8" x14ac:dyDescent="0.3">
      <c r="A167" s="101" t="s">
        <v>396</v>
      </c>
      <c r="B167" s="101" t="s">
        <v>18</v>
      </c>
      <c r="C167" s="101" t="s">
        <v>238</v>
      </c>
      <c r="D167" s="101">
        <v>3800</v>
      </c>
      <c r="E167" s="101">
        <v>10.154700000000002</v>
      </c>
      <c r="F167" s="101">
        <v>374.21100000000001</v>
      </c>
      <c r="G16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WR2</v>
      </c>
      <c r="H16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WR1</v>
      </c>
    </row>
    <row r="168" spans="1:8" x14ac:dyDescent="0.3">
      <c r="A168" s="101" t="s">
        <v>396</v>
      </c>
      <c r="B168" s="101" t="s">
        <v>32</v>
      </c>
      <c r="C168" s="101" t="s">
        <v>275</v>
      </c>
      <c r="D168" s="101">
        <v>5000</v>
      </c>
      <c r="E168" s="101">
        <v>9.9771000000000001</v>
      </c>
      <c r="F168" s="101">
        <v>501.14760000000001</v>
      </c>
      <c r="G16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WR2</v>
      </c>
      <c r="H16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WR4</v>
      </c>
    </row>
    <row r="169" spans="1:8" x14ac:dyDescent="0.3">
      <c r="A169" s="101" t="s">
        <v>396</v>
      </c>
      <c r="B169" s="101" t="s">
        <v>46</v>
      </c>
      <c r="C169" s="101" t="s">
        <v>432</v>
      </c>
      <c r="D169" s="101">
        <v>4000</v>
      </c>
      <c r="E169" s="101">
        <v>9.9034999999999993</v>
      </c>
      <c r="F169" s="101">
        <v>403.89760000000001</v>
      </c>
      <c r="G16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CHI WR2</v>
      </c>
      <c r="H16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CHI WR1</v>
      </c>
    </row>
    <row r="170" spans="1:8" x14ac:dyDescent="0.3">
      <c r="A170" s="101" t="s">
        <v>396</v>
      </c>
      <c r="B170" s="101" t="s">
        <v>34</v>
      </c>
      <c r="C170" s="101" t="s">
        <v>269</v>
      </c>
      <c r="D170" s="101">
        <v>4800</v>
      </c>
      <c r="E170" s="101">
        <v>9.6613499999999988</v>
      </c>
      <c r="F170" s="101">
        <v>496.82499999999999</v>
      </c>
      <c r="G17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NYJ WR3</v>
      </c>
      <c r="H17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NYJ WR3</v>
      </c>
    </row>
    <row r="171" spans="1:8" x14ac:dyDescent="0.3">
      <c r="A171" s="101" t="s">
        <v>396</v>
      </c>
      <c r="B171" s="101" t="s">
        <v>57</v>
      </c>
      <c r="C171" s="101" t="s">
        <v>262</v>
      </c>
      <c r="D171" s="101">
        <v>4900</v>
      </c>
      <c r="E171" s="101">
        <v>9.5359999999999996</v>
      </c>
      <c r="F171" s="101">
        <v>513.84230000000002</v>
      </c>
      <c r="G17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MIA WR2</v>
      </c>
      <c r="H17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MIA WR3</v>
      </c>
    </row>
    <row r="172" spans="1:8" x14ac:dyDescent="0.3">
      <c r="A172" s="101" t="s">
        <v>396</v>
      </c>
      <c r="B172" s="101" t="s">
        <v>398</v>
      </c>
      <c r="C172" s="101" t="s">
        <v>294</v>
      </c>
      <c r="D172" s="101">
        <v>3400</v>
      </c>
      <c r="E172" s="101">
        <v>9.360100000000001</v>
      </c>
      <c r="F172" s="101">
        <v>363.24400000000003</v>
      </c>
      <c r="G17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SF WR1</v>
      </c>
      <c r="H17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SF WR1</v>
      </c>
    </row>
    <row r="173" spans="1:8" x14ac:dyDescent="0.3">
      <c r="A173" s="101" t="s">
        <v>396</v>
      </c>
      <c r="B173" s="101" t="s">
        <v>18</v>
      </c>
      <c r="C173" s="101" t="s">
        <v>220</v>
      </c>
      <c r="D173" s="101">
        <v>3900</v>
      </c>
      <c r="E173" s="101">
        <v>9.2992000000000008</v>
      </c>
      <c r="F173" s="101">
        <v>419.39089999999999</v>
      </c>
      <c r="G17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WR3</v>
      </c>
      <c r="H17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WR2</v>
      </c>
    </row>
    <row r="174" spans="1:8" x14ac:dyDescent="0.3">
      <c r="A174" s="101" t="s">
        <v>396</v>
      </c>
      <c r="B174" s="101" t="s">
        <v>37</v>
      </c>
      <c r="C174" s="101" t="s">
        <v>456</v>
      </c>
      <c r="D174" s="101">
        <v>4700</v>
      </c>
      <c r="E174" s="101">
        <v>9.2919666666666689</v>
      </c>
      <c r="F174" s="101">
        <v>505.81330000000003</v>
      </c>
      <c r="G17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NYG WR3</v>
      </c>
      <c r="H17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NYG WR3</v>
      </c>
    </row>
    <row r="175" spans="1:8" x14ac:dyDescent="0.3">
      <c r="A175" s="101" t="s">
        <v>396</v>
      </c>
      <c r="B175" s="101" t="s">
        <v>24</v>
      </c>
      <c r="C175" s="101" t="s">
        <v>207</v>
      </c>
      <c r="D175" s="101">
        <v>4800</v>
      </c>
      <c r="E175" s="101">
        <v>9.2573666666666679</v>
      </c>
      <c r="F175" s="101">
        <v>518.50599999999997</v>
      </c>
      <c r="G17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ARI WR3</v>
      </c>
      <c r="H17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ARI WR3</v>
      </c>
    </row>
    <row r="176" spans="1:8" x14ac:dyDescent="0.3">
      <c r="A176" s="101" t="s">
        <v>396</v>
      </c>
      <c r="B176" s="101" t="s">
        <v>30</v>
      </c>
      <c r="C176" s="101" t="s">
        <v>239</v>
      </c>
      <c r="D176" s="101">
        <v>3300</v>
      </c>
      <c r="E176" s="101">
        <v>9.0846000000000018</v>
      </c>
      <c r="F176" s="101">
        <v>363.25209999999998</v>
      </c>
      <c r="G17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TEN WR2</v>
      </c>
      <c r="H17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TEN WR1</v>
      </c>
    </row>
    <row r="177" spans="1:8" x14ac:dyDescent="0.3">
      <c r="A177" s="101" t="s">
        <v>396</v>
      </c>
      <c r="B177" s="101" t="s">
        <v>57</v>
      </c>
      <c r="C177" s="101" t="s">
        <v>258</v>
      </c>
      <c r="D177" s="101">
        <v>3600</v>
      </c>
      <c r="E177" s="101">
        <v>9.0438333333333336</v>
      </c>
      <c r="F177" s="101">
        <v>398.06130000000002</v>
      </c>
      <c r="G17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MIA WR3</v>
      </c>
      <c r="H17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MIA WR1</v>
      </c>
    </row>
    <row r="178" spans="1:8" x14ac:dyDescent="0.3">
      <c r="A178" s="101" t="s">
        <v>396</v>
      </c>
      <c r="B178" s="101" t="s">
        <v>398</v>
      </c>
      <c r="C178" s="101" t="s">
        <v>243</v>
      </c>
      <c r="D178" s="101">
        <v>4300</v>
      </c>
      <c r="E178" s="101">
        <v>8.8593000000000011</v>
      </c>
      <c r="F178" s="101">
        <v>485.3657</v>
      </c>
      <c r="G17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SF WR2</v>
      </c>
      <c r="H17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SF WR3</v>
      </c>
    </row>
    <row r="179" spans="1:8" x14ac:dyDescent="0.3">
      <c r="A179" s="101" t="s">
        <v>396</v>
      </c>
      <c r="B179" s="101" t="s">
        <v>395</v>
      </c>
      <c r="C179" s="101" t="s">
        <v>242</v>
      </c>
      <c r="D179" s="101">
        <v>4100</v>
      </c>
      <c r="E179" s="101">
        <v>8.6274500000000014</v>
      </c>
      <c r="F179" s="101">
        <v>475.22730000000001</v>
      </c>
      <c r="G17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GB WR3</v>
      </c>
      <c r="H17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GB WR2</v>
      </c>
    </row>
    <row r="180" spans="1:8" x14ac:dyDescent="0.3">
      <c r="A180" s="101" t="s">
        <v>396</v>
      </c>
      <c r="B180" s="101" t="s">
        <v>39</v>
      </c>
      <c r="C180" s="101" t="s">
        <v>272</v>
      </c>
      <c r="D180" s="101">
        <v>3500</v>
      </c>
      <c r="E180" s="101">
        <v>8.6023999999999994</v>
      </c>
      <c r="F180" s="101">
        <v>406.86320000000001</v>
      </c>
      <c r="G18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PHI WR2</v>
      </c>
      <c r="H18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PHI WR1</v>
      </c>
    </row>
    <row r="181" spans="1:8" x14ac:dyDescent="0.3">
      <c r="A181" s="101" t="s">
        <v>396</v>
      </c>
      <c r="B181" s="101" t="s">
        <v>7</v>
      </c>
      <c r="C181" s="101" t="s">
        <v>225</v>
      </c>
      <c r="D181" s="101">
        <v>3400</v>
      </c>
      <c r="E181" s="101">
        <v>8.5356666666666676</v>
      </c>
      <c r="F181" s="101">
        <v>398.32859999999999</v>
      </c>
      <c r="G18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SEA WR3</v>
      </c>
      <c r="H18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SEA WR2</v>
      </c>
    </row>
    <row r="182" spans="1:8" x14ac:dyDescent="0.3">
      <c r="A182" s="101" t="s">
        <v>396</v>
      </c>
      <c r="B182" s="101" t="s">
        <v>409</v>
      </c>
      <c r="C182" s="101" t="s">
        <v>214</v>
      </c>
      <c r="D182" s="101">
        <v>4100</v>
      </c>
      <c r="E182" s="101">
        <v>8.4914666666666676</v>
      </c>
      <c r="F182" s="101">
        <v>482.83769999999998</v>
      </c>
      <c r="G18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LA WR1</v>
      </c>
      <c r="H18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LA WR2</v>
      </c>
    </row>
    <row r="183" spans="1:8" x14ac:dyDescent="0.3">
      <c r="A183" s="101" t="s">
        <v>396</v>
      </c>
      <c r="B183" s="101" t="s">
        <v>398</v>
      </c>
      <c r="C183" s="101" t="s">
        <v>265</v>
      </c>
      <c r="D183" s="101">
        <v>3100</v>
      </c>
      <c r="E183" s="101">
        <v>8.3115500000000004</v>
      </c>
      <c r="F183" s="101">
        <v>372.97500000000002</v>
      </c>
      <c r="G18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SF WR3</v>
      </c>
      <c r="H18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SF WR2</v>
      </c>
    </row>
    <row r="184" spans="1:8" x14ac:dyDescent="0.3">
      <c r="A184" s="101" t="s">
        <v>396</v>
      </c>
      <c r="B184" s="101" t="s">
        <v>22</v>
      </c>
      <c r="C184" s="101" t="s">
        <v>254</v>
      </c>
      <c r="D184" s="101">
        <v>4100</v>
      </c>
      <c r="E184" s="101">
        <v>8.2451333333333334</v>
      </c>
      <c r="F184" s="101">
        <v>497.26299999999998</v>
      </c>
      <c r="G18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CAR WR2</v>
      </c>
      <c r="H18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CAR WR2</v>
      </c>
    </row>
    <row r="185" spans="1:8" x14ac:dyDescent="0.3">
      <c r="A185" s="101" t="s">
        <v>396</v>
      </c>
      <c r="B185" s="101" t="s">
        <v>28</v>
      </c>
      <c r="C185" s="101" t="s">
        <v>260</v>
      </c>
      <c r="D185" s="101">
        <v>3400</v>
      </c>
      <c r="E185" s="101">
        <v>8.2068666666666665</v>
      </c>
      <c r="F185" s="101">
        <v>414.28719999999998</v>
      </c>
      <c r="G18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CIN WR2</v>
      </c>
      <c r="H18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CIN WR1</v>
      </c>
    </row>
    <row r="186" spans="1:8" x14ac:dyDescent="0.3">
      <c r="A186" s="101" t="s">
        <v>396</v>
      </c>
      <c r="B186" s="101" t="s">
        <v>26</v>
      </c>
      <c r="C186" s="101" t="s">
        <v>410</v>
      </c>
      <c r="D186" s="101">
        <v>4200</v>
      </c>
      <c r="E186" s="101">
        <v>8.1257333333333346</v>
      </c>
      <c r="F186" s="101">
        <v>516.87639999999999</v>
      </c>
      <c r="G18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DET WR3</v>
      </c>
      <c r="H18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DET WR3</v>
      </c>
    </row>
    <row r="187" spans="1:8" x14ac:dyDescent="0.3">
      <c r="A187" s="101" t="s">
        <v>396</v>
      </c>
      <c r="B187" s="101" t="s">
        <v>409</v>
      </c>
      <c r="C187" s="101" t="s">
        <v>237</v>
      </c>
      <c r="D187" s="101">
        <v>3900</v>
      </c>
      <c r="E187" s="101">
        <v>8.0837666666666674</v>
      </c>
      <c r="F187" s="101">
        <v>482.44839999999999</v>
      </c>
      <c r="G18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LA WR2</v>
      </c>
      <c r="H18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LA WR1</v>
      </c>
    </row>
    <row r="188" spans="1:8" x14ac:dyDescent="0.3">
      <c r="A188" s="101" t="s">
        <v>396</v>
      </c>
      <c r="B188" s="101" t="s">
        <v>52</v>
      </c>
      <c r="C188" s="101" t="s">
        <v>240</v>
      </c>
      <c r="D188" s="101">
        <v>3200</v>
      </c>
      <c r="E188" s="101">
        <v>8.0466666666666669</v>
      </c>
      <c r="F188" s="101">
        <v>397.68020000000001</v>
      </c>
      <c r="G18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DAL WR2</v>
      </c>
      <c r="H18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DAL WR1</v>
      </c>
    </row>
    <row r="189" spans="1:8" x14ac:dyDescent="0.3">
      <c r="A189" s="101" t="s">
        <v>396</v>
      </c>
      <c r="B189" s="101" t="s">
        <v>41</v>
      </c>
      <c r="C189" s="101" t="s">
        <v>292</v>
      </c>
      <c r="D189" s="101">
        <v>3200</v>
      </c>
      <c r="E189" s="101">
        <v>7.7770500000000009</v>
      </c>
      <c r="F189" s="101">
        <v>411.46710000000002</v>
      </c>
      <c r="G18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WR2</v>
      </c>
      <c r="H18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WR2</v>
      </c>
    </row>
    <row r="190" spans="1:8" x14ac:dyDescent="0.3">
      <c r="A190" s="101" t="s">
        <v>396</v>
      </c>
      <c r="B190" s="101" t="s">
        <v>20</v>
      </c>
      <c r="C190" s="101" t="s">
        <v>1248</v>
      </c>
      <c r="D190" s="101">
        <v>3900</v>
      </c>
      <c r="E190" s="101">
        <v>7.7653333333333343</v>
      </c>
      <c r="F190" s="101">
        <v>502.2321</v>
      </c>
      <c r="G19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PIT WR2</v>
      </c>
      <c r="H19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PIT WR2</v>
      </c>
    </row>
    <row r="191" spans="1:8" x14ac:dyDescent="0.3">
      <c r="A191" s="101" t="s">
        <v>396</v>
      </c>
      <c r="B191" s="101" t="s">
        <v>32</v>
      </c>
      <c r="C191" s="101" t="s">
        <v>221</v>
      </c>
      <c r="D191" s="101">
        <v>3100</v>
      </c>
      <c r="E191" s="101">
        <v>7.5343</v>
      </c>
      <c r="F191" s="101">
        <v>411.45159999999998</v>
      </c>
      <c r="G19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WR3</v>
      </c>
      <c r="H19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WR2</v>
      </c>
    </row>
    <row r="192" spans="1:8" x14ac:dyDescent="0.3">
      <c r="A192" s="101" t="s">
        <v>396</v>
      </c>
      <c r="B192" s="101" t="s">
        <v>10</v>
      </c>
      <c r="C192" s="101" t="s">
        <v>231</v>
      </c>
      <c r="D192" s="101">
        <v>3200</v>
      </c>
      <c r="E192" s="101">
        <v>7.411266666666668</v>
      </c>
      <c r="F192" s="101">
        <v>431.77499999999998</v>
      </c>
      <c r="G19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BUF WR2</v>
      </c>
      <c r="H19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BUF WR1</v>
      </c>
    </row>
    <row r="193" spans="1:8" x14ac:dyDescent="0.3">
      <c r="A193" s="101" t="s">
        <v>396</v>
      </c>
      <c r="B193" s="101" t="s">
        <v>52</v>
      </c>
      <c r="C193" s="101" t="s">
        <v>230</v>
      </c>
      <c r="D193" s="101">
        <v>3300</v>
      </c>
      <c r="E193" s="101">
        <v>7.1173000000000002</v>
      </c>
      <c r="F193" s="101">
        <v>463.65899999999999</v>
      </c>
      <c r="G19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DAL WR3</v>
      </c>
      <c r="H19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DAL WR2</v>
      </c>
    </row>
    <row r="194" spans="1:8" x14ac:dyDescent="0.3">
      <c r="A194" s="101" t="s">
        <v>396</v>
      </c>
      <c r="B194" s="101" t="s">
        <v>402</v>
      </c>
      <c r="C194" s="101" t="s">
        <v>276</v>
      </c>
      <c r="D194" s="101">
        <v>3900</v>
      </c>
      <c r="E194" s="101">
        <v>7.0653666666666677</v>
      </c>
      <c r="F194" s="101">
        <v>551.98829999999998</v>
      </c>
      <c r="G19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NE WR2</v>
      </c>
      <c r="H19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NE WR2</v>
      </c>
    </row>
    <row r="195" spans="1:8" x14ac:dyDescent="0.3">
      <c r="A195" s="101" t="s">
        <v>396</v>
      </c>
      <c r="B195" s="101" t="s">
        <v>28</v>
      </c>
      <c r="C195" s="101" t="s">
        <v>465</v>
      </c>
      <c r="D195" s="101">
        <v>3500</v>
      </c>
      <c r="E195" s="101">
        <v>7.0327000000000002</v>
      </c>
      <c r="F195" s="101">
        <v>497.67509999999999</v>
      </c>
      <c r="G19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CIN WR3</v>
      </c>
      <c r="H19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CIN WR3</v>
      </c>
    </row>
    <row r="196" spans="1:8" x14ac:dyDescent="0.3">
      <c r="A196" s="101" t="s">
        <v>396</v>
      </c>
      <c r="B196" s="101" t="s">
        <v>46</v>
      </c>
      <c r="C196" s="101" t="s">
        <v>256</v>
      </c>
      <c r="D196" s="101">
        <v>3500</v>
      </c>
      <c r="E196" s="101">
        <v>6.9714000000000009</v>
      </c>
      <c r="F196" s="101">
        <v>502.05119999999999</v>
      </c>
      <c r="G19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CHI WR3</v>
      </c>
      <c r="H19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CHI WR3</v>
      </c>
    </row>
    <row r="197" spans="1:8" x14ac:dyDescent="0.3">
      <c r="A197" s="101" t="s">
        <v>396</v>
      </c>
      <c r="B197" s="101" t="s">
        <v>32</v>
      </c>
      <c r="C197" s="101" t="s">
        <v>462</v>
      </c>
      <c r="D197" s="101">
        <v>3000</v>
      </c>
      <c r="E197" s="101">
        <v>6.9597666666666669</v>
      </c>
      <c r="F197" s="101">
        <v>431.0489</v>
      </c>
      <c r="G19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WR4</v>
      </c>
      <c r="H19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WR3</v>
      </c>
    </row>
    <row r="198" spans="1:8" x14ac:dyDescent="0.3">
      <c r="A198" s="101" t="s">
        <v>396</v>
      </c>
      <c r="B198" s="101" t="s">
        <v>20</v>
      </c>
      <c r="C198" s="101" t="s">
        <v>315</v>
      </c>
      <c r="D198" s="101">
        <v>3800</v>
      </c>
      <c r="E198" s="101">
        <v>6.4089666666666671</v>
      </c>
      <c r="F198" s="101">
        <v>592.91930000000002</v>
      </c>
      <c r="G19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PIT WR3</v>
      </c>
      <c r="H19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PIT WR3</v>
      </c>
    </row>
    <row r="199" spans="1:8" x14ac:dyDescent="0.3">
      <c r="A199" s="101" t="s">
        <v>396</v>
      </c>
      <c r="B199" s="101" t="s">
        <v>407</v>
      </c>
      <c r="C199" s="101" t="s">
        <v>249</v>
      </c>
      <c r="D199" s="101">
        <v>3600</v>
      </c>
      <c r="E199" s="101">
        <v>6.3168666666666677</v>
      </c>
      <c r="F199" s="101">
        <v>569.90279999999996</v>
      </c>
      <c r="G19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SD WR3</v>
      </c>
      <c r="H19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SD WR3</v>
      </c>
    </row>
    <row r="200" spans="1:8" x14ac:dyDescent="0.3">
      <c r="A200" s="101" t="s">
        <v>396</v>
      </c>
      <c r="B200" s="101" t="s">
        <v>22</v>
      </c>
      <c r="C200" s="101" t="s">
        <v>1350</v>
      </c>
      <c r="D200" s="101">
        <v>3700</v>
      </c>
      <c r="E200" s="101">
        <v>6.2520000000000007</v>
      </c>
      <c r="F200" s="101">
        <v>591.81060000000002</v>
      </c>
      <c r="G20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CAR WR3</v>
      </c>
      <c r="H20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CAR WR3</v>
      </c>
    </row>
    <row r="201" spans="1:8" x14ac:dyDescent="0.3">
      <c r="A201" s="101" t="s">
        <v>396</v>
      </c>
      <c r="B201" s="101" t="s">
        <v>397</v>
      </c>
      <c r="C201" s="101" t="s">
        <v>285</v>
      </c>
      <c r="D201" s="101">
        <v>3100</v>
      </c>
      <c r="E201" s="101">
        <v>6.1734333333333336</v>
      </c>
      <c r="F201" s="101">
        <v>502.15170000000001</v>
      </c>
      <c r="G20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KC WR2</v>
      </c>
      <c r="H20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KC WR2</v>
      </c>
    </row>
    <row r="202" spans="1:8" x14ac:dyDescent="0.3">
      <c r="A202" s="101" t="s">
        <v>396</v>
      </c>
      <c r="B202" s="101" t="s">
        <v>4</v>
      </c>
      <c r="C202" s="101" t="s">
        <v>245</v>
      </c>
      <c r="D202" s="101">
        <v>3500</v>
      </c>
      <c r="E202" s="101">
        <v>6.1577500000000001</v>
      </c>
      <c r="F202" s="101">
        <v>568.38940000000002</v>
      </c>
      <c r="G20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WR3</v>
      </c>
      <c r="H20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WR3</v>
      </c>
    </row>
    <row r="203" spans="1:8" x14ac:dyDescent="0.3">
      <c r="A203" s="101" t="s">
        <v>396</v>
      </c>
      <c r="B203" s="101" t="s">
        <v>402</v>
      </c>
      <c r="C203" s="101" t="s">
        <v>228</v>
      </c>
      <c r="D203" s="101">
        <v>3700</v>
      </c>
      <c r="E203" s="101">
        <v>5.607966666666667</v>
      </c>
      <c r="F203" s="101">
        <v>659.77570000000003</v>
      </c>
      <c r="G20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NE WR3</v>
      </c>
      <c r="H20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NE WR3</v>
      </c>
    </row>
    <row r="204" spans="1:8" x14ac:dyDescent="0.3">
      <c r="A204" s="101" t="s">
        <v>396</v>
      </c>
      <c r="B204" s="101" t="s">
        <v>39</v>
      </c>
      <c r="C204" s="101" t="s">
        <v>247</v>
      </c>
      <c r="D204" s="101">
        <v>3200</v>
      </c>
      <c r="E204" s="101">
        <v>5.5407666666666664</v>
      </c>
      <c r="F204" s="101">
        <v>577.53740000000005</v>
      </c>
      <c r="G20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PHI WR3</v>
      </c>
      <c r="H20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PHI WR3</v>
      </c>
    </row>
    <row r="205" spans="1:8" x14ac:dyDescent="0.3">
      <c r="A205" s="101" t="s">
        <v>396</v>
      </c>
      <c r="B205" s="101" t="s">
        <v>18</v>
      </c>
      <c r="C205" s="101" t="s">
        <v>767</v>
      </c>
      <c r="D205" s="101">
        <v>3000</v>
      </c>
      <c r="E205" s="101">
        <v>5.4035333333333329</v>
      </c>
      <c r="F205" s="101">
        <v>555.19230000000005</v>
      </c>
      <c r="G20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WR4</v>
      </c>
      <c r="H20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WR4</v>
      </c>
    </row>
    <row r="206" spans="1:8" x14ac:dyDescent="0.3">
      <c r="A206" s="101" t="s">
        <v>396</v>
      </c>
      <c r="B206" s="101" t="s">
        <v>41</v>
      </c>
      <c r="C206" s="101" t="s">
        <v>293</v>
      </c>
      <c r="D206" s="101">
        <v>3000</v>
      </c>
      <c r="E206" s="101">
        <v>5.3816666666666668</v>
      </c>
      <c r="F206" s="101">
        <v>557.44809999999995</v>
      </c>
      <c r="G20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WR3</v>
      </c>
      <c r="H20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WR3</v>
      </c>
    </row>
    <row r="207" spans="1:8" x14ac:dyDescent="0.3">
      <c r="A207" s="101" t="s">
        <v>396</v>
      </c>
      <c r="B207" s="101" t="s">
        <v>10</v>
      </c>
      <c r="C207" s="101" t="s">
        <v>306</v>
      </c>
      <c r="D207" s="101">
        <v>3000</v>
      </c>
      <c r="E207" s="101">
        <v>5.3510500000000008</v>
      </c>
      <c r="F207" s="101">
        <v>560.63760000000002</v>
      </c>
      <c r="G20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BUF WR3</v>
      </c>
      <c r="H20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BUF WR3</v>
      </c>
    </row>
    <row r="208" spans="1:8" x14ac:dyDescent="0.3">
      <c r="A208" s="101" t="s">
        <v>396</v>
      </c>
      <c r="B208" s="101" t="s">
        <v>14</v>
      </c>
      <c r="C208" s="101" t="s">
        <v>257</v>
      </c>
      <c r="D208" s="101">
        <v>3000</v>
      </c>
      <c r="E208" s="101">
        <v>5.1885666666666665</v>
      </c>
      <c r="F208" s="101">
        <v>578.19439999999997</v>
      </c>
      <c r="G20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CLE WR2</v>
      </c>
      <c r="H20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CLE WR2</v>
      </c>
    </row>
    <row r="209" spans="1:8" x14ac:dyDescent="0.3">
      <c r="A209" s="101" t="s">
        <v>396</v>
      </c>
      <c r="B209" s="101" t="s">
        <v>30</v>
      </c>
      <c r="C209" s="101" t="s">
        <v>408</v>
      </c>
      <c r="D209" s="101">
        <v>3400</v>
      </c>
      <c r="E209" s="101">
        <v>4.8481499999999995</v>
      </c>
      <c r="F209" s="101">
        <v>701.29840000000002</v>
      </c>
      <c r="G20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TEN WR3</v>
      </c>
      <c r="H20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TEN WR3</v>
      </c>
    </row>
    <row r="210" spans="1:8" x14ac:dyDescent="0.3">
      <c r="A210" s="101" t="s">
        <v>396</v>
      </c>
      <c r="B210" s="101" t="s">
        <v>409</v>
      </c>
      <c r="C210" s="101" t="s">
        <v>301</v>
      </c>
      <c r="D210" s="101">
        <v>3000</v>
      </c>
      <c r="E210" s="101">
        <v>4.4819999999999993</v>
      </c>
      <c r="F210" s="101">
        <v>669.34400000000005</v>
      </c>
      <c r="G21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LA WR3</v>
      </c>
      <c r="H21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LA WR3</v>
      </c>
    </row>
    <row r="211" spans="1:8" x14ac:dyDescent="0.3">
      <c r="A211" s="101" t="s">
        <v>396</v>
      </c>
      <c r="B211" s="101" t="s">
        <v>50</v>
      </c>
      <c r="C211" s="101" t="s">
        <v>284</v>
      </c>
      <c r="D211" s="101">
        <v>3000</v>
      </c>
      <c r="E211" s="101">
        <v>4.3115666666666668</v>
      </c>
      <c r="F211" s="101">
        <v>695.80280000000005</v>
      </c>
      <c r="G21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ATL WR3</v>
      </c>
      <c r="H21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ATL WR3</v>
      </c>
    </row>
    <row r="212" spans="1:8" x14ac:dyDescent="0.3">
      <c r="A212" s="101" t="s">
        <v>396</v>
      </c>
      <c r="B212" s="101" t="s">
        <v>43</v>
      </c>
      <c r="C212" s="101" t="s">
        <v>268</v>
      </c>
      <c r="D212" s="101">
        <v>3300</v>
      </c>
      <c r="E212" s="101">
        <v>4.2552666666666674</v>
      </c>
      <c r="F212" s="101">
        <v>775.50959999999998</v>
      </c>
      <c r="G21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HOU WR3</v>
      </c>
      <c r="H21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HOU WR3</v>
      </c>
    </row>
    <row r="213" spans="1:8" x14ac:dyDescent="0.3">
      <c r="A213" s="101" t="s">
        <v>396</v>
      </c>
      <c r="B213" s="101" t="s">
        <v>12</v>
      </c>
      <c r="C213" s="101" t="s">
        <v>278</v>
      </c>
      <c r="D213" s="101">
        <v>3000</v>
      </c>
      <c r="E213" s="101">
        <v>4.2190500000000002</v>
      </c>
      <c r="F213" s="101">
        <v>711.06050000000005</v>
      </c>
      <c r="G21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JAX WR3</v>
      </c>
      <c r="H21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JAX WR3</v>
      </c>
    </row>
    <row r="214" spans="1:8" x14ac:dyDescent="0.3">
      <c r="A214" s="101" t="s">
        <v>396</v>
      </c>
      <c r="B214" s="101" t="s">
        <v>397</v>
      </c>
      <c r="C214" s="101" t="s">
        <v>248</v>
      </c>
      <c r="D214" s="101">
        <v>3000</v>
      </c>
      <c r="E214" s="101">
        <v>3.9255333333333331</v>
      </c>
      <c r="F214" s="101">
        <v>764.22739999999999</v>
      </c>
      <c r="G21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KC WR3</v>
      </c>
      <c r="H21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KC WR3</v>
      </c>
    </row>
    <row r="215" spans="1:8" x14ac:dyDescent="0.3">
      <c r="A215" s="101" t="s">
        <v>396</v>
      </c>
      <c r="B215" s="101" t="s">
        <v>24</v>
      </c>
      <c r="C215" s="101" t="s">
        <v>291</v>
      </c>
      <c r="D215" s="101">
        <v>3300</v>
      </c>
      <c r="E215" s="101">
        <v>3.9210000000000003</v>
      </c>
      <c r="F215" s="101">
        <v>841.62199999999996</v>
      </c>
      <c r="G21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ARI WR4</v>
      </c>
      <c r="H21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ARI WR4</v>
      </c>
    </row>
    <row r="216" spans="1:8" x14ac:dyDescent="0.3">
      <c r="A216" s="101" t="s">
        <v>396</v>
      </c>
      <c r="B216" s="101" t="s">
        <v>401</v>
      </c>
      <c r="C216" s="101" t="s">
        <v>270</v>
      </c>
      <c r="D216" s="101">
        <v>3000</v>
      </c>
      <c r="E216" s="101">
        <v>3.6058000000000003</v>
      </c>
      <c r="F216" s="101">
        <v>831.99289999999996</v>
      </c>
      <c r="G21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TB WR3</v>
      </c>
      <c r="H21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TB WR3</v>
      </c>
    </row>
    <row r="217" spans="1:8" x14ac:dyDescent="0.3">
      <c r="A217" s="101" t="s">
        <v>396</v>
      </c>
      <c r="B217" s="101" t="s">
        <v>14</v>
      </c>
      <c r="C217" s="101" t="s">
        <v>524</v>
      </c>
      <c r="D217" s="101">
        <v>3000</v>
      </c>
      <c r="E217" s="101">
        <v>3.3677000000000001</v>
      </c>
      <c r="F217" s="101">
        <v>890.81569999999999</v>
      </c>
      <c r="G21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CLE WR3</v>
      </c>
      <c r="H21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CLE WR3</v>
      </c>
    </row>
    <row r="218" spans="1:8" x14ac:dyDescent="0.3">
      <c r="A218" s="101" t="s">
        <v>396</v>
      </c>
      <c r="B218" s="101" t="s">
        <v>22</v>
      </c>
      <c r="C218" s="101" t="s">
        <v>246</v>
      </c>
      <c r="D218" s="101">
        <v>3000</v>
      </c>
      <c r="E218" s="101">
        <v>3.2658500000000004</v>
      </c>
      <c r="F218" s="101">
        <v>918.59699999999998</v>
      </c>
      <c r="G21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CAR WR4</v>
      </c>
      <c r="H21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CAR WR4</v>
      </c>
    </row>
    <row r="219" spans="1:8" x14ac:dyDescent="0.3">
      <c r="A219" s="101" t="s">
        <v>396</v>
      </c>
      <c r="B219" s="101" t="s">
        <v>70</v>
      </c>
      <c r="C219" s="101" t="s">
        <v>286</v>
      </c>
      <c r="D219" s="101">
        <v>3000</v>
      </c>
      <c r="E219" s="101">
        <v>3.2481</v>
      </c>
      <c r="F219" s="101">
        <v>923.61689999999999</v>
      </c>
      <c r="G21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DEN WR3</v>
      </c>
      <c r="H21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DEN WR3</v>
      </c>
    </row>
    <row r="220" spans="1:8" x14ac:dyDescent="0.3">
      <c r="A220" s="101" t="s">
        <v>396</v>
      </c>
      <c r="B220" s="101" t="s">
        <v>4</v>
      </c>
      <c r="C220" s="101" t="s">
        <v>274</v>
      </c>
      <c r="D220" s="101">
        <v>3000</v>
      </c>
      <c r="E220" s="101">
        <v>3.1683000000000003</v>
      </c>
      <c r="F220" s="101">
        <v>946.88</v>
      </c>
      <c r="G22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WR4</v>
      </c>
      <c r="H22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WR4</v>
      </c>
    </row>
    <row r="221" spans="1:8" x14ac:dyDescent="0.3">
      <c r="A221" s="101" t="s">
        <v>396</v>
      </c>
      <c r="B221" s="101" t="s">
        <v>402</v>
      </c>
      <c r="C221" s="101" t="s">
        <v>498</v>
      </c>
      <c r="D221" s="101">
        <v>3000</v>
      </c>
      <c r="E221" s="101">
        <v>3.1181000000000001</v>
      </c>
      <c r="F221" s="101">
        <v>962.12440000000004</v>
      </c>
      <c r="G22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NE WR4</v>
      </c>
      <c r="H22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NE WR4</v>
      </c>
    </row>
    <row r="222" spans="1:8" x14ac:dyDescent="0.3">
      <c r="A222" s="101" t="s">
        <v>396</v>
      </c>
      <c r="B222" s="101" t="s">
        <v>7</v>
      </c>
      <c r="C222" s="101" t="s">
        <v>267</v>
      </c>
      <c r="D222" s="101">
        <v>3000</v>
      </c>
      <c r="E222" s="101">
        <v>2.9344000000000001</v>
      </c>
      <c r="F222" s="101">
        <v>1022.3555</v>
      </c>
      <c r="G22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SEA WR4</v>
      </c>
      <c r="H22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SEA WR4</v>
      </c>
    </row>
    <row r="223" spans="1:8" x14ac:dyDescent="0.3">
      <c r="A223" s="101" t="s">
        <v>396</v>
      </c>
      <c r="B223" s="101" t="s">
        <v>30</v>
      </c>
      <c r="C223" s="101" t="s">
        <v>250</v>
      </c>
      <c r="D223" s="101">
        <v>3000</v>
      </c>
      <c r="E223" s="101">
        <v>2.8815666666666671</v>
      </c>
      <c r="F223" s="101">
        <v>1041.1003000000001</v>
      </c>
      <c r="G22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TEN WR4</v>
      </c>
      <c r="H22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TEN WR4</v>
      </c>
    </row>
    <row r="224" spans="1:8" x14ac:dyDescent="0.3">
      <c r="A224" s="101" t="s">
        <v>396</v>
      </c>
      <c r="B224" s="101" t="s">
        <v>16</v>
      </c>
      <c r="C224" s="101" t="s">
        <v>489</v>
      </c>
      <c r="D224" s="101">
        <v>3000</v>
      </c>
      <c r="E224" s="101">
        <v>2.7195</v>
      </c>
      <c r="F224" s="101">
        <v>1103.144</v>
      </c>
      <c r="G22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IND WR3</v>
      </c>
      <c r="H22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IND WR3</v>
      </c>
    </row>
    <row r="225" spans="1:8" x14ac:dyDescent="0.3">
      <c r="A225" s="101" t="s">
        <v>396</v>
      </c>
      <c r="B225" s="101" t="s">
        <v>52</v>
      </c>
      <c r="C225" s="101" t="s">
        <v>266</v>
      </c>
      <c r="D225" s="101">
        <v>3000</v>
      </c>
      <c r="E225" s="101">
        <v>2.2385666666666668</v>
      </c>
      <c r="F225" s="101">
        <v>1340.1432</v>
      </c>
      <c r="G22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DAL WR4</v>
      </c>
      <c r="H22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DAL WR4</v>
      </c>
    </row>
    <row r="226" spans="1:8" x14ac:dyDescent="0.3">
      <c r="A226" s="101" t="s">
        <v>396</v>
      </c>
      <c r="B226" s="101" t="s">
        <v>398</v>
      </c>
      <c r="C226" s="101" t="s">
        <v>313</v>
      </c>
      <c r="D226" s="101">
        <v>3000</v>
      </c>
      <c r="E226" s="101">
        <v>2.2221000000000002</v>
      </c>
      <c r="F226" s="101">
        <v>1350.0743</v>
      </c>
      <c r="G22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SF WR4</v>
      </c>
      <c r="H22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SF WR4</v>
      </c>
    </row>
    <row r="227" spans="1:8" x14ac:dyDescent="0.3">
      <c r="A227" s="101" t="s">
        <v>396</v>
      </c>
      <c r="B227" s="101" t="s">
        <v>41</v>
      </c>
      <c r="C227" s="101" t="s">
        <v>455</v>
      </c>
      <c r="D227" s="101">
        <v>3100</v>
      </c>
      <c r="E227" s="101">
        <v>2.0732333333333335</v>
      </c>
      <c r="F227" s="101">
        <v>1495.249</v>
      </c>
      <c r="G22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WR4</v>
      </c>
      <c r="H22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WR4</v>
      </c>
    </row>
    <row r="228" spans="1:8" x14ac:dyDescent="0.3">
      <c r="A228" s="101" t="s">
        <v>396</v>
      </c>
      <c r="B228" s="101" t="s">
        <v>26</v>
      </c>
      <c r="C228" s="101" t="s">
        <v>305</v>
      </c>
      <c r="D228" s="101">
        <v>3000</v>
      </c>
      <c r="E228" s="101">
        <v>2.0616500000000002</v>
      </c>
      <c r="F228" s="101">
        <v>1455.1451999999999</v>
      </c>
      <c r="G22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DET WR4</v>
      </c>
      <c r="H22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DET WR4</v>
      </c>
    </row>
    <row r="229" spans="1:8" x14ac:dyDescent="0.3">
      <c r="A229" s="101" t="s">
        <v>396</v>
      </c>
      <c r="B229" s="101" t="s">
        <v>401</v>
      </c>
      <c r="C229" s="101" t="s">
        <v>235</v>
      </c>
      <c r="D229" s="101">
        <v>3000</v>
      </c>
      <c r="E229" s="101">
        <v>2.0000500000000003</v>
      </c>
      <c r="F229" s="101">
        <v>1499.9625000000001</v>
      </c>
      <c r="G22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TB WR4</v>
      </c>
      <c r="H22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TB WR4</v>
      </c>
    </row>
    <row r="230" spans="1:8" x14ac:dyDescent="0.3">
      <c r="A230" s="101" t="s">
        <v>396</v>
      </c>
      <c r="B230" s="101" t="s">
        <v>70</v>
      </c>
      <c r="C230" s="101" t="s">
        <v>304</v>
      </c>
      <c r="D230" s="101">
        <v>3000</v>
      </c>
      <c r="E230" s="101">
        <v>1.9976500000000001</v>
      </c>
      <c r="F230" s="101">
        <v>1501.7646</v>
      </c>
      <c r="G23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DEN WR4</v>
      </c>
      <c r="H23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DEN WR4</v>
      </c>
    </row>
    <row r="231" spans="1:8" x14ac:dyDescent="0.3">
      <c r="A231" s="101" t="s">
        <v>396</v>
      </c>
      <c r="B231" s="101" t="s">
        <v>404</v>
      </c>
      <c r="C231" s="101" t="s">
        <v>264</v>
      </c>
      <c r="D231" s="101">
        <v>3000</v>
      </c>
      <c r="E231" s="101">
        <v>1.7298333333333336</v>
      </c>
      <c r="F231" s="101">
        <v>1734.2710999999999</v>
      </c>
      <c r="G23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NO WR4</v>
      </c>
      <c r="H23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NO WR4</v>
      </c>
    </row>
    <row r="232" spans="1:8" x14ac:dyDescent="0.3">
      <c r="A232" s="101" t="s">
        <v>396</v>
      </c>
      <c r="B232" s="101" t="s">
        <v>397</v>
      </c>
      <c r="C232" s="101" t="s">
        <v>529</v>
      </c>
      <c r="D232" s="101">
        <v>3000</v>
      </c>
      <c r="E232" s="101">
        <v>1.7223999999999999</v>
      </c>
      <c r="F232" s="101">
        <v>1741.7556999999999</v>
      </c>
      <c r="G23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KC WR4</v>
      </c>
      <c r="H23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KC WR4</v>
      </c>
    </row>
    <row r="233" spans="1:8" x14ac:dyDescent="0.3">
      <c r="A233" s="101" t="s">
        <v>396</v>
      </c>
      <c r="B233" s="101" t="s">
        <v>395</v>
      </c>
      <c r="C233" s="101" t="s">
        <v>289</v>
      </c>
      <c r="D233" s="101">
        <v>3000</v>
      </c>
      <c r="E233" s="101">
        <v>1.3603000000000001</v>
      </c>
      <c r="F233" s="101">
        <v>2205.3959</v>
      </c>
      <c r="G23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GB WR4</v>
      </c>
      <c r="H23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GB WR4</v>
      </c>
    </row>
    <row r="234" spans="1:8" x14ac:dyDescent="0.3">
      <c r="A234" s="101" t="s">
        <v>396</v>
      </c>
      <c r="B234" s="101" t="s">
        <v>41</v>
      </c>
      <c r="C234" s="101" t="s">
        <v>316</v>
      </c>
      <c r="D234" s="101">
        <v>3000</v>
      </c>
      <c r="E234" s="101">
        <v>1.03165</v>
      </c>
      <c r="F234" s="101">
        <v>2907.9630000000002</v>
      </c>
      <c r="G23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WR5</v>
      </c>
      <c r="H23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WR5</v>
      </c>
    </row>
    <row r="235" spans="1:8" x14ac:dyDescent="0.3">
      <c r="A235" s="101" t="s">
        <v>396</v>
      </c>
      <c r="B235" s="101" t="s">
        <v>46</v>
      </c>
      <c r="C235" s="101" t="s">
        <v>314</v>
      </c>
      <c r="D235" s="101">
        <v>3000</v>
      </c>
      <c r="E235" s="101">
        <v>0.75330000000000008</v>
      </c>
      <c r="F235" s="101">
        <v>3982.4771000000001</v>
      </c>
      <c r="G23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CHI WR4</v>
      </c>
      <c r="H23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CHI WR4</v>
      </c>
    </row>
    <row r="236" spans="1:8" x14ac:dyDescent="0.3">
      <c r="A236" s="101" t="s">
        <v>399</v>
      </c>
      <c r="B236" s="101" t="s">
        <v>18</v>
      </c>
      <c r="C236" s="101" t="s">
        <v>215</v>
      </c>
      <c r="D236" s="101">
        <v>6500</v>
      </c>
      <c r="E236" s="101">
        <v>14.1035</v>
      </c>
      <c r="F236" s="101">
        <v>460.87849999999997</v>
      </c>
      <c r="G23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TE1</v>
      </c>
      <c r="H23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TE1</v>
      </c>
    </row>
    <row r="237" spans="1:8" x14ac:dyDescent="0.3">
      <c r="A237" s="101" t="s">
        <v>399</v>
      </c>
      <c r="B237" s="101" t="s">
        <v>22</v>
      </c>
      <c r="C237" s="101" t="s">
        <v>319</v>
      </c>
      <c r="D237" s="101">
        <v>5800</v>
      </c>
      <c r="E237" s="101">
        <v>13.8774</v>
      </c>
      <c r="F237" s="101">
        <v>417.94569999999999</v>
      </c>
      <c r="G23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CAR TE1</v>
      </c>
      <c r="H23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CAR TE1</v>
      </c>
    </row>
    <row r="238" spans="1:8" x14ac:dyDescent="0.3">
      <c r="A238" s="101" t="s">
        <v>399</v>
      </c>
      <c r="B238" s="101" t="s">
        <v>30</v>
      </c>
      <c r="C238" s="101" t="s">
        <v>320</v>
      </c>
      <c r="D238" s="101">
        <v>5000</v>
      </c>
      <c r="E238" s="101">
        <v>13.0335</v>
      </c>
      <c r="F238" s="101">
        <v>383.6268</v>
      </c>
      <c r="G23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TEN TE1</v>
      </c>
      <c r="H23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TEN TE1</v>
      </c>
    </row>
    <row r="239" spans="1:8" x14ac:dyDescent="0.3">
      <c r="A239" s="101" t="s">
        <v>399</v>
      </c>
      <c r="B239" s="101" t="s">
        <v>397</v>
      </c>
      <c r="C239" s="101" t="s">
        <v>323</v>
      </c>
      <c r="D239" s="101">
        <v>4700</v>
      </c>
      <c r="E239" s="101">
        <v>11.79</v>
      </c>
      <c r="F239" s="101">
        <v>398.6429</v>
      </c>
      <c r="G23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KC TE1</v>
      </c>
      <c r="H23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KC TE1</v>
      </c>
    </row>
    <row r="240" spans="1:8" x14ac:dyDescent="0.3">
      <c r="A240" s="101" t="s">
        <v>399</v>
      </c>
      <c r="B240" s="101" t="s">
        <v>407</v>
      </c>
      <c r="C240" s="101" t="s">
        <v>325</v>
      </c>
      <c r="D240" s="101">
        <v>4600</v>
      </c>
      <c r="E240" s="101">
        <v>11.680633333333333</v>
      </c>
      <c r="F240" s="101">
        <v>393.8143</v>
      </c>
      <c r="G24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SD TE1</v>
      </c>
      <c r="H24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SD TE1</v>
      </c>
    </row>
    <row r="241" spans="1:8" x14ac:dyDescent="0.3">
      <c r="A241" s="101" t="s">
        <v>399</v>
      </c>
      <c r="B241" s="101" t="s">
        <v>12</v>
      </c>
      <c r="C241" s="101" t="s">
        <v>326</v>
      </c>
      <c r="D241" s="101">
        <v>4600</v>
      </c>
      <c r="E241" s="101">
        <v>10.810066666666668</v>
      </c>
      <c r="F241" s="101">
        <v>425.52929999999998</v>
      </c>
      <c r="G24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JAX TE1</v>
      </c>
      <c r="H24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JAX TE1</v>
      </c>
    </row>
    <row r="242" spans="1:8" x14ac:dyDescent="0.3">
      <c r="A242" s="101" t="s">
        <v>399</v>
      </c>
      <c r="B242" s="101" t="s">
        <v>26</v>
      </c>
      <c r="C242" s="101" t="s">
        <v>332</v>
      </c>
      <c r="D242" s="101">
        <v>3700</v>
      </c>
      <c r="E242" s="101">
        <v>10.391866666666667</v>
      </c>
      <c r="F242" s="101">
        <v>356.04770000000002</v>
      </c>
      <c r="G24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DET TE1</v>
      </c>
      <c r="H24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DET TE1</v>
      </c>
    </row>
    <row r="243" spans="1:8" x14ac:dyDescent="0.3">
      <c r="A243" s="101" t="s">
        <v>399</v>
      </c>
      <c r="B243" s="101" t="s">
        <v>32</v>
      </c>
      <c r="C243" s="101" t="s">
        <v>532</v>
      </c>
      <c r="D243" s="101">
        <v>3400</v>
      </c>
      <c r="E243" s="101">
        <v>8.7365666666666666</v>
      </c>
      <c r="F243" s="101">
        <v>389.16890000000001</v>
      </c>
      <c r="G24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TE1</v>
      </c>
      <c r="H24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TE1</v>
      </c>
    </row>
    <row r="244" spans="1:8" x14ac:dyDescent="0.3">
      <c r="A244" s="101" t="s">
        <v>399</v>
      </c>
      <c r="B244" s="101" t="s">
        <v>52</v>
      </c>
      <c r="C244" s="101" t="s">
        <v>329</v>
      </c>
      <c r="D244" s="101">
        <v>4300</v>
      </c>
      <c r="E244" s="101">
        <v>10.632333333333333</v>
      </c>
      <c r="F244" s="101">
        <v>404.42669999999998</v>
      </c>
      <c r="G24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DAL TE1</v>
      </c>
      <c r="H24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DAL TE1</v>
      </c>
    </row>
    <row r="245" spans="1:8" x14ac:dyDescent="0.3">
      <c r="A245" s="101" t="s">
        <v>399</v>
      </c>
      <c r="B245" s="101" t="s">
        <v>402</v>
      </c>
      <c r="C245" s="101" t="s">
        <v>336</v>
      </c>
      <c r="D245" s="101">
        <v>4700</v>
      </c>
      <c r="E245" s="101">
        <v>9.2997333333333323</v>
      </c>
      <c r="F245" s="101">
        <v>505.39080000000001</v>
      </c>
      <c r="G24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NE TE1</v>
      </c>
      <c r="H24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NE TE1</v>
      </c>
    </row>
    <row r="246" spans="1:8" x14ac:dyDescent="0.3">
      <c r="A246" s="101" t="s">
        <v>399</v>
      </c>
      <c r="B246" s="101" t="s">
        <v>16</v>
      </c>
      <c r="C246" s="101" t="s">
        <v>357</v>
      </c>
      <c r="D246" s="101">
        <v>3800</v>
      </c>
      <c r="E246" s="101">
        <v>10.305033333333334</v>
      </c>
      <c r="F246" s="101">
        <v>368.7518</v>
      </c>
      <c r="G24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IND TE1</v>
      </c>
      <c r="H24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IND TE1</v>
      </c>
    </row>
    <row r="247" spans="1:8" x14ac:dyDescent="0.3">
      <c r="A247" s="101" t="s">
        <v>399</v>
      </c>
      <c r="B247" s="101" t="s">
        <v>41</v>
      </c>
      <c r="C247" s="101" t="s">
        <v>331</v>
      </c>
      <c r="D247" s="101">
        <v>3100</v>
      </c>
      <c r="E247" s="101">
        <v>8.8121333333333336</v>
      </c>
      <c r="F247" s="101">
        <v>351.78769999999997</v>
      </c>
      <c r="G24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TE1</v>
      </c>
      <c r="H24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TE1</v>
      </c>
    </row>
    <row r="248" spans="1:8" x14ac:dyDescent="0.3">
      <c r="A248" s="101" t="s">
        <v>399</v>
      </c>
      <c r="B248" s="101" t="s">
        <v>50</v>
      </c>
      <c r="C248" s="101" t="s">
        <v>335</v>
      </c>
      <c r="D248" s="101">
        <v>3200</v>
      </c>
      <c r="E248" s="101">
        <v>7.9340666666666664</v>
      </c>
      <c r="F248" s="101">
        <v>403.32409999999999</v>
      </c>
      <c r="G24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ATL TE1</v>
      </c>
      <c r="H24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ATL TE1</v>
      </c>
    </row>
    <row r="249" spans="1:8" x14ac:dyDescent="0.3">
      <c r="A249" s="101" t="s">
        <v>399</v>
      </c>
      <c r="B249" s="101" t="s">
        <v>404</v>
      </c>
      <c r="C249" s="101" t="s">
        <v>308</v>
      </c>
      <c r="D249" s="101">
        <v>3300</v>
      </c>
      <c r="E249" s="101">
        <v>10.332933333333333</v>
      </c>
      <c r="F249" s="101">
        <v>319.36720000000003</v>
      </c>
      <c r="G24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NO TE1</v>
      </c>
      <c r="H24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NO TE1</v>
      </c>
    </row>
    <row r="250" spans="1:8" x14ac:dyDescent="0.3">
      <c r="A250" s="101" t="s">
        <v>399</v>
      </c>
      <c r="B250" s="101" t="s">
        <v>20</v>
      </c>
      <c r="C250" s="101" t="s">
        <v>354</v>
      </c>
      <c r="D250" s="101">
        <v>3500</v>
      </c>
      <c r="E250" s="101">
        <v>8.4694333333333347</v>
      </c>
      <c r="F250" s="101">
        <v>413.25080000000003</v>
      </c>
      <c r="G25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PIT TE1</v>
      </c>
      <c r="H25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PIT TE1</v>
      </c>
    </row>
    <row r="251" spans="1:8" x14ac:dyDescent="0.3">
      <c r="A251" s="101" t="s">
        <v>399</v>
      </c>
      <c r="B251" s="101" t="s">
        <v>395</v>
      </c>
      <c r="C251" s="101" t="s">
        <v>348</v>
      </c>
      <c r="D251" s="101">
        <v>2900</v>
      </c>
      <c r="E251" s="101">
        <v>8.2103333333333328</v>
      </c>
      <c r="F251" s="101">
        <v>353.21339999999998</v>
      </c>
      <c r="G25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GB TE1</v>
      </c>
      <c r="H25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GB TE1</v>
      </c>
    </row>
    <row r="252" spans="1:8" x14ac:dyDescent="0.3">
      <c r="A252" s="101" t="s">
        <v>399</v>
      </c>
      <c r="B252" s="101" t="s">
        <v>4</v>
      </c>
      <c r="C252" s="101" t="s">
        <v>344</v>
      </c>
      <c r="D252" s="101">
        <v>2800</v>
      </c>
      <c r="E252" s="101">
        <v>7.5281666666666656</v>
      </c>
      <c r="F252" s="101">
        <v>371.93650000000002</v>
      </c>
      <c r="G25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TE1</v>
      </c>
      <c r="H25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TE1</v>
      </c>
    </row>
    <row r="253" spans="1:8" x14ac:dyDescent="0.3">
      <c r="A253" s="101" t="s">
        <v>399</v>
      </c>
      <c r="B253" s="101" t="s">
        <v>398</v>
      </c>
      <c r="C253" s="101" t="s">
        <v>338</v>
      </c>
      <c r="D253" s="101">
        <v>2900</v>
      </c>
      <c r="E253" s="101">
        <v>7.1943333333333328</v>
      </c>
      <c r="F253" s="101">
        <v>403.09500000000003</v>
      </c>
      <c r="G25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SF TE1</v>
      </c>
      <c r="H25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SF TE1</v>
      </c>
    </row>
    <row r="254" spans="1:8" x14ac:dyDescent="0.3">
      <c r="A254" s="101" t="s">
        <v>399</v>
      </c>
      <c r="B254" s="101" t="s">
        <v>46</v>
      </c>
      <c r="C254" s="101" t="s">
        <v>334</v>
      </c>
      <c r="D254" s="101">
        <v>2900</v>
      </c>
      <c r="E254" s="101">
        <v>8.9251000000000005</v>
      </c>
      <c r="F254" s="101">
        <v>324.92630000000003</v>
      </c>
      <c r="G25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CHI TE1</v>
      </c>
      <c r="H25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CHI TE1</v>
      </c>
    </row>
    <row r="255" spans="1:8" x14ac:dyDescent="0.3">
      <c r="A255" s="101" t="s">
        <v>399</v>
      </c>
      <c r="B255" s="101" t="s">
        <v>39</v>
      </c>
      <c r="C255" s="101" t="s">
        <v>377</v>
      </c>
      <c r="D255" s="101">
        <v>2500</v>
      </c>
      <c r="E255" s="101">
        <v>6.9613999999999994</v>
      </c>
      <c r="F255" s="101">
        <v>359.1232</v>
      </c>
      <c r="G25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PHI TE2</v>
      </c>
      <c r="H25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PHI TE2</v>
      </c>
    </row>
    <row r="256" spans="1:8" x14ac:dyDescent="0.3">
      <c r="A256" s="101" t="s">
        <v>399</v>
      </c>
      <c r="B256" s="101" t="s">
        <v>7</v>
      </c>
      <c r="C256" s="101" t="s">
        <v>328</v>
      </c>
      <c r="D256" s="101">
        <v>3000</v>
      </c>
      <c r="E256" s="101">
        <v>7.9962</v>
      </c>
      <c r="F256" s="101">
        <v>375.1782</v>
      </c>
      <c r="G25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SEA TE1</v>
      </c>
      <c r="H25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SEA TE1</v>
      </c>
    </row>
    <row r="257" spans="1:8" x14ac:dyDescent="0.3">
      <c r="A257" s="101" t="s">
        <v>399</v>
      </c>
      <c r="B257" s="101" t="s">
        <v>57</v>
      </c>
      <c r="C257" s="101" t="s">
        <v>341</v>
      </c>
      <c r="D257" s="101">
        <v>2900</v>
      </c>
      <c r="E257" s="101">
        <v>8.2073333333333327</v>
      </c>
      <c r="F257" s="101">
        <v>353.34249999999997</v>
      </c>
      <c r="G25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MIA TE1</v>
      </c>
      <c r="H25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MIA TE1</v>
      </c>
    </row>
    <row r="258" spans="1:8" x14ac:dyDescent="0.3">
      <c r="A258" s="101" t="s">
        <v>399</v>
      </c>
      <c r="B258" s="101" t="s">
        <v>14</v>
      </c>
      <c r="C258" s="101" t="s">
        <v>322</v>
      </c>
      <c r="D258" s="101">
        <v>4000</v>
      </c>
      <c r="E258" s="101">
        <v>9.1055666666666664</v>
      </c>
      <c r="F258" s="101">
        <v>439.29169999999999</v>
      </c>
      <c r="G25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CLE TE1</v>
      </c>
      <c r="H25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CLE TE1</v>
      </c>
    </row>
    <row r="259" spans="1:8" x14ac:dyDescent="0.3">
      <c r="A259" s="101" t="s">
        <v>399</v>
      </c>
      <c r="B259" s="101" t="s">
        <v>70</v>
      </c>
      <c r="C259" s="101" t="s">
        <v>366</v>
      </c>
      <c r="D259" s="101">
        <v>3000</v>
      </c>
      <c r="E259" s="101">
        <v>7.1409666666666674</v>
      </c>
      <c r="F259" s="101">
        <v>420.1112</v>
      </c>
      <c r="G25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DEN TE1</v>
      </c>
      <c r="H25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DEN TE1</v>
      </c>
    </row>
    <row r="260" spans="1:8" x14ac:dyDescent="0.3">
      <c r="A260" s="101" t="s">
        <v>399</v>
      </c>
      <c r="B260" s="101" t="s">
        <v>16</v>
      </c>
      <c r="C260" s="101" t="s">
        <v>368</v>
      </c>
      <c r="D260" s="101">
        <v>2500</v>
      </c>
      <c r="E260" s="101">
        <v>5.5503666666666662</v>
      </c>
      <c r="F260" s="101">
        <v>450.42070000000001</v>
      </c>
      <c r="G26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IND TE2</v>
      </c>
      <c r="H26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IND TE2</v>
      </c>
    </row>
    <row r="261" spans="1:8" x14ac:dyDescent="0.3">
      <c r="A261" s="101" t="s">
        <v>399</v>
      </c>
      <c r="B261" s="101" t="s">
        <v>10</v>
      </c>
      <c r="C261" s="101" t="s">
        <v>333</v>
      </c>
      <c r="D261" s="101">
        <v>2900</v>
      </c>
      <c r="E261" s="101">
        <v>8.6524000000000001</v>
      </c>
      <c r="F261" s="101">
        <v>335.1671</v>
      </c>
      <c r="G26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BUF TE1</v>
      </c>
      <c r="H26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BUF TE1</v>
      </c>
    </row>
    <row r="262" spans="1:8" x14ac:dyDescent="0.3">
      <c r="A262" s="101" t="s">
        <v>399</v>
      </c>
      <c r="B262" s="101" t="s">
        <v>409</v>
      </c>
      <c r="C262" s="101" t="s">
        <v>263</v>
      </c>
      <c r="D262" s="101">
        <v>2700</v>
      </c>
      <c r="E262" s="101">
        <v>5.6712333333333333</v>
      </c>
      <c r="F262" s="101">
        <v>476.08690000000001</v>
      </c>
      <c r="G26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LA TE1</v>
      </c>
      <c r="H26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LA TE1</v>
      </c>
    </row>
    <row r="263" spans="1:8" x14ac:dyDescent="0.3">
      <c r="A263" s="101" t="s">
        <v>399</v>
      </c>
      <c r="B263" s="101" t="s">
        <v>39</v>
      </c>
      <c r="C263" s="101" t="s">
        <v>343</v>
      </c>
      <c r="D263" s="101">
        <v>2800</v>
      </c>
      <c r="E263" s="101">
        <v>8.0134333333333334</v>
      </c>
      <c r="F263" s="101">
        <v>349.41329999999999</v>
      </c>
      <c r="G26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PHI TE1</v>
      </c>
      <c r="H26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PHI TE1</v>
      </c>
    </row>
    <row r="264" spans="1:8" x14ac:dyDescent="0.3">
      <c r="A264" s="101" t="s">
        <v>399</v>
      </c>
      <c r="B264" s="101" t="s">
        <v>28</v>
      </c>
      <c r="C264" s="101" t="s">
        <v>383</v>
      </c>
      <c r="D264" s="101">
        <v>2500</v>
      </c>
      <c r="E264" s="101">
        <v>7.3409666666666666</v>
      </c>
      <c r="F264" s="101">
        <v>340.55459999999999</v>
      </c>
      <c r="G26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CIN TE1</v>
      </c>
      <c r="H26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CIN TE1</v>
      </c>
    </row>
    <row r="265" spans="1:8" x14ac:dyDescent="0.3">
      <c r="A265" s="101" t="s">
        <v>399</v>
      </c>
      <c r="B265" s="101" t="s">
        <v>395</v>
      </c>
      <c r="C265" s="101" t="s">
        <v>327</v>
      </c>
      <c r="D265" s="101">
        <v>2700</v>
      </c>
      <c r="E265" s="101">
        <v>3.8861499999999998</v>
      </c>
      <c r="F265" s="101">
        <v>694.77499999999998</v>
      </c>
      <c r="G26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GB TE2</v>
      </c>
      <c r="H26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GB TE2</v>
      </c>
    </row>
    <row r="266" spans="1:8" x14ac:dyDescent="0.3">
      <c r="A266" s="101" t="s">
        <v>399</v>
      </c>
      <c r="B266" s="101" t="s">
        <v>24</v>
      </c>
      <c r="C266" s="101" t="s">
        <v>342</v>
      </c>
      <c r="D266" s="101">
        <v>2500</v>
      </c>
      <c r="E266" s="101">
        <v>4.753166666666667</v>
      </c>
      <c r="F266" s="101">
        <v>525.96510000000001</v>
      </c>
      <c r="G26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ARI TE1</v>
      </c>
      <c r="H26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ARI TE1</v>
      </c>
    </row>
    <row r="267" spans="1:8" x14ac:dyDescent="0.3">
      <c r="A267" s="101" t="s">
        <v>399</v>
      </c>
      <c r="B267" s="101" t="s">
        <v>401</v>
      </c>
      <c r="C267" s="101" t="s">
        <v>340</v>
      </c>
      <c r="D267" s="101">
        <v>2500</v>
      </c>
      <c r="E267" s="101">
        <v>4.6437333333333335</v>
      </c>
      <c r="F267" s="101">
        <v>538.35990000000004</v>
      </c>
      <c r="G26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TB TE1</v>
      </c>
      <c r="H26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TB TE1</v>
      </c>
    </row>
    <row r="268" spans="1:8" x14ac:dyDescent="0.3">
      <c r="A268" s="101" t="s">
        <v>399</v>
      </c>
      <c r="B268" s="101" t="s">
        <v>37</v>
      </c>
      <c r="C268" s="101" t="s">
        <v>339</v>
      </c>
      <c r="D268" s="101">
        <v>2700</v>
      </c>
      <c r="E268" s="101">
        <v>5.059566666666667</v>
      </c>
      <c r="F268" s="101">
        <v>533.64250000000004</v>
      </c>
      <c r="G26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NYG TE2</v>
      </c>
      <c r="H26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NYG TE2</v>
      </c>
    </row>
    <row r="269" spans="1:8" x14ac:dyDescent="0.3">
      <c r="A269" s="101" t="s">
        <v>399</v>
      </c>
      <c r="B269" s="101" t="s">
        <v>401</v>
      </c>
      <c r="C269" s="101" t="s">
        <v>324</v>
      </c>
      <c r="D269" s="101">
        <v>2900</v>
      </c>
      <c r="E269" s="101">
        <v>4.3965666666666667</v>
      </c>
      <c r="F269" s="101">
        <v>659.60559999999998</v>
      </c>
      <c r="G26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TB TE2</v>
      </c>
      <c r="H26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TB TE2</v>
      </c>
    </row>
    <row r="270" spans="1:8" x14ac:dyDescent="0.3">
      <c r="A270" s="101" t="s">
        <v>399</v>
      </c>
      <c r="B270" s="101" t="s">
        <v>32</v>
      </c>
      <c r="C270" s="101" t="s">
        <v>330</v>
      </c>
      <c r="D270" s="101">
        <v>2500</v>
      </c>
      <c r="E270" s="101">
        <v>4.3552</v>
      </c>
      <c r="F270" s="101">
        <v>574.02650000000006</v>
      </c>
      <c r="G27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TE2</v>
      </c>
      <c r="H27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TE2</v>
      </c>
    </row>
    <row r="271" spans="1:8" x14ac:dyDescent="0.3">
      <c r="A271" s="101" t="s">
        <v>399</v>
      </c>
      <c r="B271" s="101" t="s">
        <v>24</v>
      </c>
      <c r="C271" s="101" t="s">
        <v>352</v>
      </c>
      <c r="D271" s="101">
        <v>2500</v>
      </c>
      <c r="E271" s="101">
        <v>3.4424333333333337</v>
      </c>
      <c r="F271" s="101">
        <v>726.23050000000001</v>
      </c>
      <c r="G27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ARI TE2</v>
      </c>
      <c r="H27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ARI TE2</v>
      </c>
    </row>
    <row r="272" spans="1:8" x14ac:dyDescent="0.3">
      <c r="A272" s="101" t="s">
        <v>399</v>
      </c>
      <c r="B272" s="101" t="s">
        <v>37</v>
      </c>
      <c r="C272" s="101" t="s">
        <v>244</v>
      </c>
      <c r="D272" s="101">
        <v>2600</v>
      </c>
      <c r="E272" s="101">
        <v>5.8678666666666661</v>
      </c>
      <c r="F272" s="101">
        <v>443.09120000000001</v>
      </c>
      <c r="G27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NYG TE1</v>
      </c>
      <c r="H27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NYG TE1</v>
      </c>
    </row>
    <row r="273" spans="1:8" x14ac:dyDescent="0.3">
      <c r="A273" s="101" t="s">
        <v>399</v>
      </c>
      <c r="B273" s="101" t="s">
        <v>30</v>
      </c>
      <c r="C273" s="101" t="s">
        <v>346</v>
      </c>
      <c r="D273" s="101">
        <v>2500</v>
      </c>
      <c r="E273" s="101">
        <v>3.2149666666666663</v>
      </c>
      <c r="F273" s="101">
        <v>777.61300000000006</v>
      </c>
      <c r="G27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TEN TE2</v>
      </c>
      <c r="H27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TEN TE2</v>
      </c>
    </row>
    <row r="274" spans="1:8" x14ac:dyDescent="0.3">
      <c r="A274" s="101" t="s">
        <v>399</v>
      </c>
      <c r="B274" s="101" t="s">
        <v>407</v>
      </c>
      <c r="C274" s="101" t="s">
        <v>559</v>
      </c>
      <c r="D274" s="101">
        <v>2500</v>
      </c>
      <c r="E274" s="101">
        <v>3.2692000000000001</v>
      </c>
      <c r="F274" s="101">
        <v>764.71310000000005</v>
      </c>
      <c r="G27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SD TE2</v>
      </c>
      <c r="H27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SD TE2</v>
      </c>
    </row>
    <row r="275" spans="1:8" x14ac:dyDescent="0.3">
      <c r="A275" s="101" t="s">
        <v>399</v>
      </c>
      <c r="B275" s="101" t="s">
        <v>18</v>
      </c>
      <c r="C275" s="101" t="s">
        <v>349</v>
      </c>
      <c r="D275" s="101">
        <v>2700</v>
      </c>
      <c r="E275" s="101">
        <v>2.0407000000000002</v>
      </c>
      <c r="F275" s="101">
        <v>1323.0753999999999</v>
      </c>
      <c r="G27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TE2</v>
      </c>
      <c r="H27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TE2</v>
      </c>
    </row>
    <row r="276" spans="1:8" x14ac:dyDescent="0.3">
      <c r="A276" s="101" t="s">
        <v>399</v>
      </c>
      <c r="B276" s="101" t="s">
        <v>28</v>
      </c>
      <c r="C276" s="101" t="s">
        <v>364</v>
      </c>
      <c r="D276" s="101">
        <v>2500</v>
      </c>
      <c r="E276" s="101">
        <v>4.0056000000000003</v>
      </c>
      <c r="F276" s="101">
        <v>624.12620000000004</v>
      </c>
      <c r="G27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CIN TE2</v>
      </c>
      <c r="H27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CIN TE2</v>
      </c>
    </row>
    <row r="277" spans="1:8" x14ac:dyDescent="0.3">
      <c r="A277" s="101" t="s">
        <v>399</v>
      </c>
      <c r="B277" s="101" t="s">
        <v>398</v>
      </c>
      <c r="C277" s="101" t="s">
        <v>345</v>
      </c>
      <c r="D277" s="101">
        <v>2500</v>
      </c>
      <c r="E277" s="101">
        <v>2.9650999999999996</v>
      </c>
      <c r="F277" s="101">
        <v>843.14189999999996</v>
      </c>
      <c r="G27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SF TE2</v>
      </c>
      <c r="H27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SF TE2</v>
      </c>
    </row>
    <row r="278" spans="1:8" x14ac:dyDescent="0.3">
      <c r="A278" s="101" t="s">
        <v>399</v>
      </c>
      <c r="B278" s="101" t="s">
        <v>397</v>
      </c>
      <c r="C278" s="101" t="s">
        <v>374</v>
      </c>
      <c r="D278" s="101">
        <v>2500</v>
      </c>
      <c r="E278" s="101">
        <v>1.3333000000000002</v>
      </c>
      <c r="F278" s="101">
        <v>1875.0469000000001</v>
      </c>
      <c r="G27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KC TE2</v>
      </c>
      <c r="H27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KC TE2</v>
      </c>
    </row>
    <row r="279" spans="1:8" x14ac:dyDescent="0.3">
      <c r="A279" s="101" t="s">
        <v>399</v>
      </c>
      <c r="B279" s="101" t="s">
        <v>4</v>
      </c>
      <c r="C279" s="101" t="s">
        <v>367</v>
      </c>
      <c r="D279" s="101">
        <v>2500</v>
      </c>
      <c r="E279" s="101">
        <v>1.4820000000000002</v>
      </c>
      <c r="F279" s="101">
        <v>1686.9096</v>
      </c>
      <c r="G27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TE2</v>
      </c>
      <c r="H27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TE2</v>
      </c>
    </row>
    <row r="280" spans="1:8" x14ac:dyDescent="0.3">
      <c r="A280" s="101" t="s">
        <v>399</v>
      </c>
      <c r="B280" s="101" t="s">
        <v>57</v>
      </c>
      <c r="C280" s="101" t="s">
        <v>362</v>
      </c>
      <c r="D280" s="101">
        <v>2500</v>
      </c>
      <c r="E280" s="101">
        <v>1.4018000000000002</v>
      </c>
      <c r="F280" s="101">
        <v>1783.4213</v>
      </c>
      <c r="G28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MIA TE2</v>
      </c>
      <c r="H28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MIA TE2</v>
      </c>
    </row>
    <row r="281" spans="1:8" x14ac:dyDescent="0.3">
      <c r="A281" s="101" t="s">
        <v>399</v>
      </c>
      <c r="B281" s="101" t="s">
        <v>409</v>
      </c>
      <c r="C281" s="101" t="s">
        <v>769</v>
      </c>
      <c r="D281" s="101">
        <v>2500</v>
      </c>
      <c r="E281" s="101">
        <v>1.9597500000000001</v>
      </c>
      <c r="F281" s="101">
        <v>1275.6729</v>
      </c>
      <c r="G28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LA TE2</v>
      </c>
      <c r="H28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LA TE2</v>
      </c>
    </row>
    <row r="282" spans="1:8" x14ac:dyDescent="0.3">
      <c r="A282" s="101" t="s">
        <v>399</v>
      </c>
      <c r="B282" s="101" t="s">
        <v>43</v>
      </c>
      <c r="C282" s="101" t="s">
        <v>337</v>
      </c>
      <c r="D282" s="101">
        <v>2500</v>
      </c>
      <c r="E282" s="101">
        <v>4.1330000000000009</v>
      </c>
      <c r="F282" s="101">
        <v>604.88750000000005</v>
      </c>
      <c r="G28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HOU TE1</v>
      </c>
      <c r="H28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HOU TE1</v>
      </c>
    </row>
    <row r="283" spans="1:8" x14ac:dyDescent="0.3">
      <c r="A283" s="101" t="s">
        <v>399</v>
      </c>
      <c r="B283" s="101" t="s">
        <v>7</v>
      </c>
      <c r="C283" s="101" t="s">
        <v>351</v>
      </c>
      <c r="D283" s="101">
        <v>2500</v>
      </c>
      <c r="E283" s="101">
        <v>2.6385666666666667</v>
      </c>
      <c r="F283" s="101">
        <v>947.48410000000001</v>
      </c>
      <c r="G28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SEA TE2</v>
      </c>
      <c r="H28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SEA TE2</v>
      </c>
    </row>
    <row r="284" spans="1:8" x14ac:dyDescent="0.3">
      <c r="A284" s="101" t="s">
        <v>399</v>
      </c>
      <c r="B284" s="101" t="s">
        <v>402</v>
      </c>
      <c r="C284" s="101" t="s">
        <v>545</v>
      </c>
      <c r="D284" s="101">
        <v>2500</v>
      </c>
      <c r="E284" s="101">
        <v>0.98370000000000002</v>
      </c>
      <c r="F284" s="101">
        <v>2541.4252000000001</v>
      </c>
      <c r="G28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NE TE2</v>
      </c>
      <c r="H28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NE TE2</v>
      </c>
    </row>
    <row r="285" spans="1:8" x14ac:dyDescent="0.3">
      <c r="A285" s="101" t="s">
        <v>399</v>
      </c>
      <c r="B285" s="101" t="s">
        <v>20</v>
      </c>
      <c r="C285" s="101" t="s">
        <v>1560</v>
      </c>
      <c r="D285" s="101">
        <v>2500</v>
      </c>
      <c r="E285" s="101">
        <v>1.0481</v>
      </c>
      <c r="F285" s="101">
        <v>2385.2685999999999</v>
      </c>
      <c r="G28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PIT TE2</v>
      </c>
      <c r="H28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PIT TE2</v>
      </c>
    </row>
    <row r="286" spans="1:8" x14ac:dyDescent="0.3">
      <c r="A286" s="101" t="s">
        <v>399</v>
      </c>
      <c r="B286" s="101" t="s">
        <v>22</v>
      </c>
      <c r="C286" s="101" t="s">
        <v>353</v>
      </c>
      <c r="D286" s="101">
        <v>2500</v>
      </c>
      <c r="E286" s="101">
        <v>2.1289500000000001</v>
      </c>
      <c r="F286" s="101">
        <v>1174.2878000000001</v>
      </c>
      <c r="G28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CAR TE2</v>
      </c>
      <c r="H28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CAR TE2</v>
      </c>
    </row>
    <row r="287" spans="1:8" x14ac:dyDescent="0.3">
      <c r="A287" s="101" t="s">
        <v>399</v>
      </c>
      <c r="B287" s="101" t="s">
        <v>50</v>
      </c>
      <c r="C287" s="101" t="s">
        <v>558</v>
      </c>
      <c r="D287" s="101">
        <v>2500</v>
      </c>
      <c r="E287" s="101">
        <v>2.416033333333333</v>
      </c>
      <c r="F287" s="101">
        <v>1034.7538999999999</v>
      </c>
      <c r="G28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ATL TE2</v>
      </c>
      <c r="H28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ATL TE2</v>
      </c>
    </row>
    <row r="288" spans="1:8" x14ac:dyDescent="0.3">
      <c r="A288" s="101" t="s">
        <v>399</v>
      </c>
      <c r="B288" s="101" t="s">
        <v>12</v>
      </c>
      <c r="C288" s="101" t="s">
        <v>361</v>
      </c>
      <c r="D288" s="101">
        <v>2500</v>
      </c>
      <c r="E288" s="101">
        <v>1.6844999999999999</v>
      </c>
      <c r="F288" s="101">
        <v>1484.1198999999999</v>
      </c>
      <c r="G28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JAX TE2</v>
      </c>
      <c r="H28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JAX TE2</v>
      </c>
    </row>
    <row r="289" spans="1:8" x14ac:dyDescent="0.3">
      <c r="A289" s="101" t="s">
        <v>399</v>
      </c>
      <c r="B289" s="101" t="s">
        <v>18</v>
      </c>
      <c r="C289" s="101" t="s">
        <v>1254</v>
      </c>
      <c r="D289" s="101">
        <v>2500</v>
      </c>
      <c r="E289" s="101">
        <v>1.5484666666666667</v>
      </c>
      <c r="F289" s="101">
        <v>1614.5003999999999</v>
      </c>
      <c r="G28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TE3</v>
      </c>
      <c r="H28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TE3</v>
      </c>
    </row>
    <row r="290" spans="1:8" x14ac:dyDescent="0.3">
      <c r="A290" s="101" t="s">
        <v>399</v>
      </c>
      <c r="B290" s="101" t="s">
        <v>41</v>
      </c>
      <c r="C290" s="101" t="s">
        <v>360</v>
      </c>
      <c r="D290" s="101">
        <v>2500</v>
      </c>
      <c r="E290" s="101">
        <v>0.94364999999999999</v>
      </c>
      <c r="F290" s="101">
        <v>2649.2873</v>
      </c>
      <c r="G29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TE2</v>
      </c>
      <c r="H29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TE2</v>
      </c>
    </row>
    <row r="291" spans="1:8" x14ac:dyDescent="0.3">
      <c r="A291" s="101" t="s">
        <v>399</v>
      </c>
      <c r="B291" s="101" t="s">
        <v>43</v>
      </c>
      <c r="C291" s="101" t="s">
        <v>359</v>
      </c>
      <c r="D291" s="101">
        <v>2500</v>
      </c>
      <c r="E291" s="101">
        <v>2.0061</v>
      </c>
      <c r="F291" s="101">
        <v>1246.1991</v>
      </c>
      <c r="G29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HOU TE2</v>
      </c>
      <c r="H29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HOU TE2</v>
      </c>
    </row>
    <row r="292" spans="1:8" x14ac:dyDescent="0.3">
      <c r="A292" s="101" t="s">
        <v>399</v>
      </c>
      <c r="B292" s="101" t="s">
        <v>70</v>
      </c>
      <c r="C292" s="101" t="s">
        <v>1253</v>
      </c>
      <c r="D292" s="101">
        <v>2500</v>
      </c>
      <c r="E292" s="101">
        <v>2.0360999999999998</v>
      </c>
      <c r="F292" s="101">
        <v>1227.8375000000001</v>
      </c>
      <c r="G29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DEN TE2</v>
      </c>
      <c r="H29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DEN TE2</v>
      </c>
    </row>
    <row r="293" spans="1:8" x14ac:dyDescent="0.3">
      <c r="A293" s="101" t="s">
        <v>399</v>
      </c>
      <c r="B293" s="101" t="s">
        <v>398</v>
      </c>
      <c r="C293" s="101" t="s">
        <v>356</v>
      </c>
      <c r="D293" s="101">
        <v>2500</v>
      </c>
      <c r="E293" s="101">
        <v>1.7840500000000001</v>
      </c>
      <c r="F293" s="101">
        <v>1401.306</v>
      </c>
      <c r="G29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SF TE3</v>
      </c>
      <c r="H29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SF TE3</v>
      </c>
    </row>
    <row r="294" spans="1:8" x14ac:dyDescent="0.3">
      <c r="A294" s="101" t="s">
        <v>399</v>
      </c>
      <c r="B294" s="101" t="s">
        <v>34</v>
      </c>
      <c r="C294" s="101" t="s">
        <v>381</v>
      </c>
      <c r="D294" s="101">
        <v>2500</v>
      </c>
      <c r="E294" s="101">
        <v>1.9152500000000001</v>
      </c>
      <c r="F294" s="101">
        <v>1305.3126</v>
      </c>
      <c r="G29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NYJ TE1</v>
      </c>
      <c r="H29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NYJ TE1</v>
      </c>
    </row>
    <row r="295" spans="1:8" x14ac:dyDescent="0.3">
      <c r="A295" s="101" t="s">
        <v>399</v>
      </c>
      <c r="B295" s="101" t="s">
        <v>32</v>
      </c>
      <c r="C295" s="101" t="s">
        <v>350</v>
      </c>
      <c r="D295" s="101">
        <v>2500</v>
      </c>
      <c r="E295" s="101">
        <v>1.4120500000000002</v>
      </c>
      <c r="F295" s="101">
        <v>1770.4755</v>
      </c>
      <c r="G29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TE3</v>
      </c>
      <c r="H29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TE3</v>
      </c>
    </row>
    <row r="296" spans="1:8" x14ac:dyDescent="0.3">
      <c r="A296" s="101" t="s">
        <v>399</v>
      </c>
      <c r="B296" s="101" t="s">
        <v>34</v>
      </c>
      <c r="C296" s="101" t="s">
        <v>543</v>
      </c>
      <c r="D296" s="101">
        <v>2500</v>
      </c>
      <c r="E296" s="101">
        <v>0.70015000000000005</v>
      </c>
      <c r="F296" s="101">
        <v>3570.6633999999999</v>
      </c>
      <c r="G29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NYJ TE2</v>
      </c>
      <c r="H29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NYJ TE2</v>
      </c>
    </row>
    <row r="297" spans="1:8" x14ac:dyDescent="0.3">
      <c r="A297" s="101" t="s">
        <v>399</v>
      </c>
      <c r="B297" s="101" t="s">
        <v>16</v>
      </c>
      <c r="C297" s="101" t="s">
        <v>546</v>
      </c>
      <c r="D297" s="101">
        <v>2500</v>
      </c>
      <c r="E297" s="101">
        <v>0.33784999999999998</v>
      </c>
      <c r="F297" s="101">
        <v>7399.7335999999996</v>
      </c>
      <c r="G29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IND TE3</v>
      </c>
      <c r="H29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IND TE3</v>
      </c>
    </row>
    <row r="298" spans="1:8" x14ac:dyDescent="0.3">
      <c r="A298" s="101" t="s">
        <v>1408</v>
      </c>
      <c r="B298" s="101" t="s">
        <v>22</v>
      </c>
      <c r="C298" s="101" t="s">
        <v>831</v>
      </c>
      <c r="D298" s="101">
        <v>3800</v>
      </c>
      <c r="E298" s="101">
        <v>8.8333333333333339</v>
      </c>
      <c r="F298" s="101">
        <v>430.18869999999998</v>
      </c>
      <c r="G29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CAR DEF</v>
      </c>
      <c r="H29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CAR DEF</v>
      </c>
    </row>
    <row r="299" spans="1:8" x14ac:dyDescent="0.3">
      <c r="A299" s="101" t="s">
        <v>1408</v>
      </c>
      <c r="B299" s="101" t="s">
        <v>7</v>
      </c>
      <c r="C299" s="101" t="s">
        <v>847</v>
      </c>
      <c r="D299" s="101">
        <v>4100</v>
      </c>
      <c r="E299" s="101">
        <v>8.6333333333333329</v>
      </c>
      <c r="F299" s="101">
        <v>474.90350000000001</v>
      </c>
      <c r="G29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SEA DEF</v>
      </c>
      <c r="H29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SEA DEF</v>
      </c>
    </row>
    <row r="300" spans="1:8" x14ac:dyDescent="0.3">
      <c r="A300" s="101" t="s">
        <v>1408</v>
      </c>
      <c r="B300" s="101" t="s">
        <v>397</v>
      </c>
      <c r="C300" s="101" t="s">
        <v>850</v>
      </c>
      <c r="D300" s="101">
        <v>3200</v>
      </c>
      <c r="E300" s="101">
        <v>7.7666666666666666</v>
      </c>
      <c r="F300" s="101">
        <v>412.0172</v>
      </c>
      <c r="G30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KC DEF</v>
      </c>
      <c r="H30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KC DEF</v>
      </c>
    </row>
    <row r="301" spans="1:8" x14ac:dyDescent="0.3">
      <c r="A301" s="101" t="s">
        <v>1408</v>
      </c>
      <c r="B301" s="101" t="s">
        <v>402</v>
      </c>
      <c r="C301" s="101" t="s">
        <v>852</v>
      </c>
      <c r="D301" s="101">
        <v>3200</v>
      </c>
      <c r="E301" s="101">
        <v>7.6333333333333329</v>
      </c>
      <c r="F301" s="101">
        <v>419.214</v>
      </c>
      <c r="G30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NE DEF</v>
      </c>
      <c r="H30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NE DEF</v>
      </c>
    </row>
    <row r="302" spans="1:8" x14ac:dyDescent="0.3">
      <c r="A302" s="101" t="s">
        <v>1408</v>
      </c>
      <c r="B302" s="101" t="s">
        <v>4</v>
      </c>
      <c r="C302" s="101" t="s">
        <v>835</v>
      </c>
      <c r="D302" s="101">
        <v>2600</v>
      </c>
      <c r="E302" s="101">
        <v>7.6000000000000005</v>
      </c>
      <c r="F302" s="101">
        <v>342.1053</v>
      </c>
      <c r="G30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OAK DEF</v>
      </c>
      <c r="H30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OAK DEF</v>
      </c>
    </row>
    <row r="303" spans="1:8" x14ac:dyDescent="0.3">
      <c r="A303" s="101" t="s">
        <v>1408</v>
      </c>
      <c r="B303" s="101" t="s">
        <v>24</v>
      </c>
      <c r="C303" s="101" t="s">
        <v>854</v>
      </c>
      <c r="D303" s="101">
        <v>3600</v>
      </c>
      <c r="E303" s="101">
        <v>7.6000000000000005</v>
      </c>
      <c r="F303" s="101">
        <v>473.68419999999998</v>
      </c>
      <c r="G30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ARI DEF</v>
      </c>
      <c r="H30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ARI DEF</v>
      </c>
    </row>
    <row r="304" spans="1:8" x14ac:dyDescent="0.3">
      <c r="A304" s="101" t="s">
        <v>1408</v>
      </c>
      <c r="B304" s="101" t="s">
        <v>70</v>
      </c>
      <c r="C304" s="101" t="s">
        <v>851</v>
      </c>
      <c r="D304" s="101">
        <v>3500</v>
      </c>
      <c r="E304" s="101">
        <v>7.2333333333333343</v>
      </c>
      <c r="F304" s="101">
        <v>483.87099999999998</v>
      </c>
      <c r="G30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DEN DEF</v>
      </c>
      <c r="H30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DEN DEF</v>
      </c>
    </row>
    <row r="305" spans="1:8" x14ac:dyDescent="0.3">
      <c r="A305" s="101" t="s">
        <v>1408</v>
      </c>
      <c r="B305" s="101" t="s">
        <v>34</v>
      </c>
      <c r="C305" s="101" t="s">
        <v>857</v>
      </c>
      <c r="D305" s="101">
        <v>2900</v>
      </c>
      <c r="E305" s="101">
        <v>7.0333333333333341</v>
      </c>
      <c r="F305" s="101">
        <v>412.32229999999998</v>
      </c>
      <c r="G30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NYJ DEF</v>
      </c>
      <c r="H30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NYJ DEF</v>
      </c>
    </row>
    <row r="306" spans="1:8" x14ac:dyDescent="0.3">
      <c r="A306" s="101" t="s">
        <v>1408</v>
      </c>
      <c r="B306" s="101" t="s">
        <v>16</v>
      </c>
      <c r="C306" s="101" t="s">
        <v>840</v>
      </c>
      <c r="D306" s="101">
        <v>2400</v>
      </c>
      <c r="E306" s="101">
        <v>6.9666666666666659</v>
      </c>
      <c r="F306" s="101">
        <v>344.49759999999998</v>
      </c>
      <c r="G30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IND DEF</v>
      </c>
      <c r="H30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IND DEF</v>
      </c>
    </row>
    <row r="307" spans="1:8" x14ac:dyDescent="0.3">
      <c r="A307" s="101" t="s">
        <v>1408</v>
      </c>
      <c r="B307" s="101" t="s">
        <v>43</v>
      </c>
      <c r="C307" s="101" t="s">
        <v>858</v>
      </c>
      <c r="D307" s="101">
        <v>3000</v>
      </c>
      <c r="E307" s="101">
        <v>6.9333333333333327</v>
      </c>
      <c r="F307" s="101">
        <v>432.69229999999999</v>
      </c>
      <c r="G30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HOU DEF</v>
      </c>
      <c r="H30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HOU DEF</v>
      </c>
    </row>
    <row r="308" spans="1:8" x14ac:dyDescent="0.3">
      <c r="A308" s="101" t="s">
        <v>1408</v>
      </c>
      <c r="B308" s="101" t="s">
        <v>395</v>
      </c>
      <c r="C308" s="101" t="s">
        <v>856</v>
      </c>
      <c r="D308" s="101">
        <v>3000</v>
      </c>
      <c r="E308" s="101">
        <v>6.6333333333333329</v>
      </c>
      <c r="F308" s="101">
        <v>452.26130000000001</v>
      </c>
      <c r="G30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GB DEF</v>
      </c>
      <c r="H30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GB DEF</v>
      </c>
    </row>
    <row r="309" spans="1:8" x14ac:dyDescent="0.3">
      <c r="A309" s="101" t="s">
        <v>1408</v>
      </c>
      <c r="B309" s="101" t="s">
        <v>32</v>
      </c>
      <c r="C309" s="101" t="s">
        <v>832</v>
      </c>
      <c r="D309" s="101">
        <v>2500</v>
      </c>
      <c r="E309" s="101">
        <v>6.5</v>
      </c>
      <c r="F309" s="101">
        <v>384.61540000000002</v>
      </c>
      <c r="G30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BAL DEF</v>
      </c>
      <c r="H30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BAL DEF</v>
      </c>
    </row>
    <row r="310" spans="1:8" x14ac:dyDescent="0.3">
      <c r="A310" s="101" t="s">
        <v>1408</v>
      </c>
      <c r="B310" s="101" t="s">
        <v>12</v>
      </c>
      <c r="C310" s="101" t="s">
        <v>834</v>
      </c>
      <c r="D310" s="101">
        <v>2600</v>
      </c>
      <c r="E310" s="101">
        <v>6.5</v>
      </c>
      <c r="F310" s="101">
        <v>400</v>
      </c>
      <c r="G31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JAX DEF</v>
      </c>
      <c r="H31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JAX DEF</v>
      </c>
    </row>
    <row r="311" spans="1:8" x14ac:dyDescent="0.3">
      <c r="A311" s="101" t="s">
        <v>1408</v>
      </c>
      <c r="B311" s="101" t="s">
        <v>37</v>
      </c>
      <c r="C311" s="101" t="s">
        <v>829</v>
      </c>
      <c r="D311" s="101">
        <v>3300</v>
      </c>
      <c r="E311" s="101">
        <v>6.0666666666666673</v>
      </c>
      <c r="F311" s="101">
        <v>543.95600000000002</v>
      </c>
      <c r="G31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NYG DEF</v>
      </c>
      <c r="H31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NYG DEF</v>
      </c>
    </row>
    <row r="312" spans="1:8" x14ac:dyDescent="0.3">
      <c r="A312" s="101" t="s">
        <v>1408</v>
      </c>
      <c r="B312" s="101" t="s">
        <v>46</v>
      </c>
      <c r="C312" s="101" t="s">
        <v>841</v>
      </c>
      <c r="D312" s="101">
        <v>2700</v>
      </c>
      <c r="E312" s="101">
        <v>6.0333333333333323</v>
      </c>
      <c r="F312" s="101">
        <v>447.5138</v>
      </c>
      <c r="G31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CHI DEF</v>
      </c>
      <c r="H31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CHI DEF</v>
      </c>
    </row>
    <row r="313" spans="1:8" x14ac:dyDescent="0.3">
      <c r="A313" s="101" t="s">
        <v>1408</v>
      </c>
      <c r="B313" s="101" t="s">
        <v>28</v>
      </c>
      <c r="C313" s="101" t="s">
        <v>842</v>
      </c>
      <c r="D313" s="101">
        <v>2800</v>
      </c>
      <c r="E313" s="101">
        <v>6</v>
      </c>
      <c r="F313" s="101">
        <v>466.66669999999999</v>
      </c>
      <c r="G31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CIN DEF</v>
      </c>
      <c r="H31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CIN DEF</v>
      </c>
    </row>
    <row r="314" spans="1:8" x14ac:dyDescent="0.3">
      <c r="A314" s="101" t="s">
        <v>1408</v>
      </c>
      <c r="B314" s="101" t="s">
        <v>57</v>
      </c>
      <c r="C314" s="101" t="s">
        <v>843</v>
      </c>
      <c r="D314" s="101">
        <v>3000</v>
      </c>
      <c r="E314" s="101">
        <v>5.8666666666666671</v>
      </c>
      <c r="F314" s="101">
        <v>511.36360000000002</v>
      </c>
      <c r="G31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MIA DEF</v>
      </c>
      <c r="H31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MIA DEF</v>
      </c>
    </row>
    <row r="315" spans="1:8" x14ac:dyDescent="0.3">
      <c r="A315" s="101" t="s">
        <v>1408</v>
      </c>
      <c r="B315" s="101" t="s">
        <v>407</v>
      </c>
      <c r="C315" s="101" t="s">
        <v>853</v>
      </c>
      <c r="D315" s="101">
        <v>2300</v>
      </c>
      <c r="E315" s="101">
        <v>5.833333333333333</v>
      </c>
      <c r="F315" s="101">
        <v>394.28570000000002</v>
      </c>
      <c r="G31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SD DEF</v>
      </c>
      <c r="H31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SD DEF</v>
      </c>
    </row>
    <row r="316" spans="1:8" x14ac:dyDescent="0.3">
      <c r="A316" s="101" t="s">
        <v>1408</v>
      </c>
      <c r="B316" s="101" t="s">
        <v>41</v>
      </c>
      <c r="C316" s="101" t="s">
        <v>855</v>
      </c>
      <c r="D316" s="101">
        <v>3100</v>
      </c>
      <c r="E316" s="101">
        <v>5.833333333333333</v>
      </c>
      <c r="F316" s="101">
        <v>531.42859999999996</v>
      </c>
      <c r="G31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MIN DEF</v>
      </c>
      <c r="H31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MIN DEF</v>
      </c>
    </row>
    <row r="317" spans="1:8" x14ac:dyDescent="0.3">
      <c r="A317" s="101" t="s">
        <v>1408</v>
      </c>
      <c r="B317" s="101" t="s">
        <v>39</v>
      </c>
      <c r="C317" s="101" t="s">
        <v>830</v>
      </c>
      <c r="D317" s="101">
        <v>2800</v>
      </c>
      <c r="E317" s="101">
        <v>5.7666666666666666</v>
      </c>
      <c r="F317" s="101">
        <v>485.54910000000001</v>
      </c>
      <c r="G31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PHI DEF</v>
      </c>
      <c r="H31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PHI DEF</v>
      </c>
    </row>
    <row r="318" spans="1:8" x14ac:dyDescent="0.3">
      <c r="A318" s="101" t="s">
        <v>1408</v>
      </c>
      <c r="B318" s="101" t="s">
        <v>14</v>
      </c>
      <c r="C318" s="101" t="s">
        <v>833</v>
      </c>
      <c r="D318" s="101">
        <v>2300</v>
      </c>
      <c r="E318" s="101">
        <v>5.666666666666667</v>
      </c>
      <c r="F318" s="101">
        <v>405.88240000000002</v>
      </c>
      <c r="G31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CLE DEF</v>
      </c>
      <c r="H31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CLE DEF</v>
      </c>
    </row>
    <row r="319" spans="1:8" x14ac:dyDescent="0.3">
      <c r="A319" s="101" t="s">
        <v>1408</v>
      </c>
      <c r="B319" s="101" t="s">
        <v>20</v>
      </c>
      <c r="C319" s="101" t="s">
        <v>849</v>
      </c>
      <c r="D319" s="101">
        <v>2900</v>
      </c>
      <c r="E319" s="101">
        <v>5.666666666666667</v>
      </c>
      <c r="F319" s="101">
        <v>511.7647</v>
      </c>
      <c r="G31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PIT DEF</v>
      </c>
      <c r="H319"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PIT DEF</v>
      </c>
    </row>
    <row r="320" spans="1:8" x14ac:dyDescent="0.3">
      <c r="A320" s="101" t="s">
        <v>1408</v>
      </c>
      <c r="B320" s="101" t="s">
        <v>409</v>
      </c>
      <c r="C320" s="101" t="s">
        <v>859</v>
      </c>
      <c r="D320" s="101">
        <v>4500</v>
      </c>
      <c r="E320" s="101">
        <v>5.6333333333333329</v>
      </c>
      <c r="F320" s="101">
        <v>798.81659999999999</v>
      </c>
      <c r="G32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LA DEF</v>
      </c>
      <c r="H320"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LA DEF</v>
      </c>
    </row>
    <row r="321" spans="1:8" x14ac:dyDescent="0.3">
      <c r="A321" s="101" t="s">
        <v>1408</v>
      </c>
      <c r="B321" s="101" t="s">
        <v>26</v>
      </c>
      <c r="C321" s="101" t="s">
        <v>839</v>
      </c>
      <c r="D321" s="101">
        <v>2400</v>
      </c>
      <c r="E321" s="101">
        <v>5.5</v>
      </c>
      <c r="F321" s="101">
        <v>436.36360000000002</v>
      </c>
      <c r="G32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DET DEF</v>
      </c>
      <c r="H321"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DET DEF</v>
      </c>
    </row>
    <row r="322" spans="1:8" x14ac:dyDescent="0.3">
      <c r="A322" s="101" t="s">
        <v>1408</v>
      </c>
      <c r="B322" s="101" t="s">
        <v>401</v>
      </c>
      <c r="C322" s="101" t="s">
        <v>845</v>
      </c>
      <c r="D322" s="101">
        <v>3100</v>
      </c>
      <c r="E322" s="101">
        <v>5.3999999999999995</v>
      </c>
      <c r="F322" s="101">
        <v>574.07410000000004</v>
      </c>
      <c r="G32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TB DEF</v>
      </c>
      <c r="H322"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TB DEF</v>
      </c>
    </row>
    <row r="323" spans="1:8" x14ac:dyDescent="0.3">
      <c r="A323" s="101" t="s">
        <v>1408</v>
      </c>
      <c r="B323" s="101" t="s">
        <v>404</v>
      </c>
      <c r="C323" s="101" t="s">
        <v>827</v>
      </c>
      <c r="D323" s="101">
        <v>2200</v>
      </c>
      <c r="E323" s="101">
        <v>5.3999999999999995</v>
      </c>
      <c r="F323" s="101">
        <v>407.4074</v>
      </c>
      <c r="G32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NO DEF</v>
      </c>
      <c r="H323"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NO DEF</v>
      </c>
    </row>
    <row r="324" spans="1:8" x14ac:dyDescent="0.3">
      <c r="A324" s="101" t="s">
        <v>1408</v>
      </c>
      <c r="B324" s="101" t="s">
        <v>30</v>
      </c>
      <c r="C324" s="101" t="s">
        <v>836</v>
      </c>
      <c r="D324" s="101">
        <v>2500</v>
      </c>
      <c r="E324" s="101">
        <v>5.3666666666666671</v>
      </c>
      <c r="F324" s="101">
        <v>465.83850000000001</v>
      </c>
      <c r="G32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TEN DEF</v>
      </c>
      <c r="H324"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TEN DEF</v>
      </c>
    </row>
    <row r="325" spans="1:8" x14ac:dyDescent="0.3">
      <c r="A325" s="101" t="s">
        <v>1408</v>
      </c>
      <c r="B325" s="101" t="s">
        <v>18</v>
      </c>
      <c r="C325" s="101" t="s">
        <v>838</v>
      </c>
      <c r="D325" s="101">
        <v>2400</v>
      </c>
      <c r="E325" s="101">
        <v>5.3666666666666671</v>
      </c>
      <c r="F325" s="101">
        <v>447.20499999999998</v>
      </c>
      <c r="G32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WAS DEF</v>
      </c>
      <c r="H32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WAS DEF</v>
      </c>
    </row>
    <row r="326" spans="1:8" x14ac:dyDescent="0.3">
      <c r="A326" s="101" t="s">
        <v>1408</v>
      </c>
      <c r="B326" s="101" t="s">
        <v>50</v>
      </c>
      <c r="C326" s="101" t="s">
        <v>828</v>
      </c>
      <c r="D326" s="101">
        <v>2000</v>
      </c>
      <c r="E326" s="101">
        <v>5.333333333333333</v>
      </c>
      <c r="F326" s="101">
        <v>375</v>
      </c>
      <c r="G32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ATL DEF</v>
      </c>
      <c r="H326"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ATL DEF</v>
      </c>
    </row>
    <row r="327" spans="1:8" x14ac:dyDescent="0.3">
      <c r="A327" s="101" t="s">
        <v>1408</v>
      </c>
      <c r="B327" s="101" t="s">
        <v>10</v>
      </c>
      <c r="C327" s="101" t="s">
        <v>848</v>
      </c>
      <c r="D327" s="101">
        <v>2700</v>
      </c>
      <c r="E327" s="101">
        <v>5.2333333333333334</v>
      </c>
      <c r="F327" s="101">
        <v>515.92359999999996</v>
      </c>
      <c r="G32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BUF DEF</v>
      </c>
      <c r="H327"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BUF DEF</v>
      </c>
    </row>
    <row r="328" spans="1:8" x14ac:dyDescent="0.3">
      <c r="A328" s="101" t="s">
        <v>1408</v>
      </c>
      <c r="B328" s="101" t="s">
        <v>52</v>
      </c>
      <c r="C328" s="101" t="s">
        <v>846</v>
      </c>
      <c r="D328" s="101">
        <v>2500</v>
      </c>
      <c r="E328" s="101">
        <v>5.1333333333333337</v>
      </c>
      <c r="F328" s="101">
        <v>487.01299999999998</v>
      </c>
      <c r="G32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DAL DEF</v>
      </c>
      <c r="H328"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DAL DEF</v>
      </c>
    </row>
    <row r="329" spans="1:8" x14ac:dyDescent="0.3">
      <c r="A329" s="101" t="s">
        <v>1408</v>
      </c>
      <c r="B329" s="101" t="s">
        <v>398</v>
      </c>
      <c r="C329" s="101" t="s">
        <v>844</v>
      </c>
      <c r="D329" s="101">
        <v>2400</v>
      </c>
      <c r="E329" s="101">
        <v>4.1000000000000005</v>
      </c>
      <c r="F329" s="101">
        <v>585.36590000000001</v>
      </c>
      <c r="G329" s="13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Row],[Pos]],Merged_Stack_Data[Projection],"&gt;="&amp;Merged_Stack_Data[[#This Row],[Projection]]))</f>
        <v>SF DEF</v>
      </c>
      <c r="H329" s="135" t="str">
        <f>IF(OR(Merged_Stack_Data[[#This Row],[Pos]]="K",Merged_Stack_Data[[#This Row],[Pos]]="DEF"),Merged_Stack_Data[[#This Row],[Team]]&amp;" "&amp;Merged_Stack_Data[[#This Row],[Pos]],Merged_Stack_Data[[#This Row],[Team]]&amp;" "&amp;Merged_Stack_Data[[#This Row],[Pos]]&amp;COUNTIFS(Merged_Stack_Data[Team],Merged_Stack_Data[[#This Row],[Team]],Merged_Stack_Data[Pos],Merged_Stack_Data[[#This Row],[Pos]],Merged_Stack_Data[$/FP],"&lt;="&amp;Merged_Stack_Data[[#This Row],[$/FP]]))</f>
        <v>SF DEF</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3"/>
  <sheetViews>
    <sheetView workbookViewId="0">
      <selection activeCell="A2" sqref="A2:BL31"/>
    </sheetView>
  </sheetViews>
  <sheetFormatPr defaultRowHeight="14.4" x14ac:dyDescent="0.3"/>
  <cols>
    <col min="1" max="1" width="9.5546875" bestFit="1" customWidth="1"/>
    <col min="2" max="2" width="8.5546875" bestFit="1" customWidth="1"/>
    <col min="3" max="3" width="9.77734375" bestFit="1" customWidth="1"/>
    <col min="4" max="4" width="22.21875" bestFit="1" customWidth="1"/>
    <col min="5" max="5" width="6.44140625" bestFit="1" customWidth="1"/>
    <col min="6" max="6" width="8.109375" bestFit="1" customWidth="1"/>
    <col min="7" max="7" width="7" bestFit="1" customWidth="1"/>
    <col min="8" max="8" width="7.77734375" bestFit="1" customWidth="1"/>
    <col min="9" max="9" width="8" bestFit="1" customWidth="1"/>
    <col min="10" max="10" width="11.44140625" bestFit="1" customWidth="1"/>
    <col min="11" max="11" width="12.77734375" bestFit="1" customWidth="1"/>
    <col min="12" max="12" width="10.21875" bestFit="1" customWidth="1"/>
    <col min="13" max="13" width="10.77734375" bestFit="1" customWidth="1"/>
    <col min="14" max="14" width="9.88671875" bestFit="1" customWidth="1"/>
    <col min="15" max="15" width="6.21875" bestFit="1" customWidth="1"/>
    <col min="16" max="16" width="10.77734375" bestFit="1" customWidth="1"/>
    <col min="17" max="17" width="11.109375" bestFit="1" customWidth="1"/>
    <col min="18" max="18" width="10.21875" bestFit="1" customWidth="1"/>
    <col min="19" max="19" width="6.44140625" bestFit="1" customWidth="1"/>
    <col min="20" max="20" width="10" bestFit="1" customWidth="1"/>
    <col min="22" max="22" width="7.109375" bestFit="1" customWidth="1"/>
    <col min="23" max="24" width="6" bestFit="1" customWidth="1"/>
    <col min="25" max="25" width="8.77734375" bestFit="1" customWidth="1"/>
    <col min="26" max="26" width="31.109375" bestFit="1" customWidth="1"/>
    <col min="27" max="27" width="20.77734375" bestFit="1" customWidth="1"/>
    <col min="28" max="28" width="22.88671875" bestFit="1" customWidth="1"/>
    <col min="29" max="29" width="21.44140625" bestFit="1" customWidth="1"/>
    <col min="30" max="30" width="28" bestFit="1" customWidth="1"/>
    <col min="31" max="31" width="17.44140625" bestFit="1" customWidth="1"/>
    <col min="32" max="32" width="19.77734375" bestFit="1" customWidth="1"/>
    <col min="33" max="33" width="18.109375" bestFit="1" customWidth="1"/>
    <col min="34" max="34" width="29.44140625" bestFit="1" customWidth="1"/>
    <col min="35" max="35" width="18.88671875" bestFit="1" customWidth="1"/>
    <col min="36" max="36" width="21.109375" bestFit="1" customWidth="1"/>
    <col min="37" max="37" width="19.77734375" bestFit="1" customWidth="1"/>
    <col min="38" max="38" width="27.44140625" bestFit="1" customWidth="1"/>
    <col min="39" max="39" width="17" bestFit="1" customWidth="1"/>
    <col min="40" max="40" width="19.109375" bestFit="1" customWidth="1"/>
    <col min="41" max="41" width="17.77734375" bestFit="1" customWidth="1"/>
    <col min="42" max="42" width="31.44140625" bestFit="1" customWidth="1"/>
    <col min="43" max="43" width="21" bestFit="1" customWidth="1"/>
    <col min="44" max="44" width="23.109375" bestFit="1" customWidth="1"/>
    <col min="45" max="45" width="21.77734375" bestFit="1" customWidth="1"/>
    <col min="46" max="46" width="29" bestFit="1" customWidth="1"/>
    <col min="47" max="47" width="18.44140625" bestFit="1" customWidth="1"/>
    <col min="48" max="48" width="20.77734375" bestFit="1" customWidth="1"/>
    <col min="49" max="49" width="19.109375" bestFit="1" customWidth="1"/>
    <col min="50" max="50" width="26.44140625" bestFit="1" customWidth="1"/>
    <col min="51" max="51" width="16" bestFit="1" customWidth="1"/>
    <col min="52" max="52" width="18.109375" bestFit="1" customWidth="1"/>
    <col min="53" max="53" width="16.77734375" bestFit="1" customWidth="1"/>
    <col min="54" max="54" width="31.44140625" bestFit="1" customWidth="1"/>
    <col min="55" max="55" width="21" bestFit="1" customWidth="1"/>
    <col min="56" max="56" width="23.109375" bestFit="1" customWidth="1"/>
    <col min="57" max="57" width="21.77734375" bestFit="1" customWidth="1"/>
    <col min="58" max="58" width="31.44140625" bestFit="1" customWidth="1"/>
    <col min="59" max="59" width="21" bestFit="1" customWidth="1"/>
    <col min="60" max="60" width="23.109375" bestFit="1" customWidth="1"/>
    <col min="61" max="61" width="21.77734375" bestFit="1" customWidth="1"/>
    <col min="62" max="62" width="7" bestFit="1" customWidth="1"/>
    <col min="63" max="63" width="9.44140625" bestFit="1" customWidth="1"/>
    <col min="64" max="64" width="12.21875" bestFit="1" customWidth="1"/>
  </cols>
  <sheetData>
    <row r="1" spans="1:64" x14ac:dyDescent="0.3">
      <c r="A1" s="135" t="s">
        <v>1913</v>
      </c>
      <c r="B1" s="135" t="s">
        <v>1914</v>
      </c>
      <c r="C1" s="135" t="s">
        <v>1915</v>
      </c>
      <c r="D1" s="135" t="s">
        <v>1</v>
      </c>
      <c r="E1" s="135" t="s">
        <v>413</v>
      </c>
      <c r="F1" s="135" t="s">
        <v>387</v>
      </c>
      <c r="G1" s="135" t="s">
        <v>81</v>
      </c>
      <c r="H1" s="135" t="s">
        <v>1916</v>
      </c>
      <c r="I1" s="135" t="s">
        <v>1917</v>
      </c>
      <c r="J1" s="135" t="s">
        <v>1918</v>
      </c>
      <c r="K1" s="135" t="s">
        <v>797</v>
      </c>
      <c r="L1" s="135" t="s">
        <v>798</v>
      </c>
      <c r="M1" s="135" t="s">
        <v>1919</v>
      </c>
      <c r="N1" s="135" t="s">
        <v>799</v>
      </c>
      <c r="O1" s="135" t="s">
        <v>605</v>
      </c>
      <c r="P1" s="135" t="s">
        <v>800</v>
      </c>
      <c r="Q1" s="135" t="s">
        <v>801</v>
      </c>
      <c r="R1" s="135" t="s">
        <v>392</v>
      </c>
      <c r="S1" s="135" t="s">
        <v>389</v>
      </c>
      <c r="T1" s="135" t="s">
        <v>826</v>
      </c>
      <c r="U1" s="135" t="s">
        <v>393</v>
      </c>
      <c r="V1" s="135" t="s">
        <v>1230</v>
      </c>
      <c r="W1" s="135" t="s">
        <v>1257</v>
      </c>
      <c r="X1" s="135" t="s">
        <v>1920</v>
      </c>
      <c r="Y1" s="135" t="s">
        <v>1427</v>
      </c>
      <c r="Z1" s="135" t="s">
        <v>1921</v>
      </c>
      <c r="AA1" s="135" t="s">
        <v>1922</v>
      </c>
      <c r="AB1" s="135" t="s">
        <v>1923</v>
      </c>
      <c r="AC1" s="135" t="s">
        <v>1924</v>
      </c>
      <c r="AD1" s="135" t="s">
        <v>1925</v>
      </c>
      <c r="AE1" s="135" t="s">
        <v>1926</v>
      </c>
      <c r="AF1" s="135" t="s">
        <v>1927</v>
      </c>
      <c r="AG1" s="135" t="s">
        <v>1928</v>
      </c>
      <c r="AH1" s="135" t="s">
        <v>1929</v>
      </c>
      <c r="AI1" s="135" t="s">
        <v>1930</v>
      </c>
      <c r="AJ1" s="135" t="s">
        <v>1931</v>
      </c>
      <c r="AK1" s="135" t="s">
        <v>1932</v>
      </c>
      <c r="AL1" s="135" t="s">
        <v>1933</v>
      </c>
      <c r="AM1" s="135" t="s">
        <v>1934</v>
      </c>
      <c r="AN1" s="135" t="s">
        <v>1935</v>
      </c>
      <c r="AO1" s="135" t="s">
        <v>1936</v>
      </c>
      <c r="AP1" s="135" t="s">
        <v>1937</v>
      </c>
      <c r="AQ1" s="135" t="s">
        <v>1938</v>
      </c>
      <c r="AR1" s="135" t="s">
        <v>1939</v>
      </c>
      <c r="AS1" s="135" t="s">
        <v>1940</v>
      </c>
      <c r="AT1" s="135" t="s">
        <v>1941</v>
      </c>
      <c r="AU1" s="135" t="s">
        <v>1942</v>
      </c>
      <c r="AV1" s="135" t="s">
        <v>1943</v>
      </c>
      <c r="AW1" s="135" t="s">
        <v>1944</v>
      </c>
      <c r="AX1" s="135" t="s">
        <v>1945</v>
      </c>
      <c r="AY1" s="135" t="s">
        <v>1946</v>
      </c>
      <c r="AZ1" s="135" t="s">
        <v>1947</v>
      </c>
      <c r="BA1" s="135" t="s">
        <v>1948</v>
      </c>
      <c r="BB1" s="135" t="s">
        <v>1949</v>
      </c>
      <c r="BC1" s="135" t="s">
        <v>1950</v>
      </c>
      <c r="BD1" s="135" t="s">
        <v>1951</v>
      </c>
      <c r="BE1" s="135" t="s">
        <v>1952</v>
      </c>
      <c r="BF1" s="135" t="s">
        <v>1953</v>
      </c>
      <c r="BG1" s="135" t="s">
        <v>1954</v>
      </c>
      <c r="BH1" s="135" t="s">
        <v>1955</v>
      </c>
      <c r="BI1" s="135" t="s">
        <v>1956</v>
      </c>
      <c r="BJ1" s="135" t="s">
        <v>1606</v>
      </c>
      <c r="BK1" s="135" t="s">
        <v>2294</v>
      </c>
      <c r="BL1" s="135" t="s">
        <v>1957</v>
      </c>
    </row>
    <row r="2" spans="1:64" x14ac:dyDescent="0.3">
      <c r="A2" s="135">
        <v>2016</v>
      </c>
      <c r="B2" s="135">
        <v>4</v>
      </c>
      <c r="C2" s="135" t="s">
        <v>10</v>
      </c>
      <c r="D2" s="135" t="s">
        <v>848</v>
      </c>
      <c r="E2" s="135" t="s">
        <v>1408</v>
      </c>
      <c r="F2" s="135" t="s">
        <v>10</v>
      </c>
      <c r="G2" s="135" t="s">
        <v>1992</v>
      </c>
      <c r="H2" s="135"/>
      <c r="I2" s="135"/>
      <c r="J2" s="135"/>
      <c r="K2" s="135"/>
      <c r="L2" s="135"/>
      <c r="M2" s="135"/>
      <c r="N2" s="135"/>
      <c r="O2" s="135"/>
      <c r="P2" s="135"/>
      <c r="Q2" s="135"/>
      <c r="R2" s="135"/>
      <c r="S2" s="135"/>
      <c r="T2" s="135"/>
      <c r="U2" s="135"/>
      <c r="V2" s="135"/>
      <c r="W2" s="135"/>
      <c r="X2" s="135"/>
      <c r="Y2" s="135"/>
      <c r="Z2" s="135">
        <v>6.6</v>
      </c>
      <c r="AA2" s="135">
        <v>2650</v>
      </c>
      <c r="AB2" s="135">
        <v>401</v>
      </c>
      <c r="AC2" s="135">
        <v>2.4900000000000002</v>
      </c>
      <c r="AD2" s="135">
        <v>6.6</v>
      </c>
      <c r="AE2" s="135">
        <v>6150</v>
      </c>
      <c r="AF2" s="135">
        <v>930.5</v>
      </c>
      <c r="AG2" s="135">
        <v>1.07</v>
      </c>
      <c r="AH2" s="135">
        <v>6.6</v>
      </c>
      <c r="AI2" s="135">
        <v>2600</v>
      </c>
      <c r="AJ2" s="135">
        <v>393.4</v>
      </c>
      <c r="AK2" s="135">
        <v>2.54</v>
      </c>
      <c r="AL2" s="135">
        <v>6.6</v>
      </c>
      <c r="AM2" s="135">
        <v>4300</v>
      </c>
      <c r="AN2" s="135">
        <v>650.6</v>
      </c>
      <c r="AO2" s="135">
        <v>1.54</v>
      </c>
      <c r="AP2" s="135">
        <v>6.6</v>
      </c>
      <c r="AQ2" s="135">
        <v>11</v>
      </c>
      <c r="AR2" s="135">
        <v>1.7</v>
      </c>
      <c r="AS2" s="135">
        <v>0.6</v>
      </c>
      <c r="AT2" s="135">
        <v>6.6</v>
      </c>
      <c r="AU2" s="135">
        <v>5000</v>
      </c>
      <c r="AV2" s="135">
        <v>756.5</v>
      </c>
      <c r="AW2" s="135">
        <v>1.32</v>
      </c>
      <c r="AX2" s="135"/>
      <c r="AY2" s="135"/>
      <c r="AZ2" s="135"/>
      <c r="BA2" s="135"/>
      <c r="BB2" s="135"/>
      <c r="BC2" s="135"/>
      <c r="BD2" s="135"/>
      <c r="BE2" s="135"/>
      <c r="BF2" s="135"/>
      <c r="BG2" s="135"/>
      <c r="BH2" s="135"/>
      <c r="BI2" s="135"/>
      <c r="BJ2" s="135">
        <v>46</v>
      </c>
      <c r="BK2" s="135">
        <v>-3.5</v>
      </c>
      <c r="BL2" s="135">
        <v>24.75</v>
      </c>
    </row>
    <row r="3" spans="1:64" x14ac:dyDescent="0.3">
      <c r="A3" s="135">
        <v>2016</v>
      </c>
      <c r="B3" s="135">
        <v>4</v>
      </c>
      <c r="C3" s="135" t="s">
        <v>57</v>
      </c>
      <c r="D3" s="135" t="s">
        <v>843</v>
      </c>
      <c r="E3" s="135" t="s">
        <v>1408</v>
      </c>
      <c r="F3" s="135" t="s">
        <v>57</v>
      </c>
      <c r="G3" s="135" t="s">
        <v>1999</v>
      </c>
      <c r="H3" s="135"/>
      <c r="I3" s="135"/>
      <c r="J3" s="135"/>
      <c r="K3" s="135"/>
      <c r="L3" s="135"/>
      <c r="M3" s="135"/>
      <c r="N3" s="135"/>
      <c r="O3" s="135"/>
      <c r="P3" s="135"/>
      <c r="Q3" s="135"/>
      <c r="R3" s="135"/>
      <c r="S3" s="135"/>
      <c r="T3" s="135"/>
      <c r="U3" s="135"/>
      <c r="V3" s="135"/>
      <c r="W3" s="135"/>
      <c r="X3" s="135"/>
      <c r="Y3" s="135"/>
      <c r="Z3" s="135">
        <v>6.1</v>
      </c>
      <c r="AA3" s="135">
        <v>2650</v>
      </c>
      <c r="AB3" s="135">
        <v>436.3</v>
      </c>
      <c r="AC3" s="135">
        <v>2.29</v>
      </c>
      <c r="AD3" s="135">
        <v>6.1</v>
      </c>
      <c r="AE3" s="135">
        <v>5000</v>
      </c>
      <c r="AF3" s="135">
        <v>823.2</v>
      </c>
      <c r="AG3" s="135">
        <v>1.21</v>
      </c>
      <c r="AH3" s="135">
        <v>6.1</v>
      </c>
      <c r="AI3" s="135">
        <v>2700</v>
      </c>
      <c r="AJ3" s="135">
        <v>444.5</v>
      </c>
      <c r="AK3" s="135">
        <v>2.25</v>
      </c>
      <c r="AL3" s="135">
        <v>6.1</v>
      </c>
      <c r="AM3" s="135">
        <v>4300</v>
      </c>
      <c r="AN3" s="135">
        <v>707.9</v>
      </c>
      <c r="AO3" s="135">
        <v>1.41</v>
      </c>
      <c r="AP3" s="135">
        <v>6.1</v>
      </c>
      <c r="AQ3" s="135">
        <v>13</v>
      </c>
      <c r="AR3" s="135">
        <v>2.1</v>
      </c>
      <c r="AS3" s="135">
        <v>0.47</v>
      </c>
      <c r="AT3" s="135">
        <v>6.1</v>
      </c>
      <c r="AU3" s="135">
        <v>5300</v>
      </c>
      <c r="AV3" s="135">
        <v>872.6</v>
      </c>
      <c r="AW3" s="135">
        <v>1.1499999999999999</v>
      </c>
      <c r="AX3" s="135"/>
      <c r="AY3" s="135"/>
      <c r="AZ3" s="135"/>
      <c r="BA3" s="135"/>
      <c r="BB3" s="135"/>
      <c r="BC3" s="135"/>
      <c r="BD3" s="135"/>
      <c r="BE3" s="135"/>
      <c r="BF3" s="135"/>
      <c r="BG3" s="135"/>
      <c r="BH3" s="135"/>
      <c r="BI3" s="135"/>
      <c r="BJ3" s="135">
        <v>47</v>
      </c>
      <c r="BK3" s="135">
        <v>-4.5</v>
      </c>
      <c r="BL3" s="135">
        <v>25.75</v>
      </c>
    </row>
    <row r="4" spans="1:64" x14ac:dyDescent="0.3">
      <c r="A4" s="135">
        <v>2016</v>
      </c>
      <c r="B4" s="135">
        <v>4</v>
      </c>
      <c r="C4" s="135" t="s">
        <v>34</v>
      </c>
      <c r="D4" s="135" t="s">
        <v>857</v>
      </c>
      <c r="E4" s="135" t="s">
        <v>1408</v>
      </c>
      <c r="F4" s="135" t="s">
        <v>34</v>
      </c>
      <c r="G4" s="135" t="s">
        <v>7</v>
      </c>
      <c r="H4" s="135"/>
      <c r="I4" s="135"/>
      <c r="J4" s="135"/>
      <c r="K4" s="135"/>
      <c r="L4" s="135"/>
      <c r="M4" s="135"/>
      <c r="N4" s="135"/>
      <c r="O4" s="135"/>
      <c r="P4" s="135"/>
      <c r="Q4" s="135"/>
      <c r="R4" s="135"/>
      <c r="S4" s="135"/>
      <c r="T4" s="135"/>
      <c r="U4" s="135"/>
      <c r="V4" s="135"/>
      <c r="W4" s="135"/>
      <c r="X4" s="135"/>
      <c r="Y4" s="135"/>
      <c r="Z4" s="135">
        <v>6.8</v>
      </c>
      <c r="AA4" s="135">
        <v>2950</v>
      </c>
      <c r="AB4" s="135">
        <v>433.1</v>
      </c>
      <c r="AC4" s="135">
        <v>2.31</v>
      </c>
      <c r="AD4" s="135">
        <v>6.8</v>
      </c>
      <c r="AE4" s="135">
        <v>5600</v>
      </c>
      <c r="AF4" s="135">
        <v>822.1</v>
      </c>
      <c r="AG4" s="135">
        <v>1.22</v>
      </c>
      <c r="AH4" s="135">
        <v>6.8</v>
      </c>
      <c r="AI4" s="135">
        <v>2800</v>
      </c>
      <c r="AJ4" s="135">
        <v>411</v>
      </c>
      <c r="AK4" s="135">
        <v>2.4300000000000002</v>
      </c>
      <c r="AL4" s="135">
        <v>6.8</v>
      </c>
      <c r="AM4" s="135">
        <v>4400</v>
      </c>
      <c r="AN4" s="135">
        <v>645.9</v>
      </c>
      <c r="AO4" s="135">
        <v>1.55</v>
      </c>
      <c r="AP4" s="135">
        <v>6.8</v>
      </c>
      <c r="AQ4" s="135">
        <v>16</v>
      </c>
      <c r="AR4" s="135">
        <v>2.2999999999999998</v>
      </c>
      <c r="AS4" s="135">
        <v>0.43</v>
      </c>
      <c r="AT4" s="135">
        <v>6.8</v>
      </c>
      <c r="AU4" s="135">
        <v>5600</v>
      </c>
      <c r="AV4" s="135">
        <v>822.1</v>
      </c>
      <c r="AW4" s="135">
        <v>1.22</v>
      </c>
      <c r="AX4" s="135"/>
      <c r="AY4" s="135"/>
      <c r="AZ4" s="135"/>
      <c r="BA4" s="135"/>
      <c r="BB4" s="135"/>
      <c r="BC4" s="135"/>
      <c r="BD4" s="135"/>
      <c r="BE4" s="135"/>
      <c r="BF4" s="135"/>
      <c r="BG4" s="135"/>
      <c r="BH4" s="135"/>
      <c r="BI4" s="135"/>
      <c r="BJ4" s="135">
        <v>40.5</v>
      </c>
      <c r="BK4" s="135">
        <v>0.5</v>
      </c>
      <c r="BL4" s="135">
        <v>20</v>
      </c>
    </row>
    <row r="5" spans="1:64" x14ac:dyDescent="0.3">
      <c r="A5" s="135">
        <v>2016</v>
      </c>
      <c r="B5" s="135">
        <v>4</v>
      </c>
      <c r="C5" s="135" t="s">
        <v>402</v>
      </c>
      <c r="D5" s="135" t="s">
        <v>852</v>
      </c>
      <c r="E5" s="135" t="s">
        <v>1408</v>
      </c>
      <c r="F5" s="135" t="s">
        <v>402</v>
      </c>
      <c r="G5" s="135" t="s">
        <v>10</v>
      </c>
      <c r="H5" s="135"/>
      <c r="I5" s="135"/>
      <c r="J5" s="135"/>
      <c r="K5" s="135"/>
      <c r="L5" s="135"/>
      <c r="M5" s="135"/>
      <c r="N5" s="135"/>
      <c r="O5" s="135"/>
      <c r="P5" s="135"/>
      <c r="Q5" s="135"/>
      <c r="R5" s="135"/>
      <c r="S5" s="135"/>
      <c r="T5" s="135"/>
      <c r="U5" s="135"/>
      <c r="V5" s="135"/>
      <c r="W5" s="135"/>
      <c r="X5" s="135"/>
      <c r="Y5" s="135"/>
      <c r="Z5" s="135">
        <v>7.4</v>
      </c>
      <c r="AA5" s="135">
        <v>3100</v>
      </c>
      <c r="AB5" s="135">
        <v>417.3</v>
      </c>
      <c r="AC5" s="135">
        <v>2.4</v>
      </c>
      <c r="AD5" s="135">
        <v>7.6</v>
      </c>
      <c r="AE5" s="135">
        <v>5350</v>
      </c>
      <c r="AF5" s="135">
        <v>708.3</v>
      </c>
      <c r="AG5" s="135">
        <v>1.41</v>
      </c>
      <c r="AH5" s="135">
        <v>7.6</v>
      </c>
      <c r="AI5" s="135">
        <v>3300</v>
      </c>
      <c r="AJ5" s="135">
        <v>436.9</v>
      </c>
      <c r="AK5" s="135">
        <v>2.29</v>
      </c>
      <c r="AL5" s="135">
        <v>7.6</v>
      </c>
      <c r="AM5" s="135">
        <v>4500</v>
      </c>
      <c r="AN5" s="135">
        <v>595.79999999999995</v>
      </c>
      <c r="AO5" s="135">
        <v>1.68</v>
      </c>
      <c r="AP5" s="135">
        <v>7.6</v>
      </c>
      <c r="AQ5" s="135">
        <v>17</v>
      </c>
      <c r="AR5" s="135">
        <v>2.2999999999999998</v>
      </c>
      <c r="AS5" s="135">
        <v>0.44</v>
      </c>
      <c r="AT5" s="135">
        <v>7.6</v>
      </c>
      <c r="AU5" s="135">
        <v>6400</v>
      </c>
      <c r="AV5" s="135">
        <v>847.3</v>
      </c>
      <c r="AW5" s="135">
        <v>1.18</v>
      </c>
      <c r="AX5" s="135"/>
      <c r="AY5" s="135"/>
      <c r="AZ5" s="135"/>
      <c r="BA5" s="135"/>
      <c r="BB5" s="135"/>
      <c r="BC5" s="135"/>
      <c r="BD5" s="135"/>
      <c r="BE5" s="135"/>
      <c r="BF5" s="135"/>
      <c r="BG5" s="135"/>
      <c r="BH5" s="135"/>
      <c r="BI5" s="135"/>
      <c r="BJ5" s="135">
        <v>52</v>
      </c>
      <c r="BK5" s="135">
        <v>3</v>
      </c>
      <c r="BL5" s="135">
        <v>24.5</v>
      </c>
    </row>
    <row r="6" spans="1:64" x14ac:dyDescent="0.3">
      <c r="A6" s="135">
        <v>2016</v>
      </c>
      <c r="B6" s="135">
        <v>4</v>
      </c>
      <c r="C6" s="135" t="s">
        <v>28</v>
      </c>
      <c r="D6" s="135" t="s">
        <v>842</v>
      </c>
      <c r="E6" s="135" t="s">
        <v>1408</v>
      </c>
      <c r="F6" s="135" t="s">
        <v>28</v>
      </c>
      <c r="G6" s="135" t="s">
        <v>57</v>
      </c>
      <c r="H6" s="135"/>
      <c r="I6" s="135"/>
      <c r="J6" s="135"/>
      <c r="K6" s="135"/>
      <c r="L6" s="135"/>
      <c r="M6" s="135"/>
      <c r="N6" s="135"/>
      <c r="O6" s="135"/>
      <c r="P6" s="135"/>
      <c r="Q6" s="135"/>
      <c r="R6" s="135"/>
      <c r="S6" s="135"/>
      <c r="T6" s="135"/>
      <c r="U6" s="135"/>
      <c r="V6" s="135"/>
      <c r="W6" s="135"/>
      <c r="X6" s="135"/>
      <c r="Y6" s="135"/>
      <c r="Z6" s="135">
        <v>8</v>
      </c>
      <c r="AA6" s="135">
        <v>2900</v>
      </c>
      <c r="AB6" s="135">
        <v>363.9</v>
      </c>
      <c r="AC6" s="135">
        <v>2.75</v>
      </c>
      <c r="AD6" s="135">
        <v>8.4</v>
      </c>
      <c r="AE6" s="135">
        <v>7050</v>
      </c>
      <c r="AF6" s="135">
        <v>835.6</v>
      </c>
      <c r="AG6" s="135">
        <v>1.2</v>
      </c>
      <c r="AH6" s="135">
        <v>8.4</v>
      </c>
      <c r="AI6" s="135">
        <v>3200</v>
      </c>
      <c r="AJ6" s="135">
        <v>379.3</v>
      </c>
      <c r="AK6" s="135">
        <v>2.64</v>
      </c>
      <c r="AL6" s="135">
        <v>8.4</v>
      </c>
      <c r="AM6" s="135">
        <v>4700</v>
      </c>
      <c r="AN6" s="135">
        <v>557.1</v>
      </c>
      <c r="AO6" s="135">
        <v>1.8</v>
      </c>
      <c r="AP6" s="135">
        <v>8.4</v>
      </c>
      <c r="AQ6" s="135">
        <v>15</v>
      </c>
      <c r="AR6" s="135">
        <v>1.8</v>
      </c>
      <c r="AS6" s="135">
        <v>0.56000000000000005</v>
      </c>
      <c r="AT6" s="135">
        <v>8.4</v>
      </c>
      <c r="AU6" s="135">
        <v>6300</v>
      </c>
      <c r="AV6" s="135">
        <v>746.7</v>
      </c>
      <c r="AW6" s="135">
        <v>1.34</v>
      </c>
      <c r="AX6" s="135"/>
      <c r="AY6" s="135"/>
      <c r="AZ6" s="135"/>
      <c r="BA6" s="135"/>
      <c r="BB6" s="135"/>
      <c r="BC6" s="135"/>
      <c r="BD6" s="135"/>
      <c r="BE6" s="135"/>
      <c r="BF6" s="135"/>
      <c r="BG6" s="135"/>
      <c r="BH6" s="135"/>
      <c r="BI6" s="135"/>
      <c r="BJ6" s="135">
        <v>47</v>
      </c>
      <c r="BK6" s="135">
        <v>-1.5</v>
      </c>
      <c r="BL6" s="135">
        <v>24.25</v>
      </c>
    </row>
    <row r="7" spans="1:64" x14ac:dyDescent="0.3">
      <c r="A7" s="135">
        <v>2016</v>
      </c>
      <c r="B7" s="135">
        <v>4</v>
      </c>
      <c r="C7" s="135" t="s">
        <v>14</v>
      </c>
      <c r="D7" s="135" t="s">
        <v>833</v>
      </c>
      <c r="E7" s="135" t="s">
        <v>1408</v>
      </c>
      <c r="F7" s="135" t="s">
        <v>14</v>
      </c>
      <c r="G7" s="135" t="s">
        <v>2310</v>
      </c>
      <c r="H7" s="135"/>
      <c r="I7" s="135"/>
      <c r="J7" s="135"/>
      <c r="K7" s="135"/>
      <c r="L7" s="135"/>
      <c r="M7" s="135"/>
      <c r="N7" s="135"/>
      <c r="O7" s="135"/>
      <c r="P7" s="135"/>
      <c r="Q7" s="135"/>
      <c r="R7" s="135"/>
      <c r="S7" s="135"/>
      <c r="T7" s="135"/>
      <c r="U7" s="135"/>
      <c r="V7" s="135"/>
      <c r="W7" s="135"/>
      <c r="X7" s="135"/>
      <c r="Y7" s="135"/>
      <c r="Z7" s="135">
        <v>5.8</v>
      </c>
      <c r="AA7" s="135">
        <v>2500</v>
      </c>
      <c r="AB7" s="135">
        <v>428.5</v>
      </c>
      <c r="AC7" s="135">
        <v>2.33</v>
      </c>
      <c r="AD7" s="135">
        <v>5.8</v>
      </c>
      <c r="AE7" s="135">
        <v>5000</v>
      </c>
      <c r="AF7" s="135">
        <v>857</v>
      </c>
      <c r="AG7" s="135">
        <v>1.17</v>
      </c>
      <c r="AH7" s="135">
        <v>5.8</v>
      </c>
      <c r="AI7" s="135">
        <v>2500</v>
      </c>
      <c r="AJ7" s="135">
        <v>428.5</v>
      </c>
      <c r="AK7" s="135">
        <v>2.33</v>
      </c>
      <c r="AL7" s="135">
        <v>5.8</v>
      </c>
      <c r="AM7" s="135">
        <v>4200</v>
      </c>
      <c r="AN7" s="135">
        <v>719.9</v>
      </c>
      <c r="AO7" s="135">
        <v>1.39</v>
      </c>
      <c r="AP7" s="135">
        <v>5.8</v>
      </c>
      <c r="AQ7" s="135">
        <v>12</v>
      </c>
      <c r="AR7" s="135">
        <v>2.1</v>
      </c>
      <c r="AS7" s="135">
        <v>0.49</v>
      </c>
      <c r="AT7" s="135">
        <v>5.8</v>
      </c>
      <c r="AU7" s="135">
        <v>4900</v>
      </c>
      <c r="AV7" s="135">
        <v>839.9</v>
      </c>
      <c r="AW7" s="135">
        <v>1.19</v>
      </c>
      <c r="AX7" s="135"/>
      <c r="AY7" s="135"/>
      <c r="AZ7" s="135"/>
      <c r="BA7" s="135"/>
      <c r="BB7" s="135"/>
      <c r="BC7" s="135"/>
      <c r="BD7" s="135"/>
      <c r="BE7" s="135"/>
      <c r="BF7" s="135"/>
      <c r="BG7" s="135"/>
      <c r="BH7" s="135"/>
      <c r="BI7" s="135"/>
      <c r="BJ7" s="135">
        <v>45</v>
      </c>
      <c r="BK7" s="135">
        <v>-7</v>
      </c>
      <c r="BL7" s="135">
        <v>26</v>
      </c>
    </row>
    <row r="8" spans="1:64" x14ac:dyDescent="0.3">
      <c r="A8" s="135">
        <v>2016</v>
      </c>
      <c r="B8" s="135">
        <v>4</v>
      </c>
      <c r="C8" s="135" t="s">
        <v>32</v>
      </c>
      <c r="D8" s="135" t="s">
        <v>832</v>
      </c>
      <c r="E8" s="135" t="s">
        <v>1408</v>
      </c>
      <c r="F8" s="135" t="s">
        <v>32</v>
      </c>
      <c r="G8" s="135" t="s">
        <v>4</v>
      </c>
      <c r="H8" s="135"/>
      <c r="I8" s="135"/>
      <c r="J8" s="135"/>
      <c r="K8" s="135"/>
      <c r="L8" s="135"/>
      <c r="M8" s="135"/>
      <c r="N8" s="135"/>
      <c r="O8" s="135"/>
      <c r="P8" s="135"/>
      <c r="Q8" s="135"/>
      <c r="R8" s="135"/>
      <c r="S8" s="135"/>
      <c r="T8" s="135"/>
      <c r="U8" s="135"/>
      <c r="V8" s="135"/>
      <c r="W8" s="135"/>
      <c r="X8" s="135"/>
      <c r="Y8" s="135"/>
      <c r="Z8" s="135">
        <v>6.7</v>
      </c>
      <c r="AA8" s="135">
        <v>2950</v>
      </c>
      <c r="AB8" s="135">
        <v>438.4</v>
      </c>
      <c r="AC8" s="135">
        <v>2.2799999999999998</v>
      </c>
      <c r="AD8" s="135">
        <v>6.7</v>
      </c>
      <c r="AE8" s="135">
        <v>6750</v>
      </c>
      <c r="AF8" s="135">
        <v>1003.1</v>
      </c>
      <c r="AG8" s="135">
        <v>1</v>
      </c>
      <c r="AH8" s="135">
        <v>6.7</v>
      </c>
      <c r="AI8" s="135">
        <v>2400</v>
      </c>
      <c r="AJ8" s="135">
        <v>356.7</v>
      </c>
      <c r="AK8" s="135">
        <v>2.8</v>
      </c>
      <c r="AL8" s="135">
        <v>6.7</v>
      </c>
      <c r="AM8" s="135">
        <v>4400</v>
      </c>
      <c r="AN8" s="135">
        <v>653.9</v>
      </c>
      <c r="AO8" s="135">
        <v>1.53</v>
      </c>
      <c r="AP8" s="135">
        <v>6.7</v>
      </c>
      <c r="AQ8" s="135">
        <v>15</v>
      </c>
      <c r="AR8" s="135">
        <v>2.2000000000000002</v>
      </c>
      <c r="AS8" s="135">
        <v>0.45</v>
      </c>
      <c r="AT8" s="135">
        <v>6.7</v>
      </c>
      <c r="AU8" s="135">
        <v>4600</v>
      </c>
      <c r="AV8" s="135">
        <v>683.6</v>
      </c>
      <c r="AW8" s="135">
        <v>1.46</v>
      </c>
      <c r="AX8" s="135"/>
      <c r="AY8" s="135"/>
      <c r="AZ8" s="135"/>
      <c r="BA8" s="135"/>
      <c r="BB8" s="135"/>
      <c r="BC8" s="135"/>
      <c r="BD8" s="135"/>
      <c r="BE8" s="135"/>
      <c r="BF8" s="135"/>
      <c r="BG8" s="135"/>
      <c r="BH8" s="135"/>
      <c r="BI8" s="135"/>
      <c r="BJ8" s="135">
        <v>41</v>
      </c>
      <c r="BK8" s="135">
        <v>3</v>
      </c>
      <c r="BL8" s="135">
        <v>19</v>
      </c>
    </row>
    <row r="9" spans="1:64" x14ac:dyDescent="0.3">
      <c r="A9" s="135">
        <v>2016</v>
      </c>
      <c r="B9" s="135">
        <v>4</v>
      </c>
      <c r="C9" s="135" t="s">
        <v>20</v>
      </c>
      <c r="D9" s="135" t="s">
        <v>849</v>
      </c>
      <c r="E9" s="135" t="s">
        <v>1408</v>
      </c>
      <c r="F9" s="135" t="s">
        <v>20</v>
      </c>
      <c r="G9" s="135" t="s">
        <v>397</v>
      </c>
      <c r="H9" s="135"/>
      <c r="I9" s="135"/>
      <c r="J9" s="135"/>
      <c r="K9" s="135"/>
      <c r="L9" s="135"/>
      <c r="M9" s="135"/>
      <c r="N9" s="135"/>
      <c r="O9" s="135"/>
      <c r="P9" s="135"/>
      <c r="Q9" s="135"/>
      <c r="R9" s="135"/>
      <c r="S9" s="135"/>
      <c r="T9" s="135"/>
      <c r="U9" s="135"/>
      <c r="V9" s="135"/>
      <c r="W9" s="135"/>
      <c r="X9" s="135"/>
      <c r="Y9" s="135"/>
      <c r="Z9" s="135">
        <v>7.5</v>
      </c>
      <c r="AA9" s="135">
        <v>2850</v>
      </c>
      <c r="AB9" s="135">
        <v>379.4</v>
      </c>
      <c r="AC9" s="135">
        <v>2.64</v>
      </c>
      <c r="AD9" s="135">
        <v>7.5</v>
      </c>
      <c r="AE9" s="135">
        <v>5000</v>
      </c>
      <c r="AF9" s="135">
        <v>665.6</v>
      </c>
      <c r="AG9" s="135">
        <v>1.5</v>
      </c>
      <c r="AH9" s="135">
        <v>7.5</v>
      </c>
      <c r="AI9" s="135">
        <v>2800</v>
      </c>
      <c r="AJ9" s="135">
        <v>372.7</v>
      </c>
      <c r="AK9" s="135">
        <v>2.68</v>
      </c>
      <c r="AL9" s="135">
        <v>7.5</v>
      </c>
      <c r="AM9" s="135">
        <v>4800</v>
      </c>
      <c r="AN9" s="135">
        <v>639</v>
      </c>
      <c r="AO9" s="135">
        <v>1.57</v>
      </c>
      <c r="AP9" s="135">
        <v>7.5</v>
      </c>
      <c r="AQ9" s="135">
        <v>14</v>
      </c>
      <c r="AR9" s="135">
        <v>1.9</v>
      </c>
      <c r="AS9" s="135">
        <v>0.54</v>
      </c>
      <c r="AT9" s="135">
        <v>7.5</v>
      </c>
      <c r="AU9" s="135">
        <v>5500</v>
      </c>
      <c r="AV9" s="135">
        <v>732.2</v>
      </c>
      <c r="AW9" s="135">
        <v>1.37</v>
      </c>
      <c r="AX9" s="135"/>
      <c r="AY9" s="135"/>
      <c r="AZ9" s="135"/>
      <c r="BA9" s="135"/>
      <c r="BB9" s="135"/>
      <c r="BC9" s="135"/>
      <c r="BD9" s="135"/>
      <c r="BE9" s="135"/>
      <c r="BF9" s="135"/>
      <c r="BG9" s="135"/>
      <c r="BH9" s="135"/>
      <c r="BI9" s="135"/>
      <c r="BJ9" s="135">
        <v>43</v>
      </c>
      <c r="BK9" s="135">
        <v>3</v>
      </c>
      <c r="BL9" s="135">
        <v>20</v>
      </c>
    </row>
    <row r="10" spans="1:64" x14ac:dyDescent="0.3">
      <c r="A10" s="135">
        <v>2016</v>
      </c>
      <c r="B10" s="135">
        <v>4</v>
      </c>
      <c r="C10" s="135" t="s">
        <v>16</v>
      </c>
      <c r="D10" s="135" t="s">
        <v>840</v>
      </c>
      <c r="E10" s="135" t="s">
        <v>1408</v>
      </c>
      <c r="F10" s="135" t="s">
        <v>16</v>
      </c>
      <c r="G10" s="135" t="s">
        <v>1980</v>
      </c>
      <c r="H10" s="135"/>
      <c r="I10" s="135"/>
      <c r="J10" s="135"/>
      <c r="K10" s="135"/>
      <c r="L10" s="135"/>
      <c r="M10" s="135"/>
      <c r="N10" s="135"/>
      <c r="O10" s="135"/>
      <c r="P10" s="135"/>
      <c r="Q10" s="135"/>
      <c r="R10" s="135"/>
      <c r="S10" s="135"/>
      <c r="T10" s="135"/>
      <c r="U10" s="135"/>
      <c r="V10" s="135"/>
      <c r="W10" s="135"/>
      <c r="X10" s="135"/>
      <c r="Y10" s="135"/>
      <c r="Z10" s="135">
        <v>7.4</v>
      </c>
      <c r="AA10" s="135">
        <v>2500</v>
      </c>
      <c r="AB10" s="135">
        <v>336.7</v>
      </c>
      <c r="AC10" s="135">
        <v>2.97</v>
      </c>
      <c r="AD10" s="135">
        <v>7.4</v>
      </c>
      <c r="AE10" s="135">
        <v>5450</v>
      </c>
      <c r="AF10" s="135">
        <v>733.9</v>
      </c>
      <c r="AG10" s="135">
        <v>1.36</v>
      </c>
      <c r="AH10" s="135">
        <v>7.4</v>
      </c>
      <c r="AI10" s="135">
        <v>2200</v>
      </c>
      <c r="AJ10" s="135">
        <v>296.3</v>
      </c>
      <c r="AK10" s="135">
        <v>3.38</v>
      </c>
      <c r="AL10" s="135">
        <v>7.4</v>
      </c>
      <c r="AM10" s="135">
        <v>4500</v>
      </c>
      <c r="AN10" s="135">
        <v>606</v>
      </c>
      <c r="AO10" s="135">
        <v>1.65</v>
      </c>
      <c r="AP10" s="135">
        <v>7.4</v>
      </c>
      <c r="AQ10" s="135">
        <v>12</v>
      </c>
      <c r="AR10" s="135">
        <v>1.6</v>
      </c>
      <c r="AS10" s="135">
        <v>0.62</v>
      </c>
      <c r="AT10" s="135">
        <v>7.4</v>
      </c>
      <c r="AU10" s="135">
        <v>4200</v>
      </c>
      <c r="AV10" s="135">
        <v>565.6</v>
      </c>
      <c r="AW10" s="135">
        <v>1.77</v>
      </c>
      <c r="AX10" s="135"/>
      <c r="AY10" s="135"/>
      <c r="AZ10" s="135"/>
      <c r="BA10" s="135"/>
      <c r="BB10" s="135"/>
      <c r="BC10" s="135"/>
      <c r="BD10" s="135"/>
      <c r="BE10" s="135"/>
      <c r="BF10" s="135"/>
      <c r="BG10" s="135"/>
      <c r="BH10" s="135"/>
      <c r="BI10" s="135"/>
      <c r="BJ10" s="135">
        <v>42</v>
      </c>
      <c r="BK10" s="135">
        <v>4.5</v>
      </c>
      <c r="BL10" s="135">
        <v>18.75</v>
      </c>
    </row>
    <row r="11" spans="1:64" x14ac:dyDescent="0.3">
      <c r="A11" s="135">
        <v>2016</v>
      </c>
      <c r="B11" s="135">
        <v>4</v>
      </c>
      <c r="C11" s="135" t="s">
        <v>12</v>
      </c>
      <c r="D11" s="135" t="s">
        <v>834</v>
      </c>
      <c r="E11" s="135" t="s">
        <v>1408</v>
      </c>
      <c r="F11" s="135" t="s">
        <v>12</v>
      </c>
      <c r="G11" s="135" t="s">
        <v>16</v>
      </c>
      <c r="H11" s="135"/>
      <c r="I11" s="135"/>
      <c r="J11" s="135"/>
      <c r="K11" s="135"/>
      <c r="L11" s="135"/>
      <c r="M11" s="135"/>
      <c r="N11" s="135"/>
      <c r="O11" s="135"/>
      <c r="P11" s="135"/>
      <c r="Q11" s="135"/>
      <c r="R11" s="135"/>
      <c r="S11" s="135"/>
      <c r="T11" s="135"/>
      <c r="U11" s="135"/>
      <c r="V11" s="135"/>
      <c r="W11" s="135"/>
      <c r="X11" s="135"/>
      <c r="Y11" s="135"/>
      <c r="Z11" s="135">
        <v>6.4</v>
      </c>
      <c r="AA11" s="135">
        <v>2500</v>
      </c>
      <c r="AB11" s="135">
        <v>389.3</v>
      </c>
      <c r="AC11" s="135">
        <v>2.57</v>
      </c>
      <c r="AD11" s="135">
        <v>6.4</v>
      </c>
      <c r="AE11" s="135">
        <v>5000</v>
      </c>
      <c r="AF11" s="135">
        <v>778.7</v>
      </c>
      <c r="AG11" s="135">
        <v>1.28</v>
      </c>
      <c r="AH11" s="135">
        <v>6.4</v>
      </c>
      <c r="AI11" s="135">
        <v>2400</v>
      </c>
      <c r="AJ11" s="135">
        <v>373.8</v>
      </c>
      <c r="AK11" s="135">
        <v>2.68</v>
      </c>
      <c r="AL11" s="135">
        <v>6.4</v>
      </c>
      <c r="AM11" s="135">
        <v>4000</v>
      </c>
      <c r="AN11" s="135">
        <v>623</v>
      </c>
      <c r="AO11" s="135">
        <v>1.61</v>
      </c>
      <c r="AP11" s="135">
        <v>6.4</v>
      </c>
      <c r="AQ11" s="135">
        <v>10</v>
      </c>
      <c r="AR11" s="135">
        <v>1.6</v>
      </c>
      <c r="AS11" s="135">
        <v>0.64</v>
      </c>
      <c r="AT11" s="135">
        <v>6.4</v>
      </c>
      <c r="AU11" s="135">
        <v>4600</v>
      </c>
      <c r="AV11" s="135">
        <v>716.4</v>
      </c>
      <c r="AW11" s="135">
        <v>1.4</v>
      </c>
      <c r="AX11" s="135"/>
      <c r="AY11" s="135"/>
      <c r="AZ11" s="135"/>
      <c r="BA11" s="135"/>
      <c r="BB11" s="135"/>
      <c r="BC11" s="135"/>
      <c r="BD11" s="135"/>
      <c r="BE11" s="135"/>
      <c r="BF11" s="135"/>
      <c r="BG11" s="135"/>
      <c r="BH11" s="135"/>
      <c r="BI11" s="135"/>
      <c r="BJ11" s="135">
        <v>53.5</v>
      </c>
      <c r="BK11" s="135">
        <v>-3</v>
      </c>
      <c r="BL11" s="135">
        <v>28.25</v>
      </c>
    </row>
    <row r="12" spans="1:64" x14ac:dyDescent="0.3">
      <c r="A12" s="135">
        <v>2016</v>
      </c>
      <c r="B12" s="135">
        <v>4</v>
      </c>
      <c r="C12" s="135" t="s">
        <v>43</v>
      </c>
      <c r="D12" s="135" t="s">
        <v>858</v>
      </c>
      <c r="E12" s="135" t="s">
        <v>1408</v>
      </c>
      <c r="F12" s="135" t="s">
        <v>43</v>
      </c>
      <c r="G12" s="135" t="s">
        <v>30</v>
      </c>
      <c r="H12" s="135"/>
      <c r="I12" s="135"/>
      <c r="J12" s="135"/>
      <c r="K12" s="135"/>
      <c r="L12" s="135"/>
      <c r="M12" s="135"/>
      <c r="N12" s="135"/>
      <c r="O12" s="135"/>
      <c r="P12" s="135"/>
      <c r="Q12" s="135"/>
      <c r="R12" s="135"/>
      <c r="S12" s="135"/>
      <c r="T12" s="135"/>
      <c r="U12" s="135"/>
      <c r="V12" s="135"/>
      <c r="W12" s="135"/>
      <c r="X12" s="135"/>
      <c r="Y12" s="135"/>
      <c r="Z12" s="135">
        <v>7.8</v>
      </c>
      <c r="AA12" s="135">
        <v>3100</v>
      </c>
      <c r="AB12" s="135">
        <v>397.6</v>
      </c>
      <c r="AC12" s="135">
        <v>2.5099999999999998</v>
      </c>
      <c r="AD12" s="135">
        <v>8.1999999999999993</v>
      </c>
      <c r="AE12" s="135">
        <v>8500</v>
      </c>
      <c r="AF12" s="135">
        <v>1033.9000000000001</v>
      </c>
      <c r="AG12" s="135">
        <v>0.97</v>
      </c>
      <c r="AH12" s="135">
        <v>8.1999999999999993</v>
      </c>
      <c r="AI12" s="135">
        <v>3200</v>
      </c>
      <c r="AJ12" s="135">
        <v>389.2</v>
      </c>
      <c r="AK12" s="135">
        <v>2.57</v>
      </c>
      <c r="AL12" s="135">
        <v>8.1999999999999993</v>
      </c>
      <c r="AM12" s="135">
        <v>4900</v>
      </c>
      <c r="AN12" s="135">
        <v>596</v>
      </c>
      <c r="AO12" s="135">
        <v>1.68</v>
      </c>
      <c r="AP12" s="135">
        <v>8.1999999999999993</v>
      </c>
      <c r="AQ12" s="135">
        <v>16</v>
      </c>
      <c r="AR12" s="135">
        <v>1.9</v>
      </c>
      <c r="AS12" s="135">
        <v>0.51</v>
      </c>
      <c r="AT12" s="135">
        <v>8.1999999999999993</v>
      </c>
      <c r="AU12" s="135">
        <v>6300</v>
      </c>
      <c r="AV12" s="135">
        <v>766.3</v>
      </c>
      <c r="AW12" s="135">
        <v>1.3</v>
      </c>
      <c r="AX12" s="135"/>
      <c r="AY12" s="135"/>
      <c r="AZ12" s="135"/>
      <c r="BA12" s="135"/>
      <c r="BB12" s="135"/>
      <c r="BC12" s="135"/>
      <c r="BD12" s="135"/>
      <c r="BE12" s="135"/>
      <c r="BF12" s="135"/>
      <c r="BG12" s="135"/>
      <c r="BH12" s="135"/>
      <c r="BI12" s="135"/>
      <c r="BJ12" s="135">
        <v>47</v>
      </c>
      <c r="BK12" s="135">
        <v>4.5</v>
      </c>
      <c r="BL12" s="135">
        <v>21.25</v>
      </c>
    </row>
    <row r="13" spans="1:64" x14ac:dyDescent="0.3">
      <c r="A13" s="135">
        <v>2016</v>
      </c>
      <c r="B13" s="135">
        <v>4</v>
      </c>
      <c r="C13" s="135" t="s">
        <v>30</v>
      </c>
      <c r="D13" s="135" t="s">
        <v>836</v>
      </c>
      <c r="E13" s="135" t="s">
        <v>1408</v>
      </c>
      <c r="F13" s="135" t="s">
        <v>30</v>
      </c>
      <c r="G13" s="135" t="s">
        <v>2302</v>
      </c>
      <c r="H13" s="135"/>
      <c r="I13" s="135"/>
      <c r="J13" s="135"/>
      <c r="K13" s="135"/>
      <c r="L13" s="135"/>
      <c r="M13" s="135"/>
      <c r="N13" s="135"/>
      <c r="O13" s="135"/>
      <c r="P13" s="135"/>
      <c r="Q13" s="135"/>
      <c r="R13" s="135"/>
      <c r="S13" s="135"/>
      <c r="T13" s="135"/>
      <c r="U13" s="135"/>
      <c r="V13" s="135"/>
      <c r="W13" s="135"/>
      <c r="X13" s="135"/>
      <c r="Y13" s="135"/>
      <c r="Z13" s="135">
        <v>6.3</v>
      </c>
      <c r="AA13" s="135">
        <v>2850</v>
      </c>
      <c r="AB13" s="135">
        <v>450.5</v>
      </c>
      <c r="AC13" s="135">
        <v>2.2200000000000002</v>
      </c>
      <c r="AD13" s="135">
        <v>6.3</v>
      </c>
      <c r="AE13" s="135">
        <v>5500</v>
      </c>
      <c r="AF13" s="135">
        <v>869.3</v>
      </c>
      <c r="AG13" s="135">
        <v>1.1499999999999999</v>
      </c>
      <c r="AH13" s="135">
        <v>6.3</v>
      </c>
      <c r="AI13" s="135">
        <v>2400</v>
      </c>
      <c r="AJ13" s="135">
        <v>379.3</v>
      </c>
      <c r="AK13" s="135">
        <v>2.64</v>
      </c>
      <c r="AL13" s="135">
        <v>6.3</v>
      </c>
      <c r="AM13" s="135">
        <v>4100</v>
      </c>
      <c r="AN13" s="135">
        <v>648</v>
      </c>
      <c r="AO13" s="135">
        <v>1.54</v>
      </c>
      <c r="AP13" s="135">
        <v>6.3</v>
      </c>
      <c r="AQ13" s="135">
        <v>13</v>
      </c>
      <c r="AR13" s="135">
        <v>2.1</v>
      </c>
      <c r="AS13" s="135">
        <v>0.49</v>
      </c>
      <c r="AT13" s="135">
        <v>6.3</v>
      </c>
      <c r="AU13" s="135">
        <v>4600</v>
      </c>
      <c r="AV13" s="135">
        <v>727</v>
      </c>
      <c r="AW13" s="135">
        <v>1.38</v>
      </c>
      <c r="AX13" s="135"/>
      <c r="AY13" s="135"/>
      <c r="AZ13" s="135"/>
      <c r="BA13" s="135"/>
      <c r="BB13" s="135"/>
      <c r="BC13" s="135"/>
      <c r="BD13" s="135"/>
      <c r="BE13" s="135"/>
      <c r="BF13" s="135"/>
      <c r="BG13" s="135"/>
      <c r="BH13" s="135"/>
      <c r="BI13" s="135"/>
      <c r="BJ13" s="135">
        <v>48</v>
      </c>
      <c r="BK13" s="135">
        <v>-7.5</v>
      </c>
      <c r="BL13" s="135">
        <v>27.75</v>
      </c>
    </row>
    <row r="14" spans="1:64" x14ac:dyDescent="0.3">
      <c r="A14" s="135">
        <v>2016</v>
      </c>
      <c r="B14" s="135">
        <v>4</v>
      </c>
      <c r="C14" s="135" t="s">
        <v>70</v>
      </c>
      <c r="D14" s="135" t="s">
        <v>851</v>
      </c>
      <c r="E14" s="135" t="s">
        <v>1408</v>
      </c>
      <c r="F14" s="135" t="s">
        <v>70</v>
      </c>
      <c r="G14" s="135" t="s">
        <v>2005</v>
      </c>
      <c r="H14" s="135"/>
      <c r="I14" s="135"/>
      <c r="J14" s="135"/>
      <c r="K14" s="135"/>
      <c r="L14" s="135"/>
      <c r="M14" s="135"/>
      <c r="N14" s="135"/>
      <c r="O14" s="135"/>
      <c r="P14" s="135"/>
      <c r="Q14" s="135"/>
      <c r="R14" s="135"/>
      <c r="S14" s="135"/>
      <c r="T14" s="135"/>
      <c r="U14" s="135"/>
      <c r="V14" s="135"/>
      <c r="W14" s="135"/>
      <c r="X14" s="135"/>
      <c r="Y14" s="135"/>
      <c r="Z14" s="135">
        <v>8.5</v>
      </c>
      <c r="AA14" s="135">
        <v>3150</v>
      </c>
      <c r="AB14" s="135">
        <v>370</v>
      </c>
      <c r="AC14" s="135">
        <v>2.7</v>
      </c>
      <c r="AD14" s="135">
        <v>8.5</v>
      </c>
      <c r="AE14" s="135">
        <v>9500</v>
      </c>
      <c r="AF14" s="135">
        <v>1115.9000000000001</v>
      </c>
      <c r="AG14" s="135">
        <v>0.9</v>
      </c>
      <c r="AH14" s="135">
        <v>8.5</v>
      </c>
      <c r="AI14" s="135">
        <v>3700</v>
      </c>
      <c r="AJ14" s="135">
        <v>434.6</v>
      </c>
      <c r="AK14" s="135">
        <v>2.2999999999999998</v>
      </c>
      <c r="AL14" s="135">
        <v>8.5</v>
      </c>
      <c r="AM14" s="135">
        <v>5200</v>
      </c>
      <c r="AN14" s="135">
        <v>610.79999999999995</v>
      </c>
      <c r="AO14" s="135">
        <v>1.64</v>
      </c>
      <c r="AP14" s="135">
        <v>8.5</v>
      </c>
      <c r="AQ14" s="135">
        <v>17</v>
      </c>
      <c r="AR14" s="135">
        <v>2</v>
      </c>
      <c r="AS14" s="135">
        <v>0.5</v>
      </c>
      <c r="AT14" s="135">
        <v>8.5</v>
      </c>
      <c r="AU14" s="135">
        <v>7300</v>
      </c>
      <c r="AV14" s="135">
        <v>857.5</v>
      </c>
      <c r="AW14" s="135">
        <v>1.17</v>
      </c>
      <c r="AX14" s="135"/>
      <c r="AY14" s="135"/>
      <c r="AZ14" s="135"/>
      <c r="BA14" s="135"/>
      <c r="BB14" s="135"/>
      <c r="BC14" s="135"/>
      <c r="BD14" s="135"/>
      <c r="BE14" s="135"/>
      <c r="BF14" s="135"/>
      <c r="BG14" s="135"/>
      <c r="BH14" s="135"/>
      <c r="BI14" s="135"/>
      <c r="BJ14" s="135">
        <v>42</v>
      </c>
      <c r="BK14" s="135">
        <v>-4.5</v>
      </c>
      <c r="BL14" s="135">
        <v>23.25</v>
      </c>
    </row>
    <row r="15" spans="1:64" x14ac:dyDescent="0.3">
      <c r="A15" s="135">
        <v>2016</v>
      </c>
      <c r="B15" s="135">
        <v>4</v>
      </c>
      <c r="C15" s="135" t="s">
        <v>407</v>
      </c>
      <c r="D15" s="135" t="s">
        <v>853</v>
      </c>
      <c r="E15" s="135" t="s">
        <v>1408</v>
      </c>
      <c r="F15" s="135" t="s">
        <v>407</v>
      </c>
      <c r="G15" s="135" t="s">
        <v>404</v>
      </c>
      <c r="H15" s="135"/>
      <c r="I15" s="135"/>
      <c r="J15" s="135"/>
      <c r="K15" s="135"/>
      <c r="L15" s="135"/>
      <c r="M15" s="135"/>
      <c r="N15" s="135"/>
      <c r="O15" s="135"/>
      <c r="P15" s="135"/>
      <c r="Q15" s="135"/>
      <c r="R15" s="135"/>
      <c r="S15" s="135"/>
      <c r="T15" s="135"/>
      <c r="U15" s="135"/>
      <c r="V15" s="135"/>
      <c r="W15" s="135"/>
      <c r="X15" s="135"/>
      <c r="Y15" s="135"/>
      <c r="Z15" s="135">
        <v>6.4</v>
      </c>
      <c r="AA15" s="135">
        <v>2500</v>
      </c>
      <c r="AB15" s="135">
        <v>391.2</v>
      </c>
      <c r="AC15" s="135">
        <v>2.56</v>
      </c>
      <c r="AD15" s="135">
        <v>6.4</v>
      </c>
      <c r="AE15" s="135">
        <v>5050</v>
      </c>
      <c r="AF15" s="135">
        <v>790.3</v>
      </c>
      <c r="AG15" s="135">
        <v>1.27</v>
      </c>
      <c r="AH15" s="135">
        <v>6.4</v>
      </c>
      <c r="AI15" s="135">
        <v>2300</v>
      </c>
      <c r="AJ15" s="135">
        <v>359.9</v>
      </c>
      <c r="AK15" s="135">
        <v>2.78</v>
      </c>
      <c r="AL15" s="135">
        <v>6.4</v>
      </c>
      <c r="AM15" s="135">
        <v>4300</v>
      </c>
      <c r="AN15" s="135">
        <v>672.9</v>
      </c>
      <c r="AO15" s="135">
        <v>1.49</v>
      </c>
      <c r="AP15" s="135">
        <v>6.4</v>
      </c>
      <c r="AQ15" s="135">
        <v>14</v>
      </c>
      <c r="AR15" s="135">
        <v>2.2000000000000002</v>
      </c>
      <c r="AS15" s="135">
        <v>0.46</v>
      </c>
      <c r="AT15" s="135">
        <v>6.4</v>
      </c>
      <c r="AU15" s="135">
        <v>4600</v>
      </c>
      <c r="AV15" s="135">
        <v>719.9</v>
      </c>
      <c r="AW15" s="135">
        <v>1.39</v>
      </c>
      <c r="AX15" s="135"/>
      <c r="AY15" s="135"/>
      <c r="AZ15" s="135"/>
      <c r="BA15" s="135"/>
      <c r="BB15" s="135"/>
      <c r="BC15" s="135"/>
      <c r="BD15" s="135"/>
      <c r="BE15" s="135"/>
      <c r="BF15" s="135"/>
      <c r="BG15" s="135"/>
      <c r="BH15" s="135"/>
      <c r="BI15" s="135"/>
      <c r="BJ15" s="135">
        <v>43</v>
      </c>
      <c r="BK15" s="135">
        <v>-3</v>
      </c>
      <c r="BL15" s="135">
        <v>23</v>
      </c>
    </row>
    <row r="16" spans="1:64" x14ac:dyDescent="0.3">
      <c r="A16" s="135">
        <v>2016</v>
      </c>
      <c r="B16" s="135">
        <v>4</v>
      </c>
      <c r="C16" s="135" t="s">
        <v>397</v>
      </c>
      <c r="D16" s="135" t="s">
        <v>850</v>
      </c>
      <c r="E16" s="135" t="s">
        <v>1408</v>
      </c>
      <c r="F16" s="135" t="s">
        <v>397</v>
      </c>
      <c r="G16" s="135" t="s">
        <v>2307</v>
      </c>
      <c r="H16" s="135"/>
      <c r="I16" s="135"/>
      <c r="J16" s="135"/>
      <c r="K16" s="135"/>
      <c r="L16" s="135"/>
      <c r="M16" s="135"/>
      <c r="N16" s="135"/>
      <c r="O16" s="135"/>
      <c r="P16" s="135"/>
      <c r="Q16" s="135"/>
      <c r="R16" s="135"/>
      <c r="S16" s="135"/>
      <c r="T16" s="135"/>
      <c r="U16" s="135"/>
      <c r="V16" s="135"/>
      <c r="W16" s="135"/>
      <c r="X16" s="135"/>
      <c r="Y16" s="135"/>
      <c r="Z16" s="135">
        <v>6.8</v>
      </c>
      <c r="AA16" s="135">
        <v>2900</v>
      </c>
      <c r="AB16" s="135">
        <v>427.1</v>
      </c>
      <c r="AC16" s="135">
        <v>2.34</v>
      </c>
      <c r="AD16" s="135">
        <v>6.8</v>
      </c>
      <c r="AE16" s="135">
        <v>6650</v>
      </c>
      <c r="AF16" s="135">
        <v>979.4</v>
      </c>
      <c r="AG16" s="135">
        <v>1.02</v>
      </c>
      <c r="AH16" s="135">
        <v>6.8</v>
      </c>
      <c r="AI16" s="135">
        <v>3000</v>
      </c>
      <c r="AJ16" s="135">
        <v>441.8</v>
      </c>
      <c r="AK16" s="135">
        <v>2.2599999999999998</v>
      </c>
      <c r="AL16" s="135">
        <v>6.8</v>
      </c>
      <c r="AM16" s="135">
        <v>4400</v>
      </c>
      <c r="AN16" s="135">
        <v>648</v>
      </c>
      <c r="AO16" s="135">
        <v>1.54</v>
      </c>
      <c r="AP16" s="135">
        <v>6.8</v>
      </c>
      <c r="AQ16" s="135">
        <v>14</v>
      </c>
      <c r="AR16" s="135">
        <v>2.1</v>
      </c>
      <c r="AS16" s="135">
        <v>0.49</v>
      </c>
      <c r="AT16" s="135">
        <v>6.8</v>
      </c>
      <c r="AU16" s="135">
        <v>5900</v>
      </c>
      <c r="AV16" s="135">
        <v>868.9</v>
      </c>
      <c r="AW16" s="135">
        <v>1.1499999999999999</v>
      </c>
      <c r="AX16" s="135"/>
      <c r="AY16" s="135"/>
      <c r="AZ16" s="135"/>
      <c r="BA16" s="135"/>
      <c r="BB16" s="135"/>
      <c r="BC16" s="135"/>
      <c r="BD16" s="135"/>
      <c r="BE16" s="135"/>
      <c r="BF16" s="135"/>
      <c r="BG16" s="135"/>
      <c r="BH16" s="135"/>
      <c r="BI16" s="135"/>
      <c r="BJ16" s="135">
        <v>53.5</v>
      </c>
      <c r="BK16" s="135">
        <v>3</v>
      </c>
      <c r="BL16" s="135">
        <v>25.25</v>
      </c>
    </row>
    <row r="17" spans="1:64" x14ac:dyDescent="0.3">
      <c r="A17" s="135">
        <v>2016</v>
      </c>
      <c r="B17" s="135">
        <v>4</v>
      </c>
      <c r="C17" s="135" t="s">
        <v>4</v>
      </c>
      <c r="D17" s="135" t="s">
        <v>835</v>
      </c>
      <c r="E17" s="135" t="s">
        <v>1408</v>
      </c>
      <c r="F17" s="135" t="s">
        <v>4</v>
      </c>
      <c r="G17" s="135" t="s">
        <v>2297</v>
      </c>
      <c r="H17" s="135"/>
      <c r="I17" s="135"/>
      <c r="J17" s="135"/>
      <c r="K17" s="135"/>
      <c r="L17" s="135"/>
      <c r="M17" s="135"/>
      <c r="N17" s="135"/>
      <c r="O17" s="135"/>
      <c r="P17" s="135"/>
      <c r="Q17" s="135"/>
      <c r="R17" s="135"/>
      <c r="S17" s="135"/>
      <c r="T17" s="135"/>
      <c r="U17" s="135"/>
      <c r="V17" s="135"/>
      <c r="W17" s="135"/>
      <c r="X17" s="135"/>
      <c r="Y17" s="135"/>
      <c r="Z17" s="135">
        <v>6.2</v>
      </c>
      <c r="AA17" s="135">
        <v>2500</v>
      </c>
      <c r="AB17" s="135">
        <v>405.9</v>
      </c>
      <c r="AC17" s="135">
        <v>2.46</v>
      </c>
      <c r="AD17" s="135">
        <v>6.2</v>
      </c>
      <c r="AE17" s="135">
        <v>6400</v>
      </c>
      <c r="AF17" s="135">
        <v>1039.0999999999999</v>
      </c>
      <c r="AG17" s="135">
        <v>0.96</v>
      </c>
      <c r="AH17" s="135">
        <v>6.2</v>
      </c>
      <c r="AI17" s="135">
        <v>2700</v>
      </c>
      <c r="AJ17" s="135">
        <v>438.4</v>
      </c>
      <c r="AK17" s="135">
        <v>2.2799999999999998</v>
      </c>
      <c r="AL17" s="135">
        <v>6.2</v>
      </c>
      <c r="AM17" s="135">
        <v>4500</v>
      </c>
      <c r="AN17" s="135">
        <v>730.6</v>
      </c>
      <c r="AO17" s="135">
        <v>1.37</v>
      </c>
      <c r="AP17" s="135">
        <v>6.2</v>
      </c>
      <c r="AQ17" s="135">
        <v>10</v>
      </c>
      <c r="AR17" s="135">
        <v>1.6</v>
      </c>
      <c r="AS17" s="135">
        <v>0.62</v>
      </c>
      <c r="AT17" s="135">
        <v>6.2</v>
      </c>
      <c r="AU17" s="135">
        <v>5300</v>
      </c>
      <c r="AV17" s="135">
        <v>860.5</v>
      </c>
      <c r="AW17" s="135">
        <v>1.1599999999999999</v>
      </c>
      <c r="AX17" s="135"/>
      <c r="AY17" s="135"/>
      <c r="AZ17" s="135"/>
      <c r="BA17" s="135"/>
      <c r="BB17" s="135"/>
      <c r="BC17" s="135"/>
      <c r="BD17" s="135"/>
      <c r="BE17" s="135"/>
      <c r="BF17" s="135"/>
      <c r="BG17" s="135"/>
      <c r="BH17" s="135"/>
      <c r="BI17" s="135"/>
      <c r="BJ17" s="135">
        <v>52</v>
      </c>
      <c r="BK17" s="135">
        <v>-3</v>
      </c>
      <c r="BL17" s="135">
        <v>27.5</v>
      </c>
    </row>
    <row r="18" spans="1:64" x14ac:dyDescent="0.3">
      <c r="A18" s="135">
        <v>2016</v>
      </c>
      <c r="B18" s="135">
        <v>4</v>
      </c>
      <c r="C18" s="135" t="s">
        <v>52</v>
      </c>
      <c r="D18" s="135" t="s">
        <v>846</v>
      </c>
      <c r="E18" s="135" t="s">
        <v>1408</v>
      </c>
      <c r="F18" s="135" t="s">
        <v>52</v>
      </c>
      <c r="G18" s="135" t="s">
        <v>2309</v>
      </c>
      <c r="H18" s="135"/>
      <c r="I18" s="135"/>
      <c r="J18" s="135"/>
      <c r="K18" s="135"/>
      <c r="L18" s="135"/>
      <c r="M18" s="135"/>
      <c r="N18" s="135"/>
      <c r="O18" s="135"/>
      <c r="P18" s="135"/>
      <c r="Q18" s="135"/>
      <c r="R18" s="135"/>
      <c r="S18" s="135"/>
      <c r="T18" s="135"/>
      <c r="U18" s="135"/>
      <c r="V18" s="135"/>
      <c r="W18" s="135"/>
      <c r="X18" s="135"/>
      <c r="Y18" s="135"/>
      <c r="Z18" s="135">
        <v>6.6</v>
      </c>
      <c r="AA18" s="135">
        <v>2700</v>
      </c>
      <c r="AB18" s="135">
        <v>406.6</v>
      </c>
      <c r="AC18" s="135">
        <v>2.46</v>
      </c>
      <c r="AD18" s="135">
        <v>6.6</v>
      </c>
      <c r="AE18" s="135">
        <v>5350</v>
      </c>
      <c r="AF18" s="135">
        <v>805.7</v>
      </c>
      <c r="AG18" s="135">
        <v>1.24</v>
      </c>
      <c r="AH18" s="135">
        <v>6.6</v>
      </c>
      <c r="AI18" s="135">
        <v>2900</v>
      </c>
      <c r="AJ18" s="135">
        <v>436.7</v>
      </c>
      <c r="AK18" s="135">
        <v>2.29</v>
      </c>
      <c r="AL18" s="135">
        <v>6.6</v>
      </c>
      <c r="AM18" s="135">
        <v>4700</v>
      </c>
      <c r="AN18" s="135">
        <v>707.8</v>
      </c>
      <c r="AO18" s="135">
        <v>1.41</v>
      </c>
      <c r="AP18" s="135">
        <v>6.6</v>
      </c>
      <c r="AQ18" s="135">
        <v>15</v>
      </c>
      <c r="AR18" s="135">
        <v>2.2999999999999998</v>
      </c>
      <c r="AS18" s="135">
        <v>0.44</v>
      </c>
      <c r="AT18" s="135">
        <v>6.6</v>
      </c>
      <c r="AU18" s="135">
        <v>5700</v>
      </c>
      <c r="AV18" s="135">
        <v>858.4</v>
      </c>
      <c r="AW18" s="135">
        <v>1.1599999999999999</v>
      </c>
      <c r="AX18" s="135"/>
      <c r="AY18" s="135"/>
      <c r="AZ18" s="135"/>
      <c r="BA18" s="135"/>
      <c r="BB18" s="135"/>
      <c r="BC18" s="135"/>
      <c r="BD18" s="135"/>
      <c r="BE18" s="135"/>
      <c r="BF18" s="135"/>
      <c r="BG18" s="135"/>
      <c r="BH18" s="135"/>
      <c r="BI18" s="135"/>
      <c r="BJ18" s="135">
        <v>40.5</v>
      </c>
      <c r="BK18" s="135">
        <v>-0.5</v>
      </c>
      <c r="BL18" s="135">
        <v>20.5</v>
      </c>
    </row>
    <row r="19" spans="1:64" x14ac:dyDescent="0.3">
      <c r="A19" s="135">
        <v>2016</v>
      </c>
      <c r="B19" s="135">
        <v>4</v>
      </c>
      <c r="C19" s="135" t="s">
        <v>18</v>
      </c>
      <c r="D19" s="135" t="s">
        <v>838</v>
      </c>
      <c r="E19" s="135" t="s">
        <v>1408</v>
      </c>
      <c r="F19" s="135" t="s">
        <v>18</v>
      </c>
      <c r="G19" s="135" t="s">
        <v>14</v>
      </c>
      <c r="H19" s="135"/>
      <c r="I19" s="135"/>
      <c r="J19" s="135"/>
      <c r="K19" s="135"/>
      <c r="L19" s="135"/>
      <c r="M19" s="135"/>
      <c r="N19" s="135"/>
      <c r="O19" s="135"/>
      <c r="P19" s="135"/>
      <c r="Q19" s="135"/>
      <c r="R19" s="135"/>
      <c r="S19" s="135"/>
      <c r="T19" s="135"/>
      <c r="U19" s="135"/>
      <c r="V19" s="135"/>
      <c r="W19" s="135"/>
      <c r="X19" s="135"/>
      <c r="Y19" s="135"/>
      <c r="Z19" s="135">
        <v>7.2</v>
      </c>
      <c r="AA19" s="135">
        <v>2700</v>
      </c>
      <c r="AB19" s="135">
        <v>373.6</v>
      </c>
      <c r="AC19" s="135">
        <v>2.68</v>
      </c>
      <c r="AD19" s="135">
        <v>7.7</v>
      </c>
      <c r="AE19" s="135">
        <v>5900</v>
      </c>
      <c r="AF19" s="135">
        <v>766.7</v>
      </c>
      <c r="AG19" s="135">
        <v>1.3</v>
      </c>
      <c r="AH19" s="135">
        <v>7.7</v>
      </c>
      <c r="AI19" s="135">
        <v>3500</v>
      </c>
      <c r="AJ19" s="135">
        <v>454.8</v>
      </c>
      <c r="AK19" s="135">
        <v>2.2000000000000002</v>
      </c>
      <c r="AL19" s="135">
        <v>7.7</v>
      </c>
      <c r="AM19" s="135">
        <v>4600</v>
      </c>
      <c r="AN19" s="135">
        <v>597.79999999999995</v>
      </c>
      <c r="AO19" s="135">
        <v>1.67</v>
      </c>
      <c r="AP19" s="135">
        <v>7.7</v>
      </c>
      <c r="AQ19" s="135">
        <v>17</v>
      </c>
      <c r="AR19" s="135">
        <v>2.2000000000000002</v>
      </c>
      <c r="AS19" s="135">
        <v>0.45</v>
      </c>
      <c r="AT19" s="135">
        <v>7.7</v>
      </c>
      <c r="AU19" s="135">
        <v>7000</v>
      </c>
      <c r="AV19" s="135">
        <v>909.7</v>
      </c>
      <c r="AW19" s="135">
        <v>1.1000000000000001</v>
      </c>
      <c r="AX19" s="135"/>
      <c r="AY19" s="135"/>
      <c r="AZ19" s="135"/>
      <c r="BA19" s="135"/>
      <c r="BB19" s="135"/>
      <c r="BC19" s="135"/>
      <c r="BD19" s="135"/>
      <c r="BE19" s="135"/>
      <c r="BF19" s="135"/>
      <c r="BG19" s="135"/>
      <c r="BH19" s="135"/>
      <c r="BI19" s="135"/>
      <c r="BJ19" s="135">
        <v>41.5</v>
      </c>
      <c r="BK19" s="135">
        <v>9.5</v>
      </c>
      <c r="BL19" s="135">
        <v>16</v>
      </c>
    </row>
    <row r="20" spans="1:64" x14ac:dyDescent="0.3">
      <c r="A20" s="135">
        <v>2016</v>
      </c>
      <c r="B20" s="135">
        <v>4</v>
      </c>
      <c r="C20" s="135" t="s">
        <v>46</v>
      </c>
      <c r="D20" s="135" t="s">
        <v>841</v>
      </c>
      <c r="E20" s="135" t="s">
        <v>1408</v>
      </c>
      <c r="F20" s="135" t="s">
        <v>46</v>
      </c>
      <c r="G20" s="135" t="s">
        <v>26</v>
      </c>
      <c r="H20" s="135"/>
      <c r="I20" s="135"/>
      <c r="J20" s="135"/>
      <c r="K20" s="135"/>
      <c r="L20" s="135"/>
      <c r="M20" s="135"/>
      <c r="N20" s="135"/>
      <c r="O20" s="135"/>
      <c r="P20" s="135"/>
      <c r="Q20" s="135"/>
      <c r="R20" s="135"/>
      <c r="S20" s="135"/>
      <c r="T20" s="135"/>
      <c r="U20" s="135"/>
      <c r="V20" s="135"/>
      <c r="W20" s="135"/>
      <c r="X20" s="135"/>
      <c r="Y20" s="135"/>
      <c r="Z20" s="135">
        <v>5.3</v>
      </c>
      <c r="AA20" s="135">
        <v>2500</v>
      </c>
      <c r="AB20" s="135">
        <v>469.7</v>
      </c>
      <c r="AC20" s="135">
        <v>2.13</v>
      </c>
      <c r="AD20" s="135">
        <v>5.3</v>
      </c>
      <c r="AE20" s="135">
        <v>5350</v>
      </c>
      <c r="AF20" s="135">
        <v>1005.1</v>
      </c>
      <c r="AG20" s="135">
        <v>0.99</v>
      </c>
      <c r="AH20" s="135">
        <v>5.3</v>
      </c>
      <c r="AI20" s="135">
        <v>2500</v>
      </c>
      <c r="AJ20" s="135">
        <v>469.7</v>
      </c>
      <c r="AK20" s="135">
        <v>2.13</v>
      </c>
      <c r="AL20" s="135">
        <v>5.3</v>
      </c>
      <c r="AM20" s="135">
        <v>4200</v>
      </c>
      <c r="AN20" s="135">
        <v>789</v>
      </c>
      <c r="AO20" s="135">
        <v>1.27</v>
      </c>
      <c r="AP20" s="135">
        <v>5.3</v>
      </c>
      <c r="AQ20" s="135">
        <v>12</v>
      </c>
      <c r="AR20" s="135">
        <v>2.2999999999999998</v>
      </c>
      <c r="AS20" s="135">
        <v>0.44</v>
      </c>
      <c r="AT20" s="135">
        <v>5.3</v>
      </c>
      <c r="AU20" s="135">
        <v>4900</v>
      </c>
      <c r="AV20" s="135">
        <v>920.5</v>
      </c>
      <c r="AW20" s="135">
        <v>1.0900000000000001</v>
      </c>
      <c r="AX20" s="135"/>
      <c r="AY20" s="135"/>
      <c r="AZ20" s="135"/>
      <c r="BA20" s="135"/>
      <c r="BB20" s="135"/>
      <c r="BC20" s="135"/>
      <c r="BD20" s="135"/>
      <c r="BE20" s="135"/>
      <c r="BF20" s="135"/>
      <c r="BG20" s="135"/>
      <c r="BH20" s="135"/>
      <c r="BI20" s="135"/>
      <c r="BJ20" s="135">
        <v>45</v>
      </c>
      <c r="BK20" s="135">
        <v>7</v>
      </c>
      <c r="BL20" s="135">
        <v>19</v>
      </c>
    </row>
    <row r="21" spans="1:64" x14ac:dyDescent="0.3">
      <c r="A21" s="135">
        <v>2016</v>
      </c>
      <c r="B21" s="135">
        <v>4</v>
      </c>
      <c r="C21" s="135" t="s">
        <v>26</v>
      </c>
      <c r="D21" s="135" t="s">
        <v>839</v>
      </c>
      <c r="E21" s="135" t="s">
        <v>1408</v>
      </c>
      <c r="F21" s="135" t="s">
        <v>26</v>
      </c>
      <c r="G21" s="135" t="s">
        <v>2298</v>
      </c>
      <c r="H21" s="135"/>
      <c r="I21" s="135"/>
      <c r="J21" s="135"/>
      <c r="K21" s="135"/>
      <c r="L21" s="135"/>
      <c r="M21" s="135"/>
      <c r="N21" s="135"/>
      <c r="O21" s="135"/>
      <c r="P21" s="135"/>
      <c r="Q21" s="135"/>
      <c r="R21" s="135"/>
      <c r="S21" s="135"/>
      <c r="T21" s="135"/>
      <c r="U21" s="135"/>
      <c r="V21" s="135"/>
      <c r="W21" s="135"/>
      <c r="X21" s="135"/>
      <c r="Y21" s="135"/>
      <c r="Z21" s="135">
        <v>7.5</v>
      </c>
      <c r="AA21" s="135">
        <v>2700</v>
      </c>
      <c r="AB21" s="135">
        <v>360.1</v>
      </c>
      <c r="AC21" s="135">
        <v>2.78</v>
      </c>
      <c r="AD21" s="135">
        <v>7.5</v>
      </c>
      <c r="AE21" s="135">
        <v>5000</v>
      </c>
      <c r="AF21" s="135">
        <v>666.8</v>
      </c>
      <c r="AG21" s="135">
        <v>1.5</v>
      </c>
      <c r="AH21" s="135">
        <v>7.5</v>
      </c>
      <c r="AI21" s="135">
        <v>3100</v>
      </c>
      <c r="AJ21" s="135">
        <v>413.4</v>
      </c>
      <c r="AK21" s="135">
        <v>2.42</v>
      </c>
      <c r="AL21" s="135">
        <v>7.5</v>
      </c>
      <c r="AM21" s="135">
        <v>4500</v>
      </c>
      <c r="AN21" s="135">
        <v>600.20000000000005</v>
      </c>
      <c r="AO21" s="135">
        <v>1.67</v>
      </c>
      <c r="AP21" s="135">
        <v>7.5</v>
      </c>
      <c r="AQ21" s="135">
        <v>15</v>
      </c>
      <c r="AR21" s="135">
        <v>2</v>
      </c>
      <c r="AS21" s="135">
        <v>0.5</v>
      </c>
      <c r="AT21" s="135">
        <v>7.5</v>
      </c>
      <c r="AU21" s="135">
        <v>6000</v>
      </c>
      <c r="AV21" s="135">
        <v>800.2</v>
      </c>
      <c r="AW21" s="135">
        <v>1.25</v>
      </c>
      <c r="AX21" s="135"/>
      <c r="AY21" s="135"/>
      <c r="AZ21" s="135"/>
      <c r="BA21" s="135"/>
      <c r="BB21" s="135"/>
      <c r="BC21" s="135"/>
      <c r="BD21" s="135"/>
      <c r="BE21" s="135"/>
      <c r="BF21" s="135"/>
      <c r="BG21" s="135"/>
      <c r="BH21" s="135"/>
      <c r="BI21" s="135"/>
      <c r="BJ21" s="135">
        <v>40</v>
      </c>
      <c r="BK21" s="135">
        <v>-10</v>
      </c>
      <c r="BL21" s="135">
        <v>25</v>
      </c>
    </row>
    <row r="22" spans="1:64" x14ac:dyDescent="0.3">
      <c r="A22" s="135">
        <v>2016</v>
      </c>
      <c r="B22" s="135">
        <v>4</v>
      </c>
      <c r="C22" s="135" t="s">
        <v>41</v>
      </c>
      <c r="D22" s="135" t="s">
        <v>855</v>
      </c>
      <c r="E22" s="135" t="s">
        <v>1408</v>
      </c>
      <c r="F22" s="135" t="s">
        <v>41</v>
      </c>
      <c r="G22" s="135" t="s">
        <v>37</v>
      </c>
      <c r="H22" s="135"/>
      <c r="I22" s="135"/>
      <c r="J22" s="135"/>
      <c r="K22" s="135"/>
      <c r="L22" s="135"/>
      <c r="M22" s="135"/>
      <c r="N22" s="135"/>
      <c r="O22" s="135"/>
      <c r="P22" s="135"/>
      <c r="Q22" s="135"/>
      <c r="R22" s="135"/>
      <c r="S22" s="135"/>
      <c r="T22" s="135"/>
      <c r="U22" s="135"/>
      <c r="V22" s="135"/>
      <c r="W22" s="135"/>
      <c r="X22" s="135"/>
      <c r="Y22" s="135"/>
      <c r="Z22" s="135">
        <v>8.4</v>
      </c>
      <c r="AA22" s="135">
        <v>3200</v>
      </c>
      <c r="AB22" s="135">
        <v>382.7</v>
      </c>
      <c r="AC22" s="135">
        <v>2.61</v>
      </c>
      <c r="AD22" s="135">
        <v>8.5</v>
      </c>
      <c r="AE22" s="135">
        <v>7850</v>
      </c>
      <c r="AF22" s="135">
        <v>924.9</v>
      </c>
      <c r="AG22" s="135">
        <v>1.08</v>
      </c>
      <c r="AH22" s="135">
        <v>8.5</v>
      </c>
      <c r="AI22" s="135">
        <v>3600</v>
      </c>
      <c r="AJ22" s="135">
        <v>424.2</v>
      </c>
      <c r="AK22" s="135">
        <v>2.36</v>
      </c>
      <c r="AL22" s="135">
        <v>8.5</v>
      </c>
      <c r="AM22" s="135">
        <v>4700</v>
      </c>
      <c r="AN22" s="135">
        <v>553.79999999999995</v>
      </c>
      <c r="AO22" s="135">
        <v>1.81</v>
      </c>
      <c r="AP22" s="135">
        <v>8.5</v>
      </c>
      <c r="AQ22" s="135">
        <v>19</v>
      </c>
      <c r="AR22" s="135">
        <v>2.2000000000000002</v>
      </c>
      <c r="AS22" s="135">
        <v>0.45</v>
      </c>
      <c r="AT22" s="135">
        <v>8.5</v>
      </c>
      <c r="AU22" s="135">
        <v>7000</v>
      </c>
      <c r="AV22" s="135">
        <v>824.8</v>
      </c>
      <c r="AW22" s="135">
        <v>1.21</v>
      </c>
      <c r="AX22" s="135"/>
      <c r="AY22" s="135"/>
      <c r="AZ22" s="135"/>
      <c r="BA22" s="135"/>
      <c r="BB22" s="135"/>
      <c r="BC22" s="135"/>
      <c r="BD22" s="135"/>
      <c r="BE22" s="135"/>
      <c r="BF22" s="135"/>
      <c r="BG22" s="135"/>
      <c r="BH22" s="135"/>
      <c r="BI22" s="135"/>
      <c r="BJ22" s="135">
        <v>47</v>
      </c>
      <c r="BK22" s="135">
        <v>1.5</v>
      </c>
      <c r="BL22" s="135">
        <v>22.75</v>
      </c>
    </row>
    <row r="23" spans="1:64" x14ac:dyDescent="0.3">
      <c r="A23" s="135">
        <v>2016</v>
      </c>
      <c r="B23" s="135">
        <v>4</v>
      </c>
      <c r="C23" s="135" t="s">
        <v>401</v>
      </c>
      <c r="D23" s="135" t="s">
        <v>845</v>
      </c>
      <c r="E23" s="135" t="s">
        <v>1408</v>
      </c>
      <c r="F23" s="135" t="s">
        <v>401</v>
      </c>
      <c r="G23" s="135" t="s">
        <v>70</v>
      </c>
      <c r="H23" s="135"/>
      <c r="I23" s="135"/>
      <c r="J23" s="135"/>
      <c r="K23" s="135"/>
      <c r="L23" s="135"/>
      <c r="M23" s="135"/>
      <c r="N23" s="135"/>
      <c r="O23" s="135"/>
      <c r="P23" s="135"/>
      <c r="Q23" s="135"/>
      <c r="R23" s="135"/>
      <c r="S23" s="135"/>
      <c r="T23" s="135"/>
      <c r="U23" s="135"/>
      <c r="V23" s="135"/>
      <c r="W23" s="135"/>
      <c r="X23" s="135"/>
      <c r="Y23" s="135"/>
      <c r="Z23" s="135">
        <v>6.2</v>
      </c>
      <c r="AA23" s="135">
        <v>2500</v>
      </c>
      <c r="AB23" s="135">
        <v>406</v>
      </c>
      <c r="AC23" s="135">
        <v>2.46</v>
      </c>
      <c r="AD23" s="135">
        <v>6.2</v>
      </c>
      <c r="AE23" s="135">
        <v>6100</v>
      </c>
      <c r="AF23" s="135">
        <v>990.7</v>
      </c>
      <c r="AG23" s="135">
        <v>1.01</v>
      </c>
      <c r="AH23" s="135">
        <v>6.2</v>
      </c>
      <c r="AI23" s="135">
        <v>2600</v>
      </c>
      <c r="AJ23" s="135">
        <v>422.3</v>
      </c>
      <c r="AK23" s="135">
        <v>2.37</v>
      </c>
      <c r="AL23" s="135">
        <v>6.2</v>
      </c>
      <c r="AM23" s="135">
        <v>4200</v>
      </c>
      <c r="AN23" s="135">
        <v>682.2</v>
      </c>
      <c r="AO23" s="135">
        <v>1.47</v>
      </c>
      <c r="AP23" s="135">
        <v>6.2</v>
      </c>
      <c r="AQ23" s="135">
        <v>14</v>
      </c>
      <c r="AR23" s="135">
        <v>2.2999999999999998</v>
      </c>
      <c r="AS23" s="135">
        <v>0.44</v>
      </c>
      <c r="AT23" s="135">
        <v>6.2</v>
      </c>
      <c r="AU23" s="135">
        <v>5000</v>
      </c>
      <c r="AV23" s="135">
        <v>812.1</v>
      </c>
      <c r="AW23" s="135">
        <v>1.23</v>
      </c>
      <c r="AX23" s="135"/>
      <c r="AY23" s="135"/>
      <c r="AZ23" s="135"/>
      <c r="BA23" s="135"/>
      <c r="BB23" s="135"/>
      <c r="BC23" s="135"/>
      <c r="BD23" s="135"/>
      <c r="BE23" s="135"/>
      <c r="BF23" s="135"/>
      <c r="BG23" s="135"/>
      <c r="BH23" s="135"/>
      <c r="BI23" s="135"/>
      <c r="BJ23" s="135">
        <v>46</v>
      </c>
      <c r="BK23" s="135">
        <v>3.5</v>
      </c>
      <c r="BL23" s="135">
        <v>21.25</v>
      </c>
    </row>
    <row r="24" spans="1:64" x14ac:dyDescent="0.3">
      <c r="A24" s="135">
        <v>2016</v>
      </c>
      <c r="B24" s="135">
        <v>4</v>
      </c>
      <c r="C24" s="135" t="s">
        <v>50</v>
      </c>
      <c r="D24" s="135" t="s">
        <v>828</v>
      </c>
      <c r="E24" s="135" t="s">
        <v>1408</v>
      </c>
      <c r="F24" s="135" t="s">
        <v>50</v>
      </c>
      <c r="G24" s="135" t="s">
        <v>22</v>
      </c>
      <c r="H24" s="135"/>
      <c r="I24" s="135"/>
      <c r="J24" s="135"/>
      <c r="K24" s="135"/>
      <c r="L24" s="135"/>
      <c r="M24" s="135"/>
      <c r="N24" s="135"/>
      <c r="O24" s="135"/>
      <c r="P24" s="135"/>
      <c r="Q24" s="135"/>
      <c r="R24" s="135"/>
      <c r="S24" s="135"/>
      <c r="T24" s="135"/>
      <c r="U24" s="135"/>
      <c r="V24" s="135"/>
      <c r="W24" s="135"/>
      <c r="X24" s="135"/>
      <c r="Y24" s="135"/>
      <c r="Z24" s="135">
        <v>6.4</v>
      </c>
      <c r="AA24" s="135">
        <v>2500</v>
      </c>
      <c r="AB24" s="135">
        <v>392.6</v>
      </c>
      <c r="AC24" s="135">
        <v>2.5499999999999998</v>
      </c>
      <c r="AD24" s="135">
        <v>6.4</v>
      </c>
      <c r="AE24" s="135">
        <v>5000</v>
      </c>
      <c r="AF24" s="135">
        <v>785.2</v>
      </c>
      <c r="AG24" s="135">
        <v>1.27</v>
      </c>
      <c r="AH24" s="135">
        <v>6.4</v>
      </c>
      <c r="AI24" s="135">
        <v>2400</v>
      </c>
      <c r="AJ24" s="135">
        <v>376.9</v>
      </c>
      <c r="AK24" s="135">
        <v>2.65</v>
      </c>
      <c r="AL24" s="135">
        <v>6.4</v>
      </c>
      <c r="AM24" s="135">
        <v>4000</v>
      </c>
      <c r="AN24" s="135">
        <v>628.1</v>
      </c>
      <c r="AO24" s="135">
        <v>1.59</v>
      </c>
      <c r="AP24" s="135">
        <v>6.4</v>
      </c>
      <c r="AQ24" s="135">
        <v>10</v>
      </c>
      <c r="AR24" s="135">
        <v>1.6</v>
      </c>
      <c r="AS24" s="135">
        <v>0.64</v>
      </c>
      <c r="AT24" s="135">
        <v>6.4</v>
      </c>
      <c r="AU24" s="135">
        <v>4600</v>
      </c>
      <c r="AV24" s="135">
        <v>722.4</v>
      </c>
      <c r="AW24" s="135">
        <v>1.38</v>
      </c>
      <c r="AX24" s="135"/>
      <c r="AY24" s="135"/>
      <c r="AZ24" s="135"/>
      <c r="BA24" s="135"/>
      <c r="BB24" s="135"/>
      <c r="BC24" s="135"/>
      <c r="BD24" s="135"/>
      <c r="BE24" s="135"/>
      <c r="BF24" s="135"/>
      <c r="BG24" s="135"/>
      <c r="BH24" s="135"/>
      <c r="BI24" s="135"/>
      <c r="BJ24" s="135">
        <v>47</v>
      </c>
      <c r="BK24" s="135">
        <v>-0.5</v>
      </c>
      <c r="BL24" s="135">
        <v>23.75</v>
      </c>
    </row>
    <row r="25" spans="1:64" x14ac:dyDescent="0.3">
      <c r="A25" s="135">
        <v>2016</v>
      </c>
      <c r="B25" s="135">
        <v>4</v>
      </c>
      <c r="C25" s="135" t="s">
        <v>22</v>
      </c>
      <c r="D25" s="135" t="s">
        <v>831</v>
      </c>
      <c r="E25" s="135" t="s">
        <v>1408</v>
      </c>
      <c r="F25" s="135" t="s">
        <v>22</v>
      </c>
      <c r="G25" s="135" t="s">
        <v>2296</v>
      </c>
      <c r="H25" s="135"/>
      <c r="I25" s="135"/>
      <c r="J25" s="135"/>
      <c r="K25" s="135"/>
      <c r="L25" s="135"/>
      <c r="M25" s="135"/>
      <c r="N25" s="135"/>
      <c r="O25" s="135"/>
      <c r="P25" s="135"/>
      <c r="Q25" s="135"/>
      <c r="R25" s="135"/>
      <c r="S25" s="135"/>
      <c r="T25" s="135"/>
      <c r="U25" s="135"/>
      <c r="V25" s="135"/>
      <c r="W25" s="135"/>
      <c r="X25" s="135"/>
      <c r="Y25" s="135"/>
      <c r="Z25" s="135">
        <v>7.8</v>
      </c>
      <c r="AA25" s="135">
        <v>3100</v>
      </c>
      <c r="AB25" s="135">
        <v>395.8</v>
      </c>
      <c r="AC25" s="135">
        <v>2.5299999999999998</v>
      </c>
      <c r="AD25" s="135">
        <v>7.8</v>
      </c>
      <c r="AE25" s="135">
        <v>8200</v>
      </c>
      <c r="AF25" s="135">
        <v>1047</v>
      </c>
      <c r="AG25" s="135">
        <v>0.96</v>
      </c>
      <c r="AH25" s="135">
        <v>7.8</v>
      </c>
      <c r="AI25" s="135">
        <v>3400</v>
      </c>
      <c r="AJ25" s="135">
        <v>434.1</v>
      </c>
      <c r="AK25" s="135">
        <v>2.2999999999999998</v>
      </c>
      <c r="AL25" s="135">
        <v>7.8</v>
      </c>
      <c r="AM25" s="135">
        <v>4800</v>
      </c>
      <c r="AN25" s="135">
        <v>612.9</v>
      </c>
      <c r="AO25" s="135">
        <v>1.63</v>
      </c>
      <c r="AP25" s="135">
        <v>7.8</v>
      </c>
      <c r="AQ25" s="135">
        <v>17</v>
      </c>
      <c r="AR25" s="135">
        <v>2.2000000000000002</v>
      </c>
      <c r="AS25" s="135">
        <v>0.46</v>
      </c>
      <c r="AT25" s="135">
        <v>7.8</v>
      </c>
      <c r="AU25" s="135">
        <v>6700</v>
      </c>
      <c r="AV25" s="135">
        <v>855.5</v>
      </c>
      <c r="AW25" s="135">
        <v>1.17</v>
      </c>
      <c r="AX25" s="135"/>
      <c r="AY25" s="135"/>
      <c r="AZ25" s="135"/>
      <c r="BA25" s="135"/>
      <c r="BB25" s="135"/>
      <c r="BC25" s="135"/>
      <c r="BD25" s="135"/>
      <c r="BE25" s="135"/>
      <c r="BF25" s="135"/>
      <c r="BG25" s="135"/>
      <c r="BH25" s="135"/>
      <c r="BI25" s="135"/>
      <c r="BJ25" s="135">
        <v>46.5</v>
      </c>
      <c r="BK25" s="135">
        <v>-4.5</v>
      </c>
      <c r="BL25" s="135">
        <v>25.5</v>
      </c>
    </row>
    <row r="26" spans="1:64" x14ac:dyDescent="0.3">
      <c r="A26" s="135">
        <v>2016</v>
      </c>
      <c r="B26" s="135">
        <v>4</v>
      </c>
      <c r="C26" s="135" t="s">
        <v>404</v>
      </c>
      <c r="D26" s="135" t="s">
        <v>827</v>
      </c>
      <c r="E26" s="135" t="s">
        <v>1408</v>
      </c>
      <c r="F26" s="135" t="s">
        <v>404</v>
      </c>
      <c r="G26" s="135" t="s">
        <v>2308</v>
      </c>
      <c r="H26" s="135"/>
      <c r="I26" s="135"/>
      <c r="J26" s="135"/>
      <c r="K26" s="135"/>
      <c r="L26" s="135"/>
      <c r="M26" s="135"/>
      <c r="N26" s="135"/>
      <c r="O26" s="135"/>
      <c r="P26" s="135"/>
      <c r="Q26" s="135"/>
      <c r="R26" s="135"/>
      <c r="S26" s="135"/>
      <c r="T26" s="135"/>
      <c r="U26" s="135"/>
      <c r="V26" s="135"/>
      <c r="W26" s="135"/>
      <c r="X26" s="135"/>
      <c r="Y26" s="135"/>
      <c r="Z26" s="135">
        <v>5.5</v>
      </c>
      <c r="AA26" s="135">
        <v>2600</v>
      </c>
      <c r="AB26" s="135">
        <v>474.1</v>
      </c>
      <c r="AC26" s="135">
        <v>2.11</v>
      </c>
      <c r="AD26" s="135">
        <v>5.5</v>
      </c>
      <c r="AE26" s="135">
        <v>5000</v>
      </c>
      <c r="AF26" s="135">
        <v>911.7</v>
      </c>
      <c r="AG26" s="135">
        <v>1.1000000000000001</v>
      </c>
      <c r="AH26" s="135">
        <v>5.5</v>
      </c>
      <c r="AI26" s="135">
        <v>2000</v>
      </c>
      <c r="AJ26" s="135">
        <v>364.7</v>
      </c>
      <c r="AK26" s="135">
        <v>2.74</v>
      </c>
      <c r="AL26" s="135">
        <v>5.5</v>
      </c>
      <c r="AM26" s="135">
        <v>4000</v>
      </c>
      <c r="AN26" s="135">
        <v>729.4</v>
      </c>
      <c r="AO26" s="135">
        <v>1.37</v>
      </c>
      <c r="AP26" s="135">
        <v>5.5</v>
      </c>
      <c r="AQ26" s="135">
        <v>10</v>
      </c>
      <c r="AR26" s="135">
        <v>1.8</v>
      </c>
      <c r="AS26" s="135">
        <v>0.55000000000000004</v>
      </c>
      <c r="AT26" s="135">
        <v>5.5</v>
      </c>
      <c r="AU26" s="135">
        <v>3900</v>
      </c>
      <c r="AV26" s="135">
        <v>711.2</v>
      </c>
      <c r="AW26" s="135">
        <v>1.41</v>
      </c>
      <c r="AX26" s="135"/>
      <c r="AY26" s="135"/>
      <c r="AZ26" s="135"/>
      <c r="BA26" s="135"/>
      <c r="BB26" s="135"/>
      <c r="BC26" s="135"/>
      <c r="BD26" s="135"/>
      <c r="BE26" s="135"/>
      <c r="BF26" s="135"/>
      <c r="BG26" s="135"/>
      <c r="BH26" s="135"/>
      <c r="BI26" s="135"/>
      <c r="BJ26" s="135">
        <v>41</v>
      </c>
      <c r="BK26" s="135">
        <v>-3</v>
      </c>
      <c r="BL26" s="135">
        <v>22</v>
      </c>
    </row>
    <row r="27" spans="1:64" x14ac:dyDescent="0.3">
      <c r="A27" s="135">
        <v>2016</v>
      </c>
      <c r="B27" s="135">
        <v>4</v>
      </c>
      <c r="C27" s="135" t="s">
        <v>398</v>
      </c>
      <c r="D27" s="135" t="s">
        <v>844</v>
      </c>
      <c r="E27" s="135" t="s">
        <v>1408</v>
      </c>
      <c r="F27" s="135" t="s">
        <v>398</v>
      </c>
      <c r="G27" s="135" t="s">
        <v>52</v>
      </c>
      <c r="H27" s="135"/>
      <c r="I27" s="135"/>
      <c r="J27" s="135"/>
      <c r="K27" s="135"/>
      <c r="L27" s="135"/>
      <c r="M27" s="135"/>
      <c r="N27" s="135"/>
      <c r="O27" s="135"/>
      <c r="P27" s="135"/>
      <c r="Q27" s="135"/>
      <c r="R27" s="135"/>
      <c r="S27" s="135"/>
      <c r="T27" s="135"/>
      <c r="U27" s="135"/>
      <c r="V27" s="135"/>
      <c r="W27" s="135"/>
      <c r="X27" s="135"/>
      <c r="Y27" s="135"/>
      <c r="Z27" s="135">
        <v>5.9</v>
      </c>
      <c r="AA27" s="135">
        <v>2500</v>
      </c>
      <c r="AB27" s="135">
        <v>424.1</v>
      </c>
      <c r="AC27" s="135">
        <v>2.36</v>
      </c>
      <c r="AD27" s="135">
        <v>5.9</v>
      </c>
      <c r="AE27" s="135">
        <v>5100</v>
      </c>
      <c r="AF27" s="135">
        <v>865.1</v>
      </c>
      <c r="AG27" s="135">
        <v>1.1599999999999999</v>
      </c>
      <c r="AH27" s="135">
        <v>5.9</v>
      </c>
      <c r="AI27" s="135">
        <v>2600</v>
      </c>
      <c r="AJ27" s="135">
        <v>441.1</v>
      </c>
      <c r="AK27" s="135">
        <v>2.27</v>
      </c>
      <c r="AL27" s="135">
        <v>5.9</v>
      </c>
      <c r="AM27" s="135">
        <v>4200</v>
      </c>
      <c r="AN27" s="135">
        <v>712.5</v>
      </c>
      <c r="AO27" s="135">
        <v>1.4</v>
      </c>
      <c r="AP27" s="135">
        <v>5.9</v>
      </c>
      <c r="AQ27" s="135">
        <v>15</v>
      </c>
      <c r="AR27" s="135">
        <v>2.5</v>
      </c>
      <c r="AS27" s="135">
        <v>0.39</v>
      </c>
      <c r="AT27" s="135">
        <v>5.9</v>
      </c>
      <c r="AU27" s="135">
        <v>5000</v>
      </c>
      <c r="AV27" s="135">
        <v>848.2</v>
      </c>
      <c r="AW27" s="135">
        <v>1.18</v>
      </c>
      <c r="AX27" s="135"/>
      <c r="AY27" s="135"/>
      <c r="AZ27" s="135"/>
      <c r="BA27" s="135"/>
      <c r="BB27" s="135"/>
      <c r="BC27" s="135"/>
      <c r="BD27" s="135"/>
      <c r="BE27" s="135"/>
      <c r="BF27" s="135"/>
      <c r="BG27" s="135"/>
      <c r="BH27" s="135"/>
      <c r="BI27" s="135"/>
      <c r="BJ27" s="135">
        <v>48</v>
      </c>
      <c r="BK27" s="135">
        <v>7.5</v>
      </c>
      <c r="BL27" s="135">
        <v>20.25</v>
      </c>
    </row>
    <row r="28" spans="1:64" x14ac:dyDescent="0.3">
      <c r="A28" s="135">
        <v>2016</v>
      </c>
      <c r="B28" s="135">
        <v>4</v>
      </c>
      <c r="C28" s="135" t="s">
        <v>24</v>
      </c>
      <c r="D28" s="135" t="s">
        <v>854</v>
      </c>
      <c r="E28" s="135" t="s">
        <v>1408</v>
      </c>
      <c r="F28" s="135" t="s">
        <v>24</v>
      </c>
      <c r="G28" s="135" t="s">
        <v>409</v>
      </c>
      <c r="H28" s="135"/>
      <c r="I28" s="135"/>
      <c r="J28" s="135"/>
      <c r="K28" s="135"/>
      <c r="L28" s="135"/>
      <c r="M28" s="135"/>
      <c r="N28" s="135"/>
      <c r="O28" s="135"/>
      <c r="P28" s="135"/>
      <c r="Q28" s="135"/>
      <c r="R28" s="135"/>
      <c r="S28" s="135"/>
      <c r="T28" s="135"/>
      <c r="U28" s="135"/>
      <c r="V28" s="135"/>
      <c r="W28" s="135"/>
      <c r="X28" s="135"/>
      <c r="Y28" s="135"/>
      <c r="Z28" s="135">
        <v>8.8000000000000007</v>
      </c>
      <c r="AA28" s="135">
        <v>3400</v>
      </c>
      <c r="AB28" s="135">
        <v>388.1</v>
      </c>
      <c r="AC28" s="135">
        <v>2.58</v>
      </c>
      <c r="AD28" s="135">
        <v>9.1999999999999993</v>
      </c>
      <c r="AE28" s="135">
        <v>9050</v>
      </c>
      <c r="AF28" s="135">
        <v>983.8</v>
      </c>
      <c r="AG28" s="135">
        <v>1.02</v>
      </c>
      <c r="AH28" s="135">
        <v>9.1999999999999993</v>
      </c>
      <c r="AI28" s="135">
        <v>3900</v>
      </c>
      <c r="AJ28" s="135">
        <v>424</v>
      </c>
      <c r="AK28" s="135">
        <v>2.36</v>
      </c>
      <c r="AL28" s="135">
        <v>9.1999999999999993</v>
      </c>
      <c r="AM28" s="135">
        <v>5300</v>
      </c>
      <c r="AN28" s="135">
        <v>576.1</v>
      </c>
      <c r="AO28" s="135">
        <v>1.74</v>
      </c>
      <c r="AP28" s="135">
        <v>9.1999999999999993</v>
      </c>
      <c r="AQ28" s="135">
        <v>19</v>
      </c>
      <c r="AR28" s="135">
        <v>2.1</v>
      </c>
      <c r="AS28" s="135">
        <v>0.48</v>
      </c>
      <c r="AT28" s="135">
        <v>9.1999999999999993</v>
      </c>
      <c r="AU28" s="135">
        <v>7700</v>
      </c>
      <c r="AV28" s="135">
        <v>837</v>
      </c>
      <c r="AW28" s="135">
        <v>1.19</v>
      </c>
      <c r="AX28" s="135"/>
      <c r="AY28" s="135"/>
      <c r="AZ28" s="135"/>
      <c r="BA28" s="135"/>
      <c r="BB28" s="135"/>
      <c r="BC28" s="135"/>
      <c r="BD28" s="135"/>
      <c r="BE28" s="135"/>
      <c r="BF28" s="135"/>
      <c r="BG28" s="135"/>
      <c r="BH28" s="135"/>
      <c r="BI28" s="135"/>
      <c r="BJ28" s="135">
        <v>41.5</v>
      </c>
      <c r="BK28" s="135">
        <v>-9.5</v>
      </c>
      <c r="BL28" s="135">
        <v>25.5</v>
      </c>
    </row>
    <row r="29" spans="1:64" x14ac:dyDescent="0.3">
      <c r="A29" s="135">
        <v>2016</v>
      </c>
      <c r="B29" s="135">
        <v>4</v>
      </c>
      <c r="C29" s="135" t="s">
        <v>7</v>
      </c>
      <c r="D29" s="135" t="s">
        <v>847</v>
      </c>
      <c r="E29" s="135" t="s">
        <v>1408</v>
      </c>
      <c r="F29" s="135" t="s">
        <v>7</v>
      </c>
      <c r="G29" s="135" t="s">
        <v>2305</v>
      </c>
      <c r="H29" s="135"/>
      <c r="I29" s="135"/>
      <c r="J29" s="135"/>
      <c r="K29" s="135"/>
      <c r="L29" s="135"/>
      <c r="M29" s="135"/>
      <c r="N29" s="135"/>
      <c r="O29" s="135"/>
      <c r="P29" s="135"/>
      <c r="Q29" s="135"/>
      <c r="R29" s="135"/>
      <c r="S29" s="135"/>
      <c r="T29" s="135"/>
      <c r="U29" s="135"/>
      <c r="V29" s="135"/>
      <c r="W29" s="135"/>
      <c r="X29" s="135"/>
      <c r="Y29" s="135"/>
      <c r="Z29" s="135">
        <v>7.5</v>
      </c>
      <c r="AA29" s="135">
        <v>3300</v>
      </c>
      <c r="AB29" s="135">
        <v>439.4</v>
      </c>
      <c r="AC29" s="135">
        <v>2.2799999999999998</v>
      </c>
      <c r="AD29" s="135">
        <v>7.8</v>
      </c>
      <c r="AE29" s="135">
        <v>7550</v>
      </c>
      <c r="AF29" s="135">
        <v>972.9</v>
      </c>
      <c r="AG29" s="135">
        <v>1.03</v>
      </c>
      <c r="AH29" s="135">
        <v>7.8</v>
      </c>
      <c r="AI29" s="135">
        <v>3800</v>
      </c>
      <c r="AJ29" s="135">
        <v>489.7</v>
      </c>
      <c r="AK29" s="135">
        <v>2.04</v>
      </c>
      <c r="AL29" s="135">
        <v>7.8</v>
      </c>
      <c r="AM29" s="135">
        <v>5000</v>
      </c>
      <c r="AN29" s="135">
        <v>644.29999999999995</v>
      </c>
      <c r="AO29" s="135">
        <v>1.55</v>
      </c>
      <c r="AP29" s="135">
        <v>7.8</v>
      </c>
      <c r="AQ29" s="135">
        <v>17</v>
      </c>
      <c r="AR29" s="135">
        <v>2.2000000000000002</v>
      </c>
      <c r="AS29" s="135">
        <v>0.46</v>
      </c>
      <c r="AT29" s="135">
        <v>7.8</v>
      </c>
      <c r="AU29" s="135">
        <v>7400</v>
      </c>
      <c r="AV29" s="135">
        <v>953.6</v>
      </c>
      <c r="AW29" s="135">
        <v>1.05</v>
      </c>
      <c r="AX29" s="135"/>
      <c r="AY29" s="135"/>
      <c r="AZ29" s="135"/>
      <c r="BA29" s="135"/>
      <c r="BB29" s="135"/>
      <c r="BC29" s="135"/>
      <c r="BD29" s="135"/>
      <c r="BE29" s="135"/>
      <c r="BF29" s="135"/>
      <c r="BG29" s="135"/>
      <c r="BH29" s="135"/>
      <c r="BI29" s="135"/>
      <c r="BJ29" s="135">
        <v>41</v>
      </c>
      <c r="BK29" s="135">
        <v>-3</v>
      </c>
      <c r="BL29" s="135">
        <v>22</v>
      </c>
    </row>
    <row r="30" spans="1:64" x14ac:dyDescent="0.3">
      <c r="A30" s="135">
        <v>2016</v>
      </c>
      <c r="B30" s="135">
        <v>4</v>
      </c>
      <c r="C30" s="135" t="s">
        <v>37</v>
      </c>
      <c r="D30" s="135" t="s">
        <v>829</v>
      </c>
      <c r="E30" s="135" t="s">
        <v>1408</v>
      </c>
      <c r="F30" s="135" t="s">
        <v>37</v>
      </c>
      <c r="G30" s="135" t="s">
        <v>2304</v>
      </c>
      <c r="H30" s="135"/>
      <c r="I30" s="135"/>
      <c r="J30" s="135"/>
      <c r="K30" s="135"/>
      <c r="L30" s="135"/>
      <c r="M30" s="135"/>
      <c r="N30" s="135"/>
      <c r="O30" s="135"/>
      <c r="P30" s="135"/>
      <c r="Q30" s="135"/>
      <c r="R30" s="135"/>
      <c r="S30" s="135"/>
      <c r="T30" s="135"/>
      <c r="U30" s="135"/>
      <c r="V30" s="135"/>
      <c r="W30" s="135"/>
      <c r="X30" s="135"/>
      <c r="Y30" s="135"/>
      <c r="Z30" s="135">
        <v>6.7</v>
      </c>
      <c r="AA30" s="135">
        <v>2650</v>
      </c>
      <c r="AB30" s="135">
        <v>395.8</v>
      </c>
      <c r="AC30" s="135">
        <v>2.5299999999999998</v>
      </c>
      <c r="AD30" s="135">
        <v>6.7</v>
      </c>
      <c r="AE30" s="135">
        <v>5350</v>
      </c>
      <c r="AF30" s="135">
        <v>799.1</v>
      </c>
      <c r="AG30" s="135">
        <v>1.25</v>
      </c>
      <c r="AH30" s="135">
        <v>6.7</v>
      </c>
      <c r="AI30" s="135">
        <v>2900</v>
      </c>
      <c r="AJ30" s="135">
        <v>433.2</v>
      </c>
      <c r="AK30" s="135">
        <v>2.31</v>
      </c>
      <c r="AL30" s="135">
        <v>6.7</v>
      </c>
      <c r="AM30" s="135">
        <v>4400</v>
      </c>
      <c r="AN30" s="135">
        <v>657.2</v>
      </c>
      <c r="AO30" s="135">
        <v>1.52</v>
      </c>
      <c r="AP30" s="135">
        <v>6.7</v>
      </c>
      <c r="AQ30" s="135">
        <v>13</v>
      </c>
      <c r="AR30" s="135">
        <v>1.9</v>
      </c>
      <c r="AS30" s="135">
        <v>0.52</v>
      </c>
      <c r="AT30" s="135">
        <v>6.7</v>
      </c>
      <c r="AU30" s="135">
        <v>5700</v>
      </c>
      <c r="AV30" s="135">
        <v>851.4</v>
      </c>
      <c r="AW30" s="135">
        <v>1.17</v>
      </c>
      <c r="AX30" s="135"/>
      <c r="AY30" s="135"/>
      <c r="AZ30" s="135"/>
      <c r="BA30" s="135"/>
      <c r="BB30" s="135"/>
      <c r="BC30" s="135"/>
      <c r="BD30" s="135"/>
      <c r="BE30" s="135"/>
      <c r="BF30" s="135"/>
      <c r="BG30" s="135"/>
      <c r="BH30" s="135"/>
      <c r="BI30" s="135"/>
      <c r="BJ30" s="135">
        <v>40</v>
      </c>
      <c r="BK30" s="135">
        <v>10</v>
      </c>
      <c r="BL30" s="135">
        <v>15</v>
      </c>
    </row>
    <row r="31" spans="1:64" x14ac:dyDescent="0.3">
      <c r="A31" s="135">
        <v>2016</v>
      </c>
      <c r="B31" s="135">
        <v>4</v>
      </c>
      <c r="C31" s="135" t="s">
        <v>409</v>
      </c>
      <c r="D31" s="135" t="s">
        <v>859</v>
      </c>
      <c r="E31" s="135" t="s">
        <v>1408</v>
      </c>
      <c r="F31" s="135" t="s">
        <v>409</v>
      </c>
      <c r="G31" s="135" t="s">
        <v>2295</v>
      </c>
      <c r="H31" s="135"/>
      <c r="I31" s="135"/>
      <c r="J31" s="135"/>
      <c r="K31" s="135"/>
      <c r="L31" s="135"/>
      <c r="M31" s="135"/>
      <c r="N31" s="135"/>
      <c r="O31" s="135"/>
      <c r="P31" s="135"/>
      <c r="Q31" s="135"/>
      <c r="R31" s="135"/>
      <c r="S31" s="135"/>
      <c r="T31" s="135"/>
      <c r="U31" s="135"/>
      <c r="V31" s="135"/>
      <c r="W31" s="135"/>
      <c r="X31" s="135"/>
      <c r="Y31" s="135"/>
      <c r="Z31" s="135">
        <v>6.5</v>
      </c>
      <c r="AA31" s="135">
        <v>2900</v>
      </c>
      <c r="AB31" s="135">
        <v>449.3</v>
      </c>
      <c r="AC31" s="135">
        <v>2.23</v>
      </c>
      <c r="AD31" s="135">
        <v>6.5</v>
      </c>
      <c r="AE31" s="135">
        <v>2700</v>
      </c>
      <c r="AF31" s="135">
        <v>418.3</v>
      </c>
      <c r="AG31" s="135">
        <v>2.39</v>
      </c>
      <c r="AH31" s="135">
        <v>6.5</v>
      </c>
      <c r="AI31" s="135">
        <v>4400</v>
      </c>
      <c r="AJ31" s="135">
        <v>681.7</v>
      </c>
      <c r="AK31" s="135">
        <v>1.47</v>
      </c>
      <c r="AL31" s="135">
        <v>6.5</v>
      </c>
      <c r="AM31" s="135">
        <v>14</v>
      </c>
      <c r="AN31" s="135">
        <v>2.2000000000000002</v>
      </c>
      <c r="AO31" s="135">
        <v>0.46</v>
      </c>
      <c r="AP31" s="135">
        <v>6.5</v>
      </c>
      <c r="AQ31" s="135">
        <v>5300</v>
      </c>
      <c r="AR31" s="135">
        <v>821.2</v>
      </c>
      <c r="AS31" s="135">
        <v>1.22</v>
      </c>
      <c r="AT31" s="135"/>
      <c r="AU31" s="135"/>
      <c r="AV31" s="135"/>
      <c r="AW31" s="135"/>
      <c r="AX31" s="135"/>
      <c r="AY31" s="135"/>
      <c r="AZ31" s="135"/>
      <c r="BA31" s="135"/>
      <c r="BB31" s="135"/>
      <c r="BC31" s="135"/>
      <c r="BD31" s="135"/>
      <c r="BE31" s="135"/>
      <c r="BF31" s="135"/>
      <c r="BG31" s="135"/>
      <c r="BH31" s="135"/>
      <c r="BI31" s="135"/>
      <c r="BJ31" s="135">
        <v>53.5</v>
      </c>
      <c r="BK31" s="135">
        <v>3</v>
      </c>
      <c r="BL31" s="135">
        <v>25.25</v>
      </c>
    </row>
    <row r="32" spans="1:64" x14ac:dyDescent="0.3">
      <c r="A32" s="13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row>
    <row r="33" spans="1:64" x14ac:dyDescent="0.3">
      <c r="A33" s="135"/>
      <c r="B33" s="135"/>
      <c r="C33" s="135"/>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workbookViewId="0">
      <selection activeCell="A2" sqref="A2:L32"/>
    </sheetView>
  </sheetViews>
  <sheetFormatPr defaultRowHeight="14.4" x14ac:dyDescent="0.3"/>
  <cols>
    <col min="1" max="1" width="21.109375" bestFit="1" customWidth="1"/>
  </cols>
  <sheetData>
    <row r="1" spans="1:12" x14ac:dyDescent="0.3">
      <c r="A1" s="135" t="s">
        <v>387</v>
      </c>
      <c r="B1" s="4" t="s">
        <v>757</v>
      </c>
      <c r="C1" s="4" t="s">
        <v>413</v>
      </c>
      <c r="D1" s="4" t="s">
        <v>1678</v>
      </c>
      <c r="E1" s="4" t="s">
        <v>1679</v>
      </c>
      <c r="F1" s="4" t="s">
        <v>1290</v>
      </c>
      <c r="G1" s="4" t="s">
        <v>1680</v>
      </c>
      <c r="H1" s="4" t="s">
        <v>605</v>
      </c>
      <c r="I1" s="4" t="s">
        <v>1681</v>
      </c>
      <c r="J1" s="4" t="s">
        <v>1677</v>
      </c>
      <c r="K1" s="4" t="s">
        <v>1682</v>
      </c>
      <c r="L1" s="4" t="s">
        <v>1683</v>
      </c>
    </row>
    <row r="2" spans="1:12" x14ac:dyDescent="0.3">
      <c r="A2" s="135" t="s">
        <v>387</v>
      </c>
      <c r="B2" s="505" t="s">
        <v>757</v>
      </c>
      <c r="C2" s="505" t="s">
        <v>413</v>
      </c>
      <c r="D2" s="505" t="s">
        <v>1678</v>
      </c>
      <c r="E2" s="505" t="s">
        <v>1679</v>
      </c>
      <c r="F2" s="505" t="s">
        <v>1290</v>
      </c>
      <c r="G2" s="505" t="s">
        <v>1680</v>
      </c>
      <c r="H2" s="505" t="s">
        <v>605</v>
      </c>
      <c r="I2" s="505" t="s">
        <v>1681</v>
      </c>
      <c r="J2" s="505" t="s">
        <v>1677</v>
      </c>
      <c r="K2" s="505" t="s">
        <v>1682</v>
      </c>
      <c r="L2" s="505" t="s">
        <v>1683</v>
      </c>
    </row>
    <row r="3" spans="1:12" x14ac:dyDescent="0.3">
      <c r="A3" s="135" t="s">
        <v>854</v>
      </c>
      <c r="B3" s="135" t="s">
        <v>24</v>
      </c>
      <c r="C3" s="135" t="s">
        <v>459</v>
      </c>
      <c r="D3" s="135" t="s">
        <v>758</v>
      </c>
      <c r="E3" s="135" t="s">
        <v>758</v>
      </c>
      <c r="F3" s="135" t="s">
        <v>758</v>
      </c>
      <c r="G3" s="135" t="s">
        <v>758</v>
      </c>
      <c r="H3" s="135" t="s">
        <v>758</v>
      </c>
      <c r="I3" s="135" t="s">
        <v>758</v>
      </c>
      <c r="J3" s="135" t="s">
        <v>758</v>
      </c>
      <c r="K3" s="135" t="s">
        <v>1647</v>
      </c>
      <c r="L3" s="135" t="s">
        <v>1689</v>
      </c>
    </row>
    <row r="4" spans="1:12" x14ac:dyDescent="0.3">
      <c r="A4" s="135" t="s">
        <v>828</v>
      </c>
      <c r="B4" s="135" t="s">
        <v>50</v>
      </c>
      <c r="C4" s="135" t="s">
        <v>459</v>
      </c>
      <c r="D4" s="135" t="s">
        <v>758</v>
      </c>
      <c r="E4" s="135" t="s">
        <v>758</v>
      </c>
      <c r="F4" s="135" t="s">
        <v>758</v>
      </c>
      <c r="G4" s="135" t="s">
        <v>758</v>
      </c>
      <c r="H4" s="135" t="s">
        <v>758</v>
      </c>
      <c r="I4" s="135" t="s">
        <v>758</v>
      </c>
      <c r="J4" s="135" t="s">
        <v>758</v>
      </c>
      <c r="K4" s="135" t="s">
        <v>1687</v>
      </c>
      <c r="L4" s="135" t="s">
        <v>1689</v>
      </c>
    </row>
    <row r="5" spans="1:12" x14ac:dyDescent="0.3">
      <c r="A5" s="135" t="s">
        <v>832</v>
      </c>
      <c r="B5" s="135" t="s">
        <v>32</v>
      </c>
      <c r="C5" s="135" t="s">
        <v>459</v>
      </c>
      <c r="D5" s="135" t="s">
        <v>758</v>
      </c>
      <c r="E5" s="135" t="s">
        <v>758</v>
      </c>
      <c r="F5" s="135" t="s">
        <v>758</v>
      </c>
      <c r="G5" s="135" t="s">
        <v>758</v>
      </c>
      <c r="H5" s="135" t="s">
        <v>758</v>
      </c>
      <c r="I5" s="135" t="s">
        <v>758</v>
      </c>
      <c r="J5" s="135" t="s">
        <v>758</v>
      </c>
      <c r="K5" s="135" t="s">
        <v>1684</v>
      </c>
      <c r="L5" s="135" t="s">
        <v>1689</v>
      </c>
    </row>
    <row r="6" spans="1:12" x14ac:dyDescent="0.3">
      <c r="A6" s="135" t="s">
        <v>851</v>
      </c>
      <c r="B6" s="135" t="s">
        <v>70</v>
      </c>
      <c r="C6" s="135" t="s">
        <v>459</v>
      </c>
      <c r="D6" s="135" t="s">
        <v>758</v>
      </c>
      <c r="E6" s="135" t="s">
        <v>758</v>
      </c>
      <c r="F6" s="135" t="s">
        <v>758</v>
      </c>
      <c r="G6" s="135" t="s">
        <v>758</v>
      </c>
      <c r="H6" s="135" t="s">
        <v>758</v>
      </c>
      <c r="I6" s="135" t="s">
        <v>758</v>
      </c>
      <c r="J6" s="135" t="s">
        <v>758</v>
      </c>
      <c r="K6" s="135" t="s">
        <v>1648</v>
      </c>
      <c r="L6" s="135" t="s">
        <v>1689</v>
      </c>
    </row>
    <row r="7" spans="1:12" x14ac:dyDescent="0.3">
      <c r="A7" s="135" t="s">
        <v>848</v>
      </c>
      <c r="B7" s="135" t="s">
        <v>10</v>
      </c>
      <c r="C7" s="135" t="s">
        <v>459</v>
      </c>
      <c r="D7" s="135" t="s">
        <v>758</v>
      </c>
      <c r="E7" s="135" t="s">
        <v>758</v>
      </c>
      <c r="F7" s="135" t="s">
        <v>758</v>
      </c>
      <c r="G7" s="135" t="s">
        <v>758</v>
      </c>
      <c r="H7" s="135" t="s">
        <v>758</v>
      </c>
      <c r="I7" s="135" t="s">
        <v>758</v>
      </c>
      <c r="J7" s="135" t="s">
        <v>758</v>
      </c>
      <c r="K7" s="135" t="s">
        <v>1685</v>
      </c>
      <c r="L7" s="135" t="s">
        <v>1689</v>
      </c>
    </row>
    <row r="8" spans="1:12" x14ac:dyDescent="0.3">
      <c r="A8" s="135" t="s">
        <v>853</v>
      </c>
      <c r="B8" s="135" t="s">
        <v>407</v>
      </c>
      <c r="C8" s="135" t="s">
        <v>459</v>
      </c>
      <c r="D8" s="135" t="s">
        <v>758</v>
      </c>
      <c r="E8" s="135" t="s">
        <v>758</v>
      </c>
      <c r="F8" s="135" t="s">
        <v>758</v>
      </c>
      <c r="G8" s="135" t="s">
        <v>758</v>
      </c>
      <c r="H8" s="135" t="s">
        <v>758</v>
      </c>
      <c r="I8" s="135" t="s">
        <v>758</v>
      </c>
      <c r="J8" s="135" t="s">
        <v>758</v>
      </c>
      <c r="K8" s="135" t="s">
        <v>1685</v>
      </c>
      <c r="L8" s="135" t="s">
        <v>1689</v>
      </c>
    </row>
    <row r="9" spans="1:12" x14ac:dyDescent="0.3">
      <c r="A9" s="135" t="s">
        <v>841</v>
      </c>
      <c r="B9" s="135" t="s">
        <v>46</v>
      </c>
      <c r="C9" s="135" t="s">
        <v>459</v>
      </c>
      <c r="D9" s="135" t="s">
        <v>758</v>
      </c>
      <c r="E9" s="135" t="s">
        <v>758</v>
      </c>
      <c r="F9" s="135" t="s">
        <v>758</v>
      </c>
      <c r="G9" s="135" t="s">
        <v>758</v>
      </c>
      <c r="H9" s="135" t="s">
        <v>758</v>
      </c>
      <c r="I9" s="135" t="s">
        <v>758</v>
      </c>
      <c r="J9" s="135" t="s">
        <v>758</v>
      </c>
      <c r="K9" s="135" t="s">
        <v>1686</v>
      </c>
      <c r="L9" s="135" t="s">
        <v>1689</v>
      </c>
    </row>
    <row r="10" spans="1:12" x14ac:dyDescent="0.3">
      <c r="A10" s="135" t="s">
        <v>842</v>
      </c>
      <c r="B10" s="135" t="s">
        <v>28</v>
      </c>
      <c r="C10" s="135" t="s">
        <v>459</v>
      </c>
      <c r="D10" s="135" t="s">
        <v>758</v>
      </c>
      <c r="E10" s="135" t="s">
        <v>758</v>
      </c>
      <c r="F10" s="135" t="s">
        <v>758</v>
      </c>
      <c r="G10" s="135" t="s">
        <v>758</v>
      </c>
      <c r="H10" s="135" t="s">
        <v>758</v>
      </c>
      <c r="I10" s="135" t="s">
        <v>758</v>
      </c>
      <c r="J10" s="135" t="s">
        <v>758</v>
      </c>
      <c r="K10" s="135" t="s">
        <v>1641</v>
      </c>
      <c r="L10" s="135" t="s">
        <v>1689</v>
      </c>
    </row>
    <row r="11" spans="1:12" x14ac:dyDescent="0.3">
      <c r="A11" s="135" t="s">
        <v>840</v>
      </c>
      <c r="B11" s="135" t="s">
        <v>16</v>
      </c>
      <c r="C11" s="135" t="s">
        <v>459</v>
      </c>
      <c r="D11" s="135" t="s">
        <v>758</v>
      </c>
      <c r="E11" s="135" t="s">
        <v>758</v>
      </c>
      <c r="F11" s="135" t="s">
        <v>758</v>
      </c>
      <c r="G11" s="135" t="s">
        <v>758</v>
      </c>
      <c r="H11" s="135" t="s">
        <v>758</v>
      </c>
      <c r="I11" s="135" t="s">
        <v>758</v>
      </c>
      <c r="J11" s="135" t="s">
        <v>758</v>
      </c>
      <c r="K11" s="135" t="s">
        <v>1652</v>
      </c>
      <c r="L11" s="135" t="s">
        <v>1689</v>
      </c>
    </row>
    <row r="12" spans="1:12" x14ac:dyDescent="0.3">
      <c r="A12" s="135" t="s">
        <v>846</v>
      </c>
      <c r="B12" s="135" t="s">
        <v>52</v>
      </c>
      <c r="C12" s="135" t="s">
        <v>459</v>
      </c>
      <c r="D12" s="135" t="s">
        <v>758</v>
      </c>
      <c r="E12" s="135" t="s">
        <v>758</v>
      </c>
      <c r="F12" s="135" t="s">
        <v>758</v>
      </c>
      <c r="G12" s="135" t="s">
        <v>758</v>
      </c>
      <c r="H12" s="135" t="s">
        <v>758</v>
      </c>
      <c r="I12" s="135" t="s">
        <v>758</v>
      </c>
      <c r="J12" s="135" t="s">
        <v>758</v>
      </c>
      <c r="K12" s="135" t="s">
        <v>1641</v>
      </c>
      <c r="L12" s="135" t="s">
        <v>1689</v>
      </c>
    </row>
    <row r="13" spans="1:12" x14ac:dyDescent="0.3">
      <c r="A13" s="135" t="s">
        <v>829</v>
      </c>
      <c r="B13" s="135" t="s">
        <v>37</v>
      </c>
      <c r="C13" s="135" t="s">
        <v>459</v>
      </c>
      <c r="D13" s="135" t="s">
        <v>758</v>
      </c>
      <c r="E13" s="135" t="s">
        <v>758</v>
      </c>
      <c r="F13" s="135" t="s">
        <v>758</v>
      </c>
      <c r="G13" s="135" t="s">
        <v>758</v>
      </c>
      <c r="H13" s="135" t="s">
        <v>758</v>
      </c>
      <c r="I13" s="135" t="s">
        <v>758</v>
      </c>
      <c r="J13" s="135" t="s">
        <v>758</v>
      </c>
      <c r="K13" s="135" t="s">
        <v>1684</v>
      </c>
      <c r="L13" s="135" t="s">
        <v>1689</v>
      </c>
    </row>
    <row r="14" spans="1:12" x14ac:dyDescent="0.3">
      <c r="A14" s="135" t="s">
        <v>834</v>
      </c>
      <c r="B14" s="135" t="s">
        <v>561</v>
      </c>
      <c r="C14" s="135" t="s">
        <v>459</v>
      </c>
      <c r="D14" s="135" t="s">
        <v>758</v>
      </c>
      <c r="E14" s="135" t="s">
        <v>758</v>
      </c>
      <c r="F14" s="135" t="s">
        <v>758</v>
      </c>
      <c r="G14" s="135" t="s">
        <v>758</v>
      </c>
      <c r="H14" s="135" t="s">
        <v>758</v>
      </c>
      <c r="I14" s="135" t="s">
        <v>758</v>
      </c>
      <c r="J14" s="135" t="s">
        <v>758</v>
      </c>
      <c r="K14" s="135" t="s">
        <v>1687</v>
      </c>
      <c r="L14" s="135" t="s">
        <v>1689</v>
      </c>
    </row>
    <row r="15" spans="1:12" x14ac:dyDescent="0.3">
      <c r="A15" s="135" t="s">
        <v>857</v>
      </c>
      <c r="B15" s="135" t="s">
        <v>34</v>
      </c>
      <c r="C15" s="135" t="s">
        <v>459</v>
      </c>
      <c r="D15" s="135" t="s">
        <v>758</v>
      </c>
      <c r="E15" s="135" t="s">
        <v>758</v>
      </c>
      <c r="F15" s="135" t="s">
        <v>758</v>
      </c>
      <c r="G15" s="135" t="s">
        <v>758</v>
      </c>
      <c r="H15" s="135" t="s">
        <v>758</v>
      </c>
      <c r="I15" s="135" t="s">
        <v>758</v>
      </c>
      <c r="J15" s="135" t="s">
        <v>758</v>
      </c>
      <c r="K15" s="135" t="s">
        <v>1684</v>
      </c>
      <c r="L15" s="135" t="s">
        <v>1689</v>
      </c>
    </row>
    <row r="16" spans="1:12" x14ac:dyDescent="0.3">
      <c r="A16" s="135" t="s">
        <v>850</v>
      </c>
      <c r="B16" s="135" t="s">
        <v>397</v>
      </c>
      <c r="C16" s="135" t="s">
        <v>459</v>
      </c>
      <c r="D16" s="135" t="s">
        <v>758</v>
      </c>
      <c r="E16" s="135" t="s">
        <v>758</v>
      </c>
      <c r="F16" s="135" t="s">
        <v>758</v>
      </c>
      <c r="G16" s="135" t="s">
        <v>758</v>
      </c>
      <c r="H16" s="135" t="s">
        <v>758</v>
      </c>
      <c r="I16" s="135" t="s">
        <v>758</v>
      </c>
      <c r="J16" s="135" t="s">
        <v>758</v>
      </c>
      <c r="K16" s="135" t="s">
        <v>1684</v>
      </c>
      <c r="L16" s="135" t="s">
        <v>1689</v>
      </c>
    </row>
    <row r="17" spans="1:12" x14ac:dyDescent="0.3">
      <c r="A17" s="135" t="s">
        <v>839</v>
      </c>
      <c r="B17" s="135" t="s">
        <v>26</v>
      </c>
      <c r="C17" s="135" t="s">
        <v>459</v>
      </c>
      <c r="D17" s="135" t="s">
        <v>758</v>
      </c>
      <c r="E17" s="135" t="s">
        <v>758</v>
      </c>
      <c r="F17" s="135" t="s">
        <v>758</v>
      </c>
      <c r="G17" s="135" t="s">
        <v>758</v>
      </c>
      <c r="H17" s="135" t="s">
        <v>758</v>
      </c>
      <c r="I17" s="135" t="s">
        <v>758</v>
      </c>
      <c r="J17" s="135" t="s">
        <v>758</v>
      </c>
      <c r="K17" s="135" t="s">
        <v>1652</v>
      </c>
      <c r="L17" s="135" t="s">
        <v>1689</v>
      </c>
    </row>
    <row r="18" spans="1:12" x14ac:dyDescent="0.3">
      <c r="A18" s="135" t="s">
        <v>843</v>
      </c>
      <c r="B18" s="135" t="s">
        <v>57</v>
      </c>
      <c r="C18" s="135" t="s">
        <v>459</v>
      </c>
      <c r="D18" s="135" t="s">
        <v>758</v>
      </c>
      <c r="E18" s="135" t="s">
        <v>758</v>
      </c>
      <c r="F18" s="135" t="s">
        <v>758</v>
      </c>
      <c r="G18" s="135" t="s">
        <v>758</v>
      </c>
      <c r="H18" s="135" t="s">
        <v>758</v>
      </c>
      <c r="I18" s="135" t="s">
        <v>758</v>
      </c>
      <c r="J18" s="135" t="s">
        <v>758</v>
      </c>
      <c r="K18" s="135" t="s">
        <v>1685</v>
      </c>
      <c r="L18" s="135" t="s">
        <v>1689</v>
      </c>
    </row>
    <row r="19" spans="1:12" x14ac:dyDescent="0.3">
      <c r="A19" s="135" t="s">
        <v>831</v>
      </c>
      <c r="B19" s="135" t="s">
        <v>22</v>
      </c>
      <c r="C19" s="135" t="s">
        <v>459</v>
      </c>
      <c r="D19" s="135" t="s">
        <v>758</v>
      </c>
      <c r="E19" s="135" t="s">
        <v>758</v>
      </c>
      <c r="F19" s="135" t="s">
        <v>758</v>
      </c>
      <c r="G19" s="135" t="s">
        <v>758</v>
      </c>
      <c r="H19" s="135" t="s">
        <v>758</v>
      </c>
      <c r="I19" s="135" t="s">
        <v>758</v>
      </c>
      <c r="J19" s="135" t="s">
        <v>758</v>
      </c>
      <c r="K19" s="135" t="s">
        <v>1639</v>
      </c>
      <c r="L19" s="135" t="s">
        <v>1689</v>
      </c>
    </row>
    <row r="20" spans="1:12" x14ac:dyDescent="0.3">
      <c r="A20" s="135" t="s">
        <v>852</v>
      </c>
      <c r="B20" s="135" t="s">
        <v>402</v>
      </c>
      <c r="C20" s="135" t="s">
        <v>459</v>
      </c>
      <c r="D20" s="135" t="s">
        <v>758</v>
      </c>
      <c r="E20" s="135" t="s">
        <v>758</v>
      </c>
      <c r="F20" s="135" t="s">
        <v>758</v>
      </c>
      <c r="G20" s="135" t="s">
        <v>758</v>
      </c>
      <c r="H20" s="135" t="s">
        <v>758</v>
      </c>
      <c r="I20" s="135" t="s">
        <v>758</v>
      </c>
      <c r="J20" s="135" t="s">
        <v>758</v>
      </c>
      <c r="K20" s="135" t="s">
        <v>1652</v>
      </c>
      <c r="L20" s="135" t="s">
        <v>1689</v>
      </c>
    </row>
    <row r="21" spans="1:12" x14ac:dyDescent="0.3">
      <c r="A21" s="135" t="s">
        <v>835</v>
      </c>
      <c r="B21" s="135" t="s">
        <v>4</v>
      </c>
      <c r="C21" s="135" t="s">
        <v>459</v>
      </c>
      <c r="D21" s="135" t="s">
        <v>758</v>
      </c>
      <c r="E21" s="135" t="s">
        <v>758</v>
      </c>
      <c r="F21" s="135" t="s">
        <v>758</v>
      </c>
      <c r="G21" s="135" t="s">
        <v>758</v>
      </c>
      <c r="H21" s="135" t="s">
        <v>758</v>
      </c>
      <c r="I21" s="135" t="s">
        <v>758</v>
      </c>
      <c r="J21" s="135" t="s">
        <v>758</v>
      </c>
      <c r="K21" s="135" t="s">
        <v>1652</v>
      </c>
      <c r="L21" s="135" t="s">
        <v>1689</v>
      </c>
    </row>
    <row r="22" spans="1:12" x14ac:dyDescent="0.3">
      <c r="A22" s="135" t="s">
        <v>827</v>
      </c>
      <c r="B22" s="135" t="s">
        <v>404</v>
      </c>
      <c r="C22" s="135" t="s">
        <v>459</v>
      </c>
      <c r="D22" s="135" t="s">
        <v>758</v>
      </c>
      <c r="E22" s="135" t="s">
        <v>758</v>
      </c>
      <c r="F22" s="135" t="s">
        <v>758</v>
      </c>
      <c r="G22" s="135" t="s">
        <v>758</v>
      </c>
      <c r="H22" s="135" t="s">
        <v>758</v>
      </c>
      <c r="I22" s="135" t="s">
        <v>758</v>
      </c>
      <c r="J22" s="135" t="s">
        <v>758</v>
      </c>
      <c r="K22" s="135" t="s">
        <v>1687</v>
      </c>
      <c r="L22" s="135" t="s">
        <v>1689</v>
      </c>
    </row>
    <row r="23" spans="1:12" x14ac:dyDescent="0.3">
      <c r="A23" s="135" t="s">
        <v>844</v>
      </c>
      <c r="B23" s="135" t="s">
        <v>398</v>
      </c>
      <c r="C23" s="135" t="s">
        <v>459</v>
      </c>
      <c r="D23" s="135" t="s">
        <v>758</v>
      </c>
      <c r="E23" s="135" t="s">
        <v>758</v>
      </c>
      <c r="F23" s="135" t="s">
        <v>758</v>
      </c>
      <c r="G23" s="135" t="s">
        <v>758</v>
      </c>
      <c r="H23" s="135" t="s">
        <v>758</v>
      </c>
      <c r="I23" s="135" t="s">
        <v>758</v>
      </c>
      <c r="J23" s="135" t="s">
        <v>758</v>
      </c>
      <c r="K23" s="135" t="s">
        <v>1686</v>
      </c>
      <c r="L23" s="135" t="s">
        <v>1689</v>
      </c>
    </row>
    <row r="24" spans="1:12" x14ac:dyDescent="0.3">
      <c r="A24" s="135" t="s">
        <v>847</v>
      </c>
      <c r="B24" s="135" t="s">
        <v>7</v>
      </c>
      <c r="C24" s="135" t="s">
        <v>459</v>
      </c>
      <c r="D24" s="135" t="s">
        <v>758</v>
      </c>
      <c r="E24" s="135" t="s">
        <v>758</v>
      </c>
      <c r="F24" s="135" t="s">
        <v>758</v>
      </c>
      <c r="G24" s="135" t="s">
        <v>758</v>
      </c>
      <c r="H24" s="135" t="s">
        <v>758</v>
      </c>
      <c r="I24" s="135" t="s">
        <v>758</v>
      </c>
      <c r="J24" s="135" t="s">
        <v>758</v>
      </c>
      <c r="K24" s="135" t="s">
        <v>1628</v>
      </c>
      <c r="L24" s="135" t="s">
        <v>1689</v>
      </c>
    </row>
    <row r="25" spans="1:12" x14ac:dyDescent="0.3">
      <c r="A25" s="135" t="s">
        <v>849</v>
      </c>
      <c r="B25" s="135" t="s">
        <v>20</v>
      </c>
      <c r="C25" s="135" t="s">
        <v>459</v>
      </c>
      <c r="D25" s="135" t="s">
        <v>758</v>
      </c>
      <c r="E25" s="135" t="s">
        <v>758</v>
      </c>
      <c r="F25" s="135" t="s">
        <v>758</v>
      </c>
      <c r="G25" s="135" t="s">
        <v>758</v>
      </c>
      <c r="H25" s="135" t="s">
        <v>758</v>
      </c>
      <c r="I25" s="135" t="s">
        <v>758</v>
      </c>
      <c r="J25" s="135" t="s">
        <v>758</v>
      </c>
      <c r="K25" s="135" t="s">
        <v>1639</v>
      </c>
      <c r="L25" s="135" t="s">
        <v>1689</v>
      </c>
    </row>
    <row r="26" spans="1:12" x14ac:dyDescent="0.3">
      <c r="A26" s="135" t="s">
        <v>845</v>
      </c>
      <c r="B26" s="135" t="s">
        <v>401</v>
      </c>
      <c r="C26" s="135" t="s">
        <v>459</v>
      </c>
      <c r="D26" s="135" t="s">
        <v>758</v>
      </c>
      <c r="E26" s="135" t="s">
        <v>758</v>
      </c>
      <c r="F26" s="135" t="s">
        <v>758</v>
      </c>
      <c r="G26" s="135" t="s">
        <v>758</v>
      </c>
      <c r="H26" s="135" t="s">
        <v>758</v>
      </c>
      <c r="I26" s="135" t="s">
        <v>758</v>
      </c>
      <c r="J26" s="135" t="s">
        <v>758</v>
      </c>
      <c r="K26" s="135" t="s">
        <v>1686</v>
      </c>
      <c r="L26" s="135" t="s">
        <v>1689</v>
      </c>
    </row>
    <row r="27" spans="1:12" x14ac:dyDescent="0.3">
      <c r="A27" s="135" t="s">
        <v>858</v>
      </c>
      <c r="B27" s="135" t="s">
        <v>43</v>
      </c>
      <c r="C27" s="135" t="s">
        <v>459</v>
      </c>
      <c r="D27" s="135" t="s">
        <v>758</v>
      </c>
      <c r="E27" s="135" t="s">
        <v>758</v>
      </c>
      <c r="F27" s="135" t="s">
        <v>758</v>
      </c>
      <c r="G27" s="135" t="s">
        <v>758</v>
      </c>
      <c r="H27" s="135" t="s">
        <v>758</v>
      </c>
      <c r="I27" s="135" t="s">
        <v>758</v>
      </c>
      <c r="J27" s="135" t="s">
        <v>758</v>
      </c>
      <c r="K27" s="135" t="s">
        <v>1649</v>
      </c>
      <c r="L27" s="135" t="s">
        <v>1689</v>
      </c>
    </row>
    <row r="28" spans="1:12" x14ac:dyDescent="0.3">
      <c r="A28" s="135" t="s">
        <v>836</v>
      </c>
      <c r="B28" s="135" t="s">
        <v>30</v>
      </c>
      <c r="C28" s="135" t="s">
        <v>459</v>
      </c>
      <c r="D28" s="135" t="s">
        <v>758</v>
      </c>
      <c r="E28" s="135" t="s">
        <v>758</v>
      </c>
      <c r="F28" s="135" t="s">
        <v>758</v>
      </c>
      <c r="G28" s="135" t="s">
        <v>758</v>
      </c>
      <c r="H28" s="135" t="s">
        <v>758</v>
      </c>
      <c r="I28" s="135" t="s">
        <v>758</v>
      </c>
      <c r="J28" s="135" t="s">
        <v>758</v>
      </c>
      <c r="K28" s="135" t="s">
        <v>1688</v>
      </c>
      <c r="L28" s="135" t="s">
        <v>1689</v>
      </c>
    </row>
    <row r="29" spans="1:12" x14ac:dyDescent="0.3">
      <c r="A29" s="135" t="s">
        <v>855</v>
      </c>
      <c r="B29" s="135" t="s">
        <v>41</v>
      </c>
      <c r="C29" s="135" t="s">
        <v>459</v>
      </c>
      <c r="D29" s="135" t="s">
        <v>758</v>
      </c>
      <c r="E29" s="135" t="s">
        <v>758</v>
      </c>
      <c r="F29" s="135" t="s">
        <v>758</v>
      </c>
      <c r="G29" s="135" t="s">
        <v>758</v>
      </c>
      <c r="H29" s="135" t="s">
        <v>758</v>
      </c>
      <c r="I29" s="135" t="s">
        <v>758</v>
      </c>
      <c r="J29" s="135" t="s">
        <v>758</v>
      </c>
      <c r="K29" s="135" t="s">
        <v>1641</v>
      </c>
      <c r="L29" s="135" t="s">
        <v>1689</v>
      </c>
    </row>
    <row r="30" spans="1:12" x14ac:dyDescent="0.3">
      <c r="A30" s="135" t="s">
        <v>838</v>
      </c>
      <c r="B30" s="135" t="s">
        <v>18</v>
      </c>
      <c r="C30" s="135" t="s">
        <v>459</v>
      </c>
      <c r="D30" s="135" t="s">
        <v>758</v>
      </c>
      <c r="E30" s="135" t="s">
        <v>758</v>
      </c>
      <c r="F30" s="135" t="s">
        <v>758</v>
      </c>
      <c r="G30" s="135" t="s">
        <v>758</v>
      </c>
      <c r="H30" s="135" t="s">
        <v>758</v>
      </c>
      <c r="I30" s="135" t="s">
        <v>758</v>
      </c>
      <c r="J30" s="135" t="s">
        <v>758</v>
      </c>
      <c r="K30" s="135" t="s">
        <v>1654</v>
      </c>
      <c r="L30" s="135" t="s">
        <v>1689</v>
      </c>
    </row>
    <row r="31" spans="1:12" x14ac:dyDescent="0.3">
      <c r="A31" s="135" t="s">
        <v>833</v>
      </c>
      <c r="B31" s="135" t="s">
        <v>14</v>
      </c>
      <c r="C31" s="135" t="s">
        <v>459</v>
      </c>
      <c r="D31" s="135" t="s">
        <v>758</v>
      </c>
      <c r="E31" s="135" t="s">
        <v>758</v>
      </c>
      <c r="F31" s="135" t="s">
        <v>758</v>
      </c>
      <c r="G31" s="135" t="s">
        <v>758</v>
      </c>
      <c r="H31" s="135" t="s">
        <v>758</v>
      </c>
      <c r="I31" s="135" t="s">
        <v>758</v>
      </c>
      <c r="J31" s="135" t="s">
        <v>758</v>
      </c>
      <c r="K31" s="135" t="s">
        <v>1686</v>
      </c>
      <c r="L31" s="135" t="s">
        <v>1689</v>
      </c>
    </row>
    <row r="32" spans="1:12" x14ac:dyDescent="0.3">
      <c r="A32" s="135" t="s">
        <v>859</v>
      </c>
      <c r="B32" s="135" t="s">
        <v>409</v>
      </c>
      <c r="C32" s="135" t="s">
        <v>459</v>
      </c>
      <c r="D32" s="135" t="s">
        <v>758</v>
      </c>
      <c r="E32" s="135" t="s">
        <v>758</v>
      </c>
      <c r="F32" s="135" t="s">
        <v>758</v>
      </c>
      <c r="G32" s="135" t="s">
        <v>758</v>
      </c>
      <c r="H32" s="135" t="s">
        <v>758</v>
      </c>
      <c r="I32" s="135" t="s">
        <v>758</v>
      </c>
      <c r="J32" s="135" t="s">
        <v>758</v>
      </c>
      <c r="K32" s="135" t="s">
        <v>1684</v>
      </c>
      <c r="L32" s="135" t="s">
        <v>1689</v>
      </c>
    </row>
    <row r="33" spans="1:12" x14ac:dyDescent="0.3">
      <c r="A33" s="135"/>
      <c r="B33" s="135"/>
      <c r="C33" s="135"/>
      <c r="D33" s="135"/>
      <c r="E33" s="135"/>
      <c r="F33" s="135"/>
      <c r="G33" s="135"/>
      <c r="H33" s="135"/>
      <c r="I33" s="135"/>
      <c r="J33" s="135"/>
      <c r="K33" s="135"/>
      <c r="L33" s="135"/>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3"/>
  <sheetViews>
    <sheetView workbookViewId="0">
      <selection activeCell="B20" sqref="B20"/>
    </sheetView>
  </sheetViews>
  <sheetFormatPr defaultRowHeight="14.4" x14ac:dyDescent="0.3"/>
  <cols>
    <col min="2" max="2" width="23.21875" bestFit="1" customWidth="1"/>
    <col min="3" max="4" width="23.21875" style="135" customWidth="1"/>
    <col min="6" max="6" width="10" customWidth="1"/>
    <col min="10" max="10" width="11.21875" bestFit="1" customWidth="1"/>
  </cols>
  <sheetData>
    <row r="1" spans="1:19" x14ac:dyDescent="0.3">
      <c r="A1" s="100" t="s">
        <v>863</v>
      </c>
      <c r="B1" s="100" t="s">
        <v>415</v>
      </c>
      <c r="C1" s="100" t="s">
        <v>81</v>
      </c>
      <c r="D1" s="100" t="s">
        <v>884</v>
      </c>
      <c r="E1" s="100" t="s">
        <v>1288</v>
      </c>
      <c r="F1" s="100" t="s">
        <v>605</v>
      </c>
      <c r="G1" s="100" t="s">
        <v>1289</v>
      </c>
      <c r="H1" s="100" t="s">
        <v>1290</v>
      </c>
      <c r="I1" s="100" t="s">
        <v>1295</v>
      </c>
      <c r="J1" s="100" t="s">
        <v>758</v>
      </c>
      <c r="K1" s="106" t="s">
        <v>1330</v>
      </c>
      <c r="L1" s="106" t="s">
        <v>1331</v>
      </c>
      <c r="M1" s="100" t="s">
        <v>1291</v>
      </c>
      <c r="N1" s="100" t="s">
        <v>1292</v>
      </c>
      <c r="O1" s="100" t="s">
        <v>1293</v>
      </c>
      <c r="P1" s="100" t="s">
        <v>1294</v>
      </c>
      <c r="Q1" s="100" t="s">
        <v>1233</v>
      </c>
      <c r="R1" s="100" t="s">
        <v>1234</v>
      </c>
      <c r="S1" s="100" t="s">
        <v>1235</v>
      </c>
    </row>
    <row r="2" spans="1:19" x14ac:dyDescent="0.3">
      <c r="A2" s="135">
        <v>1</v>
      </c>
      <c r="B2" s="135" t="s">
        <v>851</v>
      </c>
      <c r="C2" s="135" t="s">
        <v>401</v>
      </c>
      <c r="D2" s="135">
        <v>2.7</v>
      </c>
      <c r="E2" s="135">
        <v>0</v>
      </c>
      <c r="F2" s="135">
        <v>0.9</v>
      </c>
      <c r="G2" s="135">
        <v>1.2</v>
      </c>
      <c r="H2" s="135">
        <v>0.8</v>
      </c>
      <c r="I2" s="135">
        <v>0.3</v>
      </c>
      <c r="J2" s="135">
        <v>0</v>
      </c>
      <c r="K2" s="135">
        <v>0</v>
      </c>
      <c r="L2" s="135">
        <v>0</v>
      </c>
      <c r="M2" s="135">
        <v>1</v>
      </c>
      <c r="N2" s="135">
        <v>0</v>
      </c>
      <c r="O2" s="135">
        <v>0</v>
      </c>
      <c r="P2" s="135">
        <v>0</v>
      </c>
      <c r="Q2" s="135">
        <v>12.3</v>
      </c>
      <c r="R2" s="135">
        <v>12.3</v>
      </c>
      <c r="S2" s="135">
        <v>1</v>
      </c>
    </row>
    <row r="3" spans="1:19" x14ac:dyDescent="0.3">
      <c r="A3" s="135">
        <v>2</v>
      </c>
      <c r="B3" s="135" t="s">
        <v>847</v>
      </c>
      <c r="C3" s="135" t="s">
        <v>34</v>
      </c>
      <c r="D3" s="135">
        <v>2.2999999999999998</v>
      </c>
      <c r="E3" s="135">
        <v>0</v>
      </c>
      <c r="F3" s="135">
        <v>0.9</v>
      </c>
      <c r="G3" s="135">
        <v>1</v>
      </c>
      <c r="H3" s="135">
        <v>0.7</v>
      </c>
      <c r="I3" s="135">
        <v>0.2</v>
      </c>
      <c r="J3" s="135">
        <v>0</v>
      </c>
      <c r="K3" s="135">
        <v>0</v>
      </c>
      <c r="L3" s="135">
        <v>0</v>
      </c>
      <c r="M3" s="135">
        <v>1</v>
      </c>
      <c r="N3" s="135">
        <v>0</v>
      </c>
      <c r="O3" s="135">
        <v>0</v>
      </c>
      <c r="P3" s="135">
        <v>0</v>
      </c>
      <c r="Q3" s="135">
        <v>11.6</v>
      </c>
      <c r="R3" s="135">
        <v>11.6</v>
      </c>
      <c r="S3" s="135">
        <v>1</v>
      </c>
    </row>
    <row r="4" spans="1:19" x14ac:dyDescent="0.3">
      <c r="A4" s="135">
        <v>3</v>
      </c>
      <c r="B4" s="135" t="s">
        <v>854</v>
      </c>
      <c r="C4" s="135" t="s">
        <v>409</v>
      </c>
      <c r="D4" s="135">
        <v>1.5</v>
      </c>
      <c r="E4" s="135">
        <v>0</v>
      </c>
      <c r="F4" s="135">
        <v>1</v>
      </c>
      <c r="G4" s="135">
        <v>1.2</v>
      </c>
      <c r="H4" s="135">
        <v>0.8</v>
      </c>
      <c r="I4" s="135">
        <v>0.3</v>
      </c>
      <c r="J4" s="135">
        <v>0</v>
      </c>
      <c r="K4" s="135">
        <v>0</v>
      </c>
      <c r="L4" s="135">
        <v>0</v>
      </c>
      <c r="M4" s="135">
        <v>1</v>
      </c>
      <c r="N4" s="135">
        <v>0</v>
      </c>
      <c r="O4" s="135">
        <v>0</v>
      </c>
      <c r="P4" s="135">
        <v>0</v>
      </c>
      <c r="Q4" s="135">
        <v>11.4</v>
      </c>
      <c r="R4" s="135">
        <v>11.4</v>
      </c>
      <c r="S4" s="135">
        <v>1</v>
      </c>
    </row>
    <row r="5" spans="1:19" x14ac:dyDescent="0.3">
      <c r="A5" s="135">
        <v>4</v>
      </c>
      <c r="B5" s="135" t="s">
        <v>858</v>
      </c>
      <c r="C5" s="135" t="s">
        <v>30</v>
      </c>
      <c r="D5" s="135">
        <v>2.7</v>
      </c>
      <c r="E5" s="135">
        <v>0</v>
      </c>
      <c r="F5" s="135">
        <v>0.8</v>
      </c>
      <c r="G5" s="135">
        <v>0.7</v>
      </c>
      <c r="H5" s="135">
        <v>0.5</v>
      </c>
      <c r="I5" s="135">
        <v>0.2</v>
      </c>
      <c r="J5" s="135">
        <v>0</v>
      </c>
      <c r="K5" s="135">
        <v>0</v>
      </c>
      <c r="L5" s="135">
        <v>0</v>
      </c>
      <c r="M5" s="135">
        <v>1</v>
      </c>
      <c r="N5" s="135">
        <v>0</v>
      </c>
      <c r="O5" s="135">
        <v>0</v>
      </c>
      <c r="P5" s="135">
        <v>0</v>
      </c>
      <c r="Q5" s="135">
        <v>10.6</v>
      </c>
      <c r="R5" s="135">
        <v>10.6</v>
      </c>
      <c r="S5" s="135">
        <v>1</v>
      </c>
    </row>
    <row r="6" spans="1:19" x14ac:dyDescent="0.3">
      <c r="A6" s="135">
        <v>5</v>
      </c>
      <c r="B6" s="135" t="s">
        <v>831</v>
      </c>
      <c r="C6" s="135" t="s">
        <v>50</v>
      </c>
      <c r="D6" s="135">
        <v>2.6</v>
      </c>
      <c r="E6" s="135">
        <v>0</v>
      </c>
      <c r="F6" s="135">
        <v>1.2</v>
      </c>
      <c r="G6" s="135">
        <v>1.4</v>
      </c>
      <c r="H6" s="135">
        <v>0.9</v>
      </c>
      <c r="I6" s="135">
        <v>0.4</v>
      </c>
      <c r="J6" s="135">
        <v>0</v>
      </c>
      <c r="K6" s="135">
        <v>0</v>
      </c>
      <c r="L6" s="135">
        <v>0</v>
      </c>
      <c r="M6" s="135">
        <v>0</v>
      </c>
      <c r="N6" s="135">
        <v>1</v>
      </c>
      <c r="O6" s="135">
        <v>0</v>
      </c>
      <c r="P6" s="135">
        <v>0</v>
      </c>
      <c r="Q6" s="135">
        <v>9.8000000000000007</v>
      </c>
      <c r="R6" s="135">
        <v>9.8000000000000007</v>
      </c>
      <c r="S6" s="135">
        <v>1</v>
      </c>
    </row>
    <row r="7" spans="1:19" x14ac:dyDescent="0.3">
      <c r="A7" s="135">
        <v>6</v>
      </c>
      <c r="B7" s="135" t="s">
        <v>850</v>
      </c>
      <c r="C7" s="135" t="s">
        <v>20</v>
      </c>
      <c r="D7" s="135">
        <v>2.6</v>
      </c>
      <c r="E7" s="135">
        <v>0</v>
      </c>
      <c r="F7" s="135">
        <v>1.3</v>
      </c>
      <c r="G7" s="135">
        <v>0.7</v>
      </c>
      <c r="H7" s="135">
        <v>0.6</v>
      </c>
      <c r="I7" s="135">
        <v>0.3</v>
      </c>
      <c r="J7" s="135">
        <v>0</v>
      </c>
      <c r="K7" s="135">
        <v>0</v>
      </c>
      <c r="L7" s="135">
        <v>0</v>
      </c>
      <c r="M7" s="135">
        <v>0</v>
      </c>
      <c r="N7" s="135">
        <v>0</v>
      </c>
      <c r="O7" s="135">
        <v>1</v>
      </c>
      <c r="P7" s="135">
        <v>0</v>
      </c>
      <c r="Q7" s="135">
        <v>8.5</v>
      </c>
      <c r="R7" s="135">
        <v>8.5</v>
      </c>
      <c r="S7" s="135">
        <v>1</v>
      </c>
    </row>
    <row r="8" spans="1:19" x14ac:dyDescent="0.3">
      <c r="A8" s="135">
        <v>7</v>
      </c>
      <c r="B8" s="135" t="s">
        <v>842</v>
      </c>
      <c r="C8" s="135" t="s">
        <v>57</v>
      </c>
      <c r="D8" s="135">
        <v>2.9</v>
      </c>
      <c r="E8" s="135">
        <v>0</v>
      </c>
      <c r="F8" s="135">
        <v>1.1000000000000001</v>
      </c>
      <c r="G8" s="135">
        <v>0.6</v>
      </c>
      <c r="H8" s="135">
        <v>0.5</v>
      </c>
      <c r="I8" s="135">
        <v>0.2</v>
      </c>
      <c r="J8" s="135">
        <v>0</v>
      </c>
      <c r="K8" s="135">
        <v>0</v>
      </c>
      <c r="L8" s="135">
        <v>0</v>
      </c>
      <c r="M8" s="135">
        <v>0</v>
      </c>
      <c r="N8" s="135">
        <v>1</v>
      </c>
      <c r="O8" s="135">
        <v>0</v>
      </c>
      <c r="P8" s="135">
        <v>0</v>
      </c>
      <c r="Q8" s="135">
        <v>7.7</v>
      </c>
      <c r="R8" s="135">
        <v>7.7</v>
      </c>
      <c r="S8" s="135">
        <v>1</v>
      </c>
    </row>
    <row r="9" spans="1:19" x14ac:dyDescent="0.3">
      <c r="A9" s="135">
        <v>8</v>
      </c>
      <c r="B9" s="135" t="s">
        <v>835</v>
      </c>
      <c r="C9" s="135" t="s">
        <v>1237</v>
      </c>
      <c r="D9" s="135">
        <v>2.2999999999999998</v>
      </c>
      <c r="E9" s="135">
        <v>0</v>
      </c>
      <c r="F9" s="135">
        <v>1.1000000000000001</v>
      </c>
      <c r="G9" s="135">
        <v>0.9</v>
      </c>
      <c r="H9" s="135">
        <v>0.7</v>
      </c>
      <c r="I9" s="135">
        <v>0.2</v>
      </c>
      <c r="J9" s="135">
        <v>0</v>
      </c>
      <c r="K9" s="135">
        <v>0</v>
      </c>
      <c r="L9" s="135">
        <v>0</v>
      </c>
      <c r="M9" s="135">
        <v>0</v>
      </c>
      <c r="N9" s="135">
        <v>1</v>
      </c>
      <c r="O9" s="135">
        <v>0</v>
      </c>
      <c r="P9" s="135">
        <v>0</v>
      </c>
      <c r="Q9" s="135">
        <v>7.5</v>
      </c>
      <c r="R9" s="135">
        <v>7.5</v>
      </c>
      <c r="S9" s="135">
        <v>1</v>
      </c>
    </row>
    <row r="10" spans="1:19" x14ac:dyDescent="0.3">
      <c r="A10" s="135">
        <v>9</v>
      </c>
      <c r="B10" s="135" t="s">
        <v>849</v>
      </c>
      <c r="C10" s="135" t="s">
        <v>397</v>
      </c>
      <c r="D10" s="135">
        <v>2.9</v>
      </c>
      <c r="E10" s="135">
        <v>0</v>
      </c>
      <c r="F10" s="135">
        <v>0.7</v>
      </c>
      <c r="G10" s="135">
        <v>0.9</v>
      </c>
      <c r="H10" s="135">
        <v>0.6</v>
      </c>
      <c r="I10" s="135">
        <v>0.2</v>
      </c>
      <c r="J10" s="135">
        <v>0</v>
      </c>
      <c r="K10" s="135">
        <v>0</v>
      </c>
      <c r="L10" s="135">
        <v>0</v>
      </c>
      <c r="M10" s="135">
        <v>0</v>
      </c>
      <c r="N10" s="135">
        <v>1</v>
      </c>
      <c r="O10" s="135">
        <v>0</v>
      </c>
      <c r="P10" s="135">
        <v>0</v>
      </c>
      <c r="Q10" s="135">
        <v>7.5</v>
      </c>
      <c r="R10" s="135">
        <v>7.5</v>
      </c>
      <c r="S10" s="135">
        <v>1</v>
      </c>
    </row>
    <row r="11" spans="1:19" x14ac:dyDescent="0.3">
      <c r="A11" s="135">
        <v>10</v>
      </c>
      <c r="B11" s="135" t="s">
        <v>829</v>
      </c>
      <c r="C11" s="135" t="s">
        <v>41</v>
      </c>
      <c r="D11" s="135">
        <v>2.2000000000000002</v>
      </c>
      <c r="E11" s="135">
        <v>0</v>
      </c>
      <c r="F11" s="135">
        <v>0.8</v>
      </c>
      <c r="G11" s="135">
        <v>1.1000000000000001</v>
      </c>
      <c r="H11" s="135">
        <v>0.7</v>
      </c>
      <c r="I11" s="135">
        <v>0.3</v>
      </c>
      <c r="J11" s="135">
        <v>0</v>
      </c>
      <c r="K11" s="135">
        <v>0</v>
      </c>
      <c r="L11" s="135">
        <v>0</v>
      </c>
      <c r="M11" s="135">
        <v>0</v>
      </c>
      <c r="N11" s="135">
        <v>1</v>
      </c>
      <c r="O11" s="135">
        <v>0</v>
      </c>
      <c r="P11" s="135">
        <v>0</v>
      </c>
      <c r="Q11" s="135">
        <v>7.4</v>
      </c>
      <c r="R11" s="135">
        <v>7.4</v>
      </c>
      <c r="S11" s="135">
        <v>1</v>
      </c>
    </row>
    <row r="12" spans="1:19" x14ac:dyDescent="0.3">
      <c r="A12" s="135">
        <v>11</v>
      </c>
      <c r="B12" s="135" t="s">
        <v>859</v>
      </c>
      <c r="C12" s="135" t="s">
        <v>1236</v>
      </c>
      <c r="D12" s="135">
        <v>2.1</v>
      </c>
      <c r="E12" s="135">
        <v>0</v>
      </c>
      <c r="F12" s="135">
        <v>0.7</v>
      </c>
      <c r="G12" s="135">
        <v>1.2</v>
      </c>
      <c r="H12" s="135">
        <v>0.8</v>
      </c>
      <c r="I12" s="135">
        <v>0.3</v>
      </c>
      <c r="J12" s="135">
        <v>0</v>
      </c>
      <c r="K12" s="135">
        <v>0</v>
      </c>
      <c r="L12" s="135">
        <v>0</v>
      </c>
      <c r="M12" s="135">
        <v>0</v>
      </c>
      <c r="N12" s="135">
        <v>1</v>
      </c>
      <c r="O12" s="135">
        <v>0</v>
      </c>
      <c r="P12" s="135">
        <v>0</v>
      </c>
      <c r="Q12" s="135">
        <v>7.3</v>
      </c>
      <c r="R12" s="135">
        <v>7.3</v>
      </c>
      <c r="S12" s="135">
        <v>1</v>
      </c>
    </row>
    <row r="13" spans="1:19" x14ac:dyDescent="0.3">
      <c r="A13" s="135">
        <v>12</v>
      </c>
      <c r="B13" s="135" t="s">
        <v>839</v>
      </c>
      <c r="C13" s="135" t="s">
        <v>46</v>
      </c>
      <c r="D13" s="135">
        <v>2.6</v>
      </c>
      <c r="E13" s="135">
        <v>0</v>
      </c>
      <c r="F13" s="135">
        <v>0.7</v>
      </c>
      <c r="G13" s="135">
        <v>1</v>
      </c>
      <c r="H13" s="135">
        <v>0.7</v>
      </c>
      <c r="I13" s="135">
        <v>0.2</v>
      </c>
      <c r="J13" s="135">
        <v>0</v>
      </c>
      <c r="K13" s="135">
        <v>0</v>
      </c>
      <c r="L13" s="135">
        <v>0</v>
      </c>
      <c r="M13" s="135">
        <v>0</v>
      </c>
      <c r="N13" s="135">
        <v>1</v>
      </c>
      <c r="O13" s="135">
        <v>0</v>
      </c>
      <c r="P13" s="135">
        <v>0</v>
      </c>
      <c r="Q13" s="135">
        <v>7.1</v>
      </c>
      <c r="R13" s="135">
        <v>7.1</v>
      </c>
      <c r="S13" s="135">
        <v>1</v>
      </c>
    </row>
    <row r="14" spans="1:19" x14ac:dyDescent="0.3">
      <c r="A14" s="135">
        <v>13</v>
      </c>
      <c r="B14" s="135" t="s">
        <v>857</v>
      </c>
      <c r="C14" s="135" t="s">
        <v>7</v>
      </c>
      <c r="D14" s="135">
        <v>2.6</v>
      </c>
      <c r="E14" s="135">
        <v>0</v>
      </c>
      <c r="F14" s="135">
        <v>0.7</v>
      </c>
      <c r="G14" s="135">
        <v>0.8</v>
      </c>
      <c r="H14" s="135">
        <v>0.6</v>
      </c>
      <c r="I14" s="135">
        <v>0.2</v>
      </c>
      <c r="J14" s="135">
        <v>0</v>
      </c>
      <c r="K14" s="135">
        <v>0</v>
      </c>
      <c r="L14" s="135">
        <v>0</v>
      </c>
      <c r="M14" s="135">
        <v>0</v>
      </c>
      <c r="N14" s="135">
        <v>1</v>
      </c>
      <c r="O14" s="135">
        <v>0</v>
      </c>
      <c r="P14" s="135">
        <v>0</v>
      </c>
      <c r="Q14" s="135">
        <v>7.1</v>
      </c>
      <c r="R14" s="135">
        <v>7.1</v>
      </c>
      <c r="S14" s="135">
        <v>0</v>
      </c>
    </row>
    <row r="15" spans="1:19" x14ac:dyDescent="0.3">
      <c r="A15" s="135">
        <v>14</v>
      </c>
      <c r="B15" s="135" t="s">
        <v>834</v>
      </c>
      <c r="C15" s="135" t="s">
        <v>16</v>
      </c>
      <c r="D15" s="135">
        <v>2.4</v>
      </c>
      <c r="E15" s="135">
        <v>0</v>
      </c>
      <c r="F15" s="135">
        <v>1.1000000000000001</v>
      </c>
      <c r="G15" s="135">
        <v>0.7</v>
      </c>
      <c r="H15" s="135">
        <v>0.5</v>
      </c>
      <c r="I15" s="135">
        <v>0.2</v>
      </c>
      <c r="J15" s="135">
        <v>0</v>
      </c>
      <c r="K15" s="135">
        <v>0</v>
      </c>
      <c r="L15" s="135">
        <v>0</v>
      </c>
      <c r="M15" s="135">
        <v>0</v>
      </c>
      <c r="N15" s="135">
        <v>1</v>
      </c>
      <c r="O15" s="135">
        <v>0</v>
      </c>
      <c r="P15" s="135">
        <v>0</v>
      </c>
      <c r="Q15" s="135">
        <v>7</v>
      </c>
      <c r="R15" s="135">
        <v>7</v>
      </c>
      <c r="S15" s="135">
        <v>0</v>
      </c>
    </row>
    <row r="16" spans="1:19" x14ac:dyDescent="0.3">
      <c r="A16" s="135">
        <v>15</v>
      </c>
      <c r="B16" s="135" t="s">
        <v>840</v>
      </c>
      <c r="C16" s="135" t="s">
        <v>12</v>
      </c>
      <c r="D16" s="135">
        <v>2.5</v>
      </c>
      <c r="E16" s="135">
        <v>0</v>
      </c>
      <c r="F16" s="135">
        <v>0.9</v>
      </c>
      <c r="G16" s="135">
        <v>0.7</v>
      </c>
      <c r="H16" s="135">
        <v>0.6</v>
      </c>
      <c r="I16" s="135">
        <v>0.2</v>
      </c>
      <c r="J16" s="135">
        <v>0</v>
      </c>
      <c r="K16" s="135">
        <v>0</v>
      </c>
      <c r="L16" s="135">
        <v>0</v>
      </c>
      <c r="M16" s="135">
        <v>0</v>
      </c>
      <c r="N16" s="135">
        <v>1</v>
      </c>
      <c r="O16" s="135">
        <v>0</v>
      </c>
      <c r="P16" s="135">
        <v>0</v>
      </c>
      <c r="Q16" s="135">
        <v>6.9</v>
      </c>
      <c r="R16" s="135">
        <v>6.9</v>
      </c>
      <c r="S16" s="135">
        <v>0</v>
      </c>
    </row>
    <row r="17" spans="1:19" x14ac:dyDescent="0.3">
      <c r="A17" s="135">
        <v>16</v>
      </c>
      <c r="B17" s="135" t="s">
        <v>852</v>
      </c>
      <c r="C17" s="135" t="s">
        <v>10</v>
      </c>
      <c r="D17" s="135">
        <v>2.5</v>
      </c>
      <c r="E17" s="135">
        <v>0</v>
      </c>
      <c r="F17" s="135">
        <v>0.5</v>
      </c>
      <c r="G17" s="135">
        <v>1.1000000000000001</v>
      </c>
      <c r="H17" s="135">
        <v>0.7</v>
      </c>
      <c r="I17" s="135">
        <v>0.2</v>
      </c>
      <c r="J17" s="135">
        <v>0</v>
      </c>
      <c r="K17" s="135">
        <v>0</v>
      </c>
      <c r="L17" s="135">
        <v>0</v>
      </c>
      <c r="M17" s="135">
        <v>0</v>
      </c>
      <c r="N17" s="135">
        <v>1</v>
      </c>
      <c r="O17" s="135">
        <v>0</v>
      </c>
      <c r="P17" s="135">
        <v>0</v>
      </c>
      <c r="Q17" s="135">
        <v>6.9</v>
      </c>
      <c r="R17" s="135">
        <v>6.9</v>
      </c>
      <c r="S17" s="135">
        <v>0</v>
      </c>
    </row>
    <row r="18" spans="1:19" x14ac:dyDescent="0.3">
      <c r="A18" s="135">
        <v>17</v>
      </c>
      <c r="B18" s="135" t="s">
        <v>827</v>
      </c>
      <c r="C18" s="135" t="s">
        <v>407</v>
      </c>
      <c r="D18" s="135">
        <v>2.2999999999999998</v>
      </c>
      <c r="E18" s="135">
        <v>0</v>
      </c>
      <c r="F18" s="135">
        <v>0.7</v>
      </c>
      <c r="G18" s="135">
        <v>1.1000000000000001</v>
      </c>
      <c r="H18" s="135">
        <v>0.7</v>
      </c>
      <c r="I18" s="135">
        <v>0.2</v>
      </c>
      <c r="J18" s="135">
        <v>0</v>
      </c>
      <c r="K18" s="135">
        <v>0</v>
      </c>
      <c r="L18" s="135">
        <v>0</v>
      </c>
      <c r="M18" s="135">
        <v>0</v>
      </c>
      <c r="N18" s="135">
        <v>1</v>
      </c>
      <c r="O18" s="135">
        <v>0</v>
      </c>
      <c r="P18" s="135">
        <v>0</v>
      </c>
      <c r="Q18" s="135">
        <v>6.9</v>
      </c>
      <c r="R18" s="135">
        <v>6.9</v>
      </c>
      <c r="S18" s="135">
        <v>0</v>
      </c>
    </row>
    <row r="19" spans="1:19" x14ac:dyDescent="0.3">
      <c r="A19" s="135">
        <v>18</v>
      </c>
      <c r="B19" s="135" t="s">
        <v>845</v>
      </c>
      <c r="C19" s="135" t="s">
        <v>70</v>
      </c>
      <c r="D19" s="135">
        <v>1.8</v>
      </c>
      <c r="E19" s="135">
        <v>0</v>
      </c>
      <c r="F19" s="135">
        <v>0.8</v>
      </c>
      <c r="G19" s="135">
        <v>1.1000000000000001</v>
      </c>
      <c r="H19" s="135">
        <v>0.8</v>
      </c>
      <c r="I19" s="135">
        <v>0.2</v>
      </c>
      <c r="J19" s="135">
        <v>0</v>
      </c>
      <c r="K19" s="135">
        <v>0</v>
      </c>
      <c r="L19" s="135">
        <v>0</v>
      </c>
      <c r="M19" s="135">
        <v>0</v>
      </c>
      <c r="N19" s="135">
        <v>1</v>
      </c>
      <c r="O19" s="135">
        <v>0</v>
      </c>
      <c r="P19" s="135">
        <v>0</v>
      </c>
      <c r="Q19" s="135">
        <v>6.7</v>
      </c>
      <c r="R19" s="135">
        <v>6.7</v>
      </c>
      <c r="S19" s="135">
        <v>0</v>
      </c>
    </row>
    <row r="20" spans="1:19" x14ac:dyDescent="0.3">
      <c r="A20" s="135">
        <v>19</v>
      </c>
      <c r="B20" s="135" t="s">
        <v>838</v>
      </c>
      <c r="C20" s="135" t="s">
        <v>1239</v>
      </c>
      <c r="D20" s="135">
        <v>1.9</v>
      </c>
      <c r="E20" s="135">
        <v>0</v>
      </c>
      <c r="F20" s="135">
        <v>0.7</v>
      </c>
      <c r="G20" s="135">
        <v>1.1000000000000001</v>
      </c>
      <c r="H20" s="135">
        <v>0.7</v>
      </c>
      <c r="I20" s="135">
        <v>0.2</v>
      </c>
      <c r="J20" s="135">
        <v>0</v>
      </c>
      <c r="K20" s="135">
        <v>0</v>
      </c>
      <c r="L20" s="135">
        <v>0</v>
      </c>
      <c r="M20" s="135">
        <v>0</v>
      </c>
      <c r="N20" s="135">
        <v>1</v>
      </c>
      <c r="O20" s="135">
        <v>0</v>
      </c>
      <c r="P20" s="135">
        <v>0</v>
      </c>
      <c r="Q20" s="135">
        <v>6.7</v>
      </c>
      <c r="R20" s="135">
        <v>6.7</v>
      </c>
      <c r="S20" s="135">
        <v>0</v>
      </c>
    </row>
    <row r="21" spans="1:19" x14ac:dyDescent="0.3">
      <c r="A21" s="135">
        <v>20</v>
      </c>
      <c r="B21" s="135" t="s">
        <v>855</v>
      </c>
      <c r="C21" s="135" t="s">
        <v>37</v>
      </c>
      <c r="D21" s="135">
        <v>2.4</v>
      </c>
      <c r="E21" s="135">
        <v>0</v>
      </c>
      <c r="F21" s="135">
        <v>0.8</v>
      </c>
      <c r="G21" s="135">
        <v>0.7</v>
      </c>
      <c r="H21" s="135">
        <v>0.5</v>
      </c>
      <c r="I21" s="135">
        <v>0.2</v>
      </c>
      <c r="J21" s="135">
        <v>0</v>
      </c>
      <c r="K21" s="135">
        <v>0</v>
      </c>
      <c r="L21" s="135">
        <v>0</v>
      </c>
      <c r="M21" s="135">
        <v>0</v>
      </c>
      <c r="N21" s="135">
        <v>1</v>
      </c>
      <c r="O21" s="135">
        <v>0</v>
      </c>
      <c r="P21" s="135">
        <v>0</v>
      </c>
      <c r="Q21" s="135">
        <v>6.6</v>
      </c>
      <c r="R21" s="135">
        <v>6.6</v>
      </c>
      <c r="S21" s="135">
        <v>0</v>
      </c>
    </row>
    <row r="22" spans="1:19" x14ac:dyDescent="0.3">
      <c r="A22" s="135">
        <v>21</v>
      </c>
      <c r="B22" s="135" t="s">
        <v>853</v>
      </c>
      <c r="C22" s="135" t="s">
        <v>404</v>
      </c>
      <c r="D22" s="135">
        <v>2.2999999999999998</v>
      </c>
      <c r="E22" s="135">
        <v>0</v>
      </c>
      <c r="F22" s="135">
        <v>0.7</v>
      </c>
      <c r="G22" s="135">
        <v>0.7</v>
      </c>
      <c r="H22" s="135">
        <v>0.5</v>
      </c>
      <c r="I22" s="135">
        <v>0.1</v>
      </c>
      <c r="J22" s="135">
        <v>0</v>
      </c>
      <c r="K22" s="135">
        <v>0</v>
      </c>
      <c r="L22" s="135">
        <v>0</v>
      </c>
      <c r="M22" s="135">
        <v>0</v>
      </c>
      <c r="N22" s="135">
        <v>1</v>
      </c>
      <c r="O22" s="135">
        <v>0</v>
      </c>
      <c r="P22" s="135">
        <v>0</v>
      </c>
      <c r="Q22" s="135">
        <v>6.1</v>
      </c>
      <c r="R22" s="135">
        <v>6.1</v>
      </c>
      <c r="S22" s="135">
        <v>0</v>
      </c>
    </row>
    <row r="23" spans="1:19" x14ac:dyDescent="0.3">
      <c r="A23" s="135">
        <v>22</v>
      </c>
      <c r="B23" s="135" t="s">
        <v>833</v>
      </c>
      <c r="C23" s="135" t="s">
        <v>18</v>
      </c>
      <c r="D23" s="135">
        <v>2</v>
      </c>
      <c r="E23" s="135">
        <v>0</v>
      </c>
      <c r="F23" s="135">
        <v>0.7</v>
      </c>
      <c r="G23" s="135">
        <v>0.8</v>
      </c>
      <c r="H23" s="135">
        <v>0.6</v>
      </c>
      <c r="I23" s="135">
        <v>0.2</v>
      </c>
      <c r="J23" s="135">
        <v>0</v>
      </c>
      <c r="K23" s="135">
        <v>0</v>
      </c>
      <c r="L23" s="135">
        <v>0</v>
      </c>
      <c r="M23" s="135">
        <v>0</v>
      </c>
      <c r="N23" s="135">
        <v>1</v>
      </c>
      <c r="O23" s="135">
        <v>0</v>
      </c>
      <c r="P23" s="135">
        <v>0</v>
      </c>
      <c r="Q23" s="135">
        <v>6</v>
      </c>
      <c r="R23" s="135">
        <v>6</v>
      </c>
      <c r="S23" s="135">
        <v>0</v>
      </c>
    </row>
    <row r="24" spans="1:19" x14ac:dyDescent="0.3">
      <c r="A24" s="135">
        <v>23</v>
      </c>
      <c r="B24" s="135" t="s">
        <v>832</v>
      </c>
      <c r="C24" s="135" t="s">
        <v>4</v>
      </c>
      <c r="D24" s="135">
        <v>2.5</v>
      </c>
      <c r="E24" s="135">
        <v>0</v>
      </c>
      <c r="F24" s="135">
        <v>0.8</v>
      </c>
      <c r="G24" s="135">
        <v>0.5</v>
      </c>
      <c r="H24" s="135">
        <v>0.4</v>
      </c>
      <c r="I24" s="135">
        <v>0.1</v>
      </c>
      <c r="J24" s="135">
        <v>0</v>
      </c>
      <c r="K24" s="135">
        <v>0</v>
      </c>
      <c r="L24" s="135">
        <v>0</v>
      </c>
      <c r="M24" s="135">
        <v>0</v>
      </c>
      <c r="N24" s="135">
        <v>1</v>
      </c>
      <c r="O24" s="135">
        <v>0</v>
      </c>
      <c r="P24" s="135">
        <v>0</v>
      </c>
      <c r="Q24" s="135">
        <v>5.9</v>
      </c>
      <c r="R24" s="135">
        <v>5.9</v>
      </c>
      <c r="S24" s="135">
        <v>0</v>
      </c>
    </row>
    <row r="25" spans="1:19" x14ac:dyDescent="0.3">
      <c r="A25" s="135">
        <v>24</v>
      </c>
      <c r="B25" s="135" t="s">
        <v>848</v>
      </c>
      <c r="C25" s="135" t="s">
        <v>402</v>
      </c>
      <c r="D25" s="135">
        <v>1.5</v>
      </c>
      <c r="E25" s="135">
        <v>0</v>
      </c>
      <c r="F25" s="135">
        <v>1.1000000000000001</v>
      </c>
      <c r="G25" s="135">
        <v>0.6</v>
      </c>
      <c r="H25" s="135">
        <v>0.5</v>
      </c>
      <c r="I25" s="135">
        <v>0.2</v>
      </c>
      <c r="J25" s="135">
        <v>0</v>
      </c>
      <c r="K25" s="135">
        <v>0</v>
      </c>
      <c r="L25" s="135">
        <v>0</v>
      </c>
      <c r="M25" s="135">
        <v>0</v>
      </c>
      <c r="N25" s="135">
        <v>1</v>
      </c>
      <c r="O25" s="135">
        <v>0</v>
      </c>
      <c r="P25" s="135">
        <v>0</v>
      </c>
      <c r="Q25" s="135">
        <v>5.9</v>
      </c>
      <c r="R25" s="135">
        <v>5.9</v>
      </c>
      <c r="S25" s="135">
        <v>0</v>
      </c>
    </row>
    <row r="26" spans="1:19" x14ac:dyDescent="0.3">
      <c r="A26" s="135">
        <v>25</v>
      </c>
      <c r="B26" s="135" t="s">
        <v>836</v>
      </c>
      <c r="C26" s="135" t="s">
        <v>1238</v>
      </c>
      <c r="D26" s="135">
        <v>2.2000000000000002</v>
      </c>
      <c r="E26" s="135">
        <v>0</v>
      </c>
      <c r="F26" s="135">
        <v>0.6</v>
      </c>
      <c r="G26" s="135">
        <v>0.6</v>
      </c>
      <c r="H26" s="135">
        <v>0.5</v>
      </c>
      <c r="I26" s="135">
        <v>0.1</v>
      </c>
      <c r="J26" s="135">
        <v>0</v>
      </c>
      <c r="K26" s="135">
        <v>0</v>
      </c>
      <c r="L26" s="135">
        <v>0</v>
      </c>
      <c r="M26" s="135">
        <v>0</v>
      </c>
      <c r="N26" s="135">
        <v>1</v>
      </c>
      <c r="O26" s="135">
        <v>0</v>
      </c>
      <c r="P26" s="135">
        <v>0</v>
      </c>
      <c r="Q26" s="135">
        <v>5.7</v>
      </c>
      <c r="R26" s="135">
        <v>5.7</v>
      </c>
      <c r="S26" s="135">
        <v>0</v>
      </c>
    </row>
    <row r="27" spans="1:19" x14ac:dyDescent="0.3">
      <c r="A27" s="135">
        <v>26</v>
      </c>
      <c r="B27" s="135" t="s">
        <v>828</v>
      </c>
      <c r="C27" s="135" t="s">
        <v>22</v>
      </c>
      <c r="D27" s="135">
        <v>1.5</v>
      </c>
      <c r="E27" s="135">
        <v>0</v>
      </c>
      <c r="F27" s="135">
        <v>0.7</v>
      </c>
      <c r="G27" s="135">
        <v>0.7</v>
      </c>
      <c r="H27" s="135">
        <v>0.5</v>
      </c>
      <c r="I27" s="135">
        <v>0.1</v>
      </c>
      <c r="J27" s="135">
        <v>0</v>
      </c>
      <c r="K27" s="135">
        <v>0</v>
      </c>
      <c r="L27" s="135">
        <v>0</v>
      </c>
      <c r="M27" s="135">
        <v>0</v>
      </c>
      <c r="N27" s="135">
        <v>1</v>
      </c>
      <c r="O27" s="135">
        <v>0</v>
      </c>
      <c r="P27" s="135">
        <v>0</v>
      </c>
      <c r="Q27" s="135">
        <v>5.3</v>
      </c>
      <c r="R27" s="135">
        <v>5.3</v>
      </c>
      <c r="S27" s="135">
        <v>0</v>
      </c>
    </row>
    <row r="28" spans="1:19" x14ac:dyDescent="0.3">
      <c r="A28" s="135">
        <v>27</v>
      </c>
      <c r="B28" s="135" t="s">
        <v>841</v>
      </c>
      <c r="C28" s="135" t="s">
        <v>26</v>
      </c>
      <c r="D28" s="135">
        <v>2.5</v>
      </c>
      <c r="E28" s="135">
        <v>0</v>
      </c>
      <c r="F28" s="135">
        <v>0.6</v>
      </c>
      <c r="G28" s="135">
        <v>0.4</v>
      </c>
      <c r="H28" s="135">
        <v>0.3</v>
      </c>
      <c r="I28" s="135">
        <v>0.1</v>
      </c>
      <c r="J28" s="135">
        <v>0</v>
      </c>
      <c r="K28" s="135">
        <v>0</v>
      </c>
      <c r="L28" s="135">
        <v>0</v>
      </c>
      <c r="M28" s="135">
        <v>0</v>
      </c>
      <c r="N28" s="135">
        <v>1</v>
      </c>
      <c r="O28" s="135">
        <v>0</v>
      </c>
      <c r="P28" s="135">
        <v>0</v>
      </c>
      <c r="Q28" s="135">
        <v>5.2</v>
      </c>
      <c r="R28" s="135">
        <v>5.2</v>
      </c>
      <c r="S28" s="135">
        <v>0</v>
      </c>
    </row>
    <row r="29" spans="1:19" x14ac:dyDescent="0.3">
      <c r="A29" s="135">
        <v>28</v>
      </c>
      <c r="B29" s="135" t="s">
        <v>843</v>
      </c>
      <c r="C29" s="135" t="s">
        <v>28</v>
      </c>
      <c r="D29" s="135">
        <v>1.9</v>
      </c>
      <c r="E29" s="135">
        <v>0</v>
      </c>
      <c r="F29" s="135">
        <v>0.7</v>
      </c>
      <c r="G29" s="135">
        <v>0.5</v>
      </c>
      <c r="H29" s="135">
        <v>0.4</v>
      </c>
      <c r="I29" s="135">
        <v>0.1</v>
      </c>
      <c r="J29" s="135">
        <v>0</v>
      </c>
      <c r="K29" s="135">
        <v>0</v>
      </c>
      <c r="L29" s="135">
        <v>0</v>
      </c>
      <c r="M29" s="135">
        <v>0</v>
      </c>
      <c r="N29" s="135">
        <v>1</v>
      </c>
      <c r="O29" s="135">
        <v>0</v>
      </c>
      <c r="P29" s="135">
        <v>0</v>
      </c>
      <c r="Q29" s="135">
        <v>5.2</v>
      </c>
      <c r="R29" s="135">
        <v>5.2</v>
      </c>
      <c r="S29" s="135">
        <v>0</v>
      </c>
    </row>
    <row r="30" spans="1:19" x14ac:dyDescent="0.3">
      <c r="A30" s="135">
        <v>29</v>
      </c>
      <c r="B30" s="135" t="s">
        <v>846</v>
      </c>
      <c r="C30" s="135" t="s">
        <v>398</v>
      </c>
      <c r="D30" s="135">
        <v>2.4</v>
      </c>
      <c r="E30" s="135">
        <v>0</v>
      </c>
      <c r="F30" s="135">
        <v>0.6</v>
      </c>
      <c r="G30" s="135">
        <v>0.3</v>
      </c>
      <c r="H30" s="135">
        <v>0.3</v>
      </c>
      <c r="I30" s="135">
        <v>0.1</v>
      </c>
      <c r="J30" s="135">
        <v>0</v>
      </c>
      <c r="K30" s="135">
        <v>0</v>
      </c>
      <c r="L30" s="135">
        <v>0</v>
      </c>
      <c r="M30" s="135">
        <v>0</v>
      </c>
      <c r="N30" s="135">
        <v>1</v>
      </c>
      <c r="O30" s="135">
        <v>0</v>
      </c>
      <c r="P30" s="135">
        <v>0</v>
      </c>
      <c r="Q30" s="135">
        <v>5</v>
      </c>
      <c r="R30" s="135">
        <v>5</v>
      </c>
      <c r="S30" s="135">
        <v>0</v>
      </c>
    </row>
    <row r="31" spans="1:19" x14ac:dyDescent="0.3">
      <c r="A31" s="135">
        <v>30</v>
      </c>
      <c r="B31" s="135" t="s">
        <v>844</v>
      </c>
      <c r="C31" s="135" t="s">
        <v>52</v>
      </c>
      <c r="D31" s="135">
        <v>1.5</v>
      </c>
      <c r="E31" s="135">
        <v>0</v>
      </c>
      <c r="F31" s="135">
        <v>0.8</v>
      </c>
      <c r="G31" s="135">
        <v>0.3</v>
      </c>
      <c r="H31" s="135">
        <v>0.3</v>
      </c>
      <c r="I31" s="135">
        <v>0.1</v>
      </c>
      <c r="J31" s="135">
        <v>0</v>
      </c>
      <c r="K31" s="135">
        <v>0</v>
      </c>
      <c r="L31" s="135">
        <v>0</v>
      </c>
      <c r="M31" s="135">
        <v>0</v>
      </c>
      <c r="N31" s="135">
        <v>1</v>
      </c>
      <c r="O31" s="135">
        <v>0</v>
      </c>
      <c r="P31" s="135">
        <v>0</v>
      </c>
      <c r="Q31" s="135">
        <v>4.3</v>
      </c>
      <c r="R31" s="135">
        <v>4.3</v>
      </c>
      <c r="S31" s="135">
        <v>0</v>
      </c>
    </row>
    <row r="32" spans="1:19" x14ac:dyDescent="0.3">
      <c r="A32" s="135"/>
      <c r="B32" s="135"/>
      <c r="E32" s="135"/>
      <c r="F32" s="135"/>
      <c r="G32" s="135"/>
      <c r="H32" s="135"/>
      <c r="I32" s="135"/>
      <c r="J32" s="135"/>
      <c r="K32" s="135"/>
      <c r="L32" s="135"/>
      <c r="M32" s="135"/>
      <c r="N32" s="135"/>
      <c r="O32" s="135"/>
      <c r="P32" s="135"/>
      <c r="Q32" s="135"/>
      <c r="R32" s="135"/>
      <c r="S32" s="135"/>
    </row>
    <row r="33" spans="1:19" x14ac:dyDescent="0.3">
      <c r="A33" s="135"/>
      <c r="B33" s="135"/>
      <c r="E33" s="135"/>
      <c r="F33" s="135"/>
      <c r="G33" s="135"/>
      <c r="H33" s="135"/>
      <c r="I33" s="135"/>
      <c r="J33" s="135"/>
      <c r="K33" s="135"/>
      <c r="L33" s="135"/>
      <c r="M33" s="135"/>
      <c r="N33" s="135"/>
      <c r="O33" s="135"/>
      <c r="P33" s="135"/>
      <c r="Q33" s="135"/>
      <c r="R33" s="135"/>
      <c r="S33" s="135"/>
    </row>
  </sheetData>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K37"/>
  <sheetViews>
    <sheetView zoomScale="85" zoomScaleNormal="85" workbookViewId="0">
      <pane xSplit="4" ySplit="10" topLeftCell="E11" activePane="bottomRight" state="frozen"/>
      <selection activeCell="A2" sqref="A2"/>
      <selection pane="topRight" activeCell="A2" sqref="A2"/>
      <selection pane="bottomLeft" activeCell="A2" sqref="A2"/>
      <selection pane="bottomRight" activeCell="K13" sqref="K13"/>
    </sheetView>
  </sheetViews>
  <sheetFormatPr defaultColWidth="9.109375" defaultRowHeight="14.4" x14ac:dyDescent="0.3"/>
  <cols>
    <col min="1" max="1" width="7.21875" style="9" bestFit="1" customWidth="1"/>
    <col min="2" max="2" width="21.44140625" style="9" bestFit="1" customWidth="1"/>
    <col min="3" max="3" width="12.88671875" style="136" bestFit="1" customWidth="1"/>
    <col min="4" max="5" width="9.109375" style="9"/>
    <col min="6" max="6" width="13" style="9" customWidth="1"/>
    <col min="7" max="7" width="15.21875" style="9" bestFit="1" customWidth="1"/>
    <col min="8" max="8" width="9.109375" style="137"/>
    <col min="9" max="9" width="11.21875" style="137" customWidth="1"/>
    <col min="10" max="10" width="11.88671875" style="11" customWidth="1"/>
    <col min="11" max="11" width="12.109375" style="138" bestFit="1" customWidth="1"/>
    <col min="12" max="12" width="11.77734375" style="138" customWidth="1"/>
    <col min="13" max="13" width="15.44140625" style="138" customWidth="1"/>
    <col min="14" max="14" width="12.109375" style="138" customWidth="1"/>
    <col min="15" max="15" width="12.77734375" style="151" customWidth="1"/>
    <col min="16" max="16" width="13.21875" style="151" bestFit="1" customWidth="1"/>
    <col min="17" max="17" width="9.77734375" style="138" customWidth="1"/>
    <col min="18" max="18" width="12.77734375" style="152" bestFit="1" customWidth="1"/>
    <col min="19" max="19" width="10.21875" style="107" bestFit="1" customWidth="1"/>
    <col min="20" max="20" width="9.44140625" style="9" customWidth="1"/>
    <col min="21" max="21" width="11.77734375" style="9" customWidth="1"/>
    <col min="22" max="23" width="9.109375" style="9"/>
    <col min="24" max="24" width="9" style="9" customWidth="1"/>
    <col min="25" max="28" width="9.109375" style="9"/>
    <col min="29" max="29" width="9.77734375" style="9" customWidth="1"/>
    <col min="30" max="30" width="11.21875" style="9" customWidth="1"/>
    <col min="31" max="16384" width="9.109375" style="9"/>
  </cols>
  <sheetData>
    <row r="1" spans="1:21" x14ac:dyDescent="0.3">
      <c r="A1" s="301"/>
      <c r="B1" s="302"/>
      <c r="C1" s="303"/>
      <c r="D1" s="304"/>
      <c r="N1" s="139"/>
      <c r="O1" s="140"/>
      <c r="P1" s="140"/>
      <c r="Q1" s="139"/>
      <c r="R1" s="141"/>
      <c r="S1" s="142"/>
    </row>
    <row r="2" spans="1:21" ht="17.399999999999999" x14ac:dyDescent="0.45">
      <c r="A2" s="305"/>
      <c r="B2" s="105"/>
      <c r="C2" s="148"/>
      <c r="D2" s="306"/>
      <c r="E2" s="143"/>
      <c r="N2" s="139"/>
      <c r="O2" s="565"/>
      <c r="P2" s="565"/>
      <c r="Q2" s="565"/>
      <c r="R2" s="565"/>
      <c r="S2" s="565"/>
    </row>
    <row r="3" spans="1:21" ht="21.6" customHeight="1" x14ac:dyDescent="0.3">
      <c r="A3" s="305"/>
      <c r="B3" s="105"/>
      <c r="C3" s="148"/>
      <c r="D3" s="306"/>
      <c r="E3" s="144"/>
      <c r="N3" s="139"/>
      <c r="O3" s="565"/>
      <c r="P3" s="565"/>
      <c r="Q3" s="565"/>
      <c r="R3" s="565"/>
      <c r="S3" s="565"/>
    </row>
    <row r="4" spans="1:21" x14ac:dyDescent="0.3">
      <c r="A4" s="305"/>
      <c r="B4" s="105"/>
      <c r="C4" s="148"/>
      <c r="D4" s="307"/>
      <c r="E4" s="144"/>
      <c r="H4" s="145"/>
      <c r="I4" s="146"/>
      <c r="N4" s="139"/>
      <c r="O4" s="140"/>
      <c r="P4" s="140"/>
      <c r="Q4" s="139"/>
      <c r="R4" s="141"/>
      <c r="S4" s="142"/>
    </row>
    <row r="5" spans="1:21" x14ac:dyDescent="0.3">
      <c r="A5" s="305"/>
      <c r="B5" s="535" t="s">
        <v>414</v>
      </c>
      <c r="C5" s="535"/>
      <c r="D5" s="566"/>
      <c r="E5" s="147"/>
      <c r="I5" s="146"/>
      <c r="N5" s="139"/>
      <c r="O5" s="140"/>
      <c r="P5" s="140"/>
      <c r="Q5" s="139"/>
      <c r="R5" s="141"/>
      <c r="S5" s="142"/>
    </row>
    <row r="6" spans="1:21" s="105" customFormat="1" ht="28.2" x14ac:dyDescent="0.7">
      <c r="A6" s="308"/>
      <c r="B6" s="309"/>
      <c r="C6" s="310"/>
      <c r="D6" s="311"/>
      <c r="E6" s="149"/>
      <c r="F6" s="149"/>
      <c r="G6" s="149"/>
      <c r="H6" s="149"/>
      <c r="I6" s="149"/>
      <c r="J6" s="150"/>
      <c r="K6" s="139"/>
      <c r="L6" s="139"/>
      <c r="M6" s="139"/>
      <c r="N6" s="139"/>
      <c r="O6" s="140"/>
      <c r="P6" s="140"/>
      <c r="Q6" s="139"/>
      <c r="R6" s="141"/>
      <c r="S6" s="142"/>
    </row>
    <row r="7" spans="1:21" ht="28.2" x14ac:dyDescent="0.7">
      <c r="A7" s="105"/>
      <c r="B7" s="567">
        <f>QB_matchups!A9</f>
        <v>42641</v>
      </c>
      <c r="C7" s="567"/>
      <c r="D7" s="567"/>
      <c r="E7" s="568" t="s">
        <v>2589</v>
      </c>
      <c r="F7" s="569"/>
      <c r="G7" s="569"/>
      <c r="H7" s="569"/>
      <c r="I7" s="569"/>
      <c r="J7" s="569"/>
    </row>
    <row r="8" spans="1:21" x14ac:dyDescent="0.3">
      <c r="B8" s="558" t="s">
        <v>1361</v>
      </c>
      <c r="C8" s="558"/>
      <c r="D8" s="558"/>
    </row>
    <row r="9" spans="1:21" x14ac:dyDescent="0.3">
      <c r="B9" s="558"/>
      <c r="C9" s="558"/>
      <c r="D9" s="558"/>
      <c r="H9" s="562" t="s">
        <v>599</v>
      </c>
      <c r="I9" s="563"/>
      <c r="J9" s="563"/>
      <c r="K9" s="564"/>
      <c r="L9" s="559" t="s">
        <v>603</v>
      </c>
      <c r="M9" s="560"/>
      <c r="N9" s="560"/>
      <c r="O9" s="561"/>
      <c r="P9" s="173" t="s">
        <v>1353</v>
      </c>
      <c r="Q9" s="173" t="s">
        <v>1354</v>
      </c>
      <c r="R9" s="174"/>
      <c r="S9" s="175" t="s">
        <v>1355</v>
      </c>
      <c r="T9" s="176"/>
    </row>
    <row r="10" spans="1:21" s="104" customFormat="1" ht="15" thickBot="1" x14ac:dyDescent="0.35">
      <c r="B10" s="35" t="s">
        <v>415</v>
      </c>
      <c r="C10" s="36" t="s">
        <v>416</v>
      </c>
      <c r="D10" s="36" t="s">
        <v>1412</v>
      </c>
      <c r="E10" s="35" t="s">
        <v>387</v>
      </c>
      <c r="F10" s="35" t="s">
        <v>81</v>
      </c>
      <c r="G10" s="203" t="s">
        <v>425</v>
      </c>
      <c r="H10" s="207" t="s">
        <v>593</v>
      </c>
      <c r="I10" s="207" t="s">
        <v>390</v>
      </c>
      <c r="J10" s="207" t="s">
        <v>1319</v>
      </c>
      <c r="K10" s="207" t="s">
        <v>391</v>
      </c>
      <c r="L10" s="260" t="s">
        <v>388</v>
      </c>
      <c r="M10" s="260" t="s">
        <v>1413</v>
      </c>
      <c r="N10" s="260" t="s">
        <v>600</v>
      </c>
      <c r="O10" s="260" t="s">
        <v>601</v>
      </c>
      <c r="P10" s="209" t="s">
        <v>594</v>
      </c>
      <c r="Q10" s="209" t="s">
        <v>595</v>
      </c>
      <c r="R10" s="208" t="s">
        <v>596</v>
      </c>
      <c r="S10" s="35" t="s">
        <v>1407</v>
      </c>
      <c r="T10" s="41" t="s">
        <v>604</v>
      </c>
      <c r="U10" s="43" t="s">
        <v>749</v>
      </c>
    </row>
    <row r="11" spans="1:21" x14ac:dyDescent="0.3">
      <c r="A11" s="298" t="s">
        <v>394</v>
      </c>
      <c r="B11" s="296"/>
      <c r="C11" s="225" t="str">
        <f>IFERROR(INDEX(Salaries[DraftKings (Price)],MATCH(Table76817[Name],Salaries[Player],0)),"")</f>
        <v/>
      </c>
      <c r="D11" s="226" t="e">
        <f>Table76817[[#This Row],[Salary]]/$A$22</f>
        <v>#VALUE!</v>
      </c>
      <c r="E11" s="225" t="str">
        <f>IFERROR(INDEX(RBmatchups[Team],MATCH(Table76817[Name],RBmatchups[Name],0)),"")</f>
        <v/>
      </c>
      <c r="F11" s="227" t="str">
        <f>IFERROR(INDEX(RBmatchups[Opp],MATCH(Table76817[Name],RBmatchups[Name],0)),"")</f>
        <v/>
      </c>
      <c r="G11" s="228" t="str">
        <f>IFERROR(INDEX(RBmatchups[OppDVP],MATCH(Table76817[Name],RBmatchups[Name],0)),"")</f>
        <v/>
      </c>
      <c r="H11" s="242" t="str">
        <f>IFERROR(INDEX(RBmatchups[Carries2],MATCH(Table76817[Name],RBmatchups[Name],0)),"")</f>
        <v/>
      </c>
      <c r="I11" s="242" t="str">
        <f>IFERROR(INDEX(RBmatchups[Yards],MATCH(Table76817[Name],RBmatchups[Name],0)),"")</f>
        <v/>
      </c>
      <c r="J11" s="227" t="str">
        <f>IFERROR(INDEX(RBmatchups[Avg],MATCH(Table76817[Name],RBmatchups[Name],0)),"")</f>
        <v/>
      </c>
      <c r="K11" s="227" t="str">
        <f>IFERROR(INDEX(RBmatchups[TD],MATCH(Table76817[Name],RBmatchups[Name],0)),"")</f>
        <v/>
      </c>
      <c r="L11" s="227" t="str">
        <f>IFERROR(INDEX(RBmatchups[Targets3],MATCH(Table76817[Name],RBmatchups[Name],0)),"")</f>
        <v/>
      </c>
      <c r="M11" s="227" t="str">
        <f>IFERROR(INDEX(RBmatchups[Rec4],MATCH(Table76817[Name],RBmatchups[Name],0)),"")</f>
        <v/>
      </c>
      <c r="N11" s="227" t="str">
        <f>IFERROR(INDEX(RBmatchups[RecYards],MATCH(Table76817[Name],RBmatchups[Name],0)),"")</f>
        <v/>
      </c>
      <c r="O11" s="227" t="str">
        <f>IFERROR(INDEX(RBmatchups[RecTD5],MATCH(Table76817[Name],RBmatchups[Name],0)),"")</f>
        <v/>
      </c>
      <c r="P11" s="227" t="str">
        <f>IFERROR(INDEX(RBmatchups[Total Touches],MATCH(Table76817[Name],RBmatchups[Name],0)),"")</f>
        <v/>
      </c>
      <c r="Q11" s="227" t="str">
        <f>IFERROR(INDEX(RBmatchups[Total Yards],MATCH(Table76817[Name],RBmatchups[Name],0)),"")</f>
        <v/>
      </c>
      <c r="R11" s="227" t="str">
        <f>IFERROR(INDEX(RBmatchups[Total TD],MATCH(Table76817[Name],RBmatchups[Name],0)),"")</f>
        <v/>
      </c>
      <c r="S11" s="228" t="str">
        <f>IFERROR(INDEX(RBmatchups[Proj Rank],MATCH(Table76817[Name],RBmatchups[Name],0)),"")</f>
        <v/>
      </c>
      <c r="T11" s="227" t="str">
        <f>IFERROR(INDEX(RBmatchups[Projection],MATCH(Table76817[Name],RBmatchups[Name],0)),"")</f>
        <v/>
      </c>
      <c r="U11" s="243" t="str">
        <f>IFERROR(INDEX(RBmatchups[$/FP],MATCH(Table76817[Name],RBmatchups[Name],0)),"")</f>
        <v/>
      </c>
    </row>
    <row r="12" spans="1:21" x14ac:dyDescent="0.3">
      <c r="A12" s="298" t="s">
        <v>394</v>
      </c>
      <c r="B12" s="153"/>
      <c r="C12" s="154" t="str">
        <f>IFERROR(INDEX(Salaries[DraftKings (Price)],MATCH(Table76817[Name],Salaries[Player],0)),"")</f>
        <v/>
      </c>
      <c r="D12" s="194" t="e">
        <f>Table76817[[#This Row],[Salary]]/$A$22</f>
        <v>#VALUE!</v>
      </c>
      <c r="E12" s="154" t="str">
        <f>IFERROR(INDEX(RBmatchups[Team],MATCH(Table76817[Name],RBmatchups[Name],0)),"")</f>
        <v/>
      </c>
      <c r="F12" s="189" t="str">
        <f>IFERROR(INDEX(RBmatchups[Opp],MATCH(Table76817[Name],RBmatchups[Name],0)),"")</f>
        <v/>
      </c>
      <c r="G12" s="191" t="str">
        <f>IFERROR(INDEX(RBmatchups[OppDVP],MATCH(Table76817[Name],RBmatchups[Name],0)),"")</f>
        <v/>
      </c>
      <c r="H12" s="190" t="str">
        <f>IFERROR(INDEX(RBmatchups[Carries2],MATCH(Table76817[Name],RBmatchups[Name],0)),"")</f>
        <v/>
      </c>
      <c r="I12" s="190" t="str">
        <f>IFERROR(INDEX(RBmatchups[Yards],MATCH(Table76817[Name],RBmatchups[Name],0)),"")</f>
        <v/>
      </c>
      <c r="J12" s="189" t="str">
        <f>IFERROR(INDEX(RBmatchups[Avg],MATCH(Table76817[Name],RBmatchups[Name],0)),"")</f>
        <v/>
      </c>
      <c r="K12" s="189" t="str">
        <f>IFERROR(INDEX(RBmatchups[TD],MATCH(Table76817[Name],RBmatchups[Name],0)),"")</f>
        <v/>
      </c>
      <c r="L12" s="189" t="str">
        <f>IFERROR(INDEX(RBmatchups[Targets3],MATCH(Table76817[Name],RBmatchups[Name],0)),"")</f>
        <v/>
      </c>
      <c r="M12" s="189" t="str">
        <f>IFERROR(INDEX(RBmatchups[Rec4],MATCH(Table76817[Name],RBmatchups[Name],0)),"")</f>
        <v/>
      </c>
      <c r="N12" s="189" t="str">
        <f>IFERROR(INDEX(RBmatchups[RecYards],MATCH(Table76817[Name],RBmatchups[Name],0)),"")</f>
        <v/>
      </c>
      <c r="O12" s="189" t="str">
        <f>IFERROR(INDEX(RBmatchups[RecTD5],MATCH(Table76817[Name],RBmatchups[Name],0)),"")</f>
        <v/>
      </c>
      <c r="P12" s="189" t="str">
        <f>IFERROR(INDEX(RBmatchups[Total Touches],MATCH(Table76817[Name],RBmatchups[Name],0)),"")</f>
        <v/>
      </c>
      <c r="Q12" s="189" t="str">
        <f>IFERROR(INDEX(RBmatchups[Total Yards],MATCH(Table76817[Name],RBmatchups[Name],0)),"")</f>
        <v/>
      </c>
      <c r="R12" s="189" t="str">
        <f>IFERROR(INDEX(RBmatchups[Total TD],MATCH(Table76817[Name],RBmatchups[Name],0)),"")</f>
        <v/>
      </c>
      <c r="S12" s="191" t="str">
        <f>IFERROR(INDEX(RBmatchups[Proj Rank],MATCH(Table76817[Name],RBmatchups[Name],0)),"")</f>
        <v/>
      </c>
      <c r="T12" s="189" t="str">
        <f>IFERROR(INDEX(RBmatchups[Projection],MATCH(Table76817[Name],RBmatchups[Name],0)),"")</f>
        <v/>
      </c>
      <c r="U12" s="244" t="str">
        <f>IFERROR(INDEX(RBmatchups[$/FP],MATCH(Table76817[Name],RBmatchups[Name],0)),"")</f>
        <v/>
      </c>
    </row>
    <row r="13" spans="1:21" x14ac:dyDescent="0.3">
      <c r="A13" s="299" t="s">
        <v>396</v>
      </c>
      <c r="B13" s="153"/>
      <c r="C13" s="154" t="str">
        <f>IFERROR(INDEX(Salaries[DraftKings (Price)],MATCH(Table76817[Name],Salaries[Player],0)),"")</f>
        <v/>
      </c>
      <c r="D13" s="194" t="e">
        <f>Table76817[[#This Row],[Salary]]/$A$22</f>
        <v>#VALUE!</v>
      </c>
      <c r="E13" s="154" t="str">
        <f>IFERROR(INDEX(WRmatchups[Team],MATCH(Table76817[Name],WRmatchups[Name],0)),"")</f>
        <v/>
      </c>
      <c r="F13" s="189" t="str">
        <f>IFERROR(INDEX(WRmatchups[Opp],MATCH(Table76817[Name],WRmatchups[Name],0)),"")</f>
        <v/>
      </c>
      <c r="G13" s="191" t="str">
        <f>IFERROR(INDEX(WRmatchups[OppDVP],MATCH(Table76817[Name],WRmatchups[Name],0)),"")</f>
        <v/>
      </c>
      <c r="H13" s="190"/>
      <c r="I13" s="190"/>
      <c r="J13" s="189"/>
      <c r="K13" s="189"/>
      <c r="L13" s="189" t="str">
        <f>IFERROR(INDEX(WRmatchups[Targets2],MATCH(Table76817[Name],WRmatchups[Name],0)),"")</f>
        <v/>
      </c>
      <c r="M13" s="189" t="str">
        <f>IFERROR(INDEX(WRmatchups[Rec4],MATCH(Table76817[Name],WRmatchups[Name],0)),"")</f>
        <v/>
      </c>
      <c r="N13" s="189" t="str">
        <f>IFERROR(INDEX(WRmatchups[Yards],MATCH(Table76817[Name],WRmatchups[Name],0)),"")</f>
        <v/>
      </c>
      <c r="O13" s="189" t="str">
        <f>IFERROR(INDEX(WRmatchups[RecTD5],MATCH(Table76817[Name],WRmatchups[Name],0)),"")</f>
        <v/>
      </c>
      <c r="P13" s="189"/>
      <c r="Q13" s="189"/>
      <c r="R13" s="189" t="str">
        <f>IFERROR(INDEX(WRmatchups[RecTD5],MATCH(Table76817[Name],WRmatchups[Name],0)),"")</f>
        <v/>
      </c>
      <c r="S13" s="191" t="str">
        <f>IFERROR(INDEX(WRmatchups[Proj Rank],MATCH(Table76817[Name],WRmatchups[Name],0)),"")</f>
        <v/>
      </c>
      <c r="T13" s="189" t="str">
        <f>IFERROR(INDEX(WRmatchups[Projection],MATCH(Table76817[Name],WRmatchups[Name],0)),"")</f>
        <v/>
      </c>
      <c r="U13" s="244" t="str">
        <f>IFERROR(INDEX(WRmatchups[$/FP],MATCH(Table76817[Name],WRmatchups[Name],0)),"")</f>
        <v/>
      </c>
    </row>
    <row r="14" spans="1:21" x14ac:dyDescent="0.3">
      <c r="A14" s="299" t="s">
        <v>396</v>
      </c>
      <c r="B14" s="153"/>
      <c r="C14" s="154" t="str">
        <f>IFERROR(INDEX(Salaries[DraftKings (Price)],MATCH(Table76817[Name],Salaries[Player],0)),"")</f>
        <v/>
      </c>
      <c r="D14" s="194" t="e">
        <f>Table76817[[#This Row],[Salary]]/$A$22</f>
        <v>#VALUE!</v>
      </c>
      <c r="E14" s="154" t="str">
        <f>IFERROR(INDEX(WRmatchups[Team],MATCH(Table76817[Name],WRmatchups[Name],0)),"")</f>
        <v/>
      </c>
      <c r="F14" s="189" t="str">
        <f>IFERROR(INDEX(WRmatchups[Opp],MATCH(Table76817[Name],WRmatchups[Name],0)),"")</f>
        <v/>
      </c>
      <c r="G14" s="191" t="str">
        <f>IFERROR(INDEX(WRmatchups[OppDVP],MATCH(Table76817[Name],WRmatchups[Name],0)),"")</f>
        <v/>
      </c>
      <c r="H14" s="190"/>
      <c r="I14" s="190"/>
      <c r="J14" s="189"/>
      <c r="K14" s="189"/>
      <c r="L14" s="189" t="str">
        <f>IFERROR(INDEX(WRmatchups[Targets2],MATCH(Table76817[Name],WRmatchups[Name],0)),"")</f>
        <v/>
      </c>
      <c r="M14" s="189" t="str">
        <f>IFERROR(INDEX(WRmatchups[Rec4],MATCH(Table76817[Name],WRmatchups[Name],0)),"")</f>
        <v/>
      </c>
      <c r="N14" s="189" t="str">
        <f>IFERROR(INDEX(WRmatchups[Yards],MATCH(Table76817[Name],WRmatchups[Name],0)),"")</f>
        <v/>
      </c>
      <c r="O14" s="189" t="str">
        <f>IFERROR(INDEX(WRmatchups[RecTD5],MATCH(Table76817[Name],WRmatchups[Name],0)),"")</f>
        <v/>
      </c>
      <c r="P14" s="189"/>
      <c r="Q14" s="189"/>
      <c r="R14" s="189" t="str">
        <f>IFERROR(INDEX(WRmatchups[RecTD5],MATCH(Table76817[Name],WRmatchups[Name],0)),"")</f>
        <v/>
      </c>
      <c r="S14" s="191" t="str">
        <f>IFERROR(INDEX(WRmatchups[Proj Rank],MATCH(Table76817[Name],WRmatchups[Name],0)),"")</f>
        <v/>
      </c>
      <c r="T14" s="189" t="str">
        <f>IFERROR(INDEX(WRmatchups[Projection],MATCH(Table76817[Name],WRmatchups[Name],0)),"")</f>
        <v/>
      </c>
      <c r="U14" s="244" t="str">
        <f>IFERROR(INDEX(WRmatchups[$/FP],MATCH(Table76817[Name],WRmatchups[Name],0)),"")</f>
        <v/>
      </c>
    </row>
    <row r="15" spans="1:21" x14ac:dyDescent="0.3">
      <c r="A15" s="299" t="s">
        <v>396</v>
      </c>
      <c r="B15" s="153"/>
      <c r="C15" s="154" t="str">
        <f>IFERROR(INDEX(Salaries[DraftKings (Price)],MATCH(Table76817[Name],Salaries[Player],0)),"")</f>
        <v/>
      </c>
      <c r="D15" s="194" t="e">
        <f>Table76817[[#This Row],[Salary]]/$A$22</f>
        <v>#VALUE!</v>
      </c>
      <c r="E15" s="154" t="str">
        <f>IFERROR(INDEX(WRmatchups[Team],MATCH(Table76817[Name],WRmatchups[Name],0)),"")</f>
        <v/>
      </c>
      <c r="F15" s="189" t="str">
        <f>IFERROR(INDEX(WRmatchups[Opp],MATCH(Table76817[Name],WRmatchups[Name],0)),"")</f>
        <v/>
      </c>
      <c r="G15" s="191" t="str">
        <f>IFERROR(INDEX(WRmatchups[OppDVP],MATCH(Table76817[Name],WRmatchups[Name],0)),"")</f>
        <v/>
      </c>
      <c r="H15" s="190"/>
      <c r="I15" s="190"/>
      <c r="J15" s="189"/>
      <c r="K15" s="189"/>
      <c r="L15" s="189" t="str">
        <f>IFERROR(INDEX(WRmatchups[Targets2],MATCH(Table76817[Name],WRmatchups[Name],0)),"")</f>
        <v/>
      </c>
      <c r="M15" s="189" t="str">
        <f>IFERROR(INDEX(WRmatchups[Rec4],MATCH(Table76817[Name],WRmatchups[Name],0)),"")</f>
        <v/>
      </c>
      <c r="N15" s="189" t="str">
        <f>IFERROR(INDEX(WRmatchups[Yards],MATCH(Table76817[Name],WRmatchups[Name],0)),"")</f>
        <v/>
      </c>
      <c r="O15" s="189" t="str">
        <f>IFERROR(INDEX(WRmatchups[RecTD5],MATCH(Table76817[Name],WRmatchups[Name],0)),"")</f>
        <v/>
      </c>
      <c r="P15" s="189"/>
      <c r="Q15" s="189"/>
      <c r="R15" s="189" t="str">
        <f>IFERROR(INDEX(WRmatchups[RecTD5],MATCH(Table76817[Name],WRmatchups[Name],0)),"")</f>
        <v/>
      </c>
      <c r="S15" s="191" t="str">
        <f>IFERROR(INDEX(WRmatchups[Proj Rank],MATCH(Table76817[Name],WRmatchups[Name],0)),"")</f>
        <v/>
      </c>
      <c r="T15" s="189" t="str">
        <f>IFERROR(INDEX(WRmatchups[Projection],MATCH(Table76817[Name],WRmatchups[Name],0)),"")</f>
        <v/>
      </c>
      <c r="U15" s="244" t="str">
        <f>IFERROR(INDEX(WRmatchups[$/FP],MATCH(Table76817[Name],WRmatchups[Name],0)),"")</f>
        <v/>
      </c>
    </row>
    <row r="16" spans="1:21" ht="15" thickBot="1" x14ac:dyDescent="0.35">
      <c r="A16" s="349" t="s">
        <v>399</v>
      </c>
      <c r="B16" s="350"/>
      <c r="C16" s="351" t="str">
        <f>IFERROR(INDEX(Salaries[DraftKings (Price)],MATCH(Table76817[Name],Salaries[Player],0)),"")</f>
        <v/>
      </c>
      <c r="D16" s="352" t="e">
        <f>Table76817[[#This Row],[Salary]]/$A$22</f>
        <v>#VALUE!</v>
      </c>
      <c r="E16" s="351" t="str">
        <f>IFERROR(INDEX(TEmatchups[Team],MATCH(Table76817[Name],TEmatchups[Name],0)),"")</f>
        <v/>
      </c>
      <c r="F16" s="351" t="str">
        <f>IFERROR(INDEX(TEmatchups[Opp],MATCH(Table76817[Name],TEmatchups[Name],0)),"")</f>
        <v/>
      </c>
      <c r="G16" s="353" t="str">
        <f>IFERROR(INDEX(TEmatchups[OppDVP],MATCH(Table76817[Name],TEmatchups[Name],0)),"")</f>
        <v/>
      </c>
      <c r="H16" s="354"/>
      <c r="I16" s="354"/>
      <c r="J16" s="355"/>
      <c r="K16" s="355"/>
      <c r="L16" s="355" t="str">
        <f>IFERROR(INDEX(TEmatchups[Targets2],MATCH(Table76817[Name],TEmatchups[Name],0)),"")</f>
        <v/>
      </c>
      <c r="M16" s="355" t="str">
        <f>IFERROR(INDEX(TEmatchups[Rec4],MATCH(Table76817[Name],TEmatchups[Name],0)),"")</f>
        <v/>
      </c>
      <c r="N16" s="355" t="str">
        <f>IFERROR(INDEX(TEmatchups[Yards],MATCH(Table76817[Name],TEmatchups[Name],0)),"")</f>
        <v/>
      </c>
      <c r="O16" s="355" t="str">
        <f>IFERROR(INDEX(TEmatchups[TD],MATCH(Table76817[Name],TEmatchups[Name],0)),"")</f>
        <v/>
      </c>
      <c r="P16" s="355"/>
      <c r="Q16" s="355"/>
      <c r="R16" s="355" t="str">
        <f>IFERROR(INDEX(TEmatchups[TD],MATCH(Table76817[Name],TEmatchups[Name],0)),"")</f>
        <v/>
      </c>
      <c r="S16" s="353" t="str">
        <f>IFERROR(INDEX(TEmatchups[Proj Rank],MATCH(Table76817[Name],TEmatchups[Name],0)),"")</f>
        <v/>
      </c>
      <c r="T16" s="355" t="str">
        <f>IFERROR(INDEX(TEmatchups[Projection],MATCH(Table76817[Name],TEmatchups[Name],0)),"")</f>
        <v/>
      </c>
      <c r="U16" s="356" t="str">
        <f>IFERROR(INDEX(TEmatchups[$/FP],MATCH(Table76817[Name],TEmatchups[Name],0)),"")</f>
        <v/>
      </c>
    </row>
    <row r="17" spans="1:37" ht="15" thickBot="1" x14ac:dyDescent="0.35">
      <c r="A17" s="370" t="s">
        <v>1771</v>
      </c>
      <c r="B17" s="371"/>
      <c r="C17" s="372" t="str">
        <f>IFERROR(INDEX(Salaries[DraftKings (Price)],MATCH(Table76817[Name],Salaries[Player],0)),"")</f>
        <v/>
      </c>
      <c r="D17" s="373" t="e">
        <f>Table76817[[#This Row],[Salary]]/$A$22</f>
        <v>#VALUE!</v>
      </c>
      <c r="E17" s="372" t="str">
        <f>IFERROR(INDEX(RBmatchups[Team],MATCH(Table76817[Name],RBmatchups[Name],0)),"")</f>
        <v/>
      </c>
      <c r="F17" s="374" t="str">
        <f>IFERROR(INDEX(RBmatchups[Opp],MATCH(Table76817[Name],RBmatchups[Name],0)),"")</f>
        <v/>
      </c>
      <c r="G17" s="375" t="str">
        <f>IFERROR(INDEX(RBmatchups[OppDVP],MATCH(Table76817[Name],RBmatchups[Name],0)),"")</f>
        <v/>
      </c>
      <c r="H17" s="376" t="str">
        <f>IFERROR(INDEX(RBmatchups[Carries2],MATCH(Table76817[Name],RBmatchups[Name],0)),"")</f>
        <v/>
      </c>
      <c r="I17" s="377" t="str">
        <f>IFERROR(INDEX(RBmatchups[Yards],MATCH(Table76817[Name],RBmatchups[Name],0)),"")</f>
        <v/>
      </c>
      <c r="J17" s="378" t="str">
        <f>IFERROR(INDEX(RBmatchups[Avg],MATCH(Table76817[Name],RBmatchups[Name],0)),"")</f>
        <v/>
      </c>
      <c r="K17" s="379" t="str">
        <f>IFERROR(INDEX(RBmatchups[TD],MATCH(Table76817[Name],RBmatchups[Name],0)),"")</f>
        <v/>
      </c>
      <c r="L17" s="379" t="str">
        <f>IFERROR(INDEX(RBmatchups[Targets3],MATCH(Table76817[Name],RBmatchups[Name],0)),"")</f>
        <v/>
      </c>
      <c r="M17" s="374" t="str">
        <f>IFERROR(INDEX(RBmatchups[Rec4],MATCH(Table76817[Name],RBmatchups[Name],0)),"")</f>
        <v/>
      </c>
      <c r="N17" s="374" t="str">
        <f>IFERROR(INDEX(RBmatchups[RecYards],MATCH(Table76817[Name],RBmatchups[Name],0)),"")</f>
        <v/>
      </c>
      <c r="O17" s="374" t="str">
        <f>IFERROR(INDEX(RBmatchups[RecTD5],MATCH(Table76817[Name],RBmatchups[Name],0)),"")</f>
        <v/>
      </c>
      <c r="P17" s="380" t="str">
        <f>IFERROR(INDEX(RBmatchups[Total Touches],MATCH(Table76817[Name],RBmatchups[Name],0)),"")</f>
        <v/>
      </c>
      <c r="Q17" s="379" t="str">
        <f>IFERROR(INDEX(RBmatchups[Total Yards],MATCH(Table76817[Name],RBmatchups[Name],0)),"")</f>
        <v/>
      </c>
      <c r="R17" s="381" t="str">
        <f>IFERROR(INDEX(RBmatchups[Total TD],MATCH(Table76817[Name],RBmatchups[Name],0)),"")</f>
        <v/>
      </c>
      <c r="S17" s="375" t="str">
        <f>IFERROR(INDEX(RBmatchups[Proj Rank],MATCH(Table76817[Name],RBmatchups[Name],0)),"")</f>
        <v/>
      </c>
      <c r="T17" s="381" t="str">
        <f>IFERROR(INDEX(RBmatchups[Projection],MATCH(Table76817[Name],RBmatchups[Name],0)),"")</f>
        <v/>
      </c>
      <c r="U17" s="382" t="str">
        <f>IFERROR(INDEX(RBmatchups[$/FP],MATCH(Table76817[Name],RBmatchups[Name],0)),"")</f>
        <v/>
      </c>
    </row>
    <row r="18" spans="1:37" ht="15" thickBot="1" x14ac:dyDescent="0.35">
      <c r="A18" s="383" t="s">
        <v>1772</v>
      </c>
      <c r="B18" s="371"/>
      <c r="C18" s="372" t="str">
        <f>IFERROR(INDEX(Salaries[DraftKings (Price)],MATCH(Table76817[Name],Salaries[Player],0)),"")</f>
        <v/>
      </c>
      <c r="D18" s="373" t="e">
        <f>Table76817[[#This Row],[Salary]]/$A$22</f>
        <v>#VALUE!</v>
      </c>
      <c r="E18" s="372" t="str">
        <f>IFERROR(INDEX(WRmatchups[Team],MATCH(Table76817[Name],WRmatchups[Name],0)),"")</f>
        <v/>
      </c>
      <c r="F18" s="374" t="str">
        <f>IFERROR(INDEX(WRmatchups[Opp],MATCH(Table76817[Name],WRmatchups[Name],0)),"")</f>
        <v/>
      </c>
      <c r="G18" s="375" t="str">
        <f>IFERROR(INDEX(WRmatchups[OppDVP],MATCH(Table76817[Name],WRmatchups[Name],0)),"")</f>
        <v/>
      </c>
      <c r="H18" s="376"/>
      <c r="I18" s="377"/>
      <c r="J18" s="378"/>
      <c r="K18" s="379"/>
      <c r="L18" s="379" t="str">
        <f>IFERROR(INDEX(WRmatchups[Targets2],MATCH(Table76817[Name],WRmatchups[Name],0)),"")</f>
        <v/>
      </c>
      <c r="M18" s="374" t="str">
        <f>IFERROR(INDEX(WRmatchups[Rec4],MATCH(Table76817[Name],WRmatchups[Name],0)),"")</f>
        <v/>
      </c>
      <c r="N18" s="374" t="str">
        <f>IFERROR(INDEX(WRmatchups[Yards],MATCH(Table76817[Name],WRmatchups[Name],0)),"")</f>
        <v/>
      </c>
      <c r="O18" s="374" t="str">
        <f>IFERROR(INDEX(WRmatchups[RecTD5],MATCH(Table76817[Name],WRmatchups[Name],0)),"")</f>
        <v/>
      </c>
      <c r="P18" s="380"/>
      <c r="Q18" s="379"/>
      <c r="R18" s="381" t="str">
        <f>IFERROR(INDEX(WRmatchups[RecTD5],MATCH(Table76817[Name],WRmatchups[Name],0)),"")</f>
        <v/>
      </c>
      <c r="S18" s="375" t="str">
        <f>IFERROR(INDEX(WRmatchups[Proj Rank],MATCH(Table76817[Name],WRmatchups[Name],0)),"")</f>
        <v/>
      </c>
      <c r="T18" s="381" t="str">
        <f>IFERROR(INDEX(WRmatchups[Projection],MATCH(Table76817[Name],WRmatchups[Name],0)),"")</f>
        <v/>
      </c>
      <c r="U18" s="382" t="str">
        <f>IFERROR(INDEX(WRmatchups[$/FP],MATCH(Table76817[Name],WRmatchups[Name],0)),"")</f>
        <v/>
      </c>
    </row>
    <row r="19" spans="1:37" ht="15" thickBot="1" x14ac:dyDescent="0.35">
      <c r="A19" s="357" t="s">
        <v>1773</v>
      </c>
      <c r="B19" s="358"/>
      <c r="C19" s="359" t="str">
        <f>IFERROR(INDEX(Salaries[DraftKings (Price)],MATCH(Table76817[Name],Salaries[Player],0)),"")</f>
        <v/>
      </c>
      <c r="D19" s="360" t="e">
        <f>Table76817[[#This Row],[Salary]]/$A$22</f>
        <v>#VALUE!</v>
      </c>
      <c r="E19" s="359" t="str">
        <f>IFERROR(INDEX(TEmatchups[Team],MATCH(Table76817[Name],TEmatchups[Name],0)),"")</f>
        <v/>
      </c>
      <c r="F19" s="361" t="str">
        <f>IFERROR(INDEX(TEmatchups[Opp],MATCH(Table76817[Name],TEmatchups[Name],0)),"")</f>
        <v/>
      </c>
      <c r="G19" s="362" t="str">
        <f>IFERROR(INDEX(TEmatchups[OppDVP],MATCH(Table76817[Name],TEmatchups[Name],0)),"")</f>
        <v/>
      </c>
      <c r="H19" s="363"/>
      <c r="I19" s="364"/>
      <c r="J19" s="365"/>
      <c r="K19" s="366"/>
      <c r="L19" s="366" t="str">
        <f>IFERROR(INDEX(TEmatchups[Targets2],MATCH(Table76817[Name],TEmatchups[Name],0)),"")</f>
        <v/>
      </c>
      <c r="M19" s="361" t="str">
        <f>IFERROR(INDEX(TEmatchups[Rec4],MATCH(Table76817[Name],TEmatchups[Name],0)),"")</f>
        <v/>
      </c>
      <c r="N19" s="361" t="str">
        <f>IFERROR(INDEX(TEmatchups[Yards],MATCH(Table76817[Name],TEmatchups[Name],0)),"")</f>
        <v/>
      </c>
      <c r="O19" s="361" t="str">
        <f>IFERROR(INDEX(TEmatchups[TD],MATCH(Table76817[Name],TEmatchups[Name],0)),"")</f>
        <v/>
      </c>
      <c r="P19" s="367"/>
      <c r="Q19" s="366"/>
      <c r="R19" s="368" t="str">
        <f>IFERROR(INDEX(TEmatchups[TD],MATCH(Table76817[Name],TEmatchups[Name],0)),"")</f>
        <v/>
      </c>
      <c r="S19" s="362" t="str">
        <f>IFERROR(INDEX(TEmatchups[Proj Rank],MATCH(Table76817[Name],TEmatchups[Name],0)),"")</f>
        <v/>
      </c>
      <c r="T19" s="368" t="str">
        <f>IFERROR(INDEX(TEmatchups[Projection],MATCH(Table76817[Name],TEmatchups[Name],0)),"")</f>
        <v/>
      </c>
      <c r="U19" s="369" t="str">
        <f>IFERROR(INDEX(TEmatchups[$/FP],MATCH(Table76817[Name],TEmatchups[Name],0)),"")</f>
        <v/>
      </c>
    </row>
    <row r="20" spans="1:37" ht="15" thickBot="1" x14ac:dyDescent="0.35">
      <c r="A20" s="300" t="s">
        <v>1408</v>
      </c>
      <c r="B20" s="297"/>
      <c r="C20" s="229" t="str">
        <f>IFERROR(INDEX(Salaries[DraftKings (Price)],MATCH(Table76817[Name],Salaries[Player],0)),"")</f>
        <v/>
      </c>
      <c r="D20" s="230" t="e">
        <f>Table76817[[#This Row],[Salary]]/$A$22</f>
        <v>#VALUE!</v>
      </c>
      <c r="E20" s="229" t="str">
        <f>IFERROR(INDEX(defenses[Team],MATCH(Table76817[Name],defenses[Name],0)),"")</f>
        <v/>
      </c>
      <c r="F20" s="229" t="str">
        <f>IFERROR(INDEX(defenses[Opp],MATCH(Table76817[Name],defenses[Name],0)),"")</f>
        <v/>
      </c>
      <c r="G20" s="232" t="str">
        <f>IFERROR(INDEX(defenses[Opp Offense],MATCH(Table76817[Name],defenses[Name],0)),"")</f>
        <v/>
      </c>
      <c r="H20" s="245"/>
      <c r="I20" s="245"/>
      <c r="J20" s="231"/>
      <c r="K20" s="231"/>
      <c r="L20" s="231"/>
      <c r="M20" s="231"/>
      <c r="N20" s="231"/>
      <c r="O20" s="231"/>
      <c r="P20" s="231"/>
      <c r="Q20" s="231"/>
      <c r="R20" s="231"/>
      <c r="S20" s="232" t="str">
        <f>IFERROR(INDEX(defenses[Proj Rank],MATCH(Table76817[Name],defenses[Name],0)),"")</f>
        <v/>
      </c>
      <c r="T20" s="231" t="str">
        <f>IFERROR(INDEX(defenses[Projection],MATCH(Table76817[Name],defenses[Name],0)),"")</f>
        <v/>
      </c>
      <c r="U20" s="246" t="str">
        <f>IFERROR(INDEX(defenses[$/FP],MATCH(Table76817[Name],defenses[Name],0)),"")</f>
        <v/>
      </c>
      <c r="V20" s="105"/>
      <c r="W20" s="105"/>
      <c r="X20" s="105"/>
    </row>
    <row r="21" spans="1:37" s="105" customFormat="1" ht="15" thickBot="1" x14ac:dyDescent="0.35">
      <c r="A21" s="156"/>
      <c r="B21" s="157" t="s">
        <v>1354</v>
      </c>
      <c r="C21" s="509">
        <f>SUBTOTAL(109,Table76817[Salary])</f>
        <v>0</v>
      </c>
      <c r="D21" s="510"/>
      <c r="E21" s="224"/>
      <c r="F21" s="224"/>
      <c r="G21" s="511" t="s">
        <v>1410</v>
      </c>
      <c r="H21" s="512"/>
      <c r="I21" s="512"/>
      <c r="J21" s="512"/>
      <c r="K21" s="512"/>
      <c r="L21" s="512"/>
      <c r="M21" s="223"/>
      <c r="N21" s="223"/>
      <c r="O21" s="223"/>
      <c r="P21" s="513"/>
      <c r="Q21" s="513"/>
      <c r="R21" s="156"/>
      <c r="S21" s="156"/>
      <c r="T21" s="156"/>
      <c r="U21" s="156"/>
    </row>
    <row r="22" spans="1:37" ht="15.6" thickTop="1" thickBot="1" x14ac:dyDescent="0.35">
      <c r="A22" s="158">
        <v>50000</v>
      </c>
      <c r="B22" s="234" t="s">
        <v>1534</v>
      </c>
      <c r="C22" s="159">
        <f>A22-Table76817[[#Totals],[Salary]]</f>
        <v>50000</v>
      </c>
      <c r="G22" s="240" t="s">
        <v>1608</v>
      </c>
      <c r="H22" s="217" t="e">
        <f>AVERAGE(Table76817[Carries])</f>
        <v>#DIV/0!</v>
      </c>
      <c r="I22" s="217" t="e">
        <f>AVERAGE(Table76817[Yards])</f>
        <v>#DIV/0!</v>
      </c>
      <c r="J22" s="217" t="e">
        <f>AVERAGE(Table76817[Avg])</f>
        <v>#DIV/0!</v>
      </c>
      <c r="K22" s="217" t="e">
        <f>AVERAGE(Table76817[TD])</f>
        <v>#DIV/0!</v>
      </c>
      <c r="L22" s="218" t="e">
        <f>AVERAGE(Table76817[Targets])</f>
        <v>#DIV/0!</v>
      </c>
      <c r="M22" s="219" t="e">
        <f>AVERAGE(Table76817[Receptions])</f>
        <v>#DIV/0!</v>
      </c>
      <c r="N22" s="219" t="e">
        <f>AVERAGE(Table76817[RecYards])</f>
        <v>#DIV/0!</v>
      </c>
      <c r="O22" s="220" t="e">
        <f>AVERAGE(Table76817[RecTD])</f>
        <v>#DIV/0!</v>
      </c>
      <c r="P22" s="220" t="e">
        <f>AVERAGE(Table76817[Total Touches])</f>
        <v>#DIV/0!</v>
      </c>
      <c r="Q22" s="220" t="e">
        <f>AVERAGE(Table76817[Total Yards])</f>
        <v>#DIV/0!</v>
      </c>
      <c r="R22" s="219" t="e">
        <f>AVERAGE(Table76817[Total TD])</f>
        <v>#DIV/0!</v>
      </c>
      <c r="S22" s="221" t="e">
        <f>AVERAGE(Table76817[Pos Rank])</f>
        <v>#DIV/0!</v>
      </c>
      <c r="T22" s="222" t="e">
        <f>AVERAGE(Table76817[Projection])</f>
        <v>#DIV/0!</v>
      </c>
      <c r="U22" s="193" t="e">
        <f>AVERAGE(Table76817[$/FP])</f>
        <v>#DIV/0!</v>
      </c>
      <c r="V22" s="160" t="s">
        <v>1356</v>
      </c>
      <c r="W22" s="105"/>
    </row>
    <row r="23" spans="1:37" x14ac:dyDescent="0.3">
      <c r="C23" s="161"/>
      <c r="H23" s="166">
        <f>SUM(Table76817[Carries])</f>
        <v>0</v>
      </c>
      <c r="I23" s="166">
        <f>SUM(Table76817[Yards])</f>
        <v>0</v>
      </c>
      <c r="J23" s="166">
        <f>SUM(Table76817[Avg])</f>
        <v>0</v>
      </c>
      <c r="K23" s="166">
        <f>SUM(Table76817[TD])</f>
        <v>0</v>
      </c>
      <c r="L23" s="162">
        <f>SUM(Table76817[Targets])</f>
        <v>0</v>
      </c>
      <c r="M23" s="163">
        <f>SUM(Table76817[Receptions])</f>
        <v>0</v>
      </c>
      <c r="N23" s="164">
        <f>SUM(Table76817[RecYards])</f>
        <v>0</v>
      </c>
      <c r="O23" s="165">
        <f>SUM(Table76817[RecTD])</f>
        <v>0</v>
      </c>
      <c r="P23" s="166">
        <f>SUM(Table76817[Total Touches])</f>
        <v>0</v>
      </c>
      <c r="Q23" s="165">
        <f>SUM(Table76817[Total Yards])</f>
        <v>0</v>
      </c>
      <c r="R23" s="163">
        <f>SUM(Table76817[Total TD])</f>
        <v>0</v>
      </c>
      <c r="S23" s="165">
        <f>SUM(Table76817[Pos Rank])</f>
        <v>0</v>
      </c>
      <c r="T23" s="192">
        <f>SUM(Table76817[Projection])</f>
        <v>0</v>
      </c>
      <c r="U23" s="21">
        <f>SUM(Table76817[$/FP])</f>
        <v>0</v>
      </c>
      <c r="V23" s="160" t="s">
        <v>1357</v>
      </c>
      <c r="W23" s="105"/>
    </row>
    <row r="24" spans="1:37" ht="15" thickBot="1" x14ac:dyDescent="0.35"/>
    <row r="25" spans="1:37" x14ac:dyDescent="0.3">
      <c r="B25" s="570" t="s">
        <v>1409</v>
      </c>
      <c r="C25" s="571"/>
      <c r="D25" s="572"/>
      <c r="E25" s="105"/>
      <c r="F25" s="105"/>
      <c r="T25" s="105"/>
      <c r="U25" s="105"/>
      <c r="V25" s="105"/>
      <c r="W25" s="105"/>
      <c r="X25" s="105"/>
      <c r="Y25" s="105"/>
      <c r="Z25" s="105"/>
    </row>
    <row r="26" spans="1:37" ht="15" thickBot="1" x14ac:dyDescent="0.35">
      <c r="B26" s="573"/>
      <c r="C26" s="574"/>
      <c r="D26" s="575"/>
      <c r="E26" s="167"/>
      <c r="F26" s="167"/>
      <c r="G26" s="206"/>
      <c r="H26" s="576" t="s">
        <v>1358</v>
      </c>
      <c r="I26" s="576"/>
      <c r="J26" s="576"/>
      <c r="K26" s="576" t="s">
        <v>1359</v>
      </c>
      <c r="L26" s="576"/>
      <c r="M26" s="576"/>
      <c r="N26" s="577"/>
      <c r="O26" s="577"/>
      <c r="P26" s="577"/>
      <c r="Q26" s="177"/>
      <c r="R26" s="177"/>
      <c r="S26" s="168"/>
      <c r="T26" s="141"/>
      <c r="U26" s="578" t="s">
        <v>1360</v>
      </c>
      <c r="V26" s="578"/>
      <c r="W26" s="578"/>
      <c r="X26" s="578"/>
      <c r="Y26" s="105"/>
      <c r="Z26" s="105"/>
    </row>
    <row r="27" spans="1:37" s="104" customFormat="1" ht="14.4" customHeight="1" thickBot="1" x14ac:dyDescent="0.35">
      <c r="B27" s="169" t="s">
        <v>415</v>
      </c>
      <c r="C27" s="169" t="s">
        <v>416</v>
      </c>
      <c r="D27" s="36" t="s">
        <v>1412</v>
      </c>
      <c r="E27" s="169" t="s">
        <v>387</v>
      </c>
      <c r="F27" s="169" t="s">
        <v>81</v>
      </c>
      <c r="G27" s="169" t="s">
        <v>425</v>
      </c>
      <c r="H27" s="169" t="s">
        <v>1411</v>
      </c>
      <c r="I27" s="169" t="s">
        <v>418</v>
      </c>
      <c r="J27" s="169" t="s">
        <v>420</v>
      </c>
      <c r="K27" s="169" t="s">
        <v>390</v>
      </c>
      <c r="L27" s="169" t="s">
        <v>421</v>
      </c>
      <c r="M27" s="169" t="s">
        <v>391</v>
      </c>
      <c r="N27" s="169" t="s">
        <v>605</v>
      </c>
      <c r="O27" s="169" t="s">
        <v>422</v>
      </c>
      <c r="P27" s="169" t="s">
        <v>423</v>
      </c>
      <c r="Q27" s="169" t="s">
        <v>424</v>
      </c>
      <c r="R27" s="169" t="s">
        <v>1407</v>
      </c>
      <c r="S27" s="169" t="s">
        <v>604</v>
      </c>
      <c r="T27" s="169" t="s">
        <v>749</v>
      </c>
      <c r="U27" s="182"/>
      <c r="V27" s="182"/>
      <c r="W27" s="182"/>
      <c r="X27" s="182"/>
      <c r="Y27" s="182"/>
      <c r="Z27" s="182"/>
      <c r="AA27" s="182"/>
      <c r="AB27" s="182"/>
      <c r="AC27" s="182"/>
      <c r="AD27" s="182"/>
      <c r="AE27" s="182"/>
      <c r="AF27" s="182"/>
      <c r="AG27" s="182"/>
      <c r="AH27" s="182"/>
      <c r="AI27" s="178"/>
      <c r="AJ27" s="178"/>
      <c r="AK27" s="178"/>
    </row>
    <row r="28" spans="1:37" ht="15.6" customHeight="1" thickBot="1" x14ac:dyDescent="0.35">
      <c r="A28" s="14" t="s">
        <v>1535</v>
      </c>
      <c r="B28" s="170"/>
      <c r="C28" s="225" t="str">
        <f>IFERROR(INDEX(Salaries[DraftKings (Price)],MATCH(Table2052[Name],Salaries[Player],0)),"")</f>
        <v/>
      </c>
      <c r="D28" s="155" t="e">
        <f>Table2052[[#This Row],[Salary]]/$A$22</f>
        <v>#VALUE!</v>
      </c>
      <c r="E28" s="154" t="str">
        <f>IFERROR(INDEX(QBmatchups3[Team],MATCH(Table2052[Name],QBmatchups3[Name],0)),"")</f>
        <v/>
      </c>
      <c r="F28" s="154" t="str">
        <f>IFERROR(INDEX(QBmatchups3[Opp],MATCH(Table2052[Name],QBmatchups3[Name],0)),"")</f>
        <v/>
      </c>
      <c r="G28" s="191" t="str">
        <f>IFERROR(INDEX(QBmatchups3[OppDVP],MATCH(Table2052[Name],QBmatchups3[Name],0)),"")</f>
        <v/>
      </c>
      <c r="H28" s="189" t="str">
        <f>IFERROR(INDEX(QBmatchups3[Attempts],MATCH(Table2052[Name],QBmatchups3[Name],0)),"")</f>
        <v/>
      </c>
      <c r="I28" s="189" t="str">
        <f>IFERROR(INDEX(QBmatchups3[Comp],MATCH(Table2052[Name],QBmatchups3[Name],0)),"")</f>
        <v/>
      </c>
      <c r="J28" s="194" t="str">
        <f>IFERROR(INDEX(QBmatchups3[Comp],MATCH(Table2052[Name],QBmatchups3[Name],0)),"")</f>
        <v/>
      </c>
      <c r="K28" s="189" t="str">
        <f>IFERROR(INDEX(QBmatchups3[Yards],MATCH(Table2052[Name],QBmatchups3[Name],0)),"")</f>
        <v/>
      </c>
      <c r="L28" s="189" t="str">
        <f>IFERROR(INDEX(QBmatchups3[Yards/Att],MATCH(Table2052[Name],QBmatchups3[Name],0)),"")</f>
        <v/>
      </c>
      <c r="M28" s="189" t="str">
        <f>IFERROR(INDEX(QBmatchups3[Pass TD],MATCH(Table2052[Name],QBmatchups3[Name],0)),"")</f>
        <v/>
      </c>
      <c r="N28" s="189" t="str">
        <f>IFERROR(INDEX(QBmatchups3[INT],MATCH(Table2052[Name],QBmatchups3[Name],0)),"")</f>
        <v/>
      </c>
      <c r="O28" s="189" t="str">
        <f>IFERROR(INDEX(QBmatchups3[RushAtt],MATCH(Table2052[Name],QBmatchups3[Name],0)),"")</f>
        <v/>
      </c>
      <c r="P28" s="189" t="str">
        <f>IFERROR(INDEX(QBmatchups3[RushYards],MATCH(Table2052[Name],QBmatchups3[Name],0)),"")</f>
        <v/>
      </c>
      <c r="Q28" s="189" t="str">
        <f>IFERROR(INDEX(QBmatchups3[RushTD],MATCH(Table2052[Name],QBmatchups3[Name],0)),"")</f>
        <v/>
      </c>
      <c r="R28" s="189" t="str">
        <f>IFERROR(INDEX(QBmatchups3[Proj Rank],MATCH(Table2052[Name],QBmatchups3[Name],0)),"")</f>
        <v/>
      </c>
      <c r="S28" s="189" t="str">
        <f>IFERROR(INDEX(QBmatchups3[Projection],MATCH(Table2052[Name],QBmatchups3[Name],0)),"")</f>
        <v/>
      </c>
      <c r="T28" s="204" t="str">
        <f>IFERROR(INDEX(QBmatchups3[$/FP],MATCH(Table2052[Name],QBmatchups3[Name],0)),"")</f>
        <v/>
      </c>
      <c r="U28" s="179"/>
      <c r="V28" s="183"/>
      <c r="W28" s="184"/>
      <c r="X28" s="185"/>
      <c r="Y28" s="186"/>
      <c r="Z28" s="187"/>
      <c r="AA28" s="185"/>
      <c r="AB28" s="185"/>
      <c r="AC28" s="188"/>
      <c r="AD28" s="185"/>
      <c r="AE28" s="183"/>
      <c r="AF28" s="141"/>
      <c r="AG28" s="141"/>
      <c r="AH28" s="141"/>
      <c r="AI28" s="105"/>
      <c r="AJ28" s="105"/>
      <c r="AK28" s="105"/>
    </row>
    <row r="29" spans="1:37" ht="15" thickBot="1" x14ac:dyDescent="0.35">
      <c r="A29" s="14" t="s">
        <v>1536</v>
      </c>
      <c r="B29" s="170"/>
      <c r="C29" s="225" t="str">
        <f>IFERROR(INDEX(Salaries[DraftKings (Price)],MATCH(Table2052[Name],Salaries[Player],0)),"")</f>
        <v/>
      </c>
      <c r="D29" s="155" t="e">
        <f>Table2052[[#This Row],[Salary]]/$A$22</f>
        <v>#VALUE!</v>
      </c>
      <c r="E29" s="205" t="str">
        <f>IFERROR(INDEX(QBmatchups3[Team],MATCH(Table2052[Name],QBmatchups3[Name],0)),"")</f>
        <v/>
      </c>
      <c r="F29" s="154" t="str">
        <f>IFERROR(INDEX(QBmatchups3[Opp],MATCH(Table2052[Name],QBmatchups3[Name],0)),"")</f>
        <v/>
      </c>
      <c r="G29" s="191" t="str">
        <f>IFERROR(INDEX(QBmatchups3[OppDVP],MATCH(Table2052[Name],QBmatchups3[Name],0)),"")</f>
        <v/>
      </c>
      <c r="H29" s="189" t="str">
        <f>IFERROR(INDEX(QBmatchups3[Attempts],MATCH(Table2052[Name],QBmatchups3[Name],0)),"")</f>
        <v/>
      </c>
      <c r="I29" s="189" t="str">
        <f>IFERROR(INDEX(QBmatchups3[Comp],MATCH(Table2052[Name],QBmatchups3[Name],0)),"")</f>
        <v/>
      </c>
      <c r="J29" s="194" t="str">
        <f>IFERROR(INDEX(QBmatchups3[Comp],MATCH(Table2052[Name],QBmatchups3[Name],0)),"")</f>
        <v/>
      </c>
      <c r="K29" s="189" t="str">
        <f>IFERROR(INDEX(QBmatchups3[Yards],MATCH(Table2052[Name],QBmatchups3[Name],0)),"")</f>
        <v/>
      </c>
      <c r="L29" s="189" t="str">
        <f>IFERROR(INDEX(QBmatchups3[Yards/Att],MATCH(Table2052[Name],QBmatchups3[Name],0)),"")</f>
        <v/>
      </c>
      <c r="M29" s="189" t="str">
        <f>IFERROR(INDEX(QBmatchups3[Pass TD],MATCH(Table2052[Name],QBmatchups3[Name],0)),"")</f>
        <v/>
      </c>
      <c r="N29" s="189" t="str">
        <f>IFERROR(INDEX(QBmatchups3[INT],MATCH(Table2052[Name],QBmatchups3[Name],0)),"")</f>
        <v/>
      </c>
      <c r="O29" s="189" t="str">
        <f>IFERROR(INDEX(QBmatchups3[RushAtt],MATCH(Table2052[Name],QBmatchups3[Name],0)),"")</f>
        <v/>
      </c>
      <c r="P29" s="189" t="str">
        <f>IFERROR(INDEX(QBmatchups3[RushYards],MATCH(Table2052[Name],QBmatchups3[Name],0)),"")</f>
        <v/>
      </c>
      <c r="Q29" s="189" t="str">
        <f>IFERROR(INDEX(QBmatchups3[RushTD],MATCH(Table2052[Name],QBmatchups3[Name],0)),"")</f>
        <v/>
      </c>
      <c r="R29" s="189" t="str">
        <f>IFERROR(INDEX(QBmatchups3[Proj Rank],MATCH(Table2052[Name],QBmatchups3[Name],0)),"")</f>
        <v/>
      </c>
      <c r="S29" s="189" t="str">
        <f>IFERROR(INDEX(QBmatchups3[Projection],MATCH(Table2052[Name],QBmatchups3[Name],0)),"")</f>
        <v/>
      </c>
      <c r="T29" s="204" t="str">
        <f>IFERROR(INDEX(QBmatchups3[$/FP],MATCH(Table2052[Name],QBmatchups3[Name],0)),"")</f>
        <v/>
      </c>
      <c r="U29" s="179"/>
      <c r="V29" s="183"/>
      <c r="W29" s="184"/>
      <c r="X29" s="185"/>
      <c r="Y29" s="186"/>
      <c r="Z29" s="187"/>
      <c r="AA29" s="185"/>
      <c r="AB29" s="185"/>
      <c r="AC29" s="188"/>
      <c r="AD29" s="185"/>
      <c r="AE29" s="183"/>
      <c r="AF29" s="141"/>
      <c r="AG29" s="141"/>
      <c r="AH29" s="141"/>
      <c r="AI29" s="180"/>
      <c r="AJ29" s="181"/>
      <c r="AK29" s="105"/>
    </row>
    <row r="30" spans="1:37" ht="15" thickBot="1" x14ac:dyDescent="0.35">
      <c r="A30" s="14" t="s">
        <v>1537</v>
      </c>
      <c r="B30" s="170"/>
      <c r="C30" s="225" t="str">
        <f>IFERROR(INDEX(Salaries[DraftKings (Price)],MATCH(Table2052[Name],Salaries[Player],0)),"")</f>
        <v/>
      </c>
      <c r="D30" s="155" t="e">
        <f>Table2052[[#This Row],[Salary]]/$A$22</f>
        <v>#VALUE!</v>
      </c>
      <c r="E30" s="205" t="str">
        <f>IFERROR(INDEX(QBmatchups3[Team],MATCH(Table2052[Name],QBmatchups3[Name],0)),"")</f>
        <v/>
      </c>
      <c r="F30" s="154" t="str">
        <f>IFERROR(INDEX(QBmatchups3[Opp],MATCH(Table2052[Name],QBmatchups3[Name],0)),"")</f>
        <v/>
      </c>
      <c r="G30" s="191" t="str">
        <f>IFERROR(INDEX(QBmatchups3[OppDVP],MATCH(Table2052[Name],QBmatchups3[Name],0)),"")</f>
        <v/>
      </c>
      <c r="H30" s="189" t="str">
        <f>IFERROR(INDEX(QBmatchups3[Attempts],MATCH(Table2052[Name],QBmatchups3[Name],0)),"")</f>
        <v/>
      </c>
      <c r="I30" s="189" t="str">
        <f>IFERROR(INDEX(QBmatchups3[Comp],MATCH(Table2052[Name],QBmatchups3[Name],0)),"")</f>
        <v/>
      </c>
      <c r="J30" s="194" t="str">
        <f>IFERROR(INDEX(QBmatchups3[Comp],MATCH(Table2052[Name],QBmatchups3[Name],0)),"")</f>
        <v/>
      </c>
      <c r="K30" s="189" t="str">
        <f>IFERROR(INDEX(QBmatchups3[Yards],MATCH(Table2052[Name],QBmatchups3[Name],0)),"")</f>
        <v/>
      </c>
      <c r="L30" s="189" t="str">
        <f>IFERROR(INDEX(QBmatchups3[Yards/Att],MATCH(Table2052[Name],QBmatchups3[Name],0)),"")</f>
        <v/>
      </c>
      <c r="M30" s="189" t="str">
        <f>IFERROR(INDEX(QBmatchups3[Pass TD],MATCH(Table2052[Name],QBmatchups3[Name],0)),"")</f>
        <v/>
      </c>
      <c r="N30" s="189" t="str">
        <f>IFERROR(INDEX(QBmatchups3[INT],MATCH(Table2052[Name],QBmatchups3[Name],0)),"")</f>
        <v/>
      </c>
      <c r="O30" s="189" t="str">
        <f>IFERROR(INDEX(QBmatchups3[RushAtt],MATCH(Table2052[Name],QBmatchups3[Name],0)),"")</f>
        <v/>
      </c>
      <c r="P30" s="189" t="str">
        <f>IFERROR(INDEX(QBmatchups3[RushYards],MATCH(Table2052[Name],QBmatchups3[Name],0)),"")</f>
        <v/>
      </c>
      <c r="Q30" s="189" t="str">
        <f>IFERROR(INDEX(QBmatchups3[RushTD],MATCH(Table2052[Name],QBmatchups3[Name],0)),"")</f>
        <v/>
      </c>
      <c r="R30" s="189" t="str">
        <f>IFERROR(INDEX(QBmatchups3[Proj Rank],MATCH(Table2052[Name],QBmatchups3[Name],0)),"")</f>
        <v/>
      </c>
      <c r="S30" s="189" t="str">
        <f>IFERROR(INDEX(QBmatchups3[Projection],MATCH(Table2052[Name],QBmatchups3[Name],0)),"")</f>
        <v/>
      </c>
      <c r="T30" s="204" t="str">
        <f>IFERROR(INDEX(QBmatchups3[$/FP],MATCH(Table2052[Name],QBmatchups3[Name],0)),"")</f>
        <v/>
      </c>
      <c r="U30" s="179"/>
      <c r="V30" s="183"/>
      <c r="W30" s="184"/>
      <c r="X30" s="185"/>
      <c r="Y30" s="186"/>
      <c r="Z30" s="187"/>
      <c r="AA30" s="185"/>
      <c r="AB30" s="185"/>
      <c r="AC30" s="188"/>
      <c r="AD30" s="185"/>
      <c r="AE30" s="183"/>
      <c r="AF30" s="141"/>
      <c r="AG30" s="141"/>
      <c r="AH30" s="141"/>
      <c r="AI30" s="180"/>
      <c r="AJ30" s="181"/>
      <c r="AK30" s="105"/>
    </row>
    <row r="31" spans="1:37" ht="15" thickBot="1" x14ac:dyDescent="0.35">
      <c r="A31" s="14" t="s">
        <v>1538</v>
      </c>
      <c r="B31" s="170"/>
      <c r="C31" s="225" t="str">
        <f>IFERROR(INDEX(Salaries[DraftKings (Price)],MATCH(Table2052[Name],Salaries[Player],0)),"")</f>
        <v/>
      </c>
      <c r="D31" s="155" t="e">
        <f>Table2052[[#This Row],[Salary]]/$A$22</f>
        <v>#VALUE!</v>
      </c>
      <c r="E31" s="205" t="str">
        <f>IFERROR(INDEX(QBmatchups3[Team],MATCH(Table2052[Name],QBmatchups3[Name],0)),"")</f>
        <v/>
      </c>
      <c r="F31" s="154" t="str">
        <f>IFERROR(INDEX(QBmatchups3[Opp],MATCH(Table2052[Name],QBmatchups3[Name],0)),"")</f>
        <v/>
      </c>
      <c r="G31" s="191" t="str">
        <f>IFERROR(INDEX(QBmatchups3[OppDVP],MATCH(Table2052[Name],QBmatchups3[Name],0)),"")</f>
        <v/>
      </c>
      <c r="H31" s="189" t="str">
        <f>IFERROR(INDEX(QBmatchups3[Attempts],MATCH(Table2052[Name],QBmatchups3[Name],0)),"")</f>
        <v/>
      </c>
      <c r="I31" s="189" t="str">
        <f>IFERROR(INDEX(QBmatchups3[Comp],MATCH(Table2052[Name],QBmatchups3[Name],0)),"")</f>
        <v/>
      </c>
      <c r="J31" s="194" t="str">
        <f>IFERROR(INDEX(QBmatchups3[Comp],MATCH(Table2052[Name],QBmatchups3[Name],0)),"")</f>
        <v/>
      </c>
      <c r="K31" s="189" t="str">
        <f>IFERROR(INDEX(QBmatchups3[Yards],MATCH(Table2052[Name],QBmatchups3[Name],0)),"")</f>
        <v/>
      </c>
      <c r="L31" s="189" t="str">
        <f>IFERROR(INDEX(QBmatchups3[Yards/Att],MATCH(Table2052[Name],QBmatchups3[Name],0)),"")</f>
        <v/>
      </c>
      <c r="M31" s="189" t="str">
        <f>IFERROR(INDEX(QBmatchups3[Pass TD],MATCH(Table2052[Name],QBmatchups3[Name],0)),"")</f>
        <v/>
      </c>
      <c r="N31" s="189" t="str">
        <f>IFERROR(INDEX(QBmatchups3[INT],MATCH(Table2052[Name],QBmatchups3[Name],0)),"")</f>
        <v/>
      </c>
      <c r="O31" s="189" t="str">
        <f>IFERROR(INDEX(QBmatchups3[RushAtt],MATCH(Table2052[Name],QBmatchups3[Name],0)),"")</f>
        <v/>
      </c>
      <c r="P31" s="189" t="str">
        <f>IFERROR(INDEX(QBmatchups3[RushYards],MATCH(Table2052[Name],QBmatchups3[Name],0)),"")</f>
        <v/>
      </c>
      <c r="Q31" s="189" t="str">
        <f>IFERROR(INDEX(QBmatchups3[RushTD],MATCH(Table2052[Name],QBmatchups3[Name],0)),"")</f>
        <v/>
      </c>
      <c r="R31" s="189" t="str">
        <f>IFERROR(INDEX(QBmatchups3[Proj Rank],MATCH(Table2052[Name],QBmatchups3[Name],0)),"")</f>
        <v/>
      </c>
      <c r="S31" s="189" t="str">
        <f>IFERROR(INDEX(QBmatchups3[Projection],MATCH(Table2052[Name],QBmatchups3[Name],0)),"")</f>
        <v/>
      </c>
      <c r="T31" s="204" t="str">
        <f>IFERROR(INDEX(QBmatchups3[$/FP],MATCH(Table2052[Name],QBmatchups3[Name],0)),"")</f>
        <v/>
      </c>
      <c r="U31" s="179"/>
      <c r="V31" s="183"/>
      <c r="W31" s="184"/>
      <c r="X31" s="185"/>
      <c r="Y31" s="186"/>
      <c r="Z31" s="187"/>
      <c r="AA31" s="185"/>
      <c r="AB31" s="185"/>
      <c r="AC31" s="188"/>
      <c r="AD31" s="185"/>
      <c r="AE31" s="183"/>
      <c r="AF31" s="141"/>
      <c r="AG31" s="141"/>
      <c r="AH31" s="141"/>
      <c r="AI31" s="180"/>
      <c r="AJ31" s="181"/>
      <c r="AK31" s="105"/>
    </row>
    <row r="32" spans="1:37" x14ac:dyDescent="0.3">
      <c r="A32" s="14" t="s">
        <v>1539</v>
      </c>
      <c r="B32" s="170"/>
      <c r="C32" s="225" t="str">
        <f>IFERROR(INDEX(Salaries[DraftKings (Price)],MATCH(Table2052[Name],Salaries[Player],0)),"")</f>
        <v/>
      </c>
      <c r="D32" s="155" t="e">
        <f>Table2052[[#This Row],[Salary]]/$A$22</f>
        <v>#VALUE!</v>
      </c>
      <c r="E32" s="205" t="str">
        <f>IFERROR(INDEX(QBmatchups3[Team],MATCH(Table2052[Name],QBmatchups3[Name],0)),"")</f>
        <v/>
      </c>
      <c r="F32" s="154" t="str">
        <f>IFERROR(INDEX(QBmatchups3[Opp],MATCH(Table2052[Name],QBmatchups3[Name],0)),"")</f>
        <v/>
      </c>
      <c r="G32" s="191" t="str">
        <f>IFERROR(INDEX(QBmatchups3[OppDVP],MATCH(Table2052[Name],QBmatchups3[Name],0)),"")</f>
        <v/>
      </c>
      <c r="H32" s="189" t="str">
        <f>IFERROR(INDEX(QBmatchups3[Attempts],MATCH(Table2052[Name],QBmatchups3[Name],0)),"")</f>
        <v/>
      </c>
      <c r="I32" s="189" t="str">
        <f>IFERROR(INDEX(QBmatchups3[Comp],MATCH(Table2052[Name],QBmatchups3[Name],0)),"")</f>
        <v/>
      </c>
      <c r="J32" s="194" t="str">
        <f>IFERROR(INDEX(QBmatchups3[Comp],MATCH(Table2052[Name],QBmatchups3[Name],0)),"")</f>
        <v/>
      </c>
      <c r="K32" s="189" t="str">
        <f>IFERROR(INDEX(QBmatchups3[Yards],MATCH(Table2052[Name],QBmatchups3[Name],0)),"")</f>
        <v/>
      </c>
      <c r="L32" s="189" t="str">
        <f>IFERROR(INDEX(QBmatchups3[Yards/Att],MATCH(Table2052[Name],QBmatchups3[Name],0)),"")</f>
        <v/>
      </c>
      <c r="M32" s="189" t="str">
        <f>IFERROR(INDEX(QBmatchups3[Pass TD],MATCH(Table2052[Name],QBmatchups3[Name],0)),"")</f>
        <v/>
      </c>
      <c r="N32" s="189" t="str">
        <f>IFERROR(INDEX(QBmatchups3[INT],MATCH(Table2052[Name],QBmatchups3[Name],0)),"")</f>
        <v/>
      </c>
      <c r="O32" s="189" t="str">
        <f>IFERROR(INDEX(QBmatchups3[RushAtt],MATCH(Table2052[Name],QBmatchups3[Name],0)),"")</f>
        <v/>
      </c>
      <c r="P32" s="189" t="str">
        <f>IFERROR(INDEX(QBmatchups3[RushYards],MATCH(Table2052[Name],QBmatchups3[Name],0)),"")</f>
        <v/>
      </c>
      <c r="Q32" s="189" t="str">
        <f>IFERROR(INDEX(QBmatchups3[RushTD],MATCH(Table2052[Name],QBmatchups3[Name],0)),"")</f>
        <v/>
      </c>
      <c r="R32" s="189" t="str">
        <f>IFERROR(INDEX(QBmatchups3[Proj Rank],MATCH(Table2052[Name],QBmatchups3[Name],0)),"")</f>
        <v/>
      </c>
      <c r="S32" s="189" t="str">
        <f>IFERROR(INDEX(QBmatchups3[Projection],MATCH(Table2052[Name],QBmatchups3[Name],0)),"")</f>
        <v/>
      </c>
      <c r="T32" s="204" t="str">
        <f>IFERROR(INDEX(QBmatchups3[$/FP],MATCH(Table2052[Name],QBmatchups3[Name],0)),"")</f>
        <v/>
      </c>
      <c r="U32" s="179"/>
      <c r="V32" s="183"/>
      <c r="W32" s="184"/>
      <c r="X32" s="185"/>
      <c r="Y32" s="186"/>
      <c r="Z32" s="187"/>
      <c r="AA32" s="185"/>
      <c r="AB32" s="185"/>
      <c r="AC32" s="188"/>
      <c r="AD32" s="185"/>
      <c r="AE32" s="183"/>
      <c r="AF32" s="141"/>
      <c r="AG32" s="141"/>
      <c r="AH32" s="141"/>
      <c r="AI32" s="105"/>
      <c r="AJ32" s="105"/>
      <c r="AK32" s="105"/>
    </row>
    <row r="33" spans="2:3" x14ac:dyDescent="0.3">
      <c r="B33" s="5" t="s">
        <v>1414</v>
      </c>
      <c r="C33" s="172" t="e">
        <f>C22-C28</f>
        <v>#VALUE!</v>
      </c>
    </row>
    <row r="34" spans="2:3" x14ac:dyDescent="0.3">
      <c r="B34" s="5" t="s">
        <v>1415</v>
      </c>
      <c r="C34" s="172" t="e">
        <f>C22-C29</f>
        <v>#VALUE!</v>
      </c>
    </row>
    <row r="35" spans="2:3" x14ac:dyDescent="0.3">
      <c r="B35" s="5" t="s">
        <v>1416</v>
      </c>
      <c r="C35" s="172" t="e">
        <f>C22-C30</f>
        <v>#VALUE!</v>
      </c>
    </row>
    <row r="36" spans="2:3" x14ac:dyDescent="0.3">
      <c r="B36" s="5" t="s">
        <v>1418</v>
      </c>
      <c r="C36" s="172" t="e">
        <f>C22-C31</f>
        <v>#VALUE!</v>
      </c>
    </row>
    <row r="37" spans="2:3" x14ac:dyDescent="0.3">
      <c r="B37" s="5" t="s">
        <v>1417</v>
      </c>
      <c r="C37" s="172" t="e">
        <f>C22-C32</f>
        <v>#VALUE!</v>
      </c>
    </row>
  </sheetData>
  <mergeCells count="13">
    <mergeCell ref="B25:D26"/>
    <mergeCell ref="H26:J26"/>
    <mergeCell ref="K26:M26"/>
    <mergeCell ref="N26:P26"/>
    <mergeCell ref="U26:X26"/>
    <mergeCell ref="B8:D9"/>
    <mergeCell ref="L9:O9"/>
    <mergeCell ref="H9:K9"/>
    <mergeCell ref="O2:S2"/>
    <mergeCell ref="O3:S3"/>
    <mergeCell ref="B5:D5"/>
    <mergeCell ref="B7:D7"/>
    <mergeCell ref="E7:J7"/>
  </mergeCells>
  <conditionalFormatting sqref="O2:O3">
    <cfRule type="colorScale" priority="305">
      <colorScale>
        <cfvo type="min"/>
        <cfvo type="percentile" val="50"/>
        <cfvo type="max"/>
        <color rgb="FFF8696B"/>
        <color rgb="FFFFEB84"/>
        <color rgb="FF63BE7B"/>
      </colorScale>
    </cfRule>
  </conditionalFormatting>
  <conditionalFormatting sqref="O2:O3">
    <cfRule type="colorScale" priority="304">
      <colorScale>
        <cfvo type="min"/>
        <cfvo type="percentile" val="50"/>
        <cfvo type="max"/>
        <color rgb="FFF8696B"/>
        <color rgb="FFFFEB84"/>
        <color rgb="FF63BE7B"/>
      </colorScale>
    </cfRule>
  </conditionalFormatting>
  <conditionalFormatting sqref="O2:O3">
    <cfRule type="colorScale" priority="303">
      <colorScale>
        <cfvo type="min"/>
        <cfvo type="percentile" val="50"/>
        <cfvo type="max"/>
        <color rgb="FFF8696B"/>
        <color rgb="FFFFEB84"/>
        <color rgb="FF63BE7B"/>
      </colorScale>
    </cfRule>
  </conditionalFormatting>
  <conditionalFormatting sqref="O2:O3">
    <cfRule type="colorScale" priority="302">
      <colorScale>
        <cfvo type="min"/>
        <cfvo type="percentile" val="50"/>
        <cfvo type="max"/>
        <color rgb="FFF8696B"/>
        <color rgb="FFFFEB84"/>
        <color rgb="FF63BE7B"/>
      </colorScale>
    </cfRule>
  </conditionalFormatting>
  <conditionalFormatting sqref="AJ29:AJ31 S33:S1048576 U31:U32 S4:S8 S1 S24:S25">
    <cfRule type="colorScale" priority="314">
      <colorScale>
        <cfvo type="min"/>
        <cfvo type="percentile" val="50"/>
        <cfvo type="max"/>
        <color rgb="FFF8696B"/>
        <color rgb="FFFFEB84"/>
        <color rgb="FF63BE7B"/>
      </colorScale>
    </cfRule>
  </conditionalFormatting>
  <conditionalFormatting sqref="V27">
    <cfRule type="colorScale" priority="300">
      <colorScale>
        <cfvo type="min"/>
        <cfvo type="percentile" val="50"/>
        <cfvo type="max"/>
        <color rgb="FFF8696B"/>
        <color rgb="FFFFEB84"/>
        <color rgb="FF63BE7B"/>
      </colorScale>
    </cfRule>
  </conditionalFormatting>
  <conditionalFormatting sqref="W27">
    <cfRule type="colorScale" priority="299">
      <colorScale>
        <cfvo type="min"/>
        <cfvo type="percentile" val="50"/>
        <cfvo type="max"/>
        <color rgb="FFF8696B"/>
        <color rgb="FFFFEB84"/>
        <color rgb="FF63BE7B"/>
      </colorScale>
    </cfRule>
  </conditionalFormatting>
  <conditionalFormatting sqref="X27">
    <cfRule type="colorScale" priority="297">
      <colorScale>
        <cfvo type="min"/>
        <cfvo type="percentile" val="50"/>
        <cfvo type="max"/>
        <color rgb="FF63BE7B"/>
        <color rgb="FFFFEB84"/>
        <color rgb="FFF8696B"/>
      </colorScale>
    </cfRule>
  </conditionalFormatting>
  <conditionalFormatting sqref="Y27">
    <cfRule type="colorScale" priority="298">
      <colorScale>
        <cfvo type="min"/>
        <cfvo type="percentile" val="50"/>
        <cfvo type="max"/>
        <color rgb="FF63BE7B"/>
        <color rgb="FFFFEB84"/>
        <color rgb="FFF8696B"/>
      </colorScale>
    </cfRule>
  </conditionalFormatting>
  <conditionalFormatting sqref="Z27">
    <cfRule type="colorScale" priority="296">
      <colorScale>
        <cfvo type="min"/>
        <cfvo type="percentile" val="50"/>
        <cfvo type="max"/>
        <color rgb="FF63BE7B"/>
        <color rgb="FFFFEB84"/>
        <color rgb="FFF8696B"/>
      </colorScale>
    </cfRule>
  </conditionalFormatting>
  <conditionalFormatting sqref="AA27">
    <cfRule type="colorScale" priority="295">
      <colorScale>
        <cfvo type="min"/>
        <cfvo type="percentile" val="50"/>
        <cfvo type="max"/>
        <color rgb="FF63BE7B"/>
        <color rgb="FFFFEB84"/>
        <color rgb="FFF8696B"/>
      </colorScale>
    </cfRule>
  </conditionalFormatting>
  <conditionalFormatting sqref="AB27">
    <cfRule type="colorScale" priority="294">
      <colorScale>
        <cfvo type="min"/>
        <cfvo type="percentile" val="50"/>
        <cfvo type="max"/>
        <color rgb="FFF8696B"/>
        <color rgb="FFFFEB84"/>
        <color rgb="FF63BE7B"/>
      </colorScale>
    </cfRule>
  </conditionalFormatting>
  <conditionalFormatting sqref="AC27">
    <cfRule type="colorScale" priority="293">
      <colorScale>
        <cfvo type="min"/>
        <cfvo type="percentile" val="50"/>
        <cfvo type="max"/>
        <color rgb="FFF8696B"/>
        <color rgb="FFFFEB84"/>
        <color rgb="FF63BE7B"/>
      </colorScale>
    </cfRule>
  </conditionalFormatting>
  <conditionalFormatting sqref="AD27">
    <cfRule type="colorScale" priority="292">
      <colorScale>
        <cfvo type="min"/>
        <cfvo type="percentile" val="50"/>
        <cfvo type="max"/>
        <color rgb="FF63BE7B"/>
        <color rgb="FFFFEB84"/>
        <color rgb="FFF8696B"/>
      </colorScale>
    </cfRule>
  </conditionalFormatting>
  <conditionalFormatting sqref="AF27">
    <cfRule type="colorScale" priority="291">
      <colorScale>
        <cfvo type="min"/>
        <cfvo type="percentile" val="50"/>
        <cfvo type="max"/>
        <color rgb="FF63BE7B"/>
        <color rgb="FFFFEB84"/>
        <color rgb="FFF8696B"/>
      </colorScale>
    </cfRule>
  </conditionalFormatting>
  <conditionalFormatting sqref="AE27">
    <cfRule type="colorScale" priority="290">
      <colorScale>
        <cfvo type="min"/>
        <cfvo type="percentile" val="50"/>
        <cfvo type="max"/>
        <color rgb="FFF8696B"/>
        <color rgb="FFFFEB84"/>
        <color rgb="FF63BE7B"/>
      </colorScale>
    </cfRule>
  </conditionalFormatting>
  <conditionalFormatting sqref="AG27">
    <cfRule type="colorScale" priority="289">
      <colorScale>
        <cfvo type="min"/>
        <cfvo type="percentile" val="50"/>
        <cfvo type="max"/>
        <color rgb="FFF8696B"/>
        <color rgb="FFFFEB84"/>
        <color rgb="FF63BE7B"/>
      </colorScale>
    </cfRule>
  </conditionalFormatting>
  <conditionalFormatting sqref="V27">
    <cfRule type="colorScale" priority="288">
      <colorScale>
        <cfvo type="min"/>
        <cfvo type="percentile" val="50"/>
        <cfvo type="max"/>
        <color rgb="FFF8696B"/>
        <color rgb="FFFFEB84"/>
        <color rgb="FF63BE7B"/>
      </colorScale>
    </cfRule>
  </conditionalFormatting>
  <conditionalFormatting sqref="W27">
    <cfRule type="colorScale" priority="287">
      <colorScale>
        <cfvo type="min"/>
        <cfvo type="percentile" val="50"/>
        <cfvo type="max"/>
        <color rgb="FFF8696B"/>
        <color rgb="FFFFEB84"/>
        <color rgb="FF63BE7B"/>
      </colorScale>
    </cfRule>
  </conditionalFormatting>
  <conditionalFormatting sqref="X27">
    <cfRule type="colorScale" priority="286">
      <colorScale>
        <cfvo type="min"/>
        <cfvo type="percentile" val="50"/>
        <cfvo type="max"/>
        <color rgb="FF63BE7B"/>
        <color rgb="FFFFEB84"/>
        <color rgb="FFF8696B"/>
      </colorScale>
    </cfRule>
  </conditionalFormatting>
  <conditionalFormatting sqref="Y27">
    <cfRule type="colorScale" priority="285">
      <colorScale>
        <cfvo type="min"/>
        <cfvo type="percentile" val="50"/>
        <cfvo type="max"/>
        <color rgb="FF63BE7B"/>
        <color rgb="FFFFEB84"/>
        <color rgb="FFF8696B"/>
      </colorScale>
    </cfRule>
  </conditionalFormatting>
  <conditionalFormatting sqref="Z27">
    <cfRule type="colorScale" priority="284">
      <colorScale>
        <cfvo type="min"/>
        <cfvo type="percentile" val="50"/>
        <cfvo type="max"/>
        <color rgb="FF63BE7B"/>
        <color rgb="FFFFEB84"/>
        <color rgb="FFF8696B"/>
      </colorScale>
    </cfRule>
  </conditionalFormatting>
  <conditionalFormatting sqref="AA27">
    <cfRule type="colorScale" priority="283">
      <colorScale>
        <cfvo type="min"/>
        <cfvo type="percentile" val="50"/>
        <cfvo type="max"/>
        <color rgb="FF63BE7B"/>
        <color rgb="FFFFEB84"/>
        <color rgb="FFF8696B"/>
      </colorScale>
    </cfRule>
  </conditionalFormatting>
  <conditionalFormatting sqref="AB27">
    <cfRule type="colorScale" priority="282">
      <colorScale>
        <cfvo type="min"/>
        <cfvo type="percentile" val="50"/>
        <cfvo type="max"/>
        <color rgb="FFF8696B"/>
        <color rgb="FFFFEB84"/>
        <color rgb="FF63BE7B"/>
      </colorScale>
    </cfRule>
  </conditionalFormatting>
  <conditionalFormatting sqref="AD27">
    <cfRule type="colorScale" priority="281">
      <colorScale>
        <cfvo type="min"/>
        <cfvo type="percentile" val="50"/>
        <cfvo type="max"/>
        <color rgb="FF63BE7B"/>
        <color rgb="FFFFEB84"/>
        <color rgb="FFF8696B"/>
      </colorScale>
    </cfRule>
  </conditionalFormatting>
  <conditionalFormatting sqref="C33:C37">
    <cfRule type="colorScale" priority="280">
      <colorScale>
        <cfvo type="min"/>
        <cfvo type="percentile" val="50"/>
        <cfvo type="max"/>
        <color rgb="FFF8696B"/>
        <color rgb="FFFFEB84"/>
        <color rgb="FF63BE7B"/>
      </colorScale>
    </cfRule>
  </conditionalFormatting>
  <conditionalFormatting sqref="D25:D26">
    <cfRule type="colorScale" priority="279">
      <colorScale>
        <cfvo type="min"/>
        <cfvo type="percentile" val="50"/>
        <cfvo type="max"/>
        <color rgb="FFF8696B"/>
        <color rgb="FFFFEB84"/>
        <color rgb="FF63BE7B"/>
      </colorScale>
    </cfRule>
  </conditionalFormatting>
  <conditionalFormatting sqref="K21:L21 J33:J1048576 J8 E6 J1 J24">
    <cfRule type="colorScale" priority="320">
      <colorScale>
        <cfvo type="min"/>
        <cfvo type="percentile" val="50"/>
        <cfvo type="max"/>
        <color rgb="FFF8696B"/>
        <color rgb="FFFFEB84"/>
        <color rgb="FF63BE7B"/>
      </colorScale>
    </cfRule>
  </conditionalFormatting>
  <conditionalFormatting sqref="AH27">
    <cfRule type="colorScale" priority="321">
      <colorScale>
        <cfvo type="min"/>
        <cfvo type="percentile" val="50"/>
        <cfvo type="max"/>
        <color rgb="FF63BE7B"/>
        <color rgb="FFFFEB84"/>
        <color rgb="FFF8696B"/>
      </colorScale>
    </cfRule>
  </conditionalFormatting>
  <conditionalFormatting sqref="I27">
    <cfRule type="colorScale" priority="278">
      <colorScale>
        <cfvo type="min"/>
        <cfvo type="percentile" val="50"/>
        <cfvo type="max"/>
        <color rgb="FF63BE7B"/>
        <color rgb="FFFFEB84"/>
        <color rgb="FFF8696B"/>
      </colorScale>
    </cfRule>
  </conditionalFormatting>
  <conditionalFormatting sqref="J27">
    <cfRule type="colorScale" priority="277">
      <colorScale>
        <cfvo type="min"/>
        <cfvo type="percentile" val="50"/>
        <cfvo type="max"/>
        <color rgb="FF63BE7B"/>
        <color rgb="FFFFEB84"/>
        <color rgb="FFF8696B"/>
      </colorScale>
    </cfRule>
  </conditionalFormatting>
  <conditionalFormatting sqref="K27">
    <cfRule type="colorScale" priority="276">
      <colorScale>
        <cfvo type="min"/>
        <cfvo type="percentile" val="50"/>
        <cfvo type="max"/>
        <color rgb="FF63BE7B"/>
        <color rgb="FFFFEB84"/>
        <color rgb="FFF8696B"/>
      </colorScale>
    </cfRule>
  </conditionalFormatting>
  <conditionalFormatting sqref="L27">
    <cfRule type="colorScale" priority="275">
      <colorScale>
        <cfvo type="min"/>
        <cfvo type="percentile" val="50"/>
        <cfvo type="max"/>
        <color rgb="FF63BE7B"/>
        <color rgb="FFFFEB84"/>
        <color rgb="FFF8696B"/>
      </colorScale>
    </cfRule>
  </conditionalFormatting>
  <conditionalFormatting sqref="M27 K26">
    <cfRule type="colorScale" priority="274">
      <colorScale>
        <cfvo type="min"/>
        <cfvo type="percentile" val="50"/>
        <cfvo type="max"/>
        <color rgb="FFF8696B"/>
        <color rgb="FFFFEB84"/>
        <color rgb="FF63BE7B"/>
      </colorScale>
    </cfRule>
  </conditionalFormatting>
  <conditionalFormatting sqref="N27">
    <cfRule type="colorScale" priority="273">
      <colorScale>
        <cfvo type="min"/>
        <cfvo type="percentile" val="50"/>
        <cfvo type="max"/>
        <color rgb="FF63BE7B"/>
        <color rgb="FFFFEB84"/>
        <color rgb="FFF8696B"/>
      </colorScale>
    </cfRule>
  </conditionalFormatting>
  <conditionalFormatting sqref="R27">
    <cfRule type="colorScale" priority="270">
      <colorScale>
        <cfvo type="min"/>
        <cfvo type="percentile" val="50"/>
        <cfvo type="max"/>
        <color rgb="FF5A8AC6"/>
        <color rgb="FFFCFCFF"/>
        <color rgb="FFF8696B"/>
      </colorScale>
    </cfRule>
    <cfRule type="iconSet" priority="272">
      <iconSet iconSet="5Rating">
        <cfvo type="percent" val="0"/>
        <cfvo type="percent" val="20"/>
        <cfvo type="percent" val="40"/>
        <cfvo type="percent" val="60"/>
        <cfvo type="percent" val="80"/>
      </iconSet>
    </cfRule>
  </conditionalFormatting>
  <conditionalFormatting sqref="Q26:S26 S27:T27">
    <cfRule type="colorScale" priority="269">
      <colorScale>
        <cfvo type="min"/>
        <cfvo type="percentile" val="50"/>
        <cfvo type="max"/>
        <color rgb="FF5A8AC6"/>
        <color rgb="FFFCFCFF"/>
        <color rgb="FFF8696B"/>
      </colorScale>
    </cfRule>
    <cfRule type="iconSet" priority="271">
      <iconSet iconSet="5Rating">
        <cfvo type="percent" val="0"/>
        <cfvo type="percent" val="20"/>
        <cfvo type="percent" val="40"/>
        <cfvo type="percent" val="60"/>
        <cfvo type="percent" val="80"/>
      </iconSet>
    </cfRule>
  </conditionalFormatting>
  <conditionalFormatting sqref="I27">
    <cfRule type="colorScale" priority="268">
      <colorScale>
        <cfvo type="min"/>
        <cfvo type="percentile" val="50"/>
        <cfvo type="max"/>
        <color rgb="FF63BE7B"/>
        <color rgb="FFFFEB84"/>
        <color rgb="FFF8696B"/>
      </colorScale>
    </cfRule>
  </conditionalFormatting>
  <conditionalFormatting sqref="J27 H26">
    <cfRule type="colorScale" priority="267">
      <colorScale>
        <cfvo type="min"/>
        <cfvo type="percentile" val="50"/>
        <cfvo type="max"/>
        <color rgb="FF63BE7B"/>
        <color rgb="FFFFEB84"/>
        <color rgb="FFF8696B"/>
      </colorScale>
    </cfRule>
  </conditionalFormatting>
  <conditionalFormatting sqref="K27">
    <cfRule type="colorScale" priority="266">
      <colorScale>
        <cfvo type="min"/>
        <cfvo type="percentile" val="50"/>
        <cfvo type="max"/>
        <color rgb="FF63BE7B"/>
        <color rgb="FFFFEB84"/>
        <color rgb="FFF8696B"/>
      </colorScale>
    </cfRule>
  </conditionalFormatting>
  <conditionalFormatting sqref="T27 R26">
    <cfRule type="colorScale" priority="264">
      <colorScale>
        <cfvo type="min"/>
        <cfvo type="percentile" val="50"/>
        <cfvo type="max"/>
        <color rgb="FFF8696B"/>
        <color rgb="FFFFEB84"/>
        <color rgb="FF63BE7B"/>
      </colorScale>
    </cfRule>
    <cfRule type="iconSet" priority="265">
      <iconSet>
        <cfvo type="percent" val="0"/>
        <cfvo type="percent" val="33"/>
        <cfvo type="percent" val="67"/>
      </iconSet>
    </cfRule>
  </conditionalFormatting>
  <conditionalFormatting sqref="AI29:AI31 R33:R1048576 S26 R4:R8 R1 R24">
    <cfRule type="colorScale" priority="322">
      <colorScale>
        <cfvo type="min"/>
        <cfvo type="percentile" val="50"/>
        <cfvo type="max"/>
        <color rgb="FFF8696B"/>
        <color rgb="FFFFEB84"/>
        <color rgb="FF63BE7B"/>
      </colorScale>
    </cfRule>
  </conditionalFormatting>
  <conditionalFormatting sqref="U22:U23">
    <cfRule type="colorScale" priority="263">
      <colorScale>
        <cfvo type="min"/>
        <cfvo type="percentile" val="50"/>
        <cfvo type="max"/>
        <color rgb="FF63BE7B"/>
        <color rgb="FFFFEB84"/>
        <color rgb="FFF8696B"/>
      </colorScale>
    </cfRule>
  </conditionalFormatting>
  <conditionalFormatting sqref="U21">
    <cfRule type="colorScale" priority="262">
      <colorScale>
        <cfvo type="min"/>
        <cfvo type="percentile" val="50"/>
        <cfvo type="max"/>
        <color rgb="FFF8696B"/>
        <color rgb="FFFFEB84"/>
        <color rgb="FF63BE7B"/>
      </colorScale>
    </cfRule>
  </conditionalFormatting>
  <conditionalFormatting sqref="O21 N22">
    <cfRule type="colorScale" priority="261">
      <colorScale>
        <cfvo type="min"/>
        <cfvo type="percentile" val="50"/>
        <cfvo type="max"/>
        <color rgb="FFF8696B"/>
        <color rgb="FFFFEB84"/>
        <color rgb="FF63BE7B"/>
      </colorScale>
    </cfRule>
  </conditionalFormatting>
  <conditionalFormatting sqref="N21 M22">
    <cfRule type="colorScale" priority="260">
      <colorScale>
        <cfvo type="min"/>
        <cfvo type="percentile" val="50"/>
        <cfvo type="max"/>
        <color rgb="FFF8696B"/>
        <color rgb="FFFFEB84"/>
        <color rgb="FF63BE7B"/>
      </colorScale>
    </cfRule>
  </conditionalFormatting>
  <conditionalFormatting sqref="M21 L22">
    <cfRule type="colorScale" priority="259">
      <colorScale>
        <cfvo type="min"/>
        <cfvo type="percentile" val="50"/>
        <cfvo type="max"/>
        <color rgb="FFF8696B"/>
        <color rgb="FFFFEB84"/>
        <color rgb="FF63BE7B"/>
      </colorScale>
    </cfRule>
  </conditionalFormatting>
  <conditionalFormatting sqref="O22">
    <cfRule type="colorScale" priority="258">
      <colorScale>
        <cfvo type="min"/>
        <cfvo type="percentile" val="50"/>
        <cfvo type="max"/>
        <color rgb="FFF8696B"/>
        <color rgb="FFFFEB84"/>
        <color rgb="FF63BE7B"/>
      </colorScale>
    </cfRule>
  </conditionalFormatting>
  <conditionalFormatting sqref="Q21 P22">
    <cfRule type="colorScale" priority="257">
      <colorScale>
        <cfvo type="min"/>
        <cfvo type="percentile" val="50"/>
        <cfvo type="max"/>
        <color rgb="FFF8696B"/>
        <color rgb="FFFFEB84"/>
        <color rgb="FF63BE7B"/>
      </colorScale>
    </cfRule>
  </conditionalFormatting>
  <conditionalFormatting sqref="R21 Q22">
    <cfRule type="colorScale" priority="256">
      <colorScale>
        <cfvo type="min"/>
        <cfvo type="percentile" val="50"/>
        <cfvo type="max"/>
        <color rgb="FFF8696B"/>
        <color rgb="FFFFEB84"/>
        <color rgb="FF63BE7B"/>
      </colorScale>
    </cfRule>
  </conditionalFormatting>
  <conditionalFormatting sqref="S21 R22">
    <cfRule type="colorScale" priority="255">
      <colorScale>
        <cfvo type="min"/>
        <cfvo type="percentile" val="50"/>
        <cfvo type="max"/>
        <color rgb="FFF8696B"/>
        <color rgb="FFFFEB84"/>
        <color rgb="FF63BE7B"/>
      </colorScale>
    </cfRule>
  </conditionalFormatting>
  <conditionalFormatting sqref="T21 S22">
    <cfRule type="colorScale" priority="254">
      <colorScale>
        <cfvo type="min"/>
        <cfvo type="percentile" val="50"/>
        <cfvo type="max"/>
        <color rgb="FFF8696B"/>
        <color rgb="FFFFEB84"/>
        <color rgb="FF63BE7B"/>
      </colorScale>
    </cfRule>
  </conditionalFormatting>
  <conditionalFormatting sqref="U21 T22">
    <cfRule type="colorScale" priority="253">
      <colorScale>
        <cfvo type="min"/>
        <cfvo type="percentile" val="50"/>
        <cfvo type="max"/>
        <color rgb="FFF8696B"/>
        <color rgb="FFFFEB84"/>
        <color rgb="FF63BE7B"/>
      </colorScale>
    </cfRule>
  </conditionalFormatting>
  <conditionalFormatting sqref="K21:L21 K22">
    <cfRule type="colorScale" priority="252">
      <colorScale>
        <cfvo type="min"/>
        <cfvo type="percentile" val="50"/>
        <cfvo type="max"/>
        <color rgb="FFF8696B"/>
        <color rgb="FFFFEB84"/>
        <color rgb="FF63BE7B"/>
      </colorScale>
    </cfRule>
  </conditionalFormatting>
  <conditionalFormatting sqref="B5">
    <cfRule type="colorScale" priority="251">
      <colorScale>
        <cfvo type="min"/>
        <cfvo type="percentile" val="50"/>
        <cfvo type="max"/>
        <color rgb="FFF8696B"/>
        <color rgb="FFFFEB84"/>
        <color rgb="FF63BE7B"/>
      </colorScale>
    </cfRule>
  </conditionalFormatting>
  <conditionalFormatting sqref="E3:E4">
    <cfRule type="colorScale" priority="250">
      <colorScale>
        <cfvo type="min"/>
        <cfvo type="percentile" val="50"/>
        <cfvo type="max"/>
        <color rgb="FFF8696B"/>
        <color rgb="FFFFEB84"/>
        <color rgb="FF63BE7B"/>
      </colorScale>
    </cfRule>
  </conditionalFormatting>
  <conditionalFormatting sqref="E7">
    <cfRule type="colorScale" priority="249">
      <colorScale>
        <cfvo type="min"/>
        <cfvo type="percentile" val="50"/>
        <cfvo type="max"/>
        <color rgb="FFF8696B"/>
        <color rgb="FFFFEB84"/>
        <color rgb="FF63BE7B"/>
      </colorScale>
    </cfRule>
  </conditionalFormatting>
  <conditionalFormatting sqref="Q9">
    <cfRule type="colorScale" priority="244">
      <colorScale>
        <cfvo type="min"/>
        <cfvo type="percentile" val="50"/>
        <cfvo type="max"/>
        <color rgb="FFF8696B"/>
        <color rgb="FFFFEB84"/>
        <color rgb="FF63BE7B"/>
      </colorScale>
    </cfRule>
  </conditionalFormatting>
  <conditionalFormatting sqref="Q9">
    <cfRule type="colorScale" priority="239">
      <colorScale>
        <cfvo type="min"/>
        <cfvo type="percentile" val="50"/>
        <cfvo type="max"/>
        <color rgb="FFF8696B"/>
        <color rgb="FFFFEB84"/>
        <color rgb="FF63BE7B"/>
      </colorScale>
    </cfRule>
  </conditionalFormatting>
  <conditionalFormatting sqref="S9:T9">
    <cfRule type="colorScale" priority="238">
      <colorScale>
        <cfvo type="min"/>
        <cfvo type="percentile" val="50"/>
        <cfvo type="max"/>
        <color rgb="FFF8696B"/>
        <color rgb="FFFFEB84"/>
        <color rgb="FF63BE7B"/>
      </colorScale>
    </cfRule>
  </conditionalFormatting>
  <conditionalFormatting sqref="T9">
    <cfRule type="colorScale" priority="226">
      <colorScale>
        <cfvo type="min"/>
        <cfvo type="percentile" val="50"/>
        <cfvo type="max"/>
        <color rgb="FFF8696B"/>
        <color rgb="FFFFEB84"/>
        <color rgb="FF63BE7B"/>
      </colorScale>
    </cfRule>
  </conditionalFormatting>
  <conditionalFormatting sqref="S9">
    <cfRule type="colorScale" priority="227">
      <colorScale>
        <cfvo type="min"/>
        <cfvo type="percentile" val="50"/>
        <cfvo type="max"/>
        <color rgb="FFF8696B"/>
        <color rgb="FFFFEB84"/>
        <color rgb="FF63BE7B"/>
      </colorScale>
    </cfRule>
  </conditionalFormatting>
  <conditionalFormatting sqref="R9">
    <cfRule type="colorScale" priority="228">
      <colorScale>
        <cfvo type="min"/>
        <cfvo type="percentile" val="50"/>
        <cfvo type="max"/>
        <color rgb="FFF8696B"/>
        <color rgb="FFFFEB84"/>
        <color rgb="FF63BE7B"/>
      </colorScale>
    </cfRule>
  </conditionalFormatting>
  <conditionalFormatting sqref="Q9">
    <cfRule type="colorScale" priority="229">
      <colorScale>
        <cfvo type="min"/>
        <cfvo type="percentile" val="50"/>
        <cfvo type="max"/>
        <color rgb="FFF8696B"/>
        <color rgb="FFFFEB84"/>
        <color rgb="FF63BE7B"/>
      </colorScale>
    </cfRule>
  </conditionalFormatting>
  <conditionalFormatting sqref="P9">
    <cfRule type="colorScale" priority="199">
      <colorScale>
        <cfvo type="min"/>
        <cfvo type="percentile" val="50"/>
        <cfvo type="max"/>
        <color rgb="FFF8696B"/>
        <color rgb="FFFFEB84"/>
        <color rgb="FF63BE7B"/>
      </colorScale>
    </cfRule>
  </conditionalFormatting>
  <conditionalFormatting sqref="P9">
    <cfRule type="colorScale" priority="198">
      <colorScale>
        <cfvo type="min"/>
        <cfvo type="percentile" val="50"/>
        <cfvo type="max"/>
        <color rgb="FFF8696B"/>
        <color rgb="FFFFEB84"/>
        <color rgb="FF63BE7B"/>
      </colorScale>
    </cfRule>
  </conditionalFormatting>
  <conditionalFormatting sqref="P9">
    <cfRule type="colorScale" priority="197">
      <colorScale>
        <cfvo type="min"/>
        <cfvo type="percentile" val="50"/>
        <cfvo type="max"/>
        <color rgb="FFF8696B"/>
        <color rgb="FFFFEB84"/>
        <color rgb="FF63BE7B"/>
      </colorScale>
    </cfRule>
  </conditionalFormatting>
  <conditionalFormatting sqref="O27:Q27">
    <cfRule type="colorScale" priority="193">
      <colorScale>
        <cfvo type="min"/>
        <cfvo type="percentile" val="50"/>
        <cfvo type="max"/>
        <color rgb="FFF8696B"/>
        <color rgb="FFFFEB84"/>
        <color rgb="FF63BE7B"/>
      </colorScale>
    </cfRule>
  </conditionalFormatting>
  <conditionalFormatting sqref="O27:Q27">
    <cfRule type="colorScale" priority="192">
      <colorScale>
        <cfvo type="min"/>
        <cfvo type="percentile" val="50"/>
        <cfvo type="max"/>
        <color rgb="FFF8696B"/>
        <color rgb="FFFFEB84"/>
        <color rgb="FF63BE7B"/>
      </colorScale>
    </cfRule>
  </conditionalFormatting>
  <conditionalFormatting sqref="O27:Q27">
    <cfRule type="colorScale" priority="191">
      <colorScale>
        <cfvo type="min"/>
        <cfvo type="percentile" val="50"/>
        <cfvo type="max"/>
        <color rgb="FFF8696B"/>
        <color rgb="FFFFEB84"/>
        <color rgb="FF63BE7B"/>
      </colorScale>
    </cfRule>
  </conditionalFormatting>
  <conditionalFormatting sqref="N23">
    <cfRule type="colorScale" priority="190">
      <colorScale>
        <cfvo type="min"/>
        <cfvo type="percentile" val="50"/>
        <cfvo type="max"/>
        <color rgb="FFF8696B"/>
        <color rgb="FFFFEB84"/>
        <color rgb="FF63BE7B"/>
      </colorScale>
    </cfRule>
  </conditionalFormatting>
  <conditionalFormatting sqref="N23">
    <cfRule type="colorScale" priority="189">
      <colorScale>
        <cfvo type="min"/>
        <cfvo type="percentile" val="50"/>
        <cfvo type="max"/>
        <color rgb="FFF8696B"/>
        <color rgb="FFFFEB84"/>
        <color rgb="FF63BE7B"/>
      </colorScale>
    </cfRule>
  </conditionalFormatting>
  <conditionalFormatting sqref="N23">
    <cfRule type="colorScale" priority="188">
      <colorScale>
        <cfvo type="min"/>
        <cfvo type="percentile" val="50"/>
        <cfvo type="max"/>
        <color rgb="FFF8696B"/>
        <color rgb="FFFFEB84"/>
        <color rgb="FF63BE7B"/>
      </colorScale>
    </cfRule>
  </conditionalFormatting>
  <conditionalFormatting sqref="K26">
    <cfRule type="colorScale" priority="134">
      <colorScale>
        <cfvo type="min"/>
        <cfvo type="percentile" val="50"/>
        <cfvo type="max"/>
        <color rgb="FF63BE7B"/>
        <color rgb="FFFFEB84"/>
        <color rgb="FFF8696B"/>
      </colorScale>
    </cfRule>
  </conditionalFormatting>
  <conditionalFormatting sqref="Q26">
    <cfRule type="colorScale" priority="132">
      <colorScale>
        <cfvo type="min"/>
        <cfvo type="percentile" val="50"/>
        <cfvo type="max"/>
        <color rgb="FF5A8AC6"/>
        <color rgb="FFFCFCFF"/>
        <color rgb="FFF8696B"/>
      </colorScale>
    </cfRule>
    <cfRule type="iconSet" priority="133">
      <iconSet iconSet="5Rating">
        <cfvo type="percent" val="0"/>
        <cfvo type="percent" val="20"/>
        <cfvo type="percent" val="40"/>
        <cfvo type="percent" val="60"/>
        <cfvo type="percent" val="80"/>
      </iconSet>
    </cfRule>
  </conditionalFormatting>
  <conditionalFormatting sqref="H26">
    <cfRule type="colorScale" priority="131">
      <colorScale>
        <cfvo type="min"/>
        <cfvo type="percentile" val="50"/>
        <cfvo type="max"/>
        <color rgb="FF63BE7B"/>
        <color rgb="FFFFEB84"/>
        <color rgb="FFF8696B"/>
      </colorScale>
    </cfRule>
  </conditionalFormatting>
  <conditionalFormatting sqref="S26">
    <cfRule type="colorScale" priority="129">
      <colorScale>
        <cfvo type="min"/>
        <cfvo type="percentile" val="50"/>
        <cfvo type="max"/>
        <color rgb="FFF8696B"/>
        <color rgb="FFFFEB84"/>
        <color rgb="FF63BE7B"/>
      </colorScale>
    </cfRule>
    <cfRule type="iconSet" priority="130">
      <iconSet>
        <cfvo type="percent" val="0"/>
        <cfvo type="percent" val="33"/>
        <cfvo type="percent" val="67"/>
      </iconSet>
    </cfRule>
  </conditionalFormatting>
  <conditionalFormatting sqref="T26">
    <cfRule type="colorScale" priority="135">
      <colorScale>
        <cfvo type="min"/>
        <cfvo type="percentile" val="50"/>
        <cfvo type="max"/>
        <color rgb="FFF8696B"/>
        <color rgb="FFFFEB84"/>
        <color rgb="FF63BE7B"/>
      </colorScale>
    </cfRule>
  </conditionalFormatting>
  <conditionalFormatting sqref="N26">
    <cfRule type="colorScale" priority="128">
      <colorScale>
        <cfvo type="min"/>
        <cfvo type="percentile" val="50"/>
        <cfvo type="max"/>
        <color rgb="FFF8696B"/>
        <color rgb="FFFFEB84"/>
        <color rgb="FF63BE7B"/>
      </colorScale>
    </cfRule>
  </conditionalFormatting>
  <conditionalFormatting sqref="L21">
    <cfRule type="colorScale" priority="125">
      <colorScale>
        <cfvo type="min"/>
        <cfvo type="percentile" val="50"/>
        <cfvo type="max"/>
        <color rgb="FF63BE7B"/>
        <color rgb="FFFFEB84"/>
        <color rgb="FFF8696B"/>
      </colorScale>
    </cfRule>
  </conditionalFormatting>
  <conditionalFormatting sqref="AA28:AA32">
    <cfRule type="colorScale" priority="333">
      <colorScale>
        <cfvo type="min"/>
        <cfvo type="percentile" val="50"/>
        <cfvo type="max"/>
        <color rgb="FF63BE7B"/>
        <color rgb="FFFFEB84"/>
        <color rgb="FFF8696B"/>
      </colorScale>
    </cfRule>
  </conditionalFormatting>
  <conditionalFormatting sqref="AB28:AB32">
    <cfRule type="colorScale" priority="334">
      <colorScale>
        <cfvo type="min"/>
        <cfvo type="percentile" val="50"/>
        <cfvo type="max"/>
        <color rgb="FF63BE7B"/>
        <color rgb="FFFFEB84"/>
        <color rgb="FFF8696B"/>
      </colorScale>
    </cfRule>
  </conditionalFormatting>
  <conditionalFormatting sqref="AC28:AC32">
    <cfRule type="colorScale" priority="335">
      <colorScale>
        <cfvo type="min"/>
        <cfvo type="percentile" val="50"/>
        <cfvo type="max"/>
        <color rgb="FFF8696B"/>
        <color rgb="FFFFEB84"/>
        <color rgb="FF63BE7B"/>
      </colorScale>
    </cfRule>
  </conditionalFormatting>
  <conditionalFormatting sqref="V27:V32">
    <cfRule type="colorScale" priority="336">
      <colorScale>
        <cfvo type="min"/>
        <cfvo type="percentile" val="50"/>
        <cfvo type="max"/>
        <color rgb="FFF8696B"/>
        <color rgb="FFFFEB84"/>
        <color rgb="FF63BE7B"/>
      </colorScale>
    </cfRule>
  </conditionalFormatting>
  <conditionalFormatting sqref="W27:W32">
    <cfRule type="colorScale" priority="337">
      <colorScale>
        <cfvo type="min"/>
        <cfvo type="percentile" val="50"/>
        <cfvo type="max"/>
        <color rgb="FFF8696B"/>
        <color rgb="FFFFEB84"/>
        <color rgb="FF63BE7B"/>
      </colorScale>
    </cfRule>
  </conditionalFormatting>
  <conditionalFormatting sqref="X27:X32">
    <cfRule type="colorScale" priority="338">
      <colorScale>
        <cfvo type="min"/>
        <cfvo type="percentile" val="50"/>
        <cfvo type="max"/>
        <color rgb="FF63BE7B"/>
        <color rgb="FFFFEB84"/>
        <color rgb="FFF8696B"/>
      </colorScale>
    </cfRule>
  </conditionalFormatting>
  <conditionalFormatting sqref="Y27:Y32">
    <cfRule type="colorScale" priority="339">
      <colorScale>
        <cfvo type="min"/>
        <cfvo type="percentile" val="50"/>
        <cfvo type="max"/>
        <color rgb="FF63BE7B"/>
        <color rgb="FFFFEB84"/>
        <color rgb="FFF8696B"/>
      </colorScale>
    </cfRule>
  </conditionalFormatting>
  <conditionalFormatting sqref="Z27:Z32">
    <cfRule type="colorScale" priority="340">
      <colorScale>
        <cfvo type="min"/>
        <cfvo type="percentile" val="50"/>
        <cfvo type="max"/>
        <color rgb="FF63BE7B"/>
        <color rgb="FFFFEB84"/>
        <color rgb="FFF8696B"/>
      </colorScale>
    </cfRule>
  </conditionalFormatting>
  <conditionalFormatting sqref="AA27:AA32">
    <cfRule type="colorScale" priority="341">
      <colorScale>
        <cfvo type="min"/>
        <cfvo type="percentile" val="50"/>
        <cfvo type="max"/>
        <color rgb="FF63BE7B"/>
        <color rgb="FFFFEB84"/>
        <color rgb="FFF8696B"/>
      </colorScale>
    </cfRule>
  </conditionalFormatting>
  <conditionalFormatting sqref="AB27:AB32">
    <cfRule type="colorScale" priority="342">
      <colorScale>
        <cfvo type="min"/>
        <cfvo type="percentile" val="50"/>
        <cfvo type="max"/>
        <color rgb="FF63BE7B"/>
        <color rgb="FFFFEB84"/>
        <color rgb="FFF8696B"/>
      </colorScale>
    </cfRule>
  </conditionalFormatting>
  <conditionalFormatting sqref="AE27:AE32">
    <cfRule type="colorScale" priority="343">
      <colorScale>
        <cfvo type="min"/>
        <cfvo type="percentile" val="50"/>
        <cfvo type="max"/>
        <color rgb="FFF8696B"/>
        <color rgb="FFFFEB84"/>
        <color rgb="FF63BE7B"/>
      </colorScale>
    </cfRule>
  </conditionalFormatting>
  <conditionalFormatting sqref="AF27:AF32">
    <cfRule type="colorScale" priority="344">
      <colorScale>
        <cfvo type="min"/>
        <cfvo type="percentile" val="50"/>
        <cfvo type="max"/>
        <color rgb="FF63BE7B"/>
        <color rgb="FFFFEB84"/>
        <color rgb="FFF8696B"/>
      </colorScale>
    </cfRule>
  </conditionalFormatting>
  <conditionalFormatting sqref="AG27:AG32">
    <cfRule type="colorScale" priority="345">
      <colorScale>
        <cfvo type="min"/>
        <cfvo type="percentile" val="50"/>
        <cfvo type="max"/>
        <color rgb="FFF8696B"/>
        <color rgb="FFFFEB84"/>
        <color rgb="FF63BE7B"/>
      </colorScale>
    </cfRule>
  </conditionalFormatting>
  <conditionalFormatting sqref="AD27:AD32">
    <cfRule type="colorScale" priority="346">
      <colorScale>
        <cfvo type="min"/>
        <cfvo type="percentile" val="50"/>
        <cfvo type="max"/>
        <color rgb="FF63BE7B"/>
        <color rgb="FFFFEB84"/>
        <color rgb="FFF8696B"/>
      </colorScale>
    </cfRule>
  </conditionalFormatting>
  <conditionalFormatting sqref="AE28:AE32">
    <cfRule type="colorScale" priority="347">
      <colorScale>
        <cfvo type="min"/>
        <cfvo type="percentile" val="50"/>
        <cfvo type="max"/>
        <color rgb="FFF8696B"/>
        <color rgb="FFFFEB84"/>
        <color rgb="FF63BE7B"/>
      </colorScale>
    </cfRule>
  </conditionalFormatting>
  <conditionalFormatting sqref="AF28:AF32 Y28:Y32">
    <cfRule type="colorScale" priority="348">
      <colorScale>
        <cfvo type="min"/>
        <cfvo type="percentile" val="50"/>
        <cfvo type="max"/>
        <color rgb="FFF8696B"/>
        <color rgb="FFFFEB84"/>
        <color rgb="FF63BE7B"/>
      </colorScale>
    </cfRule>
  </conditionalFormatting>
  <conditionalFormatting sqref="AG28:AG32">
    <cfRule type="colorScale" priority="349">
      <colorScale>
        <cfvo type="min"/>
        <cfvo type="percentile" val="50"/>
        <cfvo type="max"/>
        <color rgb="FFF8696B"/>
        <color rgb="FFFFEB84"/>
        <color rgb="FF63BE7B"/>
      </colorScale>
    </cfRule>
  </conditionalFormatting>
  <conditionalFormatting sqref="AH27:AH32">
    <cfRule type="colorScale" priority="350">
      <colorScale>
        <cfvo type="min"/>
        <cfvo type="percentile" val="50"/>
        <cfvo type="max"/>
        <color rgb="FF63BE7B"/>
        <color rgb="FFFFEB84"/>
        <color rgb="FFF8696B"/>
      </colorScale>
    </cfRule>
  </conditionalFormatting>
  <conditionalFormatting sqref="AC27:AC32">
    <cfRule type="colorScale" priority="351">
      <colorScale>
        <cfvo type="min"/>
        <cfvo type="percentile" val="50"/>
        <cfvo type="max"/>
        <color rgb="FF63BE7B"/>
        <color rgb="FFFFEB84"/>
        <color rgb="FFF8696B"/>
      </colorScale>
    </cfRule>
  </conditionalFormatting>
  <conditionalFormatting sqref="AD28:AD32">
    <cfRule type="colorScale" priority="353">
      <colorScale>
        <cfvo type="min"/>
        <cfvo type="percentile" val="50"/>
        <cfvo type="max"/>
        <color rgb="FFF8696B"/>
        <color rgb="FFFFEB84"/>
        <color rgb="FF63BE7B"/>
      </colorScale>
    </cfRule>
  </conditionalFormatting>
  <conditionalFormatting sqref="V28:V32">
    <cfRule type="colorScale" priority="354">
      <colorScale>
        <cfvo type="min"/>
        <cfvo type="percentile" val="50"/>
        <cfvo type="max"/>
        <color rgb="FFF8696B"/>
        <color rgb="FFFFEB84"/>
        <color rgb="FF63BE7B"/>
      </colorScale>
    </cfRule>
  </conditionalFormatting>
  <conditionalFormatting sqref="W28:W32">
    <cfRule type="colorScale" priority="355">
      <colorScale>
        <cfvo type="min"/>
        <cfvo type="percentile" val="50"/>
        <cfvo type="max"/>
        <color rgb="FF63BE7B"/>
        <color rgb="FFFFEB84"/>
        <color rgb="FFF8696B"/>
      </colorScale>
    </cfRule>
  </conditionalFormatting>
  <conditionalFormatting sqref="X28:X32">
    <cfRule type="colorScale" priority="356">
      <colorScale>
        <cfvo type="min"/>
        <cfvo type="percentile" val="50"/>
        <cfvo type="max"/>
        <color rgb="FFF8696B"/>
        <color rgb="FFFFEB84"/>
        <color rgb="FF63BE7B"/>
      </colorScale>
    </cfRule>
  </conditionalFormatting>
  <conditionalFormatting sqref="Z28:Z32 AH28:AH32">
    <cfRule type="colorScale" priority="357">
      <colorScale>
        <cfvo type="min"/>
        <cfvo type="percentile" val="50"/>
        <cfvo type="max"/>
        <color rgb="FFF8696B"/>
        <color rgb="FFFFEB84"/>
        <color rgb="FF63BE7B"/>
      </colorScale>
    </cfRule>
  </conditionalFormatting>
  <conditionalFormatting sqref="U28:U32">
    <cfRule type="colorScale" priority="367">
      <colorScale>
        <cfvo type="min"/>
        <cfvo type="percentile" val="50"/>
        <cfvo type="max"/>
        <color rgb="FFF8696B"/>
        <color rgb="FFFFEB84"/>
        <color rgb="FF63BE7B"/>
      </colorScale>
    </cfRule>
  </conditionalFormatting>
  <conditionalFormatting sqref="E29:F32">
    <cfRule type="colorScale" priority="370">
      <colorScale>
        <cfvo type="min"/>
        <cfvo type="percentile" val="50"/>
        <cfvo type="max"/>
        <color rgb="FFF8696B"/>
        <color rgb="FFFFEB84"/>
        <color rgb="FF63BE7B"/>
      </colorScale>
    </cfRule>
  </conditionalFormatting>
  <conditionalFormatting sqref="K21">
    <cfRule type="colorScale" priority="126">
      <colorScale>
        <cfvo type="min"/>
        <cfvo type="percentile" val="50"/>
        <cfvo type="max"/>
        <color rgb="FFF8696B"/>
        <color rgb="FFFFEB84"/>
        <color rgb="FF63BE7B"/>
      </colorScale>
    </cfRule>
  </conditionalFormatting>
  <conditionalFormatting sqref="M21">
    <cfRule type="colorScale" priority="124">
      <colorScale>
        <cfvo type="min"/>
        <cfvo type="percentile" val="50"/>
        <cfvo type="max"/>
        <color rgb="FFF8696B"/>
        <color rgb="FFFFEB84"/>
        <color rgb="FF63BE7B"/>
      </colorScale>
    </cfRule>
  </conditionalFormatting>
  <conditionalFormatting sqref="N21">
    <cfRule type="colorScale" priority="123">
      <colorScale>
        <cfvo type="min"/>
        <cfvo type="percentile" val="50"/>
        <cfvo type="max"/>
        <color rgb="FFF8696B"/>
        <color rgb="FFFFEB84"/>
        <color rgb="FF63BE7B"/>
      </colorScale>
    </cfRule>
  </conditionalFormatting>
  <conditionalFormatting sqref="O21">
    <cfRule type="colorScale" priority="122">
      <colorScale>
        <cfvo type="min"/>
        <cfvo type="percentile" val="50"/>
        <cfvo type="max"/>
        <color rgb="FFF8696B"/>
        <color rgb="FFFFEB84"/>
        <color rgb="FF63BE7B"/>
      </colorScale>
    </cfRule>
  </conditionalFormatting>
  <conditionalFormatting sqref="C10:D10">
    <cfRule type="colorScale" priority="92">
      <colorScale>
        <cfvo type="min"/>
        <cfvo type="percentile" val="50"/>
        <cfvo type="max"/>
        <color rgb="FF63BE7B"/>
        <color rgb="FFFFEB84"/>
        <color rgb="FFF8696B"/>
      </colorScale>
    </cfRule>
  </conditionalFormatting>
  <conditionalFormatting sqref="T10">
    <cfRule type="colorScale" priority="91">
      <colorScale>
        <cfvo type="min"/>
        <cfvo type="percentile" val="50"/>
        <cfvo type="max"/>
        <color rgb="FFF8696B"/>
        <color rgb="FFFFEB84"/>
        <color rgb="FF63BE7B"/>
      </colorScale>
    </cfRule>
  </conditionalFormatting>
  <conditionalFormatting sqref="U10">
    <cfRule type="colorScale" priority="90">
      <colorScale>
        <cfvo type="min"/>
        <cfvo type="percentile" val="50"/>
        <cfvo type="max"/>
        <color rgb="FF63BE7B"/>
        <color rgb="FFFFEB84"/>
        <color rgb="FFF8696B"/>
      </colorScale>
    </cfRule>
  </conditionalFormatting>
  <conditionalFormatting sqref="G10">
    <cfRule type="colorScale" priority="87">
      <colorScale>
        <cfvo type="min"/>
        <cfvo type="percentile" val="50"/>
        <cfvo type="max"/>
        <color rgb="FFF8696B"/>
        <color rgb="FFFFEB84"/>
        <color rgb="FF63BE7B"/>
      </colorScale>
    </cfRule>
  </conditionalFormatting>
  <conditionalFormatting sqref="P10">
    <cfRule type="colorScale" priority="85">
      <colorScale>
        <cfvo type="min"/>
        <cfvo type="percentile" val="50"/>
        <cfvo type="max"/>
        <color rgb="FFF8696B"/>
        <color rgb="FFFFEB84"/>
        <color rgb="FF63BE7B"/>
      </colorScale>
    </cfRule>
  </conditionalFormatting>
  <conditionalFormatting sqref="Q10">
    <cfRule type="colorScale" priority="84">
      <colorScale>
        <cfvo type="min"/>
        <cfvo type="percentile" val="50"/>
        <cfvo type="max"/>
        <color rgb="FFF8696B"/>
        <color rgb="FFFFEB84"/>
        <color rgb="FF63BE7B"/>
      </colorScale>
    </cfRule>
  </conditionalFormatting>
  <conditionalFormatting sqref="R10">
    <cfRule type="colorScale" priority="83">
      <colorScale>
        <cfvo type="min"/>
        <cfvo type="percentile" val="50"/>
        <cfvo type="max"/>
        <color rgb="FFF8696B"/>
        <color rgb="FFFFEB84"/>
        <color rgb="FF63BE7B"/>
      </colorScale>
    </cfRule>
  </conditionalFormatting>
  <conditionalFormatting sqref="S10">
    <cfRule type="colorScale" priority="82">
      <colorScale>
        <cfvo type="min"/>
        <cfvo type="percentile" val="50"/>
        <cfvo type="max"/>
        <color rgb="FF63BE7B"/>
        <color rgb="FFFFEB84"/>
        <color rgb="FFF8696B"/>
      </colorScale>
    </cfRule>
  </conditionalFormatting>
  <conditionalFormatting sqref="U10">
    <cfRule type="colorScale" priority="80">
      <colorScale>
        <cfvo type="min"/>
        <cfvo type="percentile" val="50"/>
        <cfvo type="max"/>
        <color rgb="FF63BE7B"/>
        <color rgb="FFFFEB84"/>
        <color rgb="FFF8696B"/>
      </colorScale>
    </cfRule>
  </conditionalFormatting>
  <conditionalFormatting sqref="C10">
    <cfRule type="colorScale" priority="79">
      <colorScale>
        <cfvo type="min"/>
        <cfvo type="percentile" val="50"/>
        <cfvo type="max"/>
        <color rgb="FF63BE7B"/>
        <color rgb="FFFFEB84"/>
        <color rgb="FFF8696B"/>
      </colorScale>
    </cfRule>
  </conditionalFormatting>
  <conditionalFormatting sqref="U11:U19">
    <cfRule type="colorScale" priority="61">
      <colorScale>
        <cfvo type="min"/>
        <cfvo type="percentile" val="50"/>
        <cfvo type="max"/>
        <color rgb="FF63BE7B"/>
        <color rgb="FFFFEB84"/>
        <color rgb="FFF8696B"/>
      </colorScale>
    </cfRule>
  </conditionalFormatting>
  <conditionalFormatting sqref="G20">
    <cfRule type="colorScale" priority="58">
      <colorScale>
        <cfvo type="num" val="1"/>
        <cfvo type="percentile" val="50"/>
        <cfvo type="num" val="32"/>
        <color theme="9"/>
        <color rgb="FFFFEB84"/>
        <color rgb="FFFF0000"/>
      </colorScale>
    </cfRule>
  </conditionalFormatting>
  <conditionalFormatting sqref="G28:G32">
    <cfRule type="colorScale" priority="38">
      <colorScale>
        <cfvo type="min"/>
        <cfvo type="percentile" val="50"/>
        <cfvo type="max"/>
        <color rgb="FFF8696B"/>
        <color rgb="FFFFEB84"/>
        <color rgb="FF63BE7B"/>
      </colorScale>
    </cfRule>
    <cfRule type="iconSet" priority="39">
      <iconSet iconSet="3Flags">
        <cfvo type="percent" val="0"/>
        <cfvo type="percent" val="33"/>
        <cfvo type="percent" val="67"/>
      </iconSet>
    </cfRule>
  </conditionalFormatting>
  <conditionalFormatting sqref="H28:H32">
    <cfRule type="dataBar" priority="36">
      <dataBar>
        <cfvo type="min"/>
        <cfvo type="max"/>
        <color rgb="FF63C384"/>
      </dataBar>
      <extLst>
        <ext xmlns:x14="http://schemas.microsoft.com/office/spreadsheetml/2009/9/main" uri="{B025F937-C7B1-47D3-B67F-A62EFF666E3E}">
          <x14:id>{CB9CA85D-787D-4B42-8DDC-F085239B514D}</x14:id>
        </ext>
      </extLst>
    </cfRule>
  </conditionalFormatting>
  <conditionalFormatting sqref="I28:I32">
    <cfRule type="colorScale" priority="35">
      <colorScale>
        <cfvo type="min"/>
        <cfvo type="percentile" val="50"/>
        <cfvo type="max"/>
        <color rgb="FFF8696B"/>
        <color rgb="FFFFEB84"/>
        <color rgb="FF63BE7B"/>
      </colorScale>
    </cfRule>
  </conditionalFormatting>
  <conditionalFormatting sqref="J28:J32">
    <cfRule type="colorScale" priority="34">
      <colorScale>
        <cfvo type="min"/>
        <cfvo type="percentile" val="50"/>
        <cfvo type="max"/>
        <color rgb="FFF8696B"/>
        <color rgb="FFFFEB84"/>
        <color rgb="FF63BE7B"/>
      </colorScale>
    </cfRule>
  </conditionalFormatting>
  <conditionalFormatting sqref="K28:K32">
    <cfRule type="colorScale" priority="33">
      <colorScale>
        <cfvo type="min"/>
        <cfvo type="percentile" val="50"/>
        <cfvo type="max"/>
        <color rgb="FFF8696B"/>
        <color rgb="FFFFEB84"/>
        <color rgb="FF63BE7B"/>
      </colorScale>
    </cfRule>
  </conditionalFormatting>
  <conditionalFormatting sqref="L28:L32">
    <cfRule type="colorScale" priority="32">
      <colorScale>
        <cfvo type="min"/>
        <cfvo type="percentile" val="50"/>
        <cfvo type="max"/>
        <color rgb="FFF8696B"/>
        <color rgb="FFFFEB84"/>
        <color rgb="FF63BE7B"/>
      </colorScale>
    </cfRule>
  </conditionalFormatting>
  <conditionalFormatting sqref="M28:M32">
    <cfRule type="dataBar" priority="31">
      <dataBar>
        <cfvo type="min"/>
        <cfvo type="max"/>
        <color rgb="FF638EC6"/>
      </dataBar>
      <extLst>
        <ext xmlns:x14="http://schemas.microsoft.com/office/spreadsheetml/2009/9/main" uri="{B025F937-C7B1-47D3-B67F-A62EFF666E3E}">
          <x14:id>{D24FC941-44DC-4A70-8A38-CAE802A50F93}</x14:id>
        </ext>
      </extLst>
    </cfRule>
  </conditionalFormatting>
  <conditionalFormatting sqref="N28:N32">
    <cfRule type="colorScale" priority="28">
      <colorScale>
        <cfvo type="min"/>
        <cfvo type="percentile" val="50"/>
        <cfvo type="max"/>
        <color rgb="FF63BE7B"/>
        <color rgb="FFFFEB84"/>
        <color rgb="FFF8696B"/>
      </colorScale>
    </cfRule>
  </conditionalFormatting>
  <conditionalFormatting sqref="O28:O32">
    <cfRule type="dataBar" priority="27">
      <dataBar>
        <cfvo type="min"/>
        <cfvo type="max"/>
        <color rgb="FF63C384"/>
      </dataBar>
      <extLst>
        <ext xmlns:x14="http://schemas.microsoft.com/office/spreadsheetml/2009/9/main" uri="{B025F937-C7B1-47D3-B67F-A62EFF666E3E}">
          <x14:id>{0A8B0A1F-978F-4383-891A-CB5B0AE22D4B}</x14:id>
        </ext>
      </extLst>
    </cfRule>
  </conditionalFormatting>
  <conditionalFormatting sqref="P28:P32">
    <cfRule type="colorScale" priority="26">
      <colorScale>
        <cfvo type="min"/>
        <cfvo type="percentile" val="50"/>
        <cfvo type="max"/>
        <color rgb="FFF8696B"/>
        <color rgb="FFFFEB84"/>
        <color rgb="FF63BE7B"/>
      </colorScale>
    </cfRule>
  </conditionalFormatting>
  <conditionalFormatting sqref="Q28:Q32">
    <cfRule type="dataBar" priority="25">
      <dataBar>
        <cfvo type="min"/>
        <cfvo type="max"/>
        <color rgb="FF638EC6"/>
      </dataBar>
      <extLst>
        <ext xmlns:x14="http://schemas.microsoft.com/office/spreadsheetml/2009/9/main" uri="{B025F937-C7B1-47D3-B67F-A62EFF666E3E}">
          <x14:id>{0C7F0B17-4F40-4809-BF11-1B476FB7E1DF}</x14:id>
        </ext>
      </extLst>
    </cfRule>
  </conditionalFormatting>
  <conditionalFormatting sqref="R28:R32">
    <cfRule type="colorScale" priority="24">
      <colorScale>
        <cfvo type="min"/>
        <cfvo type="percentile" val="50"/>
        <cfvo type="max"/>
        <color rgb="FF63BE7B"/>
        <color rgb="FFFFEB84"/>
        <color rgb="FFF8696B"/>
      </colorScale>
    </cfRule>
  </conditionalFormatting>
  <conditionalFormatting sqref="S28:T32">
    <cfRule type="colorScale" priority="23">
      <colorScale>
        <cfvo type="min"/>
        <cfvo type="percentile" val="50"/>
        <cfvo type="max"/>
        <color rgb="FFF8696B"/>
        <color rgb="FFFFEB84"/>
        <color rgb="FF63BE7B"/>
      </colorScale>
    </cfRule>
  </conditionalFormatting>
  <conditionalFormatting sqref="T28:T32">
    <cfRule type="colorScale" priority="22">
      <colorScale>
        <cfvo type="min"/>
        <cfvo type="percentile" val="50"/>
        <cfvo type="max"/>
        <color rgb="FF63BE7B"/>
        <color rgb="FFFFEB84"/>
        <color rgb="FFF8696B"/>
      </colorScale>
    </cfRule>
  </conditionalFormatting>
  <conditionalFormatting sqref="R13:R15">
    <cfRule type="dataBar" priority="21">
      <dataBar>
        <cfvo type="min"/>
        <cfvo type="max"/>
        <color rgb="FF638EC6"/>
      </dataBar>
      <extLst>
        <ext xmlns:x14="http://schemas.microsoft.com/office/spreadsheetml/2009/9/main" uri="{B025F937-C7B1-47D3-B67F-A62EFF666E3E}">
          <x14:id>{852D437B-D3A5-48E2-829E-FED2F53CE132}</x14:id>
        </ext>
      </extLst>
    </cfRule>
  </conditionalFormatting>
  <conditionalFormatting sqref="R16:R19">
    <cfRule type="dataBar" priority="20">
      <dataBar>
        <cfvo type="min"/>
        <cfvo type="max"/>
        <color rgb="FF638EC6"/>
      </dataBar>
      <extLst>
        <ext xmlns:x14="http://schemas.microsoft.com/office/spreadsheetml/2009/9/main" uri="{B025F937-C7B1-47D3-B67F-A62EFF666E3E}">
          <x14:id>{CCA7CB76-C85B-4DCE-B4A1-401B8B6AC16D}</x14:id>
        </ext>
      </extLst>
    </cfRule>
  </conditionalFormatting>
  <conditionalFormatting sqref="D27">
    <cfRule type="colorScale" priority="18">
      <colorScale>
        <cfvo type="min"/>
        <cfvo type="percentile" val="50"/>
        <cfvo type="max"/>
        <color rgb="FF63BE7B"/>
        <color rgb="FFFFEB84"/>
        <color rgb="FFF8696B"/>
      </colorScale>
    </cfRule>
  </conditionalFormatting>
  <conditionalFormatting sqref="H10:J10">
    <cfRule type="colorScale" priority="13">
      <colorScale>
        <cfvo type="min"/>
        <cfvo type="percentile" val="50"/>
        <cfvo type="max"/>
        <color rgb="FFF8696B"/>
        <color rgb="FFFFEB84"/>
        <color rgb="FF63BE7B"/>
      </colorScale>
    </cfRule>
  </conditionalFormatting>
  <conditionalFormatting sqref="L10:O10">
    <cfRule type="colorScale" priority="12">
      <colorScale>
        <cfvo type="min"/>
        <cfvo type="percentile" val="50"/>
        <cfvo type="max"/>
        <color rgb="FFF8696B"/>
        <color rgb="FFFFEB84"/>
        <color rgb="FF63BE7B"/>
      </colorScale>
    </cfRule>
  </conditionalFormatting>
  <conditionalFormatting sqref="D28:D32">
    <cfRule type="dataBar" priority="11">
      <dataBar>
        <cfvo type="min"/>
        <cfvo type="max"/>
        <color rgb="FFFF555A"/>
      </dataBar>
      <extLst>
        <ext xmlns:x14="http://schemas.microsoft.com/office/spreadsheetml/2009/9/main" uri="{B025F937-C7B1-47D3-B67F-A62EFF666E3E}">
          <x14:id>{69B82888-7035-4743-B497-1631F96A658F}</x14:id>
        </ext>
      </extLst>
    </cfRule>
  </conditionalFormatting>
  <conditionalFormatting sqref="S28:S32">
    <cfRule type="colorScale" priority="9">
      <colorScale>
        <cfvo type="min"/>
        <cfvo type="percentile" val="50"/>
        <cfvo type="max"/>
        <color rgb="FFF8696B"/>
        <color rgb="FFFFEB84"/>
        <color rgb="FF63BE7B"/>
      </colorScale>
    </cfRule>
  </conditionalFormatting>
  <conditionalFormatting sqref="G11:G19">
    <cfRule type="colorScale" priority="1578">
      <colorScale>
        <cfvo type="min"/>
        <cfvo type="percentile" val="50"/>
        <cfvo type="max"/>
        <color rgb="FFF8696B"/>
        <color rgb="FFFFEB84"/>
        <color rgb="FF63BE7B"/>
      </colorScale>
    </cfRule>
  </conditionalFormatting>
  <conditionalFormatting sqref="I11:I20">
    <cfRule type="colorScale" priority="1579">
      <colorScale>
        <cfvo type="min"/>
        <cfvo type="percentile" val="50"/>
        <cfvo type="max"/>
        <color rgb="FFF8696B"/>
        <color rgb="FFFFEB84"/>
        <color rgb="FF63BE7B"/>
      </colorScale>
    </cfRule>
  </conditionalFormatting>
  <conditionalFormatting sqref="J11:J20">
    <cfRule type="colorScale" priority="1581">
      <colorScale>
        <cfvo type="min"/>
        <cfvo type="percentile" val="50"/>
        <cfvo type="max"/>
        <color rgb="FFF8696B"/>
        <color rgb="FFFFEB84"/>
        <color rgb="FF63BE7B"/>
      </colorScale>
    </cfRule>
  </conditionalFormatting>
  <conditionalFormatting sqref="K11:K12 K14:K20">
    <cfRule type="dataBar" priority="1583">
      <dataBar>
        <cfvo type="min"/>
        <cfvo type="max"/>
        <color rgb="FF638EC6"/>
      </dataBar>
      <extLst>
        <ext xmlns:x14="http://schemas.microsoft.com/office/spreadsheetml/2009/9/main" uri="{B025F937-C7B1-47D3-B67F-A62EFF666E3E}">
          <x14:id>{E2D1DA92-886B-4796-A59D-251C518DB17D}</x14:id>
        </ext>
      </extLst>
    </cfRule>
  </conditionalFormatting>
  <conditionalFormatting sqref="L11:L20">
    <cfRule type="dataBar" priority="1585">
      <dataBar>
        <cfvo type="min"/>
        <cfvo type="max"/>
        <color rgb="FF63C384"/>
      </dataBar>
      <extLst>
        <ext xmlns:x14="http://schemas.microsoft.com/office/spreadsheetml/2009/9/main" uri="{B025F937-C7B1-47D3-B67F-A62EFF666E3E}">
          <x14:id>{C6573582-5D95-4DD5-8F35-4342777E9DDD}</x14:id>
        </ext>
      </extLst>
    </cfRule>
  </conditionalFormatting>
  <conditionalFormatting sqref="M11:M20">
    <cfRule type="colorScale" priority="1587">
      <colorScale>
        <cfvo type="min"/>
        <cfvo type="percentile" val="50"/>
        <cfvo type="max"/>
        <color rgb="FFF8696B"/>
        <color rgb="FFFFEB84"/>
        <color rgb="FF63BE7B"/>
      </colorScale>
    </cfRule>
  </conditionalFormatting>
  <conditionalFormatting sqref="N11:N20">
    <cfRule type="colorScale" priority="1589">
      <colorScale>
        <cfvo type="min"/>
        <cfvo type="percentile" val="50"/>
        <cfvo type="max"/>
        <color rgb="FFF8696B"/>
        <color rgb="FFFFEB84"/>
        <color rgb="FF63BE7B"/>
      </colorScale>
    </cfRule>
  </conditionalFormatting>
  <conditionalFormatting sqref="O11:O20">
    <cfRule type="dataBar" priority="1591">
      <dataBar>
        <cfvo type="min"/>
        <cfvo type="max"/>
        <color rgb="FF638EC6"/>
      </dataBar>
      <extLst>
        <ext xmlns:x14="http://schemas.microsoft.com/office/spreadsheetml/2009/9/main" uri="{B025F937-C7B1-47D3-B67F-A62EFF666E3E}">
          <x14:id>{D5A4CC34-05B2-4931-A0A5-35FF94BF796C}</x14:id>
        </ext>
      </extLst>
    </cfRule>
  </conditionalFormatting>
  <conditionalFormatting sqref="Q11:Q20">
    <cfRule type="colorScale" priority="1593">
      <colorScale>
        <cfvo type="min"/>
        <cfvo type="percentile" val="50"/>
        <cfvo type="max"/>
        <color rgb="FFF8696B"/>
        <color rgb="FFFFEB84"/>
        <color rgb="FF63BE7B"/>
      </colorScale>
    </cfRule>
  </conditionalFormatting>
  <conditionalFormatting sqref="R11:R12 R20">
    <cfRule type="dataBar" priority="1595">
      <dataBar>
        <cfvo type="min"/>
        <cfvo type="max"/>
        <color rgb="FF638EC6"/>
      </dataBar>
      <extLst>
        <ext xmlns:x14="http://schemas.microsoft.com/office/spreadsheetml/2009/9/main" uri="{B025F937-C7B1-47D3-B67F-A62EFF666E3E}">
          <x14:id>{CDCFBAD9-347D-4D1E-B04B-EF8B0C851C84}</x14:id>
        </ext>
      </extLst>
    </cfRule>
  </conditionalFormatting>
  <conditionalFormatting sqref="S11:S20">
    <cfRule type="colorScale" priority="1597">
      <colorScale>
        <cfvo type="min"/>
        <cfvo type="percentile" val="50"/>
        <cfvo type="max"/>
        <color rgb="FF63BE7B"/>
        <color rgb="FFFFEB84"/>
        <color rgb="FFF8696B"/>
      </colorScale>
    </cfRule>
  </conditionalFormatting>
  <conditionalFormatting sqref="T11:T19 T20:U20">
    <cfRule type="colorScale" priority="1599">
      <colorScale>
        <cfvo type="min"/>
        <cfvo type="percentile" val="50"/>
        <cfvo type="max"/>
        <color rgb="FFF8696B"/>
        <color rgb="FFFFEB84"/>
        <color rgb="FF63BE7B"/>
      </colorScale>
    </cfRule>
  </conditionalFormatting>
  <conditionalFormatting sqref="P11:P21">
    <cfRule type="dataBar" priority="1602">
      <dataBar>
        <cfvo type="min"/>
        <cfvo type="max"/>
        <color rgb="FF63C384"/>
      </dataBar>
      <extLst>
        <ext xmlns:x14="http://schemas.microsoft.com/office/spreadsheetml/2009/9/main" uri="{B025F937-C7B1-47D3-B67F-A62EFF666E3E}">
          <x14:id>{4D13ED85-61A8-4A64-91B4-C353B6E797E6}</x14:id>
        </ext>
      </extLst>
    </cfRule>
  </conditionalFormatting>
  <conditionalFormatting sqref="H11:H21">
    <cfRule type="dataBar" priority="1604">
      <dataBar>
        <cfvo type="min"/>
        <cfvo type="max"/>
        <color rgb="FF63C384"/>
      </dataBar>
      <extLst>
        <ext xmlns:x14="http://schemas.microsoft.com/office/spreadsheetml/2009/9/main" uri="{B025F937-C7B1-47D3-B67F-A62EFF666E3E}">
          <x14:id>{C2E9CAC2-E151-4D29-AA57-01C536343052}</x14:id>
        </ext>
      </extLst>
    </cfRule>
  </conditionalFormatting>
  <conditionalFormatting sqref="C11:C20">
    <cfRule type="colorScale" priority="1606">
      <colorScale>
        <cfvo type="min"/>
        <cfvo type="percentile" val="50"/>
        <cfvo type="max"/>
        <color rgb="FF63BE7B"/>
        <color rgb="FFFFEB84"/>
        <color rgb="FFF8696B"/>
      </colorScale>
    </cfRule>
  </conditionalFormatting>
  <conditionalFormatting sqref="G11:G20">
    <cfRule type="iconSet" priority="1608">
      <iconSet iconSet="3Flags">
        <cfvo type="percent" val="0"/>
        <cfvo type="percent" val="33"/>
        <cfvo type="percent" val="67"/>
      </iconSet>
    </cfRule>
  </conditionalFormatting>
  <conditionalFormatting sqref="D11:D20">
    <cfRule type="dataBar" priority="1610">
      <dataBar>
        <cfvo type="min"/>
        <cfvo type="max"/>
        <color rgb="FFFF555A"/>
      </dataBar>
      <extLst>
        <ext xmlns:x14="http://schemas.microsoft.com/office/spreadsheetml/2009/9/main" uri="{B025F937-C7B1-47D3-B67F-A62EFF666E3E}">
          <x14:id>{BFEE5674-159F-4398-942E-06BB22ACE2A3}</x14:id>
        </ext>
      </extLst>
    </cfRule>
  </conditionalFormatting>
  <conditionalFormatting sqref="K13">
    <cfRule type="dataBar" priority="8">
      <dataBar>
        <cfvo type="min"/>
        <cfvo type="max"/>
        <color rgb="FF63C384"/>
      </dataBar>
      <extLst>
        <ext xmlns:x14="http://schemas.microsoft.com/office/spreadsheetml/2009/9/main" uri="{B025F937-C7B1-47D3-B67F-A62EFF666E3E}">
          <x14:id>{12960AED-5375-4661-98B6-B654396596A2}</x14:id>
        </ext>
      </extLst>
    </cfRule>
  </conditionalFormatting>
  <conditionalFormatting sqref="L9">
    <cfRule type="colorScale" priority="7">
      <colorScale>
        <cfvo type="min"/>
        <cfvo type="percentile" val="50"/>
        <cfvo type="max"/>
        <color rgb="FFF8696B"/>
        <color rgb="FFFFEB84"/>
        <color rgb="FF63BE7B"/>
      </colorScale>
    </cfRule>
  </conditionalFormatting>
  <conditionalFormatting sqref="K10">
    <cfRule type="colorScale" priority="6">
      <colorScale>
        <cfvo type="min"/>
        <cfvo type="percentile" val="50"/>
        <cfvo type="max"/>
        <color rgb="FFF8696B"/>
        <color rgb="FFFFEB84"/>
        <color rgb="FF63BE7B"/>
      </colorScale>
    </cfRule>
  </conditionalFormatting>
  <conditionalFormatting sqref="C28:C32">
    <cfRule type="colorScale" priority="4">
      <colorScale>
        <cfvo type="min"/>
        <cfvo type="percentile" val="50"/>
        <cfvo type="max"/>
        <color rgb="FF63BE7B"/>
        <color rgb="FFFFEB84"/>
        <color rgb="FFF8696B"/>
      </colorScale>
    </cfRule>
  </conditionalFormatting>
  <conditionalFormatting sqref="J22">
    <cfRule type="colorScale" priority="3">
      <colorScale>
        <cfvo type="min"/>
        <cfvo type="percentile" val="50"/>
        <cfvo type="max"/>
        <color rgb="FFF8696B"/>
        <color rgb="FFFFEB84"/>
        <color rgb="FF63BE7B"/>
      </colorScale>
    </cfRule>
  </conditionalFormatting>
  <conditionalFormatting sqref="I22">
    <cfRule type="colorScale" priority="2">
      <colorScale>
        <cfvo type="min"/>
        <cfvo type="percentile" val="50"/>
        <cfvo type="max"/>
        <color rgb="FFF8696B"/>
        <color rgb="FFFFEB84"/>
        <color rgb="FF63BE7B"/>
      </colorScale>
    </cfRule>
  </conditionalFormatting>
  <conditionalFormatting sqref="H22">
    <cfRule type="colorScale" priority="1">
      <colorScale>
        <cfvo type="min"/>
        <cfvo type="percentile" val="50"/>
        <cfvo type="max"/>
        <color rgb="FFF8696B"/>
        <color rgb="FFFFEB84"/>
        <color rgb="FF63BE7B"/>
      </colorScale>
    </cfRule>
  </conditionalFormatting>
  <hyperlinks>
    <hyperlink ref="B5" r:id="rId1"/>
  </hyperlinks>
  <pageMargins left="0.7" right="0.7" top="0.75" bottom="0.75" header="0.3" footer="0.3"/>
  <pageSetup orientation="portrait" horizontalDpi="4294967293" verticalDpi="4294967293" r:id="rId2"/>
  <drawing r:id="rId3"/>
  <tableParts count="2">
    <tablePart r:id="rId4"/>
    <tablePart r:id="rId5"/>
  </tableParts>
  <extLst>
    <ext xmlns:x14="http://schemas.microsoft.com/office/spreadsheetml/2009/9/main" uri="{78C0D931-6437-407d-A8EE-F0AAD7539E65}">
      <x14:conditionalFormattings>
        <x14:conditionalFormatting xmlns:xm="http://schemas.microsoft.com/office/excel/2006/main">
          <x14:cfRule type="dataBar" id="{CB9CA85D-787D-4B42-8DDC-F085239B514D}">
            <x14:dataBar minLength="0" maxLength="100" border="1" negativeBarBorderColorSameAsPositive="0">
              <x14:cfvo type="autoMin"/>
              <x14:cfvo type="autoMax"/>
              <x14:borderColor rgb="FF63C384"/>
              <x14:negativeFillColor rgb="FFFF0000"/>
              <x14:negativeBorderColor rgb="FFFF0000"/>
              <x14:axisColor rgb="FF000000"/>
            </x14:dataBar>
          </x14:cfRule>
          <xm:sqref>H28:H32</xm:sqref>
        </x14:conditionalFormatting>
        <x14:conditionalFormatting xmlns:xm="http://schemas.microsoft.com/office/excel/2006/main">
          <x14:cfRule type="dataBar" id="{D24FC941-44DC-4A70-8A38-CAE802A50F93}">
            <x14:dataBar minLength="0" maxLength="100" border="1" negativeBarBorderColorSameAsPositive="0">
              <x14:cfvo type="autoMin"/>
              <x14:cfvo type="autoMax"/>
              <x14:borderColor rgb="FF638EC6"/>
              <x14:negativeFillColor rgb="FFFF0000"/>
              <x14:negativeBorderColor rgb="FFFF0000"/>
              <x14:axisColor rgb="FF000000"/>
            </x14:dataBar>
          </x14:cfRule>
          <xm:sqref>M28:M32</xm:sqref>
        </x14:conditionalFormatting>
        <x14:conditionalFormatting xmlns:xm="http://schemas.microsoft.com/office/excel/2006/main">
          <x14:cfRule type="dataBar" id="{0A8B0A1F-978F-4383-891A-CB5B0AE22D4B}">
            <x14:dataBar minLength="0" maxLength="100" border="1" negativeBarBorderColorSameAsPositive="0">
              <x14:cfvo type="autoMin"/>
              <x14:cfvo type="autoMax"/>
              <x14:borderColor rgb="FF63C384"/>
              <x14:negativeFillColor rgb="FFFF0000"/>
              <x14:negativeBorderColor rgb="FFFF0000"/>
              <x14:axisColor rgb="FF000000"/>
            </x14:dataBar>
          </x14:cfRule>
          <xm:sqref>O28:O32</xm:sqref>
        </x14:conditionalFormatting>
        <x14:conditionalFormatting xmlns:xm="http://schemas.microsoft.com/office/excel/2006/main">
          <x14:cfRule type="dataBar" id="{0C7F0B17-4F40-4809-BF11-1B476FB7E1DF}">
            <x14:dataBar minLength="0" maxLength="100" border="1" negativeBarBorderColorSameAsPositive="0">
              <x14:cfvo type="autoMin"/>
              <x14:cfvo type="autoMax"/>
              <x14:borderColor rgb="FF638EC6"/>
              <x14:negativeFillColor rgb="FFFF0000"/>
              <x14:negativeBorderColor rgb="FFFF0000"/>
              <x14:axisColor rgb="FF000000"/>
            </x14:dataBar>
          </x14:cfRule>
          <xm:sqref>Q28:Q32</xm:sqref>
        </x14:conditionalFormatting>
        <x14:conditionalFormatting xmlns:xm="http://schemas.microsoft.com/office/excel/2006/main">
          <x14:cfRule type="dataBar" id="{852D437B-D3A5-48E2-829E-FED2F53CE132}">
            <x14:dataBar minLength="0" maxLength="100" border="1" negativeBarBorderColorSameAsPositive="0">
              <x14:cfvo type="autoMin"/>
              <x14:cfvo type="autoMax"/>
              <x14:borderColor rgb="FF638EC6"/>
              <x14:negativeFillColor rgb="FFFF0000"/>
              <x14:negativeBorderColor rgb="FFFF0000"/>
              <x14:axisColor rgb="FF000000"/>
            </x14:dataBar>
          </x14:cfRule>
          <xm:sqref>R13:R15</xm:sqref>
        </x14:conditionalFormatting>
        <x14:conditionalFormatting xmlns:xm="http://schemas.microsoft.com/office/excel/2006/main">
          <x14:cfRule type="dataBar" id="{CCA7CB76-C85B-4DCE-B4A1-401B8B6AC16D}">
            <x14:dataBar minLength="0" maxLength="100" border="1" negativeBarBorderColorSameAsPositive="0">
              <x14:cfvo type="autoMin"/>
              <x14:cfvo type="autoMax"/>
              <x14:borderColor rgb="FF638EC6"/>
              <x14:negativeFillColor rgb="FFFF0000"/>
              <x14:negativeBorderColor rgb="FFFF0000"/>
              <x14:axisColor rgb="FF000000"/>
            </x14:dataBar>
          </x14:cfRule>
          <xm:sqref>R16:R19</xm:sqref>
        </x14:conditionalFormatting>
        <x14:conditionalFormatting xmlns:xm="http://schemas.microsoft.com/office/excel/2006/main">
          <x14:cfRule type="dataBar" id="{69B82888-7035-4743-B497-1631F96A658F}">
            <x14:dataBar minLength="0" maxLength="100" border="1" negativeBarBorderColorSameAsPositive="0">
              <x14:cfvo type="autoMin"/>
              <x14:cfvo type="autoMax"/>
              <x14:borderColor rgb="FFFF555A"/>
              <x14:negativeFillColor rgb="FFFF0000"/>
              <x14:negativeBorderColor rgb="FFFF0000"/>
              <x14:axisColor rgb="FF000000"/>
            </x14:dataBar>
          </x14:cfRule>
          <xm:sqref>D28:D32</xm:sqref>
        </x14:conditionalFormatting>
        <x14:conditionalFormatting xmlns:xm="http://schemas.microsoft.com/office/excel/2006/main">
          <x14:cfRule type="dataBar" id="{E2D1DA92-886B-4796-A59D-251C518DB17D}">
            <x14:dataBar minLength="0" maxLength="100" border="1" negativeBarBorderColorSameAsPositive="0">
              <x14:cfvo type="autoMin"/>
              <x14:cfvo type="autoMax"/>
              <x14:borderColor rgb="FF638EC6"/>
              <x14:negativeFillColor rgb="FFFF0000"/>
              <x14:negativeBorderColor rgb="FFFF0000"/>
              <x14:axisColor rgb="FF000000"/>
            </x14:dataBar>
          </x14:cfRule>
          <xm:sqref>K11:K12 K14:K20</xm:sqref>
        </x14:conditionalFormatting>
        <x14:conditionalFormatting xmlns:xm="http://schemas.microsoft.com/office/excel/2006/main">
          <x14:cfRule type="dataBar" id="{C6573582-5D95-4DD5-8F35-4342777E9DDD}">
            <x14:dataBar minLength="0" maxLength="100" border="1" negativeBarBorderColorSameAsPositive="0">
              <x14:cfvo type="autoMin"/>
              <x14:cfvo type="autoMax"/>
              <x14:borderColor rgb="FF63C384"/>
              <x14:negativeFillColor rgb="FFFF0000"/>
              <x14:negativeBorderColor rgb="FFFF0000"/>
              <x14:axisColor rgb="FF000000"/>
            </x14:dataBar>
          </x14:cfRule>
          <xm:sqref>L11:L20</xm:sqref>
        </x14:conditionalFormatting>
        <x14:conditionalFormatting xmlns:xm="http://schemas.microsoft.com/office/excel/2006/main">
          <x14:cfRule type="dataBar" id="{D5A4CC34-05B2-4931-A0A5-35FF94BF796C}">
            <x14:dataBar minLength="0" maxLength="100" border="1" negativeBarBorderColorSameAsPositive="0">
              <x14:cfvo type="autoMin"/>
              <x14:cfvo type="autoMax"/>
              <x14:borderColor rgb="FF638EC6"/>
              <x14:negativeFillColor rgb="FFFF0000"/>
              <x14:negativeBorderColor rgb="FFFF0000"/>
              <x14:axisColor rgb="FF000000"/>
            </x14:dataBar>
          </x14:cfRule>
          <xm:sqref>O11:O20</xm:sqref>
        </x14:conditionalFormatting>
        <x14:conditionalFormatting xmlns:xm="http://schemas.microsoft.com/office/excel/2006/main">
          <x14:cfRule type="dataBar" id="{CDCFBAD9-347D-4D1E-B04B-EF8B0C851C84}">
            <x14:dataBar minLength="0" maxLength="100" border="1" negativeBarBorderColorSameAsPositive="0">
              <x14:cfvo type="autoMin"/>
              <x14:cfvo type="autoMax"/>
              <x14:borderColor rgb="FF638EC6"/>
              <x14:negativeFillColor rgb="FFFF0000"/>
              <x14:negativeBorderColor rgb="FFFF0000"/>
              <x14:axisColor rgb="FF000000"/>
            </x14:dataBar>
          </x14:cfRule>
          <xm:sqref>R11:R12 R20</xm:sqref>
        </x14:conditionalFormatting>
        <x14:conditionalFormatting xmlns:xm="http://schemas.microsoft.com/office/excel/2006/main">
          <x14:cfRule type="dataBar" id="{4D13ED85-61A8-4A64-91B4-C353B6E797E6}">
            <x14:dataBar minLength="0" maxLength="100" border="1" negativeBarBorderColorSameAsPositive="0">
              <x14:cfvo type="autoMin"/>
              <x14:cfvo type="autoMax"/>
              <x14:borderColor rgb="FF63C384"/>
              <x14:negativeFillColor rgb="FFFF0000"/>
              <x14:negativeBorderColor rgb="FFFF0000"/>
              <x14:axisColor rgb="FF000000"/>
            </x14:dataBar>
          </x14:cfRule>
          <xm:sqref>P11:P21</xm:sqref>
        </x14:conditionalFormatting>
        <x14:conditionalFormatting xmlns:xm="http://schemas.microsoft.com/office/excel/2006/main">
          <x14:cfRule type="dataBar" id="{C2E9CAC2-E151-4D29-AA57-01C536343052}">
            <x14:dataBar minLength="0" maxLength="100" border="1" negativeBarBorderColorSameAsPositive="0">
              <x14:cfvo type="autoMin"/>
              <x14:cfvo type="autoMax"/>
              <x14:borderColor rgb="FF63C384"/>
              <x14:negativeFillColor rgb="FFFF0000"/>
              <x14:negativeBorderColor rgb="FFFF0000"/>
              <x14:axisColor rgb="FF000000"/>
            </x14:dataBar>
          </x14:cfRule>
          <xm:sqref>H11:H21</xm:sqref>
        </x14:conditionalFormatting>
        <x14:conditionalFormatting xmlns:xm="http://schemas.microsoft.com/office/excel/2006/main">
          <x14:cfRule type="dataBar" id="{BFEE5674-159F-4398-942E-06BB22ACE2A3}">
            <x14:dataBar minLength="0" maxLength="100" border="1" negativeBarBorderColorSameAsPositive="0">
              <x14:cfvo type="autoMin"/>
              <x14:cfvo type="autoMax"/>
              <x14:borderColor rgb="FFFF555A"/>
              <x14:negativeFillColor rgb="FFFF0000"/>
              <x14:negativeBorderColor rgb="FFFF0000"/>
              <x14:axisColor rgb="FF000000"/>
            </x14:dataBar>
          </x14:cfRule>
          <xm:sqref>D11:D20</xm:sqref>
        </x14:conditionalFormatting>
        <x14:conditionalFormatting xmlns:xm="http://schemas.microsoft.com/office/excel/2006/main">
          <x14:cfRule type="dataBar" id="{12960AED-5375-4661-98B6-B654396596A2}">
            <x14:dataBar minLength="0" maxLength="100" border="1" negativeBarBorderColorSameAsPositive="0">
              <x14:cfvo type="autoMin"/>
              <x14:cfvo type="autoMax"/>
              <x14:borderColor rgb="FF63C384"/>
              <x14:negativeFillColor rgb="FFFF0000"/>
              <x14:negativeBorderColor rgb="FFFF0000"/>
              <x14:axisColor rgb="FF000000"/>
            </x14:dataBar>
          </x14:cfRule>
          <xm:sqref>K13</xm:sqref>
        </x14:conditionalFormatting>
      </x14:conditionalFormatting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01"/>
  <sheetViews>
    <sheetView workbookViewId="0">
      <selection activeCell="L6" sqref="L6:L101"/>
    </sheetView>
  </sheetViews>
  <sheetFormatPr defaultColWidth="8.88671875" defaultRowHeight="14.4" x14ac:dyDescent="0.3"/>
  <cols>
    <col min="1" max="1" width="8.88671875" style="135"/>
    <col min="2" max="2" width="19.5546875" style="135" bestFit="1" customWidth="1"/>
    <col min="3" max="7" width="8.88671875" style="135"/>
    <col min="8" max="8" width="9.44140625" style="135" bestFit="1" customWidth="1"/>
    <col min="9" max="11" width="8.88671875" style="135"/>
    <col min="12" max="12" width="14.21875" style="135" bestFit="1" customWidth="1"/>
    <col min="13" max="13" width="8.88671875" style="135"/>
    <col min="14" max="14" width="26.109375" style="135" bestFit="1" customWidth="1"/>
    <col min="15" max="15" width="10.44140625" style="135" customWidth="1"/>
    <col min="16" max="16" width="8.21875" style="135" bestFit="1" customWidth="1"/>
    <col min="17" max="17" width="10.44140625" style="135" customWidth="1"/>
    <col min="18" max="26" width="8.88671875" style="135"/>
    <col min="27" max="27" width="9.77734375" style="135" customWidth="1"/>
    <col min="28" max="16384" width="8.88671875" style="135"/>
  </cols>
  <sheetData>
    <row r="1" spans="1:50" x14ac:dyDescent="0.3">
      <c r="A1" s="579" t="s">
        <v>2442</v>
      </c>
      <c r="B1" s="579"/>
      <c r="C1" s="579"/>
      <c r="D1" s="579"/>
    </row>
    <row r="2" spans="1:50" x14ac:dyDescent="0.3">
      <c r="A2" s="579" t="s">
        <v>1774</v>
      </c>
      <c r="B2" s="579"/>
      <c r="C2" s="579"/>
      <c r="D2" s="579"/>
      <c r="E2" s="4"/>
      <c r="F2" s="4"/>
      <c r="G2" s="4"/>
      <c r="H2" s="4"/>
      <c r="I2" s="4"/>
      <c r="J2" s="4"/>
      <c r="K2" s="4"/>
      <c r="L2" s="4"/>
      <c r="M2" s="4"/>
      <c r="N2" s="4"/>
      <c r="O2" s="4"/>
      <c r="P2" s="4"/>
      <c r="Q2" s="4"/>
      <c r="R2" s="4"/>
      <c r="S2" s="4"/>
      <c r="T2" s="4"/>
      <c r="U2" s="4"/>
      <c r="V2" s="4"/>
      <c r="W2" s="4"/>
      <c r="X2" s="4"/>
      <c r="Y2" s="4"/>
      <c r="Z2" s="4"/>
      <c r="AA2" s="4"/>
    </row>
    <row r="3" spans="1:50" x14ac:dyDescent="0.3">
      <c r="A3" s="579" t="s">
        <v>1775</v>
      </c>
      <c r="B3" s="579"/>
      <c r="C3" s="579"/>
      <c r="D3" s="579"/>
      <c r="E3" s="4"/>
      <c r="F3" s="4"/>
      <c r="G3" s="4"/>
      <c r="H3" s="4"/>
      <c r="I3" s="4"/>
      <c r="J3" s="4"/>
      <c r="K3" s="4"/>
      <c r="L3" s="4"/>
      <c r="M3" s="4"/>
      <c r="N3" s="4"/>
      <c r="O3" s="4"/>
      <c r="P3" s="4"/>
      <c r="Q3" s="4"/>
      <c r="R3" s="4"/>
      <c r="S3" s="4"/>
      <c r="T3" s="4"/>
      <c r="U3" s="4"/>
      <c r="V3" s="4"/>
      <c r="W3" s="4"/>
      <c r="X3" s="4"/>
      <c r="Y3" s="4"/>
      <c r="Z3" s="4"/>
      <c r="AA3" s="4"/>
    </row>
    <row r="4" spans="1:50" x14ac:dyDescent="0.3">
      <c r="A4" s="4"/>
      <c r="B4" s="4"/>
      <c r="C4" s="4"/>
      <c r="D4" s="4"/>
      <c r="E4" s="4"/>
      <c r="F4" s="4"/>
      <c r="G4" s="4"/>
      <c r="H4" s="4"/>
      <c r="I4" s="4"/>
      <c r="J4" s="4"/>
      <c r="K4" s="4"/>
      <c r="L4" s="4"/>
      <c r="M4" s="4"/>
      <c r="N4" s="4"/>
      <c r="O4" s="4"/>
      <c r="P4" s="4"/>
      <c r="Q4" s="4"/>
      <c r="R4" s="4"/>
      <c r="S4" s="4"/>
      <c r="T4" s="4"/>
      <c r="U4" s="4"/>
      <c r="V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spans="1:50" x14ac:dyDescent="0.3">
      <c r="A5" s="59" t="s">
        <v>1419</v>
      </c>
      <c r="B5" s="59" t="s">
        <v>1420</v>
      </c>
      <c r="C5" s="59" t="s">
        <v>413</v>
      </c>
      <c r="D5" s="59" t="s">
        <v>1421</v>
      </c>
      <c r="E5" s="384" t="s">
        <v>2428</v>
      </c>
      <c r="F5" s="384" t="s">
        <v>1422</v>
      </c>
      <c r="G5" s="384" t="s">
        <v>1423</v>
      </c>
      <c r="H5" s="384" t="s">
        <v>1424</v>
      </c>
      <c r="I5" s="59" t="s">
        <v>1425</v>
      </c>
      <c r="J5" s="59" t="s">
        <v>1426</v>
      </c>
      <c r="K5" s="59" t="s">
        <v>1427</v>
      </c>
      <c r="L5" s="59" t="s">
        <v>2429</v>
      </c>
      <c r="M5" s="59" t="s">
        <v>1408</v>
      </c>
      <c r="N5" s="384" t="s">
        <v>1428</v>
      </c>
      <c r="O5" s="385" t="s">
        <v>1780</v>
      </c>
      <c r="P5" s="384" t="s">
        <v>1776</v>
      </c>
      <c r="Q5" s="384" t="s">
        <v>2430</v>
      </c>
      <c r="R5" s="59" t="s">
        <v>2431</v>
      </c>
      <c r="S5" s="59" t="s">
        <v>1429</v>
      </c>
      <c r="T5" s="135" t="s">
        <v>1777</v>
      </c>
      <c r="U5" s="393" t="s">
        <v>1430</v>
      </c>
      <c r="V5" s="393" t="s">
        <v>1778</v>
      </c>
      <c r="W5" s="393" t="s">
        <v>1779</v>
      </c>
      <c r="X5" s="4"/>
      <c r="Y5" s="4"/>
      <c r="Z5" s="4"/>
      <c r="AA5" s="385"/>
      <c r="AB5" s="4"/>
      <c r="AC5" s="4"/>
      <c r="AD5" s="386"/>
      <c r="AE5" s="386"/>
      <c r="AF5" s="386"/>
      <c r="AG5" s="386"/>
      <c r="AH5" s="4"/>
      <c r="AI5" s="4"/>
      <c r="AJ5" s="4"/>
      <c r="AK5" s="4"/>
      <c r="AL5" s="4"/>
      <c r="AM5" s="4"/>
      <c r="AN5" s="4"/>
      <c r="AO5" s="4"/>
      <c r="AP5" s="4"/>
      <c r="AQ5" s="4"/>
      <c r="AR5" s="4"/>
      <c r="AS5" s="386"/>
      <c r="AT5" s="386"/>
      <c r="AU5" s="386"/>
      <c r="AV5" s="386"/>
      <c r="AW5" s="4"/>
      <c r="AX5" s="4"/>
    </row>
    <row r="6" spans="1:50" x14ac:dyDescent="0.3">
      <c r="A6" s="59" t="s">
        <v>50</v>
      </c>
      <c r="B6" s="59" t="s">
        <v>188</v>
      </c>
      <c r="C6" s="59" t="s">
        <v>1422</v>
      </c>
      <c r="D6" s="59">
        <v>220</v>
      </c>
      <c r="E6" s="58">
        <v>72</v>
      </c>
      <c r="F6" s="384">
        <v>0.54</v>
      </c>
      <c r="G6" s="384">
        <v>0.18</v>
      </c>
      <c r="H6" s="384">
        <v>0.28000000000000003</v>
      </c>
      <c r="I6" s="384">
        <v>0.18</v>
      </c>
      <c r="J6" s="59">
        <v>0.56999999999999995</v>
      </c>
      <c r="K6" s="59">
        <v>82.8</v>
      </c>
      <c r="L6" s="59">
        <v>46</v>
      </c>
      <c r="M6" s="59" t="s">
        <v>404</v>
      </c>
      <c r="N6" s="384" t="s">
        <v>2432</v>
      </c>
      <c r="O6" s="63">
        <v>36.799999999999997</v>
      </c>
      <c r="P6" s="384" t="s">
        <v>1429</v>
      </c>
      <c r="Q6" s="58">
        <v>202</v>
      </c>
      <c r="R6" s="59">
        <v>46</v>
      </c>
      <c r="S6" s="384">
        <v>0.74</v>
      </c>
      <c r="T6" s="395">
        <v>0</v>
      </c>
      <c r="U6" s="386">
        <v>0.26</v>
      </c>
      <c r="V6" s="386">
        <v>0.28000000000000003</v>
      </c>
      <c r="W6" s="393">
        <v>0.36</v>
      </c>
      <c r="X6" s="4"/>
      <c r="Y6" s="4"/>
      <c r="Z6" s="4"/>
      <c r="AA6" s="385"/>
      <c r="AB6" s="4"/>
      <c r="AC6" s="4"/>
      <c r="AD6" s="386"/>
      <c r="AE6" s="386"/>
      <c r="AF6" s="386"/>
      <c r="AG6" s="386"/>
      <c r="AH6" s="4"/>
      <c r="AI6" s="4"/>
      <c r="AJ6" s="4"/>
      <c r="AK6" s="4"/>
      <c r="AL6" s="4"/>
      <c r="AM6" s="4"/>
      <c r="AN6" s="4"/>
      <c r="AO6" s="4"/>
      <c r="AP6" s="385"/>
      <c r="AQ6" s="4"/>
      <c r="AR6" s="4"/>
      <c r="AS6" s="386"/>
      <c r="AT6" s="386"/>
      <c r="AU6" s="386"/>
      <c r="AV6" s="386"/>
      <c r="AW6" s="4"/>
      <c r="AX6" s="4"/>
    </row>
    <row r="7" spans="1:50" x14ac:dyDescent="0.3">
      <c r="A7" s="59" t="s">
        <v>22</v>
      </c>
      <c r="B7" s="59" t="s">
        <v>768</v>
      </c>
      <c r="C7" s="59" t="s">
        <v>1422</v>
      </c>
      <c r="D7" s="59">
        <v>245</v>
      </c>
      <c r="E7" s="58">
        <v>63</v>
      </c>
      <c r="F7" s="384">
        <v>0.51</v>
      </c>
      <c r="G7" s="384">
        <v>0.21</v>
      </c>
      <c r="H7" s="384">
        <v>0.28999999999999998</v>
      </c>
      <c r="I7" s="384">
        <v>0.3</v>
      </c>
      <c r="J7" s="59">
        <v>0.81</v>
      </c>
      <c r="K7" s="59">
        <v>83.8</v>
      </c>
      <c r="L7" s="59">
        <v>45.6</v>
      </c>
      <c r="M7" s="59" t="s">
        <v>41</v>
      </c>
      <c r="N7" s="384" t="s">
        <v>2434</v>
      </c>
      <c r="O7" s="63">
        <v>38.200000000000003</v>
      </c>
      <c r="P7" s="384" t="s">
        <v>1429</v>
      </c>
      <c r="Q7" s="58">
        <v>190</v>
      </c>
      <c r="R7" s="59">
        <v>91</v>
      </c>
      <c r="S7" s="384">
        <v>1</v>
      </c>
      <c r="T7" s="395">
        <v>0</v>
      </c>
      <c r="U7" s="386">
        <v>0</v>
      </c>
      <c r="V7" s="386">
        <v>0.32</v>
      </c>
      <c r="W7" s="393">
        <v>0.51</v>
      </c>
      <c r="X7" s="4"/>
      <c r="Y7" s="4"/>
      <c r="Z7" s="4"/>
      <c r="AA7" s="385"/>
      <c r="AB7" s="4"/>
      <c r="AC7" s="4"/>
      <c r="AD7" s="386"/>
      <c r="AE7" s="386"/>
      <c r="AF7" s="386"/>
      <c r="AG7" s="386"/>
      <c r="AH7" s="4"/>
      <c r="AI7" s="4"/>
      <c r="AJ7" s="4"/>
      <c r="AK7" s="4"/>
      <c r="AL7" s="4"/>
      <c r="AM7" s="4"/>
      <c r="AN7" s="4"/>
      <c r="AO7" s="4"/>
      <c r="AP7" s="385"/>
      <c r="AQ7" s="4"/>
      <c r="AR7" s="4"/>
      <c r="AS7" s="386"/>
      <c r="AT7" s="386"/>
      <c r="AU7" s="386"/>
      <c r="AV7" s="386"/>
      <c r="AW7" s="4"/>
      <c r="AX7" s="4"/>
    </row>
    <row r="8" spans="1:50" x14ac:dyDescent="0.3">
      <c r="A8" s="59" t="s">
        <v>4</v>
      </c>
      <c r="B8" s="59" t="s">
        <v>204</v>
      </c>
      <c r="C8" s="59" t="s">
        <v>1424</v>
      </c>
      <c r="D8" s="59">
        <v>215</v>
      </c>
      <c r="E8" s="58">
        <v>93</v>
      </c>
      <c r="F8" s="384">
        <v>0.19</v>
      </c>
      <c r="G8" s="384">
        <v>0.22</v>
      </c>
      <c r="H8" s="384">
        <v>0.59</v>
      </c>
      <c r="I8" s="384">
        <v>0.18</v>
      </c>
      <c r="J8" s="59">
        <v>0.32</v>
      </c>
      <c r="K8" s="59">
        <v>77.599999999999994</v>
      </c>
      <c r="L8" s="59">
        <v>44</v>
      </c>
      <c r="M8" s="59" t="s">
        <v>30</v>
      </c>
      <c r="N8" s="384" t="s">
        <v>1477</v>
      </c>
      <c r="O8" s="63">
        <v>33.6</v>
      </c>
      <c r="P8" s="384" t="s">
        <v>1430</v>
      </c>
      <c r="Q8" s="58">
        <v>190</v>
      </c>
      <c r="R8" s="59">
        <v>82</v>
      </c>
      <c r="S8" s="384">
        <v>0</v>
      </c>
      <c r="T8" s="395">
        <v>0.05</v>
      </c>
      <c r="U8" s="386">
        <v>0.95</v>
      </c>
      <c r="V8" s="386">
        <v>0.23</v>
      </c>
      <c r="W8" s="393">
        <v>0.25</v>
      </c>
      <c r="X8" s="4"/>
      <c r="Y8" s="4"/>
      <c r="Z8" s="4"/>
      <c r="AA8" s="385"/>
      <c r="AB8" s="4"/>
      <c r="AC8" s="4"/>
      <c r="AD8" s="386"/>
      <c r="AE8" s="386"/>
      <c r="AF8" s="386"/>
      <c r="AG8" s="386"/>
      <c r="AH8" s="4"/>
      <c r="AI8" s="4"/>
      <c r="AJ8" s="4"/>
      <c r="AK8" s="4"/>
      <c r="AL8" s="4"/>
      <c r="AM8" s="4"/>
      <c r="AN8" s="4"/>
      <c r="AO8" s="4"/>
      <c r="AP8" s="385"/>
      <c r="AQ8" s="4"/>
      <c r="AR8" s="4"/>
      <c r="AS8" s="386"/>
      <c r="AT8" s="386"/>
      <c r="AU8" s="386"/>
      <c r="AV8" s="386"/>
      <c r="AW8" s="4"/>
      <c r="AX8" s="4"/>
    </row>
    <row r="9" spans="1:50" x14ac:dyDescent="0.3">
      <c r="A9" s="59" t="s">
        <v>20</v>
      </c>
      <c r="B9" s="59" t="s">
        <v>187</v>
      </c>
      <c r="C9" s="59" t="s">
        <v>1422</v>
      </c>
      <c r="D9" s="59">
        <v>181</v>
      </c>
      <c r="E9" s="58">
        <v>77</v>
      </c>
      <c r="F9" s="384">
        <v>0.52</v>
      </c>
      <c r="G9" s="384">
        <v>0.14000000000000001</v>
      </c>
      <c r="H9" s="384">
        <v>0.32</v>
      </c>
      <c r="I9" s="384">
        <v>0.27</v>
      </c>
      <c r="J9" s="59">
        <v>0.53</v>
      </c>
      <c r="K9" s="59">
        <v>79.7</v>
      </c>
      <c r="L9" s="59">
        <v>40.200000000000003</v>
      </c>
      <c r="M9" s="59" t="s">
        <v>39</v>
      </c>
      <c r="N9" s="384" t="s">
        <v>1452</v>
      </c>
      <c r="O9" s="63">
        <v>39.5</v>
      </c>
      <c r="P9" s="384" t="s">
        <v>1429</v>
      </c>
      <c r="Q9" s="58">
        <v>205</v>
      </c>
      <c r="R9" s="59">
        <v>66</v>
      </c>
      <c r="S9" s="384">
        <v>0.94</v>
      </c>
      <c r="T9" s="395">
        <v>0.06</v>
      </c>
      <c r="U9" s="386">
        <v>0</v>
      </c>
      <c r="V9" s="386">
        <v>0.14000000000000001</v>
      </c>
      <c r="W9" s="393">
        <v>0.31</v>
      </c>
      <c r="X9" s="4"/>
      <c r="Y9" s="4"/>
      <c r="Z9" s="4"/>
      <c r="AA9" s="385"/>
      <c r="AB9" s="4"/>
      <c r="AC9" s="4"/>
      <c r="AD9" s="386"/>
      <c r="AE9" s="386"/>
      <c r="AF9" s="386"/>
      <c r="AG9" s="386"/>
      <c r="AH9" s="4"/>
      <c r="AI9" s="4"/>
      <c r="AJ9" s="4"/>
      <c r="AK9" s="4"/>
      <c r="AL9" s="4"/>
      <c r="AM9" s="4"/>
      <c r="AN9" s="4"/>
      <c r="AO9" s="4"/>
      <c r="AP9" s="385"/>
      <c r="AQ9" s="4"/>
      <c r="AR9" s="4"/>
      <c r="AS9" s="386"/>
      <c r="AT9" s="386"/>
      <c r="AU9" s="386"/>
      <c r="AV9" s="386"/>
      <c r="AW9" s="4"/>
      <c r="AX9" s="4"/>
    </row>
    <row r="10" spans="1:50" x14ac:dyDescent="0.3">
      <c r="A10" s="59" t="s">
        <v>34</v>
      </c>
      <c r="B10" s="59" t="s">
        <v>197</v>
      </c>
      <c r="C10" s="59" t="s">
        <v>1422</v>
      </c>
      <c r="D10" s="59">
        <v>214</v>
      </c>
      <c r="E10" s="58">
        <v>85</v>
      </c>
      <c r="F10" s="384">
        <v>0.16</v>
      </c>
      <c r="G10" s="384">
        <v>0.61</v>
      </c>
      <c r="H10" s="384">
        <v>0.22</v>
      </c>
      <c r="I10" s="384">
        <v>0.18</v>
      </c>
      <c r="J10" s="59">
        <v>0.51</v>
      </c>
      <c r="K10" s="59">
        <v>82.2</v>
      </c>
      <c r="L10" s="59">
        <v>38.299999999999997</v>
      </c>
      <c r="M10" s="59" t="s">
        <v>397</v>
      </c>
      <c r="N10" s="384" t="s">
        <v>1499</v>
      </c>
      <c r="O10" s="63">
        <v>43.9</v>
      </c>
      <c r="P10" s="384" t="s">
        <v>1429</v>
      </c>
      <c r="Q10" s="58">
        <v>193</v>
      </c>
      <c r="R10" s="59">
        <v>65</v>
      </c>
      <c r="S10" s="384">
        <v>0.94</v>
      </c>
      <c r="T10" s="395">
        <v>0.06</v>
      </c>
      <c r="U10" s="386">
        <v>0</v>
      </c>
      <c r="V10" s="386">
        <v>0.2</v>
      </c>
      <c r="W10" s="393">
        <v>0.38</v>
      </c>
      <c r="X10" s="4"/>
      <c r="Y10" s="4"/>
      <c r="Z10" s="4"/>
      <c r="AA10" s="385"/>
      <c r="AB10" s="4"/>
      <c r="AC10" s="4"/>
      <c r="AD10" s="386"/>
      <c r="AE10" s="386"/>
      <c r="AF10" s="386"/>
      <c r="AG10" s="386"/>
      <c r="AH10" s="4"/>
      <c r="AI10" s="4"/>
      <c r="AJ10" s="4"/>
      <c r="AK10" s="4"/>
      <c r="AL10" s="4"/>
      <c r="AM10" s="4"/>
      <c r="AN10" s="4"/>
      <c r="AO10" s="4"/>
      <c r="AP10" s="385"/>
      <c r="AQ10" s="4"/>
      <c r="AR10" s="4"/>
      <c r="AS10" s="386"/>
      <c r="AT10" s="386"/>
      <c r="AU10" s="386"/>
      <c r="AV10" s="386"/>
      <c r="AW10" s="4"/>
      <c r="AX10" s="4"/>
    </row>
    <row r="11" spans="1:50" x14ac:dyDescent="0.3">
      <c r="A11" s="59" t="s">
        <v>401</v>
      </c>
      <c r="B11" s="59" t="s">
        <v>217</v>
      </c>
      <c r="C11" s="59" t="s">
        <v>1422</v>
      </c>
      <c r="D11" s="59">
        <v>231</v>
      </c>
      <c r="E11" s="58">
        <v>91</v>
      </c>
      <c r="F11" s="384">
        <v>0.46</v>
      </c>
      <c r="G11" s="384">
        <v>0.18</v>
      </c>
      <c r="H11" s="384">
        <v>0.36</v>
      </c>
      <c r="I11" s="384">
        <v>0.28000000000000003</v>
      </c>
      <c r="J11" s="59">
        <v>0.44</v>
      </c>
      <c r="K11" s="59">
        <v>79.2</v>
      </c>
      <c r="L11" s="59">
        <v>36.200000000000003</v>
      </c>
      <c r="M11" s="59" t="s">
        <v>409</v>
      </c>
      <c r="N11" s="59" t="s">
        <v>2440</v>
      </c>
      <c r="O11" s="63">
        <v>43</v>
      </c>
      <c r="P11" s="59" t="s">
        <v>1429</v>
      </c>
      <c r="Q11" s="58">
        <v>187</v>
      </c>
      <c r="R11" s="59">
        <v>55</v>
      </c>
      <c r="S11" s="384">
        <v>0.89</v>
      </c>
      <c r="T11" s="395">
        <v>0.11</v>
      </c>
      <c r="U11" s="386">
        <v>0</v>
      </c>
      <c r="V11" s="386">
        <v>0.15</v>
      </c>
      <c r="W11" s="393">
        <v>0.31</v>
      </c>
      <c r="X11" s="4"/>
      <c r="Y11" s="4"/>
      <c r="Z11" s="4"/>
      <c r="AA11" s="385"/>
      <c r="AB11" s="4"/>
      <c r="AC11" s="4"/>
      <c r="AD11" s="386"/>
      <c r="AE11" s="386"/>
      <c r="AF11" s="386"/>
      <c r="AG11" s="386"/>
      <c r="AH11" s="4"/>
      <c r="AI11" s="4"/>
      <c r="AJ11" s="4"/>
      <c r="AK11" s="4"/>
      <c r="AL11" s="4"/>
      <c r="AM11" s="4"/>
      <c r="AN11" s="4"/>
      <c r="AO11" s="4"/>
      <c r="AP11" s="385"/>
      <c r="AQ11" s="4"/>
      <c r="AR11" s="4"/>
      <c r="AS11" s="386"/>
      <c r="AT11" s="386"/>
      <c r="AU11" s="386"/>
      <c r="AV11" s="386"/>
      <c r="AW11" s="4"/>
      <c r="AX11" s="4"/>
    </row>
    <row r="12" spans="1:50" x14ac:dyDescent="0.3">
      <c r="A12" s="59" t="s">
        <v>39</v>
      </c>
      <c r="B12" s="59" t="s">
        <v>211</v>
      </c>
      <c r="C12" s="59" t="s">
        <v>1423</v>
      </c>
      <c r="D12" s="59">
        <v>212</v>
      </c>
      <c r="E12" s="58">
        <v>85</v>
      </c>
      <c r="F12" s="384">
        <v>0.19</v>
      </c>
      <c r="G12" s="384">
        <v>0.66</v>
      </c>
      <c r="H12" s="384">
        <v>0.15</v>
      </c>
      <c r="I12" s="384">
        <v>0.26</v>
      </c>
      <c r="J12" s="59">
        <v>0.47</v>
      </c>
      <c r="K12" s="59">
        <v>73.3</v>
      </c>
      <c r="L12" s="59">
        <v>34.9</v>
      </c>
      <c r="M12" s="59" t="s">
        <v>20</v>
      </c>
      <c r="N12" s="59" t="s">
        <v>1783</v>
      </c>
      <c r="O12" s="63">
        <v>38.4</v>
      </c>
      <c r="P12" s="59" t="s">
        <v>1423</v>
      </c>
      <c r="Q12" s="58">
        <v>202</v>
      </c>
      <c r="R12" s="59">
        <v>52</v>
      </c>
      <c r="S12" s="384">
        <v>0.06</v>
      </c>
      <c r="T12" s="395">
        <v>0.92</v>
      </c>
      <c r="U12" s="386">
        <v>0.02</v>
      </c>
      <c r="V12" s="386">
        <v>0.17</v>
      </c>
      <c r="W12" s="393">
        <v>0.27</v>
      </c>
      <c r="X12" s="4"/>
      <c r="Y12" s="4"/>
      <c r="Z12" s="4"/>
      <c r="AA12" s="385"/>
      <c r="AB12" s="4"/>
      <c r="AC12" s="4"/>
      <c r="AD12" s="386"/>
      <c r="AE12" s="386"/>
      <c r="AF12" s="386"/>
      <c r="AG12" s="386"/>
      <c r="AH12" s="4"/>
      <c r="AI12" s="4"/>
      <c r="AJ12" s="4"/>
      <c r="AK12" s="4"/>
      <c r="AL12" s="4"/>
      <c r="AM12" s="4"/>
      <c r="AN12" s="4"/>
      <c r="AO12" s="4"/>
      <c r="AP12" s="387"/>
      <c r="AQ12" s="4"/>
      <c r="AR12" s="4"/>
      <c r="AS12" s="386"/>
      <c r="AT12" s="386"/>
      <c r="AU12" s="386"/>
      <c r="AV12" s="386"/>
      <c r="AW12" s="4"/>
      <c r="AX12" s="4"/>
    </row>
    <row r="13" spans="1:50" x14ac:dyDescent="0.3">
      <c r="A13" s="59" t="s">
        <v>1238</v>
      </c>
      <c r="B13" s="59" t="s">
        <v>189</v>
      </c>
      <c r="C13" s="59" t="s">
        <v>1424</v>
      </c>
      <c r="D13" s="59">
        <v>218</v>
      </c>
      <c r="E13" s="58">
        <v>75</v>
      </c>
      <c r="F13" s="384">
        <v>0.35</v>
      </c>
      <c r="G13" s="384">
        <v>0.2</v>
      </c>
      <c r="H13" s="384">
        <v>0.45</v>
      </c>
      <c r="I13" s="384">
        <v>0.28000000000000003</v>
      </c>
      <c r="J13" s="59">
        <v>0.54</v>
      </c>
      <c r="K13" s="59">
        <v>82.5</v>
      </c>
      <c r="L13" s="59">
        <v>34.6</v>
      </c>
      <c r="M13" s="59" t="s">
        <v>402</v>
      </c>
      <c r="N13" s="384" t="s">
        <v>1431</v>
      </c>
      <c r="O13" s="63">
        <v>47.9</v>
      </c>
      <c r="P13" s="384" t="s">
        <v>1430</v>
      </c>
      <c r="Q13" s="58">
        <v>190</v>
      </c>
      <c r="R13" s="59">
        <v>93</v>
      </c>
      <c r="S13" s="384">
        <v>0.25</v>
      </c>
      <c r="T13" s="395">
        <v>0.26</v>
      </c>
      <c r="U13" s="386">
        <v>0.49</v>
      </c>
      <c r="V13" s="386">
        <v>0.22</v>
      </c>
      <c r="W13" s="393">
        <v>0.4</v>
      </c>
      <c r="X13" s="4"/>
      <c r="Y13" s="4"/>
      <c r="Z13" s="4"/>
      <c r="AA13" s="387"/>
      <c r="AB13" s="4"/>
      <c r="AC13" s="4"/>
      <c r="AD13" s="386"/>
      <c r="AE13" s="386"/>
      <c r="AF13" s="386"/>
      <c r="AG13" s="386"/>
      <c r="AH13" s="4"/>
      <c r="AI13" s="4"/>
      <c r="AJ13" s="4"/>
      <c r="AK13" s="4"/>
      <c r="AL13" s="4"/>
      <c r="AM13" s="4"/>
      <c r="AN13" s="4"/>
      <c r="AO13" s="4"/>
      <c r="AP13" s="385"/>
      <c r="AQ13" s="4"/>
      <c r="AR13" s="4"/>
      <c r="AS13" s="386"/>
      <c r="AT13" s="386"/>
      <c r="AU13" s="386"/>
      <c r="AV13" s="386"/>
      <c r="AW13" s="4"/>
      <c r="AX13" s="4"/>
    </row>
    <row r="14" spans="1:50" x14ac:dyDescent="0.3">
      <c r="A14" s="59" t="s">
        <v>57</v>
      </c>
      <c r="B14" s="59" t="s">
        <v>205</v>
      </c>
      <c r="C14" s="59" t="s">
        <v>1423</v>
      </c>
      <c r="D14" s="59">
        <v>206</v>
      </c>
      <c r="E14" s="58">
        <v>83</v>
      </c>
      <c r="F14" s="384">
        <v>0.11</v>
      </c>
      <c r="G14" s="384">
        <v>0.77</v>
      </c>
      <c r="H14" s="384">
        <v>0.12</v>
      </c>
      <c r="I14" s="384">
        <v>0.24</v>
      </c>
      <c r="J14" s="59">
        <v>0.46</v>
      </c>
      <c r="K14" s="59">
        <v>78.400000000000006</v>
      </c>
      <c r="L14" s="59">
        <v>33.700000000000003</v>
      </c>
      <c r="M14" s="59" t="s">
        <v>1239</v>
      </c>
      <c r="N14" s="384" t="s">
        <v>1493</v>
      </c>
      <c r="O14" s="63">
        <v>44.7</v>
      </c>
      <c r="P14" s="384" t="s">
        <v>1423</v>
      </c>
      <c r="Q14" s="58">
        <v>192</v>
      </c>
      <c r="R14" s="59">
        <v>65</v>
      </c>
      <c r="S14" s="384">
        <v>0.05</v>
      </c>
      <c r="T14" s="395">
        <v>0.95</v>
      </c>
      <c r="U14" s="386">
        <v>0</v>
      </c>
      <c r="V14" s="386">
        <v>0.15</v>
      </c>
      <c r="W14" s="393">
        <v>0.34</v>
      </c>
      <c r="X14" s="4"/>
      <c r="Y14" s="4"/>
      <c r="Z14" s="4"/>
      <c r="AA14" s="385"/>
      <c r="AB14" s="4"/>
      <c r="AC14" s="4"/>
      <c r="AD14" s="386"/>
      <c r="AE14" s="386"/>
      <c r="AF14" s="386"/>
      <c r="AG14" s="386"/>
      <c r="AH14" s="4"/>
      <c r="AI14" s="4"/>
      <c r="AJ14" s="4"/>
      <c r="AK14" s="4"/>
      <c r="AL14" s="4"/>
      <c r="AM14" s="4"/>
      <c r="AN14" s="4"/>
      <c r="AO14" s="4"/>
      <c r="AP14" s="385"/>
      <c r="AQ14" s="4"/>
      <c r="AR14" s="4"/>
      <c r="AS14" s="386"/>
      <c r="AT14" s="386"/>
      <c r="AU14" s="386"/>
      <c r="AV14" s="386"/>
      <c r="AW14" s="4"/>
      <c r="AX14" s="4"/>
    </row>
    <row r="15" spans="1:50" x14ac:dyDescent="0.3">
      <c r="A15" s="59" t="s">
        <v>26</v>
      </c>
      <c r="B15" s="59" t="s">
        <v>173</v>
      </c>
      <c r="C15" s="59" t="s">
        <v>1422</v>
      </c>
      <c r="D15" s="59">
        <v>198</v>
      </c>
      <c r="E15" s="58">
        <v>91</v>
      </c>
      <c r="F15" s="384">
        <v>0.55000000000000004</v>
      </c>
      <c r="G15" s="384">
        <v>0.09</v>
      </c>
      <c r="H15" s="384">
        <v>0.36</v>
      </c>
      <c r="I15" s="384">
        <v>0.25</v>
      </c>
      <c r="J15" s="59">
        <v>0.35</v>
      </c>
      <c r="K15" s="59">
        <v>71.8</v>
      </c>
      <c r="L15" s="59">
        <v>33.5</v>
      </c>
      <c r="M15" s="59" t="s">
        <v>395</v>
      </c>
      <c r="N15" s="384" t="s">
        <v>1467</v>
      </c>
      <c r="O15" s="63">
        <v>38.299999999999997</v>
      </c>
      <c r="P15" s="384" t="s">
        <v>1429</v>
      </c>
      <c r="Q15" s="58">
        <v>184</v>
      </c>
      <c r="R15" s="59">
        <v>35</v>
      </c>
      <c r="S15" s="384">
        <v>0.97</v>
      </c>
      <c r="T15" s="395">
        <v>0.03</v>
      </c>
      <c r="U15" s="386">
        <v>0</v>
      </c>
      <c r="V15" s="386">
        <v>0.2</v>
      </c>
      <c r="W15" s="393">
        <v>0.25</v>
      </c>
      <c r="X15" s="4"/>
      <c r="Y15" s="4"/>
      <c r="Z15" s="4"/>
      <c r="AA15" s="387"/>
      <c r="AB15" s="4"/>
      <c r="AC15" s="4"/>
      <c r="AD15" s="386"/>
      <c r="AE15" s="386"/>
      <c r="AF15" s="386"/>
      <c r="AG15" s="386"/>
      <c r="AH15" s="4"/>
      <c r="AI15" s="4"/>
      <c r="AJ15" s="4"/>
      <c r="AK15" s="4"/>
      <c r="AL15" s="4"/>
      <c r="AM15" s="4"/>
      <c r="AN15" s="4"/>
      <c r="AO15" s="4"/>
      <c r="AP15" s="385"/>
      <c r="AQ15" s="4"/>
      <c r="AR15" s="4"/>
      <c r="AS15" s="386"/>
      <c r="AT15" s="386"/>
      <c r="AU15" s="386"/>
      <c r="AV15" s="386"/>
      <c r="AW15" s="4"/>
      <c r="AX15" s="4"/>
    </row>
    <row r="16" spans="1:50" x14ac:dyDescent="0.3">
      <c r="A16" s="59" t="s">
        <v>30</v>
      </c>
      <c r="B16" s="59" t="s">
        <v>519</v>
      </c>
      <c r="C16" s="59" t="s">
        <v>1422</v>
      </c>
      <c r="D16" s="59">
        <v>194</v>
      </c>
      <c r="E16" s="58">
        <v>87</v>
      </c>
      <c r="F16" s="384">
        <v>0.52</v>
      </c>
      <c r="G16" s="384">
        <v>0.08</v>
      </c>
      <c r="H16" s="384">
        <v>0.4</v>
      </c>
      <c r="I16" s="384">
        <v>0.22</v>
      </c>
      <c r="J16" s="59">
        <v>0.25</v>
      </c>
      <c r="K16" s="59">
        <v>73.5</v>
      </c>
      <c r="L16" s="59">
        <v>33.5</v>
      </c>
      <c r="M16" s="59" t="s">
        <v>4</v>
      </c>
      <c r="N16" s="384" t="s">
        <v>1481</v>
      </c>
      <c r="O16" s="63">
        <v>40</v>
      </c>
      <c r="P16" s="384" t="s">
        <v>1429</v>
      </c>
      <c r="Q16" s="58">
        <v>218</v>
      </c>
      <c r="R16" s="59">
        <v>63</v>
      </c>
      <c r="S16" s="384">
        <v>0.92</v>
      </c>
      <c r="T16" s="395">
        <v>0.06</v>
      </c>
      <c r="U16" s="386">
        <v>0.02</v>
      </c>
      <c r="V16" s="386">
        <v>0.27</v>
      </c>
      <c r="W16" s="393">
        <v>1.02</v>
      </c>
      <c r="X16" s="4"/>
      <c r="Y16" s="4"/>
      <c r="Z16" s="4"/>
      <c r="AA16" s="385"/>
      <c r="AB16" s="4"/>
      <c r="AC16" s="4"/>
      <c r="AD16" s="386"/>
      <c r="AE16" s="386"/>
      <c r="AF16" s="386"/>
      <c r="AG16" s="386"/>
      <c r="AH16" s="4"/>
      <c r="AI16" s="4"/>
      <c r="AJ16" s="4"/>
      <c r="AK16" s="4"/>
      <c r="AL16" s="4"/>
      <c r="AM16" s="4"/>
      <c r="AN16" s="4"/>
      <c r="AO16" s="4"/>
      <c r="AP16" s="385"/>
      <c r="AQ16" s="4"/>
      <c r="AR16" s="4"/>
      <c r="AS16" s="386"/>
      <c r="AT16" s="386"/>
      <c r="AU16" s="386"/>
      <c r="AV16" s="386"/>
      <c r="AW16" s="4"/>
      <c r="AX16" s="4"/>
    </row>
    <row r="17" spans="1:50" x14ac:dyDescent="0.3">
      <c r="A17" s="59" t="s">
        <v>397</v>
      </c>
      <c r="B17" s="59" t="s">
        <v>201</v>
      </c>
      <c r="C17" s="59" t="s">
        <v>1424</v>
      </c>
      <c r="D17" s="59">
        <v>198</v>
      </c>
      <c r="E17" s="58">
        <v>97</v>
      </c>
      <c r="F17" s="384">
        <v>0.28000000000000003</v>
      </c>
      <c r="G17" s="384">
        <v>0.39</v>
      </c>
      <c r="H17" s="384">
        <v>0.33</v>
      </c>
      <c r="I17" s="384">
        <v>0.24</v>
      </c>
      <c r="J17" s="59">
        <v>0.31</v>
      </c>
      <c r="K17" s="59">
        <v>69.5</v>
      </c>
      <c r="L17" s="59">
        <v>33.299999999999997</v>
      </c>
      <c r="M17" s="59" t="s">
        <v>34</v>
      </c>
      <c r="N17" s="384" t="s">
        <v>1448</v>
      </c>
      <c r="O17" s="63">
        <v>36.200000000000003</v>
      </c>
      <c r="P17" s="384" t="s">
        <v>1430</v>
      </c>
      <c r="Q17" s="58">
        <v>198</v>
      </c>
      <c r="R17" s="59">
        <v>71</v>
      </c>
      <c r="S17" s="384">
        <v>0.21</v>
      </c>
      <c r="T17" s="395">
        <v>0.11</v>
      </c>
      <c r="U17" s="386">
        <v>0.68</v>
      </c>
      <c r="V17" s="386">
        <v>0.24</v>
      </c>
      <c r="W17" s="393">
        <v>0.75</v>
      </c>
      <c r="X17" s="4"/>
      <c r="Y17" s="4"/>
      <c r="Z17" s="4"/>
      <c r="AA17" s="385"/>
      <c r="AB17" s="4"/>
      <c r="AC17" s="4"/>
      <c r="AD17" s="386"/>
      <c r="AE17" s="386"/>
      <c r="AF17" s="386"/>
      <c r="AG17" s="386"/>
      <c r="AH17" s="4"/>
      <c r="AI17" s="4"/>
      <c r="AJ17" s="4"/>
      <c r="AK17" s="4"/>
      <c r="AL17" s="4"/>
      <c r="AM17" s="4"/>
      <c r="AN17" s="4"/>
      <c r="AO17" s="4"/>
      <c r="AP17" s="385"/>
      <c r="AQ17" s="4"/>
      <c r="AR17" s="4"/>
      <c r="AS17" s="386"/>
      <c r="AT17" s="386"/>
      <c r="AU17" s="386"/>
      <c r="AV17" s="386"/>
      <c r="AW17" s="4"/>
      <c r="AX17" s="4"/>
    </row>
    <row r="18" spans="1:50" x14ac:dyDescent="0.3">
      <c r="A18" s="59" t="s">
        <v>407</v>
      </c>
      <c r="B18" s="59" t="s">
        <v>241</v>
      </c>
      <c r="C18" s="59" t="s">
        <v>1424</v>
      </c>
      <c r="D18" s="59">
        <v>175</v>
      </c>
      <c r="E18" s="58">
        <v>62</v>
      </c>
      <c r="F18" s="384">
        <v>0.31</v>
      </c>
      <c r="G18" s="384">
        <v>0.37</v>
      </c>
      <c r="H18" s="384">
        <v>0.32</v>
      </c>
      <c r="I18" s="384">
        <v>0.23</v>
      </c>
      <c r="J18" s="59">
        <v>0.64</v>
      </c>
      <c r="K18" s="59">
        <v>78.099999999999994</v>
      </c>
      <c r="L18" s="59">
        <v>29.3</v>
      </c>
      <c r="M18" s="59" t="s">
        <v>16</v>
      </c>
      <c r="N18" s="384" t="s">
        <v>1457</v>
      </c>
      <c r="O18" s="63">
        <v>48.8</v>
      </c>
      <c r="P18" s="384" t="s">
        <v>1430</v>
      </c>
      <c r="Q18" s="58">
        <v>191</v>
      </c>
      <c r="R18" s="59">
        <v>19</v>
      </c>
      <c r="S18" s="384">
        <v>0</v>
      </c>
      <c r="T18" s="395">
        <v>0</v>
      </c>
      <c r="U18" s="386">
        <v>1</v>
      </c>
      <c r="V18" s="386">
        <v>0.37</v>
      </c>
      <c r="W18" s="393">
        <v>0.55000000000000004</v>
      </c>
      <c r="X18" s="4"/>
      <c r="Y18" s="4"/>
      <c r="Z18" s="4"/>
      <c r="AA18" s="385"/>
      <c r="AB18" s="4"/>
      <c r="AC18" s="4"/>
      <c r="AD18" s="386"/>
      <c r="AE18" s="386"/>
      <c r="AF18" s="386"/>
      <c r="AG18" s="386"/>
      <c r="AH18" s="4"/>
      <c r="AI18" s="4"/>
      <c r="AJ18" s="4"/>
      <c r="AK18" s="4"/>
      <c r="AL18" s="4"/>
      <c r="AM18" s="4"/>
      <c r="AN18" s="4"/>
      <c r="AO18" s="4"/>
      <c r="AP18" s="385"/>
      <c r="AQ18" s="4"/>
      <c r="AR18" s="4"/>
      <c r="AS18" s="386"/>
      <c r="AT18" s="386"/>
      <c r="AU18" s="386"/>
      <c r="AV18" s="386"/>
      <c r="AW18" s="4"/>
      <c r="AX18" s="4"/>
    </row>
    <row r="19" spans="1:50" x14ac:dyDescent="0.3">
      <c r="A19" s="59" t="s">
        <v>402</v>
      </c>
      <c r="B19" s="59" t="s">
        <v>228</v>
      </c>
      <c r="C19" s="59" t="s">
        <v>1423</v>
      </c>
      <c r="D19" s="59">
        <v>190</v>
      </c>
      <c r="E19" s="58">
        <v>32</v>
      </c>
      <c r="F19" s="384">
        <v>0.03</v>
      </c>
      <c r="G19" s="384">
        <v>0.94</v>
      </c>
      <c r="H19" s="384">
        <v>0.03</v>
      </c>
      <c r="I19" s="384">
        <v>0.28000000000000003</v>
      </c>
      <c r="J19" s="59">
        <v>0.9</v>
      </c>
      <c r="K19" s="59">
        <v>73.7</v>
      </c>
      <c r="L19" s="59">
        <v>27.3</v>
      </c>
      <c r="M19" s="59" t="s">
        <v>1238</v>
      </c>
      <c r="N19" s="384" t="s">
        <v>1447</v>
      </c>
      <c r="O19" s="63">
        <v>46.4</v>
      </c>
      <c r="P19" s="384" t="s">
        <v>1423</v>
      </c>
      <c r="Q19" s="58">
        <v>188</v>
      </c>
      <c r="R19" s="59">
        <v>78</v>
      </c>
      <c r="S19" s="384">
        <v>0.19</v>
      </c>
      <c r="T19" s="395">
        <v>0.81</v>
      </c>
      <c r="U19" s="386">
        <v>0</v>
      </c>
      <c r="V19" s="386">
        <v>0.14000000000000001</v>
      </c>
      <c r="W19" s="393">
        <v>0.25</v>
      </c>
      <c r="X19" s="4"/>
      <c r="Y19" s="4"/>
      <c r="Z19" s="4"/>
      <c r="AA19" s="385"/>
      <c r="AB19" s="4"/>
      <c r="AC19" s="4"/>
      <c r="AD19" s="386"/>
      <c r="AE19" s="386"/>
      <c r="AF19" s="386"/>
      <c r="AG19" s="386"/>
      <c r="AH19" s="4"/>
      <c r="AI19" s="4"/>
      <c r="AJ19" s="4"/>
      <c r="AK19" s="4"/>
      <c r="AL19" s="4"/>
      <c r="AM19" s="4"/>
      <c r="AN19" s="4"/>
      <c r="AO19" s="4"/>
      <c r="AP19" s="385"/>
      <c r="AQ19" s="4"/>
      <c r="AR19" s="4"/>
      <c r="AS19" s="386"/>
      <c r="AT19" s="386"/>
      <c r="AU19" s="386"/>
      <c r="AV19" s="386"/>
      <c r="AW19" s="4"/>
      <c r="AX19" s="4"/>
    </row>
    <row r="20" spans="1:50" x14ac:dyDescent="0.3">
      <c r="A20" s="59" t="s">
        <v>28</v>
      </c>
      <c r="B20" s="59" t="s">
        <v>260</v>
      </c>
      <c r="C20" s="59" t="s">
        <v>1422</v>
      </c>
      <c r="D20" s="59">
        <v>210</v>
      </c>
      <c r="E20" s="58">
        <v>97</v>
      </c>
      <c r="F20" s="384">
        <v>0.43</v>
      </c>
      <c r="G20" s="384">
        <v>0.14000000000000001</v>
      </c>
      <c r="H20" s="384">
        <v>0.41</v>
      </c>
      <c r="I20" s="384">
        <v>0.12</v>
      </c>
      <c r="J20" s="59">
        <v>0.21</v>
      </c>
      <c r="K20" s="59">
        <v>67.400000000000006</v>
      </c>
      <c r="L20" s="59">
        <v>25.7</v>
      </c>
      <c r="M20" s="59" t="s">
        <v>70</v>
      </c>
      <c r="N20" s="384" t="s">
        <v>1442</v>
      </c>
      <c r="O20" s="63">
        <v>41.7</v>
      </c>
      <c r="P20" s="384" t="s">
        <v>1429</v>
      </c>
      <c r="Q20" s="58">
        <v>194</v>
      </c>
      <c r="R20" s="59">
        <v>66</v>
      </c>
      <c r="S20" s="384">
        <v>0.89</v>
      </c>
      <c r="T20" s="395">
        <v>0.08</v>
      </c>
      <c r="U20" s="386">
        <v>0.03</v>
      </c>
      <c r="V20" s="386">
        <v>0.14000000000000001</v>
      </c>
      <c r="W20" s="393">
        <v>0.21</v>
      </c>
      <c r="X20" s="4"/>
      <c r="Y20" s="4"/>
      <c r="Z20" s="4"/>
      <c r="AA20" s="385"/>
      <c r="AB20" s="4"/>
      <c r="AC20" s="4"/>
      <c r="AD20" s="386"/>
      <c r="AE20" s="386"/>
      <c r="AF20" s="386"/>
      <c r="AG20" s="386"/>
      <c r="AH20" s="4"/>
      <c r="AI20" s="4"/>
      <c r="AJ20" s="4"/>
      <c r="AK20" s="4"/>
      <c r="AL20" s="4"/>
      <c r="AM20" s="4"/>
      <c r="AN20" s="4"/>
      <c r="AO20" s="4"/>
      <c r="AP20" s="387"/>
      <c r="AQ20" s="4"/>
      <c r="AR20" s="4"/>
      <c r="AS20" s="386"/>
      <c r="AT20" s="386"/>
      <c r="AU20" s="386"/>
      <c r="AV20" s="386"/>
      <c r="AW20" s="4"/>
      <c r="AX20" s="4"/>
    </row>
    <row r="21" spans="1:50" x14ac:dyDescent="0.3">
      <c r="A21" s="59" t="s">
        <v>407</v>
      </c>
      <c r="B21" s="59" t="s">
        <v>505</v>
      </c>
      <c r="C21" s="59" t="s">
        <v>1422</v>
      </c>
      <c r="D21" s="59">
        <v>205</v>
      </c>
      <c r="E21" s="58">
        <v>51</v>
      </c>
      <c r="F21" s="384">
        <v>0.39</v>
      </c>
      <c r="G21" s="384">
        <v>0.33</v>
      </c>
      <c r="H21" s="384">
        <v>0.27</v>
      </c>
      <c r="I21" s="384">
        <v>0.2</v>
      </c>
      <c r="J21" s="59">
        <v>0.47</v>
      </c>
      <c r="K21" s="59">
        <v>78.3</v>
      </c>
      <c r="L21" s="59">
        <v>25</v>
      </c>
      <c r="M21" s="59" t="s">
        <v>16</v>
      </c>
      <c r="N21" s="384" t="s">
        <v>1456</v>
      </c>
      <c r="O21" s="63">
        <v>53.3</v>
      </c>
      <c r="P21" s="384" t="s">
        <v>1429</v>
      </c>
      <c r="Q21" s="58">
        <v>210</v>
      </c>
      <c r="R21" s="59">
        <v>68</v>
      </c>
      <c r="S21" s="384">
        <v>0.93</v>
      </c>
      <c r="T21" s="395">
        <v>0.04</v>
      </c>
      <c r="U21" s="386">
        <v>0.03</v>
      </c>
      <c r="V21" s="386">
        <v>0.24</v>
      </c>
      <c r="W21" s="393">
        <v>0.38</v>
      </c>
      <c r="X21" s="4"/>
      <c r="Y21" s="4"/>
      <c r="Z21" s="4"/>
      <c r="AA21" s="385"/>
      <c r="AB21" s="4"/>
      <c r="AC21" s="4"/>
      <c r="AD21" s="386"/>
      <c r="AE21" s="386"/>
      <c r="AF21" s="386"/>
      <c r="AG21" s="386"/>
      <c r="AH21" s="4"/>
      <c r="AI21" s="4"/>
      <c r="AJ21" s="4"/>
      <c r="AK21" s="4"/>
      <c r="AL21" s="4"/>
      <c r="AM21" s="4"/>
      <c r="AN21" s="4"/>
      <c r="AO21" s="4"/>
      <c r="AP21" s="385"/>
      <c r="AQ21" s="4"/>
      <c r="AR21" s="4"/>
      <c r="AS21" s="386"/>
      <c r="AT21" s="386"/>
      <c r="AU21" s="386"/>
      <c r="AV21" s="386"/>
      <c r="AW21" s="4"/>
      <c r="AX21" s="4"/>
    </row>
    <row r="22" spans="1:50" x14ac:dyDescent="0.3">
      <c r="A22" s="59" t="s">
        <v>404</v>
      </c>
      <c r="B22" s="59" t="s">
        <v>1483</v>
      </c>
      <c r="C22" s="59" t="s">
        <v>1424</v>
      </c>
      <c r="D22" s="59">
        <v>212</v>
      </c>
      <c r="E22" s="58">
        <v>65</v>
      </c>
      <c r="F22" s="384">
        <v>0.42</v>
      </c>
      <c r="G22" s="384">
        <v>0.09</v>
      </c>
      <c r="H22" s="384">
        <v>0.49</v>
      </c>
      <c r="I22" s="384">
        <v>0.18</v>
      </c>
      <c r="J22" s="59">
        <v>0.33</v>
      </c>
      <c r="K22" s="59">
        <v>72.099999999999994</v>
      </c>
      <c r="L22" s="59">
        <v>23.5</v>
      </c>
      <c r="M22" s="59" t="s">
        <v>50</v>
      </c>
      <c r="N22" s="384" t="s">
        <v>1503</v>
      </c>
      <c r="O22" s="63">
        <v>48.6</v>
      </c>
      <c r="P22" s="384" t="s">
        <v>1430</v>
      </c>
      <c r="Q22" s="58">
        <v>186</v>
      </c>
      <c r="R22" s="59">
        <v>83</v>
      </c>
      <c r="S22" s="384">
        <v>0.6</v>
      </c>
      <c r="T22" s="395">
        <v>0.04</v>
      </c>
      <c r="U22" s="386">
        <v>0.36</v>
      </c>
      <c r="V22" s="386">
        <v>0.14000000000000001</v>
      </c>
      <c r="W22" s="393">
        <v>0.25</v>
      </c>
      <c r="X22" s="4"/>
      <c r="Y22" s="4"/>
      <c r="Z22" s="4"/>
      <c r="AA22" s="385"/>
      <c r="AB22" s="4"/>
      <c r="AC22" s="4"/>
      <c r="AD22" s="386"/>
      <c r="AE22" s="386"/>
      <c r="AF22" s="386"/>
      <c r="AG22" s="386"/>
      <c r="AH22" s="4"/>
      <c r="AI22" s="4"/>
      <c r="AJ22" s="4"/>
      <c r="AK22" s="4"/>
      <c r="AL22" s="4"/>
      <c r="AM22" s="4"/>
      <c r="AN22" s="4"/>
      <c r="AO22" s="4"/>
      <c r="AP22" s="385"/>
      <c r="AQ22" s="4"/>
      <c r="AR22" s="4"/>
      <c r="AS22" s="386"/>
      <c r="AT22" s="386"/>
      <c r="AU22" s="386"/>
      <c r="AV22" s="386"/>
      <c r="AW22" s="4"/>
      <c r="AX22" s="4"/>
    </row>
    <row r="23" spans="1:50" x14ac:dyDescent="0.3">
      <c r="A23" s="59" t="s">
        <v>404</v>
      </c>
      <c r="B23" s="59" t="s">
        <v>206</v>
      </c>
      <c r="C23" s="59" t="s">
        <v>1422</v>
      </c>
      <c r="D23" s="59">
        <v>189</v>
      </c>
      <c r="E23" s="58">
        <v>91</v>
      </c>
      <c r="F23" s="384">
        <v>0.34</v>
      </c>
      <c r="G23" s="384">
        <v>0.35</v>
      </c>
      <c r="H23" s="384">
        <v>0.31</v>
      </c>
      <c r="I23" s="384">
        <v>0.2</v>
      </c>
      <c r="J23" s="59">
        <v>0.52</v>
      </c>
      <c r="K23" s="59">
        <v>78.900000000000006</v>
      </c>
      <c r="L23" s="59">
        <v>21.8</v>
      </c>
      <c r="M23" s="59" t="s">
        <v>50</v>
      </c>
      <c r="N23" s="384" t="s">
        <v>1504</v>
      </c>
      <c r="O23" s="63">
        <v>57.1</v>
      </c>
      <c r="P23" s="384" t="s">
        <v>1429</v>
      </c>
      <c r="Q23" s="58">
        <v>190</v>
      </c>
      <c r="R23" s="59">
        <v>81</v>
      </c>
      <c r="S23" s="384">
        <v>0.36</v>
      </c>
      <c r="T23" s="395">
        <v>0.06</v>
      </c>
      <c r="U23" s="386">
        <v>0.57999999999999996</v>
      </c>
      <c r="V23" s="386">
        <v>0.19</v>
      </c>
      <c r="W23" s="393">
        <v>0.26</v>
      </c>
      <c r="X23" s="4"/>
      <c r="Y23" s="4"/>
      <c r="Z23" s="4"/>
      <c r="AA23" s="385"/>
      <c r="AB23" s="4"/>
      <c r="AC23" s="4"/>
      <c r="AD23" s="386"/>
      <c r="AE23" s="386"/>
      <c r="AF23" s="386"/>
      <c r="AG23" s="386"/>
      <c r="AH23" s="4"/>
      <c r="AI23" s="4"/>
      <c r="AJ23" s="4"/>
      <c r="AK23" s="4"/>
      <c r="AL23" s="4"/>
      <c r="AM23" s="4"/>
      <c r="AN23" s="4"/>
      <c r="AO23" s="4"/>
      <c r="AP23" s="387"/>
      <c r="AQ23" s="4"/>
      <c r="AR23" s="4"/>
      <c r="AS23" s="386"/>
      <c r="AT23" s="386"/>
      <c r="AU23" s="386"/>
      <c r="AV23" s="386"/>
      <c r="AW23" s="4"/>
      <c r="AX23" s="4"/>
    </row>
    <row r="24" spans="1:50" x14ac:dyDescent="0.3">
      <c r="A24" s="59" t="s">
        <v>18</v>
      </c>
      <c r="B24" s="59" t="s">
        <v>226</v>
      </c>
      <c r="C24" s="59" t="s">
        <v>1424</v>
      </c>
      <c r="D24" s="59">
        <v>175</v>
      </c>
      <c r="E24" s="58">
        <v>80</v>
      </c>
      <c r="F24" s="384">
        <v>0.28000000000000003</v>
      </c>
      <c r="G24" s="384">
        <v>0.28000000000000003</v>
      </c>
      <c r="H24" s="384">
        <v>0.45</v>
      </c>
      <c r="I24" s="384">
        <v>0.19</v>
      </c>
      <c r="J24" s="59">
        <v>0.28999999999999998</v>
      </c>
      <c r="K24" s="59">
        <v>78.599999999999994</v>
      </c>
      <c r="L24" s="59">
        <v>21.4</v>
      </c>
      <c r="M24" s="59" t="s">
        <v>37</v>
      </c>
      <c r="N24" s="384" t="s">
        <v>2441</v>
      </c>
      <c r="O24" s="63">
        <v>57.2</v>
      </c>
      <c r="P24" s="384" t="s">
        <v>1430</v>
      </c>
      <c r="Q24" s="58">
        <v>199</v>
      </c>
      <c r="R24" s="59">
        <v>81</v>
      </c>
      <c r="S24" s="384">
        <v>0.21</v>
      </c>
      <c r="T24" s="395">
        <v>0.05</v>
      </c>
      <c r="U24" s="386">
        <v>0.74</v>
      </c>
      <c r="V24" s="386">
        <v>0.11</v>
      </c>
      <c r="W24" s="393">
        <v>0.2</v>
      </c>
      <c r="X24" s="4"/>
      <c r="Y24" s="4"/>
      <c r="Z24" s="4"/>
      <c r="AA24" s="385"/>
      <c r="AB24" s="4"/>
      <c r="AC24" s="4"/>
      <c r="AD24" s="386"/>
      <c r="AE24" s="386"/>
      <c r="AF24" s="386"/>
      <c r="AG24" s="386"/>
      <c r="AH24" s="4"/>
      <c r="AI24" s="4"/>
      <c r="AJ24" s="4"/>
      <c r="AK24" s="4"/>
      <c r="AL24" s="4"/>
      <c r="AM24" s="4"/>
      <c r="AN24" s="4"/>
      <c r="AO24" s="4"/>
      <c r="AP24" s="385"/>
      <c r="AQ24" s="4"/>
      <c r="AR24" s="4"/>
      <c r="AS24" s="386"/>
      <c r="AT24" s="386"/>
      <c r="AU24" s="386"/>
      <c r="AV24" s="386"/>
      <c r="AW24" s="4"/>
      <c r="AX24" s="4"/>
    </row>
    <row r="25" spans="1:50" x14ac:dyDescent="0.3">
      <c r="A25" s="59" t="s">
        <v>395</v>
      </c>
      <c r="B25" s="59" t="s">
        <v>216</v>
      </c>
      <c r="C25" s="59" t="s">
        <v>1423</v>
      </c>
      <c r="D25" s="59">
        <v>192</v>
      </c>
      <c r="E25" s="58">
        <v>92</v>
      </c>
      <c r="F25" s="384">
        <v>0.03</v>
      </c>
      <c r="G25" s="384">
        <v>0.66</v>
      </c>
      <c r="H25" s="384">
        <v>0.12</v>
      </c>
      <c r="I25" s="384">
        <v>0.2</v>
      </c>
      <c r="J25" s="59">
        <v>0.25</v>
      </c>
      <c r="K25" s="59">
        <v>73.900000000000006</v>
      </c>
      <c r="L25" s="59">
        <v>21.3</v>
      </c>
      <c r="M25" s="59" t="s">
        <v>26</v>
      </c>
      <c r="N25" s="59" t="s">
        <v>1465</v>
      </c>
      <c r="O25" s="63">
        <v>52.6</v>
      </c>
      <c r="P25" s="59" t="s">
        <v>1423</v>
      </c>
      <c r="Q25" s="58">
        <v>197</v>
      </c>
      <c r="R25" s="59">
        <v>58</v>
      </c>
      <c r="S25" s="384">
        <v>0</v>
      </c>
      <c r="T25" s="395">
        <v>0.98</v>
      </c>
      <c r="U25" s="386">
        <v>0.02</v>
      </c>
      <c r="V25" s="386">
        <v>0.14000000000000001</v>
      </c>
      <c r="W25" s="393">
        <v>0.22</v>
      </c>
      <c r="X25" s="4"/>
      <c r="Y25" s="4"/>
      <c r="Z25" s="4"/>
      <c r="AA25" s="385"/>
      <c r="AB25" s="4"/>
      <c r="AC25" s="4"/>
      <c r="AD25" s="386"/>
      <c r="AE25" s="386"/>
      <c r="AF25" s="386"/>
      <c r="AG25" s="386"/>
      <c r="AH25" s="4"/>
      <c r="AI25" s="4"/>
      <c r="AJ25" s="4"/>
      <c r="AK25" s="4"/>
      <c r="AL25" s="4"/>
      <c r="AM25" s="4"/>
      <c r="AN25" s="4"/>
      <c r="AO25" s="4"/>
      <c r="AP25" s="385"/>
      <c r="AQ25" s="4"/>
      <c r="AR25" s="4"/>
      <c r="AS25" s="386"/>
      <c r="AT25" s="386"/>
      <c r="AU25" s="386"/>
      <c r="AV25" s="386"/>
      <c r="AW25" s="4"/>
      <c r="AX25" s="4"/>
    </row>
    <row r="26" spans="1:50" x14ac:dyDescent="0.3">
      <c r="A26" s="59" t="s">
        <v>50</v>
      </c>
      <c r="B26" s="59" t="s">
        <v>277</v>
      </c>
      <c r="C26" s="59" t="s">
        <v>1423</v>
      </c>
      <c r="D26" s="59">
        <v>210</v>
      </c>
      <c r="E26" s="58">
        <v>70</v>
      </c>
      <c r="F26" s="384">
        <v>0.14000000000000001</v>
      </c>
      <c r="G26" s="384">
        <v>0.6</v>
      </c>
      <c r="H26" s="384">
        <v>0.26</v>
      </c>
      <c r="I26" s="384">
        <v>0.23</v>
      </c>
      <c r="J26" s="59">
        <v>0.38</v>
      </c>
      <c r="K26" s="59">
        <v>62.3</v>
      </c>
      <c r="L26" s="59">
        <v>21.2</v>
      </c>
      <c r="M26" s="59" t="s">
        <v>404</v>
      </c>
      <c r="N26" s="384" t="s">
        <v>1490</v>
      </c>
      <c r="O26" s="63">
        <v>41.1</v>
      </c>
      <c r="P26" s="384" t="s">
        <v>1423</v>
      </c>
      <c r="Q26" s="58">
        <v>190</v>
      </c>
      <c r="R26" s="59">
        <v>48</v>
      </c>
      <c r="S26" s="384">
        <v>0.02</v>
      </c>
      <c r="T26" s="395">
        <v>0.94</v>
      </c>
      <c r="U26" s="386">
        <v>0.04</v>
      </c>
      <c r="V26" s="386">
        <v>0.15</v>
      </c>
      <c r="W26" s="393">
        <v>0.3</v>
      </c>
      <c r="X26" s="4"/>
      <c r="Y26" s="4"/>
      <c r="Z26" s="4"/>
      <c r="AA26" s="385"/>
      <c r="AB26" s="4"/>
      <c r="AC26" s="4"/>
      <c r="AD26" s="386"/>
      <c r="AE26" s="386"/>
      <c r="AF26" s="386"/>
      <c r="AG26" s="386"/>
      <c r="AH26" s="4"/>
      <c r="AI26" s="4"/>
      <c r="AJ26" s="4"/>
      <c r="AK26" s="4"/>
      <c r="AL26" s="4"/>
      <c r="AM26" s="4"/>
      <c r="AN26" s="4"/>
      <c r="AO26" s="4"/>
      <c r="AP26" s="385"/>
      <c r="AQ26" s="4"/>
      <c r="AR26" s="4"/>
      <c r="AS26" s="386"/>
      <c r="AT26" s="386"/>
      <c r="AU26" s="386"/>
      <c r="AV26" s="386"/>
      <c r="AW26" s="4"/>
      <c r="AX26" s="4"/>
    </row>
    <row r="27" spans="1:50" x14ac:dyDescent="0.3">
      <c r="A27" s="59" t="s">
        <v>41</v>
      </c>
      <c r="B27" s="59" t="s">
        <v>218</v>
      </c>
      <c r="C27" s="59" t="s">
        <v>1424</v>
      </c>
      <c r="D27" s="59">
        <v>191</v>
      </c>
      <c r="E27" s="58">
        <v>71</v>
      </c>
      <c r="F27" s="384">
        <v>0.15</v>
      </c>
      <c r="G27" s="384">
        <v>0.41</v>
      </c>
      <c r="H27" s="384">
        <v>0.44</v>
      </c>
      <c r="I27" s="384">
        <v>0.27</v>
      </c>
      <c r="J27" s="59">
        <v>0.71</v>
      </c>
      <c r="K27" s="59">
        <v>91.2</v>
      </c>
      <c r="L27" s="59">
        <v>20.9</v>
      </c>
      <c r="M27" s="59" t="s">
        <v>22</v>
      </c>
      <c r="N27" s="384" t="s">
        <v>1455</v>
      </c>
      <c r="O27" s="63">
        <v>70.3</v>
      </c>
      <c r="P27" s="384" t="s">
        <v>1430</v>
      </c>
      <c r="Q27" s="58">
        <v>210</v>
      </c>
      <c r="R27" s="59">
        <v>70</v>
      </c>
      <c r="S27" s="384">
        <v>0.16</v>
      </c>
      <c r="T27" s="395">
        <v>0.01</v>
      </c>
      <c r="U27" s="386">
        <v>0.83</v>
      </c>
      <c r="V27" s="386">
        <v>0.26</v>
      </c>
      <c r="W27" s="393">
        <v>0.28999999999999998</v>
      </c>
      <c r="X27" s="4"/>
      <c r="Y27" s="4"/>
      <c r="Z27" s="4"/>
      <c r="AA27" s="385"/>
      <c r="AB27" s="4"/>
      <c r="AC27" s="4"/>
      <c r="AD27" s="386"/>
      <c r="AE27" s="386"/>
      <c r="AF27" s="386"/>
      <c r="AG27" s="386"/>
      <c r="AH27" s="4"/>
      <c r="AI27" s="4"/>
      <c r="AJ27" s="4"/>
      <c r="AK27" s="4"/>
      <c r="AL27" s="4"/>
      <c r="AM27" s="4"/>
      <c r="AN27" s="4"/>
      <c r="AO27" s="4"/>
      <c r="AP27" s="385"/>
      <c r="AQ27" s="4"/>
      <c r="AR27" s="4"/>
      <c r="AS27" s="386"/>
      <c r="AT27" s="386"/>
      <c r="AU27" s="386"/>
      <c r="AV27" s="386"/>
      <c r="AW27" s="4"/>
      <c r="AX27" s="4"/>
    </row>
    <row r="28" spans="1:50" x14ac:dyDescent="0.3">
      <c r="A28" s="59" t="s">
        <v>1236</v>
      </c>
      <c r="B28" s="59" t="s">
        <v>207</v>
      </c>
      <c r="C28" s="59" t="s">
        <v>1422</v>
      </c>
      <c r="D28" s="59">
        <v>179</v>
      </c>
      <c r="E28" s="58">
        <v>47</v>
      </c>
      <c r="F28" s="384">
        <v>0.45</v>
      </c>
      <c r="G28" s="384">
        <v>0.36</v>
      </c>
      <c r="H28" s="384">
        <v>0.19</v>
      </c>
      <c r="I28" s="384">
        <v>0.15</v>
      </c>
      <c r="J28" s="59">
        <v>0.09</v>
      </c>
      <c r="K28" s="59">
        <v>57.7</v>
      </c>
      <c r="L28" s="59">
        <v>18.7</v>
      </c>
      <c r="M28" s="59" t="s">
        <v>10</v>
      </c>
      <c r="N28" s="384" t="s">
        <v>1438</v>
      </c>
      <c r="O28" s="63">
        <v>39</v>
      </c>
      <c r="P28" s="384" t="s">
        <v>1429</v>
      </c>
      <c r="Q28" s="58">
        <v>190</v>
      </c>
      <c r="R28" s="59">
        <v>75</v>
      </c>
      <c r="S28" s="384">
        <v>0.99</v>
      </c>
      <c r="T28" s="395">
        <v>0.01</v>
      </c>
      <c r="U28" s="386">
        <v>0</v>
      </c>
      <c r="V28" s="386">
        <v>0.16</v>
      </c>
      <c r="W28" s="393">
        <v>0.35</v>
      </c>
      <c r="X28" s="4"/>
      <c r="Y28" s="4"/>
      <c r="Z28" s="4"/>
      <c r="AA28" s="385"/>
      <c r="AB28" s="4"/>
      <c r="AC28" s="4"/>
      <c r="AD28" s="386"/>
      <c r="AE28" s="386"/>
      <c r="AF28" s="386"/>
      <c r="AG28" s="386"/>
      <c r="AH28" s="4"/>
      <c r="AI28" s="4"/>
      <c r="AJ28" s="4"/>
      <c r="AK28" s="4"/>
      <c r="AL28" s="4"/>
      <c r="AM28" s="4"/>
      <c r="AN28" s="4"/>
      <c r="AO28" s="4"/>
      <c r="AP28" s="385"/>
      <c r="AQ28" s="4"/>
      <c r="AR28" s="4"/>
      <c r="AS28" s="4"/>
      <c r="AT28" s="4"/>
      <c r="AU28" s="4"/>
      <c r="AV28" s="4"/>
      <c r="AW28" s="4"/>
      <c r="AX28" s="4"/>
    </row>
    <row r="29" spans="1:50" x14ac:dyDescent="0.3">
      <c r="A29" s="59" t="s">
        <v>1239</v>
      </c>
      <c r="B29" s="59" t="s">
        <v>524</v>
      </c>
      <c r="C29" s="59" t="s">
        <v>1422</v>
      </c>
      <c r="D29" s="59">
        <v>198</v>
      </c>
      <c r="E29" s="58">
        <v>5</v>
      </c>
      <c r="F29" s="384">
        <v>0.4</v>
      </c>
      <c r="G29" s="384">
        <v>0.2</v>
      </c>
      <c r="H29" s="384">
        <v>0.4</v>
      </c>
      <c r="I29" s="384">
        <v>0.4</v>
      </c>
      <c r="J29" s="59">
        <v>0.7</v>
      </c>
      <c r="K29" s="59">
        <v>67.599999999999994</v>
      </c>
      <c r="L29" s="59">
        <v>18.3</v>
      </c>
      <c r="M29" s="59" t="s">
        <v>57</v>
      </c>
      <c r="N29" s="384" t="s">
        <v>1502</v>
      </c>
      <c r="O29" s="63">
        <v>49.3</v>
      </c>
      <c r="P29" s="384" t="s">
        <v>1429</v>
      </c>
      <c r="Q29" s="58">
        <v>203</v>
      </c>
      <c r="R29" s="59">
        <v>90</v>
      </c>
      <c r="S29" s="384">
        <v>0.92</v>
      </c>
      <c r="T29" s="395">
        <v>0.08</v>
      </c>
      <c r="U29" s="386">
        <v>0</v>
      </c>
      <c r="V29" s="386">
        <v>0.19</v>
      </c>
      <c r="W29" s="393">
        <v>0.24</v>
      </c>
      <c r="X29" s="4"/>
      <c r="Y29" s="4"/>
      <c r="Z29" s="4"/>
      <c r="AA29" s="385"/>
      <c r="AB29" s="4"/>
      <c r="AC29" s="4"/>
      <c r="AD29" s="386"/>
      <c r="AE29" s="386"/>
      <c r="AF29" s="386"/>
      <c r="AG29" s="386"/>
      <c r="AH29" s="4"/>
      <c r="AI29" s="4"/>
      <c r="AJ29" s="4"/>
      <c r="AK29" s="4"/>
      <c r="AL29" s="4"/>
      <c r="AM29" s="4"/>
      <c r="AN29" s="4"/>
      <c r="AO29" s="4"/>
      <c r="AP29" s="387"/>
      <c r="AQ29" s="4"/>
      <c r="AR29" s="4"/>
      <c r="AS29" s="386"/>
      <c r="AT29" s="386"/>
      <c r="AU29" s="386"/>
      <c r="AV29" s="386"/>
      <c r="AW29" s="4"/>
      <c r="AX29" s="4"/>
    </row>
    <row r="30" spans="1:50" x14ac:dyDescent="0.3">
      <c r="A30" s="59" t="s">
        <v>1239</v>
      </c>
      <c r="B30" s="59" t="s">
        <v>479</v>
      </c>
      <c r="C30" s="59" t="s">
        <v>1424</v>
      </c>
      <c r="D30" s="59">
        <v>223</v>
      </c>
      <c r="E30" s="58">
        <v>70</v>
      </c>
      <c r="F30" s="384">
        <v>0.39</v>
      </c>
      <c r="G30" s="384">
        <v>0.16</v>
      </c>
      <c r="H30" s="384">
        <v>0.46</v>
      </c>
      <c r="I30" s="384">
        <v>0.21</v>
      </c>
      <c r="J30" s="59">
        <v>0.27</v>
      </c>
      <c r="K30" s="59">
        <v>74.900000000000006</v>
      </c>
      <c r="L30" s="59">
        <v>18.3</v>
      </c>
      <c r="M30" s="59" t="s">
        <v>57</v>
      </c>
      <c r="N30" s="59" t="s">
        <v>1786</v>
      </c>
      <c r="O30" s="63">
        <v>56.6</v>
      </c>
      <c r="P30" s="59" t="s">
        <v>1430</v>
      </c>
      <c r="Q30" s="58">
        <v>198</v>
      </c>
      <c r="R30" s="59">
        <v>83</v>
      </c>
      <c r="S30" s="384">
        <v>0</v>
      </c>
      <c r="T30" s="395">
        <v>0.05</v>
      </c>
      <c r="U30" s="386">
        <v>0.95</v>
      </c>
      <c r="V30" s="386">
        <v>0.18</v>
      </c>
      <c r="W30" s="393">
        <v>0.25</v>
      </c>
      <c r="X30" s="4"/>
      <c r="Y30" s="4"/>
      <c r="Z30" s="4"/>
      <c r="AA30" s="385"/>
      <c r="AB30" s="4"/>
      <c r="AC30" s="4"/>
      <c r="AD30" s="386"/>
      <c r="AE30" s="386"/>
      <c r="AF30" s="386"/>
      <c r="AG30" s="386"/>
      <c r="AH30" s="4"/>
      <c r="AI30" s="4"/>
      <c r="AJ30" s="4"/>
      <c r="AK30" s="4"/>
      <c r="AL30" s="4"/>
      <c r="AM30" s="4"/>
      <c r="AN30" s="4"/>
      <c r="AO30" s="4"/>
      <c r="AP30" s="385"/>
      <c r="AQ30" s="4"/>
      <c r="AR30" s="4"/>
      <c r="AS30" s="386"/>
      <c r="AT30" s="386"/>
      <c r="AU30" s="386"/>
      <c r="AV30" s="386"/>
      <c r="AW30" s="4"/>
      <c r="AX30" s="4"/>
    </row>
    <row r="31" spans="1:50" x14ac:dyDescent="0.3">
      <c r="A31" s="59" t="s">
        <v>4</v>
      </c>
      <c r="B31" s="59" t="s">
        <v>210</v>
      </c>
      <c r="C31" s="59" t="s">
        <v>1422</v>
      </c>
      <c r="D31" s="59">
        <v>210</v>
      </c>
      <c r="E31" s="58">
        <v>95</v>
      </c>
      <c r="F31" s="384">
        <v>0.53</v>
      </c>
      <c r="G31" s="384">
        <v>0.24</v>
      </c>
      <c r="H31" s="384">
        <v>0.23</v>
      </c>
      <c r="I31" s="384">
        <v>0.25</v>
      </c>
      <c r="J31" s="59">
        <v>0.37</v>
      </c>
      <c r="K31" s="59">
        <v>71.5</v>
      </c>
      <c r="L31" s="59">
        <v>17</v>
      </c>
      <c r="M31" s="59" t="s">
        <v>30</v>
      </c>
      <c r="N31" s="384" t="s">
        <v>1476</v>
      </c>
      <c r="O31" s="63">
        <v>54.5</v>
      </c>
      <c r="P31" s="384" t="s">
        <v>1429</v>
      </c>
      <c r="Q31" s="58">
        <v>193</v>
      </c>
      <c r="R31" s="59">
        <v>86</v>
      </c>
      <c r="S31" s="384">
        <v>0.97</v>
      </c>
      <c r="T31" s="395">
        <v>0.03</v>
      </c>
      <c r="U31" s="386">
        <v>0</v>
      </c>
      <c r="V31" s="386">
        <v>0.22</v>
      </c>
      <c r="W31" s="393">
        <v>0.2</v>
      </c>
      <c r="X31" s="4"/>
      <c r="Y31" s="4"/>
      <c r="Z31" s="4"/>
      <c r="AA31" s="385"/>
      <c r="AB31" s="4"/>
      <c r="AC31" s="4"/>
      <c r="AD31" s="386"/>
      <c r="AE31" s="386"/>
      <c r="AF31" s="386"/>
      <c r="AG31" s="386"/>
      <c r="AH31" s="4"/>
      <c r="AI31" s="4"/>
      <c r="AJ31" s="4"/>
      <c r="AK31" s="4"/>
      <c r="AL31" s="4"/>
      <c r="AM31" s="4"/>
      <c r="AN31" s="4"/>
      <c r="AO31" s="4"/>
      <c r="AP31" s="385"/>
      <c r="AQ31" s="4"/>
      <c r="AR31" s="4"/>
      <c r="AS31" s="4"/>
      <c r="AT31" s="4"/>
      <c r="AU31" s="4"/>
      <c r="AV31" s="4"/>
      <c r="AW31" s="4"/>
      <c r="AX31" s="4"/>
    </row>
    <row r="32" spans="1:50" x14ac:dyDescent="0.3">
      <c r="A32" s="59" t="s">
        <v>50</v>
      </c>
      <c r="B32" s="59" t="s">
        <v>284</v>
      </c>
      <c r="C32" s="59" t="s">
        <v>1424</v>
      </c>
      <c r="D32" s="59">
        <v>192</v>
      </c>
      <c r="E32" s="58">
        <v>40</v>
      </c>
      <c r="F32" s="384">
        <v>0.25</v>
      </c>
      <c r="G32" s="384">
        <v>0.2</v>
      </c>
      <c r="H32" s="384">
        <v>0.55000000000000004</v>
      </c>
      <c r="I32" s="384">
        <v>0.1</v>
      </c>
      <c r="J32" s="59">
        <v>0.22</v>
      </c>
      <c r="K32" s="59">
        <v>52.8</v>
      </c>
      <c r="L32" s="59">
        <v>15.9</v>
      </c>
      <c r="M32" s="59" t="s">
        <v>404</v>
      </c>
      <c r="N32" s="384" t="s">
        <v>1787</v>
      </c>
      <c r="O32" s="63">
        <v>36.9</v>
      </c>
      <c r="P32" s="384" t="s">
        <v>1430</v>
      </c>
      <c r="Q32" s="58">
        <v>180</v>
      </c>
      <c r="R32" s="59">
        <v>73</v>
      </c>
      <c r="S32" s="384">
        <v>0.28999999999999998</v>
      </c>
      <c r="T32" s="395">
        <v>7.0000000000000007E-2</v>
      </c>
      <c r="U32" s="386">
        <v>0.64</v>
      </c>
      <c r="V32" s="386">
        <v>0.23</v>
      </c>
      <c r="W32" s="393">
        <v>0.5</v>
      </c>
      <c r="X32" s="4"/>
      <c r="Y32" s="4"/>
      <c r="Z32" s="4"/>
      <c r="AA32" s="385"/>
      <c r="AB32" s="4"/>
      <c r="AC32" s="4"/>
      <c r="AD32" s="386"/>
      <c r="AE32" s="386"/>
      <c r="AF32" s="386"/>
      <c r="AG32" s="386"/>
      <c r="AH32" s="4"/>
      <c r="AI32" s="4"/>
      <c r="AJ32" s="4"/>
      <c r="AK32" s="4"/>
      <c r="AL32" s="4"/>
      <c r="AM32" s="4"/>
      <c r="AN32" s="4"/>
      <c r="AO32" s="4"/>
      <c r="AP32" s="385"/>
      <c r="AQ32" s="4"/>
      <c r="AR32" s="4"/>
      <c r="AS32" s="386"/>
      <c r="AT32" s="386"/>
      <c r="AU32" s="386"/>
      <c r="AV32" s="386"/>
      <c r="AW32" s="4"/>
      <c r="AX32" s="4"/>
    </row>
    <row r="33" spans="1:50" x14ac:dyDescent="0.3">
      <c r="A33" s="59" t="s">
        <v>34</v>
      </c>
      <c r="B33" s="59" t="s">
        <v>269</v>
      </c>
      <c r="C33" s="59" t="s">
        <v>1423</v>
      </c>
      <c r="D33" s="59">
        <v>225</v>
      </c>
      <c r="E33" s="58">
        <v>73</v>
      </c>
      <c r="F33" s="384">
        <v>0.19</v>
      </c>
      <c r="G33" s="384">
        <v>0.6</v>
      </c>
      <c r="H33" s="384">
        <v>0.11</v>
      </c>
      <c r="I33" s="384">
        <v>0.19</v>
      </c>
      <c r="J33" s="59">
        <v>0.46</v>
      </c>
      <c r="K33" s="59">
        <v>82.3</v>
      </c>
      <c r="L33" s="59">
        <v>13.7</v>
      </c>
      <c r="M33" s="59" t="s">
        <v>397</v>
      </c>
      <c r="N33" s="384" t="s">
        <v>1498</v>
      </c>
      <c r="O33" s="63">
        <v>68.599999999999994</v>
      </c>
      <c r="P33" s="384" t="s">
        <v>1423</v>
      </c>
      <c r="Q33" s="58">
        <v>194</v>
      </c>
      <c r="R33" s="59">
        <v>73</v>
      </c>
      <c r="S33" s="384">
        <v>0.12</v>
      </c>
      <c r="T33" s="395">
        <v>0.85</v>
      </c>
      <c r="U33" s="386">
        <v>0.03</v>
      </c>
      <c r="V33" s="386">
        <v>0.12</v>
      </c>
      <c r="W33" s="393">
        <v>0.21</v>
      </c>
      <c r="X33" s="4"/>
      <c r="Y33" s="4"/>
      <c r="Z33" s="4"/>
      <c r="AA33" s="385"/>
      <c r="AB33" s="4"/>
      <c r="AC33" s="4"/>
      <c r="AD33" s="386"/>
      <c r="AE33" s="386"/>
      <c r="AF33" s="386"/>
      <c r="AG33" s="386"/>
      <c r="AH33" s="4"/>
      <c r="AI33" s="4"/>
      <c r="AJ33" s="4"/>
      <c r="AK33" s="4"/>
      <c r="AL33" s="4"/>
      <c r="AM33" s="4"/>
      <c r="AN33" s="4"/>
      <c r="AO33" s="4"/>
      <c r="AP33" s="385"/>
      <c r="AQ33" s="4"/>
      <c r="AR33" s="4"/>
      <c r="AS33" s="386"/>
      <c r="AT33" s="386"/>
      <c r="AU33" s="386"/>
      <c r="AV33" s="386"/>
      <c r="AW33" s="4"/>
      <c r="AX33" s="4"/>
    </row>
    <row r="34" spans="1:50" x14ac:dyDescent="0.3">
      <c r="A34" s="59" t="s">
        <v>1236</v>
      </c>
      <c r="B34" s="59" t="s">
        <v>193</v>
      </c>
      <c r="C34" s="59" t="s">
        <v>1423</v>
      </c>
      <c r="D34" s="59">
        <v>218</v>
      </c>
      <c r="E34" s="58">
        <v>82</v>
      </c>
      <c r="F34" s="384">
        <v>0.06</v>
      </c>
      <c r="G34" s="384">
        <v>0.68</v>
      </c>
      <c r="H34" s="384">
        <v>0.26</v>
      </c>
      <c r="I34" s="384">
        <v>0.23</v>
      </c>
      <c r="J34" s="59">
        <v>0.57999999999999996</v>
      </c>
      <c r="K34" s="59">
        <v>89.6</v>
      </c>
      <c r="L34" s="59">
        <v>13.2</v>
      </c>
      <c r="M34" s="59" t="s">
        <v>10</v>
      </c>
      <c r="N34" s="384" t="s">
        <v>1437</v>
      </c>
      <c r="O34" s="63">
        <v>76.400000000000006</v>
      </c>
      <c r="P34" s="384" t="s">
        <v>1423</v>
      </c>
      <c r="Q34" s="58">
        <v>165</v>
      </c>
      <c r="R34" s="59">
        <v>40</v>
      </c>
      <c r="S34" s="384">
        <v>0.03</v>
      </c>
      <c r="T34" s="395">
        <v>0.95</v>
      </c>
      <c r="U34" s="386">
        <v>0.03</v>
      </c>
      <c r="V34" s="386">
        <v>0.13</v>
      </c>
      <c r="W34" s="393">
        <v>0.23</v>
      </c>
      <c r="X34" s="4"/>
      <c r="Y34" s="4"/>
      <c r="Z34" s="4"/>
      <c r="AA34" s="385"/>
      <c r="AB34" s="4"/>
      <c r="AC34" s="4"/>
      <c r="AD34" s="386"/>
      <c r="AE34" s="386"/>
      <c r="AF34" s="386"/>
      <c r="AG34" s="386"/>
      <c r="AH34" s="4"/>
      <c r="AI34" s="4"/>
      <c r="AJ34" s="4"/>
      <c r="AK34" s="4"/>
      <c r="AL34" s="4"/>
      <c r="AM34" s="4"/>
      <c r="AN34" s="4"/>
      <c r="AO34" s="4"/>
      <c r="AP34" s="385"/>
      <c r="AQ34" s="4"/>
      <c r="AR34" s="4"/>
      <c r="AS34" s="386"/>
      <c r="AT34" s="386"/>
      <c r="AU34" s="386"/>
      <c r="AV34" s="386"/>
      <c r="AW34" s="4"/>
      <c r="AX34" s="4"/>
    </row>
    <row r="35" spans="1:50" x14ac:dyDescent="0.3">
      <c r="A35" s="59" t="s">
        <v>1237</v>
      </c>
      <c r="B35" s="59" t="s">
        <v>1435</v>
      </c>
      <c r="C35" s="59" t="s">
        <v>1424</v>
      </c>
      <c r="D35" s="59">
        <v>185</v>
      </c>
      <c r="E35" s="58">
        <v>64</v>
      </c>
      <c r="F35" s="384">
        <v>0.25</v>
      </c>
      <c r="G35" s="384">
        <v>0.36</v>
      </c>
      <c r="H35" s="384">
        <v>0.39</v>
      </c>
      <c r="I35" s="384">
        <v>0.22</v>
      </c>
      <c r="J35" s="59">
        <v>0.25</v>
      </c>
      <c r="K35" s="59">
        <v>54.9</v>
      </c>
      <c r="L35" s="59">
        <v>13.1</v>
      </c>
      <c r="M35" s="59" t="s">
        <v>12</v>
      </c>
      <c r="N35" s="384" t="s">
        <v>1458</v>
      </c>
      <c r="O35" s="63">
        <v>41.8</v>
      </c>
      <c r="P35" s="384" t="s">
        <v>1430</v>
      </c>
      <c r="Q35" s="58">
        <v>196</v>
      </c>
      <c r="R35" s="59">
        <v>65</v>
      </c>
      <c r="S35" s="384">
        <v>0.02</v>
      </c>
      <c r="T35" s="395">
        <v>0.08</v>
      </c>
      <c r="U35" s="386">
        <v>0.91</v>
      </c>
      <c r="V35" s="386">
        <v>0.17</v>
      </c>
      <c r="W35" s="393">
        <v>0.56999999999999995</v>
      </c>
      <c r="X35" s="4"/>
      <c r="Y35" s="4"/>
      <c r="Z35" s="4"/>
      <c r="AA35" s="385"/>
      <c r="AB35" s="4"/>
      <c r="AC35" s="4"/>
      <c r="AD35" s="386"/>
      <c r="AE35" s="386"/>
      <c r="AF35" s="386"/>
      <c r="AG35" s="386"/>
      <c r="AH35" s="4"/>
      <c r="AI35" s="4"/>
      <c r="AJ35" s="4"/>
      <c r="AK35" s="4"/>
      <c r="AL35" s="4"/>
      <c r="AM35" s="4"/>
      <c r="AN35" s="4"/>
      <c r="AO35" s="4"/>
      <c r="AP35" s="387"/>
      <c r="AQ35" s="4"/>
      <c r="AR35" s="4"/>
      <c r="AS35" s="386"/>
      <c r="AT35" s="386"/>
      <c r="AU35" s="386"/>
      <c r="AV35" s="386"/>
      <c r="AW35" s="4"/>
      <c r="AX35" s="4"/>
    </row>
    <row r="36" spans="1:50" x14ac:dyDescent="0.3">
      <c r="A36" s="59" t="s">
        <v>20</v>
      </c>
      <c r="B36" s="59" t="s">
        <v>1248</v>
      </c>
      <c r="C36" s="59" t="s">
        <v>1423</v>
      </c>
      <c r="D36" s="59">
        <v>187</v>
      </c>
      <c r="E36" s="58">
        <v>58</v>
      </c>
      <c r="F36" s="384">
        <v>0.03</v>
      </c>
      <c r="G36" s="384">
        <v>0.84</v>
      </c>
      <c r="H36" s="384">
        <v>0.1</v>
      </c>
      <c r="I36" s="384">
        <v>0.16</v>
      </c>
      <c r="J36" s="59">
        <v>0.34</v>
      </c>
      <c r="K36" s="59">
        <v>68.5</v>
      </c>
      <c r="L36" s="59">
        <v>12.9</v>
      </c>
      <c r="M36" s="59" t="s">
        <v>39</v>
      </c>
      <c r="N36" s="384" t="s">
        <v>1451</v>
      </c>
      <c r="O36" s="63">
        <v>55.6</v>
      </c>
      <c r="P36" s="384" t="s">
        <v>1423</v>
      </c>
      <c r="Q36" s="58">
        <v>190</v>
      </c>
      <c r="R36" s="59">
        <v>47</v>
      </c>
      <c r="S36" s="384">
        <v>0.02</v>
      </c>
      <c r="T36" s="395">
        <v>0.81</v>
      </c>
      <c r="U36" s="386">
        <v>0.17</v>
      </c>
      <c r="V36" s="386">
        <v>0.09</v>
      </c>
      <c r="W36" s="393">
        <v>0.09</v>
      </c>
      <c r="X36" s="4"/>
      <c r="Y36" s="4"/>
      <c r="Z36" s="4"/>
      <c r="AA36" s="385"/>
      <c r="AB36" s="4"/>
      <c r="AC36" s="4"/>
      <c r="AD36" s="386"/>
      <c r="AE36" s="386"/>
      <c r="AF36" s="386"/>
      <c r="AG36" s="386"/>
      <c r="AH36" s="4"/>
      <c r="AI36" s="4"/>
      <c r="AJ36" s="4"/>
      <c r="AK36" s="4"/>
      <c r="AL36" s="4"/>
      <c r="AM36" s="4"/>
      <c r="AN36" s="4"/>
      <c r="AO36" s="4"/>
      <c r="AP36" s="387"/>
      <c r="AQ36" s="4"/>
      <c r="AR36" s="4"/>
      <c r="AS36" s="386"/>
      <c r="AT36" s="386"/>
      <c r="AU36" s="386"/>
      <c r="AV36" s="386"/>
      <c r="AW36" s="4"/>
      <c r="AX36" s="4"/>
    </row>
    <row r="37" spans="1:50" x14ac:dyDescent="0.3">
      <c r="A37" s="77" t="s">
        <v>18</v>
      </c>
      <c r="B37" s="77" t="s">
        <v>238</v>
      </c>
      <c r="C37" s="77" t="s">
        <v>1423</v>
      </c>
      <c r="D37" s="77">
        <v>174</v>
      </c>
      <c r="E37" s="396">
        <v>79</v>
      </c>
      <c r="F37" s="397">
        <v>0.16</v>
      </c>
      <c r="G37" s="397">
        <v>0.78</v>
      </c>
      <c r="H37" s="397">
        <v>0.04</v>
      </c>
      <c r="I37" s="397">
        <v>0.23</v>
      </c>
      <c r="J37" s="77">
        <v>0.4</v>
      </c>
      <c r="K37" s="77">
        <v>59.8</v>
      </c>
      <c r="L37" s="59">
        <v>12.8</v>
      </c>
      <c r="M37" s="77" t="s">
        <v>37</v>
      </c>
      <c r="N37" s="77" t="s">
        <v>1454</v>
      </c>
      <c r="O37" s="74">
        <v>47</v>
      </c>
      <c r="P37" s="77" t="s">
        <v>1423</v>
      </c>
      <c r="Q37" s="396">
        <v>193</v>
      </c>
      <c r="R37" s="77">
        <v>73</v>
      </c>
      <c r="S37" s="397">
        <v>0.03</v>
      </c>
      <c r="T37" s="395">
        <v>0.85</v>
      </c>
      <c r="U37" s="395">
        <v>0.12</v>
      </c>
      <c r="V37" s="395">
        <v>0.21</v>
      </c>
      <c r="W37" s="135">
        <v>0.22</v>
      </c>
      <c r="X37" s="4"/>
      <c r="Y37" s="4"/>
      <c r="Z37" s="4"/>
      <c r="AA37" s="385"/>
      <c r="AB37" s="4"/>
      <c r="AC37" s="4"/>
      <c r="AD37" s="386"/>
      <c r="AE37" s="386"/>
      <c r="AF37" s="386"/>
      <c r="AG37" s="386"/>
      <c r="AH37" s="4"/>
      <c r="AI37" s="4"/>
      <c r="AJ37" s="4"/>
      <c r="AK37" s="4"/>
      <c r="AL37" s="4"/>
      <c r="AM37" s="4"/>
      <c r="AN37" s="4"/>
      <c r="AO37" s="4"/>
      <c r="AP37" s="385"/>
      <c r="AQ37" s="4"/>
      <c r="AR37" s="4"/>
      <c r="AS37" s="386"/>
      <c r="AT37" s="386"/>
      <c r="AU37" s="386"/>
      <c r="AV37" s="386"/>
      <c r="AW37" s="4"/>
      <c r="AX37" s="4"/>
    </row>
    <row r="38" spans="1:50" x14ac:dyDescent="0.3">
      <c r="A38" s="59" t="s">
        <v>1237</v>
      </c>
      <c r="B38" s="59" t="s">
        <v>275</v>
      </c>
      <c r="C38" s="59" t="s">
        <v>1423</v>
      </c>
      <c r="D38" s="59">
        <v>205</v>
      </c>
      <c r="E38" s="58">
        <v>66</v>
      </c>
      <c r="F38" s="384">
        <v>0.36</v>
      </c>
      <c r="G38" s="384">
        <v>0.32</v>
      </c>
      <c r="H38" s="384">
        <v>0.32</v>
      </c>
      <c r="I38" s="384">
        <v>0.18</v>
      </c>
      <c r="J38" s="59">
        <v>0.6</v>
      </c>
      <c r="K38" s="59">
        <v>80.099999999999994</v>
      </c>
      <c r="L38" s="59">
        <v>10.6</v>
      </c>
      <c r="M38" s="59" t="s">
        <v>12</v>
      </c>
      <c r="N38" s="384" t="s">
        <v>1459</v>
      </c>
      <c r="O38" s="63">
        <v>69.5</v>
      </c>
      <c r="P38" s="384" t="s">
        <v>1423</v>
      </c>
      <c r="Q38" s="58">
        <v>209</v>
      </c>
      <c r="R38" s="59">
        <v>63</v>
      </c>
      <c r="S38" s="384">
        <v>0.43</v>
      </c>
      <c r="T38" s="395">
        <v>0.52</v>
      </c>
      <c r="U38" s="386">
        <v>0.05</v>
      </c>
      <c r="V38" s="386">
        <v>0.16</v>
      </c>
      <c r="W38" s="393">
        <v>0.42</v>
      </c>
      <c r="X38" s="4"/>
      <c r="Y38" s="4"/>
      <c r="Z38" s="4"/>
      <c r="AA38" s="385"/>
      <c r="AB38" s="4"/>
      <c r="AC38" s="4"/>
      <c r="AD38" s="386"/>
      <c r="AE38" s="386"/>
      <c r="AF38" s="386"/>
      <c r="AG38" s="386"/>
      <c r="AH38" s="4"/>
      <c r="AI38" s="4"/>
      <c r="AJ38" s="4"/>
      <c r="AK38" s="4"/>
      <c r="AL38" s="4"/>
      <c r="AM38" s="4"/>
      <c r="AN38" s="4"/>
      <c r="AO38" s="4"/>
      <c r="AP38" s="385"/>
      <c r="AQ38" s="4"/>
      <c r="AR38" s="4"/>
      <c r="AS38" s="386"/>
      <c r="AT38" s="386"/>
      <c r="AU38" s="386"/>
      <c r="AV38" s="386"/>
      <c r="AW38" s="4"/>
      <c r="AX38" s="4"/>
    </row>
    <row r="39" spans="1:50" x14ac:dyDescent="0.3">
      <c r="A39" s="59" t="s">
        <v>37</v>
      </c>
      <c r="B39" s="59" t="s">
        <v>456</v>
      </c>
      <c r="C39" s="59" t="s">
        <v>1424</v>
      </c>
      <c r="D39" s="59">
        <v>204</v>
      </c>
      <c r="E39" s="58">
        <v>78</v>
      </c>
      <c r="F39" s="384">
        <v>0.42</v>
      </c>
      <c r="G39" s="384">
        <v>0.06</v>
      </c>
      <c r="H39" s="384">
        <v>0.5</v>
      </c>
      <c r="I39" s="384">
        <v>0.14000000000000001</v>
      </c>
      <c r="J39" s="59">
        <v>0.34</v>
      </c>
      <c r="K39" s="59">
        <v>51.9</v>
      </c>
      <c r="L39" s="59">
        <v>10.1</v>
      </c>
      <c r="M39" s="59" t="s">
        <v>18</v>
      </c>
      <c r="N39" s="384" t="s">
        <v>1494</v>
      </c>
      <c r="O39" s="63">
        <v>41.8</v>
      </c>
      <c r="P39" s="384" t="s">
        <v>1430</v>
      </c>
      <c r="Q39" s="58">
        <v>200</v>
      </c>
      <c r="R39" s="59">
        <v>74</v>
      </c>
      <c r="S39" s="384">
        <v>0.8</v>
      </c>
      <c r="T39" s="395">
        <v>0.08</v>
      </c>
      <c r="U39" s="386">
        <v>0.12</v>
      </c>
      <c r="V39" s="386">
        <v>0.2</v>
      </c>
      <c r="W39" s="393">
        <v>0.54</v>
      </c>
      <c r="X39" s="4"/>
      <c r="Y39" s="4"/>
      <c r="Z39" s="4"/>
      <c r="AA39" s="385"/>
      <c r="AB39" s="4"/>
      <c r="AC39" s="4"/>
      <c r="AD39" s="386"/>
      <c r="AE39" s="386"/>
      <c r="AF39" s="386"/>
      <c r="AG39" s="386"/>
      <c r="AH39" s="4"/>
      <c r="AI39" s="4"/>
      <c r="AJ39" s="4"/>
      <c r="AK39" s="4"/>
      <c r="AL39" s="4"/>
      <c r="AM39" s="4"/>
      <c r="AN39" s="4"/>
      <c r="AO39" s="4"/>
      <c r="AP39" s="385"/>
      <c r="AQ39" s="4"/>
      <c r="AR39" s="4"/>
      <c r="AS39" s="386"/>
      <c r="AT39" s="386"/>
      <c r="AU39" s="386"/>
      <c r="AV39" s="386"/>
      <c r="AW39" s="4"/>
      <c r="AX39" s="4"/>
    </row>
    <row r="40" spans="1:50" x14ac:dyDescent="0.3">
      <c r="A40" s="59" t="s">
        <v>70</v>
      </c>
      <c r="B40" s="59" t="s">
        <v>199</v>
      </c>
      <c r="C40" s="59" t="s">
        <v>1422</v>
      </c>
      <c r="D40" s="59">
        <v>229</v>
      </c>
      <c r="E40" s="58">
        <v>59</v>
      </c>
      <c r="F40" s="384">
        <v>0.51</v>
      </c>
      <c r="G40" s="384">
        <v>0.15</v>
      </c>
      <c r="H40" s="384">
        <v>0.32</v>
      </c>
      <c r="I40" s="384">
        <v>0.27</v>
      </c>
      <c r="J40" s="59">
        <v>0.41</v>
      </c>
      <c r="K40" s="59">
        <v>74.7</v>
      </c>
      <c r="L40" s="59">
        <v>9.6</v>
      </c>
      <c r="M40" s="59" t="s">
        <v>28</v>
      </c>
      <c r="N40" s="384" t="s">
        <v>1489</v>
      </c>
      <c r="O40" s="63">
        <v>65.099999999999994</v>
      </c>
      <c r="P40" s="384" t="s">
        <v>1429</v>
      </c>
      <c r="Q40" s="58">
        <v>180</v>
      </c>
      <c r="R40" s="59">
        <v>70</v>
      </c>
      <c r="S40" s="384">
        <v>0.93</v>
      </c>
      <c r="T40" s="395">
        <v>7.0000000000000007E-2</v>
      </c>
      <c r="U40" s="386">
        <v>0</v>
      </c>
      <c r="V40" s="386">
        <v>0.19</v>
      </c>
      <c r="W40" s="393">
        <v>0.16</v>
      </c>
      <c r="X40" s="4"/>
      <c r="Y40" s="4"/>
      <c r="Z40" s="4"/>
      <c r="AA40" s="385"/>
      <c r="AB40" s="4"/>
      <c r="AC40" s="4"/>
      <c r="AD40" s="386"/>
      <c r="AE40" s="386"/>
      <c r="AF40" s="386"/>
      <c r="AG40" s="386"/>
      <c r="AH40" s="4"/>
      <c r="AI40" s="4"/>
      <c r="AJ40" s="4"/>
      <c r="AK40" s="4"/>
      <c r="AL40" s="4"/>
      <c r="AM40" s="4"/>
      <c r="AN40" s="4"/>
      <c r="AO40" s="4"/>
      <c r="AP40" s="385"/>
      <c r="AQ40" s="4"/>
      <c r="AR40" s="4"/>
      <c r="AS40" s="4"/>
      <c r="AT40" s="4"/>
      <c r="AU40" s="4"/>
      <c r="AV40" s="4"/>
      <c r="AW40" s="4"/>
      <c r="AX40" s="4"/>
    </row>
    <row r="41" spans="1:50" x14ac:dyDescent="0.3">
      <c r="A41" s="59" t="s">
        <v>57</v>
      </c>
      <c r="B41" s="59" t="s">
        <v>258</v>
      </c>
      <c r="C41" s="59" t="s">
        <v>1422</v>
      </c>
      <c r="D41" s="59">
        <v>195</v>
      </c>
      <c r="E41" s="58">
        <v>88</v>
      </c>
      <c r="F41" s="384">
        <v>0.56000000000000005</v>
      </c>
      <c r="G41" s="384">
        <v>0.31</v>
      </c>
      <c r="H41" s="384">
        <v>0.14000000000000001</v>
      </c>
      <c r="I41" s="384">
        <v>0.11</v>
      </c>
      <c r="J41" s="59">
        <v>0.19</v>
      </c>
      <c r="K41" s="59">
        <v>50.7</v>
      </c>
      <c r="L41" s="59">
        <v>7.5</v>
      </c>
      <c r="M41" s="59" t="s">
        <v>1239</v>
      </c>
      <c r="N41" s="384" t="s">
        <v>1491</v>
      </c>
      <c r="O41" s="63">
        <v>43.2</v>
      </c>
      <c r="P41" s="384" t="s">
        <v>1429</v>
      </c>
      <c r="Q41" s="58">
        <v>192</v>
      </c>
      <c r="R41" s="59">
        <v>79</v>
      </c>
      <c r="S41" s="384">
        <v>0.95</v>
      </c>
      <c r="T41" s="395">
        <v>0.05</v>
      </c>
      <c r="U41" s="386">
        <v>0</v>
      </c>
      <c r="V41" s="386">
        <v>0.18</v>
      </c>
      <c r="W41" s="393">
        <v>0.36</v>
      </c>
      <c r="X41" s="4"/>
      <c r="Y41" s="4"/>
      <c r="Z41" s="4"/>
      <c r="AA41" s="385"/>
      <c r="AB41" s="4"/>
      <c r="AC41" s="4"/>
      <c r="AD41" s="386"/>
      <c r="AE41" s="386"/>
      <c r="AF41" s="386"/>
      <c r="AG41" s="386"/>
      <c r="AH41" s="4"/>
      <c r="AI41" s="4"/>
      <c r="AJ41" s="4"/>
      <c r="AK41" s="4"/>
      <c r="AL41" s="4"/>
      <c r="AM41" s="4"/>
      <c r="AN41" s="4"/>
      <c r="AO41" s="4"/>
      <c r="AP41" s="387"/>
      <c r="AQ41" s="4"/>
      <c r="AR41" s="4"/>
      <c r="AS41" s="386"/>
      <c r="AT41" s="386"/>
      <c r="AU41" s="386"/>
      <c r="AV41" s="386"/>
      <c r="AW41" s="4"/>
      <c r="AX41" s="4"/>
    </row>
    <row r="42" spans="1:50" x14ac:dyDescent="0.3">
      <c r="A42" s="59" t="s">
        <v>46</v>
      </c>
      <c r="B42" s="59" t="s">
        <v>256</v>
      </c>
      <c r="C42" s="59" t="s">
        <v>1423</v>
      </c>
      <c r="D42" s="59">
        <v>190</v>
      </c>
      <c r="E42" s="58">
        <v>58</v>
      </c>
      <c r="F42" s="384">
        <v>0.16</v>
      </c>
      <c r="G42" s="384">
        <v>0.67</v>
      </c>
      <c r="H42" s="384">
        <v>0.16</v>
      </c>
      <c r="I42" s="384">
        <v>0.21</v>
      </c>
      <c r="J42" s="59">
        <v>0.43</v>
      </c>
      <c r="K42" s="59">
        <v>76.2</v>
      </c>
      <c r="L42" s="59">
        <v>7.2</v>
      </c>
      <c r="M42" s="59" t="s">
        <v>52</v>
      </c>
      <c r="N42" s="384" t="s">
        <v>1486</v>
      </c>
      <c r="O42" s="63">
        <v>69</v>
      </c>
      <c r="P42" s="384" t="s">
        <v>1423</v>
      </c>
      <c r="Q42" s="58">
        <v>196</v>
      </c>
      <c r="R42" s="59">
        <v>55</v>
      </c>
      <c r="S42" s="384">
        <v>0.09</v>
      </c>
      <c r="T42" s="395">
        <v>0.89</v>
      </c>
      <c r="U42" s="386">
        <v>0.02</v>
      </c>
      <c r="V42" s="386">
        <v>0.15</v>
      </c>
      <c r="W42" s="393">
        <v>0.44</v>
      </c>
      <c r="X42" s="4"/>
      <c r="Y42" s="4"/>
      <c r="Z42" s="4"/>
      <c r="AA42" s="387"/>
      <c r="AB42" s="4"/>
      <c r="AC42" s="4"/>
      <c r="AD42" s="386"/>
      <c r="AE42" s="386"/>
      <c r="AF42" s="386"/>
      <c r="AG42" s="386"/>
      <c r="AH42" s="4"/>
      <c r="AI42" s="4"/>
      <c r="AJ42" s="4"/>
      <c r="AK42" s="4"/>
      <c r="AL42" s="4"/>
      <c r="AM42" s="4"/>
      <c r="AN42" s="4"/>
      <c r="AO42" s="4"/>
      <c r="AP42" s="387"/>
      <c r="AQ42" s="4"/>
      <c r="AR42" s="4"/>
      <c r="AS42" s="386"/>
      <c r="AT42" s="386"/>
      <c r="AU42" s="386"/>
      <c r="AV42" s="386"/>
      <c r="AW42" s="4"/>
      <c r="AX42" s="4"/>
    </row>
    <row r="43" spans="1:50" x14ac:dyDescent="0.3">
      <c r="A43" s="59" t="s">
        <v>401</v>
      </c>
      <c r="B43" s="59" t="s">
        <v>233</v>
      </c>
      <c r="C43" s="59" t="s">
        <v>1424</v>
      </c>
      <c r="D43" s="59">
        <v>230</v>
      </c>
      <c r="E43" s="58">
        <v>83</v>
      </c>
      <c r="F43" s="384">
        <v>0.28999999999999998</v>
      </c>
      <c r="G43" s="384">
        <v>0.28999999999999998</v>
      </c>
      <c r="H43" s="384">
        <v>0.4</v>
      </c>
      <c r="I43" s="384">
        <v>0.18</v>
      </c>
      <c r="J43" s="59">
        <v>0.15</v>
      </c>
      <c r="K43" s="59">
        <v>51.8</v>
      </c>
      <c r="L43" s="59">
        <v>5.5</v>
      </c>
      <c r="M43" s="59" t="s">
        <v>409</v>
      </c>
      <c r="N43" s="384" t="s">
        <v>1500</v>
      </c>
      <c r="O43" s="63">
        <v>46.3</v>
      </c>
      <c r="P43" s="384" t="s">
        <v>1430</v>
      </c>
      <c r="Q43" s="58">
        <v>208</v>
      </c>
      <c r="R43" s="59">
        <v>85</v>
      </c>
      <c r="S43" s="384">
        <v>0</v>
      </c>
      <c r="T43" s="395">
        <v>0.08</v>
      </c>
      <c r="U43" s="386">
        <v>0.92</v>
      </c>
      <c r="V43" s="386">
        <v>0.09</v>
      </c>
      <c r="W43" s="393">
        <v>0.1</v>
      </c>
      <c r="X43" s="4"/>
      <c r="Y43" s="4"/>
      <c r="Z43" s="4"/>
      <c r="AA43" s="385"/>
      <c r="AB43" s="4"/>
      <c r="AC43" s="4"/>
      <c r="AD43" s="386"/>
      <c r="AE43" s="386"/>
      <c r="AF43" s="386"/>
      <c r="AG43" s="386"/>
      <c r="AH43" s="4"/>
      <c r="AI43" s="4"/>
      <c r="AJ43" s="4"/>
      <c r="AK43" s="4"/>
      <c r="AL43" s="4"/>
      <c r="AM43" s="4"/>
      <c r="AN43" s="4"/>
      <c r="AO43" s="4"/>
      <c r="AP43" s="385"/>
      <c r="AQ43" s="4"/>
      <c r="AR43" s="4"/>
      <c r="AS43" s="386"/>
      <c r="AT43" s="386"/>
      <c r="AU43" s="386"/>
      <c r="AV43" s="386"/>
      <c r="AW43" s="4"/>
      <c r="AX43" s="4"/>
    </row>
    <row r="44" spans="1:50" x14ac:dyDescent="0.3">
      <c r="A44" s="59" t="s">
        <v>404</v>
      </c>
      <c r="B44" s="59" t="s">
        <v>227</v>
      </c>
      <c r="C44" s="59" t="s">
        <v>1423</v>
      </c>
      <c r="D44" s="59">
        <v>195</v>
      </c>
      <c r="E44" s="58">
        <v>82</v>
      </c>
      <c r="F44" s="384">
        <v>0.13</v>
      </c>
      <c r="G44" s="384">
        <v>0.72</v>
      </c>
      <c r="H44" s="384">
        <v>0.13</v>
      </c>
      <c r="I44" s="384">
        <v>0.21</v>
      </c>
      <c r="J44" s="59">
        <v>0.59</v>
      </c>
      <c r="K44" s="59">
        <v>81.900000000000006</v>
      </c>
      <c r="L44" s="59">
        <v>4.9000000000000004</v>
      </c>
      <c r="M44" s="59" t="s">
        <v>50</v>
      </c>
      <c r="N44" s="384" t="s">
        <v>1505</v>
      </c>
      <c r="O44" s="63">
        <v>77</v>
      </c>
      <c r="P44" s="384" t="s">
        <v>1423</v>
      </c>
      <c r="Q44" s="58">
        <v>213</v>
      </c>
      <c r="R44" s="59">
        <v>56</v>
      </c>
      <c r="S44" s="384">
        <v>0</v>
      </c>
      <c r="T44" s="395">
        <v>0.98</v>
      </c>
      <c r="U44" s="386">
        <v>0.02</v>
      </c>
      <c r="V44" s="386">
        <v>0.16</v>
      </c>
      <c r="W44" s="393">
        <v>0.12</v>
      </c>
      <c r="X44" s="4"/>
      <c r="Y44" s="4"/>
      <c r="Z44" s="4"/>
      <c r="AA44" s="385"/>
      <c r="AB44" s="4"/>
      <c r="AC44" s="4"/>
      <c r="AD44" s="386"/>
      <c r="AE44" s="386"/>
      <c r="AF44" s="386"/>
      <c r="AG44" s="386"/>
      <c r="AH44" s="4"/>
      <c r="AI44" s="4"/>
      <c r="AJ44" s="4"/>
      <c r="AK44" s="4"/>
      <c r="AL44" s="4"/>
      <c r="AM44" s="4"/>
      <c r="AN44" s="4"/>
      <c r="AO44" s="4"/>
      <c r="AP44" s="385"/>
      <c r="AQ44" s="4"/>
      <c r="AR44" s="4"/>
      <c r="AS44" s="386"/>
      <c r="AT44" s="386"/>
      <c r="AU44" s="386"/>
      <c r="AV44" s="386"/>
      <c r="AW44" s="4"/>
      <c r="AX44" s="4"/>
    </row>
    <row r="45" spans="1:50" x14ac:dyDescent="0.3">
      <c r="A45" s="59" t="s">
        <v>52</v>
      </c>
      <c r="B45" s="59" t="s">
        <v>234</v>
      </c>
      <c r="C45" s="59" t="s">
        <v>1422</v>
      </c>
      <c r="D45" s="59">
        <v>220</v>
      </c>
      <c r="E45" s="58">
        <v>85</v>
      </c>
      <c r="F45" s="384">
        <v>0.49</v>
      </c>
      <c r="G45" s="384">
        <v>0.22</v>
      </c>
      <c r="H45" s="384">
        <v>0.28000000000000003</v>
      </c>
      <c r="I45" s="384">
        <v>0.19</v>
      </c>
      <c r="J45" s="59">
        <v>0.22</v>
      </c>
      <c r="K45" s="59">
        <v>73.8</v>
      </c>
      <c r="L45" s="59">
        <v>4.7</v>
      </c>
      <c r="M45" s="59" t="s">
        <v>46</v>
      </c>
      <c r="N45" s="384" t="s">
        <v>1461</v>
      </c>
      <c r="O45" s="63">
        <v>69.099999999999994</v>
      </c>
      <c r="P45" s="384" t="s">
        <v>1429</v>
      </c>
      <c r="Q45" s="58">
        <v>200</v>
      </c>
      <c r="R45" s="59">
        <v>77</v>
      </c>
      <c r="S45" s="384">
        <v>0.62</v>
      </c>
      <c r="T45" s="395">
        <v>0.03</v>
      </c>
      <c r="U45" s="386">
        <v>0.35</v>
      </c>
      <c r="V45" s="386">
        <v>0.28999999999999998</v>
      </c>
      <c r="W45" s="393">
        <v>0.39</v>
      </c>
      <c r="X45" s="4"/>
      <c r="Y45" s="4"/>
      <c r="Z45" s="4"/>
      <c r="AA45" s="385"/>
      <c r="AB45" s="4"/>
      <c r="AC45" s="4"/>
      <c r="AD45" s="386"/>
      <c r="AE45" s="386"/>
      <c r="AF45" s="386"/>
      <c r="AG45" s="386"/>
      <c r="AH45" s="4"/>
      <c r="AI45" s="4"/>
      <c r="AJ45" s="4"/>
      <c r="AK45" s="4"/>
      <c r="AL45" s="4"/>
      <c r="AM45" s="4"/>
      <c r="AN45" s="4"/>
      <c r="AO45" s="4"/>
      <c r="AP45" s="385"/>
      <c r="AQ45" s="4"/>
      <c r="AR45" s="4"/>
      <c r="AS45" s="386"/>
      <c r="AT45" s="386"/>
      <c r="AU45" s="386"/>
      <c r="AV45" s="386"/>
      <c r="AW45" s="4"/>
      <c r="AX45" s="4"/>
    </row>
    <row r="46" spans="1:50" x14ac:dyDescent="0.3">
      <c r="A46" s="59" t="s">
        <v>26</v>
      </c>
      <c r="B46" s="59" t="s">
        <v>212</v>
      </c>
      <c r="C46" s="59" t="s">
        <v>1424</v>
      </c>
      <c r="D46" s="59">
        <v>198</v>
      </c>
      <c r="E46" s="58">
        <v>91</v>
      </c>
      <c r="F46" s="384">
        <v>0.32</v>
      </c>
      <c r="G46" s="384">
        <v>0.23</v>
      </c>
      <c r="H46" s="384">
        <v>0.45</v>
      </c>
      <c r="I46" s="384">
        <v>0.21</v>
      </c>
      <c r="J46" s="59">
        <v>0.17</v>
      </c>
      <c r="K46" s="59">
        <v>48.2</v>
      </c>
      <c r="L46" s="59">
        <v>4.5</v>
      </c>
      <c r="M46" s="59" t="s">
        <v>395</v>
      </c>
      <c r="N46" s="384" t="s">
        <v>1468</v>
      </c>
      <c r="O46" s="63">
        <v>43.7</v>
      </c>
      <c r="P46" s="384" t="s">
        <v>1430</v>
      </c>
      <c r="Q46" s="58">
        <v>196</v>
      </c>
      <c r="R46" s="59">
        <v>77</v>
      </c>
      <c r="S46" s="384">
        <v>0.06</v>
      </c>
      <c r="T46" s="395">
        <v>0.18</v>
      </c>
      <c r="U46" s="386">
        <v>0.75</v>
      </c>
      <c r="V46" s="386">
        <v>0.25</v>
      </c>
      <c r="W46" s="393">
        <v>0.53</v>
      </c>
      <c r="X46" s="4"/>
      <c r="Y46" s="4"/>
      <c r="Z46" s="4"/>
      <c r="AA46" s="385"/>
      <c r="AB46" s="4"/>
      <c r="AC46" s="4"/>
      <c r="AD46" s="386"/>
      <c r="AE46" s="386"/>
      <c r="AF46" s="386"/>
      <c r="AG46" s="386"/>
      <c r="AH46" s="4"/>
      <c r="AI46" s="4"/>
      <c r="AJ46" s="4"/>
      <c r="AK46" s="4"/>
      <c r="AL46" s="4"/>
      <c r="AM46" s="4"/>
      <c r="AN46" s="4"/>
      <c r="AO46" s="4"/>
      <c r="AP46" s="385"/>
      <c r="AQ46" s="4"/>
      <c r="AR46" s="4"/>
      <c r="AS46" s="386"/>
      <c r="AT46" s="386"/>
      <c r="AU46" s="386"/>
      <c r="AV46" s="386"/>
      <c r="AW46" s="4"/>
      <c r="AX46" s="4"/>
    </row>
    <row r="47" spans="1:50" x14ac:dyDescent="0.3">
      <c r="A47" s="59" t="s">
        <v>1238</v>
      </c>
      <c r="B47" s="59" t="s">
        <v>463</v>
      </c>
      <c r="C47" s="59" t="s">
        <v>1422</v>
      </c>
      <c r="D47" s="59">
        <v>186</v>
      </c>
      <c r="E47" s="58">
        <v>69</v>
      </c>
      <c r="F47" s="384">
        <v>0.45</v>
      </c>
      <c r="G47" s="384">
        <v>0.14000000000000001</v>
      </c>
      <c r="H47" s="384">
        <v>0.41</v>
      </c>
      <c r="I47" s="384">
        <v>0.26</v>
      </c>
      <c r="J47" s="59">
        <v>0.52</v>
      </c>
      <c r="K47" s="59">
        <v>79.5</v>
      </c>
      <c r="L47" s="59">
        <v>3.5</v>
      </c>
      <c r="M47" s="59" t="s">
        <v>402</v>
      </c>
      <c r="N47" s="384" t="s">
        <v>2437</v>
      </c>
      <c r="O47" s="63">
        <v>76</v>
      </c>
      <c r="P47" s="384" t="s">
        <v>1429</v>
      </c>
      <c r="Q47" s="58">
        <v>190</v>
      </c>
      <c r="R47" s="59">
        <v>78</v>
      </c>
      <c r="S47" s="384">
        <v>0.65</v>
      </c>
      <c r="T47" s="395">
        <v>0.14000000000000001</v>
      </c>
      <c r="U47" s="386">
        <v>0.21</v>
      </c>
      <c r="V47" s="386">
        <v>0.14000000000000001</v>
      </c>
      <c r="W47" s="393">
        <v>0.08</v>
      </c>
      <c r="X47" s="4"/>
      <c r="Y47" s="4"/>
      <c r="Z47" s="4"/>
      <c r="AA47" s="385"/>
      <c r="AB47" s="4"/>
      <c r="AC47" s="4"/>
      <c r="AD47" s="386"/>
      <c r="AE47" s="386"/>
      <c r="AF47" s="386"/>
      <c r="AG47" s="386"/>
      <c r="AH47" s="4"/>
      <c r="AI47" s="4"/>
      <c r="AJ47" s="4"/>
      <c r="AK47" s="4"/>
      <c r="AL47" s="4"/>
      <c r="AM47" s="4"/>
      <c r="AN47" s="4"/>
      <c r="AO47" s="4"/>
      <c r="AP47" s="385"/>
      <c r="AQ47" s="4"/>
      <c r="AR47" s="4"/>
      <c r="AS47" s="386"/>
      <c r="AT47" s="386"/>
      <c r="AU47" s="386"/>
      <c r="AV47" s="386"/>
      <c r="AW47" s="4"/>
      <c r="AX47" s="4"/>
    </row>
    <row r="48" spans="1:50" x14ac:dyDescent="0.3">
      <c r="A48" s="59" t="s">
        <v>41</v>
      </c>
      <c r="B48" s="59" t="s">
        <v>292</v>
      </c>
      <c r="C48" s="59" t="s">
        <v>1423</v>
      </c>
      <c r="D48" s="59">
        <v>200</v>
      </c>
      <c r="E48" s="58">
        <v>55</v>
      </c>
      <c r="F48" s="384">
        <v>0.13</v>
      </c>
      <c r="G48" s="384">
        <v>0.6</v>
      </c>
      <c r="H48" s="384">
        <v>0.27</v>
      </c>
      <c r="I48" s="384">
        <v>0.2</v>
      </c>
      <c r="J48" s="59">
        <v>0.32</v>
      </c>
      <c r="K48" s="59">
        <v>73.099999999999994</v>
      </c>
      <c r="L48" s="59">
        <v>3.1</v>
      </c>
      <c r="M48" s="59" t="s">
        <v>22</v>
      </c>
      <c r="N48" s="384" t="s">
        <v>1789</v>
      </c>
      <c r="O48" s="63">
        <v>70</v>
      </c>
      <c r="P48" s="384" t="s">
        <v>1423</v>
      </c>
      <c r="Q48" s="58">
        <v>195</v>
      </c>
      <c r="R48" s="59">
        <v>39</v>
      </c>
      <c r="S48" s="384">
        <v>0</v>
      </c>
      <c r="T48" s="395">
        <v>1</v>
      </c>
      <c r="U48" s="386">
        <v>0</v>
      </c>
      <c r="V48" s="386">
        <v>0.13</v>
      </c>
      <c r="W48" s="393">
        <v>0.11</v>
      </c>
      <c r="X48" s="4"/>
      <c r="Y48" s="4"/>
      <c r="Z48" s="4"/>
      <c r="AA48" s="385"/>
      <c r="AB48" s="4"/>
      <c r="AC48" s="4"/>
      <c r="AD48" s="386"/>
      <c r="AE48" s="386"/>
      <c r="AF48" s="386"/>
      <c r="AG48" s="386"/>
      <c r="AH48" s="4"/>
      <c r="AI48" s="4"/>
      <c r="AJ48" s="4"/>
      <c r="AK48" s="4"/>
      <c r="AL48" s="4"/>
      <c r="AM48" s="4"/>
      <c r="AN48" s="4"/>
      <c r="AO48" s="4"/>
      <c r="AP48" s="385"/>
      <c r="AQ48" s="4"/>
      <c r="AR48" s="4"/>
      <c r="AS48" s="386"/>
      <c r="AT48" s="386"/>
      <c r="AU48" s="386"/>
      <c r="AV48" s="386"/>
      <c r="AW48" s="4"/>
      <c r="AX48" s="4"/>
    </row>
    <row r="49" spans="1:50" x14ac:dyDescent="0.3">
      <c r="A49" s="59" t="s">
        <v>28</v>
      </c>
      <c r="B49" s="59" t="s">
        <v>195</v>
      </c>
      <c r="C49" s="59" t="s">
        <v>1424</v>
      </c>
      <c r="D49" s="59">
        <v>207</v>
      </c>
      <c r="E49" s="58">
        <v>95</v>
      </c>
      <c r="F49" s="384">
        <v>0.4</v>
      </c>
      <c r="G49" s="384">
        <v>0.19</v>
      </c>
      <c r="H49" s="384">
        <v>0.4</v>
      </c>
      <c r="I49" s="384">
        <v>0.22</v>
      </c>
      <c r="J49" s="59">
        <v>0.44</v>
      </c>
      <c r="K49" s="59">
        <v>79.599999999999994</v>
      </c>
      <c r="L49" s="59">
        <v>2.4</v>
      </c>
      <c r="M49" s="59" t="s">
        <v>70</v>
      </c>
      <c r="N49" s="384" t="s">
        <v>1443</v>
      </c>
      <c r="O49" s="63">
        <v>77.2</v>
      </c>
      <c r="P49" s="384" t="s">
        <v>1430</v>
      </c>
      <c r="Q49" s="58">
        <v>205</v>
      </c>
      <c r="R49" s="59">
        <v>76</v>
      </c>
      <c r="S49" s="384">
        <v>0.01</v>
      </c>
      <c r="T49" s="395">
        <v>0.05</v>
      </c>
      <c r="U49" s="386">
        <v>0.93</v>
      </c>
      <c r="V49" s="386">
        <v>0.16</v>
      </c>
      <c r="W49" s="393">
        <v>0.09</v>
      </c>
      <c r="X49" s="4"/>
      <c r="Y49" s="4"/>
      <c r="Z49" s="4"/>
      <c r="AA49" s="385"/>
      <c r="AB49" s="4"/>
      <c r="AC49" s="4"/>
      <c r="AD49" s="386"/>
      <c r="AE49" s="386"/>
      <c r="AF49" s="386"/>
      <c r="AG49" s="386"/>
      <c r="AH49" s="4"/>
      <c r="AI49" s="4"/>
      <c r="AJ49" s="4"/>
      <c r="AK49" s="4"/>
      <c r="AL49" s="4"/>
      <c r="AM49" s="4"/>
      <c r="AN49" s="4"/>
      <c r="AO49" s="4"/>
      <c r="AP49" s="385"/>
      <c r="AQ49" s="4"/>
      <c r="AR49" s="4"/>
      <c r="AS49" s="386"/>
      <c r="AT49" s="386"/>
      <c r="AU49" s="386"/>
      <c r="AV49" s="386"/>
      <c r="AW49" s="4"/>
      <c r="AX49" s="4"/>
    </row>
    <row r="50" spans="1:50" x14ac:dyDescent="0.3">
      <c r="A50" s="59" t="s">
        <v>52</v>
      </c>
      <c r="B50" s="59" t="s">
        <v>240</v>
      </c>
      <c r="C50" s="59" t="s">
        <v>1423</v>
      </c>
      <c r="D50" s="59">
        <v>180</v>
      </c>
      <c r="E50" s="58">
        <v>62</v>
      </c>
      <c r="F50" s="384">
        <v>0.08</v>
      </c>
      <c r="G50" s="384">
        <v>0.87</v>
      </c>
      <c r="H50" s="384">
        <v>0.03</v>
      </c>
      <c r="I50" s="384">
        <v>0.31</v>
      </c>
      <c r="J50" s="59">
        <v>0.44</v>
      </c>
      <c r="K50" s="59">
        <v>78.400000000000006</v>
      </c>
      <c r="L50" s="59">
        <v>1.2</v>
      </c>
      <c r="M50" s="59" t="s">
        <v>46</v>
      </c>
      <c r="N50" s="59" t="s">
        <v>1462</v>
      </c>
      <c r="O50" s="63">
        <v>77.2</v>
      </c>
      <c r="P50" s="59" t="s">
        <v>1423</v>
      </c>
      <c r="Q50" s="58">
        <v>191</v>
      </c>
      <c r="R50" s="59">
        <v>53</v>
      </c>
      <c r="S50" s="384">
        <v>0</v>
      </c>
      <c r="T50" s="395">
        <v>1</v>
      </c>
      <c r="U50" s="386">
        <v>0</v>
      </c>
      <c r="V50" s="386">
        <v>0.11</v>
      </c>
      <c r="W50" s="393">
        <v>0.08</v>
      </c>
      <c r="X50" s="4"/>
      <c r="Y50" s="4"/>
      <c r="Z50" s="4"/>
      <c r="AA50" s="387"/>
      <c r="AB50" s="4"/>
      <c r="AC50" s="4"/>
      <c r="AD50" s="386"/>
      <c r="AE50" s="386"/>
      <c r="AF50" s="386"/>
      <c r="AG50" s="386"/>
      <c r="AH50" s="4"/>
      <c r="AI50" s="4"/>
      <c r="AJ50" s="4"/>
      <c r="AK50" s="4"/>
      <c r="AL50" s="4"/>
      <c r="AM50" s="4"/>
      <c r="AN50" s="4"/>
      <c r="AO50" s="4"/>
      <c r="AP50" s="385"/>
      <c r="AQ50" s="4"/>
      <c r="AR50" s="4"/>
      <c r="AS50" s="386"/>
      <c r="AT50" s="386"/>
      <c r="AU50" s="386"/>
      <c r="AV50" s="386"/>
      <c r="AW50" s="4"/>
      <c r="AX50" s="4"/>
    </row>
    <row r="51" spans="1:50" x14ac:dyDescent="0.3">
      <c r="A51" s="59" t="s">
        <v>46</v>
      </c>
      <c r="B51" s="59" t="s">
        <v>208</v>
      </c>
      <c r="C51" s="59" t="s">
        <v>1422</v>
      </c>
      <c r="D51" s="59">
        <v>218</v>
      </c>
      <c r="E51" s="58">
        <v>70</v>
      </c>
      <c r="F51" s="384">
        <v>0.47</v>
      </c>
      <c r="G51" s="384">
        <v>0.16</v>
      </c>
      <c r="H51" s="384">
        <v>0.37</v>
      </c>
      <c r="I51" s="384">
        <v>0.21</v>
      </c>
      <c r="J51" s="59">
        <v>0.42</v>
      </c>
      <c r="K51" s="59">
        <v>78</v>
      </c>
      <c r="L51" s="59">
        <v>0.8</v>
      </c>
      <c r="M51" s="59" t="s">
        <v>52</v>
      </c>
      <c r="N51" s="384" t="s">
        <v>1485</v>
      </c>
      <c r="O51" s="63">
        <v>77.2</v>
      </c>
      <c r="P51" s="384" t="s">
        <v>1429</v>
      </c>
      <c r="Q51" s="58">
        <v>210</v>
      </c>
      <c r="R51" s="59">
        <v>80</v>
      </c>
      <c r="S51" s="384">
        <v>0.98</v>
      </c>
      <c r="T51" s="395">
        <v>0.03</v>
      </c>
      <c r="U51" s="386">
        <v>0</v>
      </c>
      <c r="V51" s="386">
        <v>0.2</v>
      </c>
      <c r="W51" s="393">
        <v>0.34</v>
      </c>
      <c r="X51" s="4"/>
      <c r="Y51" s="4"/>
      <c r="Z51" s="4"/>
      <c r="AA51" s="385"/>
      <c r="AB51" s="4"/>
      <c r="AC51" s="4"/>
      <c r="AD51" s="386"/>
      <c r="AE51" s="386"/>
      <c r="AF51" s="386"/>
      <c r="AG51" s="386"/>
      <c r="AH51" s="4"/>
      <c r="AI51" s="4"/>
      <c r="AJ51" s="4"/>
      <c r="AK51" s="4"/>
      <c r="AL51" s="4"/>
      <c r="AM51" s="4"/>
      <c r="AN51" s="4"/>
      <c r="AO51" s="4"/>
      <c r="AP51" s="387"/>
      <c r="AQ51" s="4"/>
      <c r="AR51" s="4"/>
      <c r="AS51" s="386"/>
      <c r="AT51" s="386"/>
      <c r="AU51" s="386"/>
      <c r="AV51" s="386"/>
      <c r="AW51" s="4"/>
      <c r="AX51" s="4"/>
    </row>
    <row r="52" spans="1:50" x14ac:dyDescent="0.3">
      <c r="A52" s="59" t="s">
        <v>1239</v>
      </c>
      <c r="B52" s="59" t="s">
        <v>257</v>
      </c>
      <c r="C52" s="59" t="s">
        <v>1423</v>
      </c>
      <c r="D52" s="59">
        <v>180</v>
      </c>
      <c r="E52" s="58">
        <v>49</v>
      </c>
      <c r="F52" s="384">
        <v>0.02</v>
      </c>
      <c r="G52" s="384">
        <v>0.92</v>
      </c>
      <c r="H52" s="384">
        <v>0.02</v>
      </c>
      <c r="I52" s="384">
        <v>0.12</v>
      </c>
      <c r="J52" s="59">
        <v>0.12</v>
      </c>
      <c r="K52" s="59">
        <v>65.099999999999994</v>
      </c>
      <c r="L52" s="59">
        <v>-0.1</v>
      </c>
      <c r="M52" s="59" t="s">
        <v>57</v>
      </c>
      <c r="N52" s="384" t="s">
        <v>457</v>
      </c>
      <c r="O52" s="63">
        <v>65.2</v>
      </c>
      <c r="P52" s="384" t="s">
        <v>1423</v>
      </c>
      <c r="Q52" s="58">
        <v>193</v>
      </c>
      <c r="R52" s="59">
        <v>39</v>
      </c>
      <c r="S52" s="384">
        <v>0</v>
      </c>
      <c r="T52" s="395">
        <v>0.97</v>
      </c>
      <c r="U52" s="386">
        <v>0.03</v>
      </c>
      <c r="V52" s="386">
        <v>0.05</v>
      </c>
      <c r="W52" s="393">
        <v>0.13</v>
      </c>
      <c r="X52" s="4"/>
      <c r="Y52" s="4"/>
      <c r="Z52" s="4"/>
      <c r="AA52" s="385"/>
      <c r="AB52" s="4"/>
      <c r="AC52" s="4"/>
      <c r="AD52" s="386"/>
      <c r="AE52" s="386"/>
      <c r="AF52" s="386"/>
      <c r="AG52" s="386"/>
      <c r="AH52" s="4"/>
      <c r="AI52" s="4"/>
      <c r="AJ52" s="4"/>
      <c r="AK52" s="4"/>
      <c r="AL52" s="4"/>
      <c r="AM52" s="4"/>
      <c r="AN52" s="4"/>
      <c r="AO52" s="4"/>
      <c r="AP52" s="385"/>
      <c r="AQ52" s="4"/>
      <c r="AR52" s="4"/>
      <c r="AS52" s="386"/>
      <c r="AT52" s="386"/>
      <c r="AU52" s="386"/>
      <c r="AV52" s="386"/>
      <c r="AW52" s="4"/>
      <c r="AX52" s="4"/>
    </row>
    <row r="53" spans="1:50" x14ac:dyDescent="0.3">
      <c r="A53" s="59" t="s">
        <v>70</v>
      </c>
      <c r="B53" s="59" t="s">
        <v>203</v>
      </c>
      <c r="C53" s="59" t="s">
        <v>1424</v>
      </c>
      <c r="D53" s="59">
        <v>180</v>
      </c>
      <c r="E53" s="58">
        <v>64</v>
      </c>
      <c r="F53" s="384">
        <v>0.33</v>
      </c>
      <c r="G53" s="384">
        <v>0.16</v>
      </c>
      <c r="H53" s="384">
        <v>0.52</v>
      </c>
      <c r="I53" s="384">
        <v>0.27</v>
      </c>
      <c r="J53" s="59">
        <v>0.26</v>
      </c>
      <c r="K53" s="59">
        <v>73.099999999999994</v>
      </c>
      <c r="L53" s="59">
        <v>-0.3</v>
      </c>
      <c r="M53" s="59" t="s">
        <v>28</v>
      </c>
      <c r="N53" s="384" t="s">
        <v>1488</v>
      </c>
      <c r="O53" s="63">
        <v>73.400000000000006</v>
      </c>
      <c r="P53" s="384" t="s">
        <v>1430</v>
      </c>
      <c r="Q53" s="58">
        <v>190</v>
      </c>
      <c r="R53" s="59">
        <v>79</v>
      </c>
      <c r="S53" s="384">
        <v>0</v>
      </c>
      <c r="T53" s="395">
        <v>0.06</v>
      </c>
      <c r="U53" s="386">
        <v>0.94</v>
      </c>
      <c r="V53" s="386">
        <v>0.18</v>
      </c>
      <c r="W53" s="393">
        <v>0.23</v>
      </c>
      <c r="X53" s="4"/>
      <c r="Y53" s="4"/>
      <c r="Z53" s="4"/>
      <c r="AA53" s="385"/>
      <c r="AB53" s="4"/>
      <c r="AC53" s="4"/>
      <c r="AD53" s="386"/>
      <c r="AE53" s="386"/>
      <c r="AF53" s="386"/>
      <c r="AG53" s="386"/>
      <c r="AH53" s="4"/>
      <c r="AI53" s="4"/>
      <c r="AJ53" s="4"/>
      <c r="AK53" s="4"/>
      <c r="AL53" s="4"/>
      <c r="AM53" s="4"/>
      <c r="AN53" s="4"/>
      <c r="AO53" s="4"/>
      <c r="AP53" s="385"/>
      <c r="AQ53" s="4"/>
      <c r="AR53" s="4"/>
      <c r="AS53" s="386"/>
      <c r="AT53" s="386"/>
      <c r="AU53" s="386"/>
      <c r="AV53" s="386"/>
      <c r="AW53" s="4"/>
      <c r="AX53" s="4"/>
    </row>
    <row r="54" spans="1:50" x14ac:dyDescent="0.3">
      <c r="A54" s="59" t="s">
        <v>12</v>
      </c>
      <c r="B54" s="59" t="s">
        <v>278</v>
      </c>
      <c r="C54" s="59" t="s">
        <v>1424</v>
      </c>
      <c r="D54" s="59">
        <v>200</v>
      </c>
      <c r="E54" s="58">
        <v>64</v>
      </c>
      <c r="F54" s="384">
        <v>0.34</v>
      </c>
      <c r="G54" s="384">
        <v>0.08</v>
      </c>
      <c r="H54" s="384">
        <v>0.57999999999999996</v>
      </c>
      <c r="I54" s="384">
        <v>0.17</v>
      </c>
      <c r="J54" s="59">
        <v>0.26</v>
      </c>
      <c r="K54" s="59">
        <v>47.4</v>
      </c>
      <c r="L54" s="59">
        <v>-2</v>
      </c>
      <c r="M54" s="59" t="s">
        <v>1237</v>
      </c>
      <c r="N54" s="384" t="s">
        <v>1441</v>
      </c>
      <c r="O54" s="63">
        <v>49.4</v>
      </c>
      <c r="P54" s="384" t="s">
        <v>1430</v>
      </c>
      <c r="Q54" s="58">
        <v>184</v>
      </c>
      <c r="R54" s="59">
        <v>60</v>
      </c>
      <c r="S54" s="384">
        <v>0.22</v>
      </c>
      <c r="T54" s="395">
        <v>0.05</v>
      </c>
      <c r="U54" s="386">
        <v>0.73</v>
      </c>
      <c r="V54" s="386">
        <v>0.25</v>
      </c>
      <c r="W54" s="393">
        <v>0.54</v>
      </c>
      <c r="X54" s="4"/>
      <c r="Y54" s="4"/>
      <c r="Z54" s="4"/>
      <c r="AA54" s="385"/>
      <c r="AB54" s="4"/>
      <c r="AC54" s="4"/>
      <c r="AD54" s="386"/>
      <c r="AE54" s="386"/>
      <c r="AF54" s="386"/>
      <c r="AG54" s="386"/>
      <c r="AH54" s="4"/>
      <c r="AI54" s="4"/>
      <c r="AJ54" s="4"/>
      <c r="AK54" s="4"/>
      <c r="AL54" s="4"/>
      <c r="AM54" s="4"/>
      <c r="AN54" s="4"/>
      <c r="AO54" s="4"/>
      <c r="AP54" s="385"/>
      <c r="AQ54" s="4"/>
      <c r="AR54" s="4"/>
      <c r="AS54" s="386"/>
      <c r="AT54" s="386"/>
      <c r="AU54" s="386"/>
      <c r="AV54" s="386"/>
      <c r="AW54" s="4"/>
      <c r="AX54" s="4"/>
    </row>
    <row r="55" spans="1:50" x14ac:dyDescent="0.3">
      <c r="A55" s="59" t="s">
        <v>39</v>
      </c>
      <c r="B55" s="59" t="s">
        <v>272</v>
      </c>
      <c r="C55" s="59" t="s">
        <v>1424</v>
      </c>
      <c r="D55" s="59">
        <v>198</v>
      </c>
      <c r="E55" s="58">
        <v>79</v>
      </c>
      <c r="F55" s="384">
        <v>0.34</v>
      </c>
      <c r="G55" s="384">
        <v>0.28999999999999998</v>
      </c>
      <c r="H55" s="384">
        <v>0.37</v>
      </c>
      <c r="I55" s="384">
        <v>0.15</v>
      </c>
      <c r="J55" s="59">
        <v>0.3</v>
      </c>
      <c r="K55" s="59">
        <v>71.5</v>
      </c>
      <c r="L55" s="59">
        <v>-2</v>
      </c>
      <c r="M55" s="59" t="s">
        <v>20</v>
      </c>
      <c r="N55" s="384" t="s">
        <v>1508</v>
      </c>
      <c r="O55" s="63">
        <v>73.5</v>
      </c>
      <c r="P55" s="384" t="s">
        <v>1430</v>
      </c>
      <c r="Q55" s="58">
        <v>191</v>
      </c>
      <c r="R55" s="59">
        <v>103</v>
      </c>
      <c r="S55" s="384">
        <v>0.31</v>
      </c>
      <c r="T55" s="395">
        <v>0</v>
      </c>
      <c r="U55" s="386">
        <v>0.69</v>
      </c>
      <c r="V55" s="386">
        <v>0.19</v>
      </c>
      <c r="W55" s="393">
        <v>0.26</v>
      </c>
      <c r="X55" s="4"/>
      <c r="Y55" s="4"/>
      <c r="Z55" s="4"/>
      <c r="AA55" s="385"/>
      <c r="AB55" s="4"/>
      <c r="AC55" s="4"/>
      <c r="AD55" s="4"/>
      <c r="AE55" s="4"/>
      <c r="AF55" s="4"/>
      <c r="AG55" s="4"/>
      <c r="AH55" s="4"/>
      <c r="AI55" s="4"/>
      <c r="AJ55" s="4"/>
      <c r="AK55" s="4"/>
      <c r="AL55" s="4"/>
      <c r="AM55" s="4"/>
      <c r="AN55" s="4"/>
      <c r="AO55" s="4"/>
      <c r="AP55" s="387"/>
      <c r="AQ55" s="4"/>
      <c r="AR55" s="4"/>
      <c r="AS55" s="386"/>
      <c r="AT55" s="386"/>
      <c r="AU55" s="386"/>
      <c r="AV55" s="386"/>
      <c r="AW55" s="4"/>
      <c r="AX55" s="4"/>
    </row>
    <row r="56" spans="1:50" x14ac:dyDescent="0.3">
      <c r="A56" s="59" t="s">
        <v>402</v>
      </c>
      <c r="B56" s="59" t="s">
        <v>198</v>
      </c>
      <c r="C56" s="59" t="s">
        <v>1424</v>
      </c>
      <c r="D56" s="59">
        <v>200</v>
      </c>
      <c r="E56" s="58">
        <v>84</v>
      </c>
      <c r="F56" s="384">
        <v>0.19</v>
      </c>
      <c r="G56" s="384">
        <v>0.46</v>
      </c>
      <c r="H56" s="384">
        <v>0.33</v>
      </c>
      <c r="I56" s="384">
        <v>0.24</v>
      </c>
      <c r="J56" s="59">
        <v>0.36</v>
      </c>
      <c r="K56" s="59">
        <v>70.599999999999994</v>
      </c>
      <c r="L56" s="59">
        <v>-3.9</v>
      </c>
      <c r="M56" s="59" t="s">
        <v>1238</v>
      </c>
      <c r="N56" s="384" t="s">
        <v>1446</v>
      </c>
      <c r="O56" s="63">
        <v>74.5</v>
      </c>
      <c r="P56" s="384" t="s">
        <v>1430</v>
      </c>
      <c r="Q56" s="58">
        <v>188</v>
      </c>
      <c r="R56" s="59">
        <v>78</v>
      </c>
      <c r="S56" s="384">
        <v>0.01</v>
      </c>
      <c r="T56" s="395">
        <v>0.1</v>
      </c>
      <c r="U56" s="386">
        <v>0.88</v>
      </c>
      <c r="V56" s="386">
        <v>0.26</v>
      </c>
      <c r="W56" s="393">
        <v>0.33</v>
      </c>
      <c r="X56" s="4"/>
      <c r="Y56" s="4"/>
      <c r="Z56" s="4"/>
      <c r="AA56" s="385"/>
      <c r="AB56" s="4"/>
      <c r="AC56" s="4"/>
      <c r="AD56" s="386"/>
      <c r="AE56" s="386"/>
      <c r="AF56" s="386"/>
      <c r="AG56" s="386"/>
      <c r="AH56" s="4"/>
      <c r="AI56" s="4"/>
      <c r="AJ56" s="4"/>
      <c r="AK56" s="4"/>
      <c r="AL56" s="4"/>
      <c r="AM56" s="4"/>
      <c r="AN56" s="4"/>
      <c r="AO56" s="4"/>
      <c r="AP56" s="385"/>
      <c r="AQ56" s="4"/>
      <c r="AR56" s="4"/>
      <c r="AS56" s="386"/>
      <c r="AT56" s="386"/>
      <c r="AU56" s="386"/>
      <c r="AV56" s="386"/>
      <c r="AW56" s="4"/>
      <c r="AX56" s="4"/>
    </row>
    <row r="57" spans="1:50" x14ac:dyDescent="0.3">
      <c r="A57" s="59" t="s">
        <v>395</v>
      </c>
      <c r="B57" s="59" t="s">
        <v>242</v>
      </c>
      <c r="C57" s="59" t="s">
        <v>1422</v>
      </c>
      <c r="D57" s="59">
        <v>215</v>
      </c>
      <c r="E57" s="58">
        <v>80</v>
      </c>
      <c r="F57" s="384">
        <v>0.66</v>
      </c>
      <c r="G57" s="384">
        <v>0.09</v>
      </c>
      <c r="H57" s="384">
        <v>0.24</v>
      </c>
      <c r="I57" s="384">
        <v>0.2</v>
      </c>
      <c r="J57" s="59">
        <v>0.31</v>
      </c>
      <c r="K57" s="59">
        <v>44.7</v>
      </c>
      <c r="L57" s="59">
        <v>-4.3</v>
      </c>
      <c r="M57" s="59" t="s">
        <v>26</v>
      </c>
      <c r="N57" s="384" t="s">
        <v>1463</v>
      </c>
      <c r="O57" s="63">
        <v>49</v>
      </c>
      <c r="P57" s="384" t="s">
        <v>1429</v>
      </c>
      <c r="Q57" s="58">
        <v>191</v>
      </c>
      <c r="R57" s="59">
        <v>76</v>
      </c>
      <c r="S57" s="384">
        <v>0.74</v>
      </c>
      <c r="T57" s="395">
        <v>0.03</v>
      </c>
      <c r="U57" s="386">
        <v>0.24</v>
      </c>
      <c r="V57" s="386">
        <v>0.09</v>
      </c>
      <c r="W57" s="393">
        <v>0.13</v>
      </c>
      <c r="X57" s="4"/>
      <c r="Y57" s="4"/>
      <c r="Z57" s="4"/>
      <c r="AA57" s="387"/>
      <c r="AB57" s="4"/>
      <c r="AC57" s="4"/>
      <c r="AD57" s="386"/>
      <c r="AE57" s="386"/>
      <c r="AF57" s="386"/>
      <c r="AG57" s="386"/>
      <c r="AH57" s="4"/>
      <c r="AI57" s="4"/>
      <c r="AJ57" s="4"/>
      <c r="AK57" s="4"/>
      <c r="AL57" s="4"/>
      <c r="AM57" s="4"/>
      <c r="AN57" s="4"/>
      <c r="AO57" s="4"/>
      <c r="AP57" s="385"/>
      <c r="AQ57" s="4"/>
      <c r="AR57" s="4"/>
      <c r="AS57" s="386"/>
      <c r="AT57" s="386"/>
      <c r="AU57" s="386"/>
      <c r="AV57" s="386"/>
      <c r="AW57" s="4"/>
      <c r="AX57" s="4"/>
    </row>
    <row r="58" spans="1:50" x14ac:dyDescent="0.3">
      <c r="A58" s="59" t="s">
        <v>402</v>
      </c>
      <c r="B58" s="59" t="s">
        <v>276</v>
      </c>
      <c r="C58" s="59" t="s">
        <v>1422</v>
      </c>
      <c r="D58" s="59">
        <v>210</v>
      </c>
      <c r="E58" s="58">
        <v>70</v>
      </c>
      <c r="F58" s="384">
        <v>0.26</v>
      </c>
      <c r="G58" s="384">
        <v>0.47</v>
      </c>
      <c r="H58" s="384">
        <v>0.27</v>
      </c>
      <c r="I58" s="384">
        <v>0.14000000000000001</v>
      </c>
      <c r="J58" s="59">
        <v>0.36</v>
      </c>
      <c r="K58" s="59">
        <v>75.2</v>
      </c>
      <c r="L58" s="59">
        <v>-4.8</v>
      </c>
      <c r="M58" s="59" t="s">
        <v>1238</v>
      </c>
      <c r="N58" s="384" t="s">
        <v>1445</v>
      </c>
      <c r="O58" s="63">
        <v>80</v>
      </c>
      <c r="P58" s="384" t="s">
        <v>1429</v>
      </c>
      <c r="Q58" s="58">
        <v>188</v>
      </c>
      <c r="R58" s="59">
        <v>60</v>
      </c>
      <c r="S58" s="384">
        <v>0.88</v>
      </c>
      <c r="T58" s="395">
        <v>0.05</v>
      </c>
      <c r="U58" s="386">
        <v>7.0000000000000007E-2</v>
      </c>
      <c r="V58" s="386">
        <v>0.17</v>
      </c>
      <c r="W58" s="393">
        <v>0.21</v>
      </c>
      <c r="X58" s="4"/>
      <c r="Y58" s="4"/>
      <c r="Z58" s="4"/>
      <c r="AA58" s="385"/>
      <c r="AB58" s="4"/>
      <c r="AC58" s="4"/>
      <c r="AD58" s="4"/>
      <c r="AE58" s="4"/>
      <c r="AF58" s="4"/>
      <c r="AG58" s="4"/>
      <c r="AH58" s="4"/>
      <c r="AI58" s="4"/>
      <c r="AJ58" s="4"/>
      <c r="AK58" s="4"/>
      <c r="AL58" s="4"/>
      <c r="AM58" s="4"/>
      <c r="AN58" s="4"/>
      <c r="AO58" s="4"/>
      <c r="AP58" s="385"/>
      <c r="AQ58" s="4"/>
      <c r="AR58" s="4"/>
      <c r="AS58" s="386"/>
      <c r="AT58" s="386"/>
      <c r="AU58" s="386"/>
      <c r="AV58" s="386"/>
      <c r="AW58" s="4"/>
      <c r="AX58" s="4"/>
    </row>
    <row r="59" spans="1:50" x14ac:dyDescent="0.3">
      <c r="A59" s="59" t="s">
        <v>401</v>
      </c>
      <c r="B59" s="59" t="s">
        <v>270</v>
      </c>
      <c r="C59" s="59" t="s">
        <v>1423</v>
      </c>
      <c r="D59" s="59">
        <v>195</v>
      </c>
      <c r="E59" s="58">
        <v>72</v>
      </c>
      <c r="F59" s="384">
        <v>0.11</v>
      </c>
      <c r="G59" s="384">
        <v>0.78</v>
      </c>
      <c r="H59" s="384">
        <v>0.1</v>
      </c>
      <c r="I59" s="384">
        <v>0.19</v>
      </c>
      <c r="J59" s="59">
        <v>0.28999999999999998</v>
      </c>
      <c r="K59" s="59">
        <v>73.3</v>
      </c>
      <c r="L59" s="59">
        <v>-5.6</v>
      </c>
      <c r="M59" s="59" t="s">
        <v>409</v>
      </c>
      <c r="N59" s="384" t="s">
        <v>1501</v>
      </c>
      <c r="O59" s="63">
        <v>78.900000000000006</v>
      </c>
      <c r="P59" s="384" t="s">
        <v>1423</v>
      </c>
      <c r="Q59" s="58">
        <v>184</v>
      </c>
      <c r="R59" s="59">
        <v>74</v>
      </c>
      <c r="S59" s="384">
        <v>0.03</v>
      </c>
      <c r="T59" s="395">
        <v>0.97</v>
      </c>
      <c r="U59" s="386">
        <v>0</v>
      </c>
      <c r="V59" s="386">
        <v>0.22</v>
      </c>
      <c r="W59" s="393">
        <v>0.17</v>
      </c>
      <c r="X59" s="4"/>
      <c r="Y59" s="4"/>
      <c r="Z59" s="4"/>
      <c r="AA59" s="387"/>
      <c r="AB59" s="4"/>
      <c r="AC59" s="4"/>
      <c r="AD59" s="386"/>
      <c r="AE59" s="386"/>
      <c r="AF59" s="386"/>
      <c r="AG59" s="386"/>
      <c r="AH59" s="4"/>
      <c r="AI59" s="4"/>
      <c r="AJ59" s="4"/>
      <c r="AK59" s="4"/>
      <c r="AL59" s="4"/>
      <c r="AM59" s="4"/>
      <c r="AN59" s="4"/>
      <c r="AO59" s="4"/>
      <c r="AP59" s="385"/>
      <c r="AQ59" s="4"/>
      <c r="AR59" s="4"/>
      <c r="AS59" s="386"/>
      <c r="AT59" s="386"/>
      <c r="AU59" s="386"/>
      <c r="AV59" s="386"/>
      <c r="AW59" s="4"/>
      <c r="AX59" s="4"/>
    </row>
    <row r="60" spans="1:50" x14ac:dyDescent="0.3">
      <c r="A60" s="59" t="s">
        <v>16</v>
      </c>
      <c r="B60" s="59" t="s">
        <v>213</v>
      </c>
      <c r="C60" s="59" t="s">
        <v>1423</v>
      </c>
      <c r="D60" s="59">
        <v>180</v>
      </c>
      <c r="E60" s="58">
        <v>104</v>
      </c>
      <c r="F60" s="384">
        <v>0.23</v>
      </c>
      <c r="G60" s="384">
        <v>0.62</v>
      </c>
      <c r="H60" s="384">
        <v>0.15</v>
      </c>
      <c r="I60" s="384">
        <v>0.2</v>
      </c>
      <c r="J60" s="59">
        <v>0.21</v>
      </c>
      <c r="K60" s="59">
        <v>74.400000000000006</v>
      </c>
      <c r="L60" s="59">
        <v>-5.7</v>
      </c>
      <c r="M60" s="59" t="s">
        <v>407</v>
      </c>
      <c r="N60" s="384" t="s">
        <v>1784</v>
      </c>
      <c r="O60" s="63">
        <v>80.099999999999994</v>
      </c>
      <c r="P60" s="384" t="s">
        <v>1423</v>
      </c>
      <c r="Q60" s="58">
        <v>187</v>
      </c>
      <c r="R60" s="59">
        <v>93</v>
      </c>
      <c r="S60" s="384">
        <v>0.03</v>
      </c>
      <c r="T60" s="395">
        <v>0.86</v>
      </c>
      <c r="U60" s="386">
        <v>0.11</v>
      </c>
      <c r="V60" s="386">
        <v>0.16</v>
      </c>
      <c r="W60" s="393">
        <v>0.18</v>
      </c>
      <c r="X60" s="4"/>
      <c r="Y60" s="4"/>
      <c r="Z60" s="4"/>
      <c r="AA60" s="385"/>
      <c r="AB60" s="4"/>
      <c r="AC60" s="4"/>
      <c r="AD60" s="386"/>
      <c r="AE60" s="386"/>
      <c r="AF60" s="386"/>
      <c r="AG60" s="386"/>
      <c r="AH60" s="4"/>
      <c r="AI60" s="4"/>
      <c r="AJ60" s="4"/>
      <c r="AK60" s="4"/>
      <c r="AL60" s="4"/>
      <c r="AM60" s="4"/>
      <c r="AN60" s="4"/>
      <c r="AO60" s="4"/>
      <c r="AP60" s="385"/>
      <c r="AQ60" s="4"/>
      <c r="AR60" s="4"/>
      <c r="AS60" s="386"/>
      <c r="AT60" s="386"/>
      <c r="AU60" s="386"/>
      <c r="AV60" s="386"/>
      <c r="AW60" s="4"/>
      <c r="AX60" s="4"/>
    </row>
    <row r="61" spans="1:50" x14ac:dyDescent="0.3">
      <c r="A61" s="59" t="s">
        <v>409</v>
      </c>
      <c r="B61" s="59" t="s">
        <v>237</v>
      </c>
      <c r="C61" s="59" t="s">
        <v>1422</v>
      </c>
      <c r="D61" s="59">
        <v>223</v>
      </c>
      <c r="E61" s="58">
        <v>72</v>
      </c>
      <c r="F61" s="384">
        <v>0.5</v>
      </c>
      <c r="G61" s="384">
        <v>0.17</v>
      </c>
      <c r="H61" s="384">
        <v>0.33</v>
      </c>
      <c r="I61" s="384">
        <v>0.21</v>
      </c>
      <c r="J61" s="59">
        <v>0.36</v>
      </c>
      <c r="K61" s="59">
        <v>77.7</v>
      </c>
      <c r="L61" s="59">
        <v>-5.9</v>
      </c>
      <c r="M61" s="59" t="s">
        <v>401</v>
      </c>
      <c r="N61" s="384" t="s">
        <v>1433</v>
      </c>
      <c r="O61" s="63">
        <v>83.6</v>
      </c>
      <c r="P61" s="384" t="s">
        <v>1429</v>
      </c>
      <c r="Q61" s="58">
        <v>187</v>
      </c>
      <c r="R61" s="59">
        <v>49</v>
      </c>
      <c r="S61" s="384">
        <v>0.94</v>
      </c>
      <c r="T61" s="395">
        <v>0.06</v>
      </c>
      <c r="U61" s="386">
        <v>0</v>
      </c>
      <c r="V61" s="386">
        <v>0.16</v>
      </c>
      <c r="W61" s="393">
        <v>0.41</v>
      </c>
      <c r="X61" s="4"/>
      <c r="Y61" s="4"/>
      <c r="Z61" s="4"/>
      <c r="AA61" s="385"/>
      <c r="AB61" s="4"/>
      <c r="AC61" s="4"/>
      <c r="AD61" s="386"/>
      <c r="AE61" s="386"/>
      <c r="AF61" s="386"/>
      <c r="AG61" s="386"/>
      <c r="AH61" s="4"/>
      <c r="AI61" s="4"/>
      <c r="AJ61" s="4"/>
      <c r="AK61" s="4"/>
      <c r="AL61" s="4"/>
      <c r="AM61" s="4"/>
      <c r="AN61" s="4"/>
      <c r="AO61" s="4"/>
      <c r="AP61" s="385"/>
      <c r="AQ61" s="4"/>
      <c r="AR61" s="4"/>
      <c r="AS61" s="386"/>
      <c r="AT61" s="386"/>
      <c r="AU61" s="386"/>
      <c r="AV61" s="386"/>
      <c r="AW61" s="4"/>
      <c r="AX61" s="4"/>
    </row>
    <row r="62" spans="1:50" x14ac:dyDescent="0.3">
      <c r="A62" s="59" t="s">
        <v>407</v>
      </c>
      <c r="B62" s="59" t="s">
        <v>249</v>
      </c>
      <c r="C62" s="59" t="s">
        <v>1423</v>
      </c>
      <c r="D62" s="59">
        <v>205</v>
      </c>
      <c r="E62" s="58">
        <v>64</v>
      </c>
      <c r="F62" s="384">
        <v>0.2</v>
      </c>
      <c r="G62" s="384">
        <v>0.61</v>
      </c>
      <c r="H62" s="384">
        <v>0.19</v>
      </c>
      <c r="I62" s="384">
        <v>0.09</v>
      </c>
      <c r="J62" s="59">
        <v>0.05</v>
      </c>
      <c r="K62" s="59">
        <v>49.5</v>
      </c>
      <c r="L62" s="59">
        <v>-5.9</v>
      </c>
      <c r="M62" s="59" t="s">
        <v>16</v>
      </c>
      <c r="N62" s="59" t="s">
        <v>2438</v>
      </c>
      <c r="O62" s="63">
        <v>55.4</v>
      </c>
      <c r="P62" s="59" t="s">
        <v>1423</v>
      </c>
      <c r="Q62" s="58">
        <v>188</v>
      </c>
      <c r="R62" s="59">
        <v>9</v>
      </c>
      <c r="S62" s="384">
        <v>0</v>
      </c>
      <c r="T62" s="395">
        <v>0.89</v>
      </c>
      <c r="U62" s="386">
        <v>0.11</v>
      </c>
      <c r="V62" s="386">
        <v>0.22</v>
      </c>
      <c r="W62" s="393">
        <v>0</v>
      </c>
      <c r="X62" s="4"/>
      <c r="Y62" s="4"/>
      <c r="Z62" s="4"/>
      <c r="AA62" s="385"/>
      <c r="AB62" s="4"/>
      <c r="AC62" s="4"/>
      <c r="AD62" s="386"/>
      <c r="AE62" s="386"/>
      <c r="AF62" s="386"/>
      <c r="AG62" s="386"/>
      <c r="AH62" s="4"/>
      <c r="AI62" s="4"/>
      <c r="AJ62" s="4"/>
      <c r="AK62" s="4"/>
      <c r="AL62" s="4"/>
      <c r="AM62" s="4"/>
      <c r="AN62" s="4"/>
      <c r="AO62" s="4"/>
      <c r="AP62" s="385"/>
      <c r="AQ62" s="4"/>
      <c r="AR62" s="4"/>
      <c r="AS62" s="386"/>
      <c r="AT62" s="386"/>
      <c r="AU62" s="386"/>
      <c r="AV62" s="386"/>
      <c r="AW62" s="4"/>
      <c r="AX62" s="4"/>
    </row>
    <row r="63" spans="1:50" x14ac:dyDescent="0.3">
      <c r="A63" s="59" t="s">
        <v>16</v>
      </c>
      <c r="B63" s="59" t="s">
        <v>283</v>
      </c>
      <c r="C63" s="59" t="s">
        <v>1424</v>
      </c>
      <c r="D63" s="59">
        <v>185</v>
      </c>
      <c r="E63" s="58">
        <v>87</v>
      </c>
      <c r="F63" s="384">
        <v>0.18</v>
      </c>
      <c r="G63" s="384">
        <v>0.31</v>
      </c>
      <c r="H63" s="384">
        <v>0.48</v>
      </c>
      <c r="I63" s="384">
        <v>0.1</v>
      </c>
      <c r="J63" s="59">
        <v>0.2</v>
      </c>
      <c r="K63" s="59">
        <v>70.5</v>
      </c>
      <c r="L63" s="59">
        <v>-6.6</v>
      </c>
      <c r="M63" s="59" t="s">
        <v>407</v>
      </c>
      <c r="N63" s="384" t="s">
        <v>1469</v>
      </c>
      <c r="O63" s="63">
        <v>77.099999999999994</v>
      </c>
      <c r="P63" s="384" t="s">
        <v>1430</v>
      </c>
      <c r="Q63" s="58">
        <v>188</v>
      </c>
      <c r="R63" s="59">
        <v>99</v>
      </c>
      <c r="S63" s="384">
        <v>0.56999999999999995</v>
      </c>
      <c r="T63" s="395">
        <v>0.05</v>
      </c>
      <c r="U63" s="386">
        <v>0.38</v>
      </c>
      <c r="V63" s="386">
        <v>0.13</v>
      </c>
      <c r="W63" s="393">
        <v>0.28000000000000003</v>
      </c>
      <c r="X63" s="4"/>
      <c r="Y63" s="4"/>
      <c r="Z63" s="4"/>
      <c r="AA63" s="385"/>
      <c r="AB63" s="4"/>
      <c r="AC63" s="4"/>
      <c r="AD63" s="386"/>
      <c r="AE63" s="386"/>
      <c r="AF63" s="386"/>
      <c r="AG63" s="386"/>
      <c r="AH63" s="4"/>
      <c r="AI63" s="4"/>
      <c r="AJ63" s="4"/>
      <c r="AK63" s="4"/>
      <c r="AL63" s="4"/>
      <c r="AM63" s="4"/>
      <c r="AN63" s="4"/>
      <c r="AO63" s="4"/>
      <c r="AP63" s="385"/>
      <c r="AQ63" s="4"/>
      <c r="AR63" s="4"/>
      <c r="AS63" s="386"/>
      <c r="AT63" s="386"/>
      <c r="AU63" s="386"/>
      <c r="AV63" s="386"/>
      <c r="AW63" s="4"/>
      <c r="AX63" s="4"/>
    </row>
    <row r="64" spans="1:50" x14ac:dyDescent="0.3">
      <c r="A64" s="59" t="s">
        <v>1236</v>
      </c>
      <c r="B64" s="59" t="s">
        <v>219</v>
      </c>
      <c r="C64" s="59" t="s">
        <v>1424</v>
      </c>
      <c r="D64" s="59">
        <v>220</v>
      </c>
      <c r="E64" s="58">
        <v>81</v>
      </c>
      <c r="F64" s="384">
        <v>0.35</v>
      </c>
      <c r="G64" s="384">
        <v>0.28000000000000003</v>
      </c>
      <c r="H64" s="384">
        <v>0.37</v>
      </c>
      <c r="I64" s="384">
        <v>0.19</v>
      </c>
      <c r="J64" s="59">
        <v>0.25</v>
      </c>
      <c r="K64" s="59">
        <v>71.099999999999994</v>
      </c>
      <c r="L64" s="59">
        <v>-6.8</v>
      </c>
      <c r="M64" s="59" t="s">
        <v>10</v>
      </c>
      <c r="N64" s="384" t="s">
        <v>1436</v>
      </c>
      <c r="O64" s="63">
        <v>77.900000000000006</v>
      </c>
      <c r="P64" s="384" t="s">
        <v>1430</v>
      </c>
      <c r="Q64" s="58">
        <v>193</v>
      </c>
      <c r="R64" s="59">
        <v>74</v>
      </c>
      <c r="S64" s="384">
        <v>0</v>
      </c>
      <c r="T64" s="395">
        <v>0.03</v>
      </c>
      <c r="U64" s="386">
        <v>0.97</v>
      </c>
      <c r="V64" s="386">
        <v>0.32</v>
      </c>
      <c r="W64" s="393">
        <v>0.54</v>
      </c>
      <c r="X64" s="4"/>
      <c r="Y64" s="4"/>
      <c r="Z64" s="4"/>
      <c r="AA64" s="385"/>
      <c r="AB64" s="4"/>
      <c r="AC64" s="4"/>
      <c r="AD64" s="386"/>
      <c r="AE64" s="386"/>
      <c r="AF64" s="386"/>
      <c r="AG64" s="386"/>
      <c r="AH64" s="4"/>
      <c r="AI64" s="4"/>
      <c r="AJ64" s="4"/>
      <c r="AK64" s="4"/>
      <c r="AL64" s="4"/>
      <c r="AM64" s="4"/>
      <c r="AN64" s="4"/>
      <c r="AO64" s="4"/>
      <c r="AP64" s="385"/>
      <c r="AQ64" s="4"/>
      <c r="AR64" s="4"/>
      <c r="AS64" s="386"/>
      <c r="AT64" s="386"/>
      <c r="AU64" s="386"/>
      <c r="AV64" s="386"/>
      <c r="AW64" s="4"/>
      <c r="AX64" s="4"/>
    </row>
    <row r="65" spans="1:50" x14ac:dyDescent="0.3">
      <c r="A65" s="59" t="s">
        <v>7</v>
      </c>
      <c r="B65" s="59" t="s">
        <v>192</v>
      </c>
      <c r="C65" s="59" t="s">
        <v>1423</v>
      </c>
      <c r="D65" s="59">
        <v>192</v>
      </c>
      <c r="E65" s="58">
        <v>92</v>
      </c>
      <c r="F65" s="384">
        <v>0.05</v>
      </c>
      <c r="G65" s="384">
        <v>0.86</v>
      </c>
      <c r="H65" s="384">
        <v>7.0000000000000007E-2</v>
      </c>
      <c r="I65" s="384">
        <v>0.18</v>
      </c>
      <c r="J65" s="59">
        <v>0.32</v>
      </c>
      <c r="K65" s="59">
        <v>76.7</v>
      </c>
      <c r="L65" s="59">
        <v>-7.2</v>
      </c>
      <c r="M65" s="59" t="s">
        <v>398</v>
      </c>
      <c r="N65" s="384" t="s">
        <v>1472</v>
      </c>
      <c r="O65" s="63">
        <v>83.9</v>
      </c>
      <c r="P65" s="384" t="s">
        <v>1423</v>
      </c>
      <c r="Q65" s="58">
        <v>193</v>
      </c>
      <c r="R65" s="59">
        <v>78</v>
      </c>
      <c r="S65" s="384">
        <v>0.26</v>
      </c>
      <c r="T65" s="395">
        <v>0.57999999999999996</v>
      </c>
      <c r="U65" s="386">
        <v>0.17</v>
      </c>
      <c r="V65" s="386">
        <v>0.17</v>
      </c>
      <c r="W65" s="393">
        <v>0.41</v>
      </c>
      <c r="X65" s="4"/>
      <c r="Y65" s="4"/>
      <c r="Z65" s="4"/>
      <c r="AA65" s="385"/>
      <c r="AB65" s="4"/>
      <c r="AC65" s="4"/>
      <c r="AD65" s="386"/>
      <c r="AE65" s="386"/>
      <c r="AF65" s="386"/>
      <c r="AG65" s="386"/>
      <c r="AH65" s="4"/>
      <c r="AI65" s="4"/>
      <c r="AJ65" s="4"/>
      <c r="AK65" s="4"/>
      <c r="AL65" s="4"/>
      <c r="AM65" s="4"/>
      <c r="AN65" s="4"/>
      <c r="AO65" s="4"/>
      <c r="AP65" s="385"/>
      <c r="AQ65" s="4"/>
      <c r="AR65" s="4"/>
      <c r="AS65" s="386"/>
      <c r="AT65" s="386"/>
      <c r="AU65" s="386"/>
      <c r="AV65" s="386"/>
      <c r="AW65" s="4"/>
      <c r="AX65" s="4"/>
    </row>
    <row r="66" spans="1:50" x14ac:dyDescent="0.3">
      <c r="A66" s="59" t="s">
        <v>57</v>
      </c>
      <c r="B66" s="59" t="s">
        <v>262</v>
      </c>
      <c r="C66" s="59" t="s">
        <v>1424</v>
      </c>
      <c r="D66" s="59">
        <v>212</v>
      </c>
      <c r="E66" s="58">
        <v>50</v>
      </c>
      <c r="F66" s="384">
        <v>0.2</v>
      </c>
      <c r="G66" s="384">
        <v>0.2</v>
      </c>
      <c r="H66" s="384">
        <v>0.6</v>
      </c>
      <c r="I66" s="384">
        <v>0.28000000000000003</v>
      </c>
      <c r="J66" s="59">
        <v>0.37</v>
      </c>
      <c r="K66" s="59">
        <v>77.3</v>
      </c>
      <c r="L66" s="59">
        <v>-8.1</v>
      </c>
      <c r="M66" s="59" t="s">
        <v>1239</v>
      </c>
      <c r="N66" s="384" t="s">
        <v>1492</v>
      </c>
      <c r="O66" s="63">
        <v>85.4</v>
      </c>
      <c r="P66" s="384" t="s">
        <v>1430</v>
      </c>
      <c r="Q66" s="58">
        <v>195</v>
      </c>
      <c r="R66" s="59">
        <v>86</v>
      </c>
      <c r="S66" s="384">
        <v>0</v>
      </c>
      <c r="T66" s="395">
        <v>7.0000000000000007E-2</v>
      </c>
      <c r="U66" s="386">
        <v>0.93</v>
      </c>
      <c r="V66" s="386">
        <v>0.2</v>
      </c>
      <c r="W66" s="393">
        <v>0.39</v>
      </c>
      <c r="X66" s="4"/>
      <c r="Y66" s="4"/>
      <c r="Z66" s="4"/>
      <c r="AA66" s="385"/>
      <c r="AB66" s="4"/>
      <c r="AC66" s="4"/>
      <c r="AD66" s="386"/>
      <c r="AE66" s="386"/>
      <c r="AF66" s="386"/>
      <c r="AG66" s="386"/>
      <c r="AH66" s="4"/>
      <c r="AI66" s="4"/>
      <c r="AJ66" s="4"/>
      <c r="AK66" s="4"/>
      <c r="AL66" s="4"/>
      <c r="AM66" s="4"/>
      <c r="AN66" s="4"/>
      <c r="AO66" s="4"/>
      <c r="AP66" s="385"/>
      <c r="AQ66" s="4"/>
      <c r="AR66" s="4"/>
      <c r="AS66" s="386"/>
      <c r="AT66" s="386"/>
      <c r="AU66" s="386"/>
      <c r="AV66" s="386"/>
      <c r="AW66" s="4"/>
      <c r="AX66" s="4"/>
    </row>
    <row r="67" spans="1:50" x14ac:dyDescent="0.3">
      <c r="A67" s="59" t="s">
        <v>10</v>
      </c>
      <c r="B67" s="59" t="s">
        <v>196</v>
      </c>
      <c r="C67" s="59" t="s">
        <v>1422</v>
      </c>
      <c r="D67" s="59">
        <v>211</v>
      </c>
      <c r="E67" s="58">
        <v>52</v>
      </c>
      <c r="F67" s="384">
        <v>0.57999999999999996</v>
      </c>
      <c r="G67" s="384">
        <v>0.23</v>
      </c>
      <c r="H67" s="384">
        <v>0.19</v>
      </c>
      <c r="I67" s="384">
        <v>0.19</v>
      </c>
      <c r="J67" s="59">
        <v>0.24</v>
      </c>
      <c r="K67" s="59">
        <v>74.7</v>
      </c>
      <c r="L67" s="59">
        <v>-8.5</v>
      </c>
      <c r="M67" s="59" t="s">
        <v>1236</v>
      </c>
      <c r="N67" s="384" t="s">
        <v>1479</v>
      </c>
      <c r="O67" s="63">
        <v>83.2</v>
      </c>
      <c r="P67" s="384" t="s">
        <v>1429</v>
      </c>
      <c r="Q67" s="58">
        <v>203</v>
      </c>
      <c r="R67" s="59">
        <v>81</v>
      </c>
      <c r="S67" s="384">
        <v>0.25</v>
      </c>
      <c r="T67" s="395">
        <v>0.06</v>
      </c>
      <c r="U67" s="386">
        <v>0.69</v>
      </c>
      <c r="V67" s="386">
        <v>0.17</v>
      </c>
      <c r="W67" s="393">
        <v>0.24</v>
      </c>
      <c r="X67" s="4"/>
      <c r="Y67" s="4"/>
      <c r="Z67" s="4"/>
      <c r="AA67" s="385"/>
      <c r="AB67" s="4"/>
      <c r="AC67" s="4"/>
      <c r="AD67" s="386"/>
      <c r="AE67" s="386"/>
      <c r="AF67" s="386"/>
      <c r="AG67" s="386"/>
      <c r="AH67" s="4"/>
      <c r="AI67" s="4"/>
      <c r="AJ67" s="4"/>
      <c r="AK67" s="4"/>
      <c r="AL67" s="4"/>
      <c r="AM67" s="4"/>
      <c r="AN67" s="4"/>
      <c r="AO67" s="4"/>
      <c r="AP67" s="385"/>
      <c r="AQ67" s="4"/>
      <c r="AR67" s="4"/>
      <c r="AS67" s="386"/>
      <c r="AT67" s="386"/>
      <c r="AU67" s="386"/>
      <c r="AV67" s="386"/>
      <c r="AW67" s="4"/>
      <c r="AX67" s="4"/>
    </row>
    <row r="68" spans="1:50" x14ac:dyDescent="0.3">
      <c r="A68" s="59" t="s">
        <v>395</v>
      </c>
      <c r="B68" s="59" t="s">
        <v>427</v>
      </c>
      <c r="C68" s="59" t="s">
        <v>1424</v>
      </c>
      <c r="D68" s="59">
        <v>217</v>
      </c>
      <c r="E68" s="58">
        <v>83</v>
      </c>
      <c r="F68" s="384">
        <v>0.31</v>
      </c>
      <c r="G68" s="384">
        <v>0.16</v>
      </c>
      <c r="H68" s="384">
        <v>0.53</v>
      </c>
      <c r="I68" s="384">
        <v>0.25</v>
      </c>
      <c r="J68" s="59">
        <v>0.4</v>
      </c>
      <c r="K68" s="59">
        <v>73.400000000000006</v>
      </c>
      <c r="L68" s="59">
        <v>-8.5</v>
      </c>
      <c r="M68" s="59" t="s">
        <v>26</v>
      </c>
      <c r="N68" s="384" t="s">
        <v>1464</v>
      </c>
      <c r="O68" s="63">
        <v>81.900000000000006</v>
      </c>
      <c r="P68" s="384" t="s">
        <v>1430</v>
      </c>
      <c r="Q68" s="58">
        <v>190</v>
      </c>
      <c r="R68" s="59">
        <v>90</v>
      </c>
      <c r="S68" s="384">
        <v>0.28999999999999998</v>
      </c>
      <c r="T68" s="395">
        <v>0.04</v>
      </c>
      <c r="U68" s="386">
        <v>0.67</v>
      </c>
      <c r="V68" s="386">
        <v>0.24</v>
      </c>
      <c r="W68" s="393">
        <v>0.48</v>
      </c>
      <c r="X68" s="4"/>
      <c r="Y68" s="4"/>
      <c r="Z68" s="4"/>
      <c r="AA68" s="385"/>
      <c r="AB68" s="4"/>
      <c r="AC68" s="4"/>
      <c r="AD68" s="386"/>
      <c r="AE68" s="386"/>
      <c r="AF68" s="386"/>
      <c r="AG68" s="386"/>
      <c r="AH68" s="4"/>
      <c r="AI68" s="4"/>
      <c r="AJ68" s="4"/>
      <c r="AK68" s="4"/>
      <c r="AL68" s="4"/>
      <c r="AM68" s="4"/>
      <c r="AN68" s="4"/>
      <c r="AO68" s="4"/>
      <c r="AP68" s="4"/>
      <c r="AQ68" s="4"/>
      <c r="AR68" s="4"/>
      <c r="AS68" s="386"/>
      <c r="AT68" s="386"/>
      <c r="AU68" s="386"/>
      <c r="AV68" s="386"/>
      <c r="AW68" s="4"/>
      <c r="AX68" s="4"/>
    </row>
    <row r="69" spans="1:50" x14ac:dyDescent="0.3">
      <c r="A69" s="59" t="s">
        <v>409</v>
      </c>
      <c r="B69" s="59" t="s">
        <v>214</v>
      </c>
      <c r="C69" s="59" t="s">
        <v>1423</v>
      </c>
      <c r="D69" s="59">
        <v>176</v>
      </c>
      <c r="E69" s="58">
        <v>73</v>
      </c>
      <c r="F69" s="384">
        <v>0.16</v>
      </c>
      <c r="G69" s="384">
        <v>0.56000000000000005</v>
      </c>
      <c r="H69" s="384">
        <v>0.23</v>
      </c>
      <c r="I69" s="384">
        <v>0.26</v>
      </c>
      <c r="J69" s="59">
        <v>0.21</v>
      </c>
      <c r="K69" s="59">
        <v>42.6</v>
      </c>
      <c r="L69" s="59">
        <v>-8.6</v>
      </c>
      <c r="M69" s="59" t="s">
        <v>401</v>
      </c>
      <c r="N69" s="384" t="s">
        <v>1781</v>
      </c>
      <c r="O69" s="63">
        <v>51.2</v>
      </c>
      <c r="P69" s="384" t="s">
        <v>1423</v>
      </c>
      <c r="Q69" s="58">
        <v>204</v>
      </c>
      <c r="R69" s="59">
        <v>70</v>
      </c>
      <c r="S69" s="384">
        <v>0.33</v>
      </c>
      <c r="T69" s="395">
        <v>0.67</v>
      </c>
      <c r="U69" s="386">
        <v>0</v>
      </c>
      <c r="V69" s="386">
        <v>0.19</v>
      </c>
      <c r="W69" s="393">
        <v>0.57999999999999996</v>
      </c>
      <c r="X69" s="4"/>
      <c r="Y69" s="4"/>
      <c r="Z69" s="4"/>
      <c r="AA69" s="385"/>
      <c r="AB69" s="4"/>
      <c r="AC69" s="4"/>
      <c r="AD69" s="386"/>
      <c r="AE69" s="386"/>
      <c r="AF69" s="386"/>
      <c r="AG69" s="386"/>
      <c r="AH69" s="4"/>
      <c r="AI69" s="4"/>
      <c r="AJ69" s="4"/>
      <c r="AK69" s="4"/>
      <c r="AL69" s="4"/>
      <c r="AM69" s="4"/>
      <c r="AN69" s="4"/>
      <c r="AO69" s="4"/>
      <c r="AP69" s="385"/>
      <c r="AQ69" s="4"/>
      <c r="AR69" s="4"/>
      <c r="AS69" s="386"/>
      <c r="AT69" s="386"/>
      <c r="AU69" s="386"/>
      <c r="AV69" s="386"/>
      <c r="AW69" s="4"/>
      <c r="AX69" s="4"/>
    </row>
    <row r="70" spans="1:50" x14ac:dyDescent="0.3">
      <c r="A70" s="59" t="s">
        <v>1238</v>
      </c>
      <c r="B70" s="59" t="s">
        <v>268</v>
      </c>
      <c r="C70" s="59" t="s">
        <v>1423</v>
      </c>
      <c r="D70" s="59">
        <v>217</v>
      </c>
      <c r="E70" s="58">
        <v>29</v>
      </c>
      <c r="F70" s="384">
        <v>7.0000000000000007E-2</v>
      </c>
      <c r="G70" s="384">
        <v>0.86</v>
      </c>
      <c r="H70" s="384">
        <v>7.0000000000000007E-2</v>
      </c>
      <c r="I70" s="384">
        <v>0.03</v>
      </c>
      <c r="J70" s="59">
        <v>0</v>
      </c>
      <c r="K70" s="59">
        <v>52.2</v>
      </c>
      <c r="L70" s="59">
        <v>-9.3000000000000007</v>
      </c>
      <c r="M70" s="59" t="s">
        <v>402</v>
      </c>
      <c r="N70" s="384" t="s">
        <v>1432</v>
      </c>
      <c r="O70" s="63">
        <v>61.5</v>
      </c>
      <c r="P70" s="384" t="s">
        <v>1423</v>
      </c>
      <c r="Q70" s="58">
        <v>195</v>
      </c>
      <c r="R70" s="59">
        <v>86</v>
      </c>
      <c r="S70" s="384">
        <v>0.16</v>
      </c>
      <c r="T70" s="395">
        <v>0.62</v>
      </c>
      <c r="U70" s="386">
        <v>0.22</v>
      </c>
      <c r="V70" s="386">
        <v>0.24</v>
      </c>
      <c r="W70" s="393">
        <v>0.52</v>
      </c>
      <c r="X70" s="4"/>
      <c r="Y70" s="4"/>
      <c r="Z70" s="4"/>
      <c r="AA70" s="387"/>
      <c r="AB70" s="4"/>
      <c r="AC70" s="4"/>
      <c r="AD70" s="386"/>
      <c r="AE70" s="386"/>
      <c r="AF70" s="386"/>
      <c r="AG70" s="386"/>
      <c r="AH70" s="4"/>
      <c r="AI70" s="4"/>
      <c r="AJ70" s="4"/>
      <c r="AK70" s="4"/>
      <c r="AL70" s="4"/>
      <c r="AM70" s="4"/>
      <c r="AN70" s="4"/>
      <c r="AO70" s="4"/>
      <c r="AP70" s="387"/>
      <c r="AQ70" s="4"/>
      <c r="AR70" s="4"/>
      <c r="AS70" s="386"/>
      <c r="AT70" s="386"/>
      <c r="AU70" s="386"/>
      <c r="AV70" s="386"/>
      <c r="AW70" s="4"/>
      <c r="AX70" s="4"/>
    </row>
    <row r="71" spans="1:50" x14ac:dyDescent="0.3">
      <c r="A71" s="59" t="s">
        <v>39</v>
      </c>
      <c r="B71" s="59" t="s">
        <v>247</v>
      </c>
      <c r="C71" s="59" t="s">
        <v>1422</v>
      </c>
      <c r="D71" s="59">
        <v>237</v>
      </c>
      <c r="E71" s="58">
        <v>45</v>
      </c>
      <c r="F71" s="384">
        <v>0.42</v>
      </c>
      <c r="G71" s="384">
        <v>0.16</v>
      </c>
      <c r="H71" s="384">
        <v>0.42</v>
      </c>
      <c r="I71" s="384">
        <v>0.13</v>
      </c>
      <c r="J71" s="59">
        <v>0.16</v>
      </c>
      <c r="K71" s="59">
        <v>66.599999999999994</v>
      </c>
      <c r="L71" s="59">
        <v>-9.6</v>
      </c>
      <c r="M71" s="59" t="s">
        <v>20</v>
      </c>
      <c r="N71" s="384" t="s">
        <v>1509</v>
      </c>
      <c r="O71" s="63">
        <v>76.2</v>
      </c>
      <c r="P71" s="384" t="s">
        <v>1429</v>
      </c>
      <c r="Q71" s="58">
        <v>187</v>
      </c>
      <c r="R71" s="59">
        <v>95</v>
      </c>
      <c r="S71" s="384">
        <v>0.47</v>
      </c>
      <c r="T71" s="395">
        <v>0.36</v>
      </c>
      <c r="U71" s="386">
        <v>0.17</v>
      </c>
      <c r="V71" s="386">
        <v>0.12</v>
      </c>
      <c r="W71" s="393">
        <v>0.24</v>
      </c>
      <c r="X71" s="4"/>
      <c r="Y71" s="4"/>
      <c r="Z71" s="4"/>
      <c r="AA71" s="385"/>
      <c r="AB71" s="4"/>
      <c r="AC71" s="4"/>
      <c r="AD71" s="386"/>
      <c r="AE71" s="386"/>
      <c r="AF71" s="386"/>
      <c r="AG71" s="386"/>
      <c r="AH71" s="4"/>
      <c r="AI71" s="4"/>
      <c r="AJ71" s="4"/>
      <c r="AK71" s="4"/>
      <c r="AL71" s="4"/>
      <c r="AM71" s="4"/>
      <c r="AN71" s="4"/>
      <c r="AO71" s="4"/>
      <c r="AP71" s="385"/>
      <c r="AQ71" s="4"/>
      <c r="AR71" s="4"/>
      <c r="AS71" s="386"/>
      <c r="AT71" s="386"/>
      <c r="AU71" s="386"/>
      <c r="AV71" s="386"/>
      <c r="AW71" s="4"/>
      <c r="AX71" s="4"/>
    </row>
    <row r="72" spans="1:50" x14ac:dyDescent="0.3">
      <c r="A72" s="59" t="s">
        <v>10</v>
      </c>
      <c r="B72" s="59" t="s">
        <v>306</v>
      </c>
      <c r="C72" s="59" t="s">
        <v>1424</v>
      </c>
      <c r="D72" s="59">
        <v>179</v>
      </c>
      <c r="E72" s="58">
        <v>32</v>
      </c>
      <c r="F72" s="384">
        <v>0.19</v>
      </c>
      <c r="G72" s="384">
        <v>0.22</v>
      </c>
      <c r="H72" s="384">
        <v>0.59</v>
      </c>
      <c r="I72" s="384">
        <v>0.16</v>
      </c>
      <c r="J72" s="59">
        <v>0.54</v>
      </c>
      <c r="K72" s="59">
        <v>71.8</v>
      </c>
      <c r="L72" s="59">
        <v>-9.8000000000000007</v>
      </c>
      <c r="M72" s="59" t="s">
        <v>1236</v>
      </c>
      <c r="N72" s="384" t="s">
        <v>2433</v>
      </c>
      <c r="O72" s="63">
        <v>81.599999999999994</v>
      </c>
      <c r="P72" s="384" t="s">
        <v>1430</v>
      </c>
      <c r="Q72" s="58">
        <v>192</v>
      </c>
      <c r="R72" s="59">
        <v>51</v>
      </c>
      <c r="S72" s="384">
        <v>0.51</v>
      </c>
      <c r="T72" s="395">
        <v>0.16</v>
      </c>
      <c r="U72" s="386">
        <v>0.33</v>
      </c>
      <c r="V72" s="386">
        <v>0.2</v>
      </c>
      <c r="W72" s="393">
        <v>0.26</v>
      </c>
      <c r="X72" s="4"/>
      <c r="Y72" s="4"/>
      <c r="Z72" s="4"/>
      <c r="AA72" s="385"/>
      <c r="AB72" s="4"/>
      <c r="AC72" s="4"/>
      <c r="AD72" s="386"/>
      <c r="AE72" s="386"/>
      <c r="AF72" s="386"/>
      <c r="AG72" s="386"/>
      <c r="AH72" s="4"/>
      <c r="AI72" s="4"/>
      <c r="AJ72" s="4"/>
      <c r="AK72" s="4"/>
      <c r="AL72" s="4"/>
      <c r="AM72" s="4"/>
      <c r="AN72" s="4"/>
      <c r="AO72" s="4"/>
      <c r="AP72" s="387"/>
      <c r="AQ72" s="4"/>
      <c r="AR72" s="4"/>
      <c r="AS72" s="4"/>
      <c r="AT72" s="4"/>
      <c r="AU72" s="4"/>
      <c r="AV72" s="4"/>
      <c r="AW72" s="4"/>
      <c r="AX72" s="4"/>
    </row>
    <row r="73" spans="1:50" x14ac:dyDescent="0.3">
      <c r="A73" s="59" t="s">
        <v>398</v>
      </c>
      <c r="B73" s="59" t="s">
        <v>294</v>
      </c>
      <c r="C73" s="59" t="s">
        <v>1423</v>
      </c>
      <c r="D73" s="59">
        <v>188</v>
      </c>
      <c r="E73" s="58">
        <v>71</v>
      </c>
      <c r="F73" s="384">
        <v>0.08</v>
      </c>
      <c r="G73" s="384">
        <v>0.9</v>
      </c>
      <c r="H73" s="384">
        <v>0.01</v>
      </c>
      <c r="I73" s="384">
        <v>0.27</v>
      </c>
      <c r="J73" s="59">
        <v>0.28999999999999998</v>
      </c>
      <c r="K73" s="59">
        <v>73.2</v>
      </c>
      <c r="L73" s="59">
        <v>-10.4</v>
      </c>
      <c r="M73" s="59" t="s">
        <v>7</v>
      </c>
      <c r="N73" s="384" t="s">
        <v>1473</v>
      </c>
      <c r="O73" s="63">
        <v>83.6</v>
      </c>
      <c r="P73" s="384" t="s">
        <v>1423</v>
      </c>
      <c r="Q73" s="58">
        <v>190</v>
      </c>
      <c r="R73" s="59">
        <v>49</v>
      </c>
      <c r="S73" s="384">
        <v>0.12</v>
      </c>
      <c r="T73" s="395">
        <v>0.8</v>
      </c>
      <c r="U73" s="386">
        <v>0.08</v>
      </c>
      <c r="V73" s="386">
        <v>0.23</v>
      </c>
      <c r="W73" s="393">
        <v>0.37</v>
      </c>
      <c r="X73" s="4"/>
      <c r="Y73" s="4"/>
      <c r="Z73" s="4"/>
      <c r="AA73" s="385"/>
      <c r="AB73" s="4"/>
      <c r="AC73" s="4"/>
      <c r="AD73" s="386"/>
      <c r="AE73" s="386"/>
      <c r="AF73" s="386"/>
      <c r="AG73" s="386"/>
      <c r="AH73" s="4"/>
      <c r="AI73" s="4"/>
      <c r="AJ73" s="4"/>
      <c r="AK73" s="4"/>
      <c r="AL73" s="4"/>
      <c r="AM73" s="4"/>
      <c r="AN73" s="4"/>
      <c r="AO73" s="4"/>
      <c r="AP73" s="385"/>
      <c r="AQ73" s="4"/>
      <c r="AR73" s="4"/>
      <c r="AS73" s="386"/>
      <c r="AT73" s="386"/>
      <c r="AU73" s="386"/>
      <c r="AV73" s="386"/>
      <c r="AW73" s="4"/>
      <c r="AX73" s="4"/>
    </row>
    <row r="74" spans="1:50" x14ac:dyDescent="0.3">
      <c r="A74" s="59" t="s">
        <v>4</v>
      </c>
      <c r="B74" s="59" t="s">
        <v>245</v>
      </c>
      <c r="C74" s="59" t="s">
        <v>1423</v>
      </c>
      <c r="D74" s="59">
        <v>195</v>
      </c>
      <c r="E74" s="58">
        <v>80</v>
      </c>
      <c r="F74" s="384">
        <v>0.13</v>
      </c>
      <c r="G74" s="384">
        <v>0.69</v>
      </c>
      <c r="H74" s="384">
        <v>0.1</v>
      </c>
      <c r="I74" s="384">
        <v>0.1</v>
      </c>
      <c r="J74" s="59">
        <v>0.19</v>
      </c>
      <c r="K74" s="59">
        <v>52</v>
      </c>
      <c r="L74" s="59">
        <v>-10.7</v>
      </c>
      <c r="M74" s="59" t="s">
        <v>30</v>
      </c>
      <c r="N74" s="384" t="s">
        <v>1478</v>
      </c>
      <c r="O74" s="63">
        <v>62.7</v>
      </c>
      <c r="P74" s="384" t="s">
        <v>1423</v>
      </c>
      <c r="Q74" s="58">
        <v>190</v>
      </c>
      <c r="R74" s="59">
        <v>66</v>
      </c>
      <c r="S74" s="384">
        <v>0</v>
      </c>
      <c r="T74" s="395">
        <v>1</v>
      </c>
      <c r="U74" s="386">
        <v>0</v>
      </c>
      <c r="V74" s="386">
        <v>0.17</v>
      </c>
      <c r="W74" s="393">
        <v>0.38</v>
      </c>
      <c r="X74" s="4"/>
      <c r="Y74" s="4"/>
      <c r="Z74" s="4"/>
      <c r="AA74" s="385"/>
      <c r="AB74" s="4"/>
      <c r="AC74" s="4"/>
      <c r="AD74" s="386"/>
      <c r="AE74" s="386"/>
      <c r="AF74" s="386"/>
      <c r="AG74" s="386"/>
      <c r="AH74" s="4"/>
      <c r="AI74" s="4"/>
      <c r="AJ74" s="4"/>
      <c r="AK74" s="4"/>
      <c r="AL74" s="4"/>
      <c r="AM74" s="4"/>
      <c r="AN74" s="4"/>
      <c r="AO74" s="4"/>
      <c r="AP74" s="387"/>
      <c r="AQ74" s="4"/>
      <c r="AR74" s="4"/>
      <c r="AS74" s="386"/>
      <c r="AT74" s="386"/>
      <c r="AU74" s="386"/>
      <c r="AV74" s="386"/>
      <c r="AW74" s="4"/>
      <c r="AX74" s="4"/>
    </row>
    <row r="75" spans="1:50" x14ac:dyDescent="0.3">
      <c r="A75" s="59" t="s">
        <v>28</v>
      </c>
      <c r="B75" s="59" t="s">
        <v>465</v>
      </c>
      <c r="C75" s="59" t="s">
        <v>1423</v>
      </c>
      <c r="D75" s="59">
        <v>197</v>
      </c>
      <c r="E75" s="58">
        <v>81</v>
      </c>
      <c r="F75" s="384">
        <v>0.05</v>
      </c>
      <c r="G75" s="384">
        <v>0.91</v>
      </c>
      <c r="H75" s="384">
        <v>0.04</v>
      </c>
      <c r="I75" s="384">
        <v>0.15</v>
      </c>
      <c r="J75" s="59">
        <v>0.23</v>
      </c>
      <c r="K75" s="59">
        <v>71.400000000000006</v>
      </c>
      <c r="L75" s="59">
        <v>-10.9</v>
      </c>
      <c r="M75" s="59" t="s">
        <v>70</v>
      </c>
      <c r="N75" s="384" t="s">
        <v>1444</v>
      </c>
      <c r="O75" s="63">
        <v>82.3</v>
      </c>
      <c r="P75" s="384" t="s">
        <v>1423</v>
      </c>
      <c r="Q75" s="58">
        <v>199</v>
      </c>
      <c r="R75" s="59">
        <v>80</v>
      </c>
      <c r="S75" s="384">
        <v>0.3</v>
      </c>
      <c r="T75" s="395">
        <v>0.7</v>
      </c>
      <c r="U75" s="386">
        <v>0</v>
      </c>
      <c r="V75" s="386">
        <v>0.13</v>
      </c>
      <c r="W75" s="393">
        <v>0.21</v>
      </c>
      <c r="X75" s="4"/>
      <c r="Y75" s="4"/>
      <c r="Z75" s="4"/>
      <c r="AA75" s="385"/>
      <c r="AB75" s="4"/>
      <c r="AC75" s="4"/>
      <c r="AD75" s="386"/>
      <c r="AE75" s="386"/>
      <c r="AF75" s="386"/>
      <c r="AG75" s="386"/>
      <c r="AH75" s="4"/>
      <c r="AI75" s="4"/>
      <c r="AJ75" s="4"/>
      <c r="AK75" s="4"/>
      <c r="AL75" s="4"/>
      <c r="AM75" s="4"/>
      <c r="AN75" s="4"/>
      <c r="AO75" s="4"/>
      <c r="AP75" s="385"/>
      <c r="AQ75" s="4"/>
      <c r="AR75" s="4"/>
      <c r="AS75" s="386"/>
      <c r="AT75" s="386"/>
      <c r="AU75" s="386"/>
      <c r="AV75" s="386"/>
      <c r="AW75" s="4"/>
      <c r="AX75" s="4"/>
    </row>
    <row r="76" spans="1:50" x14ac:dyDescent="0.3">
      <c r="A76" s="59" t="s">
        <v>397</v>
      </c>
      <c r="B76" s="59" t="s">
        <v>285</v>
      </c>
      <c r="C76" s="59" t="s">
        <v>1422</v>
      </c>
      <c r="D76" s="59">
        <v>205</v>
      </c>
      <c r="E76" s="58">
        <v>90</v>
      </c>
      <c r="F76" s="384">
        <v>0.53</v>
      </c>
      <c r="G76" s="384">
        <v>0.11</v>
      </c>
      <c r="H76" s="384">
        <v>0.36</v>
      </c>
      <c r="I76" s="384">
        <v>0.12</v>
      </c>
      <c r="J76" s="59">
        <v>0.13</v>
      </c>
      <c r="K76" s="59">
        <v>57</v>
      </c>
      <c r="L76" s="59">
        <v>-11.3</v>
      </c>
      <c r="M76" s="59" t="s">
        <v>34</v>
      </c>
      <c r="N76" s="384" t="s">
        <v>1450</v>
      </c>
      <c r="O76" s="63">
        <v>68.3</v>
      </c>
      <c r="P76" s="384" t="s">
        <v>1429</v>
      </c>
      <c r="Q76" s="58">
        <v>196</v>
      </c>
      <c r="R76" s="59">
        <v>59</v>
      </c>
      <c r="S76" s="384">
        <v>0.8</v>
      </c>
      <c r="T76" s="395">
        <v>0</v>
      </c>
      <c r="U76" s="386">
        <v>0.2</v>
      </c>
      <c r="V76" s="386">
        <v>0.15</v>
      </c>
      <c r="W76" s="393">
        <v>0.27</v>
      </c>
      <c r="X76" s="4"/>
      <c r="Y76" s="4"/>
      <c r="Z76" s="4"/>
      <c r="AA76" s="385"/>
      <c r="AB76" s="4"/>
      <c r="AC76" s="4"/>
      <c r="AD76" s="386"/>
      <c r="AE76" s="386"/>
      <c r="AF76" s="386"/>
      <c r="AG76" s="386"/>
      <c r="AH76" s="4"/>
      <c r="AI76" s="4"/>
      <c r="AJ76" s="4"/>
      <c r="AK76" s="4"/>
      <c r="AL76" s="4"/>
      <c r="AM76" s="4"/>
      <c r="AN76" s="4"/>
      <c r="AO76" s="4"/>
      <c r="AP76" s="385"/>
      <c r="AQ76" s="4"/>
      <c r="AR76" s="4"/>
      <c r="AS76" s="386"/>
      <c r="AT76" s="386"/>
      <c r="AU76" s="386"/>
      <c r="AV76" s="386"/>
      <c r="AW76" s="4"/>
      <c r="AX76" s="4"/>
    </row>
    <row r="77" spans="1:50" x14ac:dyDescent="0.3">
      <c r="A77" s="59" t="s">
        <v>12</v>
      </c>
      <c r="B77" s="59" t="s">
        <v>194</v>
      </c>
      <c r="C77" s="59" t="s">
        <v>1422</v>
      </c>
      <c r="D77" s="59">
        <v>215</v>
      </c>
      <c r="E77" s="58">
        <v>91</v>
      </c>
      <c r="F77" s="384">
        <v>0.37</v>
      </c>
      <c r="G77" s="384">
        <v>0.33</v>
      </c>
      <c r="H77" s="384">
        <v>0.3</v>
      </c>
      <c r="I77" s="384">
        <v>0.21</v>
      </c>
      <c r="J77" s="59">
        <v>0.24</v>
      </c>
      <c r="K77" s="59">
        <v>59.6</v>
      </c>
      <c r="L77" s="59">
        <v>-12.4</v>
      </c>
      <c r="M77" s="59" t="s">
        <v>1237</v>
      </c>
      <c r="N77" s="384" t="s">
        <v>1439</v>
      </c>
      <c r="O77" s="63">
        <v>72</v>
      </c>
      <c r="P77" s="384" t="s">
        <v>1429</v>
      </c>
      <c r="Q77" s="58">
        <v>210</v>
      </c>
      <c r="R77" s="59">
        <v>65</v>
      </c>
      <c r="S77" s="384">
        <v>0.75</v>
      </c>
      <c r="T77" s="395">
        <v>0.03</v>
      </c>
      <c r="U77" s="386">
        <v>0.22</v>
      </c>
      <c r="V77" s="386">
        <v>0.17</v>
      </c>
      <c r="W77" s="393">
        <v>0.28999999999999998</v>
      </c>
      <c r="X77" s="4"/>
      <c r="Y77" s="4"/>
      <c r="Z77" s="4"/>
      <c r="AA77" s="385"/>
      <c r="AB77" s="4"/>
      <c r="AC77" s="4"/>
      <c r="AD77" s="386"/>
      <c r="AE77" s="386"/>
      <c r="AF77" s="386"/>
      <c r="AG77" s="386"/>
      <c r="AH77" s="4"/>
      <c r="AI77" s="4"/>
      <c r="AJ77" s="4"/>
      <c r="AK77" s="4"/>
      <c r="AL77" s="4"/>
      <c r="AM77" s="4"/>
      <c r="AN77" s="4"/>
      <c r="AO77" s="4"/>
      <c r="AP77" s="385"/>
      <c r="AQ77" s="4"/>
      <c r="AR77" s="4"/>
      <c r="AS77" s="386"/>
      <c r="AT77" s="386"/>
      <c r="AU77" s="386"/>
      <c r="AV77" s="386"/>
      <c r="AW77" s="4"/>
      <c r="AX77" s="4"/>
    </row>
    <row r="78" spans="1:50" x14ac:dyDescent="0.3">
      <c r="A78" s="59" t="s">
        <v>22</v>
      </c>
      <c r="B78" s="59" t="s">
        <v>222</v>
      </c>
      <c r="C78" s="59" t="s">
        <v>1424</v>
      </c>
      <c r="D78" s="59">
        <v>180</v>
      </c>
      <c r="E78" s="58">
        <v>59</v>
      </c>
      <c r="F78" s="384">
        <v>0.31</v>
      </c>
      <c r="G78" s="384">
        <v>0.27</v>
      </c>
      <c r="H78" s="384">
        <v>0.42</v>
      </c>
      <c r="I78" s="384">
        <v>0.1</v>
      </c>
      <c r="J78" s="59">
        <v>0.15</v>
      </c>
      <c r="K78" s="59">
        <v>53.9</v>
      </c>
      <c r="L78" s="59">
        <v>-13.4</v>
      </c>
      <c r="M78" s="59" t="s">
        <v>41</v>
      </c>
      <c r="N78" s="384" t="s">
        <v>1506</v>
      </c>
      <c r="O78" s="63">
        <v>67.3</v>
      </c>
      <c r="P78" s="384" t="s">
        <v>1430</v>
      </c>
      <c r="Q78" s="58">
        <v>197</v>
      </c>
      <c r="R78" s="59">
        <v>89</v>
      </c>
      <c r="S78" s="384">
        <v>0</v>
      </c>
      <c r="T78" s="395">
        <v>0</v>
      </c>
      <c r="U78" s="386">
        <v>1</v>
      </c>
      <c r="V78" s="386">
        <v>0.19</v>
      </c>
      <c r="W78" s="393">
        <v>0.14000000000000001</v>
      </c>
      <c r="X78" s="4"/>
      <c r="Y78" s="4"/>
      <c r="Z78" s="4"/>
      <c r="AA78" s="387"/>
      <c r="AB78" s="4"/>
      <c r="AC78" s="4"/>
      <c r="AD78" s="386"/>
      <c r="AE78" s="386"/>
      <c r="AF78" s="386"/>
      <c r="AG78" s="386"/>
      <c r="AH78" s="4"/>
      <c r="AI78" s="4"/>
      <c r="AJ78" s="4"/>
      <c r="AK78" s="4"/>
      <c r="AL78" s="4"/>
      <c r="AM78" s="4"/>
      <c r="AN78" s="4"/>
      <c r="AO78" s="4"/>
      <c r="AP78" s="385"/>
      <c r="AQ78" s="4"/>
      <c r="AR78" s="4"/>
      <c r="AS78" s="4"/>
      <c r="AT78" s="4"/>
      <c r="AU78" s="4"/>
      <c r="AV78" s="4"/>
      <c r="AW78" s="4"/>
      <c r="AX78" s="4"/>
    </row>
    <row r="79" spans="1:50" x14ac:dyDescent="0.3">
      <c r="A79" s="59" t="s">
        <v>1237</v>
      </c>
      <c r="B79" s="59" t="s">
        <v>221</v>
      </c>
      <c r="C79" s="59" t="s">
        <v>1422</v>
      </c>
      <c r="D79" s="59">
        <v>215</v>
      </c>
      <c r="E79" s="58">
        <v>36</v>
      </c>
      <c r="F79" s="384">
        <v>0.22</v>
      </c>
      <c r="G79" s="384">
        <v>0.61</v>
      </c>
      <c r="H79" s="384">
        <v>0.17</v>
      </c>
      <c r="I79" s="384">
        <v>0.11</v>
      </c>
      <c r="J79" s="59">
        <v>0.09</v>
      </c>
      <c r="K79" s="59">
        <v>58.9</v>
      </c>
      <c r="L79" s="59">
        <v>-13.9</v>
      </c>
      <c r="M79" s="59" t="s">
        <v>12</v>
      </c>
      <c r="N79" s="384" t="s">
        <v>1460</v>
      </c>
      <c r="O79" s="63">
        <v>72.8</v>
      </c>
      <c r="P79" s="384" t="s">
        <v>1429</v>
      </c>
      <c r="Q79" s="58">
        <v>205</v>
      </c>
      <c r="R79" s="59">
        <v>40</v>
      </c>
      <c r="S79" s="384">
        <v>0.93</v>
      </c>
      <c r="T79" s="395">
        <v>0.08</v>
      </c>
      <c r="U79" s="386">
        <v>0</v>
      </c>
      <c r="V79" s="386">
        <v>0.3</v>
      </c>
      <c r="W79" s="393">
        <v>0.21</v>
      </c>
      <c r="X79" s="4"/>
      <c r="Y79" s="4"/>
      <c r="Z79" s="4"/>
      <c r="AA79" s="385"/>
      <c r="AB79" s="4"/>
      <c r="AC79" s="4"/>
      <c r="AD79" s="386"/>
      <c r="AE79" s="386"/>
      <c r="AF79" s="386"/>
      <c r="AG79" s="386"/>
      <c r="AH79" s="4"/>
      <c r="AI79" s="4"/>
      <c r="AJ79" s="4"/>
      <c r="AK79" s="4"/>
      <c r="AL79" s="4"/>
      <c r="AM79" s="4"/>
      <c r="AN79" s="4"/>
      <c r="AO79" s="4"/>
      <c r="AP79" s="385"/>
      <c r="AQ79" s="4"/>
      <c r="AR79" s="4"/>
      <c r="AS79" s="386"/>
      <c r="AT79" s="386"/>
      <c r="AU79" s="386"/>
      <c r="AV79" s="386"/>
      <c r="AW79" s="4"/>
      <c r="AX79" s="4"/>
    </row>
    <row r="80" spans="1:50" x14ac:dyDescent="0.3">
      <c r="A80" s="59" t="s">
        <v>18</v>
      </c>
      <c r="B80" s="59" t="s">
        <v>220</v>
      </c>
      <c r="C80" s="59" t="s">
        <v>1422</v>
      </c>
      <c r="D80" s="59">
        <v>211</v>
      </c>
      <c r="E80" s="58">
        <v>66</v>
      </c>
      <c r="F80" s="384">
        <v>0.53</v>
      </c>
      <c r="G80" s="384">
        <v>0.18</v>
      </c>
      <c r="H80" s="384">
        <v>0.28999999999999998</v>
      </c>
      <c r="I80" s="384">
        <v>0.18</v>
      </c>
      <c r="J80" s="59">
        <v>0.24</v>
      </c>
      <c r="K80" s="59">
        <v>69.900000000000006</v>
      </c>
      <c r="L80" s="59">
        <v>-14.1</v>
      </c>
      <c r="M80" s="59" t="s">
        <v>37</v>
      </c>
      <c r="N80" s="384" t="s">
        <v>1453</v>
      </c>
      <c r="O80" s="63">
        <v>84</v>
      </c>
      <c r="P80" s="384" t="s">
        <v>1429</v>
      </c>
      <c r="Q80" s="58">
        <v>198</v>
      </c>
      <c r="R80" s="59">
        <v>92</v>
      </c>
      <c r="S80" s="384">
        <v>0.75</v>
      </c>
      <c r="T80" s="395">
        <v>0.03</v>
      </c>
      <c r="U80" s="386">
        <v>0.22</v>
      </c>
      <c r="V80" s="386">
        <v>0.14000000000000001</v>
      </c>
      <c r="W80" s="393">
        <v>0.14000000000000001</v>
      </c>
      <c r="X80" s="4"/>
      <c r="Y80" s="4"/>
      <c r="Z80" s="4"/>
      <c r="AA80" s="385"/>
      <c r="AB80" s="4"/>
      <c r="AC80" s="4"/>
      <c r="AD80" s="386"/>
      <c r="AE80" s="386"/>
      <c r="AF80" s="386"/>
      <c r="AG80" s="386"/>
      <c r="AH80" s="4"/>
      <c r="AI80" s="4"/>
      <c r="AJ80" s="4"/>
      <c r="AK80" s="4"/>
      <c r="AL80" s="4"/>
      <c r="AM80" s="4"/>
      <c r="AN80" s="4"/>
      <c r="AO80" s="4"/>
      <c r="AP80" s="385"/>
      <c r="AQ80" s="4"/>
      <c r="AR80" s="4"/>
      <c r="AS80" s="386"/>
      <c r="AT80" s="386"/>
      <c r="AU80" s="386"/>
      <c r="AV80" s="386"/>
      <c r="AW80" s="4"/>
      <c r="AX80" s="4"/>
    </row>
    <row r="81" spans="1:50" x14ac:dyDescent="0.3">
      <c r="A81" s="59" t="s">
        <v>37</v>
      </c>
      <c r="B81" s="59" t="s">
        <v>426</v>
      </c>
      <c r="C81" s="59" t="s">
        <v>1422</v>
      </c>
      <c r="D81" s="59">
        <v>198</v>
      </c>
      <c r="E81" s="58">
        <v>79</v>
      </c>
      <c r="F81" s="384">
        <v>0.53</v>
      </c>
      <c r="G81" s="384">
        <v>0.08</v>
      </c>
      <c r="H81" s="384">
        <v>0.39</v>
      </c>
      <c r="I81" s="384">
        <v>0.28999999999999998</v>
      </c>
      <c r="J81" s="59">
        <v>0.42</v>
      </c>
      <c r="K81" s="59">
        <v>74.2</v>
      </c>
      <c r="L81" s="59">
        <v>-17.399999999999999</v>
      </c>
      <c r="M81" s="59" t="s">
        <v>18</v>
      </c>
      <c r="N81" s="384" t="s">
        <v>1495</v>
      </c>
      <c r="O81" s="63">
        <v>91.6</v>
      </c>
      <c r="P81" s="384" t="s">
        <v>1429</v>
      </c>
      <c r="Q81" s="58">
        <v>200</v>
      </c>
      <c r="R81" s="59">
        <v>76</v>
      </c>
      <c r="S81" s="384">
        <v>0.13</v>
      </c>
      <c r="T81" s="395">
        <v>0.11</v>
      </c>
      <c r="U81" s="386">
        <v>0.76</v>
      </c>
      <c r="V81" s="386">
        <v>0.14000000000000001</v>
      </c>
      <c r="W81" s="393">
        <v>0.14000000000000001</v>
      </c>
      <c r="X81" s="4"/>
      <c r="Y81" s="4"/>
      <c r="Z81" s="4"/>
      <c r="AA81" s="385"/>
      <c r="AB81" s="4"/>
      <c r="AC81" s="4"/>
      <c r="AD81" s="4"/>
      <c r="AE81" s="4"/>
      <c r="AF81" s="4"/>
      <c r="AG81" s="4"/>
      <c r="AH81" s="4"/>
      <c r="AI81" s="4"/>
      <c r="AJ81" s="4"/>
      <c r="AK81" s="4"/>
      <c r="AL81" s="4"/>
      <c r="AM81" s="4"/>
      <c r="AN81" s="4"/>
      <c r="AO81" s="4"/>
      <c r="AP81" s="385"/>
      <c r="AQ81" s="4"/>
      <c r="AR81" s="4"/>
      <c r="AS81" s="386"/>
      <c r="AT81" s="386"/>
      <c r="AU81" s="386"/>
      <c r="AV81" s="386"/>
      <c r="AW81" s="4"/>
      <c r="AX81" s="4"/>
    </row>
    <row r="82" spans="1:50" x14ac:dyDescent="0.3">
      <c r="A82" s="59" t="s">
        <v>409</v>
      </c>
      <c r="B82" s="59" t="s">
        <v>301</v>
      </c>
      <c r="C82" s="59" t="s">
        <v>1424</v>
      </c>
      <c r="D82" s="59">
        <v>218</v>
      </c>
      <c r="E82" s="58">
        <v>50</v>
      </c>
      <c r="F82" s="384">
        <v>0.22</v>
      </c>
      <c r="G82" s="384">
        <v>0.38</v>
      </c>
      <c r="H82" s="384">
        <v>0.4</v>
      </c>
      <c r="I82" s="384">
        <v>0.12</v>
      </c>
      <c r="J82" s="59">
        <v>0.14000000000000001</v>
      </c>
      <c r="K82" s="59">
        <v>51.8</v>
      </c>
      <c r="L82" s="59">
        <v>-17.5</v>
      </c>
      <c r="M82" s="59" t="s">
        <v>401</v>
      </c>
      <c r="N82" s="384" t="s">
        <v>1434</v>
      </c>
      <c r="O82" s="63">
        <v>69.3</v>
      </c>
      <c r="P82" s="384" t="s">
        <v>1430</v>
      </c>
      <c r="Q82" s="58">
        <v>185</v>
      </c>
      <c r="R82" s="59">
        <v>78</v>
      </c>
      <c r="S82" s="384">
        <v>0</v>
      </c>
      <c r="T82" s="395">
        <v>0</v>
      </c>
      <c r="U82" s="386">
        <v>1</v>
      </c>
      <c r="V82" s="386">
        <v>0.19</v>
      </c>
      <c r="W82" s="393">
        <v>0.3</v>
      </c>
      <c r="X82" s="4"/>
      <c r="Y82" s="4"/>
      <c r="Z82" s="4"/>
      <c r="AA82" s="385"/>
      <c r="AB82" s="4"/>
      <c r="AC82" s="4"/>
      <c r="AD82" s="386"/>
      <c r="AE82" s="386"/>
      <c r="AF82" s="386"/>
      <c r="AG82" s="386"/>
      <c r="AH82" s="4"/>
      <c r="AI82" s="4"/>
      <c r="AJ82" s="4"/>
      <c r="AK82" s="4"/>
      <c r="AL82" s="4"/>
      <c r="AM82" s="4"/>
      <c r="AN82" s="4"/>
      <c r="AO82" s="4"/>
      <c r="AP82" s="385"/>
      <c r="AQ82" s="4"/>
      <c r="AR82" s="4"/>
      <c r="AS82" s="4"/>
      <c r="AT82" s="4"/>
      <c r="AU82" s="4"/>
      <c r="AV82" s="4"/>
      <c r="AW82" s="4"/>
      <c r="AX82" s="4"/>
    </row>
    <row r="83" spans="1:50" x14ac:dyDescent="0.3">
      <c r="A83" s="59" t="s">
        <v>46</v>
      </c>
      <c r="B83" s="59" t="s">
        <v>432</v>
      </c>
      <c r="C83" s="59" t="s">
        <v>1424</v>
      </c>
      <c r="D83" s="59">
        <v>216</v>
      </c>
      <c r="E83" s="58">
        <v>67</v>
      </c>
      <c r="F83" s="384">
        <v>0.31</v>
      </c>
      <c r="G83" s="384">
        <v>0.24</v>
      </c>
      <c r="H83" s="384">
        <v>0.45</v>
      </c>
      <c r="I83" s="384">
        <v>0.21</v>
      </c>
      <c r="J83" s="59">
        <v>0.21</v>
      </c>
      <c r="K83" s="59">
        <v>51</v>
      </c>
      <c r="L83" s="59">
        <v>-19.7</v>
      </c>
      <c r="M83" s="59" t="s">
        <v>52</v>
      </c>
      <c r="N83" s="384" t="s">
        <v>1487</v>
      </c>
      <c r="O83" s="63">
        <v>70.7</v>
      </c>
      <c r="P83" s="384" t="s">
        <v>1430</v>
      </c>
      <c r="Q83" s="58">
        <v>192</v>
      </c>
      <c r="R83" s="59">
        <v>76</v>
      </c>
      <c r="S83" s="384">
        <v>0</v>
      </c>
      <c r="T83" s="395">
        <v>0.08</v>
      </c>
      <c r="U83" s="386">
        <v>0.92</v>
      </c>
      <c r="V83" s="386">
        <v>0.16</v>
      </c>
      <c r="W83" s="393">
        <v>0.1</v>
      </c>
      <c r="X83" s="4"/>
      <c r="Y83" s="4"/>
      <c r="Z83" s="4"/>
      <c r="AA83" s="385"/>
      <c r="AB83" s="4"/>
      <c r="AC83" s="4"/>
      <c r="AD83" s="386"/>
      <c r="AE83" s="386"/>
      <c r="AF83" s="386"/>
      <c r="AG83" s="386"/>
      <c r="AH83" s="4"/>
      <c r="AI83" s="4"/>
      <c r="AJ83" s="4"/>
      <c r="AK83" s="4"/>
      <c r="AL83" s="4"/>
      <c r="AM83" s="4"/>
      <c r="AN83" s="4"/>
      <c r="AO83" s="4"/>
      <c r="AP83" s="387"/>
      <c r="AQ83" s="4"/>
      <c r="AR83" s="4"/>
      <c r="AS83" s="386"/>
      <c r="AT83" s="386"/>
      <c r="AU83" s="386"/>
      <c r="AV83" s="386"/>
      <c r="AW83" s="4"/>
      <c r="AX83" s="4"/>
    </row>
    <row r="84" spans="1:50" x14ac:dyDescent="0.3">
      <c r="A84" s="59" t="s">
        <v>398</v>
      </c>
      <c r="B84" s="59" t="s">
        <v>265</v>
      </c>
      <c r="C84" s="59" t="s">
        <v>1422</v>
      </c>
      <c r="D84" s="59">
        <v>204</v>
      </c>
      <c r="E84" s="58">
        <v>79</v>
      </c>
      <c r="F84" s="384">
        <v>0.72</v>
      </c>
      <c r="G84" s="384">
        <v>0.28000000000000003</v>
      </c>
      <c r="H84" s="384">
        <v>0</v>
      </c>
      <c r="I84" s="384">
        <v>0.14000000000000001</v>
      </c>
      <c r="J84" s="59">
        <v>0.21</v>
      </c>
      <c r="K84" s="59">
        <v>49.2</v>
      </c>
      <c r="L84" s="59">
        <v>-20.8</v>
      </c>
      <c r="M84" s="59" t="s">
        <v>7</v>
      </c>
      <c r="N84" s="384" t="s">
        <v>1475</v>
      </c>
      <c r="O84" s="63">
        <v>70</v>
      </c>
      <c r="P84" s="384" t="s">
        <v>1429</v>
      </c>
      <c r="Q84" s="58">
        <v>212</v>
      </c>
      <c r="R84" s="59">
        <v>61</v>
      </c>
      <c r="S84" s="384">
        <v>0.89</v>
      </c>
      <c r="T84" s="395">
        <v>0.1</v>
      </c>
      <c r="U84" s="386">
        <v>0.02</v>
      </c>
      <c r="V84" s="386">
        <v>0.22</v>
      </c>
      <c r="W84" s="393">
        <v>0.35</v>
      </c>
      <c r="X84" s="4"/>
      <c r="Y84" s="4"/>
      <c r="Z84" s="4"/>
      <c r="AA84" s="385"/>
      <c r="AB84" s="4"/>
      <c r="AC84" s="4"/>
      <c r="AD84" s="386"/>
      <c r="AE84" s="386"/>
      <c r="AF84" s="386"/>
      <c r="AG84" s="386"/>
      <c r="AH84" s="4"/>
      <c r="AI84" s="4"/>
      <c r="AJ84" s="4"/>
      <c r="AK84" s="4"/>
      <c r="AL84" s="4"/>
      <c r="AM84" s="4"/>
      <c r="AN84" s="4"/>
      <c r="AO84" s="4"/>
      <c r="AP84" s="387"/>
      <c r="AQ84" s="4"/>
      <c r="AR84" s="4"/>
      <c r="AS84" s="386"/>
      <c r="AT84" s="386"/>
      <c r="AU84" s="386"/>
      <c r="AV84" s="386"/>
      <c r="AW84" s="4"/>
      <c r="AX84" s="4"/>
    </row>
    <row r="85" spans="1:50" x14ac:dyDescent="0.3">
      <c r="A85" s="59" t="s">
        <v>10</v>
      </c>
      <c r="B85" s="59" t="s">
        <v>231</v>
      </c>
      <c r="C85" s="59" t="s">
        <v>1423</v>
      </c>
      <c r="D85" s="59">
        <v>190</v>
      </c>
      <c r="E85" s="58">
        <v>57</v>
      </c>
      <c r="F85" s="384">
        <v>0.21</v>
      </c>
      <c r="G85" s="384">
        <v>0.35</v>
      </c>
      <c r="H85" s="384">
        <v>0.42</v>
      </c>
      <c r="I85" s="384">
        <v>0.12</v>
      </c>
      <c r="J85" s="59">
        <v>0.15</v>
      </c>
      <c r="K85" s="59">
        <v>50.9</v>
      </c>
      <c r="L85" s="59">
        <v>-21.6</v>
      </c>
      <c r="M85" s="59" t="s">
        <v>1236</v>
      </c>
      <c r="N85" s="384" t="s">
        <v>1480</v>
      </c>
      <c r="O85" s="63">
        <v>72.5</v>
      </c>
      <c r="P85" s="384" t="s">
        <v>1423</v>
      </c>
      <c r="Q85" s="58">
        <v>186</v>
      </c>
      <c r="R85" s="59">
        <v>13</v>
      </c>
      <c r="S85" s="384">
        <v>0</v>
      </c>
      <c r="T85" s="395">
        <v>1</v>
      </c>
      <c r="U85" s="386">
        <v>0</v>
      </c>
      <c r="V85" s="386">
        <v>0.08</v>
      </c>
      <c r="W85" s="393">
        <v>0.15</v>
      </c>
      <c r="X85" s="4"/>
      <c r="Y85" s="4"/>
      <c r="Z85" s="4"/>
      <c r="AA85" s="385"/>
      <c r="AB85" s="4"/>
      <c r="AC85" s="4"/>
      <c r="AD85" s="386"/>
      <c r="AE85" s="386"/>
      <c r="AF85" s="386"/>
      <c r="AG85" s="386"/>
      <c r="AH85" s="4"/>
      <c r="AI85" s="4"/>
      <c r="AJ85" s="4"/>
      <c r="AK85" s="4"/>
      <c r="AL85" s="4"/>
      <c r="AM85" s="4"/>
      <c r="AN85" s="4"/>
      <c r="AO85" s="4"/>
      <c r="AP85" s="385"/>
      <c r="AQ85" s="4"/>
      <c r="AR85" s="4"/>
      <c r="AS85" s="386"/>
      <c r="AT85" s="386"/>
      <c r="AU85" s="386"/>
      <c r="AV85" s="386"/>
      <c r="AW85" s="4"/>
      <c r="AX85" s="4"/>
    </row>
    <row r="86" spans="1:50" x14ac:dyDescent="0.3">
      <c r="A86" s="59" t="s">
        <v>34</v>
      </c>
      <c r="B86" s="59" t="s">
        <v>190</v>
      </c>
      <c r="C86" s="59" t="s">
        <v>1424</v>
      </c>
      <c r="D86" s="59">
        <v>230</v>
      </c>
      <c r="E86" s="58">
        <v>87</v>
      </c>
      <c r="F86" s="384">
        <v>0.41</v>
      </c>
      <c r="G86" s="384">
        <v>0.11</v>
      </c>
      <c r="H86" s="384">
        <v>0.47</v>
      </c>
      <c r="I86" s="384">
        <v>0.21</v>
      </c>
      <c r="J86" s="59">
        <v>0.28999999999999998</v>
      </c>
      <c r="K86" s="59">
        <v>53.3</v>
      </c>
      <c r="L86" s="59">
        <v>-23.6</v>
      </c>
      <c r="M86" s="59" t="s">
        <v>397</v>
      </c>
      <c r="N86" s="59" t="s">
        <v>1497</v>
      </c>
      <c r="O86" s="63">
        <v>76.900000000000006</v>
      </c>
      <c r="P86" s="59" t="s">
        <v>1430</v>
      </c>
      <c r="Q86" s="58">
        <v>197</v>
      </c>
      <c r="R86" s="59">
        <v>67</v>
      </c>
      <c r="S86" s="384">
        <v>0</v>
      </c>
      <c r="T86" s="395">
        <v>0.09</v>
      </c>
      <c r="U86" s="386">
        <v>0.91</v>
      </c>
      <c r="V86" s="386">
        <v>0.28000000000000003</v>
      </c>
      <c r="W86" s="393">
        <v>0.43</v>
      </c>
      <c r="X86" s="4"/>
      <c r="Y86" s="4"/>
      <c r="Z86" s="4"/>
      <c r="AA86" s="387"/>
      <c r="AB86" s="4"/>
      <c r="AC86" s="4"/>
      <c r="AD86" s="386"/>
      <c r="AE86" s="386"/>
      <c r="AF86" s="386"/>
      <c r="AG86" s="386"/>
      <c r="AH86" s="4"/>
      <c r="AI86" s="4"/>
      <c r="AJ86" s="4"/>
      <c r="AK86" s="4"/>
      <c r="AL86" s="4"/>
      <c r="AM86" s="4"/>
      <c r="AN86" s="4"/>
      <c r="AO86" s="4"/>
      <c r="AP86" s="387"/>
      <c r="AQ86" s="4"/>
      <c r="AR86" s="4"/>
      <c r="AS86" s="4"/>
      <c r="AT86" s="4"/>
      <c r="AU86" s="4"/>
      <c r="AV86" s="4"/>
      <c r="AW86" s="4"/>
      <c r="AX86" s="4"/>
    </row>
    <row r="87" spans="1:50" x14ac:dyDescent="0.3">
      <c r="A87" s="59" t="s">
        <v>30</v>
      </c>
      <c r="B87" s="59" t="s">
        <v>239</v>
      </c>
      <c r="C87" s="59" t="s">
        <v>1424</v>
      </c>
      <c r="D87" s="59">
        <v>217</v>
      </c>
      <c r="E87" s="58">
        <v>49</v>
      </c>
      <c r="F87" s="384">
        <v>0.28999999999999998</v>
      </c>
      <c r="G87" s="384">
        <v>0.2</v>
      </c>
      <c r="H87" s="384">
        <v>0.51</v>
      </c>
      <c r="I87" s="384">
        <v>0.2</v>
      </c>
      <c r="J87" s="59">
        <v>0.28000000000000003</v>
      </c>
      <c r="K87" s="59">
        <v>58</v>
      </c>
      <c r="L87" s="59">
        <v>-25.2</v>
      </c>
      <c r="M87" s="59" t="s">
        <v>4</v>
      </c>
      <c r="N87" s="384" t="s">
        <v>1484</v>
      </c>
      <c r="O87" s="63">
        <v>83.2</v>
      </c>
      <c r="P87" s="384" t="s">
        <v>1430</v>
      </c>
      <c r="Q87" s="58">
        <v>205</v>
      </c>
      <c r="R87" s="59">
        <v>73</v>
      </c>
      <c r="S87" s="384">
        <v>0</v>
      </c>
      <c r="T87" s="395">
        <v>0.04</v>
      </c>
      <c r="U87" s="386">
        <v>0.96</v>
      </c>
      <c r="V87" s="386">
        <v>0.16</v>
      </c>
      <c r="W87" s="393">
        <v>0.25</v>
      </c>
      <c r="X87" s="4"/>
      <c r="Y87" s="4"/>
      <c r="Z87" s="4"/>
      <c r="AA87" s="385"/>
      <c r="AB87" s="4"/>
      <c r="AC87" s="4"/>
      <c r="AD87" s="386"/>
      <c r="AE87" s="386"/>
      <c r="AF87" s="386"/>
      <c r="AG87" s="386"/>
      <c r="AH87" s="4"/>
      <c r="AI87" s="4"/>
      <c r="AJ87" s="4"/>
      <c r="AK87" s="4"/>
      <c r="AL87" s="4"/>
      <c r="AM87" s="4"/>
      <c r="AN87" s="4"/>
      <c r="AO87" s="4"/>
      <c r="AP87" s="385"/>
      <c r="AQ87" s="4"/>
      <c r="AR87" s="4"/>
      <c r="AS87" s="386"/>
      <c r="AT87" s="386"/>
      <c r="AU87" s="386"/>
      <c r="AV87" s="386"/>
      <c r="AW87" s="4"/>
      <c r="AX87" s="4"/>
    </row>
    <row r="88" spans="1:50" x14ac:dyDescent="0.3">
      <c r="A88" s="59" t="s">
        <v>7</v>
      </c>
      <c r="B88" s="59" t="s">
        <v>225</v>
      </c>
      <c r="C88" s="59" t="s">
        <v>1422</v>
      </c>
      <c r="D88" s="59">
        <v>209</v>
      </c>
      <c r="E88" s="58">
        <v>90</v>
      </c>
      <c r="F88" s="384">
        <v>0.41</v>
      </c>
      <c r="G88" s="384">
        <v>0.37</v>
      </c>
      <c r="H88" s="384">
        <v>0.22</v>
      </c>
      <c r="I88" s="384">
        <v>0.12</v>
      </c>
      <c r="J88" s="59">
        <v>0.18</v>
      </c>
      <c r="K88" s="59">
        <v>47.2</v>
      </c>
      <c r="L88" s="59">
        <v>-26.5</v>
      </c>
      <c r="M88" s="59" t="s">
        <v>398</v>
      </c>
      <c r="N88" s="59" t="s">
        <v>2439</v>
      </c>
      <c r="O88" s="63">
        <v>73.7</v>
      </c>
      <c r="P88" s="59" t="s">
        <v>1429</v>
      </c>
      <c r="Q88" s="58">
        <v>177</v>
      </c>
      <c r="R88" s="59">
        <v>29</v>
      </c>
      <c r="S88" s="384">
        <v>0.52</v>
      </c>
      <c r="T88" s="395">
        <v>0.17</v>
      </c>
      <c r="U88" s="386">
        <v>0.31</v>
      </c>
      <c r="V88" s="386">
        <v>7.0000000000000007E-2</v>
      </c>
      <c r="W88" s="393">
        <v>7.0000000000000007E-2</v>
      </c>
      <c r="X88" s="4"/>
      <c r="Y88" s="4"/>
      <c r="Z88" s="4"/>
      <c r="AA88" s="387"/>
      <c r="AB88" s="4"/>
      <c r="AC88" s="4"/>
      <c r="AD88" s="386"/>
      <c r="AE88" s="386"/>
      <c r="AF88" s="386"/>
      <c r="AG88" s="386"/>
      <c r="AH88" s="4"/>
      <c r="AI88" s="4"/>
      <c r="AJ88" s="4"/>
      <c r="AK88" s="4"/>
      <c r="AL88" s="4"/>
      <c r="AM88" s="4"/>
      <c r="AN88" s="4"/>
      <c r="AO88" s="4"/>
      <c r="AP88" s="385"/>
      <c r="AQ88" s="4"/>
      <c r="AR88" s="4"/>
      <c r="AS88" s="386"/>
      <c r="AT88" s="386"/>
      <c r="AU88" s="386"/>
      <c r="AV88" s="386"/>
      <c r="AW88" s="4"/>
      <c r="AX88" s="4"/>
    </row>
    <row r="89" spans="1:50" x14ac:dyDescent="0.3">
      <c r="A89" s="59" t="s">
        <v>398</v>
      </c>
      <c r="B89" s="59" t="s">
        <v>243</v>
      </c>
      <c r="C89" s="59" t="s">
        <v>1424</v>
      </c>
      <c r="D89" s="59">
        <v>205</v>
      </c>
      <c r="E89" s="58">
        <v>79</v>
      </c>
      <c r="F89" s="384">
        <v>0</v>
      </c>
      <c r="G89" s="384">
        <v>0.09</v>
      </c>
      <c r="H89" s="384">
        <v>0.91</v>
      </c>
      <c r="I89" s="384">
        <v>0.19</v>
      </c>
      <c r="J89" s="59">
        <v>0.23</v>
      </c>
      <c r="K89" s="59">
        <v>48</v>
      </c>
      <c r="L89" s="59">
        <v>-27.8</v>
      </c>
      <c r="M89" s="59" t="s">
        <v>7</v>
      </c>
      <c r="N89" s="384" t="s">
        <v>1474</v>
      </c>
      <c r="O89" s="63">
        <v>75.8</v>
      </c>
      <c r="P89" s="384" t="s">
        <v>1430</v>
      </c>
      <c r="Q89" s="58">
        <v>195</v>
      </c>
      <c r="R89" s="59">
        <v>63</v>
      </c>
      <c r="S89" s="384">
        <v>0</v>
      </c>
      <c r="T89" s="395">
        <v>0.11</v>
      </c>
      <c r="U89" s="386">
        <v>0.89</v>
      </c>
      <c r="V89" s="386">
        <v>0.08</v>
      </c>
      <c r="W89" s="393">
        <v>0.05</v>
      </c>
      <c r="X89" s="4"/>
      <c r="Y89" s="4"/>
      <c r="Z89" s="4"/>
      <c r="AA89" s="385"/>
      <c r="AB89" s="4"/>
      <c r="AC89" s="4"/>
      <c r="AD89" s="386"/>
      <c r="AE89" s="386"/>
      <c r="AF89" s="386"/>
      <c r="AG89" s="386"/>
      <c r="AH89" s="4"/>
      <c r="AI89" s="4"/>
      <c r="AJ89" s="4"/>
      <c r="AK89" s="4"/>
      <c r="AL89" s="4"/>
      <c r="AM89" s="4"/>
      <c r="AN89" s="4"/>
      <c r="AO89" s="4"/>
      <c r="AP89" s="385"/>
      <c r="AQ89" s="4"/>
      <c r="AR89" s="4"/>
      <c r="AS89" s="4"/>
      <c r="AT89" s="4"/>
      <c r="AU89" s="4"/>
      <c r="AV89" s="4"/>
      <c r="AW89" s="4"/>
      <c r="AX89" s="4"/>
    </row>
    <row r="90" spans="1:50" x14ac:dyDescent="0.3">
      <c r="A90" s="59" t="s">
        <v>70</v>
      </c>
      <c r="B90" s="59" t="s">
        <v>286</v>
      </c>
      <c r="C90" s="59" t="s">
        <v>1423</v>
      </c>
      <c r="D90" s="59">
        <v>180</v>
      </c>
      <c r="E90" s="58">
        <v>47</v>
      </c>
      <c r="F90" s="384">
        <v>0.09</v>
      </c>
      <c r="G90" s="384">
        <v>0.83</v>
      </c>
      <c r="H90" s="384">
        <v>0.06</v>
      </c>
      <c r="I90" s="384">
        <v>0.09</v>
      </c>
      <c r="J90" s="59">
        <v>0.11</v>
      </c>
      <c r="K90" s="59">
        <v>54.3</v>
      </c>
      <c r="L90" s="59">
        <v>-27.9</v>
      </c>
      <c r="M90" s="59" t="s">
        <v>28</v>
      </c>
      <c r="N90" s="384" t="s">
        <v>2436</v>
      </c>
      <c r="O90" s="63">
        <v>82.2</v>
      </c>
      <c r="P90" s="384" t="s">
        <v>1423</v>
      </c>
      <c r="Q90" s="58">
        <v>201</v>
      </c>
      <c r="R90" s="59">
        <v>33</v>
      </c>
      <c r="S90" s="384">
        <v>0.03</v>
      </c>
      <c r="T90" s="395">
        <v>0.97</v>
      </c>
      <c r="U90" s="386">
        <v>0</v>
      </c>
      <c r="V90" s="386">
        <v>0.18</v>
      </c>
      <c r="W90" s="393">
        <v>0.14000000000000001</v>
      </c>
      <c r="X90" s="4"/>
      <c r="Y90" s="4"/>
      <c r="Z90" s="4"/>
      <c r="AA90" s="385"/>
      <c r="AB90" s="4"/>
      <c r="AC90" s="4"/>
      <c r="AD90" s="386"/>
      <c r="AE90" s="386"/>
      <c r="AF90" s="386"/>
      <c r="AG90" s="386"/>
      <c r="AH90" s="4"/>
      <c r="AI90" s="4"/>
      <c r="AJ90" s="4"/>
      <c r="AK90" s="4"/>
      <c r="AL90" s="4"/>
      <c r="AM90" s="4"/>
      <c r="AN90" s="4"/>
      <c r="AO90" s="4"/>
      <c r="AP90" s="385"/>
      <c r="AQ90" s="4"/>
      <c r="AR90" s="4"/>
      <c r="AS90" s="386"/>
      <c r="AT90" s="386"/>
      <c r="AU90" s="386"/>
      <c r="AV90" s="386"/>
      <c r="AW90" s="4"/>
      <c r="AX90" s="4"/>
    </row>
    <row r="91" spans="1:50" x14ac:dyDescent="0.3">
      <c r="A91" s="59" t="s">
        <v>26</v>
      </c>
      <c r="B91" s="59" t="s">
        <v>410</v>
      </c>
      <c r="C91" s="59" t="s">
        <v>1423</v>
      </c>
      <c r="D91" s="59">
        <v>220</v>
      </c>
      <c r="E91" s="58">
        <v>86</v>
      </c>
      <c r="F91" s="384">
        <v>0.06</v>
      </c>
      <c r="G91" s="384">
        <v>0.86</v>
      </c>
      <c r="H91" s="384">
        <v>0.08</v>
      </c>
      <c r="I91" s="384">
        <v>0.14000000000000001</v>
      </c>
      <c r="J91" s="59">
        <v>0.3</v>
      </c>
      <c r="K91" s="59">
        <v>48</v>
      </c>
      <c r="L91" s="59">
        <v>-27.9</v>
      </c>
      <c r="M91" s="59" t="s">
        <v>395</v>
      </c>
      <c r="N91" s="384" t="s">
        <v>1466</v>
      </c>
      <c r="O91" s="63">
        <v>75.900000000000006</v>
      </c>
      <c r="P91" s="384" t="s">
        <v>1423</v>
      </c>
      <c r="Q91" s="58">
        <v>195</v>
      </c>
      <c r="R91" s="59">
        <v>62</v>
      </c>
      <c r="S91" s="384">
        <v>0.19</v>
      </c>
      <c r="T91" s="395">
        <v>0.55000000000000004</v>
      </c>
      <c r="U91" s="386">
        <v>0.26</v>
      </c>
      <c r="V91" s="386">
        <v>0.13</v>
      </c>
      <c r="W91" s="393">
        <v>0.27</v>
      </c>
      <c r="X91" s="4"/>
      <c r="Y91" s="4"/>
      <c r="Z91" s="4"/>
      <c r="AA91" s="385"/>
      <c r="AB91" s="4"/>
      <c r="AC91" s="4"/>
      <c r="AD91" s="386"/>
      <c r="AE91" s="386"/>
      <c r="AF91" s="386"/>
      <c r="AG91" s="386"/>
      <c r="AH91" s="4"/>
      <c r="AI91" s="4"/>
      <c r="AJ91" s="4"/>
      <c r="AK91" s="4"/>
      <c r="AL91" s="4"/>
      <c r="AM91" s="4"/>
      <c r="AN91" s="4"/>
      <c r="AO91" s="4"/>
      <c r="AP91" s="385"/>
      <c r="AQ91" s="4"/>
      <c r="AR91" s="4"/>
      <c r="AS91" s="386"/>
      <c r="AT91" s="386"/>
      <c r="AU91" s="386"/>
      <c r="AV91" s="386"/>
      <c r="AW91" s="4"/>
      <c r="AX91" s="4"/>
    </row>
    <row r="92" spans="1:50" x14ac:dyDescent="0.3">
      <c r="A92" s="59" t="s">
        <v>7</v>
      </c>
      <c r="B92" s="59" t="s">
        <v>224</v>
      </c>
      <c r="C92" s="59" t="s">
        <v>1424</v>
      </c>
      <c r="D92" s="59">
        <v>182</v>
      </c>
      <c r="E92" s="58">
        <v>67</v>
      </c>
      <c r="F92" s="384">
        <v>0.28000000000000003</v>
      </c>
      <c r="G92" s="384">
        <v>0.36</v>
      </c>
      <c r="H92" s="384">
        <v>0.33</v>
      </c>
      <c r="I92" s="384">
        <v>0.19</v>
      </c>
      <c r="J92" s="59">
        <v>0.38</v>
      </c>
      <c r="K92" s="59">
        <v>46.6</v>
      </c>
      <c r="L92" s="59">
        <v>-29.8</v>
      </c>
      <c r="M92" s="59" t="s">
        <v>398</v>
      </c>
      <c r="N92" s="384" t="s">
        <v>1471</v>
      </c>
      <c r="O92" s="63">
        <v>76.400000000000006</v>
      </c>
      <c r="P92" s="384" t="s">
        <v>1430</v>
      </c>
      <c r="Q92" s="58">
        <v>197</v>
      </c>
      <c r="R92" s="59">
        <v>83</v>
      </c>
      <c r="S92" s="384">
        <v>0.42</v>
      </c>
      <c r="T92" s="395">
        <v>0.01</v>
      </c>
      <c r="U92" s="386">
        <v>0.56999999999999995</v>
      </c>
      <c r="V92" s="386">
        <v>0.19</v>
      </c>
      <c r="W92" s="393">
        <v>0.21</v>
      </c>
      <c r="X92" s="4"/>
      <c r="Y92" s="4"/>
      <c r="Z92" s="4"/>
      <c r="AA92" s="385"/>
      <c r="AB92" s="4"/>
      <c r="AC92" s="4"/>
      <c r="AD92" s="386"/>
      <c r="AE92" s="386"/>
      <c r="AF92" s="386"/>
      <c r="AG92" s="386"/>
      <c r="AH92" s="4"/>
      <c r="AI92" s="4"/>
      <c r="AJ92" s="4"/>
      <c r="AK92" s="4"/>
      <c r="AL92" s="4"/>
      <c r="AM92" s="4"/>
      <c r="AN92" s="4"/>
      <c r="AO92" s="4"/>
      <c r="AP92" s="385"/>
      <c r="AQ92" s="4"/>
      <c r="AR92" s="4"/>
      <c r="AS92" s="386"/>
      <c r="AT92" s="386"/>
      <c r="AU92" s="386"/>
      <c r="AV92" s="386"/>
      <c r="AW92" s="4"/>
      <c r="AX92" s="4"/>
    </row>
    <row r="93" spans="1:50" x14ac:dyDescent="0.3">
      <c r="A93" s="59" t="s">
        <v>22</v>
      </c>
      <c r="B93" s="59" t="s">
        <v>246</v>
      </c>
      <c r="C93" s="59" t="s">
        <v>1423</v>
      </c>
      <c r="D93" s="59">
        <v>190</v>
      </c>
      <c r="E93" s="58">
        <v>53</v>
      </c>
      <c r="F93" s="384">
        <v>0.04</v>
      </c>
      <c r="G93" s="384">
        <v>0.87</v>
      </c>
      <c r="H93" s="384">
        <v>0.09</v>
      </c>
      <c r="I93" s="384">
        <v>0.15</v>
      </c>
      <c r="J93" s="59">
        <v>0.12</v>
      </c>
      <c r="K93" s="59">
        <v>49.4</v>
      </c>
      <c r="L93" s="59">
        <v>-31.4</v>
      </c>
      <c r="M93" s="59" t="s">
        <v>41</v>
      </c>
      <c r="N93" s="384" t="s">
        <v>1507</v>
      </c>
      <c r="O93" s="63">
        <v>80.8</v>
      </c>
      <c r="P93" s="384" t="s">
        <v>1423</v>
      </c>
      <c r="Q93" s="58">
        <v>195</v>
      </c>
      <c r="R93" s="59">
        <v>67</v>
      </c>
      <c r="S93" s="384">
        <v>0</v>
      </c>
      <c r="T93" s="395">
        <v>1</v>
      </c>
      <c r="U93" s="386">
        <v>0</v>
      </c>
      <c r="V93" s="386">
        <v>0.1</v>
      </c>
      <c r="W93" s="393">
        <v>0.18</v>
      </c>
      <c r="X93" s="4"/>
      <c r="Y93" s="4"/>
      <c r="Z93" s="4"/>
      <c r="AA93" s="385"/>
      <c r="AB93" s="4"/>
      <c r="AC93" s="4"/>
      <c r="AD93" s="386"/>
      <c r="AE93" s="386"/>
      <c r="AF93" s="386"/>
      <c r="AG93" s="386"/>
      <c r="AH93" s="4"/>
      <c r="AI93" s="4"/>
      <c r="AJ93" s="4"/>
      <c r="AK93" s="4"/>
      <c r="AL93" s="4"/>
      <c r="AM93" s="4"/>
      <c r="AN93" s="4"/>
      <c r="AO93" s="4"/>
      <c r="AP93" s="387"/>
      <c r="AQ93" s="4"/>
      <c r="AR93" s="4"/>
      <c r="AS93" s="4"/>
      <c r="AT93" s="4"/>
      <c r="AU93" s="4"/>
      <c r="AV93" s="4"/>
      <c r="AW93" s="4"/>
      <c r="AX93" s="4"/>
    </row>
    <row r="94" spans="1:50" x14ac:dyDescent="0.3">
      <c r="A94" s="59" t="s">
        <v>16</v>
      </c>
      <c r="B94" s="59" t="s">
        <v>518</v>
      </c>
      <c r="C94" s="59" t="s">
        <v>1422</v>
      </c>
      <c r="D94" s="59">
        <v>180</v>
      </c>
      <c r="E94" s="58">
        <v>21</v>
      </c>
      <c r="F94" s="384">
        <v>0.71</v>
      </c>
      <c r="G94" s="384">
        <v>0.1</v>
      </c>
      <c r="H94" s="384">
        <v>0.19</v>
      </c>
      <c r="I94" s="384">
        <v>0.05</v>
      </c>
      <c r="J94" s="59">
        <v>0</v>
      </c>
      <c r="K94" s="59">
        <v>51.7</v>
      </c>
      <c r="L94" s="59">
        <v>-32.6</v>
      </c>
      <c r="M94" s="59" t="s">
        <v>407</v>
      </c>
      <c r="N94" s="384" t="s">
        <v>1470</v>
      </c>
      <c r="O94" s="63">
        <v>84.3</v>
      </c>
      <c r="P94" s="384" t="s">
        <v>1429</v>
      </c>
      <c r="Q94" s="58">
        <v>192</v>
      </c>
      <c r="R94" s="59">
        <v>81</v>
      </c>
      <c r="S94" s="384">
        <v>0.36</v>
      </c>
      <c r="T94" s="395">
        <v>7.0000000000000007E-2</v>
      </c>
      <c r="U94" s="386">
        <v>0.56999999999999995</v>
      </c>
      <c r="V94" s="386">
        <v>0.11</v>
      </c>
      <c r="W94" s="393">
        <v>0.19</v>
      </c>
      <c r="X94" s="4"/>
      <c r="Y94" s="4"/>
      <c r="Z94" s="4"/>
      <c r="AA94" s="385"/>
      <c r="AB94" s="4"/>
      <c r="AC94" s="4"/>
      <c r="AD94" s="386"/>
      <c r="AE94" s="386"/>
      <c r="AF94" s="386"/>
      <c r="AG94" s="386"/>
      <c r="AH94" s="4"/>
      <c r="AI94" s="4"/>
      <c r="AJ94" s="4"/>
      <c r="AK94" s="4"/>
      <c r="AL94" s="4"/>
      <c r="AM94" s="4"/>
      <c r="AN94" s="4"/>
      <c r="AO94" s="4"/>
      <c r="AP94" s="385"/>
      <c r="AQ94" s="4"/>
      <c r="AR94" s="4"/>
      <c r="AS94" s="386"/>
      <c r="AT94" s="386"/>
      <c r="AU94" s="386"/>
      <c r="AV94" s="386"/>
      <c r="AW94" s="4"/>
      <c r="AX94" s="4"/>
    </row>
    <row r="95" spans="1:50" x14ac:dyDescent="0.3">
      <c r="A95" s="59" t="s">
        <v>397</v>
      </c>
      <c r="B95" s="59" t="s">
        <v>248</v>
      </c>
      <c r="C95" s="59" t="s">
        <v>1423</v>
      </c>
      <c r="D95" s="59">
        <v>200</v>
      </c>
      <c r="E95" s="58">
        <v>72</v>
      </c>
      <c r="F95" s="384">
        <v>0.04</v>
      </c>
      <c r="G95" s="384">
        <v>0.9</v>
      </c>
      <c r="H95" s="384">
        <v>0.04</v>
      </c>
      <c r="I95" s="384">
        <v>0.11</v>
      </c>
      <c r="J95" s="59">
        <v>0.09</v>
      </c>
      <c r="K95" s="59">
        <v>43.6</v>
      </c>
      <c r="L95" s="59">
        <v>-33.200000000000003</v>
      </c>
      <c r="M95" s="59" t="s">
        <v>34</v>
      </c>
      <c r="N95" s="384" t="s">
        <v>1449</v>
      </c>
      <c r="O95" s="63">
        <v>76.8</v>
      </c>
      <c r="P95" s="384" t="s">
        <v>1423</v>
      </c>
      <c r="Q95" s="58">
        <v>185</v>
      </c>
      <c r="R95" s="59">
        <v>69</v>
      </c>
      <c r="S95" s="384">
        <v>0.09</v>
      </c>
      <c r="T95" s="395">
        <v>0.86</v>
      </c>
      <c r="U95" s="386">
        <v>0.06</v>
      </c>
      <c r="V95" s="386">
        <v>0.12</v>
      </c>
      <c r="W95" s="393">
        <v>0.11</v>
      </c>
      <c r="X95" s="4"/>
      <c r="Y95" s="4"/>
      <c r="Z95" s="4"/>
      <c r="AA95" s="385"/>
      <c r="AB95" s="4"/>
      <c r="AC95" s="4"/>
      <c r="AD95" s="386"/>
      <c r="AE95" s="386"/>
      <c r="AF95" s="386"/>
      <c r="AG95" s="386"/>
      <c r="AH95" s="4"/>
      <c r="AI95" s="4"/>
      <c r="AJ95" s="4"/>
      <c r="AK95" s="4"/>
      <c r="AL95" s="4"/>
      <c r="AM95" s="4"/>
      <c r="AN95" s="4"/>
      <c r="AO95" s="4"/>
      <c r="AP95" s="387"/>
      <c r="AQ95" s="4"/>
      <c r="AR95" s="4"/>
      <c r="AS95" s="386"/>
      <c r="AT95" s="386"/>
      <c r="AU95" s="386"/>
      <c r="AV95" s="386"/>
      <c r="AW95" s="4"/>
      <c r="AX95" s="4"/>
    </row>
    <row r="96" spans="1:50" x14ac:dyDescent="0.3">
      <c r="A96" s="59" t="s">
        <v>41</v>
      </c>
      <c r="B96" s="59" t="s">
        <v>1785</v>
      </c>
      <c r="C96" s="59" t="s">
        <v>1422</v>
      </c>
      <c r="D96" s="59">
        <v>217</v>
      </c>
      <c r="E96" s="58">
        <v>66</v>
      </c>
      <c r="F96" s="384">
        <v>0.73</v>
      </c>
      <c r="G96" s="384">
        <v>0.06</v>
      </c>
      <c r="H96" s="384">
        <v>0.2</v>
      </c>
      <c r="I96" s="384">
        <v>0.12</v>
      </c>
      <c r="J96" s="59">
        <v>0.08</v>
      </c>
      <c r="K96" s="59">
        <v>47.9</v>
      </c>
      <c r="L96" s="59">
        <v>-33.4</v>
      </c>
      <c r="M96" s="59" t="s">
        <v>22</v>
      </c>
      <c r="N96" s="384" t="s">
        <v>1788</v>
      </c>
      <c r="O96" s="63">
        <v>81.3</v>
      </c>
      <c r="P96" s="384" t="s">
        <v>1429</v>
      </c>
      <c r="Q96" s="58">
        <v>200</v>
      </c>
      <c r="R96" s="59">
        <v>53</v>
      </c>
      <c r="S96" s="384">
        <v>0.62</v>
      </c>
      <c r="T96" s="395">
        <v>0.17</v>
      </c>
      <c r="U96" s="386">
        <v>0.21</v>
      </c>
      <c r="V96" s="386">
        <v>0.11</v>
      </c>
      <c r="W96" s="393">
        <v>0.12</v>
      </c>
      <c r="X96" s="4"/>
      <c r="Y96" s="4"/>
      <c r="Z96" s="4"/>
      <c r="AA96" s="387"/>
      <c r="AB96" s="4"/>
      <c r="AC96" s="4"/>
      <c r="AD96" s="386"/>
      <c r="AE96" s="386"/>
      <c r="AF96" s="386"/>
      <c r="AG96" s="386"/>
      <c r="AH96" s="4"/>
      <c r="AI96" s="4"/>
      <c r="AJ96" s="4"/>
      <c r="AK96" s="4"/>
      <c r="AL96" s="4"/>
      <c r="AM96" s="4"/>
      <c r="AN96" s="4"/>
      <c r="AO96" s="4"/>
      <c r="AP96" s="385"/>
      <c r="AQ96" s="4"/>
      <c r="AR96" s="4"/>
      <c r="AS96" s="386"/>
      <c r="AT96" s="386"/>
      <c r="AU96" s="386"/>
      <c r="AV96" s="386"/>
      <c r="AW96" s="4"/>
      <c r="AX96" s="4"/>
    </row>
    <row r="97" spans="1:50" x14ac:dyDescent="0.3">
      <c r="A97" s="59" t="s">
        <v>52</v>
      </c>
      <c r="B97" s="59" t="s">
        <v>230</v>
      </c>
      <c r="C97" s="59" t="s">
        <v>1424</v>
      </c>
      <c r="D97" s="59">
        <v>210</v>
      </c>
      <c r="E97" s="58">
        <v>68</v>
      </c>
      <c r="F97" s="384">
        <v>0.28000000000000003</v>
      </c>
      <c r="G97" s="384">
        <v>0.16</v>
      </c>
      <c r="H97" s="384">
        <v>0.56000000000000005</v>
      </c>
      <c r="I97" s="384">
        <v>7.0000000000000007E-2</v>
      </c>
      <c r="J97" s="59">
        <v>0.09</v>
      </c>
      <c r="K97" s="59">
        <v>48.4</v>
      </c>
      <c r="L97" s="59">
        <v>-34.200000000000003</v>
      </c>
      <c r="M97" s="59" t="s">
        <v>46</v>
      </c>
      <c r="N97" s="384" t="s">
        <v>2435</v>
      </c>
      <c r="O97" s="63">
        <v>82.6</v>
      </c>
      <c r="P97" s="384" t="s">
        <v>1430</v>
      </c>
      <c r="Q97" s="58">
        <v>185</v>
      </c>
      <c r="R97" s="59">
        <v>62</v>
      </c>
      <c r="S97" s="384">
        <v>0.35</v>
      </c>
      <c r="T97" s="395">
        <v>0.02</v>
      </c>
      <c r="U97" s="386">
        <v>0.63</v>
      </c>
      <c r="V97" s="386">
        <v>0.23</v>
      </c>
      <c r="W97" s="393">
        <v>0.3</v>
      </c>
      <c r="X97" s="4"/>
      <c r="Y97" s="4"/>
      <c r="Z97" s="4"/>
      <c r="AA97" s="385"/>
      <c r="AB97" s="4"/>
      <c r="AC97" s="4"/>
      <c r="AD97" s="4"/>
      <c r="AE97" s="4"/>
      <c r="AF97" s="4"/>
      <c r="AG97" s="4"/>
      <c r="AH97" s="4"/>
      <c r="AI97" s="4"/>
      <c r="AJ97" s="4"/>
      <c r="AK97" s="4"/>
      <c r="AL97" s="4"/>
      <c r="AM97" s="4"/>
      <c r="AN97" s="4"/>
      <c r="AO97" s="4"/>
      <c r="AP97" s="385"/>
      <c r="AQ97" s="4"/>
      <c r="AR97" s="4"/>
      <c r="AS97" s="386"/>
      <c r="AT97" s="386"/>
      <c r="AU97" s="386"/>
      <c r="AV97" s="386"/>
      <c r="AW97" s="4"/>
      <c r="AX97" s="4"/>
    </row>
    <row r="98" spans="1:50" x14ac:dyDescent="0.3">
      <c r="A98" s="59" t="s">
        <v>12</v>
      </c>
      <c r="B98" s="59" t="s">
        <v>202</v>
      </c>
      <c r="C98" s="59" t="s">
        <v>1423</v>
      </c>
      <c r="D98" s="59">
        <v>205</v>
      </c>
      <c r="E98" s="58">
        <v>96</v>
      </c>
      <c r="F98" s="384">
        <v>0.2</v>
      </c>
      <c r="G98" s="384">
        <v>0.57999999999999996</v>
      </c>
      <c r="H98" s="384">
        <v>0.22</v>
      </c>
      <c r="I98" s="384">
        <v>0.16</v>
      </c>
      <c r="J98" s="59">
        <v>0.27</v>
      </c>
      <c r="K98" s="59">
        <v>68.8</v>
      </c>
      <c r="L98" s="59"/>
      <c r="M98" s="59" t="s">
        <v>1237</v>
      </c>
      <c r="N98" s="384" t="s">
        <v>1440</v>
      </c>
      <c r="O98" s="63"/>
      <c r="P98" s="384" t="s">
        <v>1423</v>
      </c>
      <c r="Q98" s="58">
        <v>193</v>
      </c>
      <c r="R98" s="59"/>
      <c r="S98" s="59"/>
      <c r="U98" s="393"/>
      <c r="V98" s="393"/>
      <c r="W98" s="393"/>
      <c r="X98" s="4"/>
      <c r="Y98" s="4"/>
      <c r="Z98" s="4"/>
      <c r="AA98" s="385"/>
      <c r="AB98" s="4"/>
      <c r="AC98" s="4"/>
      <c r="AD98" s="386"/>
      <c r="AE98" s="386"/>
      <c r="AF98" s="386"/>
      <c r="AG98" s="386"/>
      <c r="AH98" s="4"/>
      <c r="AI98" s="4"/>
      <c r="AJ98" s="4"/>
      <c r="AK98" s="4"/>
      <c r="AL98" s="4"/>
      <c r="AM98" s="4"/>
      <c r="AN98" s="4"/>
      <c r="AO98" s="4"/>
      <c r="AP98" s="387"/>
      <c r="AQ98" s="4"/>
      <c r="AR98" s="4"/>
      <c r="AS98" s="386"/>
      <c r="AT98" s="386"/>
      <c r="AU98" s="386"/>
      <c r="AV98" s="386"/>
      <c r="AW98" s="4"/>
      <c r="AX98" s="4"/>
    </row>
    <row r="99" spans="1:50" x14ac:dyDescent="0.3">
      <c r="A99" s="59" t="s">
        <v>37</v>
      </c>
      <c r="B99" s="59" t="s">
        <v>454</v>
      </c>
      <c r="C99" s="59" t="s">
        <v>1423</v>
      </c>
      <c r="D99" s="59">
        <v>194</v>
      </c>
      <c r="E99" s="58">
        <v>78</v>
      </c>
      <c r="F99" s="384">
        <v>0.01</v>
      </c>
      <c r="G99" s="384">
        <v>0.92</v>
      </c>
      <c r="H99" s="384">
        <v>0.06</v>
      </c>
      <c r="I99" s="384">
        <v>0.17</v>
      </c>
      <c r="J99" s="59">
        <v>0.44</v>
      </c>
      <c r="K99" s="59">
        <v>79.7</v>
      </c>
      <c r="L99" s="59"/>
      <c r="M99" s="59" t="s">
        <v>18</v>
      </c>
      <c r="N99" s="384" t="s">
        <v>1496</v>
      </c>
      <c r="O99" s="63"/>
      <c r="P99" s="384" t="s">
        <v>1423</v>
      </c>
      <c r="Q99" s="58">
        <v>196</v>
      </c>
      <c r="R99" s="59"/>
      <c r="S99" s="59"/>
      <c r="U99" s="393"/>
      <c r="V99" s="393"/>
      <c r="W99" s="393"/>
      <c r="X99" s="4"/>
      <c r="Y99" s="4"/>
      <c r="Z99" s="4"/>
      <c r="AA99" s="385"/>
      <c r="AB99" s="4"/>
      <c r="AC99" s="4"/>
      <c r="AD99" s="386"/>
      <c r="AE99" s="386"/>
      <c r="AF99" s="386"/>
      <c r="AG99" s="386"/>
      <c r="AH99" s="4"/>
      <c r="AI99" s="4"/>
      <c r="AJ99" s="4"/>
      <c r="AK99" s="4"/>
      <c r="AL99" s="4"/>
      <c r="AM99" s="4"/>
      <c r="AN99" s="4"/>
      <c r="AO99" s="4"/>
      <c r="AP99" s="385"/>
      <c r="AQ99" s="4"/>
      <c r="AR99" s="4"/>
      <c r="AS99" s="386"/>
      <c r="AT99" s="386"/>
      <c r="AU99" s="386"/>
      <c r="AV99" s="386"/>
      <c r="AW99" s="4"/>
      <c r="AX99" s="4"/>
    </row>
    <row r="100" spans="1:50" x14ac:dyDescent="0.3">
      <c r="A100" s="59" t="s">
        <v>20</v>
      </c>
      <c r="B100" s="59" t="s">
        <v>229</v>
      </c>
      <c r="C100" s="59" t="s">
        <v>1424</v>
      </c>
      <c r="D100" s="59">
        <v>189</v>
      </c>
      <c r="E100" s="58"/>
      <c r="F100" s="384"/>
      <c r="G100" s="384"/>
      <c r="H100" s="384"/>
      <c r="I100" s="59"/>
      <c r="J100" s="59"/>
      <c r="K100" s="59"/>
      <c r="L100" s="59"/>
      <c r="M100" s="59" t="s">
        <v>39</v>
      </c>
      <c r="N100" s="59" t="s">
        <v>1782</v>
      </c>
      <c r="O100" s="63">
        <v>57.5</v>
      </c>
      <c r="P100" s="59" t="s">
        <v>1430</v>
      </c>
      <c r="Q100" s="58">
        <v>191</v>
      </c>
      <c r="R100" s="59">
        <v>35</v>
      </c>
      <c r="S100" s="384">
        <v>0</v>
      </c>
      <c r="T100" s="395">
        <v>0.06</v>
      </c>
      <c r="U100" s="386">
        <v>0.94</v>
      </c>
      <c r="V100" s="386">
        <v>0.34</v>
      </c>
      <c r="W100" s="393">
        <v>0.43</v>
      </c>
      <c r="X100" s="4"/>
      <c r="Y100" s="4"/>
      <c r="Z100" s="4"/>
      <c r="AA100" s="387"/>
      <c r="AB100" s="4"/>
      <c r="AC100" s="4"/>
      <c r="AD100" s="386"/>
      <c r="AE100" s="386"/>
      <c r="AF100" s="386"/>
      <c r="AG100" s="386"/>
      <c r="AH100" s="4"/>
      <c r="AI100" s="4"/>
      <c r="AJ100" s="4"/>
      <c r="AK100" s="4"/>
      <c r="AL100" s="4"/>
      <c r="AM100" s="4"/>
      <c r="AN100" s="4"/>
      <c r="AO100" s="4"/>
      <c r="AP100" s="385"/>
      <c r="AQ100" s="4"/>
      <c r="AR100" s="4"/>
      <c r="AS100" s="386"/>
      <c r="AT100" s="386"/>
      <c r="AU100" s="386"/>
      <c r="AV100" s="386"/>
      <c r="AW100" s="4"/>
      <c r="AX100" s="4"/>
    </row>
    <row r="101" spans="1:50" x14ac:dyDescent="0.3">
      <c r="A101" s="340" t="s">
        <v>30</v>
      </c>
      <c r="B101" s="340" t="s">
        <v>236</v>
      </c>
      <c r="C101" s="340" t="s">
        <v>1423</v>
      </c>
      <c r="D101" s="340">
        <v>191</v>
      </c>
      <c r="E101" s="388"/>
      <c r="F101" s="398"/>
      <c r="G101" s="398"/>
      <c r="H101" s="398"/>
      <c r="I101" s="340"/>
      <c r="J101" s="340"/>
      <c r="K101" s="340"/>
      <c r="M101" s="340" t="s">
        <v>4</v>
      </c>
      <c r="N101" s="398" t="s">
        <v>1482</v>
      </c>
      <c r="O101" s="63">
        <v>50.3</v>
      </c>
      <c r="P101" s="398" t="s">
        <v>1423</v>
      </c>
      <c r="Q101" s="388">
        <v>190</v>
      </c>
      <c r="R101" s="340">
        <v>51</v>
      </c>
      <c r="S101" s="398">
        <v>0.28999999999999998</v>
      </c>
      <c r="T101" s="395">
        <v>0.67</v>
      </c>
      <c r="U101" s="386">
        <v>0.04</v>
      </c>
      <c r="V101" s="386">
        <v>0.18</v>
      </c>
      <c r="W101" s="393">
        <v>0.31</v>
      </c>
    </row>
  </sheetData>
  <sheetProtection formatCells="0" formatColumns="0" formatRows="0" insertColumns="0" insertRows="0" insertHyperlinks="0" deleteColumns="0" deleteRows="0"/>
  <mergeCells count="3">
    <mergeCell ref="A1:D1"/>
    <mergeCell ref="A2:D2"/>
    <mergeCell ref="A3:D3"/>
  </mergeCells>
  <conditionalFormatting sqref="I2:I3 H4">
    <cfRule type="colorScale" priority="35">
      <colorScale>
        <cfvo type="min"/>
        <cfvo type="percentile" val="50"/>
        <cfvo type="max"/>
        <color rgb="FFF8696B"/>
        <color rgb="FFFFEB84"/>
        <color rgb="FF63BE7B"/>
      </colorScale>
    </cfRule>
  </conditionalFormatting>
  <conditionalFormatting sqref="AI98:AI100 AA4:AA100">
    <cfRule type="colorScale" priority="33">
      <colorScale>
        <cfvo type="min"/>
        <cfvo type="percentile" val="50"/>
        <cfvo type="max"/>
        <color rgb="FFF8696B"/>
        <color rgb="FFFFEB84"/>
        <color rgb="FF63BE7B"/>
      </colorScale>
    </cfRule>
  </conditionalFormatting>
  <conditionalFormatting sqref="AJ98:AJ100 AB4:AB100">
    <cfRule type="colorScale" priority="32">
      <colorScale>
        <cfvo type="min"/>
        <cfvo type="percentile" val="50"/>
        <cfvo type="max"/>
        <color rgb="FFF8696B"/>
        <color rgb="FFFFEB84"/>
        <color rgb="FF63BE7B"/>
      </colorScale>
    </cfRule>
  </conditionalFormatting>
  <conditionalFormatting sqref="AF4:AF73">
    <cfRule type="colorScale" priority="31">
      <colorScale>
        <cfvo type="min"/>
        <cfvo type="percentile" val="50"/>
        <cfvo type="max"/>
        <color rgb="FFF8696B"/>
        <color rgb="FFFFEB84"/>
        <color rgb="FF63BE7B"/>
      </colorScale>
    </cfRule>
  </conditionalFormatting>
  <conditionalFormatting sqref="AK5:AK100">
    <cfRule type="colorScale" priority="30">
      <colorScale>
        <cfvo type="min"/>
        <cfvo type="percentile" val="50"/>
        <cfvo type="max"/>
        <color rgb="FFF8696B"/>
        <color rgb="FFFFEB84"/>
        <color rgb="FF63BE7B"/>
      </colorScale>
    </cfRule>
  </conditionalFormatting>
  <conditionalFormatting sqref="L102:L1048576">
    <cfRule type="colorScale" priority="36">
      <colorScale>
        <cfvo type="min"/>
        <cfvo type="percentile" val="50"/>
        <cfvo type="max"/>
        <color rgb="FFF8696B"/>
        <color rgb="FFFFEB84"/>
        <color rgb="FF63BE7B"/>
      </colorScale>
    </cfRule>
  </conditionalFormatting>
  <conditionalFormatting sqref="M102:M1048576 E1:E3 D4">
    <cfRule type="colorScale" priority="37">
      <colorScale>
        <cfvo type="min"/>
        <cfvo type="percentile" val="50"/>
        <cfvo type="max"/>
        <color rgb="FFF8696B"/>
        <color rgb="FFFFEB84"/>
        <color rgb="FF63BE7B"/>
      </colorScale>
    </cfRule>
  </conditionalFormatting>
  <conditionalFormatting sqref="E6:E101">
    <cfRule type="colorScale" priority="15">
      <colorScale>
        <cfvo type="min"/>
        <cfvo type="percentile" val="50"/>
        <cfvo type="max"/>
        <color rgb="FFF8696B"/>
        <color rgb="FFFFEB84"/>
        <color rgb="FF63BE7B"/>
      </colorScale>
    </cfRule>
  </conditionalFormatting>
  <conditionalFormatting sqref="F6:H101">
    <cfRule type="iconSet" priority="14">
      <iconSet iconSet="5Quarters">
        <cfvo type="percent" val="0"/>
        <cfvo type="percent" val="20"/>
        <cfvo type="percent" val="40"/>
        <cfvo type="percent" val="60"/>
        <cfvo type="percent" val="80"/>
      </iconSet>
    </cfRule>
  </conditionalFormatting>
  <conditionalFormatting sqref="I6:I101">
    <cfRule type="dataBar" priority="13">
      <dataBar>
        <cfvo type="min"/>
        <cfvo type="max"/>
        <color rgb="FF638EC6"/>
      </dataBar>
      <extLst>
        <ext xmlns:x14="http://schemas.microsoft.com/office/spreadsheetml/2009/9/main" uri="{B025F937-C7B1-47D3-B67F-A62EFF666E3E}">
          <x14:id>{274BC629-596B-4F6E-941A-B7188CE00E12}</x14:id>
        </ext>
      </extLst>
    </cfRule>
  </conditionalFormatting>
  <conditionalFormatting sqref="J6:J101">
    <cfRule type="dataBar" priority="12">
      <dataBar>
        <cfvo type="min"/>
        <cfvo type="max"/>
        <color rgb="FF63C384"/>
      </dataBar>
      <extLst>
        <ext xmlns:x14="http://schemas.microsoft.com/office/spreadsheetml/2009/9/main" uri="{B025F937-C7B1-47D3-B67F-A62EFF666E3E}">
          <x14:id>{25536CB5-F798-41BF-83FF-8C513BC821AC}</x14:id>
        </ext>
      </extLst>
    </cfRule>
  </conditionalFormatting>
  <conditionalFormatting sqref="K6:K101">
    <cfRule type="colorScale" priority="11">
      <colorScale>
        <cfvo type="min"/>
        <cfvo type="percentile" val="50"/>
        <cfvo type="max"/>
        <color rgb="FFF8696B"/>
        <color rgb="FFFFEB84"/>
        <color rgb="FF63BE7B"/>
      </colorScale>
    </cfRule>
  </conditionalFormatting>
  <conditionalFormatting sqref="R6:R101">
    <cfRule type="colorScale" priority="10">
      <colorScale>
        <cfvo type="min"/>
        <cfvo type="percentile" val="50"/>
        <cfvo type="max"/>
        <color rgb="FFF8696B"/>
        <color rgb="FFFFEB84"/>
        <color rgb="FF63BE7B"/>
      </colorScale>
    </cfRule>
  </conditionalFormatting>
  <conditionalFormatting sqref="S6:U101">
    <cfRule type="iconSet" priority="9">
      <iconSet iconSet="5Quarters">
        <cfvo type="percent" val="0"/>
        <cfvo type="percent" val="20"/>
        <cfvo type="percent" val="40"/>
        <cfvo type="percent" val="60"/>
        <cfvo type="percent" val="80"/>
      </iconSet>
    </cfRule>
  </conditionalFormatting>
  <conditionalFormatting sqref="O6:O101">
    <cfRule type="colorScale" priority="8">
      <colorScale>
        <cfvo type="min"/>
        <cfvo type="percentile" val="50"/>
        <cfvo type="max"/>
        <color rgb="FFF8696B"/>
        <color rgb="FFFFEB84"/>
        <color rgb="FF63BE7B"/>
      </colorScale>
    </cfRule>
  </conditionalFormatting>
  <conditionalFormatting sqref="V6:V101">
    <cfRule type="dataBar" priority="7">
      <dataBar>
        <cfvo type="min"/>
        <cfvo type="max"/>
        <color rgb="FF638EC6"/>
      </dataBar>
      <extLst>
        <ext xmlns:x14="http://schemas.microsoft.com/office/spreadsheetml/2009/9/main" uri="{B025F937-C7B1-47D3-B67F-A62EFF666E3E}">
          <x14:id>{25C01039-9591-4CEC-837B-21998B16B490}</x14:id>
        </ext>
      </extLst>
    </cfRule>
  </conditionalFormatting>
  <conditionalFormatting sqref="W6:W101">
    <cfRule type="dataBar" priority="6">
      <dataBar>
        <cfvo type="min"/>
        <cfvo type="max"/>
        <color rgb="FF63C384"/>
      </dataBar>
      <extLst>
        <ext xmlns:x14="http://schemas.microsoft.com/office/spreadsheetml/2009/9/main" uri="{B025F937-C7B1-47D3-B67F-A62EFF666E3E}">
          <x14:id>{3ABF6E74-16DC-45D5-9A99-2C58A7367740}</x14:id>
        </ext>
      </extLst>
    </cfRule>
  </conditionalFormatting>
  <conditionalFormatting sqref="L6:L101">
    <cfRule type="iconSet" priority="1">
      <iconSet iconSet="4TrafficLights">
        <cfvo type="percent" val="0"/>
        <cfvo type="percent" val="25"/>
        <cfvo type="percent" val="50"/>
        <cfvo type="percent" val="75"/>
      </iconSet>
    </cfRule>
    <cfRule type="colorScale" priority="2">
      <colorScale>
        <cfvo type="min"/>
        <cfvo type="percentile" val="50"/>
        <cfvo type="max"/>
        <color rgb="FF5A8AC6"/>
        <color rgb="FFFCFCFF"/>
        <color rgb="FFF8696B"/>
      </colorScale>
    </cfRule>
  </conditionalFormatting>
  <pageMargins left="0.7" right="0.7" top="0.75" bottom="0.75" header="0.3" footer="0.3"/>
  <pageSetup orientation="portrait" horizontalDpi="4294967293" verticalDpi="4294967293"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74BC629-596B-4F6E-941A-B7188CE00E12}">
            <x14:dataBar minLength="0" maxLength="100" border="1" negativeBarBorderColorSameAsPositive="0">
              <x14:cfvo type="autoMin"/>
              <x14:cfvo type="autoMax"/>
              <x14:borderColor rgb="FF638EC6"/>
              <x14:negativeFillColor rgb="FFFF0000"/>
              <x14:negativeBorderColor rgb="FFFF0000"/>
              <x14:axisColor rgb="FF000000"/>
            </x14:dataBar>
          </x14:cfRule>
          <xm:sqref>I6:I101</xm:sqref>
        </x14:conditionalFormatting>
        <x14:conditionalFormatting xmlns:xm="http://schemas.microsoft.com/office/excel/2006/main">
          <x14:cfRule type="dataBar" id="{25536CB5-F798-41BF-83FF-8C513BC821AC}">
            <x14:dataBar minLength="0" maxLength="100" border="1" negativeBarBorderColorSameAsPositive="0">
              <x14:cfvo type="autoMin"/>
              <x14:cfvo type="autoMax"/>
              <x14:borderColor rgb="FF63C384"/>
              <x14:negativeFillColor rgb="FFFF0000"/>
              <x14:negativeBorderColor rgb="FFFF0000"/>
              <x14:axisColor rgb="FF000000"/>
            </x14:dataBar>
          </x14:cfRule>
          <xm:sqref>J6:J101</xm:sqref>
        </x14:conditionalFormatting>
        <x14:conditionalFormatting xmlns:xm="http://schemas.microsoft.com/office/excel/2006/main">
          <x14:cfRule type="dataBar" id="{25C01039-9591-4CEC-837B-21998B16B490}">
            <x14:dataBar minLength="0" maxLength="100" border="1" negativeBarBorderColorSameAsPositive="0">
              <x14:cfvo type="autoMin"/>
              <x14:cfvo type="autoMax"/>
              <x14:borderColor rgb="FF638EC6"/>
              <x14:negativeFillColor rgb="FFFF0000"/>
              <x14:negativeBorderColor rgb="FFFF0000"/>
              <x14:axisColor rgb="FF000000"/>
            </x14:dataBar>
          </x14:cfRule>
          <xm:sqref>V6:V101</xm:sqref>
        </x14:conditionalFormatting>
        <x14:conditionalFormatting xmlns:xm="http://schemas.microsoft.com/office/excel/2006/main">
          <x14:cfRule type="dataBar" id="{3ABF6E74-16DC-45D5-9A99-2C58A7367740}">
            <x14:dataBar minLength="0" maxLength="100" border="1" negativeBarBorderColorSameAsPositive="0">
              <x14:cfvo type="autoMin"/>
              <x14:cfvo type="autoMax"/>
              <x14:borderColor rgb="FF63C384"/>
              <x14:negativeFillColor rgb="FFFF0000"/>
              <x14:negativeBorderColor rgb="FFFF0000"/>
              <x14:axisColor rgb="FF000000"/>
            </x14:dataBar>
          </x14:cfRule>
          <xm:sqref>W6:W101</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5:X46"/>
  <sheetViews>
    <sheetView showGridLines="0" workbookViewId="0">
      <selection activeCell="H1" sqref="H1:H1048576"/>
    </sheetView>
  </sheetViews>
  <sheetFormatPr defaultColWidth="9" defaultRowHeight="14.4" x14ac:dyDescent="0.3"/>
  <cols>
    <col min="1" max="1" width="1.21875" style="135" customWidth="1"/>
    <col min="2" max="2" width="9.5546875" style="4" bestFit="1" customWidth="1"/>
    <col min="3" max="3" width="8.5546875" style="4" bestFit="1" customWidth="1"/>
    <col min="4" max="6" width="15.77734375" style="135" bestFit="1" customWidth="1"/>
    <col min="7" max="7" width="14.21875" style="135" bestFit="1" customWidth="1"/>
    <col min="8" max="8" width="10.77734375" style="6" hidden="1" customWidth="1"/>
    <col min="9" max="11" width="10.88671875" style="135" hidden="1" customWidth="1"/>
    <col min="12" max="19" width="12.109375" style="135" hidden="1" customWidth="1"/>
    <col min="20" max="20" width="18.77734375" style="6" customWidth="1"/>
    <col min="21" max="21" width="14" style="6" customWidth="1"/>
    <col min="22" max="22" width="18.77734375" style="281" customWidth="1"/>
    <col min="23" max="23" width="14" style="135" customWidth="1"/>
    <col min="24" max="24" width="12.109375" style="282" bestFit="1" customWidth="1"/>
    <col min="25" max="16384" width="9" style="135"/>
  </cols>
  <sheetData>
    <row r="5" spans="2:24" ht="15" thickBot="1" x14ac:dyDescent="0.35"/>
    <row r="6" spans="2:24" ht="3.75" customHeight="1" x14ac:dyDescent="0.3">
      <c r="B6" s="283"/>
      <c r="C6" s="284"/>
      <c r="D6" s="285"/>
      <c r="E6" s="285"/>
      <c r="F6" s="285"/>
      <c r="G6" s="285"/>
    </row>
    <row r="7" spans="2:24" x14ac:dyDescent="0.3">
      <c r="B7" s="580" t="s">
        <v>1567</v>
      </c>
      <c r="C7" s="581"/>
      <c r="D7" s="286" t="s">
        <v>1568</v>
      </c>
      <c r="E7" s="286" t="s">
        <v>1569</v>
      </c>
      <c r="F7" s="286" t="s">
        <v>1570</v>
      </c>
      <c r="G7" s="286" t="s">
        <v>1571</v>
      </c>
      <c r="I7" s="287" t="s">
        <v>1572</v>
      </c>
    </row>
    <row r="8" spans="2:24" ht="3.75" customHeight="1" x14ac:dyDescent="0.3">
      <c r="B8" s="288"/>
      <c r="C8" s="289"/>
      <c r="D8" s="290"/>
      <c r="E8" s="290"/>
      <c r="F8" s="290"/>
      <c r="G8" s="290"/>
      <c r="I8" s="287"/>
    </row>
    <row r="9" spans="2:24" x14ac:dyDescent="0.3">
      <c r="B9" s="582" t="s">
        <v>604</v>
      </c>
      <c r="C9" s="583"/>
      <c r="D9" s="291" t="s">
        <v>387</v>
      </c>
      <c r="E9" s="291" t="s">
        <v>387</v>
      </c>
      <c r="F9" s="291" t="s">
        <v>2</v>
      </c>
      <c r="G9" s="291" t="s">
        <v>387</v>
      </c>
      <c r="I9" s="287"/>
    </row>
    <row r="10" spans="2:24" ht="3.75" customHeight="1" thickBot="1" x14ac:dyDescent="0.35">
      <c r="B10" s="288"/>
      <c r="C10" s="289"/>
      <c r="D10" s="290"/>
      <c r="E10" s="290"/>
      <c r="F10" s="290"/>
      <c r="G10" s="290"/>
      <c r="I10" s="287"/>
    </row>
    <row r="11" spans="2:24" ht="15" thickBot="1" x14ac:dyDescent="0.35">
      <c r="B11" s="337"/>
      <c r="C11" s="35"/>
      <c r="D11" s="291" t="s">
        <v>1535</v>
      </c>
      <c r="E11" s="291" t="s">
        <v>1609</v>
      </c>
      <c r="F11" s="291" t="s">
        <v>1609</v>
      </c>
      <c r="G11" s="291" t="s">
        <v>1770</v>
      </c>
      <c r="I11" s="4">
        <f>COUNTIF(D11:G11,"&lt;&gt;NONE")</f>
        <v>3</v>
      </c>
    </row>
    <row r="12" spans="2:24" ht="3.75" customHeight="1" thickBot="1" x14ac:dyDescent="0.35">
      <c r="B12" s="292"/>
      <c r="C12" s="293"/>
      <c r="D12" s="294"/>
      <c r="E12" s="294"/>
      <c r="F12" s="294"/>
      <c r="G12" s="294"/>
      <c r="H12" s="135"/>
      <c r="T12" s="135"/>
      <c r="U12" s="135"/>
      <c r="V12" s="135"/>
      <c r="X12" s="135"/>
    </row>
    <row r="14" spans="2:24" x14ac:dyDescent="0.3">
      <c r="B14" s="4" t="s">
        <v>387</v>
      </c>
      <c r="C14" s="4" t="s">
        <v>81</v>
      </c>
      <c r="D14" s="4" t="s">
        <v>1573</v>
      </c>
      <c r="E14" s="4" t="s">
        <v>1574</v>
      </c>
      <c r="F14" s="4" t="s">
        <v>1575</v>
      </c>
      <c r="G14" s="4" t="s">
        <v>1576</v>
      </c>
      <c r="H14" s="28" t="s">
        <v>1577</v>
      </c>
      <c r="I14" s="4" t="s">
        <v>1578</v>
      </c>
      <c r="J14" s="4" t="s">
        <v>1579</v>
      </c>
      <c r="K14" s="4" t="s">
        <v>1580</v>
      </c>
      <c r="L14" s="4" t="s">
        <v>1581</v>
      </c>
      <c r="M14" s="4" t="s">
        <v>1582</v>
      </c>
      <c r="N14" s="4" t="s">
        <v>1583</v>
      </c>
      <c r="O14" s="4" t="s">
        <v>1584</v>
      </c>
      <c r="P14" s="4" t="s">
        <v>1585</v>
      </c>
      <c r="Q14" s="4" t="s">
        <v>1586</v>
      </c>
      <c r="R14" s="4" t="s">
        <v>1587</v>
      </c>
      <c r="S14" s="4" t="s">
        <v>1588</v>
      </c>
      <c r="T14" s="28" t="s">
        <v>1589</v>
      </c>
      <c r="U14" s="28" t="s">
        <v>1590</v>
      </c>
      <c r="V14" s="295" t="s">
        <v>1591</v>
      </c>
      <c r="W14" s="4" t="s">
        <v>1592</v>
      </c>
      <c r="X14" s="282" t="s">
        <v>1593</v>
      </c>
    </row>
    <row r="15" spans="2:24" x14ac:dyDescent="0.3">
      <c r="B15" s="4" t="s">
        <v>39</v>
      </c>
      <c r="C15" s="4" t="e">
        <f>IF(LEFT(INDEX(defenses[Opp],MATCH(StackBuilder[[#This Row],[Team]],defenses[Team],0)),1)="@",MID(INDEX(defenses[Opp],MATCH(StackBuilder[[#This Row],[Team]],defenses[Team],0)),2,4),INDEX(defenses[Opp],MATCH(StackBuilder[[#This Row],[Team]],defenses[Team],0)))</f>
        <v>#N/A</v>
      </c>
      <c r="D15" s="4" t="str">
        <f>IFERROR(IF(Stack1="NONE","",INDEX(Merged_Stack_Data[Name],MATCH(IF(S1Team="Team",StackBuilder[[#This Row],[Team]],StackBuilder[[#This Row],[Opp]])&amp;" "&amp;Stack1,IF(StackBy="Projection",Merged_Stack_Data[Proj. Depth],Merged_Stack_Data[Value Depth]),0))),"")</f>
        <v>Carson Wentz</v>
      </c>
      <c r="E15" s="4" t="str">
        <f>IFERROR(IF(Stack2="NONE","",INDEX(Merged_Stack_Data[Name],MATCH(IF(S2Team="Team",StackBuilder[[#This Row],[Team]],StackBuilder[[#This Row],[Opp]])&amp;" "&amp;Stack2,IF(StackBy="Projection",Merged_Stack_Data[Proj. Depth],Merged_Stack_Data[Value Depth]),0))),"")</f>
        <v>Jordan Matthews</v>
      </c>
      <c r="F15" s="4" t="str">
        <f>IFERROR(IF(Stack3="NONE","",INDEX(Merged_Stack_Data[Name],MATCH(IF(S3Team="Team",StackBuilder[[#This Row],[Team]],StackBuilder[[#This Row],[Opp]])&amp;" "&amp;Stack3,IF(StackBy="Projection",Merged_Stack_Data[Proj. Depth],Merged_Stack_Data[Value Depth]),0))),"")</f>
        <v/>
      </c>
      <c r="G15" s="4" t="str">
        <f>IFERROR(IF(Stack4="NONE","",INDEX(Merged_Stack_Data[Name],MATCH(IF(S4Team="Team",StackBuilder[[#This Row],[Team]],StackBuilder[[#This Row],[Opp]])&amp;" "&amp;Stack4,IF(StackBy="Projection",Merged_Stack_Data[Proj. Depth],Merged_Stack_Data[Value Depth]),0))),"")</f>
        <v/>
      </c>
      <c r="H15" s="28">
        <f>IFERROR(INDEX(Merged_Stack_Data[[Projection]:[Projection]],MATCH(StackBuilder[[#This Row],[Stack Pos 1]],Merged_Stack_Data[[Name]:[Name]],0)),"")</f>
        <v>15.897195833333333</v>
      </c>
      <c r="I15" s="28">
        <f>IFERROR(INDEX(Merged_Stack_Data[[Projection]:[Projection]],MATCH(StackBuilder[[#This Row],[Stack Pos 2]],Merged_Stack_Data[[Name]:[Name]],0)),"")</f>
        <v>15.679466666666666</v>
      </c>
      <c r="J15" s="28" t="str">
        <f>IFERROR(INDEX(Merged_Stack_Data[[Projection]:[Projection]],MATCH(StackBuilder[[#This Row],[Stack Pos 3]],Merged_Stack_Data[[Name]:[Name]],0)),"")</f>
        <v/>
      </c>
      <c r="K15" s="28" t="str">
        <f>IFERROR(INDEX(Merged_Stack_Data[[Projection]:[Projection]],MATCH(StackBuilder[[#This Row],[Stack Pos 4]],Merged_Stack_Data[[Name]:[Name]],0)),"")</f>
        <v/>
      </c>
      <c r="L15" s="27">
        <f>IFERROR(INDEX(Merged_Stack_Data[[$/FP]:[$/FP]],MATCH(StackBuilder[[#This Row],[Stack Pos 1]],Merged_Stack_Data[[Name]:[Name]],0)),"")</f>
        <v>345.97300000000001</v>
      </c>
      <c r="M15" s="27">
        <f>IFERROR(INDEX(Merged_Stack_Data[[$/FP]:[$/FP]],MATCH(StackBuilder[[#This Row],[Stack Pos 2]],Merged_Stack_Data[[Name]:[Name]],0)),"")</f>
        <v>452.82150000000001</v>
      </c>
      <c r="N15" s="27" t="str">
        <f>IFERROR(INDEX(Merged_Stack_Data[[$/FP]:[$/FP]],MATCH(StackBuilder[[#This Row],[Stack Pos 3]],Merged_Stack_Data[[Name]:[Name]],0)),"")</f>
        <v/>
      </c>
      <c r="O15" s="27" t="str">
        <f>IFERROR(INDEX(Merged_Stack_Data[[$/FP]:[$/FP]],MATCH(StackBuilder[[#This Row],[Stack Pos 4]],Merged_Stack_Data[[Name]:[Name]],0)),"")</f>
        <v/>
      </c>
      <c r="P15" s="27">
        <f>IFERROR(INDEX(Merged_Stack_Data[[Salary]:[Salary]],MATCH(StackBuilder[[#This Row],[Stack Pos 1]],Merged_Stack_Data[[Name]:[Name]],0)),"")</f>
        <v>5500</v>
      </c>
      <c r="Q15" s="27">
        <f>IFERROR(INDEX(Merged_Stack_Data[[Salary]:[Salary]],MATCH(StackBuilder[[#This Row],[Stack Pos 2]],Merged_Stack_Data[[Name]:[Name]],0)),"")</f>
        <v>7100</v>
      </c>
      <c r="R15" s="27" t="str">
        <f>IFERROR(INDEX(Merged_Stack_Data[[Salary]:[Salary]],MATCH(StackBuilder[[#This Row],[Stack Pos 3]],Merged_Stack_Data[[Name]:[Name]],0)),"")</f>
        <v/>
      </c>
      <c r="S15" s="27" t="str">
        <f>IFERROR(INDEX(Merged_Stack_Data[[Salary]:[Salary]],MATCH(StackBuilder[[#This Row],[Stack Pos 4]],Merged_Stack_Data[[Name]:[Name]],0)),"")</f>
        <v/>
      </c>
      <c r="T15" s="28" t="b">
        <f>IF(4-COUNTBLANK(StackBuilder[[#This Row],[Stack Pos 1]:[Stack Pos 4]])=PosSelected,ROUND(SUM(StackBuilder[[#This Row],[P1 Proj]:[P4 Proj]]),2))</f>
        <v>0</v>
      </c>
      <c r="U15" s="27" t="str">
        <f>IFERROR(_xlfn.RANK.EQ(StackBuilder[[#This Row],[Stack Projection]],StackBuilder[Stack Projection],0),"")</f>
        <v/>
      </c>
      <c r="V15" s="295" t="b">
        <f>IF(4-COUNTBLANK(StackBuilder[[#This Row],[Stack Pos 1]:[Stack Pos 4]])=PosSelected,ROUND(AVERAGE(StackBuilder[[#This Row],[P1 Value]:[P4 Value]]),2))</f>
        <v>0</v>
      </c>
      <c r="W15" s="27" t="str">
        <f>IFERROR(_xlfn.RANK.EQ(StackBuilder[[#This Row],[Stack Value]],StackBuilder[Stack Value],1),"")</f>
        <v/>
      </c>
      <c r="X15" s="282" t="str">
        <f>IF(4-COUNTBLANK(StackBuilder[[#This Row],[Stack Pos 1]:[Stack Pos 4]])=PosSelected,SUM(StackBuilder[[#This Row],[P1 Salary]:[P4 Salary]])/50000,"")</f>
        <v/>
      </c>
    </row>
    <row r="16" spans="2:24" x14ac:dyDescent="0.3">
      <c r="B16" s="4" t="s">
        <v>395</v>
      </c>
      <c r="C16" s="4" t="e">
        <f>IF(LEFT(INDEX(defenses[Opp],MATCH(StackBuilder[[#This Row],[Team]],defenses[Team],0)),1)="@",MID(INDEX(defenses[Opp],MATCH(StackBuilder[[#This Row],[Team]],defenses[Team],0)),2,4),INDEX(defenses[Opp],MATCH(StackBuilder[[#This Row],[Team]],defenses[Team],0)))</f>
        <v>#N/A</v>
      </c>
      <c r="D16" s="4" t="str">
        <f>IFERROR(IF(Stack1="NONE","",INDEX(Merged_Stack_Data[Name],MATCH(IF(S1Team="Team",StackBuilder[[#This Row],[Team]],StackBuilder[[#This Row],[Opp]])&amp;" "&amp;Stack1,IF(StackBy="Projection",Merged_Stack_Data[Proj. Depth],Merged_Stack_Data[Value Depth]),0))),"")</f>
        <v>Aaron Rodgers</v>
      </c>
      <c r="E16" s="4" t="str">
        <f>IFERROR(IF(Stack2="NONE","",INDEX(Merged_Stack_Data[Name],MATCH(IF(S2Team="Team",StackBuilder[[#This Row],[Team]],StackBuilder[[#This Row],[Opp]])&amp;" "&amp;Stack2,IF(StackBy="Projection",Merged_Stack_Data[Proj. Depth],Merged_Stack_Data[Value Depth]),0))),"")</f>
        <v>Jordy Nelson</v>
      </c>
      <c r="F16" s="4" t="str">
        <f>IFERROR(IF(Stack3="NONE","",INDEX(Merged_Stack_Data[Name],MATCH(IF(S3Team="Team",StackBuilder[[#This Row],[Team]],StackBuilder[[#This Row],[Opp]])&amp;" "&amp;Stack3,IF(StackBy="Projection",Merged_Stack_Data[Proj. Depth],Merged_Stack_Data[Value Depth]),0))),"")</f>
        <v/>
      </c>
      <c r="G16" s="4" t="str">
        <f>IFERROR(IF(Stack4="NONE","",INDEX(Merged_Stack_Data[Name],MATCH(IF(S4Team="Team",StackBuilder[[#This Row],[Team]],StackBuilder[[#This Row],[Opp]])&amp;" "&amp;Stack4,IF(StackBy="Projection",Merged_Stack_Data[Proj. Depth],Merged_Stack_Data[Value Depth]),0))),"")</f>
        <v/>
      </c>
      <c r="H16" s="28">
        <f>IFERROR(INDEX(Merged_Stack_Data[[Projection]:[Projection]],MATCH(StackBuilder[[#This Row],[Stack Pos 1]],Merged_Stack_Data[[Name]:[Name]],0)),"")</f>
        <v>19.723555000000001</v>
      </c>
      <c r="I16" s="28">
        <f>IFERROR(INDEX(Merged_Stack_Data[[Projection]:[Projection]],MATCH(StackBuilder[[#This Row],[Stack Pos 2]],Merged_Stack_Data[[Name]:[Name]],0)),"")</f>
        <v>16.265033333333335</v>
      </c>
      <c r="J16" s="28" t="str">
        <f>IFERROR(INDEX(Merged_Stack_Data[[Projection]:[Projection]],MATCH(StackBuilder[[#This Row],[Stack Pos 3]],Merged_Stack_Data[[Name]:[Name]],0)),"")</f>
        <v/>
      </c>
      <c r="K16" s="28" t="str">
        <f>IFERROR(INDEX(Merged_Stack_Data[[Projection]:[Projection]],MATCH(StackBuilder[[#This Row],[Stack Pos 4]],Merged_Stack_Data[[Name]:[Name]],0)),"")</f>
        <v/>
      </c>
      <c r="L16" s="27">
        <f>IFERROR(INDEX(Merged_Stack_Data[[$/FP]:[$/FP]],MATCH(StackBuilder[[#This Row],[Stack Pos 1]],Merged_Stack_Data[[Name]:[Name]],0)),"")</f>
        <v>390.39620000000002</v>
      </c>
      <c r="M16" s="27">
        <f>IFERROR(INDEX(Merged_Stack_Data[[$/FP]:[$/FP]],MATCH(StackBuilder[[#This Row],[Stack Pos 2]],Merged_Stack_Data[[Name]:[Name]],0)),"")</f>
        <v>454.96370000000002</v>
      </c>
      <c r="N16" s="27" t="str">
        <f>IFERROR(INDEX(Merged_Stack_Data[[$/FP]:[$/FP]],MATCH(StackBuilder[[#This Row],[Stack Pos 3]],Merged_Stack_Data[[Name]:[Name]],0)),"")</f>
        <v/>
      </c>
      <c r="O16" s="27" t="str">
        <f>IFERROR(INDEX(Merged_Stack_Data[[$/FP]:[$/FP]],MATCH(StackBuilder[[#This Row],[Stack Pos 4]],Merged_Stack_Data[[Name]:[Name]],0)),"")</f>
        <v/>
      </c>
      <c r="P16" s="27">
        <f>IFERROR(INDEX(Merged_Stack_Data[[Salary]:[Salary]],MATCH(StackBuilder[[#This Row],[Stack Pos 1]],Merged_Stack_Data[[Name]:[Name]],0)),"")</f>
        <v>7700</v>
      </c>
      <c r="Q16" s="27">
        <f>IFERROR(INDEX(Merged_Stack_Data[[Salary]:[Salary]],MATCH(StackBuilder[[#This Row],[Stack Pos 2]],Merged_Stack_Data[[Name]:[Name]],0)),"")</f>
        <v>7400</v>
      </c>
      <c r="R16" s="27" t="str">
        <f>IFERROR(INDEX(Merged_Stack_Data[[Salary]:[Salary]],MATCH(StackBuilder[[#This Row],[Stack Pos 3]],Merged_Stack_Data[[Name]:[Name]],0)),"")</f>
        <v/>
      </c>
      <c r="S16" s="27" t="str">
        <f>IFERROR(INDEX(Merged_Stack_Data[[Salary]:[Salary]],MATCH(StackBuilder[[#This Row],[Stack Pos 4]],Merged_Stack_Data[[Name]:[Name]],0)),"")</f>
        <v/>
      </c>
      <c r="T16" s="28" t="b">
        <f>IF(4-COUNTBLANK(StackBuilder[[#This Row],[Stack Pos 1]:[Stack Pos 4]])=PosSelected,ROUND(SUM(StackBuilder[[#This Row],[P1 Proj]:[P4 Proj]]),2))</f>
        <v>0</v>
      </c>
      <c r="U16" s="27" t="str">
        <f>IFERROR(_xlfn.RANK.EQ(StackBuilder[[#This Row],[Stack Projection]],StackBuilder[Stack Projection],0),"")</f>
        <v/>
      </c>
      <c r="V16" s="295" t="b">
        <f>IF(4-COUNTBLANK(StackBuilder[[#This Row],[Stack Pos 1]:[Stack Pos 4]])=PosSelected,ROUND(AVERAGE(StackBuilder[[#This Row],[P1 Value]:[P4 Value]]),2))</f>
        <v>0</v>
      </c>
      <c r="W16" s="27" t="str">
        <f>IFERROR(_xlfn.RANK.EQ(StackBuilder[[#This Row],[Stack Value]],StackBuilder[Stack Value],1),"")</f>
        <v/>
      </c>
      <c r="X16" s="282" t="str">
        <f>IF(4-COUNTBLANK(StackBuilder[[#This Row],[Stack Pos 1]:[Stack Pos 4]])=PosSelected,SUM(StackBuilder[[#This Row],[P1 Salary]:[P4 Salary]])/50000,"")</f>
        <v/>
      </c>
    </row>
    <row r="17" spans="2:24" x14ac:dyDescent="0.3">
      <c r="B17" s="4" t="s">
        <v>22</v>
      </c>
      <c r="C17" s="4" t="str">
        <f>IF(LEFT(INDEX(defenses[Opp],MATCH(StackBuilder[[#This Row],[Team]],defenses[Team],0)),1)="@",MID(INDEX(defenses[Opp],MATCH(StackBuilder[[#This Row],[Team]],defenses[Team],0)),2,4),INDEX(defenses[Opp],MATCH(StackBuilder[[#This Row],[Team]],defenses[Team],0)))</f>
        <v>ATL</v>
      </c>
      <c r="D17" s="4" t="str">
        <f>IFERROR(IF(Stack1="NONE","",INDEX(Merged_Stack_Data[Name],MATCH(IF(S1Team="Team",StackBuilder[[#This Row],[Team]],StackBuilder[[#This Row],[Opp]])&amp;" "&amp;Stack1,IF(StackBy="Projection",Merged_Stack_Data[Proj. Depth],Merged_Stack_Data[Value Depth]),0))),"")</f>
        <v>Cam Newton</v>
      </c>
      <c r="E17" s="4" t="str">
        <f>IFERROR(IF(Stack2="NONE","",INDEX(Merged_Stack_Data[Name],MATCH(IF(S2Team="Team",StackBuilder[[#This Row],[Team]],StackBuilder[[#This Row],[Opp]])&amp;" "&amp;Stack2,IF(StackBy="Projection",Merged_Stack_Data[Proj. Depth],Merged_Stack_Data[Value Depth]),0))),"")</f>
        <v>Kelvin Benjamin</v>
      </c>
      <c r="F17" s="4" t="str">
        <f>IFERROR(IF(Stack3="NONE","",INDEX(Merged_Stack_Data[Name],MATCH(IF(S3Team="Team",StackBuilder[[#This Row],[Team]],StackBuilder[[#This Row],[Opp]])&amp;" "&amp;Stack3,IF(StackBy="Projection",Merged_Stack_Data[Proj. Depth],Merged_Stack_Data[Value Depth]),0))),"")</f>
        <v>Julio Jones</v>
      </c>
      <c r="G17" s="4" t="str">
        <f>IFERROR(IF(Stack4="NONE","",INDEX(Merged_Stack_Data[Name],MATCH(IF(S4Team="Team",StackBuilder[[#This Row],[Team]],StackBuilder[[#This Row],[Opp]])&amp;" "&amp;Stack4,IF(StackBy="Projection",Merged_Stack_Data[Proj. Depth],Merged_Stack_Data[Value Depth]),0))),"")</f>
        <v/>
      </c>
      <c r="H17" s="28">
        <f>IFERROR(INDEX(Merged_Stack_Data[[Projection]:[Projection]],MATCH(StackBuilder[[#This Row],[Stack Pos 1]],Merged_Stack_Data[[Name]:[Name]],0)),"")</f>
        <v>21.519829166666664</v>
      </c>
      <c r="I17" s="28">
        <f>IFERROR(INDEX(Merged_Stack_Data[[Projection]:[Projection]],MATCH(StackBuilder[[#This Row],[Stack Pos 2]],Merged_Stack_Data[[Name]:[Name]],0)),"")</f>
        <v>16.200800000000001</v>
      </c>
      <c r="J17" s="28">
        <f>IFERROR(INDEX(Merged_Stack_Data[[Projection]:[Projection]],MATCH(StackBuilder[[#This Row],[Stack Pos 3]],Merged_Stack_Data[[Name]:[Name]],0)),"")</f>
        <v>25.032566666666668</v>
      </c>
      <c r="K17" s="28" t="str">
        <f>IFERROR(INDEX(Merged_Stack_Data[[Projection]:[Projection]],MATCH(StackBuilder[[#This Row],[Stack Pos 4]],Merged_Stack_Data[[Name]:[Name]],0)),"")</f>
        <v/>
      </c>
      <c r="L17" s="27">
        <f>IFERROR(INDEX(Merged_Stack_Data[[$/FP]:[$/FP]],MATCH(StackBuilder[[#This Row],[Stack Pos 1]],Merged_Stack_Data[[Name]:[Name]],0)),"")</f>
        <v>362.45639999999997</v>
      </c>
      <c r="M17" s="27">
        <f>IFERROR(INDEX(Merged_Stack_Data[[$/FP]:[$/FP]],MATCH(StackBuilder[[#This Row],[Stack Pos 2]],Merged_Stack_Data[[Name]:[Name]],0)),"")</f>
        <v>444.42250000000001</v>
      </c>
      <c r="N17" s="27">
        <f>IFERROR(INDEX(Merged_Stack_Data[[$/FP]:[$/FP]],MATCH(StackBuilder[[#This Row],[Stack Pos 3]],Merged_Stack_Data[[Name]:[Name]],0)),"")</f>
        <v>379.50560000000002</v>
      </c>
      <c r="O17" s="27" t="str">
        <f>IFERROR(INDEX(Merged_Stack_Data[[$/FP]:[$/FP]],MATCH(StackBuilder[[#This Row],[Stack Pos 4]],Merged_Stack_Data[[Name]:[Name]],0)),"")</f>
        <v/>
      </c>
      <c r="P17" s="27">
        <f>IFERROR(INDEX(Merged_Stack_Data[[Salary]:[Salary]],MATCH(StackBuilder[[#This Row],[Stack Pos 1]],Merged_Stack_Data[[Name]:[Name]],0)),"")</f>
        <v>7800</v>
      </c>
      <c r="Q17" s="27">
        <f>IFERROR(INDEX(Merged_Stack_Data[[Salary]:[Salary]],MATCH(StackBuilder[[#This Row],[Stack Pos 2]],Merged_Stack_Data[[Name]:[Name]],0)),"")</f>
        <v>7200</v>
      </c>
      <c r="R17" s="27">
        <f>IFERROR(INDEX(Merged_Stack_Data[[Salary]:[Salary]],MATCH(StackBuilder[[#This Row],[Stack Pos 3]],Merged_Stack_Data[[Name]:[Name]],0)),"")</f>
        <v>9500</v>
      </c>
      <c r="S17" s="27" t="str">
        <f>IFERROR(INDEX(Merged_Stack_Data[[Salary]:[Salary]],MATCH(StackBuilder[[#This Row],[Stack Pos 4]],Merged_Stack_Data[[Name]:[Name]],0)),"")</f>
        <v/>
      </c>
      <c r="T17" s="28">
        <f>IF(4-COUNTBLANK(StackBuilder[[#This Row],[Stack Pos 1]:[Stack Pos 4]])=PosSelected,ROUND(SUM(StackBuilder[[#This Row],[P1 Proj]:[P4 Proj]]),2))</f>
        <v>62.75</v>
      </c>
      <c r="U17" s="27">
        <f>IFERROR(_xlfn.RANK.EQ(StackBuilder[[#This Row],[Stack Projection]],StackBuilder[Stack Projection],0),"")</f>
        <v>1</v>
      </c>
      <c r="V17" s="295">
        <f>IF(4-COUNTBLANK(StackBuilder[[#This Row],[Stack Pos 1]:[Stack Pos 4]])=PosSelected,ROUND(AVERAGE(StackBuilder[[#This Row],[P1 Value]:[P4 Value]]),2))</f>
        <v>395.46</v>
      </c>
      <c r="W17" s="27">
        <f>IFERROR(_xlfn.RANK.EQ(StackBuilder[[#This Row],[Stack Value]],StackBuilder[Stack Value],1),"")</f>
        <v>7</v>
      </c>
      <c r="X17" s="282">
        <f>IF(4-COUNTBLANK(StackBuilder[[#This Row],[Stack Pos 1]:[Stack Pos 4]])=PosSelected,SUM(StackBuilder[[#This Row],[P1 Salary]:[P4 Salary]])/50000,"")</f>
        <v>0.49</v>
      </c>
    </row>
    <row r="18" spans="2:24" x14ac:dyDescent="0.3">
      <c r="B18" s="4" t="s">
        <v>50</v>
      </c>
      <c r="C18" s="4" t="str">
        <f>IF(LEFT(INDEX(defenses[Opp],MATCH(StackBuilder[[#This Row],[Team]],defenses[Team],0)),1)="@",MID(INDEX(defenses[Opp],MATCH(StackBuilder[[#This Row],[Team]],defenses[Team],0)),2,4),INDEX(defenses[Opp],MATCH(StackBuilder[[#This Row],[Team]],defenses[Team],0)))</f>
        <v>CAR</v>
      </c>
      <c r="D18" s="4" t="str">
        <f>IFERROR(IF(Stack1="NONE","",INDEX(Merged_Stack_Data[Name],MATCH(IF(S1Team="Team",StackBuilder[[#This Row],[Team]],StackBuilder[[#This Row],[Opp]])&amp;" "&amp;Stack1,IF(StackBy="Projection",Merged_Stack_Data[Proj. Depth],Merged_Stack_Data[Value Depth]),0))),"")</f>
        <v>Matt Ryan</v>
      </c>
      <c r="E18" s="4" t="str">
        <f>IFERROR(IF(Stack2="NONE","",INDEX(Merged_Stack_Data[Name],MATCH(IF(S2Team="Team",StackBuilder[[#This Row],[Team]],StackBuilder[[#This Row],[Opp]])&amp;" "&amp;Stack2,IF(StackBy="Projection",Merged_Stack_Data[Proj. Depth],Merged_Stack_Data[Value Depth]),0))),"")</f>
        <v>Julio Jones</v>
      </c>
      <c r="F18" s="4" t="str">
        <f>IFERROR(IF(Stack3="NONE","",INDEX(Merged_Stack_Data[Name],MATCH(IF(S3Team="Team",StackBuilder[[#This Row],[Team]],StackBuilder[[#This Row],[Opp]])&amp;" "&amp;Stack3,IF(StackBy="Projection",Merged_Stack_Data[Proj. Depth],Merged_Stack_Data[Value Depth]),0))),"")</f>
        <v>Kelvin Benjamin</v>
      </c>
      <c r="G18" s="4" t="str">
        <f>IFERROR(IF(Stack4="NONE","",INDEX(Merged_Stack_Data[Name],MATCH(IF(S4Team="Team",StackBuilder[[#This Row],[Team]],StackBuilder[[#This Row],[Opp]])&amp;" "&amp;Stack4,IF(StackBy="Projection",Merged_Stack_Data[Proj. Depth],Merged_Stack_Data[Value Depth]),0))),"")</f>
        <v/>
      </c>
      <c r="H18" s="28">
        <f>IFERROR(INDEX(Merged_Stack_Data[[Projection]:[Projection]],MATCH(StackBuilder[[#This Row],[Stack Pos 1]],Merged_Stack_Data[[Name]:[Name]],0)),"")</f>
        <v>18.242420000000003</v>
      </c>
      <c r="I18" s="28">
        <f>IFERROR(INDEX(Merged_Stack_Data[[Projection]:[Projection]],MATCH(StackBuilder[[#This Row],[Stack Pos 2]],Merged_Stack_Data[[Name]:[Name]],0)),"")</f>
        <v>25.032566666666668</v>
      </c>
      <c r="J18" s="28">
        <f>IFERROR(INDEX(Merged_Stack_Data[[Projection]:[Projection]],MATCH(StackBuilder[[#This Row],[Stack Pos 3]],Merged_Stack_Data[[Name]:[Name]],0)),"")</f>
        <v>16.200800000000001</v>
      </c>
      <c r="K18" s="28" t="str">
        <f>IFERROR(INDEX(Merged_Stack_Data[[Projection]:[Projection]],MATCH(StackBuilder[[#This Row],[Stack Pos 4]],Merged_Stack_Data[[Name]:[Name]],0)),"")</f>
        <v/>
      </c>
      <c r="L18" s="27">
        <f>IFERROR(INDEX(Merged_Stack_Data[[$/FP]:[$/FP]],MATCH(StackBuilder[[#This Row],[Stack Pos 1]],Merged_Stack_Data[[Name]:[Name]],0)),"")</f>
        <v>405.64789999999999</v>
      </c>
      <c r="M18" s="27">
        <f>IFERROR(INDEX(Merged_Stack_Data[[$/FP]:[$/FP]],MATCH(StackBuilder[[#This Row],[Stack Pos 2]],Merged_Stack_Data[[Name]:[Name]],0)),"")</f>
        <v>379.50560000000002</v>
      </c>
      <c r="N18" s="27">
        <f>IFERROR(INDEX(Merged_Stack_Data[[$/FP]:[$/FP]],MATCH(StackBuilder[[#This Row],[Stack Pos 3]],Merged_Stack_Data[[Name]:[Name]],0)),"")</f>
        <v>444.42250000000001</v>
      </c>
      <c r="O18" s="27" t="str">
        <f>IFERROR(INDEX(Merged_Stack_Data[[$/FP]:[$/FP]],MATCH(StackBuilder[[#This Row],[Stack Pos 4]],Merged_Stack_Data[[Name]:[Name]],0)),"")</f>
        <v/>
      </c>
      <c r="P18" s="27">
        <f>IFERROR(INDEX(Merged_Stack_Data[[Salary]:[Salary]],MATCH(StackBuilder[[#This Row],[Stack Pos 1]],Merged_Stack_Data[[Name]:[Name]],0)),"")</f>
        <v>7400</v>
      </c>
      <c r="Q18" s="27">
        <f>IFERROR(INDEX(Merged_Stack_Data[[Salary]:[Salary]],MATCH(StackBuilder[[#This Row],[Stack Pos 2]],Merged_Stack_Data[[Name]:[Name]],0)),"")</f>
        <v>9500</v>
      </c>
      <c r="R18" s="27">
        <f>IFERROR(INDEX(Merged_Stack_Data[[Salary]:[Salary]],MATCH(StackBuilder[[#This Row],[Stack Pos 3]],Merged_Stack_Data[[Name]:[Name]],0)),"")</f>
        <v>7200</v>
      </c>
      <c r="S18" s="27" t="str">
        <f>IFERROR(INDEX(Merged_Stack_Data[[Salary]:[Salary]],MATCH(StackBuilder[[#This Row],[Stack Pos 4]],Merged_Stack_Data[[Name]:[Name]],0)),"")</f>
        <v/>
      </c>
      <c r="T18" s="28">
        <f>IF(4-COUNTBLANK(StackBuilder[[#This Row],[Stack Pos 1]:[Stack Pos 4]])=PosSelected,ROUND(SUM(StackBuilder[[#This Row],[P1 Proj]:[P4 Proj]]),2))</f>
        <v>59.48</v>
      </c>
      <c r="U18" s="27">
        <f>IFERROR(_xlfn.RANK.EQ(StackBuilder[[#This Row],[Stack Projection]],StackBuilder[Stack Projection],0),"")</f>
        <v>2</v>
      </c>
      <c r="V18" s="295">
        <f>IF(4-COUNTBLANK(StackBuilder[[#This Row],[Stack Pos 1]:[Stack Pos 4]])=PosSelected,ROUND(AVERAGE(StackBuilder[[#This Row],[P1 Value]:[P4 Value]]),2))</f>
        <v>409.86</v>
      </c>
      <c r="W18" s="27">
        <f>IFERROR(_xlfn.RANK.EQ(StackBuilder[[#This Row],[Stack Value]],StackBuilder[Stack Value],1),"")</f>
        <v>14</v>
      </c>
      <c r="X18" s="282">
        <f>IF(4-COUNTBLANK(StackBuilder[[#This Row],[Stack Pos 1]:[Stack Pos 4]])=PosSelected,SUM(StackBuilder[[#This Row],[P1 Salary]:[P4 Salary]])/50000,"")</f>
        <v>0.48199999999999998</v>
      </c>
    </row>
    <row r="19" spans="2:24" x14ac:dyDescent="0.3">
      <c r="B19" s="4" t="s">
        <v>20</v>
      </c>
      <c r="C19" s="4" t="str">
        <f>IF(LEFT(INDEX(defenses[Opp],MATCH(StackBuilder[[#This Row],[Team]],defenses[Team],0)),1)="@",MID(INDEX(defenses[Opp],MATCH(StackBuilder[[#This Row],[Team]],defenses[Team],0)),2,4),INDEX(defenses[Opp],MATCH(StackBuilder[[#This Row],[Team]],defenses[Team],0)))</f>
        <v>KC</v>
      </c>
      <c r="D19" s="4" t="str">
        <f>IFERROR(IF(Stack1="NONE","",INDEX(Merged_Stack_Data[Name],MATCH(IF(S1Team="Team",StackBuilder[[#This Row],[Team]],StackBuilder[[#This Row],[Opp]])&amp;" "&amp;Stack1,IF(StackBy="Projection",Merged_Stack_Data[Proj. Depth],Merged_Stack_Data[Value Depth]),0))),"")</f>
        <v>Ben Roethlisberger</v>
      </c>
      <c r="E19" s="4" t="str">
        <f>IFERROR(IF(Stack2="NONE","",INDEX(Merged_Stack_Data[Name],MATCH(IF(S2Team="Team",StackBuilder[[#This Row],[Team]],StackBuilder[[#This Row],[Opp]])&amp;" "&amp;Stack2,IF(StackBy="Projection",Merged_Stack_Data[Proj. Depth],Merged_Stack_Data[Value Depth]),0))),"")</f>
        <v>Antonio Brown</v>
      </c>
      <c r="F19" s="4" t="str">
        <f>IFERROR(IF(Stack3="NONE","",INDEX(Merged_Stack_Data[Name],MATCH(IF(S3Team="Team",StackBuilder[[#This Row],[Team]],StackBuilder[[#This Row],[Opp]])&amp;" "&amp;Stack3,IF(StackBy="Projection",Merged_Stack_Data[Proj. Depth],Merged_Stack_Data[Value Depth]),0))),"")</f>
        <v>Jeremy Maclin</v>
      </c>
      <c r="G19" s="4" t="str">
        <f>IFERROR(IF(Stack4="NONE","",INDEX(Merged_Stack_Data[Name],MATCH(IF(S4Team="Team",StackBuilder[[#This Row],[Team]],StackBuilder[[#This Row],[Opp]])&amp;" "&amp;Stack4,IF(StackBy="Projection",Merged_Stack_Data[Proj. Depth],Merged_Stack_Data[Value Depth]),0))),"")</f>
        <v/>
      </c>
      <c r="H19" s="28">
        <f>IFERROR(INDEX(Merged_Stack_Data[[Projection]:[Projection]],MATCH(StackBuilder[[#This Row],[Stack Pos 1]],Merged_Stack_Data[[Name]:[Name]],0)),"")</f>
        <v>18.425433333333331</v>
      </c>
      <c r="I19" s="28">
        <f>IFERROR(INDEX(Merged_Stack_Data[[Projection]:[Projection]],MATCH(StackBuilder[[#This Row],[Stack Pos 2]],Merged_Stack_Data[[Name]:[Name]],0)),"")</f>
        <v>25.982566666666671</v>
      </c>
      <c r="J19" s="28">
        <f>IFERROR(INDEX(Merged_Stack_Data[[Projection]:[Projection]],MATCH(StackBuilder[[#This Row],[Stack Pos 3]],Merged_Stack_Data[[Name]:[Name]],0)),"")</f>
        <v>14.397533333333332</v>
      </c>
      <c r="K19" s="28" t="str">
        <f>IFERROR(INDEX(Merged_Stack_Data[[Projection]:[Projection]],MATCH(StackBuilder[[#This Row],[Stack Pos 4]],Merged_Stack_Data[[Name]:[Name]],0)),"")</f>
        <v/>
      </c>
      <c r="L19" s="27">
        <f>IFERROR(INDEX(Merged_Stack_Data[[$/FP]:[$/FP]],MATCH(StackBuilder[[#This Row],[Stack Pos 1]],Merged_Stack_Data[[Name]:[Name]],0)),"")</f>
        <v>396.19150000000002</v>
      </c>
      <c r="M19" s="27">
        <f>IFERROR(INDEX(Merged_Stack_Data[[$/FP]:[$/FP]],MATCH(StackBuilder[[#This Row],[Stack Pos 2]],Merged_Stack_Data[[Name]:[Name]],0)),"")</f>
        <v>369.4785</v>
      </c>
      <c r="N19" s="27">
        <f>IFERROR(INDEX(Merged_Stack_Data[[$/FP]:[$/FP]],MATCH(StackBuilder[[#This Row],[Stack Pos 3]],Merged_Stack_Data[[Name]:[Name]],0)),"")</f>
        <v>416.73809999999997</v>
      </c>
      <c r="O19" s="27" t="str">
        <f>IFERROR(INDEX(Merged_Stack_Data[[$/FP]:[$/FP]],MATCH(StackBuilder[[#This Row],[Stack Pos 4]],Merged_Stack_Data[[Name]:[Name]],0)),"")</f>
        <v/>
      </c>
      <c r="P19" s="27">
        <f>IFERROR(INDEX(Merged_Stack_Data[[Salary]:[Salary]],MATCH(StackBuilder[[#This Row],[Stack Pos 1]],Merged_Stack_Data[[Name]:[Name]],0)),"")</f>
        <v>7300</v>
      </c>
      <c r="Q19" s="27">
        <f>IFERROR(INDEX(Merged_Stack_Data[[Salary]:[Salary]],MATCH(StackBuilder[[#This Row],[Stack Pos 2]],Merged_Stack_Data[[Name]:[Name]],0)),"")</f>
        <v>9600</v>
      </c>
      <c r="R19" s="27">
        <f>IFERROR(INDEX(Merged_Stack_Data[[Salary]:[Salary]],MATCH(StackBuilder[[#This Row],[Stack Pos 3]],Merged_Stack_Data[[Name]:[Name]],0)),"")</f>
        <v>6000</v>
      </c>
      <c r="S19" s="27" t="str">
        <f>IFERROR(INDEX(Merged_Stack_Data[[Salary]:[Salary]],MATCH(StackBuilder[[#This Row],[Stack Pos 4]],Merged_Stack_Data[[Name]:[Name]],0)),"")</f>
        <v/>
      </c>
      <c r="T19" s="28">
        <f>IF(4-COUNTBLANK(StackBuilder[[#This Row],[Stack Pos 1]:[Stack Pos 4]])=PosSelected,ROUND(SUM(StackBuilder[[#This Row],[P1 Proj]:[P4 Proj]]),2))</f>
        <v>58.81</v>
      </c>
      <c r="U19" s="27">
        <f>IFERROR(_xlfn.RANK.EQ(StackBuilder[[#This Row],[Stack Projection]],StackBuilder[Stack Projection],0),"")</f>
        <v>3</v>
      </c>
      <c r="V19" s="295">
        <f>IF(4-COUNTBLANK(StackBuilder[[#This Row],[Stack Pos 1]:[Stack Pos 4]])=PosSelected,ROUND(AVERAGE(StackBuilder[[#This Row],[P1 Value]:[P4 Value]]),2))</f>
        <v>394.14</v>
      </c>
      <c r="W19" s="27">
        <f>IFERROR(_xlfn.RANK.EQ(StackBuilder[[#This Row],[Stack Value]],StackBuilder[Stack Value],1),"")</f>
        <v>6</v>
      </c>
      <c r="X19" s="282">
        <f>IF(4-COUNTBLANK(StackBuilder[[#This Row],[Stack Pos 1]:[Stack Pos 4]])=PosSelected,SUM(StackBuilder[[#This Row],[P1 Salary]:[P4 Salary]])/50000,"")</f>
        <v>0.45800000000000002</v>
      </c>
    </row>
    <row r="20" spans="2:24" x14ac:dyDescent="0.3">
      <c r="B20" s="4" t="s">
        <v>404</v>
      </c>
      <c r="C20" s="4" t="str">
        <f>IF(LEFT(INDEX(defenses[Opp],MATCH(StackBuilder[[#This Row],[Team]],defenses[Team],0)),1)="@",MID(INDEX(defenses[Opp],MATCH(StackBuilder[[#This Row],[Team]],defenses[Team],0)),2,4),INDEX(defenses[Opp],MATCH(StackBuilder[[#This Row],[Team]],defenses[Team],0)))</f>
        <v>SD</v>
      </c>
      <c r="D20" s="4" t="str">
        <f>IFERROR(IF(Stack1="NONE","",INDEX(Merged_Stack_Data[Name],MATCH(IF(S1Team="Team",StackBuilder[[#This Row],[Team]],StackBuilder[[#This Row],[Opp]])&amp;" "&amp;Stack1,IF(StackBy="Projection",Merged_Stack_Data[Proj. Depth],Merged_Stack_Data[Value Depth]),0))),"")</f>
        <v>Drew Brees</v>
      </c>
      <c r="E20" s="4" t="str">
        <f>IFERROR(IF(Stack2="NONE","",INDEX(Merged_Stack_Data[Name],MATCH(IF(S2Team="Team",StackBuilder[[#This Row],[Team]],StackBuilder[[#This Row],[Opp]])&amp;" "&amp;Stack2,IF(StackBy="Projection",Merged_Stack_Data[Proj. Depth],Merged_Stack_Data[Value Depth]),0))),"")</f>
        <v>Brandin Cooks</v>
      </c>
      <c r="F20" s="4" t="str">
        <f>IFERROR(IF(Stack3="NONE","",INDEX(Merged_Stack_Data[Name],MATCH(IF(S3Team="Team",StackBuilder[[#This Row],[Team]],StackBuilder[[#This Row],[Opp]])&amp;" "&amp;Stack3,IF(StackBy="Projection",Merged_Stack_Data[Proj. Depth],Merged_Stack_Data[Value Depth]),0))),"")</f>
        <v>Travis Benjamin</v>
      </c>
      <c r="G20" s="4" t="str">
        <f>IFERROR(IF(Stack4="NONE","",INDEX(Merged_Stack_Data[Name],MATCH(IF(S4Team="Team",StackBuilder[[#This Row],[Team]],StackBuilder[[#This Row],[Opp]])&amp;" "&amp;Stack4,IF(StackBy="Projection",Merged_Stack_Data[Proj. Depth],Merged_Stack_Data[Value Depth]),0))),"")</f>
        <v/>
      </c>
      <c r="H20" s="28">
        <f>IFERROR(INDEX(Merged_Stack_Data[[Projection]:[Projection]],MATCH(StackBuilder[[#This Row],[Stack Pos 1]],Merged_Stack_Data[[Name]:[Name]],0)),"")</f>
        <v>25.106020833333332</v>
      </c>
      <c r="I20" s="28">
        <f>IFERROR(INDEX(Merged_Stack_Data[[Projection]:[Projection]],MATCH(StackBuilder[[#This Row],[Stack Pos 2]],Merged_Stack_Data[[Name]:[Name]],0)),"")</f>
        <v>17.035433333333334</v>
      </c>
      <c r="J20" s="28">
        <f>IFERROR(INDEX(Merged_Stack_Data[[Projection]:[Projection]],MATCH(StackBuilder[[#This Row],[Stack Pos 3]],Merged_Stack_Data[[Name]:[Name]],0)),"")</f>
        <v>14.798166666666667</v>
      </c>
      <c r="K20" s="28" t="str">
        <f>IFERROR(INDEX(Merged_Stack_Data[[Projection]:[Projection]],MATCH(StackBuilder[[#This Row],[Stack Pos 4]],Merged_Stack_Data[[Name]:[Name]],0)),"")</f>
        <v/>
      </c>
      <c r="L20" s="27">
        <f>IFERROR(INDEX(Merged_Stack_Data[[$/FP]:[$/FP]],MATCH(StackBuilder[[#This Row],[Stack Pos 1]],Merged_Stack_Data[[Name]:[Name]],0)),"")</f>
        <v>314.66559999999998</v>
      </c>
      <c r="M20" s="27">
        <f>IFERROR(INDEX(Merged_Stack_Data[[$/FP]:[$/FP]],MATCH(StackBuilder[[#This Row],[Stack Pos 2]],Merged_Stack_Data[[Name]:[Name]],0)),"")</f>
        <v>463.73930000000001</v>
      </c>
      <c r="N20" s="27">
        <f>IFERROR(INDEX(Merged_Stack_Data[[$/FP]:[$/FP]],MATCH(StackBuilder[[#This Row],[Stack Pos 3]],Merged_Stack_Data[[Name]:[Name]],0)),"")</f>
        <v>351.39490000000001</v>
      </c>
      <c r="O20" s="27" t="str">
        <f>IFERROR(INDEX(Merged_Stack_Data[[$/FP]:[$/FP]],MATCH(StackBuilder[[#This Row],[Stack Pos 4]],Merged_Stack_Data[[Name]:[Name]],0)),"")</f>
        <v/>
      </c>
      <c r="P20" s="27">
        <f>IFERROR(INDEX(Merged_Stack_Data[[Salary]:[Salary]],MATCH(StackBuilder[[#This Row],[Stack Pos 1]],Merged_Stack_Data[[Name]:[Name]],0)),"")</f>
        <v>7900</v>
      </c>
      <c r="Q20" s="27">
        <f>IFERROR(INDEX(Merged_Stack_Data[[Salary]:[Salary]],MATCH(StackBuilder[[#This Row],[Stack Pos 2]],Merged_Stack_Data[[Name]:[Name]],0)),"")</f>
        <v>7900</v>
      </c>
      <c r="R20" s="27">
        <f>IFERROR(INDEX(Merged_Stack_Data[[Salary]:[Salary]],MATCH(StackBuilder[[#This Row],[Stack Pos 3]],Merged_Stack_Data[[Name]:[Name]],0)),"")</f>
        <v>5200</v>
      </c>
      <c r="S20" s="27" t="str">
        <f>IFERROR(INDEX(Merged_Stack_Data[[Salary]:[Salary]],MATCH(StackBuilder[[#This Row],[Stack Pos 4]],Merged_Stack_Data[[Name]:[Name]],0)),"")</f>
        <v/>
      </c>
      <c r="T20" s="28">
        <f>IF(4-COUNTBLANK(StackBuilder[[#This Row],[Stack Pos 1]:[Stack Pos 4]])=PosSelected,ROUND(SUM(StackBuilder[[#This Row],[P1 Proj]:[P4 Proj]]),2))</f>
        <v>56.94</v>
      </c>
      <c r="U20" s="27">
        <f>IFERROR(_xlfn.RANK.EQ(StackBuilder[[#This Row],[Stack Projection]],StackBuilder[Stack Projection],0),"")</f>
        <v>4</v>
      </c>
      <c r="V20" s="295">
        <f>IF(4-COUNTBLANK(StackBuilder[[#This Row],[Stack Pos 1]:[Stack Pos 4]])=PosSelected,ROUND(AVERAGE(StackBuilder[[#This Row],[P1 Value]:[P4 Value]]),2))</f>
        <v>376.6</v>
      </c>
      <c r="W20" s="27">
        <f>IFERROR(_xlfn.RANK.EQ(StackBuilder[[#This Row],[Stack Value]],StackBuilder[Stack Value],1),"")</f>
        <v>1</v>
      </c>
      <c r="X20" s="282">
        <f>IF(4-COUNTBLANK(StackBuilder[[#This Row],[Stack Pos 1]:[Stack Pos 4]])=PosSelected,SUM(StackBuilder[[#This Row],[P1 Salary]:[P4 Salary]])/50000,"")</f>
        <v>0.42</v>
      </c>
    </row>
    <row r="21" spans="2:24" x14ac:dyDescent="0.3">
      <c r="B21" s="4" t="s">
        <v>397</v>
      </c>
      <c r="C21" s="4" t="str">
        <f>IF(LEFT(INDEX(defenses[Opp],MATCH(StackBuilder[[#This Row],[Team]],defenses[Team],0)),1)="@",MID(INDEX(defenses[Opp],MATCH(StackBuilder[[#This Row],[Team]],defenses[Team],0)),2,4),INDEX(defenses[Opp],MATCH(StackBuilder[[#This Row],[Team]],defenses[Team],0)))</f>
        <v>PIT</v>
      </c>
      <c r="D21" s="4" t="str">
        <f>IFERROR(IF(Stack1="NONE","",INDEX(Merged_Stack_Data[Name],MATCH(IF(S1Team="Team",StackBuilder[[#This Row],[Team]],StackBuilder[[#This Row],[Opp]])&amp;" "&amp;Stack1,IF(StackBy="Projection",Merged_Stack_Data[Proj. Depth],Merged_Stack_Data[Value Depth]),0))),"")</f>
        <v>Alex Smith</v>
      </c>
      <c r="E21" s="4" t="str">
        <f>IFERROR(IF(Stack2="NONE","",INDEX(Merged_Stack_Data[Name],MATCH(IF(S2Team="Team",StackBuilder[[#This Row],[Team]],StackBuilder[[#This Row],[Opp]])&amp;" "&amp;Stack2,IF(StackBy="Projection",Merged_Stack_Data[Proj. Depth],Merged_Stack_Data[Value Depth]),0))),"")</f>
        <v>Jeremy Maclin</v>
      </c>
      <c r="F21" s="4" t="str">
        <f>IFERROR(IF(Stack3="NONE","",INDEX(Merged_Stack_Data[Name],MATCH(IF(S3Team="Team",StackBuilder[[#This Row],[Team]],StackBuilder[[#This Row],[Opp]])&amp;" "&amp;Stack3,IF(StackBy="Projection",Merged_Stack_Data[Proj. Depth],Merged_Stack_Data[Value Depth]),0))),"")</f>
        <v>Antonio Brown</v>
      </c>
      <c r="G21" s="4" t="str">
        <f>IFERROR(IF(Stack4="NONE","",INDEX(Merged_Stack_Data[Name],MATCH(IF(S4Team="Team",StackBuilder[[#This Row],[Team]],StackBuilder[[#This Row],[Opp]])&amp;" "&amp;Stack4,IF(StackBy="Projection",Merged_Stack_Data[Proj. Depth],Merged_Stack_Data[Value Depth]),0))),"")</f>
        <v/>
      </c>
      <c r="H21" s="28">
        <f>IFERROR(INDEX(Merged_Stack_Data[[Projection]:[Projection]],MATCH(StackBuilder[[#This Row],[Stack Pos 1]],Merged_Stack_Data[[Name]:[Name]],0)),"")</f>
        <v>15.485788333333334</v>
      </c>
      <c r="I21" s="28">
        <f>IFERROR(INDEX(Merged_Stack_Data[[Projection]:[Projection]],MATCH(StackBuilder[[#This Row],[Stack Pos 2]],Merged_Stack_Data[[Name]:[Name]],0)),"")</f>
        <v>14.397533333333332</v>
      </c>
      <c r="J21" s="28">
        <f>IFERROR(INDEX(Merged_Stack_Data[[Projection]:[Projection]],MATCH(StackBuilder[[#This Row],[Stack Pos 3]],Merged_Stack_Data[[Name]:[Name]],0)),"")</f>
        <v>25.982566666666671</v>
      </c>
      <c r="K21" s="28" t="str">
        <f>IFERROR(INDEX(Merged_Stack_Data[[Projection]:[Projection]],MATCH(StackBuilder[[#This Row],[Stack Pos 4]],Merged_Stack_Data[[Name]:[Name]],0)),"")</f>
        <v/>
      </c>
      <c r="L21" s="27">
        <f>IFERROR(INDEX(Merged_Stack_Data[[$/FP]:[$/FP]],MATCH(StackBuilder[[#This Row],[Stack Pos 1]],Merged_Stack_Data[[Name]:[Name]],0)),"")</f>
        <v>374.53699999999998</v>
      </c>
      <c r="M21" s="27">
        <f>IFERROR(INDEX(Merged_Stack_Data[[$/FP]:[$/FP]],MATCH(StackBuilder[[#This Row],[Stack Pos 2]],Merged_Stack_Data[[Name]:[Name]],0)),"")</f>
        <v>416.73809999999997</v>
      </c>
      <c r="N21" s="27">
        <f>IFERROR(INDEX(Merged_Stack_Data[[$/FP]:[$/FP]],MATCH(StackBuilder[[#This Row],[Stack Pos 3]],Merged_Stack_Data[[Name]:[Name]],0)),"")</f>
        <v>369.4785</v>
      </c>
      <c r="O21" s="27" t="str">
        <f>IFERROR(INDEX(Merged_Stack_Data[[$/FP]:[$/FP]],MATCH(StackBuilder[[#This Row],[Stack Pos 4]],Merged_Stack_Data[[Name]:[Name]],0)),"")</f>
        <v/>
      </c>
      <c r="P21" s="27">
        <f>IFERROR(INDEX(Merged_Stack_Data[[Salary]:[Salary]],MATCH(StackBuilder[[#This Row],[Stack Pos 1]],Merged_Stack_Data[[Name]:[Name]],0)),"")</f>
        <v>5800</v>
      </c>
      <c r="Q21" s="27">
        <f>IFERROR(INDEX(Merged_Stack_Data[[Salary]:[Salary]],MATCH(StackBuilder[[#This Row],[Stack Pos 2]],Merged_Stack_Data[[Name]:[Name]],0)),"")</f>
        <v>6000</v>
      </c>
      <c r="R21" s="27">
        <f>IFERROR(INDEX(Merged_Stack_Data[[Salary]:[Salary]],MATCH(StackBuilder[[#This Row],[Stack Pos 3]],Merged_Stack_Data[[Name]:[Name]],0)),"")</f>
        <v>9600</v>
      </c>
      <c r="S21" s="27" t="str">
        <f>IFERROR(INDEX(Merged_Stack_Data[[Salary]:[Salary]],MATCH(StackBuilder[[#This Row],[Stack Pos 4]],Merged_Stack_Data[[Name]:[Name]],0)),"")</f>
        <v/>
      </c>
      <c r="T21" s="28">
        <f>IF(4-COUNTBLANK(StackBuilder[[#This Row],[Stack Pos 1]:[Stack Pos 4]])=PosSelected,ROUND(SUM(StackBuilder[[#This Row],[P1 Proj]:[P4 Proj]]),2))</f>
        <v>55.87</v>
      </c>
      <c r="U21" s="27">
        <f>IFERROR(_xlfn.RANK.EQ(StackBuilder[[#This Row],[Stack Projection]],StackBuilder[Stack Projection],0),"")</f>
        <v>5</v>
      </c>
      <c r="V21" s="295">
        <f>IF(4-COUNTBLANK(StackBuilder[[#This Row],[Stack Pos 1]:[Stack Pos 4]])=PosSelected,ROUND(AVERAGE(StackBuilder[[#This Row],[P1 Value]:[P4 Value]]),2))</f>
        <v>386.92</v>
      </c>
      <c r="W21" s="27">
        <f>IFERROR(_xlfn.RANK.EQ(StackBuilder[[#This Row],[Stack Value]],StackBuilder[Stack Value],1),"")</f>
        <v>3</v>
      </c>
      <c r="X21" s="282">
        <f>IF(4-COUNTBLANK(StackBuilder[[#This Row],[Stack Pos 1]:[Stack Pos 4]])=PosSelected,SUM(StackBuilder[[#This Row],[P1 Salary]:[P4 Salary]])/50000,"")</f>
        <v>0.42799999999999999</v>
      </c>
    </row>
    <row r="22" spans="2:24" x14ac:dyDescent="0.3">
      <c r="B22" s="4" t="s">
        <v>28</v>
      </c>
      <c r="C22" s="4" t="str">
        <f>IF(LEFT(INDEX(defenses[Opp],MATCH(StackBuilder[[#This Row],[Team]],defenses[Team],0)),1)="@",MID(INDEX(defenses[Opp],MATCH(StackBuilder[[#This Row],[Team]],defenses[Team],0)),2,4),INDEX(defenses[Opp],MATCH(StackBuilder[[#This Row],[Team]],defenses[Team],0)))</f>
        <v>MIA</v>
      </c>
      <c r="D22" s="4" t="str">
        <f>IFERROR(IF(Stack1="NONE","",INDEX(Merged_Stack_Data[Name],MATCH(IF(S1Team="Team",StackBuilder[[#This Row],[Team]],StackBuilder[[#This Row],[Opp]])&amp;" "&amp;Stack1,IF(StackBy="Projection",Merged_Stack_Data[Proj. Depth],Merged_Stack_Data[Value Depth]),0))),"")</f>
        <v>Andy Dalton</v>
      </c>
      <c r="E22" s="4" t="str">
        <f>IFERROR(IF(Stack2="NONE","",INDEX(Merged_Stack_Data[Name],MATCH(IF(S2Team="Team",StackBuilder[[#This Row],[Team]],StackBuilder[[#This Row],[Opp]])&amp;" "&amp;Stack2,IF(StackBy="Projection",Merged_Stack_Data[Proj. Depth],Merged_Stack_Data[Value Depth]),0))),"")</f>
        <v>A.J. Green</v>
      </c>
      <c r="F22" s="4" t="str">
        <f>IFERROR(IF(Stack3="NONE","",INDEX(Merged_Stack_Data[Name],MATCH(IF(S3Team="Team",StackBuilder[[#This Row],[Team]],StackBuilder[[#This Row],[Opp]])&amp;" "&amp;Stack3,IF(StackBy="Projection",Merged_Stack_Data[Proj. Depth],Merged_Stack_Data[Value Depth]),0))),"")</f>
        <v>Jarvis Landry</v>
      </c>
      <c r="G22" s="4" t="str">
        <f>IFERROR(IF(Stack4="NONE","",INDEX(Merged_Stack_Data[Name],MATCH(IF(S4Team="Team",StackBuilder[[#This Row],[Team]],StackBuilder[[#This Row],[Opp]])&amp;" "&amp;Stack4,IF(StackBy="Projection",Merged_Stack_Data[Proj. Depth],Merged_Stack_Data[Value Depth]),0))),"")</f>
        <v/>
      </c>
      <c r="H22" s="28">
        <f>IFERROR(INDEX(Merged_Stack_Data[[Projection]:[Projection]],MATCH(StackBuilder[[#This Row],[Stack Pos 1]],Merged_Stack_Data[[Name]:[Name]],0)),"")</f>
        <v>18.085789999999999</v>
      </c>
      <c r="I22" s="28">
        <f>IFERROR(INDEX(Merged_Stack_Data[[Projection]:[Projection]],MATCH(StackBuilder[[#This Row],[Stack Pos 2]],Merged_Stack_Data[[Name]:[Name]],0)),"")</f>
        <v>17.677366666666668</v>
      </c>
      <c r="J22" s="28">
        <f>IFERROR(INDEX(Merged_Stack_Data[[Projection]:[Projection]],MATCH(StackBuilder[[#This Row],[Stack Pos 3]],Merged_Stack_Data[[Name]:[Name]],0)),"")</f>
        <v>16.312766666666665</v>
      </c>
      <c r="K22" s="28" t="str">
        <f>IFERROR(INDEX(Merged_Stack_Data[[Projection]:[Projection]],MATCH(StackBuilder[[#This Row],[Stack Pos 4]],Merged_Stack_Data[[Name]:[Name]],0)),"")</f>
        <v/>
      </c>
      <c r="L22" s="27">
        <f>IFERROR(INDEX(Merged_Stack_Data[[$/FP]:[$/FP]],MATCH(StackBuilder[[#This Row],[Stack Pos 1]],Merged_Stack_Data[[Name]:[Name]],0)),"")</f>
        <v>315.16460000000001</v>
      </c>
      <c r="M22" s="27">
        <f>IFERROR(INDEX(Merged_Stack_Data[[$/FP]:[$/FP]],MATCH(StackBuilder[[#This Row],[Stack Pos 2]],Merged_Stack_Data[[Name]:[Name]],0)),"")</f>
        <v>458.21300000000002</v>
      </c>
      <c r="N22" s="27">
        <f>IFERROR(INDEX(Merged_Stack_Data[[$/FP]:[$/FP]],MATCH(StackBuilder[[#This Row],[Stack Pos 3]],Merged_Stack_Data[[Name]:[Name]],0)),"")</f>
        <v>404.59109999999998</v>
      </c>
      <c r="O22" s="27" t="str">
        <f>IFERROR(INDEX(Merged_Stack_Data[[$/FP]:[$/FP]],MATCH(StackBuilder[[#This Row],[Stack Pos 4]],Merged_Stack_Data[[Name]:[Name]],0)),"")</f>
        <v/>
      </c>
      <c r="P22" s="27">
        <f>IFERROR(INDEX(Merged_Stack_Data[[Salary]:[Salary]],MATCH(StackBuilder[[#This Row],[Stack Pos 1]],Merged_Stack_Data[[Name]:[Name]],0)),"")</f>
        <v>5700</v>
      </c>
      <c r="Q22" s="27">
        <f>IFERROR(INDEX(Merged_Stack_Data[[Salary]:[Salary]],MATCH(StackBuilder[[#This Row],[Stack Pos 2]],Merged_Stack_Data[[Name]:[Name]],0)),"")</f>
        <v>8100</v>
      </c>
      <c r="R22" s="27">
        <f>IFERROR(INDEX(Merged_Stack_Data[[Salary]:[Salary]],MATCH(StackBuilder[[#This Row],[Stack Pos 3]],Merged_Stack_Data[[Name]:[Name]],0)),"")</f>
        <v>6600</v>
      </c>
      <c r="S22" s="27" t="str">
        <f>IFERROR(INDEX(Merged_Stack_Data[[Salary]:[Salary]],MATCH(StackBuilder[[#This Row],[Stack Pos 4]],Merged_Stack_Data[[Name]:[Name]],0)),"")</f>
        <v/>
      </c>
      <c r="T22" s="28">
        <f>IF(4-COUNTBLANK(StackBuilder[[#This Row],[Stack Pos 1]:[Stack Pos 4]])=PosSelected,ROUND(SUM(StackBuilder[[#This Row],[P1 Proj]:[P4 Proj]]),2))</f>
        <v>52.08</v>
      </c>
      <c r="U22" s="27">
        <f>IFERROR(_xlfn.RANK.EQ(StackBuilder[[#This Row],[Stack Projection]],StackBuilder[Stack Projection],0),"")</f>
        <v>6</v>
      </c>
      <c r="V22" s="295">
        <f>IF(4-COUNTBLANK(StackBuilder[[#This Row],[Stack Pos 1]:[Stack Pos 4]])=PosSelected,ROUND(AVERAGE(StackBuilder[[#This Row],[P1 Value]:[P4 Value]]),2))</f>
        <v>392.66</v>
      </c>
      <c r="W22" s="27">
        <f>IFERROR(_xlfn.RANK.EQ(StackBuilder[[#This Row],[Stack Value]],StackBuilder[Stack Value],1),"")</f>
        <v>5</v>
      </c>
      <c r="X22" s="282">
        <f>IF(4-COUNTBLANK(StackBuilder[[#This Row],[Stack Pos 1]:[Stack Pos 4]])=PosSelected,SUM(StackBuilder[[#This Row],[P1 Salary]:[P4 Salary]])/50000,"")</f>
        <v>0.40799999999999997</v>
      </c>
    </row>
    <row r="23" spans="2:24" x14ac:dyDescent="0.3">
      <c r="B23" s="4" t="s">
        <v>57</v>
      </c>
      <c r="C23" s="4" t="str">
        <f>IF(LEFT(INDEX(defenses[Opp],MATCH(StackBuilder[[#This Row],[Team]],defenses[Team],0)),1)="@",MID(INDEX(defenses[Opp],MATCH(StackBuilder[[#This Row],[Team]],defenses[Team],0)),2,4),INDEX(defenses[Opp],MATCH(StackBuilder[[#This Row],[Team]],defenses[Team],0)))</f>
        <v>CIN</v>
      </c>
      <c r="D23" s="4" t="str">
        <f>IFERROR(IF(Stack1="NONE","",INDEX(Merged_Stack_Data[Name],MATCH(IF(S1Team="Team",StackBuilder[[#This Row],[Team]],StackBuilder[[#This Row],[Opp]])&amp;" "&amp;Stack1,IF(StackBy="Projection",Merged_Stack_Data[Proj. Depth],Merged_Stack_Data[Value Depth]),0))),"")</f>
        <v>Ryan Tannehill</v>
      </c>
      <c r="E23" s="4" t="str">
        <f>IFERROR(IF(Stack2="NONE","",INDEX(Merged_Stack_Data[Name],MATCH(IF(S2Team="Team",StackBuilder[[#This Row],[Team]],StackBuilder[[#This Row],[Opp]])&amp;" "&amp;Stack2,IF(StackBy="Projection",Merged_Stack_Data[Proj. Depth],Merged_Stack_Data[Value Depth]),0))),"")</f>
        <v>Jarvis Landry</v>
      </c>
      <c r="F23" s="4" t="str">
        <f>IFERROR(IF(Stack3="NONE","",INDEX(Merged_Stack_Data[Name],MATCH(IF(S3Team="Team",StackBuilder[[#This Row],[Team]],StackBuilder[[#This Row],[Opp]])&amp;" "&amp;Stack3,IF(StackBy="Projection",Merged_Stack_Data[Proj. Depth],Merged_Stack_Data[Value Depth]),0))),"")</f>
        <v>A.J. Green</v>
      </c>
      <c r="G23" s="4" t="str">
        <f>IFERROR(IF(Stack4="NONE","",INDEX(Merged_Stack_Data[Name],MATCH(IF(S4Team="Team",StackBuilder[[#This Row],[Team]],StackBuilder[[#This Row],[Opp]])&amp;" "&amp;Stack4,IF(StackBy="Projection",Merged_Stack_Data[Proj. Depth],Merged_Stack_Data[Value Depth]),0))),"")</f>
        <v/>
      </c>
      <c r="H23" s="28">
        <f>IFERROR(INDEX(Merged_Stack_Data[[Projection]:[Projection]],MATCH(StackBuilder[[#This Row],[Stack Pos 1]],Merged_Stack_Data[[Name]:[Name]],0)),"")</f>
        <v>17.9743025</v>
      </c>
      <c r="I23" s="28">
        <f>IFERROR(INDEX(Merged_Stack_Data[[Projection]:[Projection]],MATCH(StackBuilder[[#This Row],[Stack Pos 2]],Merged_Stack_Data[[Name]:[Name]],0)),"")</f>
        <v>16.312766666666665</v>
      </c>
      <c r="J23" s="28">
        <f>IFERROR(INDEX(Merged_Stack_Data[[Projection]:[Projection]],MATCH(StackBuilder[[#This Row],[Stack Pos 3]],Merged_Stack_Data[[Name]:[Name]],0)),"")</f>
        <v>17.677366666666668</v>
      </c>
      <c r="K23" s="28" t="str">
        <f>IFERROR(INDEX(Merged_Stack_Data[[Projection]:[Projection]],MATCH(StackBuilder[[#This Row],[Stack Pos 4]],Merged_Stack_Data[[Name]:[Name]],0)),"")</f>
        <v/>
      </c>
      <c r="L23" s="27">
        <f>IFERROR(INDEX(Merged_Stack_Data[[$/FP]:[$/FP]],MATCH(StackBuilder[[#This Row],[Stack Pos 1]],Merged_Stack_Data[[Name]:[Name]],0)),"")</f>
        <v>344.93689999999998</v>
      </c>
      <c r="M23" s="27">
        <f>IFERROR(INDEX(Merged_Stack_Data[[$/FP]:[$/FP]],MATCH(StackBuilder[[#This Row],[Stack Pos 2]],Merged_Stack_Data[[Name]:[Name]],0)),"")</f>
        <v>404.59109999999998</v>
      </c>
      <c r="N23" s="27">
        <f>IFERROR(INDEX(Merged_Stack_Data[[$/FP]:[$/FP]],MATCH(StackBuilder[[#This Row],[Stack Pos 3]],Merged_Stack_Data[[Name]:[Name]],0)),"")</f>
        <v>458.21300000000002</v>
      </c>
      <c r="O23" s="27" t="str">
        <f>IFERROR(INDEX(Merged_Stack_Data[[$/FP]:[$/FP]],MATCH(StackBuilder[[#This Row],[Stack Pos 4]],Merged_Stack_Data[[Name]:[Name]],0)),"")</f>
        <v/>
      </c>
      <c r="P23" s="27">
        <f>IFERROR(INDEX(Merged_Stack_Data[[Salary]:[Salary]],MATCH(StackBuilder[[#This Row],[Stack Pos 1]],Merged_Stack_Data[[Name]:[Name]],0)),"")</f>
        <v>6200</v>
      </c>
      <c r="Q23" s="27">
        <f>IFERROR(INDEX(Merged_Stack_Data[[Salary]:[Salary]],MATCH(StackBuilder[[#This Row],[Stack Pos 2]],Merged_Stack_Data[[Name]:[Name]],0)),"")</f>
        <v>6600</v>
      </c>
      <c r="R23" s="27">
        <f>IFERROR(INDEX(Merged_Stack_Data[[Salary]:[Salary]],MATCH(StackBuilder[[#This Row],[Stack Pos 3]],Merged_Stack_Data[[Name]:[Name]],0)),"")</f>
        <v>8100</v>
      </c>
      <c r="S23" s="27" t="str">
        <f>IFERROR(INDEX(Merged_Stack_Data[[Salary]:[Salary]],MATCH(StackBuilder[[#This Row],[Stack Pos 4]],Merged_Stack_Data[[Name]:[Name]],0)),"")</f>
        <v/>
      </c>
      <c r="T23" s="28">
        <f>IF(4-COUNTBLANK(StackBuilder[[#This Row],[Stack Pos 1]:[Stack Pos 4]])=PosSelected,ROUND(SUM(StackBuilder[[#This Row],[P1 Proj]:[P4 Proj]]),2))</f>
        <v>51.96</v>
      </c>
      <c r="U23" s="27">
        <f>IFERROR(_xlfn.RANK.EQ(StackBuilder[[#This Row],[Stack Projection]],StackBuilder[Stack Projection],0),"")</f>
        <v>7</v>
      </c>
      <c r="V23" s="295">
        <f>IF(4-COUNTBLANK(StackBuilder[[#This Row],[Stack Pos 1]:[Stack Pos 4]])=PosSelected,ROUND(AVERAGE(StackBuilder[[#This Row],[P1 Value]:[P4 Value]]),2))</f>
        <v>402.58</v>
      </c>
      <c r="W23" s="27">
        <f>IFERROR(_xlfn.RANK.EQ(StackBuilder[[#This Row],[Stack Value]],StackBuilder[Stack Value],1),"")</f>
        <v>10</v>
      </c>
      <c r="X23" s="282">
        <f>IF(4-COUNTBLANK(StackBuilder[[#This Row],[Stack Pos 1]:[Stack Pos 4]])=PosSelected,SUM(StackBuilder[[#This Row],[P1 Salary]:[P4 Salary]])/50000,"")</f>
        <v>0.41799999999999998</v>
      </c>
    </row>
    <row r="24" spans="2:24" x14ac:dyDescent="0.3">
      <c r="B24" s="4" t="s">
        <v>37</v>
      </c>
      <c r="C24" s="4" t="str">
        <f>IF(LEFT(INDEX(defenses[Opp],MATCH(StackBuilder[[#This Row],[Team]],defenses[Team],0)),1)="@",MID(INDEX(defenses[Opp],MATCH(StackBuilder[[#This Row],[Team]],defenses[Team],0)),2,4),INDEX(defenses[Opp],MATCH(StackBuilder[[#This Row],[Team]],defenses[Team],0)))</f>
        <v>MIN</v>
      </c>
      <c r="D24" s="4" t="str">
        <f>IFERROR(IF(Stack1="NONE","",INDEX(Merged_Stack_Data[Name],MATCH(IF(S1Team="Team",StackBuilder[[#This Row],[Team]],StackBuilder[[#This Row],[Opp]])&amp;" "&amp;Stack1,IF(StackBy="Projection",Merged_Stack_Data[Proj. Depth],Merged_Stack_Data[Value Depth]),0))),"")</f>
        <v>Eli Manning</v>
      </c>
      <c r="E24" s="4" t="str">
        <f>IFERROR(IF(Stack2="NONE","",INDEX(Merged_Stack_Data[Name],MATCH(IF(S2Team="Team",StackBuilder[[#This Row],[Team]],StackBuilder[[#This Row],[Opp]])&amp;" "&amp;Stack2,IF(StackBy="Projection",Merged_Stack_Data[Proj. Depth],Merged_Stack_Data[Value Depth]),0))),"")</f>
        <v>Odell Beckham Jr.</v>
      </c>
      <c r="F24" s="4" t="str">
        <f>IFERROR(IF(Stack3="NONE","",INDEX(Merged_Stack_Data[Name],MATCH(IF(S3Team="Team",StackBuilder[[#This Row],[Team]],StackBuilder[[#This Row],[Opp]])&amp;" "&amp;Stack3,IF(StackBy="Projection",Merged_Stack_Data[Proj. Depth],Merged_Stack_Data[Value Depth]),0))),"")</f>
        <v>Stefon Diggs</v>
      </c>
      <c r="G24" s="4" t="str">
        <f>IFERROR(IF(Stack4="NONE","",INDEX(Merged_Stack_Data[Name],MATCH(IF(S4Team="Team",StackBuilder[[#This Row],[Team]],StackBuilder[[#This Row],[Opp]])&amp;" "&amp;Stack4,IF(StackBy="Projection",Merged_Stack_Data[Proj. Depth],Merged_Stack_Data[Value Depth]),0))),"")</f>
        <v/>
      </c>
      <c r="H24" s="28">
        <f>IFERROR(INDEX(Merged_Stack_Data[[Projection]:[Projection]],MATCH(StackBuilder[[#This Row],[Stack Pos 1]],Merged_Stack_Data[[Name]:[Name]],0)),"")</f>
        <v>18.160988333333329</v>
      </c>
      <c r="I24" s="28">
        <f>IFERROR(INDEX(Merged_Stack_Data[[Projection]:[Projection]],MATCH(StackBuilder[[#This Row],[Stack Pos 2]],Merged_Stack_Data[[Name]:[Name]],0)),"")</f>
        <v>20.622800000000002</v>
      </c>
      <c r="J24" s="28">
        <f>IFERROR(INDEX(Merged_Stack_Data[[Projection]:[Projection]],MATCH(StackBuilder[[#This Row],[Stack Pos 3]],Merged_Stack_Data[[Name]:[Name]],0)),"")</f>
        <v>12.899033333333334</v>
      </c>
      <c r="K24" s="28" t="str">
        <f>IFERROR(INDEX(Merged_Stack_Data[[Projection]:[Projection]],MATCH(StackBuilder[[#This Row],[Stack Pos 4]],Merged_Stack_Data[[Name]:[Name]],0)),"")</f>
        <v/>
      </c>
      <c r="L24" s="27">
        <f>IFERROR(INDEX(Merged_Stack_Data[[$/FP]:[$/FP]],MATCH(StackBuilder[[#This Row],[Stack Pos 1]],Merged_Stack_Data[[Name]:[Name]],0)),"")</f>
        <v>385.44159999999999</v>
      </c>
      <c r="M24" s="27">
        <f>IFERROR(INDEX(Merged_Stack_Data[[$/FP]:[$/FP]],MATCH(StackBuilder[[#This Row],[Stack Pos 2]],Merged_Stack_Data[[Name]:[Name]],0)),"")</f>
        <v>441.25920000000002</v>
      </c>
      <c r="N24" s="27">
        <f>IFERROR(INDEX(Merged_Stack_Data[[$/FP]:[$/FP]],MATCH(StackBuilder[[#This Row],[Stack Pos 3]],Merged_Stack_Data[[Name]:[Name]],0)),"")</f>
        <v>395.37849999999997</v>
      </c>
      <c r="O24" s="27" t="str">
        <f>IFERROR(INDEX(Merged_Stack_Data[[$/FP]:[$/FP]],MATCH(StackBuilder[[#This Row],[Stack Pos 4]],Merged_Stack_Data[[Name]:[Name]],0)),"")</f>
        <v/>
      </c>
      <c r="P24" s="27">
        <f>IFERROR(INDEX(Merged_Stack_Data[[Salary]:[Salary]],MATCH(StackBuilder[[#This Row],[Stack Pos 1]],Merged_Stack_Data[[Name]:[Name]],0)),"")</f>
        <v>7000</v>
      </c>
      <c r="Q24" s="27">
        <f>IFERROR(INDEX(Merged_Stack_Data[[Salary]:[Salary]],MATCH(StackBuilder[[#This Row],[Stack Pos 2]],Merged_Stack_Data[[Name]:[Name]],0)),"")</f>
        <v>9100</v>
      </c>
      <c r="R24" s="27">
        <f>IFERROR(INDEX(Merged_Stack_Data[[Salary]:[Salary]],MATCH(StackBuilder[[#This Row],[Stack Pos 3]],Merged_Stack_Data[[Name]:[Name]],0)),"")</f>
        <v>5100</v>
      </c>
      <c r="S24" s="27" t="str">
        <f>IFERROR(INDEX(Merged_Stack_Data[[Salary]:[Salary]],MATCH(StackBuilder[[#This Row],[Stack Pos 4]],Merged_Stack_Data[[Name]:[Name]],0)),"")</f>
        <v/>
      </c>
      <c r="T24" s="28">
        <f>IF(4-COUNTBLANK(StackBuilder[[#This Row],[Stack Pos 1]:[Stack Pos 4]])=PosSelected,ROUND(SUM(StackBuilder[[#This Row],[P1 Proj]:[P4 Proj]]),2))</f>
        <v>51.68</v>
      </c>
      <c r="U24" s="27">
        <f>IFERROR(_xlfn.RANK.EQ(StackBuilder[[#This Row],[Stack Projection]],StackBuilder[Stack Projection],0),"")</f>
        <v>8</v>
      </c>
      <c r="V24" s="295">
        <f>IF(4-COUNTBLANK(StackBuilder[[#This Row],[Stack Pos 1]:[Stack Pos 4]])=PosSelected,ROUND(AVERAGE(StackBuilder[[#This Row],[P1 Value]:[P4 Value]]),2))</f>
        <v>407.36</v>
      </c>
      <c r="W24" s="27">
        <f>IFERROR(_xlfn.RANK.EQ(StackBuilder[[#This Row],[Stack Value]],StackBuilder[Stack Value],1),"")</f>
        <v>11</v>
      </c>
      <c r="X24" s="282">
        <f>IF(4-COUNTBLANK(StackBuilder[[#This Row],[Stack Pos 1]:[Stack Pos 4]])=PosSelected,SUM(StackBuilder[[#This Row],[P1 Salary]:[P4 Salary]])/50000,"")</f>
        <v>0.42399999999999999</v>
      </c>
    </row>
    <row r="25" spans="2:24" x14ac:dyDescent="0.3">
      <c r="B25" s="4" t="s">
        <v>12</v>
      </c>
      <c r="C25" s="4" t="str">
        <f>IF(LEFT(INDEX(defenses[Opp],MATCH(StackBuilder[[#This Row],[Team]],defenses[Team],0)),1)="@",MID(INDEX(defenses[Opp],MATCH(StackBuilder[[#This Row],[Team]],defenses[Team],0)),2,4),INDEX(defenses[Opp],MATCH(StackBuilder[[#This Row],[Team]],defenses[Team],0)))</f>
        <v>IND</v>
      </c>
      <c r="D25" s="4" t="str">
        <f>IFERROR(IF(Stack1="NONE","",INDEX(Merged_Stack_Data[Name],MATCH(IF(S1Team="Team",StackBuilder[[#This Row],[Team]],StackBuilder[[#This Row],[Opp]])&amp;" "&amp;Stack1,IF(StackBy="Projection",Merged_Stack_Data[Proj. Depth],Merged_Stack_Data[Value Depth]),0))),"")</f>
        <v>Blake Bortles</v>
      </c>
      <c r="E25" s="4" t="str">
        <f>IFERROR(IF(Stack2="NONE","",INDEX(Merged_Stack_Data[Name],MATCH(IF(S2Team="Team",StackBuilder[[#This Row],[Team]],StackBuilder[[#This Row],[Opp]])&amp;" "&amp;Stack2,IF(StackBy="Projection",Merged_Stack_Data[Proj. Depth],Merged_Stack_Data[Value Depth]),0))),"")</f>
        <v>Allen Robinson</v>
      </c>
      <c r="F25" s="4" t="str">
        <f>IFERROR(IF(Stack3="NONE","",INDEX(Merged_Stack_Data[Name],MATCH(IF(S3Team="Team",StackBuilder[[#This Row],[Team]],StackBuilder[[#This Row],[Opp]])&amp;" "&amp;Stack3,IF(StackBy="Projection",Merged_Stack_Data[Proj. Depth],Merged_Stack_Data[Value Depth]),0))),"")</f>
        <v>T.Y. Hilton</v>
      </c>
      <c r="G25" s="4" t="str">
        <f>IFERROR(IF(Stack4="NONE","",INDEX(Merged_Stack_Data[Name],MATCH(IF(S4Team="Team",StackBuilder[[#This Row],[Team]],StackBuilder[[#This Row],[Opp]])&amp;" "&amp;Stack4,IF(StackBy="Projection",Merged_Stack_Data[Proj. Depth],Merged_Stack_Data[Value Depth]),0))),"")</f>
        <v/>
      </c>
      <c r="H25" s="28">
        <f>IFERROR(INDEX(Merged_Stack_Data[[Projection]:[Projection]],MATCH(StackBuilder[[#This Row],[Stack Pos 1]],Merged_Stack_Data[[Name]:[Name]],0)),"")</f>
        <v>19.923425833333333</v>
      </c>
      <c r="I25" s="28">
        <f>IFERROR(INDEX(Merged_Stack_Data[[Projection]:[Projection]],MATCH(StackBuilder[[#This Row],[Stack Pos 2]],Merged_Stack_Data[[Name]:[Name]],0)),"")</f>
        <v>17.004266666666666</v>
      </c>
      <c r="J25" s="28">
        <f>IFERROR(INDEX(Merged_Stack_Data[[Projection]:[Projection]],MATCH(StackBuilder[[#This Row],[Stack Pos 3]],Merged_Stack_Data[[Name]:[Name]],0)),"")</f>
        <v>13.73</v>
      </c>
      <c r="K25" s="28" t="str">
        <f>IFERROR(INDEX(Merged_Stack_Data[[Projection]:[Projection]],MATCH(StackBuilder[[#This Row],[Stack Pos 4]],Merged_Stack_Data[[Name]:[Name]],0)),"")</f>
        <v/>
      </c>
      <c r="L25" s="27">
        <f>IFERROR(INDEX(Merged_Stack_Data[[$/FP]:[$/FP]],MATCH(StackBuilder[[#This Row],[Stack Pos 1]],Merged_Stack_Data[[Name]:[Name]],0)),"")</f>
        <v>326.2491</v>
      </c>
      <c r="M25" s="27">
        <f>IFERROR(INDEX(Merged_Stack_Data[[$/FP]:[$/FP]],MATCH(StackBuilder[[#This Row],[Stack Pos 2]],Merged_Stack_Data[[Name]:[Name]],0)),"")</f>
        <v>441.06580000000002</v>
      </c>
      <c r="N25" s="27">
        <f>IFERROR(INDEX(Merged_Stack_Data[[$/FP]:[$/FP]],MATCH(StackBuilder[[#This Row],[Stack Pos 3]],Merged_Stack_Data[[Name]:[Name]],0)),"")</f>
        <v>495.26580000000001</v>
      </c>
      <c r="O25" s="27" t="str">
        <f>IFERROR(INDEX(Merged_Stack_Data[[$/FP]:[$/FP]],MATCH(StackBuilder[[#This Row],[Stack Pos 4]],Merged_Stack_Data[[Name]:[Name]],0)),"")</f>
        <v/>
      </c>
      <c r="P25" s="27">
        <f>IFERROR(INDEX(Merged_Stack_Data[[Salary]:[Salary]],MATCH(StackBuilder[[#This Row],[Stack Pos 1]],Merged_Stack_Data[[Name]:[Name]],0)),"")</f>
        <v>6500</v>
      </c>
      <c r="Q25" s="27">
        <f>IFERROR(INDEX(Merged_Stack_Data[[Salary]:[Salary]],MATCH(StackBuilder[[#This Row],[Stack Pos 2]],Merged_Stack_Data[[Name]:[Name]],0)),"")</f>
        <v>7500</v>
      </c>
      <c r="R25" s="27">
        <f>IFERROR(INDEX(Merged_Stack_Data[[Salary]:[Salary]],MATCH(StackBuilder[[#This Row],[Stack Pos 3]],Merged_Stack_Data[[Name]:[Name]],0)),"")</f>
        <v>6800</v>
      </c>
      <c r="S25" s="27" t="str">
        <f>IFERROR(INDEX(Merged_Stack_Data[[Salary]:[Salary]],MATCH(StackBuilder[[#This Row],[Stack Pos 4]],Merged_Stack_Data[[Name]:[Name]],0)),"")</f>
        <v/>
      </c>
      <c r="T25" s="28">
        <f>IF(4-COUNTBLANK(StackBuilder[[#This Row],[Stack Pos 1]:[Stack Pos 4]])=PosSelected,ROUND(SUM(StackBuilder[[#This Row],[P1 Proj]:[P4 Proj]]),2))</f>
        <v>50.66</v>
      </c>
      <c r="U25" s="27">
        <f>IFERROR(_xlfn.RANK.EQ(StackBuilder[[#This Row],[Stack Projection]],StackBuilder[Stack Projection],0),"")</f>
        <v>9</v>
      </c>
      <c r="V25" s="295">
        <f>IF(4-COUNTBLANK(StackBuilder[[#This Row],[Stack Pos 1]:[Stack Pos 4]])=PosSelected,ROUND(AVERAGE(StackBuilder[[#This Row],[P1 Value]:[P4 Value]]),2))</f>
        <v>420.86</v>
      </c>
      <c r="W25" s="27">
        <f>IFERROR(_xlfn.RANK.EQ(StackBuilder[[#This Row],[Stack Value]],StackBuilder[Stack Value],1),"")</f>
        <v>18</v>
      </c>
      <c r="X25" s="282">
        <f>IF(4-COUNTBLANK(StackBuilder[[#This Row],[Stack Pos 1]:[Stack Pos 4]])=PosSelected,SUM(StackBuilder[[#This Row],[P1 Salary]:[P4 Salary]])/50000,"")</f>
        <v>0.41599999999999998</v>
      </c>
    </row>
    <row r="26" spans="2:24" x14ac:dyDescent="0.3">
      <c r="B26" s="4" t="s">
        <v>407</v>
      </c>
      <c r="C26" s="4" t="str">
        <f>IF(LEFT(INDEX(defenses[Opp],MATCH(StackBuilder[[#This Row],[Team]],defenses[Team],0)),1)="@",MID(INDEX(defenses[Opp],MATCH(StackBuilder[[#This Row],[Team]],defenses[Team],0)),2,4),INDEX(defenses[Opp],MATCH(StackBuilder[[#This Row],[Team]],defenses[Team],0)))</f>
        <v>NO</v>
      </c>
      <c r="D26" s="4" t="str">
        <f>IFERROR(IF(Stack1="NONE","",INDEX(Merged_Stack_Data[Name],MATCH(IF(S1Team="Team",StackBuilder[[#This Row],[Team]],StackBuilder[[#This Row],[Opp]])&amp;" "&amp;Stack1,IF(StackBy="Projection",Merged_Stack_Data[Proj. Depth],Merged_Stack_Data[Value Depth]),0))),"")</f>
        <v>Philip Rivers</v>
      </c>
      <c r="E26" s="4" t="str">
        <f>IFERROR(IF(Stack2="NONE","",INDEX(Merged_Stack_Data[Name],MATCH(IF(S2Team="Team",StackBuilder[[#This Row],[Team]],StackBuilder[[#This Row],[Opp]])&amp;" "&amp;Stack2,IF(StackBy="Projection",Merged_Stack_Data[Proj. Depth],Merged_Stack_Data[Value Depth]),0))),"")</f>
        <v>Travis Benjamin</v>
      </c>
      <c r="F26" s="4" t="str">
        <f>IFERROR(IF(Stack3="NONE","",INDEX(Merged_Stack_Data[Name],MATCH(IF(S3Team="Team",StackBuilder[[#This Row],[Team]],StackBuilder[[#This Row],[Opp]])&amp;" "&amp;Stack3,IF(StackBy="Projection",Merged_Stack_Data[Proj. Depth],Merged_Stack_Data[Value Depth]),0))),"")</f>
        <v>Brandin Cooks</v>
      </c>
      <c r="G26" s="4" t="str">
        <f>IFERROR(IF(Stack4="NONE","",INDEX(Merged_Stack_Data[Name],MATCH(IF(S4Team="Team",StackBuilder[[#This Row],[Team]],StackBuilder[[#This Row],[Opp]])&amp;" "&amp;Stack4,IF(StackBy="Projection",Merged_Stack_Data[Proj. Depth],Merged_Stack_Data[Value Depth]),0))),"")</f>
        <v/>
      </c>
      <c r="H26" s="28">
        <f>IFERROR(INDEX(Merged_Stack_Data[[Projection]:[Projection]],MATCH(StackBuilder[[#This Row],[Stack Pos 1]],Merged_Stack_Data[[Name]:[Name]],0)),"")</f>
        <v>18.590613333333337</v>
      </c>
      <c r="I26" s="28">
        <f>IFERROR(INDEX(Merged_Stack_Data[[Projection]:[Projection]],MATCH(StackBuilder[[#This Row],[Stack Pos 2]],Merged_Stack_Data[[Name]:[Name]],0)),"")</f>
        <v>14.798166666666667</v>
      </c>
      <c r="J26" s="28">
        <f>IFERROR(INDEX(Merged_Stack_Data[[Projection]:[Projection]],MATCH(StackBuilder[[#This Row],[Stack Pos 3]],Merged_Stack_Data[[Name]:[Name]],0)),"")</f>
        <v>17.035433333333334</v>
      </c>
      <c r="K26" s="28" t="str">
        <f>IFERROR(INDEX(Merged_Stack_Data[[Projection]:[Projection]],MATCH(StackBuilder[[#This Row],[Stack Pos 4]],Merged_Stack_Data[[Name]:[Name]],0)),"")</f>
        <v/>
      </c>
      <c r="L26" s="27">
        <f>IFERROR(INDEX(Merged_Stack_Data[[$/FP]:[$/FP]],MATCH(StackBuilder[[#This Row],[Stack Pos 1]],Merged_Stack_Data[[Name]:[Name]],0)),"")</f>
        <v>360.39690000000002</v>
      </c>
      <c r="M26" s="27">
        <f>IFERROR(INDEX(Merged_Stack_Data[[$/FP]:[$/FP]],MATCH(StackBuilder[[#This Row],[Stack Pos 2]],Merged_Stack_Data[[Name]:[Name]],0)),"")</f>
        <v>351.39490000000001</v>
      </c>
      <c r="N26" s="27">
        <f>IFERROR(INDEX(Merged_Stack_Data[[$/FP]:[$/FP]],MATCH(StackBuilder[[#This Row],[Stack Pos 3]],Merged_Stack_Data[[Name]:[Name]],0)),"")</f>
        <v>463.73930000000001</v>
      </c>
      <c r="O26" s="27" t="str">
        <f>IFERROR(INDEX(Merged_Stack_Data[[$/FP]:[$/FP]],MATCH(StackBuilder[[#This Row],[Stack Pos 4]],Merged_Stack_Data[[Name]:[Name]],0)),"")</f>
        <v/>
      </c>
      <c r="P26" s="27">
        <f>IFERROR(INDEX(Merged_Stack_Data[[Salary]:[Salary]],MATCH(StackBuilder[[#This Row],[Stack Pos 1]],Merged_Stack_Data[[Name]:[Name]],0)),"")</f>
        <v>6700</v>
      </c>
      <c r="Q26" s="27">
        <f>IFERROR(INDEX(Merged_Stack_Data[[Salary]:[Salary]],MATCH(StackBuilder[[#This Row],[Stack Pos 2]],Merged_Stack_Data[[Name]:[Name]],0)),"")</f>
        <v>5200</v>
      </c>
      <c r="R26" s="27">
        <f>IFERROR(INDEX(Merged_Stack_Data[[Salary]:[Salary]],MATCH(StackBuilder[[#This Row],[Stack Pos 3]],Merged_Stack_Data[[Name]:[Name]],0)),"")</f>
        <v>7900</v>
      </c>
      <c r="S26" s="27" t="str">
        <f>IFERROR(INDEX(Merged_Stack_Data[[Salary]:[Salary]],MATCH(StackBuilder[[#This Row],[Stack Pos 4]],Merged_Stack_Data[[Name]:[Name]],0)),"")</f>
        <v/>
      </c>
      <c r="T26" s="28">
        <f>IF(4-COUNTBLANK(StackBuilder[[#This Row],[Stack Pos 1]:[Stack Pos 4]])=PosSelected,ROUND(SUM(StackBuilder[[#This Row],[P1 Proj]:[P4 Proj]]),2))</f>
        <v>50.42</v>
      </c>
      <c r="U26" s="27">
        <f>IFERROR(_xlfn.RANK.EQ(StackBuilder[[#This Row],[Stack Projection]],StackBuilder[Stack Projection],0),"")</f>
        <v>10</v>
      </c>
      <c r="V26" s="295">
        <f>IF(4-COUNTBLANK(StackBuilder[[#This Row],[Stack Pos 1]:[Stack Pos 4]])=PosSelected,ROUND(AVERAGE(StackBuilder[[#This Row],[P1 Value]:[P4 Value]]),2))</f>
        <v>391.84</v>
      </c>
      <c r="W26" s="27">
        <f>IFERROR(_xlfn.RANK.EQ(StackBuilder[[#This Row],[Stack Value]],StackBuilder[Stack Value],1),"")</f>
        <v>4</v>
      </c>
      <c r="X26" s="282">
        <f>IF(4-COUNTBLANK(StackBuilder[[#This Row],[Stack Pos 1]:[Stack Pos 4]])=PosSelected,SUM(StackBuilder[[#This Row],[P1 Salary]:[P4 Salary]])/50000,"")</f>
        <v>0.39600000000000002</v>
      </c>
    </row>
    <row r="27" spans="2:24" x14ac:dyDescent="0.3">
      <c r="B27" s="4" t="s">
        <v>26</v>
      </c>
      <c r="C27" s="4" t="str">
        <f>IF(LEFT(INDEX(defenses[Opp],MATCH(StackBuilder[[#This Row],[Team]],defenses[Team],0)),1)="@",MID(INDEX(defenses[Opp],MATCH(StackBuilder[[#This Row],[Team]],defenses[Team],0)),2,4),INDEX(defenses[Opp],MATCH(StackBuilder[[#This Row],[Team]],defenses[Team],0)))</f>
        <v>CHI</v>
      </c>
      <c r="D27" s="4" t="str">
        <f>IFERROR(IF(Stack1="NONE","",INDEX(Merged_Stack_Data[Name],MATCH(IF(S1Team="Team",StackBuilder[[#This Row],[Team]],StackBuilder[[#This Row],[Opp]])&amp;" "&amp;Stack1,IF(StackBy="Projection",Merged_Stack_Data[Proj. Depth],Merged_Stack_Data[Value Depth]),0))),"")</f>
        <v>Matthew Stafford</v>
      </c>
      <c r="E27" s="4" t="str">
        <f>IFERROR(IF(Stack2="NONE","",INDEX(Merged_Stack_Data[Name],MATCH(IF(S2Team="Team",StackBuilder[[#This Row],[Team]],StackBuilder[[#This Row],[Opp]])&amp;" "&amp;Stack2,IF(StackBy="Projection",Merged_Stack_Data[Proj. Depth],Merged_Stack_Data[Value Depth]),0))),"")</f>
        <v>Marvin Jones</v>
      </c>
      <c r="F27" s="4" t="str">
        <f>IFERROR(IF(Stack3="NONE","",INDEX(Merged_Stack_Data[Name],MATCH(IF(S3Team="Team",StackBuilder[[#This Row],[Team]],StackBuilder[[#This Row],[Opp]])&amp;" "&amp;Stack3,IF(StackBy="Projection",Merged_Stack_Data[Proj. Depth],Merged_Stack_Data[Value Depth]),0))),"")</f>
        <v>Alshon Jeffery</v>
      </c>
      <c r="G27" s="4" t="str">
        <f>IFERROR(IF(Stack4="NONE","",INDEX(Merged_Stack_Data[Name],MATCH(IF(S4Team="Team",StackBuilder[[#This Row],[Team]],StackBuilder[[#This Row],[Opp]])&amp;" "&amp;Stack4,IF(StackBy="Projection",Merged_Stack_Data[Proj. Depth],Merged_Stack_Data[Value Depth]),0))),"")</f>
        <v/>
      </c>
      <c r="H27" s="28">
        <f>IFERROR(INDEX(Merged_Stack_Data[[Projection]:[Projection]],MATCH(StackBuilder[[#This Row],[Stack Pos 1]],Merged_Stack_Data[[Name]:[Name]],0)),"")</f>
        <v>19.264366666666668</v>
      </c>
      <c r="I27" s="28">
        <f>IFERROR(INDEX(Merged_Stack_Data[[Projection]:[Projection]],MATCH(StackBuilder[[#This Row],[Stack Pos 2]],Merged_Stack_Data[[Name]:[Name]],0)),"")</f>
        <v>14.539066666666667</v>
      </c>
      <c r="J27" s="28">
        <f>IFERROR(INDEX(Merged_Stack_Data[[Projection]:[Projection]],MATCH(StackBuilder[[#This Row],[Stack Pos 3]],Merged_Stack_Data[[Name]:[Name]],0)),"")</f>
        <v>16.428233333333331</v>
      </c>
      <c r="K27" s="28" t="str">
        <f>IFERROR(INDEX(Merged_Stack_Data[[Projection]:[Projection]],MATCH(StackBuilder[[#This Row],[Stack Pos 4]],Merged_Stack_Data[[Name]:[Name]],0)),"")</f>
        <v/>
      </c>
      <c r="L27" s="27">
        <f>IFERROR(INDEX(Merged_Stack_Data[[$/FP]:[$/FP]],MATCH(StackBuilder[[#This Row],[Stack Pos 1]],Merged_Stack_Data[[Name]:[Name]],0)),"")</f>
        <v>352.98329999999999</v>
      </c>
      <c r="M27" s="27">
        <f>IFERROR(INDEX(Merged_Stack_Data[[$/FP]:[$/FP]],MATCH(StackBuilder[[#This Row],[Stack Pos 2]],Merged_Stack_Data[[Name]:[Name]],0)),"")</f>
        <v>426.43729999999999</v>
      </c>
      <c r="N27" s="27">
        <f>IFERROR(INDEX(Merged_Stack_Data[[$/FP]:[$/FP]],MATCH(StackBuilder[[#This Row],[Stack Pos 3]],Merged_Stack_Data[[Name]:[Name]],0)),"")</f>
        <v>486.9665</v>
      </c>
      <c r="O27" s="27" t="str">
        <f>IFERROR(INDEX(Merged_Stack_Data[[$/FP]:[$/FP]],MATCH(StackBuilder[[#This Row],[Stack Pos 4]],Merged_Stack_Data[[Name]:[Name]],0)),"")</f>
        <v/>
      </c>
      <c r="P27" s="27">
        <f>IFERROR(INDEX(Merged_Stack_Data[[Salary]:[Salary]],MATCH(StackBuilder[[#This Row],[Stack Pos 1]],Merged_Stack_Data[[Name]:[Name]],0)),"")</f>
        <v>6800</v>
      </c>
      <c r="Q27" s="27">
        <f>IFERROR(INDEX(Merged_Stack_Data[[Salary]:[Salary]],MATCH(StackBuilder[[#This Row],[Stack Pos 2]],Merged_Stack_Data[[Name]:[Name]],0)),"")</f>
        <v>6200</v>
      </c>
      <c r="R27" s="27">
        <f>IFERROR(INDEX(Merged_Stack_Data[[Salary]:[Salary]],MATCH(StackBuilder[[#This Row],[Stack Pos 3]],Merged_Stack_Data[[Name]:[Name]],0)),"")</f>
        <v>8000</v>
      </c>
      <c r="S27" s="27" t="str">
        <f>IFERROR(INDEX(Merged_Stack_Data[[Salary]:[Salary]],MATCH(StackBuilder[[#This Row],[Stack Pos 4]],Merged_Stack_Data[[Name]:[Name]],0)),"")</f>
        <v/>
      </c>
      <c r="T27" s="28">
        <f>IF(4-COUNTBLANK(StackBuilder[[#This Row],[Stack Pos 1]:[Stack Pos 4]])=PosSelected,ROUND(SUM(StackBuilder[[#This Row],[P1 Proj]:[P4 Proj]]),2))</f>
        <v>50.23</v>
      </c>
      <c r="U27" s="27">
        <f>IFERROR(_xlfn.RANK.EQ(StackBuilder[[#This Row],[Stack Projection]],StackBuilder[Stack Projection],0),"")</f>
        <v>11</v>
      </c>
      <c r="V27" s="295">
        <f>IF(4-COUNTBLANK(StackBuilder[[#This Row],[Stack Pos 1]:[Stack Pos 4]])=PosSelected,ROUND(AVERAGE(StackBuilder[[#This Row],[P1 Value]:[P4 Value]]),2))</f>
        <v>422.13</v>
      </c>
      <c r="W27" s="27">
        <f>IFERROR(_xlfn.RANK.EQ(StackBuilder[[#This Row],[Stack Value]],StackBuilder[Stack Value],1),"")</f>
        <v>20</v>
      </c>
      <c r="X27" s="282">
        <f>IF(4-COUNTBLANK(StackBuilder[[#This Row],[Stack Pos 1]:[Stack Pos 4]])=PosSelected,SUM(StackBuilder[[#This Row],[P1 Salary]:[P4 Salary]])/50000,"")</f>
        <v>0.42</v>
      </c>
    </row>
    <row r="28" spans="2:24" x14ac:dyDescent="0.3">
      <c r="B28" s="4" t="s">
        <v>16</v>
      </c>
      <c r="C28" s="4" t="str">
        <f>IF(LEFT(INDEX(defenses[Opp],MATCH(StackBuilder[[#This Row],[Team]],defenses[Team],0)),1)="@",MID(INDEX(defenses[Opp],MATCH(StackBuilder[[#This Row],[Team]],defenses[Team],0)),2,4),INDEX(defenses[Opp],MATCH(StackBuilder[[#This Row],[Team]],defenses[Team],0)))</f>
        <v>JAX</v>
      </c>
      <c r="D28" s="4" t="str">
        <f>IFERROR(IF(Stack1="NONE","",INDEX(Merged_Stack_Data[Name],MATCH(IF(S1Team="Team",StackBuilder[[#This Row],[Team]],StackBuilder[[#This Row],[Opp]])&amp;" "&amp;Stack1,IF(StackBy="Projection",Merged_Stack_Data[Proj. Depth],Merged_Stack_Data[Value Depth]),0))),"")</f>
        <v>Andrew Luck</v>
      </c>
      <c r="E28" s="4" t="str">
        <f>IFERROR(IF(Stack2="NONE","",INDEX(Merged_Stack_Data[Name],MATCH(IF(S2Team="Team",StackBuilder[[#This Row],[Team]],StackBuilder[[#This Row],[Opp]])&amp;" "&amp;Stack2,IF(StackBy="Projection",Merged_Stack_Data[Proj. Depth],Merged_Stack_Data[Value Depth]),0))),"")</f>
        <v>T.Y. Hilton</v>
      </c>
      <c r="F28" s="4" t="str">
        <f>IFERROR(IF(Stack3="NONE","",INDEX(Merged_Stack_Data[Name],MATCH(IF(S3Team="Team",StackBuilder[[#This Row],[Team]],StackBuilder[[#This Row],[Opp]])&amp;" "&amp;Stack3,IF(StackBy="Projection",Merged_Stack_Data[Proj. Depth],Merged_Stack_Data[Value Depth]),0))),"")</f>
        <v>Allen Robinson</v>
      </c>
      <c r="G28" s="4" t="str">
        <f>IFERROR(IF(Stack4="NONE","",INDEX(Merged_Stack_Data[Name],MATCH(IF(S4Team="Team",StackBuilder[[#This Row],[Team]],StackBuilder[[#This Row],[Opp]])&amp;" "&amp;Stack4,IF(StackBy="Projection",Merged_Stack_Data[Proj. Depth],Merged_Stack_Data[Value Depth]),0))),"")</f>
        <v/>
      </c>
      <c r="H28" s="28">
        <f>IFERROR(INDEX(Merged_Stack_Data[[Projection]:[Projection]],MATCH(StackBuilder[[#This Row],[Stack Pos 1]],Merged_Stack_Data[[Name]:[Name]],0)),"")</f>
        <v>19.342775</v>
      </c>
      <c r="I28" s="28">
        <f>IFERROR(INDEX(Merged_Stack_Data[[Projection]:[Projection]],MATCH(StackBuilder[[#This Row],[Stack Pos 2]],Merged_Stack_Data[[Name]:[Name]],0)),"")</f>
        <v>13.73</v>
      </c>
      <c r="J28" s="28">
        <f>IFERROR(INDEX(Merged_Stack_Data[[Projection]:[Projection]],MATCH(StackBuilder[[#This Row],[Stack Pos 3]],Merged_Stack_Data[[Name]:[Name]],0)),"")</f>
        <v>17.004266666666666</v>
      </c>
      <c r="K28" s="28" t="str">
        <f>IFERROR(INDEX(Merged_Stack_Data[[Projection]:[Projection]],MATCH(StackBuilder[[#This Row],[Stack Pos 4]],Merged_Stack_Data[[Name]:[Name]],0)),"")</f>
        <v/>
      </c>
      <c r="L28" s="27">
        <f>IFERROR(INDEX(Merged_Stack_Data[[$/FP]:[$/FP]],MATCH(StackBuilder[[#This Row],[Stack Pos 1]],Merged_Stack_Data[[Name]:[Name]],0)),"")</f>
        <v>392.91160000000002</v>
      </c>
      <c r="M28" s="27">
        <f>IFERROR(INDEX(Merged_Stack_Data[[$/FP]:[$/FP]],MATCH(StackBuilder[[#This Row],[Stack Pos 2]],Merged_Stack_Data[[Name]:[Name]],0)),"")</f>
        <v>495.26580000000001</v>
      </c>
      <c r="N28" s="27">
        <f>IFERROR(INDEX(Merged_Stack_Data[[$/FP]:[$/FP]],MATCH(StackBuilder[[#This Row],[Stack Pos 3]],Merged_Stack_Data[[Name]:[Name]],0)),"")</f>
        <v>441.06580000000002</v>
      </c>
      <c r="O28" s="27" t="str">
        <f>IFERROR(INDEX(Merged_Stack_Data[[$/FP]:[$/FP]],MATCH(StackBuilder[[#This Row],[Stack Pos 4]],Merged_Stack_Data[[Name]:[Name]],0)),"")</f>
        <v/>
      </c>
      <c r="P28" s="27">
        <f>IFERROR(INDEX(Merged_Stack_Data[[Salary]:[Salary]],MATCH(StackBuilder[[#This Row],[Stack Pos 1]],Merged_Stack_Data[[Name]:[Name]],0)),"")</f>
        <v>7600</v>
      </c>
      <c r="Q28" s="27">
        <f>IFERROR(INDEX(Merged_Stack_Data[[Salary]:[Salary]],MATCH(StackBuilder[[#This Row],[Stack Pos 2]],Merged_Stack_Data[[Name]:[Name]],0)),"")</f>
        <v>6800</v>
      </c>
      <c r="R28" s="27">
        <f>IFERROR(INDEX(Merged_Stack_Data[[Salary]:[Salary]],MATCH(StackBuilder[[#This Row],[Stack Pos 3]],Merged_Stack_Data[[Name]:[Name]],0)),"")</f>
        <v>7500</v>
      </c>
      <c r="S28" s="27" t="str">
        <f>IFERROR(INDEX(Merged_Stack_Data[[Salary]:[Salary]],MATCH(StackBuilder[[#This Row],[Stack Pos 4]],Merged_Stack_Data[[Name]:[Name]],0)),"")</f>
        <v/>
      </c>
      <c r="T28" s="28">
        <f>IF(4-COUNTBLANK(StackBuilder[[#This Row],[Stack Pos 1]:[Stack Pos 4]])=PosSelected,ROUND(SUM(StackBuilder[[#This Row],[P1 Proj]:[P4 Proj]]),2))</f>
        <v>50.08</v>
      </c>
      <c r="U28" s="27">
        <f>IFERROR(_xlfn.RANK.EQ(StackBuilder[[#This Row],[Stack Projection]],StackBuilder[Stack Projection],0),"")</f>
        <v>12</v>
      </c>
      <c r="V28" s="295">
        <f>IF(4-COUNTBLANK(StackBuilder[[#This Row],[Stack Pos 1]:[Stack Pos 4]])=PosSelected,ROUND(AVERAGE(StackBuilder[[#This Row],[P1 Value]:[P4 Value]]),2))</f>
        <v>443.08</v>
      </c>
      <c r="W28" s="27">
        <f>IFERROR(_xlfn.RANK.EQ(StackBuilder[[#This Row],[Stack Value]],StackBuilder[Stack Value],1),"")</f>
        <v>27</v>
      </c>
      <c r="X28" s="282">
        <f>IF(4-COUNTBLANK(StackBuilder[[#This Row],[Stack Pos 1]:[Stack Pos 4]])=PosSelected,SUM(StackBuilder[[#This Row],[P1 Salary]:[P4 Salary]])/50000,"")</f>
        <v>0.438</v>
      </c>
    </row>
    <row r="29" spans="2:24" x14ac:dyDescent="0.3">
      <c r="B29" s="4" t="s">
        <v>7</v>
      </c>
      <c r="C29" s="4" t="str">
        <f>IF(LEFT(INDEX(defenses[Opp],MATCH(StackBuilder[[#This Row],[Team]],defenses[Team],0)),1)="@",MID(INDEX(defenses[Opp],MATCH(StackBuilder[[#This Row],[Team]],defenses[Team],0)),2,4),INDEX(defenses[Opp],MATCH(StackBuilder[[#This Row],[Team]],defenses[Team],0)))</f>
        <v>NYJ</v>
      </c>
      <c r="D29" s="4" t="str">
        <f>IFERROR(IF(Stack1="NONE","",INDEX(Merged_Stack_Data[Name],MATCH(IF(S1Team="Team",StackBuilder[[#This Row],[Team]],StackBuilder[[#This Row],[Opp]])&amp;" "&amp;Stack1,IF(StackBy="Projection",Merged_Stack_Data[Proj. Depth],Merged_Stack_Data[Value Depth]),0))),"")</f>
        <v>Russell Wilson</v>
      </c>
      <c r="E29" s="4" t="str">
        <f>IFERROR(IF(Stack2="NONE","",INDEX(Merged_Stack_Data[Name],MATCH(IF(S2Team="Team",StackBuilder[[#This Row],[Team]],StackBuilder[[#This Row],[Opp]])&amp;" "&amp;Stack2,IF(StackBy="Projection",Merged_Stack_Data[Proj. Depth],Merged_Stack_Data[Value Depth]),0))),"")</f>
        <v>Doug Baldwin</v>
      </c>
      <c r="F29" s="4" t="str">
        <f>IFERROR(IF(Stack3="NONE","",INDEX(Merged_Stack_Data[Name],MATCH(IF(S3Team="Team",StackBuilder[[#This Row],[Team]],StackBuilder[[#This Row],[Opp]])&amp;" "&amp;Stack3,IF(StackBy="Projection",Merged_Stack_Data[Proj. Depth],Merged_Stack_Data[Value Depth]),0))),"")</f>
        <v>Brandon Marshall</v>
      </c>
      <c r="G29" s="4" t="str">
        <f>IFERROR(IF(Stack4="NONE","",INDEX(Merged_Stack_Data[Name],MATCH(IF(S4Team="Team",StackBuilder[[#This Row],[Team]],StackBuilder[[#This Row],[Opp]])&amp;" "&amp;Stack4,IF(StackBy="Projection",Merged_Stack_Data[Proj. Depth],Merged_Stack_Data[Value Depth]),0))),"")</f>
        <v/>
      </c>
      <c r="H29" s="28">
        <f>IFERROR(INDEX(Merged_Stack_Data[[Projection]:[Projection]],MATCH(StackBuilder[[#This Row],[Stack Pos 1]],Merged_Stack_Data[[Name]:[Name]],0)),"")</f>
        <v>18.118735833333336</v>
      </c>
      <c r="I29" s="28">
        <f>IFERROR(INDEX(Merged_Stack_Data[[Projection]:[Projection]],MATCH(StackBuilder[[#This Row],[Stack Pos 2]],Merged_Stack_Data[[Name]:[Name]],0)),"")</f>
        <v>14.112133333333334</v>
      </c>
      <c r="J29" s="28">
        <f>IFERROR(INDEX(Merged_Stack_Data[[Projection]:[Projection]],MATCH(StackBuilder[[#This Row],[Stack Pos 3]],Merged_Stack_Data[[Name]:[Name]],0)),"")</f>
        <v>15.4823</v>
      </c>
      <c r="K29" s="28" t="str">
        <f>IFERROR(INDEX(Merged_Stack_Data[[Projection]:[Projection]],MATCH(StackBuilder[[#This Row],[Stack Pos 4]],Merged_Stack_Data[[Name]:[Name]],0)),"")</f>
        <v/>
      </c>
      <c r="L29" s="27">
        <f>IFERROR(INDEX(Merged_Stack_Data[[$/FP]:[$/FP]],MATCH(StackBuilder[[#This Row],[Stack Pos 1]],Merged_Stack_Data[[Name]:[Name]],0)),"")</f>
        <v>391.8596</v>
      </c>
      <c r="M29" s="27">
        <f>IFERROR(INDEX(Merged_Stack_Data[[$/FP]:[$/FP]],MATCH(StackBuilder[[#This Row],[Stack Pos 2]],Merged_Stack_Data[[Name]:[Name]],0)),"")</f>
        <v>446.42439999999999</v>
      </c>
      <c r="N29" s="27">
        <f>IFERROR(INDEX(Merged_Stack_Data[[$/FP]:[$/FP]],MATCH(StackBuilder[[#This Row],[Stack Pos 3]],Merged_Stack_Data[[Name]:[Name]],0)),"")</f>
        <v>471.50619999999998</v>
      </c>
      <c r="O29" s="27" t="str">
        <f>IFERROR(INDEX(Merged_Stack_Data[[$/FP]:[$/FP]],MATCH(StackBuilder[[#This Row],[Stack Pos 4]],Merged_Stack_Data[[Name]:[Name]],0)),"")</f>
        <v/>
      </c>
      <c r="P29" s="27">
        <f>IFERROR(INDEX(Merged_Stack_Data[[Salary]:[Salary]],MATCH(StackBuilder[[#This Row],[Stack Pos 1]],Merged_Stack_Data[[Name]:[Name]],0)),"")</f>
        <v>7100</v>
      </c>
      <c r="Q29" s="27">
        <f>IFERROR(INDEX(Merged_Stack_Data[[Salary]:[Salary]],MATCH(StackBuilder[[#This Row],[Stack Pos 2]],Merged_Stack_Data[[Name]:[Name]],0)),"")</f>
        <v>6300</v>
      </c>
      <c r="R29" s="27">
        <f>IFERROR(INDEX(Merged_Stack_Data[[Salary]:[Salary]],MATCH(StackBuilder[[#This Row],[Stack Pos 3]],Merged_Stack_Data[[Name]:[Name]],0)),"")</f>
        <v>7300</v>
      </c>
      <c r="S29" s="27" t="str">
        <f>IFERROR(INDEX(Merged_Stack_Data[[Salary]:[Salary]],MATCH(StackBuilder[[#This Row],[Stack Pos 4]],Merged_Stack_Data[[Name]:[Name]],0)),"")</f>
        <v/>
      </c>
      <c r="T29" s="28">
        <f>IF(4-COUNTBLANK(StackBuilder[[#This Row],[Stack Pos 1]:[Stack Pos 4]])=PosSelected,ROUND(SUM(StackBuilder[[#This Row],[P1 Proj]:[P4 Proj]]),2))</f>
        <v>47.71</v>
      </c>
      <c r="U29" s="27">
        <f>IFERROR(_xlfn.RANK.EQ(StackBuilder[[#This Row],[Stack Projection]],StackBuilder[Stack Projection],0),"")</f>
        <v>13</v>
      </c>
      <c r="V29" s="295">
        <f>IF(4-COUNTBLANK(StackBuilder[[#This Row],[Stack Pos 1]:[Stack Pos 4]])=PosSelected,ROUND(AVERAGE(StackBuilder[[#This Row],[P1 Value]:[P4 Value]]),2))</f>
        <v>436.6</v>
      </c>
      <c r="W29" s="27">
        <f>IFERROR(_xlfn.RANK.EQ(StackBuilder[[#This Row],[Stack Value]],StackBuilder[Stack Value],1),"")</f>
        <v>26</v>
      </c>
      <c r="X29" s="282">
        <f>IF(4-COUNTBLANK(StackBuilder[[#This Row],[Stack Pos 1]:[Stack Pos 4]])=PosSelected,SUM(StackBuilder[[#This Row],[P1 Salary]:[P4 Salary]])/50000,"")</f>
        <v>0.41399999999999998</v>
      </c>
    </row>
    <row r="30" spans="2:24" x14ac:dyDescent="0.3">
      <c r="B30" s="4" t="s">
        <v>30</v>
      </c>
      <c r="C30" s="4" t="str">
        <f>IF(LEFT(INDEX(defenses[Opp],MATCH(StackBuilder[[#This Row],[Team]],defenses[Team],0)),1)="@",MID(INDEX(defenses[Opp],MATCH(StackBuilder[[#This Row],[Team]],defenses[Team],0)),2,4),INDEX(defenses[Opp],MATCH(StackBuilder[[#This Row],[Team]],defenses[Team],0)))</f>
        <v>HOU</v>
      </c>
      <c r="D30" s="4" t="str">
        <f>IFERROR(IF(Stack1="NONE","",INDEX(Merged_Stack_Data[Name],MATCH(IF(S1Team="Team",StackBuilder[[#This Row],[Team]],StackBuilder[[#This Row],[Opp]])&amp;" "&amp;Stack1,IF(StackBy="Projection",Merged_Stack_Data[Proj. Depth],Merged_Stack_Data[Value Depth]),0))),"")</f>
        <v>Marcus Mariota</v>
      </c>
      <c r="E30" s="4" t="str">
        <f>IFERROR(IF(Stack2="NONE","",INDEX(Merged_Stack_Data[Name],MATCH(IF(S2Team="Team",StackBuilder[[#This Row],[Team]],StackBuilder[[#This Row],[Opp]])&amp;" "&amp;Stack2,IF(StackBy="Projection",Merged_Stack_Data[Proj. Depth],Merged_Stack_Data[Value Depth]),0))),"")</f>
        <v>Tajae Sharpe</v>
      </c>
      <c r="F30" s="4" t="str">
        <f>IFERROR(IF(Stack3="NONE","",INDEX(Merged_Stack_Data[Name],MATCH(IF(S3Team="Team",StackBuilder[[#This Row],[Team]],StackBuilder[[#This Row],[Opp]])&amp;" "&amp;Stack3,IF(StackBy="Projection",Merged_Stack_Data[Proj. Depth],Merged_Stack_Data[Value Depth]),0))),"")</f>
        <v>DeAndre Hopkins</v>
      </c>
      <c r="G30" s="4" t="str">
        <f>IFERROR(IF(Stack4="NONE","",INDEX(Merged_Stack_Data[Name],MATCH(IF(S4Team="Team",StackBuilder[[#This Row],[Team]],StackBuilder[[#This Row],[Opp]])&amp;" "&amp;Stack4,IF(StackBy="Projection",Merged_Stack_Data[Proj. Depth],Merged_Stack_Data[Value Depth]),0))),"")</f>
        <v/>
      </c>
      <c r="H30" s="28">
        <f>IFERROR(INDEX(Merged_Stack_Data[[Projection]:[Projection]],MATCH(StackBuilder[[#This Row],[Stack Pos 1]],Merged_Stack_Data[[Name]:[Name]],0)),"")</f>
        <v>17.748027499999999</v>
      </c>
      <c r="I30" s="28">
        <f>IFERROR(INDEX(Merged_Stack_Data[[Projection]:[Projection]],MATCH(StackBuilder[[#This Row],[Stack Pos 2]],Merged_Stack_Data[[Name]:[Name]],0)),"")</f>
        <v>11.879466666666666</v>
      </c>
      <c r="J30" s="28">
        <f>IFERROR(INDEX(Merged_Stack_Data[[Projection]:[Projection]],MATCH(StackBuilder[[#This Row],[Stack Pos 3]],Merged_Stack_Data[[Name]:[Name]],0)),"")</f>
        <v>17.995866666666668</v>
      </c>
      <c r="K30" s="28" t="str">
        <f>IFERROR(INDEX(Merged_Stack_Data[[Projection]:[Projection]],MATCH(StackBuilder[[#This Row],[Stack Pos 4]],Merged_Stack_Data[[Name]:[Name]],0)),"")</f>
        <v/>
      </c>
      <c r="L30" s="27">
        <f>IFERROR(INDEX(Merged_Stack_Data[[$/FP]:[$/FP]],MATCH(StackBuilder[[#This Row],[Stack Pos 1]],Merged_Stack_Data[[Name]:[Name]],0)),"")</f>
        <v>332.43130000000002</v>
      </c>
      <c r="M30" s="27">
        <f>IFERROR(INDEX(Merged_Stack_Data[[$/FP]:[$/FP]],MATCH(StackBuilder[[#This Row],[Stack Pos 2]],Merged_Stack_Data[[Name]:[Name]],0)),"")</f>
        <v>395.64069999999998</v>
      </c>
      <c r="N30" s="27">
        <f>IFERROR(INDEX(Merged_Stack_Data[[$/FP]:[$/FP]],MATCH(StackBuilder[[#This Row],[Stack Pos 3]],Merged_Stack_Data[[Name]:[Name]],0)),"")</f>
        <v>477.88749999999999</v>
      </c>
      <c r="O30" s="27" t="str">
        <f>IFERROR(INDEX(Merged_Stack_Data[[$/FP]:[$/FP]],MATCH(StackBuilder[[#This Row],[Stack Pos 4]],Merged_Stack_Data[[Name]:[Name]],0)),"")</f>
        <v/>
      </c>
      <c r="P30" s="27">
        <f>IFERROR(INDEX(Merged_Stack_Data[[Salary]:[Salary]],MATCH(StackBuilder[[#This Row],[Stack Pos 1]],Merged_Stack_Data[[Name]:[Name]],0)),"")</f>
        <v>5900</v>
      </c>
      <c r="Q30" s="27">
        <f>IFERROR(INDEX(Merged_Stack_Data[[Salary]:[Salary]],MATCH(StackBuilder[[#This Row],[Stack Pos 2]],Merged_Stack_Data[[Name]:[Name]],0)),"")</f>
        <v>4700</v>
      </c>
      <c r="R30" s="27">
        <f>IFERROR(INDEX(Merged_Stack_Data[[Salary]:[Salary]],MATCH(StackBuilder[[#This Row],[Stack Pos 3]],Merged_Stack_Data[[Name]:[Name]],0)),"")</f>
        <v>8600</v>
      </c>
      <c r="S30" s="27" t="str">
        <f>IFERROR(INDEX(Merged_Stack_Data[[Salary]:[Salary]],MATCH(StackBuilder[[#This Row],[Stack Pos 4]],Merged_Stack_Data[[Name]:[Name]],0)),"")</f>
        <v/>
      </c>
      <c r="T30" s="28">
        <f>IF(4-COUNTBLANK(StackBuilder[[#This Row],[Stack Pos 1]:[Stack Pos 4]])=PosSelected,ROUND(SUM(StackBuilder[[#This Row],[P1 Proj]:[P4 Proj]]),2))</f>
        <v>47.62</v>
      </c>
      <c r="U30" s="27">
        <f>IFERROR(_xlfn.RANK.EQ(StackBuilder[[#This Row],[Stack Projection]],StackBuilder[Stack Projection],0),"")</f>
        <v>14</v>
      </c>
      <c r="V30" s="295">
        <f>IF(4-COUNTBLANK(StackBuilder[[#This Row],[Stack Pos 1]:[Stack Pos 4]])=PosSelected,ROUND(AVERAGE(StackBuilder[[#This Row],[P1 Value]:[P4 Value]]),2))</f>
        <v>401.99</v>
      </c>
      <c r="W30" s="27">
        <f>IFERROR(_xlfn.RANK.EQ(StackBuilder[[#This Row],[Stack Value]],StackBuilder[Stack Value],1),"")</f>
        <v>9</v>
      </c>
      <c r="X30" s="282">
        <f>IF(4-COUNTBLANK(StackBuilder[[#This Row],[Stack Pos 1]:[Stack Pos 4]])=PosSelected,SUM(StackBuilder[[#This Row],[P1 Salary]:[P4 Salary]])/50000,"")</f>
        <v>0.38400000000000001</v>
      </c>
    </row>
    <row r="31" spans="2:24" x14ac:dyDescent="0.3">
      <c r="B31" s="4" t="s">
        <v>401</v>
      </c>
      <c r="C31" s="4" t="str">
        <f>IF(LEFT(INDEX(defenses[Opp],MATCH(StackBuilder[[#This Row],[Team]],defenses[Team],0)),1)="@",MID(INDEX(defenses[Opp],MATCH(StackBuilder[[#This Row],[Team]],defenses[Team],0)),2,4),INDEX(defenses[Opp],MATCH(StackBuilder[[#This Row],[Team]],defenses[Team],0)))</f>
        <v>DEN</v>
      </c>
      <c r="D31" s="4" t="str">
        <f>IFERROR(IF(Stack1="NONE","",INDEX(Merged_Stack_Data[Name],MATCH(IF(S1Team="Team",StackBuilder[[#This Row],[Team]],StackBuilder[[#This Row],[Opp]])&amp;" "&amp;Stack1,IF(StackBy="Projection",Merged_Stack_Data[Proj. Depth],Merged_Stack_Data[Value Depth]),0))),"")</f>
        <v>Jameis Winston</v>
      </c>
      <c r="E31" s="4" t="str">
        <f>IFERROR(IF(Stack2="NONE","",INDEX(Merged_Stack_Data[Name],MATCH(IF(S2Team="Team",StackBuilder[[#This Row],[Team]],StackBuilder[[#This Row],[Opp]])&amp;" "&amp;Stack2,IF(StackBy="Projection",Merged_Stack_Data[Proj. Depth],Merged_Stack_Data[Value Depth]),0))),"")</f>
        <v>Mike Evans</v>
      </c>
      <c r="F31" s="4" t="str">
        <f>IFERROR(IF(Stack3="NONE","",INDEX(Merged_Stack_Data[Name],MATCH(IF(S3Team="Team",StackBuilder[[#This Row],[Team]],StackBuilder[[#This Row],[Opp]])&amp;" "&amp;Stack3,IF(StackBy="Projection",Merged_Stack_Data[Proj. Depth],Merged_Stack_Data[Value Depth]),0))),"")</f>
        <v>Demaryius Thomas</v>
      </c>
      <c r="G31" s="4" t="str">
        <f>IFERROR(IF(Stack4="NONE","",INDEX(Merged_Stack_Data[Name],MATCH(IF(S4Team="Team",StackBuilder[[#This Row],[Team]],StackBuilder[[#This Row],[Opp]])&amp;" "&amp;Stack4,IF(StackBy="Projection",Merged_Stack_Data[Proj. Depth],Merged_Stack_Data[Value Depth]),0))),"")</f>
        <v/>
      </c>
      <c r="H31" s="28">
        <f>IFERROR(INDEX(Merged_Stack_Data[[Projection]:[Projection]],MATCH(StackBuilder[[#This Row],[Stack Pos 1]],Merged_Stack_Data[[Name]:[Name]],0)),"")</f>
        <v>16.4912125</v>
      </c>
      <c r="I31" s="28">
        <f>IFERROR(INDEX(Merged_Stack_Data[[Projection]:[Projection]],MATCH(StackBuilder[[#This Row],[Stack Pos 2]],Merged_Stack_Data[[Name]:[Name]],0)),"")</f>
        <v>15.793333333333333</v>
      </c>
      <c r="J31" s="28">
        <f>IFERROR(INDEX(Merged_Stack_Data[[Projection]:[Projection]],MATCH(StackBuilder[[#This Row],[Stack Pos 3]],Merged_Stack_Data[[Name]:[Name]],0)),"")</f>
        <v>14.525966666666669</v>
      </c>
      <c r="K31" s="28" t="str">
        <f>IFERROR(INDEX(Merged_Stack_Data[[Projection]:[Projection]],MATCH(StackBuilder[[#This Row],[Stack Pos 4]],Merged_Stack_Data[[Name]:[Name]],0)),"")</f>
        <v/>
      </c>
      <c r="L31" s="27">
        <f>IFERROR(INDEX(Merged_Stack_Data[[$/FP]:[$/FP]],MATCH(StackBuilder[[#This Row],[Stack Pos 1]],Merged_Stack_Data[[Name]:[Name]],0)),"")</f>
        <v>363.83010000000002</v>
      </c>
      <c r="M31" s="27">
        <f>IFERROR(INDEX(Merged_Stack_Data[[$/FP]:[$/FP]],MATCH(StackBuilder[[#This Row],[Stack Pos 2]],Merged_Stack_Data[[Name]:[Name]],0)),"")</f>
        <v>443.22500000000002</v>
      </c>
      <c r="N31" s="27">
        <f>IFERROR(INDEX(Merged_Stack_Data[[$/FP]:[$/FP]],MATCH(StackBuilder[[#This Row],[Stack Pos 3]],Merged_Stack_Data[[Name]:[Name]],0)),"")</f>
        <v>440.59030000000001</v>
      </c>
      <c r="O31" s="27" t="str">
        <f>IFERROR(INDEX(Merged_Stack_Data[[$/FP]:[$/FP]],MATCH(StackBuilder[[#This Row],[Stack Pos 4]],Merged_Stack_Data[[Name]:[Name]],0)),"")</f>
        <v/>
      </c>
      <c r="P31" s="27">
        <f>IFERROR(INDEX(Merged_Stack_Data[[Salary]:[Salary]],MATCH(StackBuilder[[#This Row],[Stack Pos 1]],Merged_Stack_Data[[Name]:[Name]],0)),"")</f>
        <v>6000</v>
      </c>
      <c r="Q31" s="27">
        <f>IFERROR(INDEX(Merged_Stack_Data[[Salary]:[Salary]],MATCH(StackBuilder[[#This Row],[Stack Pos 2]],Merged_Stack_Data[[Name]:[Name]],0)),"")</f>
        <v>7000</v>
      </c>
      <c r="R31" s="27">
        <f>IFERROR(INDEX(Merged_Stack_Data[[Salary]:[Salary]],MATCH(StackBuilder[[#This Row],[Stack Pos 3]],Merged_Stack_Data[[Name]:[Name]],0)),"")</f>
        <v>6400</v>
      </c>
      <c r="S31" s="27" t="str">
        <f>IFERROR(INDEX(Merged_Stack_Data[[Salary]:[Salary]],MATCH(StackBuilder[[#This Row],[Stack Pos 4]],Merged_Stack_Data[[Name]:[Name]],0)),"")</f>
        <v/>
      </c>
      <c r="T31" s="28">
        <f>IF(4-COUNTBLANK(StackBuilder[[#This Row],[Stack Pos 1]:[Stack Pos 4]])=PosSelected,ROUND(SUM(StackBuilder[[#This Row],[P1 Proj]:[P4 Proj]]),2))</f>
        <v>46.81</v>
      </c>
      <c r="U31" s="27">
        <f>IFERROR(_xlfn.RANK.EQ(StackBuilder[[#This Row],[Stack Projection]],StackBuilder[Stack Projection],0),"")</f>
        <v>15</v>
      </c>
      <c r="V31" s="295">
        <f>IF(4-COUNTBLANK(StackBuilder[[#This Row],[Stack Pos 1]:[Stack Pos 4]])=PosSelected,ROUND(AVERAGE(StackBuilder[[#This Row],[P1 Value]:[P4 Value]]),2))</f>
        <v>415.88</v>
      </c>
      <c r="W31" s="27">
        <f>IFERROR(_xlfn.RANK.EQ(StackBuilder[[#This Row],[Stack Value]],StackBuilder[Stack Value],1),"")</f>
        <v>16</v>
      </c>
      <c r="X31" s="282">
        <f>IF(4-COUNTBLANK(StackBuilder[[#This Row],[Stack Pos 1]:[Stack Pos 4]])=PosSelected,SUM(StackBuilder[[#This Row],[P1 Salary]:[P4 Salary]])/50000,"")</f>
        <v>0.38800000000000001</v>
      </c>
    </row>
    <row r="32" spans="2:24" x14ac:dyDescent="0.3">
      <c r="B32" s="4" t="s">
        <v>41</v>
      </c>
      <c r="C32" s="4" t="str">
        <f>IF(LEFT(INDEX(defenses[Opp],MATCH(StackBuilder[[#This Row],[Team]],defenses[Team],0)),1)="@",MID(INDEX(defenses[Opp],MATCH(StackBuilder[[#This Row],[Team]],defenses[Team],0)),2,4),INDEX(defenses[Opp],MATCH(StackBuilder[[#This Row],[Team]],defenses[Team],0)))</f>
        <v>NYG</v>
      </c>
      <c r="D32" s="4" t="str">
        <f>IFERROR(IF(Stack1="NONE","",INDEX(Merged_Stack_Data[Name],MATCH(IF(S1Team="Team",StackBuilder[[#This Row],[Team]],StackBuilder[[#This Row],[Opp]])&amp;" "&amp;Stack1,IF(StackBy="Projection",Merged_Stack_Data[Proj. Depth],Merged_Stack_Data[Value Depth]),0))),"")</f>
        <v>Sam Bradford</v>
      </c>
      <c r="E32" s="4" t="str">
        <f>IFERROR(IF(Stack2="NONE","",INDEX(Merged_Stack_Data[Name],MATCH(IF(S2Team="Team",StackBuilder[[#This Row],[Team]],StackBuilder[[#This Row],[Opp]])&amp;" "&amp;Stack2,IF(StackBy="Projection",Merged_Stack_Data[Proj. Depth],Merged_Stack_Data[Value Depth]),0))),"")</f>
        <v>Stefon Diggs</v>
      </c>
      <c r="F32" s="4" t="str">
        <f>IFERROR(IF(Stack3="NONE","",INDEX(Merged_Stack_Data[Name],MATCH(IF(S3Team="Team",StackBuilder[[#This Row],[Team]],StackBuilder[[#This Row],[Opp]])&amp;" "&amp;Stack3,IF(StackBy="Projection",Merged_Stack_Data[Proj. Depth],Merged_Stack_Data[Value Depth]),0))),"")</f>
        <v>Odell Beckham Jr.</v>
      </c>
      <c r="G32" s="4" t="str">
        <f>IFERROR(IF(Stack4="NONE","",INDEX(Merged_Stack_Data[Name],MATCH(IF(S4Team="Team",StackBuilder[[#This Row],[Team]],StackBuilder[[#This Row],[Opp]])&amp;" "&amp;Stack4,IF(StackBy="Projection",Merged_Stack_Data[Proj. Depth],Merged_Stack_Data[Value Depth]),0))),"")</f>
        <v/>
      </c>
      <c r="H32" s="28">
        <f>IFERROR(INDEX(Merged_Stack_Data[[Projection]:[Projection]],MATCH(StackBuilder[[#This Row],[Stack Pos 1]],Merged_Stack_Data[[Name]:[Name]],0)),"")</f>
        <v>13.241866666666667</v>
      </c>
      <c r="I32" s="28">
        <f>IFERROR(INDEX(Merged_Stack_Data[[Projection]:[Projection]],MATCH(StackBuilder[[#This Row],[Stack Pos 2]],Merged_Stack_Data[[Name]:[Name]],0)),"")</f>
        <v>12.899033333333334</v>
      </c>
      <c r="J32" s="28">
        <f>IFERROR(INDEX(Merged_Stack_Data[[Projection]:[Projection]],MATCH(StackBuilder[[#This Row],[Stack Pos 3]],Merged_Stack_Data[[Name]:[Name]],0)),"")</f>
        <v>20.622800000000002</v>
      </c>
      <c r="K32" s="28" t="str">
        <f>IFERROR(INDEX(Merged_Stack_Data[[Projection]:[Projection]],MATCH(StackBuilder[[#This Row],[Stack Pos 4]],Merged_Stack_Data[[Name]:[Name]],0)),"")</f>
        <v/>
      </c>
      <c r="L32" s="27">
        <f>IFERROR(INDEX(Merged_Stack_Data[[$/FP]:[$/FP]],MATCH(StackBuilder[[#This Row],[Stack Pos 1]],Merged_Stack_Data[[Name]:[Name]],0)),"")</f>
        <v>400.2457</v>
      </c>
      <c r="M32" s="27">
        <f>IFERROR(INDEX(Merged_Stack_Data[[$/FP]:[$/FP]],MATCH(StackBuilder[[#This Row],[Stack Pos 2]],Merged_Stack_Data[[Name]:[Name]],0)),"")</f>
        <v>395.37849999999997</v>
      </c>
      <c r="N32" s="27">
        <f>IFERROR(INDEX(Merged_Stack_Data[[$/FP]:[$/FP]],MATCH(StackBuilder[[#This Row],[Stack Pos 3]],Merged_Stack_Data[[Name]:[Name]],0)),"")</f>
        <v>441.25920000000002</v>
      </c>
      <c r="O32" s="27" t="str">
        <f>IFERROR(INDEX(Merged_Stack_Data[[$/FP]:[$/FP]],MATCH(StackBuilder[[#This Row],[Stack Pos 4]],Merged_Stack_Data[[Name]:[Name]],0)),"")</f>
        <v/>
      </c>
      <c r="P32" s="27">
        <f>IFERROR(INDEX(Merged_Stack_Data[[Salary]:[Salary]],MATCH(StackBuilder[[#This Row],[Stack Pos 1]],Merged_Stack_Data[[Name]:[Name]],0)),"")</f>
        <v>5300</v>
      </c>
      <c r="Q32" s="27">
        <f>IFERROR(INDEX(Merged_Stack_Data[[Salary]:[Salary]],MATCH(StackBuilder[[#This Row],[Stack Pos 2]],Merged_Stack_Data[[Name]:[Name]],0)),"")</f>
        <v>5100</v>
      </c>
      <c r="R32" s="27">
        <f>IFERROR(INDEX(Merged_Stack_Data[[Salary]:[Salary]],MATCH(StackBuilder[[#This Row],[Stack Pos 3]],Merged_Stack_Data[[Name]:[Name]],0)),"")</f>
        <v>9100</v>
      </c>
      <c r="S32" s="27" t="str">
        <f>IFERROR(INDEX(Merged_Stack_Data[[Salary]:[Salary]],MATCH(StackBuilder[[#This Row],[Stack Pos 4]],Merged_Stack_Data[[Name]:[Name]],0)),"")</f>
        <v/>
      </c>
      <c r="T32" s="28">
        <f>IF(4-COUNTBLANK(StackBuilder[[#This Row],[Stack Pos 1]:[Stack Pos 4]])=PosSelected,ROUND(SUM(StackBuilder[[#This Row],[P1 Proj]:[P4 Proj]]),2))</f>
        <v>46.76</v>
      </c>
      <c r="U32" s="27">
        <f>IFERROR(_xlfn.RANK.EQ(StackBuilder[[#This Row],[Stack Projection]],StackBuilder[Stack Projection],0),"")</f>
        <v>16</v>
      </c>
      <c r="V32" s="295">
        <f>IF(4-COUNTBLANK(StackBuilder[[#This Row],[Stack Pos 1]:[Stack Pos 4]])=PosSelected,ROUND(AVERAGE(StackBuilder[[#This Row],[P1 Value]:[P4 Value]]),2))</f>
        <v>412.29</v>
      </c>
      <c r="W32" s="27">
        <f>IFERROR(_xlfn.RANK.EQ(StackBuilder[[#This Row],[Stack Value]],StackBuilder[Stack Value],1),"")</f>
        <v>15</v>
      </c>
      <c r="X32" s="282">
        <f>IF(4-COUNTBLANK(StackBuilder[[#This Row],[Stack Pos 1]:[Stack Pos 4]])=PosSelected,SUM(StackBuilder[[#This Row],[P1 Salary]:[P4 Salary]])/50000,"")</f>
        <v>0.39</v>
      </c>
    </row>
    <row r="33" spans="2:24" x14ac:dyDescent="0.3">
      <c r="B33" s="4" t="s">
        <v>34</v>
      </c>
      <c r="C33" s="4" t="str">
        <f>IF(LEFT(INDEX(defenses[Opp],MATCH(StackBuilder[[#This Row],[Team]],defenses[Team],0)),1)="@",MID(INDEX(defenses[Opp],MATCH(StackBuilder[[#This Row],[Team]],defenses[Team],0)),2,4),INDEX(defenses[Opp],MATCH(StackBuilder[[#This Row],[Team]],defenses[Team],0)))</f>
        <v>SEA</v>
      </c>
      <c r="D33" s="4" t="str">
        <f>IFERROR(IF(Stack1="NONE","",INDEX(Merged_Stack_Data[Name],MATCH(IF(S1Team="Team",StackBuilder[[#This Row],[Team]],StackBuilder[[#This Row],[Opp]])&amp;" "&amp;Stack1,IF(StackBy="Projection",Merged_Stack_Data[Proj. Depth],Merged_Stack_Data[Value Depth]),0))),"")</f>
        <v>Ryan Fitzpatrick</v>
      </c>
      <c r="E33" s="4" t="str">
        <f>IFERROR(IF(Stack2="NONE","",INDEX(Merged_Stack_Data[Name],MATCH(IF(S2Team="Team",StackBuilder[[#This Row],[Team]],StackBuilder[[#This Row],[Opp]])&amp;" "&amp;Stack2,IF(StackBy="Projection",Merged_Stack_Data[Proj. Depth],Merged_Stack_Data[Value Depth]),0))),"")</f>
        <v>Brandon Marshall</v>
      </c>
      <c r="F33" s="4" t="str">
        <f>IFERROR(IF(Stack3="NONE","",INDEX(Merged_Stack_Data[Name],MATCH(IF(S3Team="Team",StackBuilder[[#This Row],[Team]],StackBuilder[[#This Row],[Opp]])&amp;" "&amp;Stack3,IF(StackBy="Projection",Merged_Stack_Data[Proj. Depth],Merged_Stack_Data[Value Depth]),0))),"")</f>
        <v>Doug Baldwin</v>
      </c>
      <c r="G33" s="4" t="str">
        <f>IFERROR(IF(Stack4="NONE","",INDEX(Merged_Stack_Data[Name],MATCH(IF(S4Team="Team",StackBuilder[[#This Row],[Team]],StackBuilder[[#This Row],[Opp]])&amp;" "&amp;Stack4,IF(StackBy="Projection",Merged_Stack_Data[Proj. Depth],Merged_Stack_Data[Value Depth]),0))),"")</f>
        <v/>
      </c>
      <c r="H33" s="28">
        <f>IFERROR(INDEX(Merged_Stack_Data[[Projection]:[Projection]],MATCH(StackBuilder[[#This Row],[Stack Pos 1]],Merged_Stack_Data[[Name]:[Name]],0)),"")</f>
        <v>16.976866666666666</v>
      </c>
      <c r="I33" s="28">
        <f>IFERROR(INDEX(Merged_Stack_Data[[Projection]:[Projection]],MATCH(StackBuilder[[#This Row],[Stack Pos 2]],Merged_Stack_Data[[Name]:[Name]],0)),"")</f>
        <v>15.4823</v>
      </c>
      <c r="J33" s="28">
        <f>IFERROR(INDEX(Merged_Stack_Data[[Projection]:[Projection]],MATCH(StackBuilder[[#This Row],[Stack Pos 3]],Merged_Stack_Data[[Name]:[Name]],0)),"")</f>
        <v>14.112133333333334</v>
      </c>
      <c r="K33" s="28" t="str">
        <f>IFERROR(INDEX(Merged_Stack_Data[[Projection]:[Projection]],MATCH(StackBuilder[[#This Row],[Stack Pos 4]],Merged_Stack_Data[[Name]:[Name]],0)),"")</f>
        <v/>
      </c>
      <c r="L33" s="27">
        <f>IFERROR(INDEX(Merged_Stack_Data[[$/FP]:[$/FP]],MATCH(StackBuilder[[#This Row],[Stack Pos 1]],Merged_Stack_Data[[Name]:[Name]],0)),"")</f>
        <v>347.5317</v>
      </c>
      <c r="M33" s="27">
        <f>IFERROR(INDEX(Merged_Stack_Data[[$/FP]:[$/FP]],MATCH(StackBuilder[[#This Row],[Stack Pos 2]],Merged_Stack_Data[[Name]:[Name]],0)),"")</f>
        <v>471.50619999999998</v>
      </c>
      <c r="N33" s="27">
        <f>IFERROR(INDEX(Merged_Stack_Data[[$/FP]:[$/FP]],MATCH(StackBuilder[[#This Row],[Stack Pos 3]],Merged_Stack_Data[[Name]:[Name]],0)),"")</f>
        <v>446.42439999999999</v>
      </c>
      <c r="O33" s="27" t="str">
        <f>IFERROR(INDEX(Merged_Stack_Data[[$/FP]:[$/FP]],MATCH(StackBuilder[[#This Row],[Stack Pos 4]],Merged_Stack_Data[[Name]:[Name]],0)),"")</f>
        <v/>
      </c>
      <c r="P33" s="27">
        <f>IFERROR(INDEX(Merged_Stack_Data[[Salary]:[Salary]],MATCH(StackBuilder[[#This Row],[Stack Pos 1]],Merged_Stack_Data[[Name]:[Name]],0)),"")</f>
        <v>5900</v>
      </c>
      <c r="Q33" s="27">
        <f>IFERROR(INDEX(Merged_Stack_Data[[Salary]:[Salary]],MATCH(StackBuilder[[#This Row],[Stack Pos 2]],Merged_Stack_Data[[Name]:[Name]],0)),"")</f>
        <v>7300</v>
      </c>
      <c r="R33" s="27">
        <f>IFERROR(INDEX(Merged_Stack_Data[[Salary]:[Salary]],MATCH(StackBuilder[[#This Row],[Stack Pos 3]],Merged_Stack_Data[[Name]:[Name]],0)),"")</f>
        <v>6300</v>
      </c>
      <c r="S33" s="27" t="str">
        <f>IFERROR(INDEX(Merged_Stack_Data[[Salary]:[Salary]],MATCH(StackBuilder[[#This Row],[Stack Pos 4]],Merged_Stack_Data[[Name]:[Name]],0)),"")</f>
        <v/>
      </c>
      <c r="T33" s="28">
        <f>IF(4-COUNTBLANK(StackBuilder[[#This Row],[Stack Pos 1]:[Stack Pos 4]])=PosSelected,ROUND(SUM(StackBuilder[[#This Row],[P1 Proj]:[P4 Proj]]),2))</f>
        <v>46.57</v>
      </c>
      <c r="U33" s="27">
        <f>IFERROR(_xlfn.RANK.EQ(StackBuilder[[#This Row],[Stack Projection]],StackBuilder[Stack Projection],0),"")</f>
        <v>17</v>
      </c>
      <c r="V33" s="295">
        <f>IF(4-COUNTBLANK(StackBuilder[[#This Row],[Stack Pos 1]:[Stack Pos 4]])=PosSelected,ROUND(AVERAGE(StackBuilder[[#This Row],[P1 Value]:[P4 Value]]),2))</f>
        <v>421.82</v>
      </c>
      <c r="W33" s="27">
        <f>IFERROR(_xlfn.RANK.EQ(StackBuilder[[#This Row],[Stack Value]],StackBuilder[Stack Value],1),"")</f>
        <v>19</v>
      </c>
      <c r="X33" s="282">
        <f>IF(4-COUNTBLANK(StackBuilder[[#This Row],[Stack Pos 1]:[Stack Pos 4]])=PosSelected,SUM(StackBuilder[[#This Row],[P1 Salary]:[P4 Salary]])/50000,"")</f>
        <v>0.39</v>
      </c>
    </row>
    <row r="34" spans="2:24" x14ac:dyDescent="0.3">
      <c r="B34" s="4" t="s">
        <v>24</v>
      </c>
      <c r="C34" s="4" t="str">
        <f>IF(LEFT(INDEX(defenses[Opp],MATCH(StackBuilder[[#This Row],[Team]],defenses[Team],0)),1)="@",MID(INDEX(defenses[Opp],MATCH(StackBuilder[[#This Row],[Team]],defenses[Team],0)),2,4),INDEX(defenses[Opp],MATCH(StackBuilder[[#This Row],[Team]],defenses[Team],0)))</f>
        <v>LA</v>
      </c>
      <c r="D34" s="4" t="str">
        <f>IFERROR(IF(Stack1="NONE","",INDEX(Merged_Stack_Data[Name],MATCH(IF(S1Team="Team",StackBuilder[[#This Row],[Team]],StackBuilder[[#This Row],[Opp]])&amp;" "&amp;Stack1,IF(StackBy="Projection",Merged_Stack_Data[Proj. Depth],Merged_Stack_Data[Value Depth]),0))),"")</f>
        <v>Carson Palmer</v>
      </c>
      <c r="E34" s="4" t="str">
        <f>IFERROR(IF(Stack2="NONE","",INDEX(Merged_Stack_Data[Name],MATCH(IF(S2Team="Team",StackBuilder[[#This Row],[Team]],StackBuilder[[#This Row],[Opp]])&amp;" "&amp;Stack2,IF(StackBy="Projection",Merged_Stack_Data[Proj. Depth],Merged_Stack_Data[Value Depth]),0))),"")</f>
        <v>Larry Fitzgerald</v>
      </c>
      <c r="F34" s="4" t="str">
        <f>IFERROR(IF(Stack3="NONE","",INDEX(Merged_Stack_Data[Name],MATCH(IF(S3Team="Team",StackBuilder[[#This Row],[Team]],StackBuilder[[#This Row],[Opp]])&amp;" "&amp;Stack3,IF(StackBy="Projection",Merged_Stack_Data[Proj. Depth],Merged_Stack_Data[Value Depth]),0))),"")</f>
        <v>Tavon Austin</v>
      </c>
      <c r="G34" s="4" t="str">
        <f>IFERROR(IF(Stack4="NONE","",INDEX(Merged_Stack_Data[Name],MATCH(IF(S4Team="Team",StackBuilder[[#This Row],[Team]],StackBuilder[[#This Row],[Opp]])&amp;" "&amp;Stack4,IF(StackBy="Projection",Merged_Stack_Data[Proj. Depth],Merged_Stack_Data[Value Depth]),0))),"")</f>
        <v/>
      </c>
      <c r="H34" s="28">
        <f>IFERROR(INDEX(Merged_Stack_Data[[Projection]:[Projection]],MATCH(StackBuilder[[#This Row],[Stack Pos 1]],Merged_Stack_Data[[Name]:[Name]],0)),"")</f>
        <v>20.047866666666671</v>
      </c>
      <c r="I34" s="28">
        <f>IFERROR(INDEX(Merged_Stack_Data[[Projection]:[Projection]],MATCH(StackBuilder[[#This Row],[Stack Pos 2]],Merged_Stack_Data[[Name]:[Name]],0)),"")</f>
        <v>16.942599999999999</v>
      </c>
      <c r="J34" s="28">
        <f>IFERROR(INDEX(Merged_Stack_Data[[Projection]:[Projection]],MATCH(StackBuilder[[#This Row],[Stack Pos 3]],Merged_Stack_Data[[Name]:[Name]],0)),"")</f>
        <v>8.4914666666666676</v>
      </c>
      <c r="K34" s="28" t="str">
        <f>IFERROR(INDEX(Merged_Stack_Data[[Projection]:[Projection]],MATCH(StackBuilder[[#This Row],[Stack Pos 4]],Merged_Stack_Data[[Name]:[Name]],0)),"")</f>
        <v/>
      </c>
      <c r="L34" s="27">
        <f>IFERROR(INDEX(Merged_Stack_Data[[$/FP]:[$/FP]],MATCH(StackBuilder[[#This Row],[Stack Pos 1]],Merged_Stack_Data[[Name]:[Name]],0)),"")</f>
        <v>359.14049999999997</v>
      </c>
      <c r="M34" s="27">
        <f>IFERROR(INDEX(Merged_Stack_Data[[$/FP]:[$/FP]],MATCH(StackBuilder[[#This Row],[Stack Pos 2]],Merged_Stack_Data[[Name]:[Name]],0)),"")</f>
        <v>407.25740000000002</v>
      </c>
      <c r="N34" s="27">
        <f>IFERROR(INDEX(Merged_Stack_Data[[$/FP]:[$/FP]],MATCH(StackBuilder[[#This Row],[Stack Pos 3]],Merged_Stack_Data[[Name]:[Name]],0)),"")</f>
        <v>482.83769999999998</v>
      </c>
      <c r="O34" s="27" t="str">
        <f>IFERROR(INDEX(Merged_Stack_Data[[$/FP]:[$/FP]],MATCH(StackBuilder[[#This Row],[Stack Pos 4]],Merged_Stack_Data[[Name]:[Name]],0)),"")</f>
        <v/>
      </c>
      <c r="P34" s="27">
        <f>IFERROR(INDEX(Merged_Stack_Data[[Salary]:[Salary]],MATCH(StackBuilder[[#This Row],[Stack Pos 1]],Merged_Stack_Data[[Name]:[Name]],0)),"")</f>
        <v>7200</v>
      </c>
      <c r="Q34" s="27">
        <f>IFERROR(INDEX(Merged_Stack_Data[[Salary]:[Salary]],MATCH(StackBuilder[[#This Row],[Stack Pos 2]],Merged_Stack_Data[[Name]:[Name]],0)),"")</f>
        <v>6900</v>
      </c>
      <c r="R34" s="27">
        <f>IFERROR(INDEX(Merged_Stack_Data[[Salary]:[Salary]],MATCH(StackBuilder[[#This Row],[Stack Pos 3]],Merged_Stack_Data[[Name]:[Name]],0)),"")</f>
        <v>4100</v>
      </c>
      <c r="S34" s="27" t="str">
        <f>IFERROR(INDEX(Merged_Stack_Data[[Salary]:[Salary]],MATCH(StackBuilder[[#This Row],[Stack Pos 4]],Merged_Stack_Data[[Name]:[Name]],0)),"")</f>
        <v/>
      </c>
      <c r="T34" s="28">
        <f>IF(4-COUNTBLANK(StackBuilder[[#This Row],[Stack Pos 1]:[Stack Pos 4]])=PosSelected,ROUND(SUM(StackBuilder[[#This Row],[P1 Proj]:[P4 Proj]]),2))</f>
        <v>45.48</v>
      </c>
      <c r="U34" s="27">
        <f>IFERROR(_xlfn.RANK.EQ(StackBuilder[[#This Row],[Stack Projection]],StackBuilder[Stack Projection],0),"")</f>
        <v>18</v>
      </c>
      <c r="V34" s="295">
        <f>IF(4-COUNTBLANK(StackBuilder[[#This Row],[Stack Pos 1]:[Stack Pos 4]])=PosSelected,ROUND(AVERAGE(StackBuilder[[#This Row],[P1 Value]:[P4 Value]]),2))</f>
        <v>416.41</v>
      </c>
      <c r="W34" s="27">
        <f>IFERROR(_xlfn.RANK.EQ(StackBuilder[[#This Row],[Stack Value]],StackBuilder[Stack Value],1),"")</f>
        <v>17</v>
      </c>
      <c r="X34" s="282">
        <f>IF(4-COUNTBLANK(StackBuilder[[#This Row],[Stack Pos 1]:[Stack Pos 4]])=PosSelected,SUM(StackBuilder[[#This Row],[P1 Salary]:[P4 Salary]])/50000,"")</f>
        <v>0.36399999999999999</v>
      </c>
    </row>
    <row r="35" spans="2:24" x14ac:dyDescent="0.3">
      <c r="B35" s="4" t="s">
        <v>4</v>
      </c>
      <c r="C35" s="4" t="str">
        <f>IF(LEFT(INDEX(defenses[Opp],MATCH(StackBuilder[[#This Row],[Team]],defenses[Team],0)),1)="@",MID(INDEX(defenses[Opp],MATCH(StackBuilder[[#This Row],[Team]],defenses[Team],0)),2,4),INDEX(defenses[Opp],MATCH(StackBuilder[[#This Row],[Team]],defenses[Team],0)))</f>
        <v>BAL</v>
      </c>
      <c r="D35" s="4" t="str">
        <f>IFERROR(IF(Stack1="NONE","",INDEX(Merged_Stack_Data[Name],MATCH(IF(S1Team="Team",StackBuilder[[#This Row],[Team]],StackBuilder[[#This Row],[Opp]])&amp;" "&amp;Stack1,IF(StackBy="Projection",Merged_Stack_Data[Proj. Depth],Merged_Stack_Data[Value Depth]),0))),"")</f>
        <v>Derek Carr</v>
      </c>
      <c r="E35" s="4" t="str">
        <f>IFERROR(IF(Stack2="NONE","",INDEX(Merged_Stack_Data[Name],MATCH(IF(S2Team="Team",StackBuilder[[#This Row],[Team]],StackBuilder[[#This Row],[Opp]])&amp;" "&amp;Stack2,IF(StackBy="Projection",Merged_Stack_Data[Proj. Depth],Merged_Stack_Data[Value Depth]),0))),"")</f>
        <v>Amari Cooper</v>
      </c>
      <c r="F35" s="4" t="str">
        <f>IFERROR(IF(Stack3="NONE","",INDEX(Merged_Stack_Data[Name],MATCH(IF(S3Team="Team",StackBuilder[[#This Row],[Team]],StackBuilder[[#This Row],[Opp]])&amp;" "&amp;Stack3,IF(StackBy="Projection",Merged_Stack_Data[Proj. Depth],Merged_Stack_Data[Value Depth]),0))),"")</f>
        <v>Steve Smith</v>
      </c>
      <c r="G35" s="4" t="str">
        <f>IFERROR(IF(Stack4="NONE","",INDEX(Merged_Stack_Data[Name],MATCH(IF(S4Team="Team",StackBuilder[[#This Row],[Team]],StackBuilder[[#This Row],[Opp]])&amp;" "&amp;Stack4,IF(StackBy="Projection",Merged_Stack_Data[Proj. Depth],Merged_Stack_Data[Value Depth]),0))),"")</f>
        <v/>
      </c>
      <c r="H35" s="28">
        <f>IFERROR(INDEX(Merged_Stack_Data[[Projection]:[Projection]],MATCH(StackBuilder[[#This Row],[Stack Pos 1]],Merged_Stack_Data[[Name]:[Name]],0)),"")</f>
        <v>18.235399999999998</v>
      </c>
      <c r="I35" s="28">
        <f>IFERROR(INDEX(Merged_Stack_Data[[Projection]:[Projection]],MATCH(StackBuilder[[#This Row],[Stack Pos 2]],Merged_Stack_Data[[Name]:[Name]],0)),"")</f>
        <v>15.615733333333335</v>
      </c>
      <c r="J35" s="28">
        <f>IFERROR(INDEX(Merged_Stack_Data[[Projection]:[Projection]],MATCH(StackBuilder[[#This Row],[Stack Pos 3]],Merged_Stack_Data[[Name]:[Name]],0)),"")</f>
        <v>11.5922</v>
      </c>
      <c r="K35" s="28" t="str">
        <f>IFERROR(INDEX(Merged_Stack_Data[[Projection]:[Projection]],MATCH(StackBuilder[[#This Row],[Stack Pos 4]],Merged_Stack_Data[[Name]:[Name]],0)),"")</f>
        <v/>
      </c>
      <c r="L35" s="27">
        <f>IFERROR(INDEX(Merged_Stack_Data[[$/FP]:[$/FP]],MATCH(StackBuilder[[#This Row],[Stack Pos 1]],Merged_Stack_Data[[Name]:[Name]],0)),"")</f>
        <v>378.38490000000002</v>
      </c>
      <c r="M35" s="27">
        <f>IFERROR(INDEX(Merged_Stack_Data[[$/FP]:[$/FP]],MATCH(StackBuilder[[#This Row],[Stack Pos 2]],Merged_Stack_Data[[Name]:[Name]],0)),"")</f>
        <v>493.0924</v>
      </c>
      <c r="N35" s="27">
        <f>IFERROR(INDEX(Merged_Stack_Data[[$/FP]:[$/FP]],MATCH(StackBuilder[[#This Row],[Stack Pos 3]],Merged_Stack_Data[[Name]:[Name]],0)),"")</f>
        <v>353.68610000000001</v>
      </c>
      <c r="O35" s="27" t="str">
        <f>IFERROR(INDEX(Merged_Stack_Data[[$/FP]:[$/FP]],MATCH(StackBuilder[[#This Row],[Stack Pos 4]],Merged_Stack_Data[[Name]:[Name]],0)),"")</f>
        <v/>
      </c>
      <c r="P35" s="27">
        <f>IFERROR(INDEX(Merged_Stack_Data[[Salary]:[Salary]],MATCH(StackBuilder[[#This Row],[Stack Pos 1]],Merged_Stack_Data[[Name]:[Name]],0)),"")</f>
        <v>6900</v>
      </c>
      <c r="Q35" s="27">
        <f>IFERROR(INDEX(Merged_Stack_Data[[Salary]:[Salary]],MATCH(StackBuilder[[#This Row],[Stack Pos 2]],Merged_Stack_Data[[Name]:[Name]],0)),"")</f>
        <v>7700</v>
      </c>
      <c r="R35" s="27">
        <f>IFERROR(INDEX(Merged_Stack_Data[[Salary]:[Salary]],MATCH(StackBuilder[[#This Row],[Stack Pos 3]],Merged_Stack_Data[[Name]:[Name]],0)),"")</f>
        <v>4100</v>
      </c>
      <c r="S35" s="27" t="str">
        <f>IFERROR(INDEX(Merged_Stack_Data[[Salary]:[Salary]],MATCH(StackBuilder[[#This Row],[Stack Pos 4]],Merged_Stack_Data[[Name]:[Name]],0)),"")</f>
        <v/>
      </c>
      <c r="T35" s="28">
        <f>IF(4-COUNTBLANK(StackBuilder[[#This Row],[Stack Pos 1]:[Stack Pos 4]])=PosSelected,ROUND(SUM(StackBuilder[[#This Row],[P1 Proj]:[P4 Proj]]),2))</f>
        <v>45.44</v>
      </c>
      <c r="U35" s="27">
        <f>IFERROR(_xlfn.RANK.EQ(StackBuilder[[#This Row],[Stack Projection]],StackBuilder[Stack Projection],0),"")</f>
        <v>19</v>
      </c>
      <c r="V35" s="295">
        <f>IF(4-COUNTBLANK(StackBuilder[[#This Row],[Stack Pos 1]:[Stack Pos 4]])=PosSelected,ROUND(AVERAGE(StackBuilder[[#This Row],[P1 Value]:[P4 Value]]),2))</f>
        <v>408.39</v>
      </c>
      <c r="W35" s="27">
        <f>IFERROR(_xlfn.RANK.EQ(StackBuilder[[#This Row],[Stack Value]],StackBuilder[Stack Value],1),"")</f>
        <v>13</v>
      </c>
      <c r="X35" s="282">
        <f>IF(4-COUNTBLANK(StackBuilder[[#This Row],[Stack Pos 1]:[Stack Pos 4]])=PosSelected,SUM(StackBuilder[[#This Row],[P1 Salary]:[P4 Salary]])/50000,"")</f>
        <v>0.374</v>
      </c>
    </row>
    <row r="36" spans="2:24" x14ac:dyDescent="0.3">
      <c r="B36" s="4" t="s">
        <v>43</v>
      </c>
      <c r="C36" s="4" t="str">
        <f>IF(LEFT(INDEX(defenses[Opp],MATCH(StackBuilder[[#This Row],[Team]],defenses[Team],0)),1)="@",MID(INDEX(defenses[Opp],MATCH(StackBuilder[[#This Row],[Team]],defenses[Team],0)),2,4),INDEX(defenses[Opp],MATCH(StackBuilder[[#This Row],[Team]],defenses[Team],0)))</f>
        <v>TEN</v>
      </c>
      <c r="D36" s="4" t="str">
        <f>IFERROR(IF(Stack1="NONE","",INDEX(Merged_Stack_Data[Name],MATCH(IF(S1Team="Team",StackBuilder[[#This Row],[Team]],StackBuilder[[#This Row],[Opp]])&amp;" "&amp;Stack1,IF(StackBy="Projection",Merged_Stack_Data[Proj. Depth],Merged_Stack_Data[Value Depth]),0))),"")</f>
        <v>Brock Osweiler</v>
      </c>
      <c r="E36" s="4" t="str">
        <f>IFERROR(IF(Stack2="NONE","",INDEX(Merged_Stack_Data[Name],MATCH(IF(S2Team="Team",StackBuilder[[#This Row],[Team]],StackBuilder[[#This Row],[Opp]])&amp;" "&amp;Stack2,IF(StackBy="Projection",Merged_Stack_Data[Proj. Depth],Merged_Stack_Data[Value Depth]),0))),"")</f>
        <v>DeAndre Hopkins</v>
      </c>
      <c r="F36" s="4" t="str">
        <f>IFERROR(IF(Stack3="NONE","",INDEX(Merged_Stack_Data[Name],MATCH(IF(S3Team="Team",StackBuilder[[#This Row],[Team]],StackBuilder[[#This Row],[Opp]])&amp;" "&amp;Stack3,IF(StackBy="Projection",Merged_Stack_Data[Proj. Depth],Merged_Stack_Data[Value Depth]),0))),"")</f>
        <v>Tajae Sharpe</v>
      </c>
      <c r="G36" s="4" t="str">
        <f>IFERROR(IF(Stack4="NONE","",INDEX(Merged_Stack_Data[Name],MATCH(IF(S4Team="Team",StackBuilder[[#This Row],[Team]],StackBuilder[[#This Row],[Opp]])&amp;" "&amp;Stack4,IF(StackBy="Projection",Merged_Stack_Data[Proj. Depth],Merged_Stack_Data[Value Depth]),0))),"")</f>
        <v/>
      </c>
      <c r="H36" s="28">
        <f>IFERROR(INDEX(Merged_Stack_Data[[Projection]:[Projection]],MATCH(StackBuilder[[#This Row],[Stack Pos 1]],Merged_Stack_Data[[Name]:[Name]],0)),"")</f>
        <v>15.012066666666664</v>
      </c>
      <c r="I36" s="28">
        <f>IFERROR(INDEX(Merged_Stack_Data[[Projection]:[Projection]],MATCH(StackBuilder[[#This Row],[Stack Pos 2]],Merged_Stack_Data[[Name]:[Name]],0)),"")</f>
        <v>17.995866666666668</v>
      </c>
      <c r="J36" s="28">
        <f>IFERROR(INDEX(Merged_Stack_Data[[Projection]:[Projection]],MATCH(StackBuilder[[#This Row],[Stack Pos 3]],Merged_Stack_Data[[Name]:[Name]],0)),"")</f>
        <v>11.879466666666666</v>
      </c>
      <c r="K36" s="28" t="str">
        <f>IFERROR(INDEX(Merged_Stack_Data[[Projection]:[Projection]],MATCH(StackBuilder[[#This Row],[Stack Pos 4]],Merged_Stack_Data[[Name]:[Name]],0)),"")</f>
        <v/>
      </c>
      <c r="L36" s="27">
        <f>IFERROR(INDEX(Merged_Stack_Data[[$/FP]:[$/FP]],MATCH(StackBuilder[[#This Row],[Stack Pos 1]],Merged_Stack_Data[[Name]:[Name]],0)),"")</f>
        <v>399.67849999999999</v>
      </c>
      <c r="M36" s="27">
        <f>IFERROR(INDEX(Merged_Stack_Data[[$/FP]:[$/FP]],MATCH(StackBuilder[[#This Row],[Stack Pos 2]],Merged_Stack_Data[[Name]:[Name]],0)),"")</f>
        <v>477.88749999999999</v>
      </c>
      <c r="N36" s="27">
        <f>IFERROR(INDEX(Merged_Stack_Data[[$/FP]:[$/FP]],MATCH(StackBuilder[[#This Row],[Stack Pos 3]],Merged_Stack_Data[[Name]:[Name]],0)),"")</f>
        <v>395.64069999999998</v>
      </c>
      <c r="O36" s="27" t="str">
        <f>IFERROR(INDEX(Merged_Stack_Data[[$/FP]:[$/FP]],MATCH(StackBuilder[[#This Row],[Stack Pos 4]],Merged_Stack_Data[[Name]:[Name]],0)),"")</f>
        <v/>
      </c>
      <c r="P36" s="27">
        <f>IFERROR(INDEX(Merged_Stack_Data[[Salary]:[Salary]],MATCH(StackBuilder[[#This Row],[Stack Pos 1]],Merged_Stack_Data[[Name]:[Name]],0)),"")</f>
        <v>6000</v>
      </c>
      <c r="Q36" s="27">
        <f>IFERROR(INDEX(Merged_Stack_Data[[Salary]:[Salary]],MATCH(StackBuilder[[#This Row],[Stack Pos 2]],Merged_Stack_Data[[Name]:[Name]],0)),"")</f>
        <v>8600</v>
      </c>
      <c r="R36" s="27">
        <f>IFERROR(INDEX(Merged_Stack_Data[[Salary]:[Salary]],MATCH(StackBuilder[[#This Row],[Stack Pos 3]],Merged_Stack_Data[[Name]:[Name]],0)),"")</f>
        <v>4700</v>
      </c>
      <c r="S36" s="27" t="str">
        <f>IFERROR(INDEX(Merged_Stack_Data[[Salary]:[Salary]],MATCH(StackBuilder[[#This Row],[Stack Pos 4]],Merged_Stack_Data[[Name]:[Name]],0)),"")</f>
        <v/>
      </c>
      <c r="T36" s="28">
        <f>IF(4-COUNTBLANK(StackBuilder[[#This Row],[Stack Pos 1]:[Stack Pos 4]])=PosSelected,ROUND(SUM(StackBuilder[[#This Row],[P1 Proj]:[P4 Proj]]),2))</f>
        <v>44.89</v>
      </c>
      <c r="U36" s="27">
        <f>IFERROR(_xlfn.RANK.EQ(StackBuilder[[#This Row],[Stack Projection]],StackBuilder[Stack Projection],0),"")</f>
        <v>20</v>
      </c>
      <c r="V36" s="295">
        <f>IF(4-COUNTBLANK(StackBuilder[[#This Row],[Stack Pos 1]:[Stack Pos 4]])=PosSelected,ROUND(AVERAGE(StackBuilder[[#This Row],[P1 Value]:[P4 Value]]),2))</f>
        <v>424.4</v>
      </c>
      <c r="W36" s="27">
        <f>IFERROR(_xlfn.RANK.EQ(StackBuilder[[#This Row],[Stack Value]],StackBuilder[Stack Value],1),"")</f>
        <v>21</v>
      </c>
      <c r="X36" s="282">
        <f>IF(4-COUNTBLANK(StackBuilder[[#This Row],[Stack Pos 1]:[Stack Pos 4]])=PosSelected,SUM(StackBuilder[[#This Row],[P1 Salary]:[P4 Salary]])/50000,"")</f>
        <v>0.38600000000000001</v>
      </c>
    </row>
    <row r="37" spans="2:24" x14ac:dyDescent="0.3">
      <c r="B37" s="4" t="s">
        <v>32</v>
      </c>
      <c r="C37" s="4" t="str">
        <f>IF(LEFT(INDEX(defenses[Opp],MATCH(StackBuilder[[#This Row],[Team]],defenses[Team],0)),1)="@",MID(INDEX(defenses[Opp],MATCH(StackBuilder[[#This Row],[Team]],defenses[Team],0)),2,4),INDEX(defenses[Opp],MATCH(StackBuilder[[#This Row],[Team]],defenses[Team],0)))</f>
        <v>OAK</v>
      </c>
      <c r="D37" s="4" t="str">
        <f>IFERROR(IF(Stack1="NONE","",INDEX(Merged_Stack_Data[Name],MATCH(IF(S1Team="Team",StackBuilder[[#This Row],[Team]],StackBuilder[[#This Row],[Opp]])&amp;" "&amp;Stack1,IF(StackBy="Projection",Merged_Stack_Data[Proj. Depth],Merged_Stack_Data[Value Depth]),0))),"")</f>
        <v>Joe Flacco</v>
      </c>
      <c r="E37" s="4" t="str">
        <f>IFERROR(IF(Stack2="NONE","",INDEX(Merged_Stack_Data[Name],MATCH(IF(S2Team="Team",StackBuilder[[#This Row],[Team]],StackBuilder[[#This Row],[Opp]])&amp;" "&amp;Stack2,IF(StackBy="Projection",Merged_Stack_Data[Proj. Depth],Merged_Stack_Data[Value Depth]),0))),"")</f>
        <v>Steve Smith</v>
      </c>
      <c r="F37" s="4" t="str">
        <f>IFERROR(IF(Stack3="NONE","",INDEX(Merged_Stack_Data[Name],MATCH(IF(S3Team="Team",StackBuilder[[#This Row],[Team]],StackBuilder[[#This Row],[Opp]])&amp;" "&amp;Stack3,IF(StackBy="Projection",Merged_Stack_Data[Proj. Depth],Merged_Stack_Data[Value Depth]),0))),"")</f>
        <v>Amari Cooper</v>
      </c>
      <c r="G37" s="4" t="str">
        <f>IFERROR(IF(Stack4="NONE","",INDEX(Merged_Stack_Data[Name],MATCH(IF(S4Team="Team",StackBuilder[[#This Row],[Team]],StackBuilder[[#This Row],[Opp]])&amp;" "&amp;Stack4,IF(StackBy="Projection",Merged_Stack_Data[Proj. Depth],Merged_Stack_Data[Value Depth]),0))),"")</f>
        <v/>
      </c>
      <c r="H37" s="28">
        <f>IFERROR(INDEX(Merged_Stack_Data[[Projection]:[Projection]],MATCH(StackBuilder[[#This Row],[Stack Pos 1]],Merged_Stack_Data[[Name]:[Name]],0)),"")</f>
        <v>17.574133333333339</v>
      </c>
      <c r="I37" s="28">
        <f>IFERROR(INDEX(Merged_Stack_Data[[Projection]:[Projection]],MATCH(StackBuilder[[#This Row],[Stack Pos 2]],Merged_Stack_Data[[Name]:[Name]],0)),"")</f>
        <v>11.5922</v>
      </c>
      <c r="J37" s="28">
        <f>IFERROR(INDEX(Merged_Stack_Data[[Projection]:[Projection]],MATCH(StackBuilder[[#This Row],[Stack Pos 3]],Merged_Stack_Data[[Name]:[Name]],0)),"")</f>
        <v>15.615733333333335</v>
      </c>
      <c r="K37" s="28" t="str">
        <f>IFERROR(INDEX(Merged_Stack_Data[[Projection]:[Projection]],MATCH(StackBuilder[[#This Row],[Stack Pos 4]],Merged_Stack_Data[[Name]:[Name]],0)),"")</f>
        <v/>
      </c>
      <c r="L37" s="27">
        <f>IFERROR(INDEX(Merged_Stack_Data[[$/FP]:[$/FP]],MATCH(StackBuilder[[#This Row],[Stack Pos 1]],Merged_Stack_Data[[Name]:[Name]],0)),"")</f>
        <v>347.101</v>
      </c>
      <c r="M37" s="27">
        <f>IFERROR(INDEX(Merged_Stack_Data[[$/FP]:[$/FP]],MATCH(StackBuilder[[#This Row],[Stack Pos 2]],Merged_Stack_Data[[Name]:[Name]],0)),"")</f>
        <v>353.68610000000001</v>
      </c>
      <c r="N37" s="27">
        <f>IFERROR(INDEX(Merged_Stack_Data[[$/FP]:[$/FP]],MATCH(StackBuilder[[#This Row],[Stack Pos 3]],Merged_Stack_Data[[Name]:[Name]],0)),"")</f>
        <v>493.0924</v>
      </c>
      <c r="O37" s="27" t="str">
        <f>IFERROR(INDEX(Merged_Stack_Data[[$/FP]:[$/FP]],MATCH(StackBuilder[[#This Row],[Stack Pos 4]],Merged_Stack_Data[[Name]:[Name]],0)),"")</f>
        <v/>
      </c>
      <c r="P37" s="27">
        <f>IFERROR(INDEX(Merged_Stack_Data[[Salary]:[Salary]],MATCH(StackBuilder[[#This Row],[Stack Pos 1]],Merged_Stack_Data[[Name]:[Name]],0)),"")</f>
        <v>6100</v>
      </c>
      <c r="Q37" s="27">
        <f>IFERROR(INDEX(Merged_Stack_Data[[Salary]:[Salary]],MATCH(StackBuilder[[#This Row],[Stack Pos 2]],Merged_Stack_Data[[Name]:[Name]],0)),"")</f>
        <v>4100</v>
      </c>
      <c r="R37" s="27">
        <f>IFERROR(INDEX(Merged_Stack_Data[[Salary]:[Salary]],MATCH(StackBuilder[[#This Row],[Stack Pos 3]],Merged_Stack_Data[[Name]:[Name]],0)),"")</f>
        <v>7700</v>
      </c>
      <c r="S37" s="27" t="str">
        <f>IFERROR(INDEX(Merged_Stack_Data[[Salary]:[Salary]],MATCH(StackBuilder[[#This Row],[Stack Pos 4]],Merged_Stack_Data[[Name]:[Name]],0)),"")</f>
        <v/>
      </c>
      <c r="T37" s="28">
        <f>IF(4-COUNTBLANK(StackBuilder[[#This Row],[Stack Pos 1]:[Stack Pos 4]])=PosSelected,ROUND(SUM(StackBuilder[[#This Row],[P1 Proj]:[P4 Proj]]),2))</f>
        <v>44.78</v>
      </c>
      <c r="U37" s="27">
        <f>IFERROR(_xlfn.RANK.EQ(StackBuilder[[#This Row],[Stack Projection]],StackBuilder[Stack Projection],0),"")</f>
        <v>21</v>
      </c>
      <c r="V37" s="295">
        <f>IF(4-COUNTBLANK(StackBuilder[[#This Row],[Stack Pos 1]:[Stack Pos 4]])=PosSelected,ROUND(AVERAGE(StackBuilder[[#This Row],[P1 Value]:[P4 Value]]),2))</f>
        <v>397.96</v>
      </c>
      <c r="W37" s="27">
        <f>IFERROR(_xlfn.RANK.EQ(StackBuilder[[#This Row],[Stack Value]],StackBuilder[Stack Value],1),"")</f>
        <v>8</v>
      </c>
      <c r="X37" s="282">
        <f>IF(4-COUNTBLANK(StackBuilder[[#This Row],[Stack Pos 1]:[Stack Pos 4]])=PosSelected,SUM(StackBuilder[[#This Row],[P1 Salary]:[P4 Salary]])/50000,"")</f>
        <v>0.35799999999999998</v>
      </c>
    </row>
    <row r="38" spans="2:24" x14ac:dyDescent="0.3">
      <c r="B38" s="4" t="s">
        <v>10</v>
      </c>
      <c r="C38" s="4" t="str">
        <f>IF(LEFT(INDEX(defenses[Opp],MATCH(StackBuilder[[#This Row],[Team]],defenses[Team],0)),1)="@",MID(INDEX(defenses[Opp],MATCH(StackBuilder[[#This Row],[Team]],defenses[Team],0)),2,4),INDEX(defenses[Opp],MATCH(StackBuilder[[#This Row],[Team]],defenses[Team],0)))</f>
        <v>NE</v>
      </c>
      <c r="D38" s="4" t="str">
        <f>IFERROR(IF(Stack1="NONE","",INDEX(Merged_Stack_Data[Name],MATCH(IF(S1Team="Team",StackBuilder[[#This Row],[Team]],StackBuilder[[#This Row],[Opp]])&amp;" "&amp;Stack1,IF(StackBy="Projection",Merged_Stack_Data[Proj. Depth],Merged_Stack_Data[Value Depth]),0))),"")</f>
        <v>Tyrod Taylor</v>
      </c>
      <c r="E38" s="4" t="str">
        <f>IFERROR(IF(Stack2="NONE","",INDEX(Merged_Stack_Data[Name],MATCH(IF(S2Team="Team",StackBuilder[[#This Row],[Team]],StackBuilder[[#This Row],[Opp]])&amp;" "&amp;Stack2,IF(StackBy="Projection",Merged_Stack_Data[Proj. Depth],Merged_Stack_Data[Value Depth]),0))),"")</f>
        <v>Sammy Watkins</v>
      </c>
      <c r="F38" s="4" t="str">
        <f>IFERROR(IF(Stack3="NONE","",INDEX(Merged_Stack_Data[Name],MATCH(IF(S3Team="Team",StackBuilder[[#This Row],[Team]],StackBuilder[[#This Row],[Opp]])&amp;" "&amp;Stack3,IF(StackBy="Projection",Merged_Stack_Data[Proj. Depth],Merged_Stack_Data[Value Depth]),0))),"")</f>
        <v>Julian Edelman</v>
      </c>
      <c r="G38" s="4" t="str">
        <f>IFERROR(IF(Stack4="NONE","",INDEX(Merged_Stack_Data[Name],MATCH(IF(S4Team="Team",StackBuilder[[#This Row],[Team]],StackBuilder[[#This Row],[Opp]])&amp;" "&amp;Stack4,IF(StackBy="Projection",Merged_Stack_Data[Proj. Depth],Merged_Stack_Data[Value Depth]),0))),"")</f>
        <v/>
      </c>
      <c r="H38" s="28">
        <f>IFERROR(INDEX(Merged_Stack_Data[[Projection]:[Projection]],MATCH(StackBuilder[[#This Row],[Stack Pos 1]],Merged_Stack_Data[[Name]:[Name]],0)),"")</f>
        <v>18.439083333333333</v>
      </c>
      <c r="I38" s="28">
        <f>IFERROR(INDEX(Merged_Stack_Data[[Projection]:[Projection]],MATCH(StackBuilder[[#This Row],[Stack Pos 2]],Merged_Stack_Data[[Name]:[Name]],0)),"")</f>
        <v>11.620033333333332</v>
      </c>
      <c r="J38" s="28">
        <f>IFERROR(INDEX(Merged_Stack_Data[[Projection]:[Projection]],MATCH(StackBuilder[[#This Row],[Stack Pos 3]],Merged_Stack_Data[[Name]:[Name]],0)),"")</f>
        <v>14.240000000000002</v>
      </c>
      <c r="K38" s="28" t="str">
        <f>IFERROR(INDEX(Merged_Stack_Data[[Projection]:[Projection]],MATCH(StackBuilder[[#This Row],[Stack Pos 4]],Merged_Stack_Data[[Name]:[Name]],0)),"")</f>
        <v/>
      </c>
      <c r="L38" s="27">
        <f>IFERROR(INDEX(Merged_Stack_Data[[$/FP]:[$/FP]],MATCH(StackBuilder[[#This Row],[Stack Pos 1]],Merged_Stack_Data[[Name]:[Name]],0)),"")</f>
        <v>314.54930000000002</v>
      </c>
      <c r="M38" s="27">
        <f>IFERROR(INDEX(Merged_Stack_Data[[$/FP]:[$/FP]],MATCH(StackBuilder[[#This Row],[Stack Pos 2]],Merged_Stack_Data[[Name]:[Name]],0)),"")</f>
        <v>524.95550000000003</v>
      </c>
      <c r="N38" s="27">
        <f>IFERROR(INDEX(Merged_Stack_Data[[$/FP]:[$/FP]],MATCH(StackBuilder[[#This Row],[Stack Pos 3]],Merged_Stack_Data[[Name]:[Name]],0)),"")</f>
        <v>449.43819999999999</v>
      </c>
      <c r="O38" s="27" t="str">
        <f>IFERROR(INDEX(Merged_Stack_Data[[$/FP]:[$/FP]],MATCH(StackBuilder[[#This Row],[Stack Pos 4]],Merged_Stack_Data[[Name]:[Name]],0)),"")</f>
        <v/>
      </c>
      <c r="P38" s="27">
        <f>IFERROR(INDEX(Merged_Stack_Data[[Salary]:[Salary]],MATCH(StackBuilder[[#This Row],[Stack Pos 1]],Merged_Stack_Data[[Name]:[Name]],0)),"")</f>
        <v>5800</v>
      </c>
      <c r="Q38" s="27">
        <f>IFERROR(INDEX(Merged_Stack_Data[[Salary]:[Salary]],MATCH(StackBuilder[[#This Row],[Stack Pos 2]],Merged_Stack_Data[[Name]:[Name]],0)),"")</f>
        <v>6100</v>
      </c>
      <c r="R38" s="27">
        <f>IFERROR(INDEX(Merged_Stack_Data[[Salary]:[Salary]],MATCH(StackBuilder[[#This Row],[Stack Pos 3]],Merged_Stack_Data[[Name]:[Name]],0)),"")</f>
        <v>6400</v>
      </c>
      <c r="S38" s="27" t="str">
        <f>IFERROR(INDEX(Merged_Stack_Data[[Salary]:[Salary]],MATCH(StackBuilder[[#This Row],[Stack Pos 4]],Merged_Stack_Data[[Name]:[Name]],0)),"")</f>
        <v/>
      </c>
      <c r="T38" s="28">
        <f>IF(4-COUNTBLANK(StackBuilder[[#This Row],[Stack Pos 1]:[Stack Pos 4]])=PosSelected,ROUND(SUM(StackBuilder[[#This Row],[P1 Proj]:[P4 Proj]]),2))</f>
        <v>44.3</v>
      </c>
      <c r="U38" s="27">
        <f>IFERROR(_xlfn.RANK.EQ(StackBuilder[[#This Row],[Stack Projection]],StackBuilder[Stack Projection],0),"")</f>
        <v>22</v>
      </c>
      <c r="V38" s="295">
        <f>IF(4-COUNTBLANK(StackBuilder[[#This Row],[Stack Pos 1]:[Stack Pos 4]])=PosSelected,ROUND(AVERAGE(StackBuilder[[#This Row],[P1 Value]:[P4 Value]]),2))</f>
        <v>429.65</v>
      </c>
      <c r="W38" s="27">
        <f>IFERROR(_xlfn.RANK.EQ(StackBuilder[[#This Row],[Stack Value]],StackBuilder[Stack Value],1),"")</f>
        <v>24</v>
      </c>
      <c r="X38" s="282">
        <f>IF(4-COUNTBLANK(StackBuilder[[#This Row],[Stack Pos 1]:[Stack Pos 4]])=PosSelected,SUM(StackBuilder[[#This Row],[P1 Salary]:[P4 Salary]])/50000,"")</f>
        <v>0.36599999999999999</v>
      </c>
    </row>
    <row r="39" spans="2:24" x14ac:dyDescent="0.3">
      <c r="B39" s="4" t="s">
        <v>70</v>
      </c>
      <c r="C39" s="4" t="str">
        <f>IF(LEFT(INDEX(defenses[Opp],MATCH(StackBuilder[[#This Row],[Team]],defenses[Team],0)),1)="@",MID(INDEX(defenses[Opp],MATCH(StackBuilder[[#This Row],[Team]],defenses[Team],0)),2,4),INDEX(defenses[Opp],MATCH(StackBuilder[[#This Row],[Team]],defenses[Team],0)))</f>
        <v>TB</v>
      </c>
      <c r="D39" s="4" t="str">
        <f>IFERROR(IF(Stack1="NONE","",INDEX(Merged_Stack_Data[Name],MATCH(IF(S1Team="Team",StackBuilder[[#This Row],[Team]],StackBuilder[[#This Row],[Opp]])&amp;" "&amp;Stack1,IF(StackBy="Projection",Merged_Stack_Data[Proj. Depth],Merged_Stack_Data[Value Depth]),0))),"")</f>
        <v>Trevor Siemian</v>
      </c>
      <c r="E39" s="4" t="str">
        <f>IFERROR(IF(Stack2="NONE","",INDEX(Merged_Stack_Data[Name],MATCH(IF(S2Team="Team",StackBuilder[[#This Row],[Team]],StackBuilder[[#This Row],[Opp]])&amp;" "&amp;Stack2,IF(StackBy="Projection",Merged_Stack_Data[Proj. Depth],Merged_Stack_Data[Value Depth]),0))),"")</f>
        <v>Demaryius Thomas</v>
      </c>
      <c r="F39" s="4" t="str">
        <f>IFERROR(IF(Stack3="NONE","",INDEX(Merged_Stack_Data[Name],MATCH(IF(S3Team="Team",StackBuilder[[#This Row],[Team]],StackBuilder[[#This Row],[Opp]])&amp;" "&amp;Stack3,IF(StackBy="Projection",Merged_Stack_Data[Proj. Depth],Merged_Stack_Data[Value Depth]),0))),"")</f>
        <v>Mike Evans</v>
      </c>
      <c r="G39" s="4" t="str">
        <f>IFERROR(IF(Stack4="NONE","",INDEX(Merged_Stack_Data[Name],MATCH(IF(S4Team="Team",StackBuilder[[#This Row],[Team]],StackBuilder[[#This Row],[Opp]])&amp;" "&amp;Stack4,IF(StackBy="Projection",Merged_Stack_Data[Proj. Depth],Merged_Stack_Data[Value Depth]),0))),"")</f>
        <v/>
      </c>
      <c r="H39" s="28">
        <f>IFERROR(INDEX(Merged_Stack_Data[[Projection]:[Projection]],MATCH(StackBuilder[[#This Row],[Stack Pos 1]],Merged_Stack_Data[[Name]:[Name]],0)),"")</f>
        <v>12.410246666666668</v>
      </c>
      <c r="I39" s="28">
        <f>IFERROR(INDEX(Merged_Stack_Data[[Projection]:[Projection]],MATCH(StackBuilder[[#This Row],[Stack Pos 2]],Merged_Stack_Data[[Name]:[Name]],0)),"")</f>
        <v>14.525966666666669</v>
      </c>
      <c r="J39" s="28">
        <f>IFERROR(INDEX(Merged_Stack_Data[[Projection]:[Projection]],MATCH(StackBuilder[[#This Row],[Stack Pos 3]],Merged_Stack_Data[[Name]:[Name]],0)),"")</f>
        <v>15.793333333333333</v>
      </c>
      <c r="K39" s="28" t="str">
        <f>IFERROR(INDEX(Merged_Stack_Data[[Projection]:[Projection]],MATCH(StackBuilder[[#This Row],[Stack Pos 4]],Merged_Stack_Data[[Name]:[Name]],0)),"")</f>
        <v/>
      </c>
      <c r="L39" s="27">
        <f>IFERROR(INDEX(Merged_Stack_Data[[$/FP]:[$/FP]],MATCH(StackBuilder[[#This Row],[Stack Pos 1]],Merged_Stack_Data[[Name]:[Name]],0)),"")</f>
        <v>410.95069999999998</v>
      </c>
      <c r="M39" s="27">
        <f>IFERROR(INDEX(Merged_Stack_Data[[$/FP]:[$/FP]],MATCH(StackBuilder[[#This Row],[Stack Pos 2]],Merged_Stack_Data[[Name]:[Name]],0)),"")</f>
        <v>440.59030000000001</v>
      </c>
      <c r="N39" s="27">
        <f>IFERROR(INDEX(Merged_Stack_Data[[$/FP]:[$/FP]],MATCH(StackBuilder[[#This Row],[Stack Pos 3]],Merged_Stack_Data[[Name]:[Name]],0)),"")</f>
        <v>443.22500000000002</v>
      </c>
      <c r="O39" s="27" t="str">
        <f>IFERROR(INDEX(Merged_Stack_Data[[$/FP]:[$/FP]],MATCH(StackBuilder[[#This Row],[Stack Pos 4]],Merged_Stack_Data[[Name]:[Name]],0)),"")</f>
        <v/>
      </c>
      <c r="P39" s="27">
        <f>IFERROR(INDEX(Merged_Stack_Data[[Salary]:[Salary]],MATCH(StackBuilder[[#This Row],[Stack Pos 1]],Merged_Stack_Data[[Name]:[Name]],0)),"")</f>
        <v>5100</v>
      </c>
      <c r="Q39" s="27">
        <f>IFERROR(INDEX(Merged_Stack_Data[[Salary]:[Salary]],MATCH(StackBuilder[[#This Row],[Stack Pos 2]],Merged_Stack_Data[[Name]:[Name]],0)),"")</f>
        <v>6400</v>
      </c>
      <c r="R39" s="27">
        <f>IFERROR(INDEX(Merged_Stack_Data[[Salary]:[Salary]],MATCH(StackBuilder[[#This Row],[Stack Pos 3]],Merged_Stack_Data[[Name]:[Name]],0)),"")</f>
        <v>7000</v>
      </c>
      <c r="S39" s="27" t="str">
        <f>IFERROR(INDEX(Merged_Stack_Data[[Salary]:[Salary]],MATCH(StackBuilder[[#This Row],[Stack Pos 4]],Merged_Stack_Data[[Name]:[Name]],0)),"")</f>
        <v/>
      </c>
      <c r="T39" s="28">
        <f>IF(4-COUNTBLANK(StackBuilder[[#This Row],[Stack Pos 1]:[Stack Pos 4]])=PosSelected,ROUND(SUM(StackBuilder[[#This Row],[P1 Proj]:[P4 Proj]]),2))</f>
        <v>42.73</v>
      </c>
      <c r="U39" s="27">
        <f>IFERROR(_xlfn.RANK.EQ(StackBuilder[[#This Row],[Stack Projection]],StackBuilder[Stack Projection],0),"")</f>
        <v>23</v>
      </c>
      <c r="V39" s="295">
        <f>IF(4-COUNTBLANK(StackBuilder[[#This Row],[Stack Pos 1]:[Stack Pos 4]])=PosSelected,ROUND(AVERAGE(StackBuilder[[#This Row],[P1 Value]:[P4 Value]]),2))</f>
        <v>431.59</v>
      </c>
      <c r="W39" s="27">
        <f>IFERROR(_xlfn.RANK.EQ(StackBuilder[[#This Row],[Stack Value]],StackBuilder[Stack Value],1),"")</f>
        <v>25</v>
      </c>
      <c r="X39" s="282">
        <f>IF(4-COUNTBLANK(StackBuilder[[#This Row],[Stack Pos 1]:[Stack Pos 4]])=PosSelected,SUM(StackBuilder[[#This Row],[P1 Salary]:[P4 Salary]])/50000,"")</f>
        <v>0.37</v>
      </c>
    </row>
    <row r="40" spans="2:24" x14ac:dyDescent="0.3">
      <c r="B40" s="4" t="s">
        <v>52</v>
      </c>
      <c r="C40" s="4" t="str">
        <f>IF(LEFT(INDEX(defenses[Opp],MATCH(StackBuilder[[#This Row],[Team]],defenses[Team],0)),1)="@",MID(INDEX(defenses[Opp],MATCH(StackBuilder[[#This Row],[Team]],defenses[Team],0)),2,4),INDEX(defenses[Opp],MATCH(StackBuilder[[#This Row],[Team]],defenses[Team],0)))</f>
        <v>SF</v>
      </c>
      <c r="D40" s="4" t="str">
        <f>IFERROR(IF(Stack1="NONE","",INDEX(Merged_Stack_Data[Name],MATCH(IF(S1Team="Team",StackBuilder[[#This Row],[Team]],StackBuilder[[#This Row],[Opp]])&amp;" "&amp;Stack1,IF(StackBy="Projection",Merged_Stack_Data[Proj. Depth],Merged_Stack_Data[Value Depth]),0))),"")</f>
        <v>Dak Prescott</v>
      </c>
      <c r="E40" s="4" t="str">
        <f>IFERROR(IF(Stack2="NONE","",INDEX(Merged_Stack_Data[Name],MATCH(IF(S2Team="Team",StackBuilder[[#This Row],[Team]],StackBuilder[[#This Row],[Opp]])&amp;" "&amp;Stack2,IF(StackBy="Projection",Merged_Stack_Data[Proj. Depth],Merged_Stack_Data[Value Depth]),0))),"")</f>
        <v>Dez Bryant</v>
      </c>
      <c r="F40" s="4" t="str">
        <f>IFERROR(IF(Stack3="NONE","",INDEX(Merged_Stack_Data[Name],MATCH(IF(S3Team="Team",StackBuilder[[#This Row],[Team]],StackBuilder[[#This Row],[Opp]])&amp;" "&amp;Stack3,IF(StackBy="Projection",Merged_Stack_Data[Proj. Depth],Merged_Stack_Data[Value Depth]),0))),"")</f>
        <v>Jeremy Kerley</v>
      </c>
      <c r="G40" s="4" t="str">
        <f>IFERROR(IF(Stack4="NONE","",INDEX(Merged_Stack_Data[Name],MATCH(IF(S4Team="Team",StackBuilder[[#This Row],[Team]],StackBuilder[[#This Row],[Opp]])&amp;" "&amp;Stack4,IF(StackBy="Projection",Merged_Stack_Data[Proj. Depth],Merged_Stack_Data[Value Depth]),0))),"")</f>
        <v/>
      </c>
      <c r="H40" s="28">
        <f>IFERROR(INDEX(Merged_Stack_Data[[Projection]:[Projection]],MATCH(StackBuilder[[#This Row],[Stack Pos 1]],Merged_Stack_Data[[Name]:[Name]],0)),"")</f>
        <v>17.386741666666666</v>
      </c>
      <c r="I40" s="28">
        <f>IFERROR(INDEX(Merged_Stack_Data[[Projection]:[Projection]],MATCH(StackBuilder[[#This Row],[Stack Pos 2]],Merged_Stack_Data[[Name]:[Name]],0)),"")</f>
        <v>15.798433333333334</v>
      </c>
      <c r="J40" s="28">
        <f>IFERROR(INDEX(Merged_Stack_Data[[Projection]:[Projection]],MATCH(StackBuilder[[#This Row],[Stack Pos 3]],Merged_Stack_Data[[Name]:[Name]],0)),"")</f>
        <v>9.360100000000001</v>
      </c>
      <c r="K40" s="28" t="str">
        <f>IFERROR(INDEX(Merged_Stack_Data[[Projection]:[Projection]],MATCH(StackBuilder[[#This Row],[Stack Pos 4]],Merged_Stack_Data[[Name]:[Name]],0)),"")</f>
        <v/>
      </c>
      <c r="L40" s="27">
        <f>IFERROR(INDEX(Merged_Stack_Data[[$/FP]:[$/FP]],MATCH(StackBuilder[[#This Row],[Stack Pos 1]],Merged_Stack_Data[[Name]:[Name]],0)),"")</f>
        <v>327.83600000000001</v>
      </c>
      <c r="M40" s="27">
        <f>IFERROR(INDEX(Merged_Stack_Data[[$/FP]:[$/FP]],MATCH(StackBuilder[[#This Row],[Stack Pos 2]],Merged_Stack_Data[[Name]:[Name]],0)),"")</f>
        <v>531.69830000000002</v>
      </c>
      <c r="N40" s="27">
        <f>IFERROR(INDEX(Merged_Stack_Data[[$/FP]:[$/FP]],MATCH(StackBuilder[[#This Row],[Stack Pos 3]],Merged_Stack_Data[[Name]:[Name]],0)),"")</f>
        <v>363.24400000000003</v>
      </c>
      <c r="O40" s="27" t="str">
        <f>IFERROR(INDEX(Merged_Stack_Data[[$/FP]:[$/FP]],MATCH(StackBuilder[[#This Row],[Stack Pos 4]],Merged_Stack_Data[[Name]:[Name]],0)),"")</f>
        <v/>
      </c>
      <c r="P40" s="27">
        <f>IFERROR(INDEX(Merged_Stack_Data[[Salary]:[Salary]],MATCH(StackBuilder[[#This Row],[Stack Pos 1]],Merged_Stack_Data[[Name]:[Name]],0)),"")</f>
        <v>5700</v>
      </c>
      <c r="Q40" s="27">
        <f>IFERROR(INDEX(Merged_Stack_Data[[Salary]:[Salary]],MATCH(StackBuilder[[#This Row],[Stack Pos 2]],Merged_Stack_Data[[Name]:[Name]],0)),"")</f>
        <v>8400</v>
      </c>
      <c r="R40" s="27">
        <f>IFERROR(INDEX(Merged_Stack_Data[[Salary]:[Salary]],MATCH(StackBuilder[[#This Row],[Stack Pos 3]],Merged_Stack_Data[[Name]:[Name]],0)),"")</f>
        <v>3400</v>
      </c>
      <c r="S40" s="27" t="str">
        <f>IFERROR(INDEX(Merged_Stack_Data[[Salary]:[Salary]],MATCH(StackBuilder[[#This Row],[Stack Pos 4]],Merged_Stack_Data[[Name]:[Name]],0)),"")</f>
        <v/>
      </c>
      <c r="T40" s="28">
        <f>IF(4-COUNTBLANK(StackBuilder[[#This Row],[Stack Pos 1]:[Stack Pos 4]])=PosSelected,ROUND(SUM(StackBuilder[[#This Row],[P1 Proj]:[P4 Proj]]),2))</f>
        <v>42.55</v>
      </c>
      <c r="U40" s="27">
        <f>IFERROR(_xlfn.RANK.EQ(StackBuilder[[#This Row],[Stack Projection]],StackBuilder[Stack Projection],0),"")</f>
        <v>24</v>
      </c>
      <c r="V40" s="295">
        <f>IF(4-COUNTBLANK(StackBuilder[[#This Row],[Stack Pos 1]:[Stack Pos 4]])=PosSelected,ROUND(AVERAGE(StackBuilder[[#This Row],[P1 Value]:[P4 Value]]),2))</f>
        <v>407.59</v>
      </c>
      <c r="W40" s="27">
        <f>IFERROR(_xlfn.RANK.EQ(StackBuilder[[#This Row],[Stack Value]],StackBuilder[Stack Value],1),"")</f>
        <v>12</v>
      </c>
      <c r="X40" s="282">
        <f>IF(4-COUNTBLANK(StackBuilder[[#This Row],[Stack Pos 1]:[Stack Pos 4]])=PosSelected,SUM(StackBuilder[[#This Row],[P1 Salary]:[P4 Salary]])/50000,"")</f>
        <v>0.35</v>
      </c>
    </row>
    <row r="41" spans="2:24" x14ac:dyDescent="0.3">
      <c r="B41" s="4" t="s">
        <v>402</v>
      </c>
      <c r="C41" s="4" t="str">
        <f>IF(LEFT(INDEX(defenses[Opp],MATCH(StackBuilder[[#This Row],[Team]],defenses[Team],0)),1)="@",MID(INDEX(defenses[Opp],MATCH(StackBuilder[[#This Row],[Team]],defenses[Team],0)),2,4),INDEX(defenses[Opp],MATCH(StackBuilder[[#This Row],[Team]],defenses[Team],0)))</f>
        <v>BUF</v>
      </c>
      <c r="D41" s="4" t="str">
        <f>IFERROR(IF(Stack1="NONE","",INDEX(Merged_Stack_Data[Name],MATCH(IF(S1Team="Team",StackBuilder[[#This Row],[Team]],StackBuilder[[#This Row],[Opp]])&amp;" "&amp;Stack1,IF(StackBy="Projection",Merged_Stack_Data[Proj. Depth],Merged_Stack_Data[Value Depth]),0))),"")</f>
        <v>Jacoby Brissett</v>
      </c>
      <c r="E41" s="4" t="str">
        <f>IFERROR(IF(Stack2="NONE","",INDEX(Merged_Stack_Data[Name],MATCH(IF(S2Team="Team",StackBuilder[[#This Row],[Team]],StackBuilder[[#This Row],[Opp]])&amp;" "&amp;Stack2,IF(StackBy="Projection",Merged_Stack_Data[Proj. Depth],Merged_Stack_Data[Value Depth]),0))),"")</f>
        <v>Julian Edelman</v>
      </c>
      <c r="F41" s="4" t="str">
        <f>IFERROR(IF(Stack3="NONE","",INDEX(Merged_Stack_Data[Name],MATCH(IF(S3Team="Team",StackBuilder[[#This Row],[Team]],StackBuilder[[#This Row],[Opp]])&amp;" "&amp;Stack3,IF(StackBy="Projection",Merged_Stack_Data[Proj. Depth],Merged_Stack_Data[Value Depth]),0))),"")</f>
        <v>Sammy Watkins</v>
      </c>
      <c r="G41" s="4" t="str">
        <f>IFERROR(IF(Stack4="NONE","",INDEX(Merged_Stack_Data[Name],MATCH(IF(S4Team="Team",StackBuilder[[#This Row],[Team]],StackBuilder[[#This Row],[Opp]])&amp;" "&amp;Stack4,IF(StackBy="Projection",Merged_Stack_Data[Proj. Depth],Merged_Stack_Data[Value Depth]),0))),"")</f>
        <v/>
      </c>
      <c r="H41" s="28">
        <f>IFERROR(INDEX(Merged_Stack_Data[[Projection]:[Projection]],MATCH(StackBuilder[[#This Row],[Stack Pos 1]],Merged_Stack_Data[[Name]:[Name]],0)),"")</f>
        <v>16.418975</v>
      </c>
      <c r="I41" s="28">
        <f>IFERROR(INDEX(Merged_Stack_Data[[Projection]:[Projection]],MATCH(StackBuilder[[#This Row],[Stack Pos 2]],Merged_Stack_Data[[Name]:[Name]],0)),"")</f>
        <v>14.240000000000002</v>
      </c>
      <c r="J41" s="28">
        <f>IFERROR(INDEX(Merged_Stack_Data[[Projection]:[Projection]],MATCH(StackBuilder[[#This Row],[Stack Pos 3]],Merged_Stack_Data[[Name]:[Name]],0)),"")</f>
        <v>11.620033333333332</v>
      </c>
      <c r="K41" s="28" t="str">
        <f>IFERROR(INDEX(Merged_Stack_Data[[Projection]:[Projection]],MATCH(StackBuilder[[#This Row],[Stack Pos 4]],Merged_Stack_Data[[Name]:[Name]],0)),"")</f>
        <v/>
      </c>
      <c r="L41" s="27">
        <f>IFERROR(INDEX(Merged_Stack_Data[[$/FP]:[$/FP]],MATCH(StackBuilder[[#This Row],[Stack Pos 1]],Merged_Stack_Data[[Name]:[Name]],0)),"")</f>
        <v>304.52569999999997</v>
      </c>
      <c r="M41" s="27">
        <f>IFERROR(INDEX(Merged_Stack_Data[[$/FP]:[$/FP]],MATCH(StackBuilder[[#This Row],[Stack Pos 2]],Merged_Stack_Data[[Name]:[Name]],0)),"")</f>
        <v>449.43819999999999</v>
      </c>
      <c r="N41" s="27">
        <f>IFERROR(INDEX(Merged_Stack_Data[[$/FP]:[$/FP]],MATCH(StackBuilder[[#This Row],[Stack Pos 3]],Merged_Stack_Data[[Name]:[Name]],0)),"")</f>
        <v>524.95550000000003</v>
      </c>
      <c r="O41" s="27" t="str">
        <f>IFERROR(INDEX(Merged_Stack_Data[[$/FP]:[$/FP]],MATCH(StackBuilder[[#This Row],[Stack Pos 4]],Merged_Stack_Data[[Name]:[Name]],0)),"")</f>
        <v/>
      </c>
      <c r="P41" s="27">
        <f>IFERROR(INDEX(Merged_Stack_Data[[Salary]:[Salary]],MATCH(StackBuilder[[#This Row],[Stack Pos 1]],Merged_Stack_Data[[Name]:[Name]],0)),"")</f>
        <v>5000</v>
      </c>
      <c r="Q41" s="27">
        <f>IFERROR(INDEX(Merged_Stack_Data[[Salary]:[Salary]],MATCH(StackBuilder[[#This Row],[Stack Pos 2]],Merged_Stack_Data[[Name]:[Name]],0)),"")</f>
        <v>6400</v>
      </c>
      <c r="R41" s="27">
        <f>IFERROR(INDEX(Merged_Stack_Data[[Salary]:[Salary]],MATCH(StackBuilder[[#This Row],[Stack Pos 3]],Merged_Stack_Data[[Name]:[Name]],0)),"")</f>
        <v>6100</v>
      </c>
      <c r="S41" s="27" t="str">
        <f>IFERROR(INDEX(Merged_Stack_Data[[Salary]:[Salary]],MATCH(StackBuilder[[#This Row],[Stack Pos 4]],Merged_Stack_Data[[Name]:[Name]],0)),"")</f>
        <v/>
      </c>
      <c r="T41" s="28">
        <f>IF(4-COUNTBLANK(StackBuilder[[#This Row],[Stack Pos 1]:[Stack Pos 4]])=PosSelected,ROUND(SUM(StackBuilder[[#This Row],[P1 Proj]:[P4 Proj]]),2))</f>
        <v>42.28</v>
      </c>
      <c r="U41" s="27">
        <f>IFERROR(_xlfn.RANK.EQ(StackBuilder[[#This Row],[Stack Projection]],StackBuilder[Stack Projection],0),"")</f>
        <v>25</v>
      </c>
      <c r="V41" s="295">
        <f>IF(4-COUNTBLANK(StackBuilder[[#This Row],[Stack Pos 1]:[Stack Pos 4]])=PosSelected,ROUND(AVERAGE(StackBuilder[[#This Row],[P1 Value]:[P4 Value]]),2))</f>
        <v>426.31</v>
      </c>
      <c r="W41" s="27">
        <f>IFERROR(_xlfn.RANK.EQ(StackBuilder[[#This Row],[Stack Value]],StackBuilder[Stack Value],1),"")</f>
        <v>22</v>
      </c>
      <c r="X41" s="282">
        <f>IF(4-COUNTBLANK(StackBuilder[[#This Row],[Stack Pos 1]:[Stack Pos 4]])=PosSelected,SUM(StackBuilder[[#This Row],[P1 Salary]:[P4 Salary]])/50000,"")</f>
        <v>0.35</v>
      </c>
    </row>
    <row r="42" spans="2:24" x14ac:dyDescent="0.3">
      <c r="B42" s="4" t="s">
        <v>18</v>
      </c>
      <c r="C42" s="4" t="str">
        <f>IF(LEFT(INDEX(defenses[Opp],MATCH(StackBuilder[[#This Row],[Team]],defenses[Team],0)),1)="@",MID(INDEX(defenses[Opp],MATCH(StackBuilder[[#This Row],[Team]],defenses[Team],0)),2,4),INDEX(defenses[Opp],MATCH(StackBuilder[[#This Row],[Team]],defenses[Team],0)))</f>
        <v>CLE</v>
      </c>
      <c r="D42" s="4" t="str">
        <f>IFERROR(IF(Stack1="NONE","",INDEX(Merged_Stack_Data[Name],MATCH(IF(S1Team="Team",StackBuilder[[#This Row],[Team]],StackBuilder[[#This Row],[Opp]])&amp;" "&amp;Stack1,IF(StackBy="Projection",Merged_Stack_Data[Proj. Depth],Merged_Stack_Data[Value Depth]),0))),"")</f>
        <v>Kirk Cousins</v>
      </c>
      <c r="E42" s="4" t="str">
        <f>IFERROR(IF(Stack2="NONE","",INDEX(Merged_Stack_Data[Name],MATCH(IF(S2Team="Team",StackBuilder[[#This Row],[Team]],StackBuilder[[#This Row],[Opp]])&amp;" "&amp;Stack2,IF(StackBy="Projection",Merged_Stack_Data[Proj. Depth],Merged_Stack_Data[Value Depth]),0))),"")</f>
        <v>DeSean Jackson</v>
      </c>
      <c r="F42" s="4" t="str">
        <f>IFERROR(IF(Stack3="NONE","",INDEX(Merged_Stack_Data[Name],MATCH(IF(S3Team="Team",StackBuilder[[#This Row],[Team]],StackBuilder[[#This Row],[Opp]])&amp;" "&amp;Stack3,IF(StackBy="Projection",Merged_Stack_Data[Proj. Depth],Merged_Stack_Data[Value Depth]),0))),"")</f>
        <v>Terrelle Pryor</v>
      </c>
      <c r="G42" s="4" t="str">
        <f>IFERROR(IF(Stack4="NONE","",INDEX(Merged_Stack_Data[Name],MATCH(IF(S4Team="Team",StackBuilder[[#This Row],[Team]],StackBuilder[[#This Row],[Opp]])&amp;" "&amp;Stack4,IF(StackBy="Projection",Merged_Stack_Data[Proj. Depth],Merged_Stack_Data[Value Depth]),0))),"")</f>
        <v/>
      </c>
      <c r="H42" s="28">
        <f>IFERROR(INDEX(Merged_Stack_Data[[Projection]:[Projection]],MATCH(StackBuilder[[#This Row],[Stack Pos 1]],Merged_Stack_Data[[Name]:[Name]],0)),"")</f>
        <v>17.582573333333336</v>
      </c>
      <c r="I42" s="28">
        <f>IFERROR(INDEX(Merged_Stack_Data[[Projection]:[Projection]],MATCH(StackBuilder[[#This Row],[Stack Pos 2]],Merged_Stack_Data[[Name]:[Name]],0)),"")</f>
        <v>12.292166666666665</v>
      </c>
      <c r="J42" s="28">
        <f>IFERROR(INDEX(Merged_Stack_Data[[Projection]:[Projection]],MATCH(StackBuilder[[#This Row],[Stack Pos 3]],Merged_Stack_Data[[Name]:[Name]],0)),"")</f>
        <v>11.2796</v>
      </c>
      <c r="K42" s="28" t="str">
        <f>IFERROR(INDEX(Merged_Stack_Data[[Projection]:[Projection]],MATCH(StackBuilder[[#This Row],[Stack Pos 4]],Merged_Stack_Data[[Name]:[Name]],0)),"")</f>
        <v/>
      </c>
      <c r="L42" s="27">
        <f>IFERROR(INDEX(Merged_Stack_Data[[$/FP]:[$/FP]],MATCH(StackBuilder[[#This Row],[Stack Pos 1]],Merged_Stack_Data[[Name]:[Name]],0)),"")</f>
        <v>363.99680000000001</v>
      </c>
      <c r="M42" s="27">
        <f>IFERROR(INDEX(Merged_Stack_Data[[$/FP]:[$/FP]],MATCH(StackBuilder[[#This Row],[Stack Pos 2]],Merged_Stack_Data[[Name]:[Name]],0)),"")</f>
        <v>479.98050000000001</v>
      </c>
      <c r="N42" s="27">
        <f>IFERROR(INDEX(Merged_Stack_Data[[$/FP]:[$/FP]],MATCH(StackBuilder[[#This Row],[Stack Pos 3]],Merged_Stack_Data[[Name]:[Name]],0)),"")</f>
        <v>301.42910000000001</v>
      </c>
      <c r="O42" s="27" t="str">
        <f>IFERROR(INDEX(Merged_Stack_Data[[$/FP]:[$/FP]],MATCH(StackBuilder[[#This Row],[Stack Pos 4]],Merged_Stack_Data[[Name]:[Name]],0)),"")</f>
        <v/>
      </c>
      <c r="P42" s="27">
        <f>IFERROR(INDEX(Merged_Stack_Data[[Salary]:[Salary]],MATCH(StackBuilder[[#This Row],[Stack Pos 1]],Merged_Stack_Data[[Name]:[Name]],0)),"")</f>
        <v>6400</v>
      </c>
      <c r="Q42" s="27">
        <f>IFERROR(INDEX(Merged_Stack_Data[[Salary]:[Salary]],MATCH(StackBuilder[[#This Row],[Stack Pos 2]],Merged_Stack_Data[[Name]:[Name]],0)),"")</f>
        <v>5900</v>
      </c>
      <c r="R42" s="27">
        <f>IFERROR(INDEX(Merged_Stack_Data[[Salary]:[Salary]],MATCH(StackBuilder[[#This Row],[Stack Pos 3]],Merged_Stack_Data[[Name]:[Name]],0)),"")</f>
        <v>3400</v>
      </c>
      <c r="S42" s="27" t="str">
        <f>IFERROR(INDEX(Merged_Stack_Data[[Salary]:[Salary]],MATCH(StackBuilder[[#This Row],[Stack Pos 4]],Merged_Stack_Data[[Name]:[Name]],0)),"")</f>
        <v/>
      </c>
      <c r="T42" s="28">
        <f>IF(4-COUNTBLANK(StackBuilder[[#This Row],[Stack Pos 1]:[Stack Pos 4]])=PosSelected,ROUND(SUM(StackBuilder[[#This Row],[P1 Proj]:[P4 Proj]]),2))</f>
        <v>41.15</v>
      </c>
      <c r="U42" s="27">
        <f>IFERROR(_xlfn.RANK.EQ(StackBuilder[[#This Row],[Stack Projection]],StackBuilder[Stack Projection],0),"")</f>
        <v>26</v>
      </c>
      <c r="V42" s="295">
        <f>IF(4-COUNTBLANK(StackBuilder[[#This Row],[Stack Pos 1]:[Stack Pos 4]])=PosSelected,ROUND(AVERAGE(StackBuilder[[#This Row],[P1 Value]:[P4 Value]]),2))</f>
        <v>381.8</v>
      </c>
      <c r="W42" s="27">
        <f>IFERROR(_xlfn.RANK.EQ(StackBuilder[[#This Row],[Stack Value]],StackBuilder[Stack Value],1),"")</f>
        <v>2</v>
      </c>
      <c r="X42" s="282">
        <f>IF(4-COUNTBLANK(StackBuilder[[#This Row],[Stack Pos 1]:[Stack Pos 4]])=PosSelected,SUM(StackBuilder[[#This Row],[P1 Salary]:[P4 Salary]])/50000,"")</f>
        <v>0.314</v>
      </c>
    </row>
    <row r="43" spans="2:24" x14ac:dyDescent="0.3">
      <c r="B43" s="4" t="s">
        <v>46</v>
      </c>
      <c r="C43" s="4" t="str">
        <f>IF(LEFT(INDEX(defenses[Opp],MATCH(StackBuilder[[#This Row],[Team]],defenses[Team],0)),1)="@",MID(INDEX(defenses[Opp],MATCH(StackBuilder[[#This Row],[Team]],defenses[Team],0)),2,4),INDEX(defenses[Opp],MATCH(StackBuilder[[#This Row],[Team]],defenses[Team],0)))</f>
        <v>DET</v>
      </c>
      <c r="D43" s="4" t="str">
        <f>IFERROR(IF(Stack1="NONE","",INDEX(Merged_Stack_Data[Name],MATCH(IF(S1Team="Team",StackBuilder[[#This Row],[Team]],StackBuilder[[#This Row],[Opp]])&amp;" "&amp;Stack1,IF(StackBy="Projection",Merged_Stack_Data[Proj. Depth],Merged_Stack_Data[Value Depth]),0))),"")</f>
        <v>Brian Hoyer</v>
      </c>
      <c r="E43" s="4" t="str">
        <f>IFERROR(IF(Stack2="NONE","",INDEX(Merged_Stack_Data[Name],MATCH(IF(S2Team="Team",StackBuilder[[#This Row],[Team]],StackBuilder[[#This Row],[Opp]])&amp;" "&amp;Stack2,IF(StackBy="Projection",Merged_Stack_Data[Proj. Depth],Merged_Stack_Data[Value Depth]),0))),"")</f>
        <v>Alshon Jeffery</v>
      </c>
      <c r="F43" s="4" t="str">
        <f>IFERROR(IF(Stack3="NONE","",INDEX(Merged_Stack_Data[Name],MATCH(IF(S3Team="Team",StackBuilder[[#This Row],[Team]],StackBuilder[[#This Row],[Opp]])&amp;" "&amp;Stack3,IF(StackBy="Projection",Merged_Stack_Data[Proj. Depth],Merged_Stack_Data[Value Depth]),0))),"")</f>
        <v>Marvin Jones</v>
      </c>
      <c r="G43" s="4" t="str">
        <f>IFERROR(IF(Stack4="NONE","",INDEX(Merged_Stack_Data[Name],MATCH(IF(S4Team="Team",StackBuilder[[#This Row],[Team]],StackBuilder[[#This Row],[Opp]])&amp;" "&amp;Stack4,IF(StackBy="Projection",Merged_Stack_Data[Proj. Depth],Merged_Stack_Data[Value Depth]),0))),"")</f>
        <v/>
      </c>
      <c r="H43" s="28">
        <f>IFERROR(INDEX(Merged_Stack_Data[[Projection]:[Projection]],MATCH(StackBuilder[[#This Row],[Stack Pos 1]],Merged_Stack_Data[[Name]:[Name]],0)),"")</f>
        <v>7.956570000000001</v>
      </c>
      <c r="I43" s="28">
        <f>IFERROR(INDEX(Merged_Stack_Data[[Projection]:[Projection]],MATCH(StackBuilder[[#This Row],[Stack Pos 2]],Merged_Stack_Data[[Name]:[Name]],0)),"")</f>
        <v>16.428233333333331</v>
      </c>
      <c r="J43" s="28">
        <f>IFERROR(INDEX(Merged_Stack_Data[[Projection]:[Projection]],MATCH(StackBuilder[[#This Row],[Stack Pos 3]],Merged_Stack_Data[[Name]:[Name]],0)),"")</f>
        <v>14.539066666666667</v>
      </c>
      <c r="K43" s="28" t="str">
        <f>IFERROR(INDEX(Merged_Stack_Data[[Projection]:[Projection]],MATCH(StackBuilder[[#This Row],[Stack Pos 4]],Merged_Stack_Data[[Name]:[Name]],0)),"")</f>
        <v/>
      </c>
      <c r="L43" s="27">
        <f>IFERROR(INDEX(Merged_Stack_Data[[$/FP]:[$/FP]],MATCH(StackBuilder[[#This Row],[Stack Pos 1]],Merged_Stack_Data[[Name]:[Name]],0)),"")</f>
        <v>628.41150000000005</v>
      </c>
      <c r="M43" s="27">
        <f>IFERROR(INDEX(Merged_Stack_Data[[$/FP]:[$/FP]],MATCH(StackBuilder[[#This Row],[Stack Pos 2]],Merged_Stack_Data[[Name]:[Name]],0)),"")</f>
        <v>486.9665</v>
      </c>
      <c r="N43" s="27">
        <f>IFERROR(INDEX(Merged_Stack_Data[[$/FP]:[$/FP]],MATCH(StackBuilder[[#This Row],[Stack Pos 3]],Merged_Stack_Data[[Name]:[Name]],0)),"")</f>
        <v>426.43729999999999</v>
      </c>
      <c r="O43" s="27" t="str">
        <f>IFERROR(INDEX(Merged_Stack_Data[[$/FP]:[$/FP]],MATCH(StackBuilder[[#This Row],[Stack Pos 4]],Merged_Stack_Data[[Name]:[Name]],0)),"")</f>
        <v/>
      </c>
      <c r="P43" s="27">
        <f>IFERROR(INDEX(Merged_Stack_Data[[Salary]:[Salary]],MATCH(StackBuilder[[#This Row],[Stack Pos 1]],Merged_Stack_Data[[Name]:[Name]],0)),"")</f>
        <v>5000</v>
      </c>
      <c r="Q43" s="27">
        <f>IFERROR(INDEX(Merged_Stack_Data[[Salary]:[Salary]],MATCH(StackBuilder[[#This Row],[Stack Pos 2]],Merged_Stack_Data[[Name]:[Name]],0)),"")</f>
        <v>8000</v>
      </c>
      <c r="R43" s="27">
        <f>IFERROR(INDEX(Merged_Stack_Data[[Salary]:[Salary]],MATCH(StackBuilder[[#This Row],[Stack Pos 3]],Merged_Stack_Data[[Name]:[Name]],0)),"")</f>
        <v>6200</v>
      </c>
      <c r="S43" s="27" t="str">
        <f>IFERROR(INDEX(Merged_Stack_Data[[Salary]:[Salary]],MATCH(StackBuilder[[#This Row],[Stack Pos 4]],Merged_Stack_Data[[Name]:[Name]],0)),"")</f>
        <v/>
      </c>
      <c r="T43" s="28">
        <f>IF(4-COUNTBLANK(StackBuilder[[#This Row],[Stack Pos 1]:[Stack Pos 4]])=PosSelected,ROUND(SUM(StackBuilder[[#This Row],[P1 Proj]:[P4 Proj]]),2))</f>
        <v>38.92</v>
      </c>
      <c r="U43" s="27">
        <f>IFERROR(_xlfn.RANK.EQ(StackBuilder[[#This Row],[Stack Projection]],StackBuilder[Stack Projection],0),"")</f>
        <v>27</v>
      </c>
      <c r="V43" s="295">
        <f>IF(4-COUNTBLANK(StackBuilder[[#This Row],[Stack Pos 1]:[Stack Pos 4]])=PosSelected,ROUND(AVERAGE(StackBuilder[[#This Row],[P1 Value]:[P4 Value]]),2))</f>
        <v>513.94000000000005</v>
      </c>
      <c r="W43" s="27">
        <f>IFERROR(_xlfn.RANK.EQ(StackBuilder[[#This Row],[Stack Value]],StackBuilder[Stack Value],1),"")</f>
        <v>30</v>
      </c>
      <c r="X43" s="282">
        <f>IF(4-COUNTBLANK(StackBuilder[[#This Row],[Stack Pos 1]:[Stack Pos 4]])=PosSelected,SUM(StackBuilder[[#This Row],[P1 Salary]:[P4 Salary]])/50000,"")</f>
        <v>0.38400000000000001</v>
      </c>
    </row>
    <row r="44" spans="2:24" x14ac:dyDescent="0.3">
      <c r="B44" s="4" t="s">
        <v>398</v>
      </c>
      <c r="C44" s="4" t="str">
        <f>IF(LEFT(INDEX(defenses[Opp],MATCH(StackBuilder[[#This Row],[Team]],defenses[Team],0)),1)="@",MID(INDEX(defenses[Opp],MATCH(StackBuilder[[#This Row],[Team]],defenses[Team],0)),2,4),INDEX(defenses[Opp],MATCH(StackBuilder[[#This Row],[Team]],defenses[Team],0)))</f>
        <v>DAL</v>
      </c>
      <c r="D44" s="4" t="str">
        <f>IFERROR(IF(Stack1="NONE","",INDEX(Merged_Stack_Data[Name],MATCH(IF(S1Team="Team",StackBuilder[[#This Row],[Team]],StackBuilder[[#This Row],[Opp]])&amp;" "&amp;Stack1,IF(StackBy="Projection",Merged_Stack_Data[Proj. Depth],Merged_Stack_Data[Value Depth]),0))),"")</f>
        <v>Blaine Gabbert</v>
      </c>
      <c r="E44" s="4" t="str">
        <f>IFERROR(IF(Stack2="NONE","",INDEX(Merged_Stack_Data[Name],MATCH(IF(S2Team="Team",StackBuilder[[#This Row],[Team]],StackBuilder[[#This Row],[Opp]])&amp;" "&amp;Stack2,IF(StackBy="Projection",Merged_Stack_Data[Proj. Depth],Merged_Stack_Data[Value Depth]),0))),"")</f>
        <v>Jeremy Kerley</v>
      </c>
      <c r="F44" s="4" t="str">
        <f>IFERROR(IF(Stack3="NONE","",INDEX(Merged_Stack_Data[Name],MATCH(IF(S3Team="Team",StackBuilder[[#This Row],[Team]],StackBuilder[[#This Row],[Opp]])&amp;" "&amp;Stack3,IF(StackBy="Projection",Merged_Stack_Data[Proj. Depth],Merged_Stack_Data[Value Depth]),0))),"")</f>
        <v>Dez Bryant</v>
      </c>
      <c r="G44" s="4" t="str">
        <f>IFERROR(IF(Stack4="NONE","",INDEX(Merged_Stack_Data[Name],MATCH(IF(S4Team="Team",StackBuilder[[#This Row],[Team]],StackBuilder[[#This Row],[Opp]])&amp;" "&amp;Stack4,IF(StackBy="Projection",Merged_Stack_Data[Proj. Depth],Merged_Stack_Data[Value Depth]),0))),"")</f>
        <v/>
      </c>
      <c r="H44" s="28">
        <f>IFERROR(INDEX(Merged_Stack_Data[[Projection]:[Projection]],MATCH(StackBuilder[[#This Row],[Stack Pos 1]],Merged_Stack_Data[[Name]:[Name]],0)),"")</f>
        <v>13.000900000000001</v>
      </c>
      <c r="I44" s="28">
        <f>IFERROR(INDEX(Merged_Stack_Data[[Projection]:[Projection]],MATCH(StackBuilder[[#This Row],[Stack Pos 2]],Merged_Stack_Data[[Name]:[Name]],0)),"")</f>
        <v>9.360100000000001</v>
      </c>
      <c r="J44" s="28">
        <f>IFERROR(INDEX(Merged_Stack_Data[[Projection]:[Projection]],MATCH(StackBuilder[[#This Row],[Stack Pos 3]],Merged_Stack_Data[[Name]:[Name]],0)),"")</f>
        <v>15.798433333333334</v>
      </c>
      <c r="K44" s="28" t="str">
        <f>IFERROR(INDEX(Merged_Stack_Data[[Projection]:[Projection]],MATCH(StackBuilder[[#This Row],[Stack Pos 4]],Merged_Stack_Data[[Name]:[Name]],0)),"")</f>
        <v/>
      </c>
      <c r="L44" s="27">
        <f>IFERROR(INDEX(Merged_Stack_Data[[$/FP]:[$/FP]],MATCH(StackBuilder[[#This Row],[Stack Pos 1]],Merged_Stack_Data[[Name]:[Name]],0)),"")</f>
        <v>384.58879999999999</v>
      </c>
      <c r="M44" s="27">
        <f>IFERROR(INDEX(Merged_Stack_Data[[$/FP]:[$/FP]],MATCH(StackBuilder[[#This Row],[Stack Pos 2]],Merged_Stack_Data[[Name]:[Name]],0)),"")</f>
        <v>363.24400000000003</v>
      </c>
      <c r="N44" s="27">
        <f>IFERROR(INDEX(Merged_Stack_Data[[$/FP]:[$/FP]],MATCH(StackBuilder[[#This Row],[Stack Pos 3]],Merged_Stack_Data[[Name]:[Name]],0)),"")</f>
        <v>531.69830000000002</v>
      </c>
      <c r="O44" s="27" t="str">
        <f>IFERROR(INDEX(Merged_Stack_Data[[$/FP]:[$/FP]],MATCH(StackBuilder[[#This Row],[Stack Pos 4]],Merged_Stack_Data[[Name]:[Name]],0)),"")</f>
        <v/>
      </c>
      <c r="P44" s="27">
        <f>IFERROR(INDEX(Merged_Stack_Data[[Salary]:[Salary]],MATCH(StackBuilder[[#This Row],[Stack Pos 1]],Merged_Stack_Data[[Name]:[Name]],0)),"")</f>
        <v>5000</v>
      </c>
      <c r="Q44" s="27">
        <f>IFERROR(INDEX(Merged_Stack_Data[[Salary]:[Salary]],MATCH(StackBuilder[[#This Row],[Stack Pos 2]],Merged_Stack_Data[[Name]:[Name]],0)),"")</f>
        <v>3400</v>
      </c>
      <c r="R44" s="27">
        <f>IFERROR(INDEX(Merged_Stack_Data[[Salary]:[Salary]],MATCH(StackBuilder[[#This Row],[Stack Pos 3]],Merged_Stack_Data[[Name]:[Name]],0)),"")</f>
        <v>8400</v>
      </c>
      <c r="S44" s="27" t="str">
        <f>IFERROR(INDEX(Merged_Stack_Data[[Salary]:[Salary]],MATCH(StackBuilder[[#This Row],[Stack Pos 4]],Merged_Stack_Data[[Name]:[Name]],0)),"")</f>
        <v/>
      </c>
      <c r="T44" s="28">
        <f>IF(4-COUNTBLANK(StackBuilder[[#This Row],[Stack Pos 1]:[Stack Pos 4]])=PosSelected,ROUND(SUM(StackBuilder[[#This Row],[P1 Proj]:[P4 Proj]]),2))</f>
        <v>38.159999999999997</v>
      </c>
      <c r="U44" s="27">
        <f>IFERROR(_xlfn.RANK.EQ(StackBuilder[[#This Row],[Stack Projection]],StackBuilder[Stack Projection],0),"")</f>
        <v>28</v>
      </c>
      <c r="V44" s="295">
        <f>IF(4-COUNTBLANK(StackBuilder[[#This Row],[Stack Pos 1]:[Stack Pos 4]])=PosSelected,ROUND(AVERAGE(StackBuilder[[#This Row],[P1 Value]:[P4 Value]]),2))</f>
        <v>426.51</v>
      </c>
      <c r="W44" s="27">
        <f>IFERROR(_xlfn.RANK.EQ(StackBuilder[[#This Row],[Stack Value]],StackBuilder[Stack Value],1),"")</f>
        <v>23</v>
      </c>
      <c r="X44" s="282">
        <f>IF(4-COUNTBLANK(StackBuilder[[#This Row],[Stack Pos 1]:[Stack Pos 4]])=PosSelected,SUM(StackBuilder[[#This Row],[P1 Salary]:[P4 Salary]])/50000,"")</f>
        <v>0.33600000000000002</v>
      </c>
    </row>
    <row r="45" spans="2:24" x14ac:dyDescent="0.3">
      <c r="B45" s="4" t="s">
        <v>409</v>
      </c>
      <c r="C45" s="4" t="str">
        <f>IF(LEFT(INDEX(defenses[Opp],MATCH(StackBuilder[[#This Row],[Team]],defenses[Team],0)),1)="@",MID(INDEX(defenses[Opp],MATCH(StackBuilder[[#This Row],[Team]],defenses[Team],0)),2,4),INDEX(defenses[Opp],MATCH(StackBuilder[[#This Row],[Team]],defenses[Team],0)))</f>
        <v>ARI</v>
      </c>
      <c r="D45" s="4" t="str">
        <f>IFERROR(IF(Stack1="NONE","",INDEX(Merged_Stack_Data[Name],MATCH(IF(S1Team="Team",StackBuilder[[#This Row],[Team]],StackBuilder[[#This Row],[Opp]])&amp;" "&amp;Stack1,IF(StackBy="Projection",Merged_Stack_Data[Proj. Depth],Merged_Stack_Data[Value Depth]),0))),"")</f>
        <v>Case Keenum</v>
      </c>
      <c r="E45" s="4" t="str">
        <f>IFERROR(IF(Stack2="NONE","",INDEX(Merged_Stack_Data[Name],MATCH(IF(S2Team="Team",StackBuilder[[#This Row],[Team]],StackBuilder[[#This Row],[Opp]])&amp;" "&amp;Stack2,IF(StackBy="Projection",Merged_Stack_Data[Proj. Depth],Merged_Stack_Data[Value Depth]),0))),"")</f>
        <v>Tavon Austin</v>
      </c>
      <c r="F45" s="4" t="str">
        <f>IFERROR(IF(Stack3="NONE","",INDEX(Merged_Stack_Data[Name],MATCH(IF(S3Team="Team",StackBuilder[[#This Row],[Team]],StackBuilder[[#This Row],[Opp]])&amp;" "&amp;Stack3,IF(StackBy="Projection",Merged_Stack_Data[Proj. Depth],Merged_Stack_Data[Value Depth]),0))),"")</f>
        <v>Larry Fitzgerald</v>
      </c>
      <c r="G45" s="4" t="str">
        <f>IFERROR(IF(Stack4="NONE","",INDEX(Merged_Stack_Data[Name],MATCH(IF(S4Team="Team",StackBuilder[[#This Row],[Team]],StackBuilder[[#This Row],[Opp]])&amp;" "&amp;Stack4,IF(StackBy="Projection",Merged_Stack_Data[Proj. Depth],Merged_Stack_Data[Value Depth]),0))),"")</f>
        <v/>
      </c>
      <c r="H45" s="28">
        <f>IFERROR(INDEX(Merged_Stack_Data[[Projection]:[Projection]],MATCH(StackBuilder[[#This Row],[Stack Pos 1]],Merged_Stack_Data[[Name]:[Name]],0)),"")</f>
        <v>11.238593333333334</v>
      </c>
      <c r="I45" s="28">
        <f>IFERROR(INDEX(Merged_Stack_Data[[Projection]:[Projection]],MATCH(StackBuilder[[#This Row],[Stack Pos 2]],Merged_Stack_Data[[Name]:[Name]],0)),"")</f>
        <v>8.4914666666666676</v>
      </c>
      <c r="J45" s="28">
        <f>IFERROR(INDEX(Merged_Stack_Data[[Projection]:[Projection]],MATCH(StackBuilder[[#This Row],[Stack Pos 3]],Merged_Stack_Data[[Name]:[Name]],0)),"")</f>
        <v>16.942599999999999</v>
      </c>
      <c r="K45" s="28" t="str">
        <f>IFERROR(INDEX(Merged_Stack_Data[[Projection]:[Projection]],MATCH(StackBuilder[[#This Row],[Stack Pos 4]],Merged_Stack_Data[[Name]:[Name]],0)),"")</f>
        <v/>
      </c>
      <c r="L45" s="27">
        <f>IFERROR(INDEX(Merged_Stack_Data[[$/FP]:[$/FP]],MATCH(StackBuilder[[#This Row],[Stack Pos 1]],Merged_Stack_Data[[Name]:[Name]],0)),"")</f>
        <v>444.89550000000003</v>
      </c>
      <c r="M45" s="27">
        <f>IFERROR(INDEX(Merged_Stack_Data[[$/FP]:[$/FP]],MATCH(StackBuilder[[#This Row],[Stack Pos 2]],Merged_Stack_Data[[Name]:[Name]],0)),"")</f>
        <v>482.83769999999998</v>
      </c>
      <c r="N45" s="27">
        <f>IFERROR(INDEX(Merged_Stack_Data[[$/FP]:[$/FP]],MATCH(StackBuilder[[#This Row],[Stack Pos 3]],Merged_Stack_Data[[Name]:[Name]],0)),"")</f>
        <v>407.25740000000002</v>
      </c>
      <c r="O45" s="27" t="str">
        <f>IFERROR(INDEX(Merged_Stack_Data[[$/FP]:[$/FP]],MATCH(StackBuilder[[#This Row],[Stack Pos 4]],Merged_Stack_Data[[Name]:[Name]],0)),"")</f>
        <v/>
      </c>
      <c r="P45" s="27">
        <f>IFERROR(INDEX(Merged_Stack_Data[[Salary]:[Salary]],MATCH(StackBuilder[[#This Row],[Stack Pos 1]],Merged_Stack_Data[[Name]:[Name]],0)),"")</f>
        <v>5000</v>
      </c>
      <c r="Q45" s="27">
        <f>IFERROR(INDEX(Merged_Stack_Data[[Salary]:[Salary]],MATCH(StackBuilder[[#This Row],[Stack Pos 2]],Merged_Stack_Data[[Name]:[Name]],0)),"")</f>
        <v>4100</v>
      </c>
      <c r="R45" s="27">
        <f>IFERROR(INDEX(Merged_Stack_Data[[Salary]:[Salary]],MATCH(StackBuilder[[#This Row],[Stack Pos 3]],Merged_Stack_Data[[Name]:[Name]],0)),"")</f>
        <v>6900</v>
      </c>
      <c r="S45" s="27" t="str">
        <f>IFERROR(INDEX(Merged_Stack_Data[[Salary]:[Salary]],MATCH(StackBuilder[[#This Row],[Stack Pos 4]],Merged_Stack_Data[[Name]:[Name]],0)),"")</f>
        <v/>
      </c>
      <c r="T45" s="28">
        <f>IF(4-COUNTBLANK(StackBuilder[[#This Row],[Stack Pos 1]:[Stack Pos 4]])=PosSelected,ROUND(SUM(StackBuilder[[#This Row],[P1 Proj]:[P4 Proj]]),2))</f>
        <v>36.67</v>
      </c>
      <c r="U45" s="27">
        <f>IFERROR(_xlfn.RANK.EQ(StackBuilder[[#This Row],[Stack Projection]],StackBuilder[Stack Projection],0),"")</f>
        <v>29</v>
      </c>
      <c r="V45" s="295">
        <f>IF(4-COUNTBLANK(StackBuilder[[#This Row],[Stack Pos 1]:[Stack Pos 4]])=PosSelected,ROUND(AVERAGE(StackBuilder[[#This Row],[P1 Value]:[P4 Value]]),2))</f>
        <v>445</v>
      </c>
      <c r="W45" s="27">
        <f>IFERROR(_xlfn.RANK.EQ(StackBuilder[[#This Row],[Stack Value]],StackBuilder[Stack Value],1),"")</f>
        <v>28</v>
      </c>
      <c r="X45" s="282">
        <f>IF(4-COUNTBLANK(StackBuilder[[#This Row],[Stack Pos 1]:[Stack Pos 4]])=PosSelected,SUM(StackBuilder[[#This Row],[P1 Salary]:[P4 Salary]])/50000,"")</f>
        <v>0.32</v>
      </c>
    </row>
    <row r="46" spans="2:24" x14ac:dyDescent="0.3">
      <c r="B46" s="4" t="s">
        <v>14</v>
      </c>
      <c r="C46" s="4" t="str">
        <f>IF(LEFT(INDEX(defenses[Opp],MATCH(StackBuilder[[#This Row],[Team]],defenses[Team],0)),1)="@",MID(INDEX(defenses[Opp],MATCH(StackBuilder[[#This Row],[Team]],defenses[Team],0)),2,4),INDEX(defenses[Opp],MATCH(StackBuilder[[#This Row],[Team]],defenses[Team],0)))</f>
        <v>WAS</v>
      </c>
      <c r="D46" s="4" t="str">
        <f>IFERROR(IF(Stack1="NONE","",INDEX(Merged_Stack_Data[Name],MATCH(IF(S1Team="Team",StackBuilder[[#This Row],[Team]],StackBuilder[[#This Row],[Opp]])&amp;" "&amp;Stack1,IF(StackBy="Projection",Merged_Stack_Data[Proj. Depth],Merged_Stack_Data[Value Depth]),0))),"")</f>
        <v>Cody Kessler</v>
      </c>
      <c r="E46" s="4" t="str">
        <f>IFERROR(IF(Stack2="NONE","",INDEX(Merged_Stack_Data[Name],MATCH(IF(S2Team="Team",StackBuilder[[#This Row],[Team]],StackBuilder[[#This Row],[Opp]])&amp;" "&amp;Stack2,IF(StackBy="Projection",Merged_Stack_Data[Proj. Depth],Merged_Stack_Data[Value Depth]),0))),"")</f>
        <v>Terrelle Pryor</v>
      </c>
      <c r="F46" s="4" t="str">
        <f>IFERROR(IF(Stack3="NONE","",INDEX(Merged_Stack_Data[Name],MATCH(IF(S3Team="Team",StackBuilder[[#This Row],[Team]],StackBuilder[[#This Row],[Opp]])&amp;" "&amp;Stack3,IF(StackBy="Projection",Merged_Stack_Data[Proj. Depth],Merged_Stack_Data[Value Depth]),0))),"")</f>
        <v>DeSean Jackson</v>
      </c>
      <c r="G46" s="4" t="str">
        <f>IFERROR(IF(Stack4="NONE","",INDEX(Merged_Stack_Data[Name],MATCH(IF(S4Team="Team",StackBuilder[[#This Row],[Team]],StackBuilder[[#This Row],[Opp]])&amp;" "&amp;Stack4,IF(StackBy="Projection",Merged_Stack_Data[Proj. Depth],Merged_Stack_Data[Value Depth]),0))),"")</f>
        <v/>
      </c>
      <c r="H46" s="28">
        <f>IFERROR(INDEX(Merged_Stack_Data[[Projection]:[Projection]],MATCH(StackBuilder[[#This Row],[Stack Pos 1]],Merged_Stack_Data[[Name]:[Name]],0)),"")</f>
        <v>6.600340000000001</v>
      </c>
      <c r="I46" s="28">
        <f>IFERROR(INDEX(Merged_Stack_Data[[Projection]:[Projection]],MATCH(StackBuilder[[#This Row],[Stack Pos 2]],Merged_Stack_Data[[Name]:[Name]],0)),"")</f>
        <v>11.2796</v>
      </c>
      <c r="J46" s="28">
        <f>IFERROR(INDEX(Merged_Stack_Data[[Projection]:[Projection]],MATCH(StackBuilder[[#This Row],[Stack Pos 3]],Merged_Stack_Data[[Name]:[Name]],0)),"")</f>
        <v>12.292166666666665</v>
      </c>
      <c r="K46" s="28" t="str">
        <f>IFERROR(INDEX(Merged_Stack_Data[[Projection]:[Projection]],MATCH(StackBuilder[[#This Row],[Stack Pos 4]],Merged_Stack_Data[[Name]:[Name]],0)),"")</f>
        <v/>
      </c>
      <c r="L46" s="27">
        <f>IFERROR(INDEX(Merged_Stack_Data[[$/FP]:[$/FP]],MATCH(StackBuilder[[#This Row],[Stack Pos 1]],Merged_Stack_Data[[Name]:[Name]],0)),"")</f>
        <v>757.5367</v>
      </c>
      <c r="M46" s="27">
        <f>IFERROR(INDEX(Merged_Stack_Data[[$/FP]:[$/FP]],MATCH(StackBuilder[[#This Row],[Stack Pos 2]],Merged_Stack_Data[[Name]:[Name]],0)),"")</f>
        <v>301.42910000000001</v>
      </c>
      <c r="N46" s="27">
        <f>IFERROR(INDEX(Merged_Stack_Data[[$/FP]:[$/FP]],MATCH(StackBuilder[[#This Row],[Stack Pos 3]],Merged_Stack_Data[[Name]:[Name]],0)),"")</f>
        <v>479.98050000000001</v>
      </c>
      <c r="O46" s="27" t="str">
        <f>IFERROR(INDEX(Merged_Stack_Data[[$/FP]:[$/FP]],MATCH(StackBuilder[[#This Row],[Stack Pos 4]],Merged_Stack_Data[[Name]:[Name]],0)),"")</f>
        <v/>
      </c>
      <c r="P46" s="27">
        <f>IFERROR(INDEX(Merged_Stack_Data[[Salary]:[Salary]],MATCH(StackBuilder[[#This Row],[Stack Pos 1]],Merged_Stack_Data[[Name]:[Name]],0)),"")</f>
        <v>5000</v>
      </c>
      <c r="Q46" s="27">
        <f>IFERROR(INDEX(Merged_Stack_Data[[Salary]:[Salary]],MATCH(StackBuilder[[#This Row],[Stack Pos 2]],Merged_Stack_Data[[Name]:[Name]],0)),"")</f>
        <v>3400</v>
      </c>
      <c r="R46" s="27">
        <f>IFERROR(INDEX(Merged_Stack_Data[[Salary]:[Salary]],MATCH(StackBuilder[[#This Row],[Stack Pos 3]],Merged_Stack_Data[[Name]:[Name]],0)),"")</f>
        <v>5900</v>
      </c>
      <c r="S46" s="27" t="str">
        <f>IFERROR(INDEX(Merged_Stack_Data[[Salary]:[Salary]],MATCH(StackBuilder[[#This Row],[Stack Pos 4]],Merged_Stack_Data[[Name]:[Name]],0)),"")</f>
        <v/>
      </c>
      <c r="T46" s="28">
        <f>IF(4-COUNTBLANK(StackBuilder[[#This Row],[Stack Pos 1]:[Stack Pos 4]])=PosSelected,ROUND(SUM(StackBuilder[[#This Row],[P1 Proj]:[P4 Proj]]),2))</f>
        <v>30.17</v>
      </c>
      <c r="U46" s="27">
        <f>IFERROR(_xlfn.RANK.EQ(StackBuilder[[#This Row],[Stack Projection]],StackBuilder[Stack Projection],0),"")</f>
        <v>30</v>
      </c>
      <c r="V46" s="295">
        <f>IF(4-COUNTBLANK(StackBuilder[[#This Row],[Stack Pos 1]:[Stack Pos 4]])=PosSelected,ROUND(AVERAGE(StackBuilder[[#This Row],[P1 Value]:[P4 Value]]),2))</f>
        <v>512.98</v>
      </c>
      <c r="W46" s="27">
        <f>IFERROR(_xlfn.RANK.EQ(StackBuilder[[#This Row],[Stack Value]],StackBuilder[Stack Value],1),"")</f>
        <v>29</v>
      </c>
      <c r="X46" s="282">
        <f>IF(4-COUNTBLANK(StackBuilder[[#This Row],[Stack Pos 1]:[Stack Pos 4]])=PosSelected,SUM(StackBuilder[[#This Row],[P1 Salary]:[P4 Salary]])/50000,"")</f>
        <v>0.28599999999999998</v>
      </c>
    </row>
  </sheetData>
  <mergeCells count="2">
    <mergeCell ref="B7:C7"/>
    <mergeCell ref="B9:C9"/>
  </mergeCells>
  <conditionalFormatting sqref="X15:X46">
    <cfRule type="dataBar" priority="7">
      <dataBar>
        <cfvo type="min"/>
        <cfvo type="max"/>
        <color rgb="FFFF555A"/>
      </dataBar>
      <extLst>
        <ext xmlns:x14="http://schemas.microsoft.com/office/spreadsheetml/2009/9/main" uri="{B025F937-C7B1-47D3-B67F-A62EFF666E3E}">
          <x14:id>{16A8AE11-79D7-4F2B-811A-C27835DEDCC4}</x14:id>
        </ext>
      </extLst>
    </cfRule>
  </conditionalFormatting>
  <conditionalFormatting sqref="W16:W46">
    <cfRule type="colorScale" priority="6">
      <colorScale>
        <cfvo type="min"/>
        <cfvo type="percentile" val="50"/>
        <cfvo type="max"/>
        <color rgb="FF63BE7B"/>
        <color rgb="FFFFEB84"/>
        <color rgb="FFF8696B"/>
      </colorScale>
    </cfRule>
  </conditionalFormatting>
  <conditionalFormatting sqref="U15:U46">
    <cfRule type="colorScale" priority="5">
      <colorScale>
        <cfvo type="min"/>
        <cfvo type="percentile" val="50"/>
        <cfvo type="max"/>
        <color rgb="FF63BE7B"/>
        <color rgb="FFFFEB84"/>
        <color rgb="FFF8696B"/>
      </colorScale>
    </cfRule>
  </conditionalFormatting>
  <conditionalFormatting sqref="W15">
    <cfRule type="colorScale" priority="4">
      <colorScale>
        <cfvo type="min"/>
        <cfvo type="percentile" val="50"/>
        <cfvo type="max"/>
        <color rgb="FF63BE7B"/>
        <color rgb="FFFFEB84"/>
        <color rgb="FFF8696B"/>
      </colorScale>
    </cfRule>
  </conditionalFormatting>
  <conditionalFormatting sqref="W15:W46">
    <cfRule type="colorScale" priority="3">
      <colorScale>
        <cfvo type="min"/>
        <cfvo type="percentile" val="50"/>
        <cfvo type="max"/>
        <color rgb="FF63BE7B"/>
        <color rgb="FFFFEB84"/>
        <color rgb="FFF8696B"/>
      </colorScale>
    </cfRule>
  </conditionalFormatting>
  <conditionalFormatting sqref="T15:T46">
    <cfRule type="colorScale" priority="2">
      <colorScale>
        <cfvo type="min"/>
        <cfvo type="percentile" val="50"/>
        <cfvo type="max"/>
        <color rgb="FFF8696B"/>
        <color rgb="FFFFEB84"/>
        <color rgb="FF63BE7B"/>
      </colorScale>
    </cfRule>
  </conditionalFormatting>
  <conditionalFormatting sqref="V15:V46">
    <cfRule type="colorScale" priority="1">
      <colorScale>
        <cfvo type="min"/>
        <cfvo type="percentile" val="50"/>
        <cfvo type="max"/>
        <color rgb="FF63BE7B"/>
        <color rgb="FFFFEB84"/>
        <color rgb="FFF8696B"/>
      </colorScale>
    </cfRule>
  </conditionalFormatting>
  <dataValidations count="4">
    <dataValidation type="list" allowBlank="1" showInputMessage="1" showErrorMessage="1" sqref="D12:G12">
      <formula1>"NONE, QB1, RB1, RB2, WR1, WR2, WR3, TE1, TE2, K, DEF"</formula1>
    </dataValidation>
    <dataValidation type="list" allowBlank="1" showInputMessage="1" showErrorMessage="1" sqref="D11:G11">
      <formula1>"NONE, QB1, RB1, RB2, WR1, WR2, WR3, TE1, TE2, DEF"</formula1>
    </dataValidation>
    <dataValidation type="list" allowBlank="1" showInputMessage="1" showErrorMessage="1" sqref="D9:G9">
      <formula1>"Team, Opponent"</formula1>
    </dataValidation>
    <dataValidation type="list" allowBlank="1" showInputMessage="1" showErrorMessage="1" sqref="B12 B9">
      <formula1>"Projection, Value"</formula1>
    </dataValidation>
  </dataValidation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16A8AE11-79D7-4F2B-811A-C27835DEDCC4}">
            <x14:dataBar minLength="0" maxLength="100" border="1" negativeBarBorderColorSameAsPositive="0">
              <x14:cfvo type="autoMin"/>
              <x14:cfvo type="autoMax"/>
              <x14:borderColor rgb="FFFF555A"/>
              <x14:negativeFillColor rgb="FFFF0000"/>
              <x14:negativeBorderColor rgb="FFFF0000"/>
              <x14:axisColor rgb="FF000000"/>
            </x14:dataBar>
          </x14:cfRule>
          <xm:sqref>X15:X46</xm:sqref>
        </x14:conditionalFormatting>
      </x14:conditionalFormatting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E208"/>
  <sheetViews>
    <sheetView workbookViewId="0">
      <selection activeCell="C22" sqref="C22"/>
    </sheetView>
  </sheetViews>
  <sheetFormatPr defaultRowHeight="14.4" x14ac:dyDescent="0.3"/>
  <cols>
    <col min="1" max="1" width="72.88671875" bestFit="1" customWidth="1"/>
    <col min="2" max="2" width="68.77734375" bestFit="1" customWidth="1"/>
    <col min="3" max="31" width="9.109375" style="9"/>
  </cols>
  <sheetData>
    <row r="1" spans="1:31" s="135" customFormat="1" x14ac:dyDescent="0.3">
      <c r="A1" s="9"/>
      <c r="B1" s="9"/>
      <c r="C1" s="9"/>
      <c r="D1" s="9"/>
      <c r="E1" s="9"/>
      <c r="F1" s="9"/>
      <c r="G1" s="9"/>
      <c r="H1" s="9"/>
      <c r="I1" s="9"/>
      <c r="J1" s="9"/>
      <c r="K1" s="9"/>
      <c r="L1" s="9"/>
      <c r="M1" s="9"/>
      <c r="N1" s="9"/>
      <c r="O1" s="9"/>
      <c r="P1" s="9"/>
      <c r="Q1" s="9"/>
      <c r="R1" s="9"/>
      <c r="S1" s="9"/>
      <c r="T1" s="9"/>
      <c r="U1" s="9"/>
      <c r="V1" s="9"/>
      <c r="W1" s="9"/>
      <c r="X1" s="9"/>
      <c r="Y1" s="9"/>
      <c r="Z1" s="9"/>
      <c r="AA1" s="9"/>
      <c r="AB1" s="9"/>
      <c r="AC1" s="9"/>
      <c r="AD1" s="9"/>
      <c r="AE1" s="9"/>
    </row>
    <row r="2" spans="1:31" s="135" customFormat="1" x14ac:dyDescent="0.3">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row>
    <row r="3" spans="1:31" s="135" customFormat="1" x14ac:dyDescent="0.3">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row>
    <row r="4" spans="1:31" s="135" customFormat="1" x14ac:dyDescent="0.3">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row>
    <row r="5" spans="1:31" s="135" customFormat="1" x14ac:dyDescent="0.3">
      <c r="A5" s="9"/>
      <c r="B5" s="9"/>
      <c r="C5" s="9"/>
      <c r="D5" s="9"/>
      <c r="E5" s="9"/>
      <c r="F5" s="9"/>
      <c r="G5" s="9"/>
      <c r="H5" s="9"/>
      <c r="I5" s="9"/>
      <c r="J5" s="9"/>
      <c r="K5" s="9"/>
      <c r="L5" s="9"/>
      <c r="M5" s="9"/>
      <c r="N5" s="9"/>
      <c r="O5" s="9"/>
      <c r="P5" s="9"/>
      <c r="Q5" s="9"/>
      <c r="R5" s="9"/>
      <c r="S5" s="9"/>
      <c r="T5" s="9"/>
      <c r="U5" s="9"/>
      <c r="V5" s="9"/>
      <c r="W5" s="9"/>
      <c r="X5" s="9"/>
      <c r="Y5" s="9"/>
      <c r="Z5" s="9"/>
      <c r="AA5" s="9"/>
      <c r="AB5" s="9"/>
      <c r="AC5" s="9"/>
      <c r="AD5" s="9"/>
      <c r="AE5" s="9"/>
    </row>
    <row r="6" spans="1:31" s="135" customFormat="1" x14ac:dyDescent="0.3">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row>
    <row r="7" spans="1:31" s="135" customFormat="1" x14ac:dyDescent="0.3">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row>
    <row r="8" spans="1:31" ht="15.6" x14ac:dyDescent="0.3">
      <c r="A8" s="584" t="s">
        <v>1119</v>
      </c>
      <c r="B8" s="584"/>
    </row>
    <row r="9" spans="1:31" x14ac:dyDescent="0.3">
      <c r="A9" s="75" t="s">
        <v>1120</v>
      </c>
      <c r="B9" s="76" t="s">
        <v>1121</v>
      </c>
    </row>
    <row r="10" spans="1:31" x14ac:dyDescent="0.3">
      <c r="A10" s="77" t="s">
        <v>1122</v>
      </c>
      <c r="B10" s="77" t="s">
        <v>1123</v>
      </c>
    </row>
    <row r="11" spans="1:31" x14ac:dyDescent="0.3">
      <c r="A11" s="77" t="s">
        <v>2311</v>
      </c>
      <c r="B11" s="77" t="s">
        <v>1124</v>
      </c>
    </row>
    <row r="12" spans="1:31" x14ac:dyDescent="0.3">
      <c r="A12" s="77" t="s">
        <v>1125</v>
      </c>
      <c r="B12" s="77" t="s">
        <v>1384</v>
      </c>
    </row>
    <row r="13" spans="1:31" x14ac:dyDescent="0.3">
      <c r="A13" s="77" t="s">
        <v>2312</v>
      </c>
      <c r="B13" s="77" t="s">
        <v>2313</v>
      </c>
    </row>
    <row r="14" spans="1:31" x14ac:dyDescent="0.3">
      <c r="A14" s="77" t="s">
        <v>2314</v>
      </c>
      <c r="B14" s="77" t="s">
        <v>1126</v>
      </c>
    </row>
    <row r="15" spans="1:31" x14ac:dyDescent="0.3">
      <c r="A15" s="77" t="s">
        <v>1127</v>
      </c>
      <c r="B15" s="77"/>
    </row>
    <row r="16" spans="1:31" x14ac:dyDescent="0.3">
      <c r="A16" s="78" t="s">
        <v>1128</v>
      </c>
      <c r="B16" s="79" t="s">
        <v>1129</v>
      </c>
    </row>
    <row r="17" spans="1:2" x14ac:dyDescent="0.3">
      <c r="A17" s="77" t="s">
        <v>1130</v>
      </c>
      <c r="B17" s="77" t="s">
        <v>1131</v>
      </c>
    </row>
    <row r="18" spans="1:2" x14ac:dyDescent="0.3">
      <c r="A18" s="77" t="s">
        <v>2315</v>
      </c>
      <c r="B18" s="77" t="s">
        <v>2316</v>
      </c>
    </row>
    <row r="19" spans="1:2" x14ac:dyDescent="0.3">
      <c r="A19" s="77" t="s">
        <v>2317</v>
      </c>
      <c r="B19" s="77" t="s">
        <v>1132</v>
      </c>
    </row>
    <row r="20" spans="1:2" x14ac:dyDescent="0.3">
      <c r="A20" s="77" t="s">
        <v>2318</v>
      </c>
      <c r="B20" s="77" t="s">
        <v>1385</v>
      </c>
    </row>
    <row r="21" spans="1:2" x14ac:dyDescent="0.3">
      <c r="A21" s="77" t="s">
        <v>1133</v>
      </c>
      <c r="B21" s="77" t="s">
        <v>1386</v>
      </c>
    </row>
    <row r="22" spans="1:2" x14ac:dyDescent="0.3">
      <c r="A22" s="77" t="s">
        <v>1134</v>
      </c>
      <c r="B22" s="77" t="s">
        <v>1135</v>
      </c>
    </row>
    <row r="23" spans="1:2" x14ac:dyDescent="0.3">
      <c r="A23" s="80" t="s">
        <v>1136</v>
      </c>
      <c r="B23" s="81" t="s">
        <v>1137</v>
      </c>
    </row>
    <row r="24" spans="1:2" x14ac:dyDescent="0.3">
      <c r="A24" s="77" t="s">
        <v>2319</v>
      </c>
      <c r="B24" s="77" t="s">
        <v>1138</v>
      </c>
    </row>
    <row r="25" spans="1:2" x14ac:dyDescent="0.3">
      <c r="A25" s="77" t="s">
        <v>2320</v>
      </c>
      <c r="B25" s="77" t="s">
        <v>2321</v>
      </c>
    </row>
    <row r="26" spans="1:2" x14ac:dyDescent="0.3">
      <c r="A26" s="77" t="s">
        <v>2322</v>
      </c>
      <c r="B26" s="77" t="s">
        <v>1139</v>
      </c>
    </row>
    <row r="27" spans="1:2" x14ac:dyDescent="0.3">
      <c r="A27" s="77" t="s">
        <v>1362</v>
      </c>
      <c r="B27" s="77" t="s">
        <v>1387</v>
      </c>
    </row>
    <row r="28" spans="1:2" x14ac:dyDescent="0.3">
      <c r="A28" s="77" t="s">
        <v>2323</v>
      </c>
      <c r="B28" s="77" t="s">
        <v>1140</v>
      </c>
    </row>
    <row r="29" spans="1:2" x14ac:dyDescent="0.3">
      <c r="A29" s="77" t="s">
        <v>1141</v>
      </c>
      <c r="B29" s="77" t="s">
        <v>1142</v>
      </c>
    </row>
    <row r="30" spans="1:2" x14ac:dyDescent="0.3">
      <c r="A30" s="82" t="s">
        <v>1143</v>
      </c>
      <c r="B30" s="83" t="s">
        <v>1144</v>
      </c>
    </row>
    <row r="31" spans="1:2" x14ac:dyDescent="0.3">
      <c r="A31" s="77" t="s">
        <v>2324</v>
      </c>
      <c r="B31" s="77" t="s">
        <v>2325</v>
      </c>
    </row>
    <row r="32" spans="1:2" x14ac:dyDescent="0.3">
      <c r="A32" s="77" t="s">
        <v>2326</v>
      </c>
      <c r="B32" s="77" t="s">
        <v>2327</v>
      </c>
    </row>
    <row r="33" spans="1:2" x14ac:dyDescent="0.3">
      <c r="A33" s="77" t="s">
        <v>1145</v>
      </c>
      <c r="B33" s="77" t="s">
        <v>1388</v>
      </c>
    </row>
    <row r="34" spans="1:2" x14ac:dyDescent="0.3">
      <c r="A34" s="77" t="s">
        <v>1363</v>
      </c>
      <c r="B34" s="77" t="s">
        <v>2328</v>
      </c>
    </row>
    <row r="35" spans="1:2" x14ac:dyDescent="0.3">
      <c r="A35" s="77" t="s">
        <v>1364</v>
      </c>
      <c r="B35" s="77" t="s">
        <v>2329</v>
      </c>
    </row>
    <row r="36" spans="1:2" x14ac:dyDescent="0.3">
      <c r="A36" s="77" t="s">
        <v>1365</v>
      </c>
      <c r="B36" s="77" t="s">
        <v>2330</v>
      </c>
    </row>
    <row r="37" spans="1:2" x14ac:dyDescent="0.3">
      <c r="A37" s="84" t="s">
        <v>1146</v>
      </c>
      <c r="B37" s="85" t="s">
        <v>1147</v>
      </c>
    </row>
    <row r="38" spans="1:2" x14ac:dyDescent="0.3">
      <c r="A38" s="77" t="s">
        <v>1366</v>
      </c>
      <c r="B38" s="77" t="s">
        <v>1389</v>
      </c>
    </row>
    <row r="39" spans="1:2" x14ac:dyDescent="0.3">
      <c r="A39" s="77" t="s">
        <v>1367</v>
      </c>
      <c r="B39" s="77" t="s">
        <v>1390</v>
      </c>
    </row>
    <row r="40" spans="1:2" x14ac:dyDescent="0.3">
      <c r="A40" s="77" t="s">
        <v>1148</v>
      </c>
      <c r="B40" s="77" t="s">
        <v>1391</v>
      </c>
    </row>
    <row r="41" spans="1:2" x14ac:dyDescent="0.3">
      <c r="A41" s="77" t="s">
        <v>2331</v>
      </c>
      <c r="B41" s="77" t="s">
        <v>1149</v>
      </c>
    </row>
    <row r="42" spans="1:2" x14ac:dyDescent="0.3">
      <c r="A42" s="77" t="s">
        <v>2332</v>
      </c>
      <c r="B42" s="77" t="s">
        <v>1150</v>
      </c>
    </row>
    <row r="43" spans="1:2" x14ac:dyDescent="0.3">
      <c r="A43" s="77" t="s">
        <v>1152</v>
      </c>
      <c r="B43" s="77" t="s">
        <v>1151</v>
      </c>
    </row>
    <row r="44" spans="1:2" x14ac:dyDescent="0.3">
      <c r="A44" s="86" t="s">
        <v>1153</v>
      </c>
      <c r="B44" s="81" t="s">
        <v>1154</v>
      </c>
    </row>
    <row r="45" spans="1:2" x14ac:dyDescent="0.3">
      <c r="A45" s="77" t="s">
        <v>1368</v>
      </c>
      <c r="B45" s="77" t="s">
        <v>1155</v>
      </c>
    </row>
    <row r="46" spans="1:2" x14ac:dyDescent="0.3">
      <c r="A46" s="77" t="s">
        <v>1369</v>
      </c>
      <c r="B46" s="77" t="s">
        <v>2333</v>
      </c>
    </row>
    <row r="47" spans="1:2" x14ac:dyDescent="0.3">
      <c r="A47" s="77" t="s">
        <v>1156</v>
      </c>
      <c r="B47" s="77" t="s">
        <v>1157</v>
      </c>
    </row>
    <row r="48" spans="1:2" x14ac:dyDescent="0.3">
      <c r="A48" s="77" t="s">
        <v>2334</v>
      </c>
      <c r="B48" s="77" t="s">
        <v>1392</v>
      </c>
    </row>
    <row r="49" spans="1:2" x14ac:dyDescent="0.3">
      <c r="A49" s="77" t="s">
        <v>2335</v>
      </c>
      <c r="B49" s="77" t="s">
        <v>2336</v>
      </c>
    </row>
    <row r="50" spans="1:2" x14ac:dyDescent="0.3">
      <c r="A50" s="77" t="s">
        <v>1158</v>
      </c>
      <c r="B50" s="77" t="s">
        <v>1159</v>
      </c>
    </row>
    <row r="51" spans="1:2" x14ac:dyDescent="0.3">
      <c r="A51" s="87" t="s">
        <v>1160</v>
      </c>
      <c r="B51" s="88" t="s">
        <v>1161</v>
      </c>
    </row>
    <row r="52" spans="1:2" x14ac:dyDescent="0.3">
      <c r="A52" s="77" t="s">
        <v>1162</v>
      </c>
      <c r="B52" s="77" t="s">
        <v>1163</v>
      </c>
    </row>
    <row r="53" spans="1:2" x14ac:dyDescent="0.3">
      <c r="A53" s="77" t="s">
        <v>2337</v>
      </c>
      <c r="B53" s="77" t="s">
        <v>2338</v>
      </c>
    </row>
    <row r="54" spans="1:2" x14ac:dyDescent="0.3">
      <c r="A54" s="77" t="s">
        <v>2339</v>
      </c>
      <c r="B54" s="77" t="s">
        <v>1164</v>
      </c>
    </row>
    <row r="55" spans="1:2" x14ac:dyDescent="0.3">
      <c r="A55" s="77" t="s">
        <v>1165</v>
      </c>
      <c r="B55" s="77" t="s">
        <v>1393</v>
      </c>
    </row>
    <row r="56" spans="1:2" x14ac:dyDescent="0.3">
      <c r="A56" s="77" t="s">
        <v>1166</v>
      </c>
      <c r="B56" s="77" t="s">
        <v>2340</v>
      </c>
    </row>
    <row r="57" spans="1:2" x14ac:dyDescent="0.3">
      <c r="A57" s="77"/>
      <c r="B57" s="77" t="s">
        <v>1167</v>
      </c>
    </row>
    <row r="58" spans="1:2" x14ac:dyDescent="0.3">
      <c r="A58" s="89" t="s">
        <v>1168</v>
      </c>
      <c r="B58" s="90" t="s">
        <v>1169</v>
      </c>
    </row>
    <row r="59" spans="1:2" x14ac:dyDescent="0.3">
      <c r="A59" s="77" t="s">
        <v>1170</v>
      </c>
      <c r="B59" s="77" t="s">
        <v>2341</v>
      </c>
    </row>
    <row r="60" spans="1:2" x14ac:dyDescent="0.3">
      <c r="A60" s="77" t="s">
        <v>2342</v>
      </c>
      <c r="B60" s="77" t="s">
        <v>1394</v>
      </c>
    </row>
    <row r="61" spans="1:2" x14ac:dyDescent="0.3">
      <c r="A61" s="77" t="s">
        <v>2343</v>
      </c>
      <c r="B61" s="77" t="s">
        <v>1171</v>
      </c>
    </row>
    <row r="62" spans="1:2" x14ac:dyDescent="0.3">
      <c r="A62" s="77" t="s">
        <v>1172</v>
      </c>
      <c r="B62" s="77" t="s">
        <v>2344</v>
      </c>
    </row>
    <row r="63" spans="1:2" x14ac:dyDescent="0.3">
      <c r="A63" s="77" t="s">
        <v>1173</v>
      </c>
      <c r="B63" s="77" t="s">
        <v>1174</v>
      </c>
    </row>
    <row r="64" spans="1:2" x14ac:dyDescent="0.3">
      <c r="A64" s="77"/>
      <c r="B64" s="77" t="s">
        <v>1175</v>
      </c>
    </row>
    <row r="65" spans="1:2" x14ac:dyDescent="0.3">
      <c r="A65" s="76" t="s">
        <v>1176</v>
      </c>
      <c r="B65" s="75" t="s">
        <v>1177</v>
      </c>
    </row>
    <row r="66" spans="1:2" x14ac:dyDescent="0.3">
      <c r="A66" s="77" t="s">
        <v>1370</v>
      </c>
      <c r="B66" s="77" t="s">
        <v>1395</v>
      </c>
    </row>
    <row r="67" spans="1:2" x14ac:dyDescent="0.3">
      <c r="A67" s="77" t="s">
        <v>1371</v>
      </c>
      <c r="B67" s="77" t="s">
        <v>2345</v>
      </c>
    </row>
    <row r="68" spans="1:2" x14ac:dyDescent="0.3">
      <c r="A68" s="77" t="s">
        <v>1178</v>
      </c>
      <c r="B68" s="77" t="s">
        <v>1179</v>
      </c>
    </row>
    <row r="69" spans="1:2" x14ac:dyDescent="0.3">
      <c r="A69" s="77" t="s">
        <v>1372</v>
      </c>
      <c r="B69" s="77" t="s">
        <v>2346</v>
      </c>
    </row>
    <row r="70" spans="1:2" x14ac:dyDescent="0.3">
      <c r="A70" s="77" t="s">
        <v>1373</v>
      </c>
      <c r="B70" s="77" t="s">
        <v>1396</v>
      </c>
    </row>
    <row r="71" spans="1:2" x14ac:dyDescent="0.3">
      <c r="A71" s="77" t="s">
        <v>1180</v>
      </c>
      <c r="B71" s="77" t="s">
        <v>1181</v>
      </c>
    </row>
    <row r="72" spans="1:2" x14ac:dyDescent="0.3">
      <c r="A72" s="91" t="s">
        <v>1182</v>
      </c>
      <c r="B72" s="92" t="s">
        <v>1183</v>
      </c>
    </row>
    <row r="73" spans="1:2" x14ac:dyDescent="0.3">
      <c r="A73" s="77" t="s">
        <v>1184</v>
      </c>
      <c r="B73" s="77" t="s">
        <v>1185</v>
      </c>
    </row>
    <row r="74" spans="1:2" x14ac:dyDescent="0.3">
      <c r="A74" s="77" t="s">
        <v>2347</v>
      </c>
      <c r="B74" s="77" t="s">
        <v>2348</v>
      </c>
    </row>
    <row r="75" spans="1:2" x14ac:dyDescent="0.3">
      <c r="A75" s="77" t="s">
        <v>2349</v>
      </c>
      <c r="B75" s="77" t="s">
        <v>1397</v>
      </c>
    </row>
    <row r="76" spans="1:2" x14ac:dyDescent="0.3">
      <c r="A76" s="77" t="s">
        <v>1186</v>
      </c>
      <c r="B76" s="77" t="s">
        <v>1398</v>
      </c>
    </row>
    <row r="77" spans="1:2" x14ac:dyDescent="0.3">
      <c r="A77" s="77" t="s">
        <v>1187</v>
      </c>
      <c r="B77" s="77" t="s">
        <v>2350</v>
      </c>
    </row>
    <row r="78" spans="1:2" x14ac:dyDescent="0.3">
      <c r="A78" s="77"/>
      <c r="B78" s="77" t="s">
        <v>2351</v>
      </c>
    </row>
    <row r="79" spans="1:2" x14ac:dyDescent="0.3">
      <c r="A79" s="86" t="s">
        <v>1188</v>
      </c>
      <c r="B79" s="93" t="s">
        <v>1189</v>
      </c>
    </row>
    <row r="80" spans="1:2" x14ac:dyDescent="0.3">
      <c r="A80" s="77" t="s">
        <v>2352</v>
      </c>
      <c r="B80" s="77" t="s">
        <v>1190</v>
      </c>
    </row>
    <row r="81" spans="1:2" x14ac:dyDescent="0.3">
      <c r="A81" s="77" t="s">
        <v>2353</v>
      </c>
      <c r="B81" s="77" t="s">
        <v>2354</v>
      </c>
    </row>
    <row r="82" spans="1:2" x14ac:dyDescent="0.3">
      <c r="A82" s="77" t="s">
        <v>1191</v>
      </c>
      <c r="B82" s="77" t="s">
        <v>2355</v>
      </c>
    </row>
    <row r="83" spans="1:2" x14ac:dyDescent="0.3">
      <c r="A83" s="77" t="s">
        <v>1374</v>
      </c>
      <c r="B83" s="77" t="s">
        <v>1399</v>
      </c>
    </row>
    <row r="84" spans="1:2" x14ac:dyDescent="0.3">
      <c r="A84" s="77" t="s">
        <v>2356</v>
      </c>
      <c r="B84" s="77" t="s">
        <v>1400</v>
      </c>
    </row>
    <row r="85" spans="1:2" x14ac:dyDescent="0.3">
      <c r="A85" s="77" t="s">
        <v>1192</v>
      </c>
      <c r="B85" s="77" t="s">
        <v>2357</v>
      </c>
    </row>
    <row r="86" spans="1:2" x14ac:dyDescent="0.3">
      <c r="A86" s="94" t="s">
        <v>1193</v>
      </c>
      <c r="B86" s="95" t="s">
        <v>1194</v>
      </c>
    </row>
    <row r="87" spans="1:2" x14ac:dyDescent="0.3">
      <c r="A87" s="77" t="s">
        <v>1195</v>
      </c>
      <c r="B87" s="77" t="s">
        <v>1401</v>
      </c>
    </row>
    <row r="88" spans="1:2" x14ac:dyDescent="0.3">
      <c r="A88" s="77" t="s">
        <v>2358</v>
      </c>
      <c r="B88" s="77" t="s">
        <v>1402</v>
      </c>
    </row>
    <row r="89" spans="1:2" x14ac:dyDescent="0.3">
      <c r="A89" s="77" t="s">
        <v>2359</v>
      </c>
      <c r="B89" s="77" t="s">
        <v>1403</v>
      </c>
    </row>
    <row r="90" spans="1:2" x14ac:dyDescent="0.3">
      <c r="A90" s="77" t="s">
        <v>2360</v>
      </c>
      <c r="B90" s="77" t="s">
        <v>2361</v>
      </c>
    </row>
    <row r="91" spans="1:2" x14ac:dyDescent="0.3">
      <c r="A91" s="77" t="s">
        <v>1375</v>
      </c>
      <c r="B91" s="77" t="s">
        <v>1196</v>
      </c>
    </row>
    <row r="92" spans="1:2" x14ac:dyDescent="0.3">
      <c r="A92" s="77" t="s">
        <v>1197</v>
      </c>
      <c r="B92" s="77"/>
    </row>
    <row r="93" spans="1:2" x14ac:dyDescent="0.3">
      <c r="A93" s="83" t="s">
        <v>1198</v>
      </c>
      <c r="B93" s="76" t="s">
        <v>1199</v>
      </c>
    </row>
    <row r="94" spans="1:2" x14ac:dyDescent="0.3">
      <c r="A94" s="77" t="s">
        <v>1200</v>
      </c>
      <c r="B94" s="77" t="s">
        <v>1201</v>
      </c>
    </row>
    <row r="95" spans="1:2" x14ac:dyDescent="0.3">
      <c r="A95" s="77" t="s">
        <v>1376</v>
      </c>
      <c r="B95" s="77" t="s">
        <v>2362</v>
      </c>
    </row>
    <row r="96" spans="1:2" x14ac:dyDescent="0.3">
      <c r="A96" s="77" t="s">
        <v>1377</v>
      </c>
      <c r="B96" s="77" t="s">
        <v>1404</v>
      </c>
    </row>
    <row r="97" spans="1:2" x14ac:dyDescent="0.3">
      <c r="A97" s="77" t="s">
        <v>1378</v>
      </c>
      <c r="B97" s="77" t="s">
        <v>1202</v>
      </c>
    </row>
    <row r="98" spans="1:2" x14ac:dyDescent="0.3">
      <c r="A98" s="77" t="s">
        <v>1379</v>
      </c>
      <c r="B98" s="77" t="s">
        <v>1203</v>
      </c>
    </row>
    <row r="99" spans="1:2" x14ac:dyDescent="0.3">
      <c r="A99" s="77" t="s">
        <v>1204</v>
      </c>
      <c r="B99" s="77"/>
    </row>
    <row r="100" spans="1:2" x14ac:dyDescent="0.3">
      <c r="A100" s="96" t="s">
        <v>1205</v>
      </c>
      <c r="B100" s="94" t="s">
        <v>1206</v>
      </c>
    </row>
    <row r="101" spans="1:2" x14ac:dyDescent="0.3">
      <c r="A101" s="77" t="s">
        <v>1207</v>
      </c>
      <c r="B101" s="77" t="s">
        <v>1208</v>
      </c>
    </row>
    <row r="102" spans="1:2" x14ac:dyDescent="0.3">
      <c r="A102" s="77" t="s">
        <v>1209</v>
      </c>
      <c r="B102" s="77" t="s">
        <v>2363</v>
      </c>
    </row>
    <row r="103" spans="1:2" x14ac:dyDescent="0.3">
      <c r="A103" s="77" t="s">
        <v>1210</v>
      </c>
      <c r="B103" s="77" t="s">
        <v>2364</v>
      </c>
    </row>
    <row r="104" spans="1:2" x14ac:dyDescent="0.3">
      <c r="A104" s="77" t="s">
        <v>2365</v>
      </c>
      <c r="B104" s="77" t="s">
        <v>2366</v>
      </c>
    </row>
    <row r="105" spans="1:2" x14ac:dyDescent="0.3">
      <c r="A105" s="77" t="s">
        <v>1380</v>
      </c>
      <c r="B105" s="77" t="s">
        <v>1405</v>
      </c>
    </row>
    <row r="106" spans="1:2" x14ac:dyDescent="0.3">
      <c r="A106" s="77" t="s">
        <v>1211</v>
      </c>
      <c r="B106" s="77" t="s">
        <v>1212</v>
      </c>
    </row>
    <row r="107" spans="1:2" x14ac:dyDescent="0.3">
      <c r="A107" s="90" t="s">
        <v>1213</v>
      </c>
      <c r="B107" s="97" t="s">
        <v>1214</v>
      </c>
    </row>
    <row r="108" spans="1:2" x14ac:dyDescent="0.3">
      <c r="A108" s="77" t="s">
        <v>1215</v>
      </c>
      <c r="B108" s="77" t="s">
        <v>1216</v>
      </c>
    </row>
    <row r="109" spans="1:2" x14ac:dyDescent="0.3">
      <c r="A109" s="77" t="s">
        <v>2367</v>
      </c>
      <c r="B109" s="77" t="s">
        <v>2368</v>
      </c>
    </row>
    <row r="110" spans="1:2" x14ac:dyDescent="0.3">
      <c r="A110" s="77" t="s">
        <v>1217</v>
      </c>
      <c r="B110" s="77" t="s">
        <v>2369</v>
      </c>
    </row>
    <row r="111" spans="1:2" x14ac:dyDescent="0.3">
      <c r="A111" s="77" t="s">
        <v>2370</v>
      </c>
      <c r="B111" s="77" t="s">
        <v>2371</v>
      </c>
    </row>
    <row r="112" spans="1:2" x14ac:dyDescent="0.3">
      <c r="A112" s="77" t="s">
        <v>1218</v>
      </c>
      <c r="B112" s="77" t="s">
        <v>1220</v>
      </c>
    </row>
    <row r="113" spans="1:2" x14ac:dyDescent="0.3">
      <c r="A113" s="77" t="s">
        <v>1219</v>
      </c>
      <c r="B113" s="77"/>
    </row>
    <row r="114" spans="1:2" x14ac:dyDescent="0.3">
      <c r="A114" s="98" t="s">
        <v>1221</v>
      </c>
      <c r="B114" s="99" t="s">
        <v>1222</v>
      </c>
    </row>
    <row r="115" spans="1:2" x14ac:dyDescent="0.3">
      <c r="A115" s="77" t="s">
        <v>1223</v>
      </c>
      <c r="B115" s="77" t="s">
        <v>1224</v>
      </c>
    </row>
    <row r="116" spans="1:2" x14ac:dyDescent="0.3">
      <c r="A116" s="77" t="s">
        <v>1381</v>
      </c>
      <c r="B116" s="77" t="s">
        <v>2372</v>
      </c>
    </row>
    <row r="117" spans="1:2" x14ac:dyDescent="0.3">
      <c r="A117" s="77" t="s">
        <v>1225</v>
      </c>
      <c r="B117" s="77" t="s">
        <v>1406</v>
      </c>
    </row>
    <row r="118" spans="1:2" x14ac:dyDescent="0.3">
      <c r="A118" s="77" t="s">
        <v>1382</v>
      </c>
      <c r="B118" s="77" t="s">
        <v>2373</v>
      </c>
    </row>
    <row r="119" spans="1:2" x14ac:dyDescent="0.3">
      <c r="A119" s="77" t="s">
        <v>1383</v>
      </c>
      <c r="B119" s="77" t="s">
        <v>1227</v>
      </c>
    </row>
    <row r="120" spans="1:2" x14ac:dyDescent="0.3">
      <c r="A120" s="77" t="s">
        <v>1226</v>
      </c>
      <c r="B120" s="77"/>
    </row>
    <row r="121" spans="1:2" x14ac:dyDescent="0.3">
      <c r="A121" s="9"/>
      <c r="B121" s="9"/>
    </row>
    <row r="122" spans="1:2" x14ac:dyDescent="0.3">
      <c r="A122" s="9"/>
      <c r="B122" s="9"/>
    </row>
    <row r="123" spans="1:2" x14ac:dyDescent="0.3">
      <c r="A123" s="9"/>
      <c r="B123" s="9"/>
    </row>
    <row r="124" spans="1:2" x14ac:dyDescent="0.3">
      <c r="A124" s="9"/>
      <c r="B124" s="9"/>
    </row>
    <row r="125" spans="1:2" x14ac:dyDescent="0.3">
      <c r="A125" s="9"/>
      <c r="B125" s="9"/>
    </row>
    <row r="126" spans="1:2" x14ac:dyDescent="0.3">
      <c r="A126" s="9"/>
      <c r="B126" s="9"/>
    </row>
    <row r="127" spans="1:2" x14ac:dyDescent="0.3">
      <c r="A127" s="9"/>
      <c r="B127" s="9"/>
    </row>
    <row r="128" spans="1:2" x14ac:dyDescent="0.3">
      <c r="A128" s="9"/>
      <c r="B128" s="9"/>
    </row>
    <row r="129" spans="1:2" x14ac:dyDescent="0.3">
      <c r="A129" s="9"/>
      <c r="B129" s="9"/>
    </row>
    <row r="130" spans="1:2" x14ac:dyDescent="0.3">
      <c r="A130" s="9"/>
      <c r="B130" s="9"/>
    </row>
    <row r="131" spans="1:2" x14ac:dyDescent="0.3">
      <c r="A131" s="9"/>
      <c r="B131" s="9"/>
    </row>
    <row r="132" spans="1:2" x14ac:dyDescent="0.3">
      <c r="A132" s="9"/>
      <c r="B132" s="9"/>
    </row>
    <row r="133" spans="1:2" x14ac:dyDescent="0.3">
      <c r="A133" s="9"/>
      <c r="B133" s="9"/>
    </row>
    <row r="134" spans="1:2" x14ac:dyDescent="0.3">
      <c r="A134" s="9"/>
      <c r="B134" s="9"/>
    </row>
    <row r="135" spans="1:2" x14ac:dyDescent="0.3">
      <c r="A135" s="9"/>
      <c r="B135" s="9"/>
    </row>
    <row r="136" spans="1:2" x14ac:dyDescent="0.3">
      <c r="A136" s="9"/>
      <c r="B136" s="9"/>
    </row>
    <row r="137" spans="1:2" x14ac:dyDescent="0.3">
      <c r="A137" s="9"/>
      <c r="B137" s="9"/>
    </row>
    <row r="138" spans="1:2" x14ac:dyDescent="0.3">
      <c r="A138" s="9"/>
      <c r="B138" s="9"/>
    </row>
    <row r="139" spans="1:2" x14ac:dyDescent="0.3">
      <c r="A139" s="9"/>
      <c r="B139" s="9"/>
    </row>
    <row r="140" spans="1:2" x14ac:dyDescent="0.3">
      <c r="A140" s="9"/>
      <c r="B140" s="9"/>
    </row>
    <row r="141" spans="1:2" x14ac:dyDescent="0.3">
      <c r="A141" s="9"/>
      <c r="B141" s="9"/>
    </row>
    <row r="142" spans="1:2" x14ac:dyDescent="0.3">
      <c r="A142" s="9"/>
      <c r="B142" s="9"/>
    </row>
    <row r="143" spans="1:2" x14ac:dyDescent="0.3">
      <c r="A143" s="9"/>
      <c r="B143" s="9"/>
    </row>
    <row r="144" spans="1:2" x14ac:dyDescent="0.3">
      <c r="A144" s="9"/>
      <c r="B144" s="9"/>
    </row>
    <row r="145" spans="1:2" x14ac:dyDescent="0.3">
      <c r="A145" s="9"/>
      <c r="B145" s="9"/>
    </row>
    <row r="146" spans="1:2" x14ac:dyDescent="0.3">
      <c r="A146" s="9"/>
      <c r="B146" s="9"/>
    </row>
    <row r="147" spans="1:2" x14ac:dyDescent="0.3">
      <c r="A147" s="9"/>
      <c r="B147" s="9"/>
    </row>
    <row r="148" spans="1:2" x14ac:dyDescent="0.3">
      <c r="A148" s="9"/>
      <c r="B148" s="9"/>
    </row>
    <row r="149" spans="1:2" x14ac:dyDescent="0.3">
      <c r="A149" s="9"/>
      <c r="B149" s="9"/>
    </row>
    <row r="150" spans="1:2" x14ac:dyDescent="0.3">
      <c r="A150" s="9"/>
      <c r="B150" s="9"/>
    </row>
    <row r="151" spans="1:2" x14ac:dyDescent="0.3">
      <c r="A151" s="9"/>
      <c r="B151" s="9"/>
    </row>
    <row r="152" spans="1:2" x14ac:dyDescent="0.3">
      <c r="A152" s="9"/>
      <c r="B152" s="9"/>
    </row>
    <row r="153" spans="1:2" x14ac:dyDescent="0.3">
      <c r="A153" s="9"/>
      <c r="B153" s="9"/>
    </row>
    <row r="154" spans="1:2" x14ac:dyDescent="0.3">
      <c r="A154" s="9"/>
      <c r="B154" s="9"/>
    </row>
    <row r="155" spans="1:2" x14ac:dyDescent="0.3">
      <c r="A155" s="9"/>
      <c r="B155" s="9"/>
    </row>
    <row r="156" spans="1:2" x14ac:dyDescent="0.3">
      <c r="A156" s="9"/>
      <c r="B156" s="9"/>
    </row>
    <row r="157" spans="1:2" x14ac:dyDescent="0.3">
      <c r="A157" s="9"/>
      <c r="B157" s="9"/>
    </row>
    <row r="158" spans="1:2" x14ac:dyDescent="0.3">
      <c r="A158" s="9"/>
      <c r="B158" s="9"/>
    </row>
    <row r="159" spans="1:2" x14ac:dyDescent="0.3">
      <c r="A159" s="9"/>
      <c r="B159" s="9"/>
    </row>
    <row r="160" spans="1:2" x14ac:dyDescent="0.3">
      <c r="A160" s="9"/>
      <c r="B160" s="9"/>
    </row>
    <row r="161" spans="1:2" x14ac:dyDescent="0.3">
      <c r="A161" s="9"/>
      <c r="B161" s="9"/>
    </row>
    <row r="162" spans="1:2" x14ac:dyDescent="0.3">
      <c r="A162" s="9"/>
      <c r="B162" s="9"/>
    </row>
    <row r="163" spans="1:2" x14ac:dyDescent="0.3">
      <c r="A163" s="9"/>
      <c r="B163" s="9"/>
    </row>
    <row r="164" spans="1:2" x14ac:dyDescent="0.3">
      <c r="A164" s="9"/>
      <c r="B164" s="9"/>
    </row>
    <row r="165" spans="1:2" x14ac:dyDescent="0.3">
      <c r="A165" s="9"/>
      <c r="B165" s="9"/>
    </row>
    <row r="166" spans="1:2" x14ac:dyDescent="0.3">
      <c r="A166" s="9"/>
      <c r="B166" s="9"/>
    </row>
    <row r="167" spans="1:2" x14ac:dyDescent="0.3">
      <c r="A167" s="9"/>
      <c r="B167" s="9"/>
    </row>
    <row r="168" spans="1:2" x14ac:dyDescent="0.3">
      <c r="A168" s="9"/>
      <c r="B168" s="9"/>
    </row>
    <row r="169" spans="1:2" x14ac:dyDescent="0.3">
      <c r="A169" s="9"/>
      <c r="B169" s="9"/>
    </row>
    <row r="170" spans="1:2" x14ac:dyDescent="0.3">
      <c r="A170" s="9"/>
      <c r="B170" s="9"/>
    </row>
    <row r="171" spans="1:2" x14ac:dyDescent="0.3">
      <c r="A171" s="9"/>
      <c r="B171" s="9"/>
    </row>
    <row r="172" spans="1:2" x14ac:dyDescent="0.3">
      <c r="A172" s="9"/>
      <c r="B172" s="9"/>
    </row>
    <row r="173" spans="1:2" x14ac:dyDescent="0.3">
      <c r="A173" s="9"/>
      <c r="B173" s="9"/>
    </row>
    <row r="174" spans="1:2" x14ac:dyDescent="0.3">
      <c r="A174" s="9"/>
      <c r="B174" s="9"/>
    </row>
    <row r="175" spans="1:2" x14ac:dyDescent="0.3">
      <c r="A175" s="9"/>
      <c r="B175" s="9"/>
    </row>
    <row r="176" spans="1:2" x14ac:dyDescent="0.3">
      <c r="A176" s="9"/>
      <c r="B176" s="9"/>
    </row>
    <row r="177" spans="1:2" x14ac:dyDescent="0.3">
      <c r="A177" s="9"/>
      <c r="B177" s="9"/>
    </row>
    <row r="178" spans="1:2" x14ac:dyDescent="0.3">
      <c r="A178" s="9"/>
      <c r="B178" s="9"/>
    </row>
    <row r="179" spans="1:2" x14ac:dyDescent="0.3">
      <c r="A179" s="9"/>
      <c r="B179" s="9"/>
    </row>
    <row r="180" spans="1:2" x14ac:dyDescent="0.3">
      <c r="A180" s="9"/>
      <c r="B180" s="9"/>
    </row>
    <row r="181" spans="1:2" x14ac:dyDescent="0.3">
      <c r="A181" s="9"/>
      <c r="B181" s="9"/>
    </row>
    <row r="182" spans="1:2" x14ac:dyDescent="0.3">
      <c r="A182" s="9"/>
      <c r="B182" s="9"/>
    </row>
    <row r="183" spans="1:2" x14ac:dyDescent="0.3">
      <c r="A183" s="9"/>
      <c r="B183" s="9"/>
    </row>
    <row r="184" spans="1:2" x14ac:dyDescent="0.3">
      <c r="A184" s="9"/>
      <c r="B184" s="9"/>
    </row>
    <row r="185" spans="1:2" x14ac:dyDescent="0.3">
      <c r="A185" s="9"/>
      <c r="B185" s="9"/>
    </row>
    <row r="186" spans="1:2" x14ac:dyDescent="0.3">
      <c r="A186" s="9"/>
      <c r="B186" s="9"/>
    </row>
    <row r="187" spans="1:2" x14ac:dyDescent="0.3">
      <c r="A187" s="9"/>
      <c r="B187" s="9"/>
    </row>
    <row r="188" spans="1:2" x14ac:dyDescent="0.3">
      <c r="A188" s="9"/>
      <c r="B188" s="9"/>
    </row>
    <row r="189" spans="1:2" x14ac:dyDescent="0.3">
      <c r="A189" s="9"/>
      <c r="B189" s="9"/>
    </row>
    <row r="190" spans="1:2" x14ac:dyDescent="0.3">
      <c r="A190" s="9"/>
      <c r="B190" s="9"/>
    </row>
    <row r="191" spans="1:2" x14ac:dyDescent="0.3">
      <c r="A191" s="9"/>
      <c r="B191" s="9"/>
    </row>
    <row r="192" spans="1:2" x14ac:dyDescent="0.3">
      <c r="A192" s="9"/>
      <c r="B192" s="9"/>
    </row>
    <row r="193" spans="1:2" x14ac:dyDescent="0.3">
      <c r="A193" s="9"/>
      <c r="B193" s="9"/>
    </row>
    <row r="194" spans="1:2" x14ac:dyDescent="0.3">
      <c r="A194" s="9"/>
      <c r="B194" s="9"/>
    </row>
    <row r="195" spans="1:2" x14ac:dyDescent="0.3">
      <c r="A195" s="9"/>
      <c r="B195" s="9"/>
    </row>
    <row r="196" spans="1:2" x14ac:dyDescent="0.3">
      <c r="A196" s="9"/>
      <c r="B196" s="9"/>
    </row>
    <row r="197" spans="1:2" x14ac:dyDescent="0.3">
      <c r="A197" s="9"/>
      <c r="B197" s="9"/>
    </row>
    <row r="198" spans="1:2" x14ac:dyDescent="0.3">
      <c r="A198" s="9"/>
      <c r="B198" s="9"/>
    </row>
    <row r="199" spans="1:2" x14ac:dyDescent="0.3">
      <c r="A199" s="9"/>
      <c r="B199" s="9"/>
    </row>
    <row r="200" spans="1:2" x14ac:dyDescent="0.3">
      <c r="A200" s="9"/>
      <c r="B200" s="9"/>
    </row>
    <row r="201" spans="1:2" x14ac:dyDescent="0.3">
      <c r="A201" s="9"/>
      <c r="B201" s="9"/>
    </row>
    <row r="202" spans="1:2" x14ac:dyDescent="0.3">
      <c r="A202" s="9"/>
      <c r="B202" s="9"/>
    </row>
    <row r="203" spans="1:2" x14ac:dyDescent="0.3">
      <c r="A203" s="9"/>
      <c r="B203" s="9"/>
    </row>
    <row r="204" spans="1:2" x14ac:dyDescent="0.3">
      <c r="A204" s="9"/>
      <c r="B204" s="9"/>
    </row>
    <row r="205" spans="1:2" x14ac:dyDescent="0.3">
      <c r="A205" s="9"/>
      <c r="B205" s="9"/>
    </row>
    <row r="206" spans="1:2" x14ac:dyDescent="0.3">
      <c r="A206" s="9"/>
      <c r="B206" s="9"/>
    </row>
    <row r="207" spans="1:2" x14ac:dyDescent="0.3">
      <c r="A207" s="9"/>
      <c r="B207" s="9"/>
    </row>
    <row r="208" spans="1:2" x14ac:dyDescent="0.3">
      <c r="A208" s="9"/>
      <c r="B208" s="9"/>
    </row>
  </sheetData>
  <mergeCells count="1">
    <mergeCell ref="A8:B8"/>
  </mergeCells>
  <conditionalFormatting sqref="A9:B9">
    <cfRule type="containsText" dxfId="358" priority="16" operator="containsText" text="back">
      <formula>NOT(ISERROR(SEARCH("back",A9)))</formula>
    </cfRule>
  </conditionalFormatting>
  <conditionalFormatting sqref="A16:B16">
    <cfRule type="containsText" dxfId="357" priority="15" operator="containsText" text="back">
      <formula>NOT(ISERROR(SEARCH("back",A16)))</formula>
    </cfRule>
  </conditionalFormatting>
  <conditionalFormatting sqref="A23:B23">
    <cfRule type="containsText" dxfId="356" priority="14" operator="containsText" text="back">
      <formula>NOT(ISERROR(SEARCH("back",A23)))</formula>
    </cfRule>
  </conditionalFormatting>
  <conditionalFormatting sqref="A30:B30">
    <cfRule type="containsText" dxfId="355" priority="13" operator="containsText" text="back">
      <formula>NOT(ISERROR(SEARCH("back",A30)))</formula>
    </cfRule>
  </conditionalFormatting>
  <conditionalFormatting sqref="A37:B37">
    <cfRule type="containsText" dxfId="354" priority="12" operator="containsText" text="back">
      <formula>NOT(ISERROR(SEARCH("back",A37)))</formula>
    </cfRule>
  </conditionalFormatting>
  <conditionalFormatting sqref="A44:B44">
    <cfRule type="containsText" dxfId="353" priority="11" operator="containsText" text="back">
      <formula>NOT(ISERROR(SEARCH("back",A44)))</formula>
    </cfRule>
  </conditionalFormatting>
  <conditionalFormatting sqref="A51:B51">
    <cfRule type="containsText" dxfId="352" priority="10" operator="containsText" text="back">
      <formula>NOT(ISERROR(SEARCH("back",A51)))</formula>
    </cfRule>
  </conditionalFormatting>
  <conditionalFormatting sqref="A58:B58">
    <cfRule type="containsText" dxfId="351" priority="9" operator="containsText" text="back">
      <formula>NOT(ISERROR(SEARCH("back",A58)))</formula>
    </cfRule>
  </conditionalFormatting>
  <conditionalFormatting sqref="A65:B65">
    <cfRule type="containsText" dxfId="350" priority="8" operator="containsText" text="back">
      <formula>NOT(ISERROR(SEARCH("back",A65)))</formula>
    </cfRule>
  </conditionalFormatting>
  <conditionalFormatting sqref="A72:B72">
    <cfRule type="containsText" dxfId="349" priority="7" operator="containsText" text="back">
      <formula>NOT(ISERROR(SEARCH("back",A72)))</formula>
    </cfRule>
  </conditionalFormatting>
  <conditionalFormatting sqref="A79:B79">
    <cfRule type="containsText" dxfId="348" priority="6" operator="containsText" text="back">
      <formula>NOT(ISERROR(SEARCH("back",A79)))</formula>
    </cfRule>
  </conditionalFormatting>
  <conditionalFormatting sqref="A86:B86">
    <cfRule type="containsText" dxfId="347" priority="5" operator="containsText" text="back">
      <formula>NOT(ISERROR(SEARCH("back",A86)))</formula>
    </cfRule>
  </conditionalFormatting>
  <conditionalFormatting sqref="A93:B93">
    <cfRule type="containsText" dxfId="346" priority="4" operator="containsText" text="back">
      <formula>NOT(ISERROR(SEARCH("back",A93)))</formula>
    </cfRule>
  </conditionalFormatting>
  <conditionalFormatting sqref="A100:B100">
    <cfRule type="containsText" dxfId="345" priority="3" operator="containsText" text="back">
      <formula>NOT(ISERROR(SEARCH("back",A100)))</formula>
    </cfRule>
  </conditionalFormatting>
  <conditionalFormatting sqref="A107:B107">
    <cfRule type="containsText" dxfId="344" priority="2" operator="containsText" text="back">
      <formula>NOT(ISERROR(SEARCH("back",A107)))</formula>
    </cfRule>
  </conditionalFormatting>
  <conditionalFormatting sqref="A114:B114">
    <cfRule type="containsText" dxfId="343" priority="1" operator="containsText" text="back">
      <formula>NOT(ISERROR(SEARCH("back",A114)))</formula>
    </cfRule>
  </conditionalFormatting>
  <pageMargins left="0.7" right="0.7" top="0.75" bottom="0.75" header="0.3" footer="0.3"/>
  <pageSetup orientation="portrait" horizontalDpi="300" verticalDpi="30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G445"/>
  <sheetViews>
    <sheetView workbookViewId="0">
      <pane xSplit="3" ySplit="9" topLeftCell="D21" activePane="bottomRight" state="frozen"/>
      <selection activeCell="A2" sqref="A2"/>
      <selection pane="topRight" activeCell="A2" sqref="A2"/>
      <selection pane="bottomLeft" activeCell="A2" sqref="A2"/>
      <selection pane="bottomRight" activeCell="B32" sqref="B32"/>
    </sheetView>
  </sheetViews>
  <sheetFormatPr defaultColWidth="8.77734375" defaultRowHeight="14.4" x14ac:dyDescent="0.3"/>
  <cols>
    <col min="1" max="1" width="7.44140625" style="9" bestFit="1" customWidth="1"/>
    <col min="2" max="2" width="21" style="9" bestFit="1" customWidth="1"/>
    <col min="3" max="4" width="6.109375" style="9" bestFit="1" customWidth="1"/>
    <col min="5" max="13" width="4.109375" style="9" bestFit="1" customWidth="1"/>
    <col min="14" max="21" width="5.109375" style="9" bestFit="1" customWidth="1"/>
    <col min="22" max="22" width="6.109375" style="9" bestFit="1" customWidth="1"/>
    <col min="23" max="23" width="6.77734375" style="9" bestFit="1" customWidth="1"/>
    <col min="24" max="24" width="10" style="40" bestFit="1" customWidth="1"/>
    <col min="25" max="25" width="11" style="40" bestFit="1" customWidth="1"/>
    <col min="26" max="26" width="12.77734375" style="40" bestFit="1" customWidth="1"/>
    <col min="27" max="27" width="21" style="9" bestFit="1" customWidth="1"/>
    <col min="28" max="29" width="8.77734375" style="9"/>
    <col min="30" max="30" width="13.77734375" style="9" bestFit="1" customWidth="1"/>
    <col min="31" max="31" width="7.77734375" style="9" bestFit="1" customWidth="1"/>
    <col min="32" max="32" width="10.109375" style="9" bestFit="1" customWidth="1"/>
    <col min="33" max="34" width="8.77734375" style="9"/>
    <col min="35" max="35" width="13.109375" style="9" customWidth="1"/>
    <col min="36" max="36" width="8.77734375" style="9"/>
    <col min="37" max="37" width="9.44140625" style="9" customWidth="1"/>
    <col min="38" max="16384" width="8.77734375" style="9"/>
  </cols>
  <sheetData>
    <row r="1" spans="1:33" x14ac:dyDescent="0.3">
      <c r="A1" s="269"/>
      <c r="B1" s="273"/>
      <c r="C1" s="275"/>
      <c r="D1" s="105"/>
      <c r="E1" s="105"/>
    </row>
    <row r="2" spans="1:33" x14ac:dyDescent="0.3">
      <c r="A2" s="271"/>
      <c r="B2" s="105"/>
      <c r="C2" s="277"/>
      <c r="D2" s="105"/>
      <c r="E2" s="105"/>
    </row>
    <row r="3" spans="1:33" x14ac:dyDescent="0.3">
      <c r="A3" s="271"/>
      <c r="B3" s="105"/>
      <c r="C3" s="277"/>
      <c r="D3" s="105"/>
      <c r="E3" s="105"/>
    </row>
    <row r="4" spans="1:33" x14ac:dyDescent="0.3">
      <c r="A4" s="271"/>
      <c r="B4" s="105"/>
      <c r="C4" s="277"/>
      <c r="D4" s="105"/>
      <c r="E4" s="105"/>
    </row>
    <row r="5" spans="1:33" x14ac:dyDescent="0.3">
      <c r="A5" s="271"/>
      <c r="B5" s="487" t="s">
        <v>414</v>
      </c>
      <c r="C5" s="277"/>
      <c r="D5" s="105"/>
      <c r="E5" s="105"/>
    </row>
    <row r="6" spans="1:33" x14ac:dyDescent="0.3">
      <c r="A6" s="585" t="s">
        <v>1564</v>
      </c>
      <c r="B6" s="586"/>
      <c r="C6" s="587"/>
      <c r="D6" s="105"/>
      <c r="E6" s="105"/>
    </row>
    <row r="7" spans="1:33" x14ac:dyDescent="0.3">
      <c r="A7" s="585"/>
      <c r="B7" s="586"/>
      <c r="C7" s="587"/>
      <c r="D7" s="105"/>
      <c r="E7" s="105"/>
    </row>
    <row r="8" spans="1:33" ht="15" thickBot="1" x14ac:dyDescent="0.35">
      <c r="A8" s="588" t="s">
        <v>1790</v>
      </c>
      <c r="B8" s="589"/>
      <c r="C8" s="590"/>
      <c r="D8" s="105"/>
      <c r="E8" s="105"/>
      <c r="Z8" s="591" t="s">
        <v>1510</v>
      </c>
      <c r="AA8" s="592"/>
      <c r="AB8" s="592"/>
      <c r="AC8" s="592"/>
    </row>
    <row r="9" spans="1:33" x14ac:dyDescent="0.3">
      <c r="A9" s="35" t="s">
        <v>863</v>
      </c>
      <c r="B9" s="35" t="s">
        <v>415</v>
      </c>
      <c r="C9" s="35" t="s">
        <v>413</v>
      </c>
      <c r="D9" s="35" t="s">
        <v>387</v>
      </c>
      <c r="E9" s="35" t="s">
        <v>864</v>
      </c>
      <c r="F9" s="35" t="s">
        <v>865</v>
      </c>
      <c r="G9" s="35" t="s">
        <v>866</v>
      </c>
      <c r="H9" s="35" t="s">
        <v>867</v>
      </c>
      <c r="I9" s="35" t="s">
        <v>868</v>
      </c>
      <c r="J9" s="35" t="s">
        <v>869</v>
      </c>
      <c r="K9" s="35" t="s">
        <v>870</v>
      </c>
      <c r="L9" s="35" t="s">
        <v>871</v>
      </c>
      <c r="M9" s="35" t="s">
        <v>872</v>
      </c>
      <c r="N9" s="35" t="s">
        <v>873</v>
      </c>
      <c r="O9" s="35" t="s">
        <v>874</v>
      </c>
      <c r="P9" s="35" t="s">
        <v>875</v>
      </c>
      <c r="Q9" s="35" t="s">
        <v>876</v>
      </c>
      <c r="R9" s="35" t="s">
        <v>877</v>
      </c>
      <c r="S9" s="35" t="s">
        <v>878</v>
      </c>
      <c r="T9" s="35" t="s">
        <v>879</v>
      </c>
      <c r="U9" s="35" t="s">
        <v>880</v>
      </c>
      <c r="V9" s="35" t="s">
        <v>1511</v>
      </c>
      <c r="W9" s="35" t="s">
        <v>1512</v>
      </c>
      <c r="X9" s="9"/>
      <c r="Z9" s="35" t="s">
        <v>863</v>
      </c>
      <c r="AA9" s="35" t="s">
        <v>415</v>
      </c>
      <c r="AB9" s="35" t="s">
        <v>387</v>
      </c>
      <c r="AC9" s="35" t="s">
        <v>413</v>
      </c>
      <c r="AD9" s="35" t="s">
        <v>1513</v>
      </c>
      <c r="AE9" s="35" t="s">
        <v>388</v>
      </c>
      <c r="AF9" s="35" t="s">
        <v>1514</v>
      </c>
      <c r="AG9" s="35" t="s">
        <v>1515</v>
      </c>
    </row>
    <row r="10" spans="1:33" x14ac:dyDescent="0.3">
      <c r="A10" s="14">
        <v>1</v>
      </c>
      <c r="B10" s="135" t="s">
        <v>187</v>
      </c>
      <c r="C10" s="135" t="s">
        <v>396</v>
      </c>
      <c r="D10" s="135" t="s">
        <v>20</v>
      </c>
      <c r="E10" s="488">
        <v>11</v>
      </c>
      <c r="F10" s="14">
        <v>11</v>
      </c>
      <c r="G10" s="14">
        <v>18</v>
      </c>
      <c r="H10" s="247"/>
      <c r="I10" s="14"/>
      <c r="J10" s="14"/>
      <c r="K10" s="14"/>
      <c r="L10" s="14"/>
      <c r="M10" s="14"/>
      <c r="N10" s="14"/>
      <c r="O10" s="14"/>
      <c r="P10" s="14"/>
      <c r="Q10" s="14"/>
      <c r="R10" s="14"/>
      <c r="S10" s="14"/>
      <c r="T10" s="14"/>
      <c r="U10" s="14"/>
      <c r="V10" s="14">
        <v>40</v>
      </c>
      <c r="W10" s="14">
        <v>13.3</v>
      </c>
      <c r="X10" s="9"/>
      <c r="Z10" s="14">
        <v>1</v>
      </c>
      <c r="AA10" s="14" t="s">
        <v>1795</v>
      </c>
      <c r="AB10" s="14" t="s">
        <v>395</v>
      </c>
      <c r="AC10" s="14" t="s">
        <v>396</v>
      </c>
      <c r="AD10" s="14">
        <v>6</v>
      </c>
      <c r="AE10" s="14">
        <v>9</v>
      </c>
      <c r="AF10" s="14">
        <v>66.67</v>
      </c>
      <c r="AG10" s="14">
        <v>4</v>
      </c>
    </row>
    <row r="11" spans="1:33" x14ac:dyDescent="0.3">
      <c r="A11" s="14">
        <v>2</v>
      </c>
      <c r="B11" s="135" t="s">
        <v>217</v>
      </c>
      <c r="C11" s="135" t="s">
        <v>396</v>
      </c>
      <c r="D11" s="135" t="s">
        <v>401</v>
      </c>
      <c r="E11" s="488">
        <v>7</v>
      </c>
      <c r="F11" s="14">
        <v>17</v>
      </c>
      <c r="G11" s="14">
        <v>13</v>
      </c>
      <c r="H11" s="247"/>
      <c r="I11" s="14"/>
      <c r="J11" s="14"/>
      <c r="K11" s="14"/>
      <c r="L11" s="14"/>
      <c r="M11" s="14"/>
      <c r="N11" s="14"/>
      <c r="O11" s="14"/>
      <c r="P11" s="14"/>
      <c r="Q11" s="14"/>
      <c r="R11" s="14"/>
      <c r="S11" s="14"/>
      <c r="T11" s="14"/>
      <c r="U11" s="14"/>
      <c r="V11" s="14">
        <v>37</v>
      </c>
      <c r="W11" s="14">
        <v>12.3</v>
      </c>
      <c r="X11" s="9"/>
      <c r="Z11" s="14">
        <v>2</v>
      </c>
      <c r="AA11" s="14" t="s">
        <v>1843</v>
      </c>
      <c r="AB11" s="14" t="s">
        <v>70</v>
      </c>
      <c r="AC11" s="14" t="s">
        <v>396</v>
      </c>
      <c r="AD11" s="14">
        <v>4</v>
      </c>
      <c r="AE11" s="14">
        <v>8</v>
      </c>
      <c r="AF11" s="14">
        <v>50</v>
      </c>
      <c r="AG11" s="14">
        <v>1</v>
      </c>
    </row>
    <row r="12" spans="1:33" x14ac:dyDescent="0.3">
      <c r="A12" s="14">
        <v>3</v>
      </c>
      <c r="B12" s="135" t="s">
        <v>205</v>
      </c>
      <c r="C12" s="135" t="s">
        <v>396</v>
      </c>
      <c r="D12" s="135" t="s">
        <v>57</v>
      </c>
      <c r="E12" s="488">
        <v>10</v>
      </c>
      <c r="F12" s="14">
        <v>13</v>
      </c>
      <c r="G12" s="14">
        <v>12</v>
      </c>
      <c r="H12" s="247"/>
      <c r="I12" s="14"/>
      <c r="J12" s="14"/>
      <c r="K12" s="14"/>
      <c r="L12" s="14"/>
      <c r="M12" s="14"/>
      <c r="N12" s="14"/>
      <c r="O12" s="14"/>
      <c r="P12" s="14"/>
      <c r="Q12" s="14"/>
      <c r="R12" s="14"/>
      <c r="S12" s="14"/>
      <c r="T12" s="14"/>
      <c r="U12" s="14"/>
      <c r="V12" s="14">
        <v>35</v>
      </c>
      <c r="W12" s="14">
        <v>11.7</v>
      </c>
      <c r="X12" s="9"/>
      <c r="Z12" s="14">
        <v>3</v>
      </c>
      <c r="AA12" s="14" t="s">
        <v>1791</v>
      </c>
      <c r="AB12" s="14" t="s">
        <v>30</v>
      </c>
      <c r="AC12" s="14" t="s">
        <v>394</v>
      </c>
      <c r="AD12" s="14">
        <v>5</v>
      </c>
      <c r="AE12" s="14">
        <v>7</v>
      </c>
      <c r="AF12" s="14">
        <v>71.430000000000007</v>
      </c>
      <c r="AG12" s="14">
        <v>2</v>
      </c>
    </row>
    <row r="13" spans="1:33" x14ac:dyDescent="0.3">
      <c r="A13" s="14">
        <v>4</v>
      </c>
      <c r="B13" s="135" t="s">
        <v>213</v>
      </c>
      <c r="C13" s="135" t="s">
        <v>396</v>
      </c>
      <c r="D13" s="135" t="s">
        <v>16</v>
      </c>
      <c r="E13" s="488">
        <v>12</v>
      </c>
      <c r="F13" s="14">
        <v>11</v>
      </c>
      <c r="G13" s="14">
        <v>11</v>
      </c>
      <c r="H13" s="14"/>
      <c r="I13" s="14"/>
      <c r="J13" s="14"/>
      <c r="K13" s="14"/>
      <c r="L13" s="14"/>
      <c r="M13" s="14"/>
      <c r="N13" s="14"/>
      <c r="O13" s="14"/>
      <c r="P13" s="14"/>
      <c r="Q13" s="14"/>
      <c r="R13" s="14"/>
      <c r="S13" s="14"/>
      <c r="T13" s="14"/>
      <c r="U13" s="14"/>
      <c r="V13" s="14">
        <v>34</v>
      </c>
      <c r="W13" s="14">
        <v>11.3</v>
      </c>
      <c r="X13" s="9"/>
      <c r="Z13" s="14">
        <v>4</v>
      </c>
      <c r="AA13" s="14" t="s">
        <v>1796</v>
      </c>
      <c r="AB13" s="14" t="s">
        <v>24</v>
      </c>
      <c r="AC13" s="14" t="s">
        <v>396</v>
      </c>
      <c r="AD13" s="14">
        <v>4</v>
      </c>
      <c r="AE13" s="14">
        <v>7</v>
      </c>
      <c r="AF13" s="14">
        <v>57.14</v>
      </c>
      <c r="AG13" s="14">
        <v>3</v>
      </c>
    </row>
    <row r="14" spans="1:33" x14ac:dyDescent="0.3">
      <c r="A14" s="14">
        <v>5</v>
      </c>
      <c r="B14" s="135" t="s">
        <v>193</v>
      </c>
      <c r="C14" s="135" t="s">
        <v>396</v>
      </c>
      <c r="D14" s="135" t="s">
        <v>24</v>
      </c>
      <c r="E14" s="488">
        <v>10</v>
      </c>
      <c r="F14" s="14">
        <v>11</v>
      </c>
      <c r="G14" s="14">
        <v>12</v>
      </c>
      <c r="H14" s="14"/>
      <c r="I14" s="14"/>
      <c r="J14" s="14"/>
      <c r="K14" s="14"/>
      <c r="L14" s="14"/>
      <c r="M14" s="14"/>
      <c r="N14" s="14"/>
      <c r="O14" s="14"/>
      <c r="P14" s="14"/>
      <c r="Q14" s="14"/>
      <c r="R14" s="14"/>
      <c r="S14" s="14"/>
      <c r="T14" s="14"/>
      <c r="U14" s="14"/>
      <c r="V14" s="14">
        <v>33</v>
      </c>
      <c r="W14" s="14">
        <v>11</v>
      </c>
      <c r="X14" s="9"/>
      <c r="Z14" s="14">
        <v>5</v>
      </c>
      <c r="AA14" s="14" t="s">
        <v>1805</v>
      </c>
      <c r="AB14" s="14" t="s">
        <v>18</v>
      </c>
      <c r="AC14" s="14" t="s">
        <v>396</v>
      </c>
      <c r="AD14" s="14">
        <v>3</v>
      </c>
      <c r="AE14" s="14">
        <v>7</v>
      </c>
      <c r="AF14" s="14">
        <v>42.86</v>
      </c>
      <c r="AG14" s="14">
        <v>1</v>
      </c>
    </row>
    <row r="15" spans="1:33" x14ac:dyDescent="0.3">
      <c r="A15" s="14">
        <v>6</v>
      </c>
      <c r="B15" s="135" t="s">
        <v>195</v>
      </c>
      <c r="C15" s="135" t="s">
        <v>396</v>
      </c>
      <c r="D15" s="135" t="s">
        <v>28</v>
      </c>
      <c r="E15" s="488">
        <v>13</v>
      </c>
      <c r="F15" s="14">
        <v>8</v>
      </c>
      <c r="G15" s="14">
        <v>11</v>
      </c>
      <c r="H15" s="14"/>
      <c r="I15" s="14"/>
      <c r="J15" s="14"/>
      <c r="K15" s="14"/>
      <c r="L15" s="14"/>
      <c r="M15" s="14"/>
      <c r="N15" s="14"/>
      <c r="O15" s="14"/>
      <c r="P15" s="14"/>
      <c r="Q15" s="14"/>
      <c r="R15" s="14"/>
      <c r="S15" s="14"/>
      <c r="T15" s="14"/>
      <c r="U15" s="14"/>
      <c r="V15" s="14">
        <v>32</v>
      </c>
      <c r="W15" s="14">
        <v>10.7</v>
      </c>
      <c r="X15" s="9"/>
      <c r="Z15" s="14">
        <v>6</v>
      </c>
      <c r="AA15" s="14" t="s">
        <v>1793</v>
      </c>
      <c r="AB15" s="14" t="s">
        <v>34</v>
      </c>
      <c r="AC15" s="14" t="s">
        <v>396</v>
      </c>
      <c r="AD15" s="14">
        <v>1</v>
      </c>
      <c r="AE15" s="14">
        <v>7</v>
      </c>
      <c r="AF15" s="14">
        <v>14.29</v>
      </c>
      <c r="AG15" s="14">
        <v>0</v>
      </c>
    </row>
    <row r="16" spans="1:33" x14ac:dyDescent="0.3">
      <c r="A16" s="14">
        <v>7</v>
      </c>
      <c r="B16" s="135" t="s">
        <v>479</v>
      </c>
      <c r="C16" s="135" t="s">
        <v>396</v>
      </c>
      <c r="D16" s="135" t="s">
        <v>14</v>
      </c>
      <c r="E16" s="488">
        <v>7</v>
      </c>
      <c r="F16" s="14">
        <v>10</v>
      </c>
      <c r="G16" s="14">
        <v>14</v>
      </c>
      <c r="H16" s="247"/>
      <c r="I16" s="14"/>
      <c r="J16" s="14"/>
      <c r="K16" s="14"/>
      <c r="L16" s="14"/>
      <c r="M16" s="14"/>
      <c r="N16" s="14"/>
      <c r="O16" s="14"/>
      <c r="P16" s="14"/>
      <c r="Q16" s="14"/>
      <c r="R16" s="14"/>
      <c r="S16" s="14"/>
      <c r="T16" s="14"/>
      <c r="U16" s="14"/>
      <c r="V16" s="14">
        <v>31</v>
      </c>
      <c r="W16" s="14">
        <v>10.3</v>
      </c>
      <c r="X16" s="9"/>
      <c r="Z16" s="14">
        <v>7</v>
      </c>
      <c r="AA16" s="14" t="s">
        <v>1800</v>
      </c>
      <c r="AB16" s="14" t="s">
        <v>7</v>
      </c>
      <c r="AC16" s="14" t="s">
        <v>396</v>
      </c>
      <c r="AD16" s="14">
        <v>4</v>
      </c>
      <c r="AE16" s="14">
        <v>6</v>
      </c>
      <c r="AF16" s="14">
        <v>66.67</v>
      </c>
      <c r="AG16" s="14">
        <v>2</v>
      </c>
    </row>
    <row r="17" spans="1:33" x14ac:dyDescent="0.3">
      <c r="A17" s="14">
        <v>8</v>
      </c>
      <c r="B17" s="135" t="s">
        <v>194</v>
      </c>
      <c r="C17" s="135" t="s">
        <v>396</v>
      </c>
      <c r="D17" s="135" t="s">
        <v>561</v>
      </c>
      <c r="E17" s="488">
        <v>15</v>
      </c>
      <c r="F17" s="14">
        <v>5</v>
      </c>
      <c r="G17" s="14">
        <v>11</v>
      </c>
      <c r="H17" s="14"/>
      <c r="I17" s="14"/>
      <c r="J17" s="14"/>
      <c r="K17" s="14"/>
      <c r="L17" s="14"/>
      <c r="M17" s="14"/>
      <c r="N17" s="14"/>
      <c r="O17" s="14"/>
      <c r="P17" s="14"/>
      <c r="Q17" s="14"/>
      <c r="R17" s="14"/>
      <c r="S17" s="14"/>
      <c r="T17" s="14"/>
      <c r="U17" s="14"/>
      <c r="V17" s="14">
        <v>31</v>
      </c>
      <c r="W17" s="14">
        <v>10.3</v>
      </c>
      <c r="X17" s="9"/>
      <c r="Z17" s="14">
        <v>8</v>
      </c>
      <c r="AA17" s="14" t="s">
        <v>1811</v>
      </c>
      <c r="AB17" s="14" t="s">
        <v>16</v>
      </c>
      <c r="AC17" s="14" t="s">
        <v>396</v>
      </c>
      <c r="AD17" s="14">
        <v>4</v>
      </c>
      <c r="AE17" s="14">
        <v>6</v>
      </c>
      <c r="AF17" s="14">
        <v>66.67</v>
      </c>
      <c r="AG17" s="14">
        <v>0</v>
      </c>
    </row>
    <row r="18" spans="1:33" x14ac:dyDescent="0.3">
      <c r="A18" s="14">
        <v>9</v>
      </c>
      <c r="B18" s="135" t="s">
        <v>191</v>
      </c>
      <c r="C18" s="135" t="s">
        <v>396</v>
      </c>
      <c r="D18" s="135" t="s">
        <v>37</v>
      </c>
      <c r="E18" s="488">
        <v>8</v>
      </c>
      <c r="F18" s="14">
        <v>11</v>
      </c>
      <c r="G18" s="14">
        <v>11</v>
      </c>
      <c r="H18" s="247"/>
      <c r="I18" s="14"/>
      <c r="J18" s="14"/>
      <c r="K18" s="14"/>
      <c r="L18" s="14"/>
      <c r="M18" s="14"/>
      <c r="N18" s="14"/>
      <c r="O18" s="14"/>
      <c r="P18" s="14"/>
      <c r="Q18" s="14"/>
      <c r="R18" s="14"/>
      <c r="S18" s="14"/>
      <c r="T18" s="14"/>
      <c r="U18" s="14"/>
      <c r="V18" s="14">
        <v>30</v>
      </c>
      <c r="W18" s="14">
        <v>10</v>
      </c>
      <c r="X18" s="9"/>
      <c r="Z18" s="14">
        <v>9</v>
      </c>
      <c r="AA18" s="14" t="s">
        <v>1799</v>
      </c>
      <c r="AB18" s="14" t="s">
        <v>52</v>
      </c>
      <c r="AC18" s="14" t="s">
        <v>399</v>
      </c>
      <c r="AD18" s="14">
        <v>4</v>
      </c>
      <c r="AE18" s="14">
        <v>6</v>
      </c>
      <c r="AF18" s="14">
        <v>66.67</v>
      </c>
      <c r="AG18" s="14">
        <v>0</v>
      </c>
    </row>
    <row r="19" spans="1:33" x14ac:dyDescent="0.3">
      <c r="A19" s="14">
        <v>10</v>
      </c>
      <c r="B19" s="135" t="s">
        <v>201</v>
      </c>
      <c r="C19" s="135" t="s">
        <v>396</v>
      </c>
      <c r="D19" s="135" t="s">
        <v>397</v>
      </c>
      <c r="E19" s="488">
        <v>7</v>
      </c>
      <c r="F19" s="14">
        <v>15</v>
      </c>
      <c r="G19" s="14">
        <v>7</v>
      </c>
      <c r="H19" s="14"/>
      <c r="I19" s="14"/>
      <c r="J19" s="14"/>
      <c r="K19" s="14"/>
      <c r="L19" s="14"/>
      <c r="M19" s="14"/>
      <c r="N19" s="14"/>
      <c r="O19" s="14"/>
      <c r="P19" s="14"/>
      <c r="Q19" s="14"/>
      <c r="R19" s="14"/>
      <c r="S19" s="14"/>
      <c r="T19" s="14"/>
      <c r="U19" s="14"/>
      <c r="V19" s="14">
        <v>29</v>
      </c>
      <c r="W19" s="14">
        <v>9.6999999999999993</v>
      </c>
      <c r="X19" s="9"/>
      <c r="Z19" s="14">
        <v>10</v>
      </c>
      <c r="AA19" s="14" t="s">
        <v>2374</v>
      </c>
      <c r="AB19" s="14" t="s">
        <v>407</v>
      </c>
      <c r="AC19" s="14" t="s">
        <v>396</v>
      </c>
      <c r="AD19" s="14">
        <v>3</v>
      </c>
      <c r="AE19" s="14">
        <v>6</v>
      </c>
      <c r="AF19" s="14">
        <v>50</v>
      </c>
      <c r="AG19" s="14">
        <v>0</v>
      </c>
    </row>
    <row r="20" spans="1:33" x14ac:dyDescent="0.3">
      <c r="A20" s="14">
        <v>11</v>
      </c>
      <c r="B20" s="135" t="s">
        <v>203</v>
      </c>
      <c r="C20" s="135" t="s">
        <v>396</v>
      </c>
      <c r="D20" s="135" t="s">
        <v>70</v>
      </c>
      <c r="E20" s="488">
        <v>8</v>
      </c>
      <c r="F20" s="14">
        <v>8</v>
      </c>
      <c r="G20" s="14">
        <v>13</v>
      </c>
      <c r="H20" s="247"/>
      <c r="I20" s="14"/>
      <c r="J20" s="14"/>
      <c r="K20" s="14"/>
      <c r="L20" s="14"/>
      <c r="M20" s="14"/>
      <c r="N20" s="14"/>
      <c r="O20" s="14"/>
      <c r="P20" s="14"/>
      <c r="Q20" s="14"/>
      <c r="R20" s="14"/>
      <c r="S20" s="14"/>
      <c r="T20" s="14"/>
      <c r="U20" s="14"/>
      <c r="V20" s="14">
        <v>29</v>
      </c>
      <c r="W20" s="14">
        <v>9.6999999999999993</v>
      </c>
      <c r="X20" s="9"/>
      <c r="Z20" s="14">
        <v>11</v>
      </c>
      <c r="AA20" s="14" t="s">
        <v>1792</v>
      </c>
      <c r="AB20" s="14" t="s">
        <v>407</v>
      </c>
      <c r="AC20" s="14" t="s">
        <v>396</v>
      </c>
      <c r="AD20" s="14">
        <v>3</v>
      </c>
      <c r="AE20" s="14">
        <v>6</v>
      </c>
      <c r="AF20" s="14">
        <v>50</v>
      </c>
      <c r="AG20" s="14">
        <v>1</v>
      </c>
    </row>
    <row r="21" spans="1:33" x14ac:dyDescent="0.3">
      <c r="A21" s="14">
        <v>12</v>
      </c>
      <c r="B21" s="135" t="s">
        <v>173</v>
      </c>
      <c r="C21" s="135" t="s">
        <v>396</v>
      </c>
      <c r="D21" s="135" t="s">
        <v>26</v>
      </c>
      <c r="E21" s="488">
        <v>10</v>
      </c>
      <c r="F21" s="14">
        <v>11</v>
      </c>
      <c r="G21" s="14">
        <v>8</v>
      </c>
      <c r="H21" s="14"/>
      <c r="I21" s="14"/>
      <c r="J21" s="14"/>
      <c r="K21" s="14"/>
      <c r="L21" s="14"/>
      <c r="M21" s="14"/>
      <c r="N21" s="14"/>
      <c r="O21" s="14"/>
      <c r="P21" s="14"/>
      <c r="Q21" s="14"/>
      <c r="R21" s="14"/>
      <c r="S21" s="14"/>
      <c r="T21" s="14"/>
      <c r="U21" s="14"/>
      <c r="V21" s="14">
        <v>29</v>
      </c>
      <c r="W21" s="14">
        <v>9.6999999999999993</v>
      </c>
      <c r="X21" s="9"/>
      <c r="Z21" s="14">
        <v>12</v>
      </c>
      <c r="AA21" s="14" t="s">
        <v>1824</v>
      </c>
      <c r="AB21" s="14" t="s">
        <v>37</v>
      </c>
      <c r="AC21" s="14" t="s">
        <v>396</v>
      </c>
      <c r="AD21" s="14">
        <v>1</v>
      </c>
      <c r="AE21" s="14">
        <v>6</v>
      </c>
      <c r="AF21" s="14">
        <v>16.670000000000002</v>
      </c>
      <c r="AG21" s="14">
        <v>0</v>
      </c>
    </row>
    <row r="22" spans="1:33" x14ac:dyDescent="0.3">
      <c r="A22" s="14">
        <v>13</v>
      </c>
      <c r="B22" s="135" t="s">
        <v>214</v>
      </c>
      <c r="C22" s="135" t="s">
        <v>396</v>
      </c>
      <c r="D22" s="135" t="s">
        <v>409</v>
      </c>
      <c r="E22" s="488">
        <v>12</v>
      </c>
      <c r="F22" s="14">
        <v>9</v>
      </c>
      <c r="G22" s="14">
        <v>8</v>
      </c>
      <c r="H22" s="247"/>
      <c r="I22" s="14"/>
      <c r="J22" s="14"/>
      <c r="K22" s="14"/>
      <c r="L22" s="14"/>
      <c r="M22" s="14"/>
      <c r="N22" s="14"/>
      <c r="O22" s="14"/>
      <c r="P22" s="14"/>
      <c r="Q22" s="14"/>
      <c r="R22" s="14"/>
      <c r="S22" s="14"/>
      <c r="T22" s="14"/>
      <c r="U22" s="14"/>
      <c r="V22" s="14">
        <v>29</v>
      </c>
      <c r="W22" s="14">
        <v>9.6999999999999993</v>
      </c>
      <c r="X22" s="9"/>
      <c r="Z22" s="14">
        <v>13</v>
      </c>
      <c r="AA22" s="14" t="s">
        <v>1806</v>
      </c>
      <c r="AB22" s="14" t="s">
        <v>50</v>
      </c>
      <c r="AC22" s="14" t="s">
        <v>396</v>
      </c>
      <c r="AD22" s="14">
        <v>5</v>
      </c>
      <c r="AE22" s="14">
        <v>5</v>
      </c>
      <c r="AF22" s="14">
        <v>100</v>
      </c>
      <c r="AG22" s="14">
        <v>1</v>
      </c>
    </row>
    <row r="23" spans="1:33" x14ac:dyDescent="0.3">
      <c r="A23" s="14">
        <v>14</v>
      </c>
      <c r="B23" s="135" t="s">
        <v>210</v>
      </c>
      <c r="C23" s="135" t="s">
        <v>396</v>
      </c>
      <c r="D23" s="135" t="s">
        <v>4</v>
      </c>
      <c r="E23" s="488">
        <v>11</v>
      </c>
      <c r="F23" s="14">
        <v>9</v>
      </c>
      <c r="G23" s="14">
        <v>9</v>
      </c>
      <c r="H23" s="14"/>
      <c r="I23" s="14"/>
      <c r="J23" s="14"/>
      <c r="K23" s="14"/>
      <c r="L23" s="14"/>
      <c r="M23" s="14"/>
      <c r="N23" s="14"/>
      <c r="O23" s="14"/>
      <c r="P23" s="14"/>
      <c r="Q23" s="14"/>
      <c r="R23" s="14"/>
      <c r="S23" s="14"/>
      <c r="T23" s="14"/>
      <c r="U23" s="14"/>
      <c r="V23" s="14">
        <v>29</v>
      </c>
      <c r="W23" s="14">
        <v>9.6999999999999993</v>
      </c>
      <c r="X23" s="9"/>
      <c r="Z23" s="14">
        <v>14</v>
      </c>
      <c r="AA23" s="14" t="s">
        <v>1810</v>
      </c>
      <c r="AB23" s="14" t="s">
        <v>26</v>
      </c>
      <c r="AC23" s="14" t="s">
        <v>394</v>
      </c>
      <c r="AD23" s="14">
        <v>4</v>
      </c>
      <c r="AE23" s="14">
        <v>5</v>
      </c>
      <c r="AF23" s="14">
        <v>80</v>
      </c>
      <c r="AG23" s="14">
        <v>1</v>
      </c>
    </row>
    <row r="24" spans="1:33" x14ac:dyDescent="0.3">
      <c r="A24" s="14">
        <v>15</v>
      </c>
      <c r="B24" s="135" t="s">
        <v>190</v>
      </c>
      <c r="C24" s="135" t="s">
        <v>396</v>
      </c>
      <c r="D24" s="135" t="s">
        <v>34</v>
      </c>
      <c r="E24" s="488">
        <v>8</v>
      </c>
      <c r="F24" s="14">
        <v>9</v>
      </c>
      <c r="G24" s="14">
        <v>10</v>
      </c>
      <c r="H24" s="14"/>
      <c r="I24" s="14"/>
      <c r="J24" s="14"/>
      <c r="K24" s="14"/>
      <c r="L24" s="14"/>
      <c r="M24" s="14"/>
      <c r="N24" s="14"/>
      <c r="O24" s="14"/>
      <c r="P24" s="14"/>
      <c r="Q24" s="14"/>
      <c r="R24" s="14"/>
      <c r="S24" s="14"/>
      <c r="T24" s="14"/>
      <c r="U24" s="14"/>
      <c r="V24" s="14">
        <v>27</v>
      </c>
      <c r="W24" s="14">
        <v>9</v>
      </c>
      <c r="X24" s="9"/>
      <c r="Z24" s="14">
        <v>15</v>
      </c>
      <c r="AA24" s="14" t="s">
        <v>1878</v>
      </c>
      <c r="AB24" s="14" t="s">
        <v>397</v>
      </c>
      <c r="AC24" s="14" t="s">
        <v>399</v>
      </c>
      <c r="AD24" s="14">
        <v>3</v>
      </c>
      <c r="AE24" s="14">
        <v>5</v>
      </c>
      <c r="AF24" s="14">
        <v>60</v>
      </c>
      <c r="AG24" s="14">
        <v>1</v>
      </c>
    </row>
    <row r="25" spans="1:33" x14ac:dyDescent="0.3">
      <c r="A25" s="14">
        <v>16</v>
      </c>
      <c r="B25" s="135" t="s">
        <v>319</v>
      </c>
      <c r="C25" s="135" t="s">
        <v>399</v>
      </c>
      <c r="D25" s="135" t="s">
        <v>22</v>
      </c>
      <c r="E25" s="488">
        <v>9</v>
      </c>
      <c r="F25" s="14">
        <v>8</v>
      </c>
      <c r="G25" s="14">
        <v>10</v>
      </c>
      <c r="H25" s="14"/>
      <c r="I25" s="14"/>
      <c r="J25" s="14"/>
      <c r="K25" s="14"/>
      <c r="L25" s="14"/>
      <c r="M25" s="14"/>
      <c r="N25" s="14"/>
      <c r="O25" s="14"/>
      <c r="P25" s="14"/>
      <c r="Q25" s="14"/>
      <c r="R25" s="14"/>
      <c r="S25" s="14"/>
      <c r="T25" s="14"/>
      <c r="U25" s="14"/>
      <c r="V25" s="14">
        <v>27</v>
      </c>
      <c r="W25" s="14">
        <v>9</v>
      </c>
      <c r="X25" s="9"/>
      <c r="Z25" s="14">
        <v>16</v>
      </c>
      <c r="AA25" s="14" t="s">
        <v>1801</v>
      </c>
      <c r="AB25" s="14" t="s">
        <v>24</v>
      </c>
      <c r="AC25" s="14" t="s">
        <v>396</v>
      </c>
      <c r="AD25" s="14">
        <v>2</v>
      </c>
      <c r="AE25" s="14">
        <v>5</v>
      </c>
      <c r="AF25" s="14">
        <v>40</v>
      </c>
      <c r="AG25" s="14">
        <v>1</v>
      </c>
    </row>
    <row r="26" spans="1:33" x14ac:dyDescent="0.3">
      <c r="A26" s="14">
        <v>17</v>
      </c>
      <c r="B26" s="135" t="s">
        <v>427</v>
      </c>
      <c r="C26" s="135" t="s">
        <v>396</v>
      </c>
      <c r="D26" s="135" t="s">
        <v>395</v>
      </c>
      <c r="E26" s="488">
        <v>9</v>
      </c>
      <c r="F26" s="14">
        <v>11</v>
      </c>
      <c r="G26" s="14">
        <v>7</v>
      </c>
      <c r="H26" s="247"/>
      <c r="I26" s="14"/>
      <c r="J26" s="14"/>
      <c r="K26" s="14"/>
      <c r="L26" s="14"/>
      <c r="M26" s="14"/>
      <c r="N26" s="14"/>
      <c r="O26" s="14"/>
      <c r="P26" s="14"/>
      <c r="Q26" s="14"/>
      <c r="R26" s="14"/>
      <c r="S26" s="14"/>
      <c r="T26" s="14"/>
      <c r="U26" s="14"/>
      <c r="V26" s="14">
        <v>27</v>
      </c>
      <c r="W26" s="14">
        <v>9</v>
      </c>
      <c r="X26" s="9"/>
      <c r="Z26" s="14">
        <v>17</v>
      </c>
      <c r="AA26" s="14" t="s">
        <v>1848</v>
      </c>
      <c r="AB26" s="14" t="s">
        <v>12</v>
      </c>
      <c r="AC26" s="14" t="s">
        <v>396</v>
      </c>
      <c r="AD26" s="14">
        <v>2</v>
      </c>
      <c r="AE26" s="14">
        <v>5</v>
      </c>
      <c r="AF26" s="14">
        <v>40</v>
      </c>
      <c r="AG26" s="14">
        <v>0</v>
      </c>
    </row>
    <row r="27" spans="1:33" x14ac:dyDescent="0.3">
      <c r="A27" s="14">
        <v>18</v>
      </c>
      <c r="B27" s="135" t="s">
        <v>192</v>
      </c>
      <c r="C27" s="135" t="s">
        <v>396</v>
      </c>
      <c r="D27" s="135" t="s">
        <v>7</v>
      </c>
      <c r="E27" s="488">
        <v>11</v>
      </c>
      <c r="F27" s="14">
        <v>6</v>
      </c>
      <c r="G27" s="14">
        <v>10</v>
      </c>
      <c r="H27" s="14"/>
      <c r="I27" s="14"/>
      <c r="J27" s="14"/>
      <c r="K27" s="14"/>
      <c r="L27" s="14"/>
      <c r="M27" s="14"/>
      <c r="N27" s="14"/>
      <c r="O27" s="14"/>
      <c r="P27" s="14"/>
      <c r="Q27" s="14"/>
      <c r="R27" s="14"/>
      <c r="S27" s="14"/>
      <c r="T27" s="14"/>
      <c r="U27" s="14"/>
      <c r="V27" s="14">
        <v>27</v>
      </c>
      <c r="W27" s="14">
        <v>9</v>
      </c>
      <c r="X27" s="9"/>
      <c r="Z27" s="14">
        <v>18</v>
      </c>
      <c r="AA27" s="14" t="s">
        <v>2469</v>
      </c>
      <c r="AB27" s="14" t="s">
        <v>401</v>
      </c>
      <c r="AC27" s="14" t="s">
        <v>399</v>
      </c>
      <c r="AD27" s="14">
        <v>2</v>
      </c>
      <c r="AE27" s="14">
        <v>5</v>
      </c>
      <c r="AF27" s="14">
        <v>40</v>
      </c>
      <c r="AG27" s="14">
        <v>2</v>
      </c>
    </row>
    <row r="28" spans="1:33" x14ac:dyDescent="0.3">
      <c r="A28" s="14">
        <v>19</v>
      </c>
      <c r="B28" s="135" t="s">
        <v>189</v>
      </c>
      <c r="C28" s="135" t="s">
        <v>396</v>
      </c>
      <c r="D28" s="135" t="s">
        <v>43</v>
      </c>
      <c r="E28" s="488">
        <v>8</v>
      </c>
      <c r="F28" s="14">
        <v>11</v>
      </c>
      <c r="G28" s="14">
        <v>8</v>
      </c>
      <c r="H28" s="14"/>
      <c r="I28" s="14"/>
      <c r="J28" s="14"/>
      <c r="K28" s="14"/>
      <c r="L28" s="14"/>
      <c r="M28" s="14"/>
      <c r="N28" s="14"/>
      <c r="O28" s="14"/>
      <c r="P28" s="14"/>
      <c r="Q28" s="14"/>
      <c r="R28" s="14"/>
      <c r="S28" s="14"/>
      <c r="T28" s="14"/>
      <c r="U28" s="14"/>
      <c r="V28" s="14">
        <v>27</v>
      </c>
      <c r="W28" s="14">
        <v>9</v>
      </c>
      <c r="X28" s="9"/>
      <c r="Z28" s="14">
        <v>19</v>
      </c>
      <c r="AA28" s="14" t="s">
        <v>1870</v>
      </c>
      <c r="AB28" s="14" t="s">
        <v>41</v>
      </c>
      <c r="AC28" s="14" t="s">
        <v>399</v>
      </c>
      <c r="AD28" s="14">
        <v>2</v>
      </c>
      <c r="AE28" s="14">
        <v>5</v>
      </c>
      <c r="AF28" s="14">
        <v>40</v>
      </c>
      <c r="AG28" s="14">
        <v>2</v>
      </c>
    </row>
    <row r="29" spans="1:33" x14ac:dyDescent="0.3">
      <c r="A29" s="14">
        <v>20</v>
      </c>
      <c r="B29" s="135" t="s">
        <v>432</v>
      </c>
      <c r="C29" s="135" t="s">
        <v>396</v>
      </c>
      <c r="D29" s="135" t="s">
        <v>46</v>
      </c>
      <c r="E29" s="488">
        <v>7</v>
      </c>
      <c r="F29" s="14">
        <v>6</v>
      </c>
      <c r="G29" s="14">
        <v>14</v>
      </c>
      <c r="H29" s="14"/>
      <c r="I29" s="14"/>
      <c r="J29" s="14"/>
      <c r="K29" s="14"/>
      <c r="L29" s="14"/>
      <c r="M29" s="14"/>
      <c r="N29" s="14"/>
      <c r="O29" s="14"/>
      <c r="P29" s="14"/>
      <c r="Q29" s="14"/>
      <c r="R29" s="14"/>
      <c r="S29" s="14"/>
      <c r="T29" s="14"/>
      <c r="U29" s="14"/>
      <c r="V29" s="14">
        <v>27</v>
      </c>
      <c r="W29" s="14">
        <v>9</v>
      </c>
      <c r="X29" s="9"/>
      <c r="Z29" s="14">
        <v>20</v>
      </c>
      <c r="AA29" s="14" t="s">
        <v>2375</v>
      </c>
      <c r="AB29" s="14" t="s">
        <v>28</v>
      </c>
      <c r="AC29" s="14" t="s">
        <v>396</v>
      </c>
      <c r="AD29" s="14">
        <v>0</v>
      </c>
      <c r="AE29" s="14">
        <v>5</v>
      </c>
      <c r="AF29" s="14">
        <v>0</v>
      </c>
      <c r="AG29" s="14">
        <v>0</v>
      </c>
    </row>
    <row r="30" spans="1:33" x14ac:dyDescent="0.3">
      <c r="A30" s="14">
        <v>21</v>
      </c>
      <c r="B30" s="135" t="s">
        <v>218</v>
      </c>
      <c r="C30" s="135" t="s">
        <v>396</v>
      </c>
      <c r="D30" s="135" t="s">
        <v>41</v>
      </c>
      <c r="E30" s="488">
        <v>9</v>
      </c>
      <c r="F30" s="14">
        <v>11</v>
      </c>
      <c r="G30" s="14">
        <v>7</v>
      </c>
      <c r="H30" s="14"/>
      <c r="I30" s="14"/>
      <c r="J30" s="14"/>
      <c r="K30" s="14"/>
      <c r="L30" s="14"/>
      <c r="M30" s="14"/>
      <c r="N30" s="14"/>
      <c r="O30" s="14"/>
      <c r="P30" s="14"/>
      <c r="Q30" s="14"/>
      <c r="R30" s="14"/>
      <c r="S30" s="14"/>
      <c r="T30" s="14"/>
      <c r="U30" s="14"/>
      <c r="V30" s="14">
        <v>27</v>
      </c>
      <c r="W30" s="14">
        <v>9</v>
      </c>
      <c r="X30" s="9"/>
      <c r="Z30" s="14">
        <v>21</v>
      </c>
      <c r="AA30" s="14" t="s">
        <v>1794</v>
      </c>
      <c r="AB30" s="14" t="s">
        <v>404</v>
      </c>
      <c r="AC30" s="14" t="s">
        <v>396</v>
      </c>
      <c r="AD30" s="14">
        <v>4</v>
      </c>
      <c r="AE30" s="14">
        <v>4</v>
      </c>
      <c r="AF30" s="14">
        <v>100</v>
      </c>
      <c r="AG30" s="14">
        <v>1</v>
      </c>
    </row>
    <row r="31" spans="1:33" x14ac:dyDescent="0.3">
      <c r="A31" s="14">
        <v>22</v>
      </c>
      <c r="B31" s="135" t="s">
        <v>2452</v>
      </c>
      <c r="C31" s="135" t="s">
        <v>396</v>
      </c>
      <c r="D31" s="135" t="s">
        <v>32</v>
      </c>
      <c r="E31" s="488">
        <v>9</v>
      </c>
      <c r="F31" s="14">
        <v>6</v>
      </c>
      <c r="G31" s="14">
        <v>11</v>
      </c>
      <c r="H31" s="14"/>
      <c r="I31" s="14"/>
      <c r="J31" s="14"/>
      <c r="K31" s="14"/>
      <c r="L31" s="14"/>
      <c r="M31" s="14"/>
      <c r="N31" s="14"/>
      <c r="O31" s="14"/>
      <c r="P31" s="14"/>
      <c r="Q31" s="14"/>
      <c r="R31" s="14"/>
      <c r="S31" s="14"/>
      <c r="T31" s="14"/>
      <c r="U31" s="14"/>
      <c r="V31" s="14">
        <v>26</v>
      </c>
      <c r="W31" s="14">
        <v>8.6999999999999993</v>
      </c>
      <c r="X31" s="9"/>
      <c r="Z31" s="14">
        <v>22</v>
      </c>
      <c r="AA31" s="14" t="s">
        <v>1797</v>
      </c>
      <c r="AB31" s="14" t="s">
        <v>28</v>
      </c>
      <c r="AC31" s="14" t="s">
        <v>396</v>
      </c>
      <c r="AD31" s="14">
        <v>4</v>
      </c>
      <c r="AE31" s="14">
        <v>4</v>
      </c>
      <c r="AF31" s="14">
        <v>100</v>
      </c>
      <c r="AG31" s="14">
        <v>0</v>
      </c>
    </row>
    <row r="32" spans="1:33" x14ac:dyDescent="0.3">
      <c r="A32" s="14">
        <v>23</v>
      </c>
      <c r="B32" s="135" t="s">
        <v>331</v>
      </c>
      <c r="C32" s="135" t="s">
        <v>399</v>
      </c>
      <c r="D32" s="135" t="s">
        <v>41</v>
      </c>
      <c r="E32" s="488">
        <v>8</v>
      </c>
      <c r="F32" s="14">
        <v>8</v>
      </c>
      <c r="G32" s="14">
        <v>10</v>
      </c>
      <c r="H32" s="14"/>
      <c r="I32" s="14"/>
      <c r="J32" s="14"/>
      <c r="K32" s="14"/>
      <c r="L32" s="14"/>
      <c r="M32" s="14"/>
      <c r="N32" s="14"/>
      <c r="O32" s="14"/>
      <c r="P32" s="14"/>
      <c r="Q32" s="14"/>
      <c r="R32" s="14"/>
      <c r="S32" s="14"/>
      <c r="T32" s="14"/>
      <c r="U32" s="14"/>
      <c r="V32" s="14">
        <v>26</v>
      </c>
      <c r="W32" s="14">
        <v>8.6999999999999993</v>
      </c>
      <c r="X32" s="9"/>
      <c r="Z32" s="14">
        <v>23</v>
      </c>
      <c r="AA32" s="14" t="s">
        <v>1842</v>
      </c>
      <c r="AB32" s="14" t="s">
        <v>402</v>
      </c>
      <c r="AC32" s="14" t="s">
        <v>396</v>
      </c>
      <c r="AD32" s="14">
        <v>4</v>
      </c>
      <c r="AE32" s="14">
        <v>4</v>
      </c>
      <c r="AF32" s="14">
        <v>100</v>
      </c>
      <c r="AG32" s="14">
        <v>2</v>
      </c>
    </row>
    <row r="33" spans="1:33" x14ac:dyDescent="0.3">
      <c r="A33" s="14">
        <v>24</v>
      </c>
      <c r="B33" s="135" t="s">
        <v>206</v>
      </c>
      <c r="C33" s="135" t="s">
        <v>396</v>
      </c>
      <c r="D33" s="135" t="s">
        <v>404</v>
      </c>
      <c r="E33" s="488">
        <v>9</v>
      </c>
      <c r="F33" s="14">
        <v>9</v>
      </c>
      <c r="G33" s="14">
        <v>8</v>
      </c>
      <c r="H33" s="14"/>
      <c r="I33" s="14"/>
      <c r="J33" s="14"/>
      <c r="K33" s="14"/>
      <c r="L33" s="14"/>
      <c r="M33" s="14"/>
      <c r="N33" s="14"/>
      <c r="O33" s="14"/>
      <c r="P33" s="14"/>
      <c r="Q33" s="14"/>
      <c r="R33" s="14"/>
      <c r="S33" s="14"/>
      <c r="T33" s="14"/>
      <c r="U33" s="14"/>
      <c r="V33" s="14">
        <v>26</v>
      </c>
      <c r="W33" s="14">
        <v>8.6999999999999993</v>
      </c>
      <c r="X33" s="9"/>
      <c r="Z33" s="14">
        <v>24</v>
      </c>
      <c r="AA33" s="14" t="s">
        <v>2385</v>
      </c>
      <c r="AB33" s="14" t="s">
        <v>401</v>
      </c>
      <c r="AC33" s="14" t="s">
        <v>396</v>
      </c>
      <c r="AD33" s="14">
        <v>3</v>
      </c>
      <c r="AE33" s="14">
        <v>4</v>
      </c>
      <c r="AF33" s="14">
        <v>75</v>
      </c>
      <c r="AG33" s="14">
        <v>2</v>
      </c>
    </row>
    <row r="34" spans="1:33" x14ac:dyDescent="0.3">
      <c r="A34" s="14">
        <v>25</v>
      </c>
      <c r="B34" s="135" t="s">
        <v>211</v>
      </c>
      <c r="C34" s="135" t="s">
        <v>396</v>
      </c>
      <c r="D34" s="135" t="s">
        <v>39</v>
      </c>
      <c r="E34" s="488">
        <v>14</v>
      </c>
      <c r="F34" s="14">
        <v>9</v>
      </c>
      <c r="G34" s="14">
        <v>3</v>
      </c>
      <c r="H34" s="14"/>
      <c r="I34" s="14"/>
      <c r="J34" s="14"/>
      <c r="K34" s="14"/>
      <c r="L34" s="14"/>
      <c r="M34" s="14"/>
      <c r="N34" s="14"/>
      <c r="O34" s="14"/>
      <c r="P34" s="14"/>
      <c r="Q34" s="14"/>
      <c r="R34" s="14"/>
      <c r="S34" s="14"/>
      <c r="T34" s="14"/>
      <c r="U34" s="14"/>
      <c r="V34" s="14">
        <v>26</v>
      </c>
      <c r="W34" s="14">
        <v>8.6999999999999993</v>
      </c>
      <c r="X34" s="9"/>
      <c r="Z34" s="14">
        <v>25</v>
      </c>
      <c r="AA34" s="14" t="s">
        <v>1833</v>
      </c>
      <c r="AB34" s="14" t="s">
        <v>50</v>
      </c>
      <c r="AC34" s="14" t="s">
        <v>399</v>
      </c>
      <c r="AD34" s="14">
        <v>3</v>
      </c>
      <c r="AE34" s="14">
        <v>4</v>
      </c>
      <c r="AF34" s="14">
        <v>75</v>
      </c>
      <c r="AG34" s="14">
        <v>1</v>
      </c>
    </row>
    <row r="35" spans="1:33" x14ac:dyDescent="0.3">
      <c r="A35" s="14">
        <v>26</v>
      </c>
      <c r="B35" s="135" t="s">
        <v>204</v>
      </c>
      <c r="C35" s="135" t="s">
        <v>396</v>
      </c>
      <c r="D35" s="135" t="s">
        <v>4</v>
      </c>
      <c r="E35" s="488">
        <v>9</v>
      </c>
      <c r="F35" s="14">
        <v>5</v>
      </c>
      <c r="G35" s="14">
        <v>11</v>
      </c>
      <c r="H35" s="14"/>
      <c r="I35" s="14"/>
      <c r="J35" s="14"/>
      <c r="K35" s="14"/>
      <c r="L35" s="14"/>
      <c r="M35" s="14"/>
      <c r="N35" s="14"/>
      <c r="O35" s="14"/>
      <c r="P35" s="14"/>
      <c r="Q35" s="14"/>
      <c r="R35" s="14"/>
      <c r="S35" s="14"/>
      <c r="T35" s="14"/>
      <c r="U35" s="14"/>
      <c r="V35" s="14">
        <v>25</v>
      </c>
      <c r="W35" s="14">
        <v>8.3000000000000007</v>
      </c>
      <c r="X35" s="9"/>
      <c r="Z35" s="14">
        <v>26</v>
      </c>
      <c r="AA35" s="14" t="s">
        <v>1839</v>
      </c>
      <c r="AB35" s="14" t="s">
        <v>34</v>
      </c>
      <c r="AC35" s="14" t="s">
        <v>394</v>
      </c>
      <c r="AD35" s="14">
        <v>3</v>
      </c>
      <c r="AE35" s="14">
        <v>4</v>
      </c>
      <c r="AF35" s="14">
        <v>75</v>
      </c>
      <c r="AG35" s="14">
        <v>0</v>
      </c>
    </row>
    <row r="36" spans="1:33" x14ac:dyDescent="0.3">
      <c r="A36" s="14">
        <v>27</v>
      </c>
      <c r="B36" s="135" t="s">
        <v>240</v>
      </c>
      <c r="C36" s="135" t="s">
        <v>396</v>
      </c>
      <c r="D36" s="135" t="s">
        <v>52</v>
      </c>
      <c r="E36" s="488">
        <v>12</v>
      </c>
      <c r="F36" s="14">
        <v>6</v>
      </c>
      <c r="G36" s="14">
        <v>7</v>
      </c>
      <c r="H36" s="14"/>
      <c r="I36" s="14"/>
      <c r="J36" s="14"/>
      <c r="K36" s="14"/>
      <c r="L36" s="14"/>
      <c r="M36" s="14"/>
      <c r="N36" s="14"/>
      <c r="O36" s="14"/>
      <c r="P36" s="14"/>
      <c r="Q36" s="14"/>
      <c r="R36" s="14"/>
      <c r="S36" s="14"/>
      <c r="T36" s="14"/>
      <c r="U36" s="14"/>
      <c r="V36" s="14">
        <v>25</v>
      </c>
      <c r="W36" s="14">
        <v>8.3000000000000007</v>
      </c>
      <c r="X36" s="9"/>
      <c r="Z36" s="14">
        <v>27</v>
      </c>
      <c r="AA36" s="14" t="s">
        <v>1892</v>
      </c>
      <c r="AB36" s="14" t="s">
        <v>30</v>
      </c>
      <c r="AC36" s="14" t="s">
        <v>396</v>
      </c>
      <c r="AD36" s="14">
        <v>3</v>
      </c>
      <c r="AE36" s="14">
        <v>4</v>
      </c>
      <c r="AF36" s="14">
        <v>75</v>
      </c>
      <c r="AG36" s="14">
        <v>2</v>
      </c>
    </row>
    <row r="37" spans="1:33" x14ac:dyDescent="0.3">
      <c r="A37" s="14">
        <v>28</v>
      </c>
      <c r="B37" s="135" t="s">
        <v>215</v>
      </c>
      <c r="C37" s="135" t="s">
        <v>399</v>
      </c>
      <c r="D37" s="135" t="s">
        <v>18</v>
      </c>
      <c r="E37" s="488">
        <v>11</v>
      </c>
      <c r="F37" s="14">
        <v>7</v>
      </c>
      <c r="G37" s="14">
        <v>7</v>
      </c>
      <c r="H37" s="247"/>
      <c r="I37" s="14"/>
      <c r="J37" s="14"/>
      <c r="K37" s="14"/>
      <c r="L37" s="14"/>
      <c r="M37" s="14"/>
      <c r="N37" s="14"/>
      <c r="O37" s="14"/>
      <c r="P37" s="14"/>
      <c r="Q37" s="14"/>
      <c r="R37" s="14"/>
      <c r="S37" s="14"/>
      <c r="T37" s="14"/>
      <c r="U37" s="14"/>
      <c r="V37" s="14">
        <v>25</v>
      </c>
      <c r="W37" s="14">
        <v>8.3000000000000007</v>
      </c>
      <c r="X37" s="9"/>
      <c r="Z37" s="14">
        <v>28</v>
      </c>
      <c r="AA37" s="14" t="s">
        <v>2470</v>
      </c>
      <c r="AB37" s="14" t="s">
        <v>46</v>
      </c>
      <c r="AC37" s="14" t="s">
        <v>399</v>
      </c>
      <c r="AD37" s="14">
        <v>3</v>
      </c>
      <c r="AE37" s="14">
        <v>4</v>
      </c>
      <c r="AF37" s="14">
        <v>75</v>
      </c>
      <c r="AG37" s="14">
        <v>2</v>
      </c>
    </row>
    <row r="38" spans="1:33" x14ac:dyDescent="0.3">
      <c r="A38" s="14">
        <v>29</v>
      </c>
      <c r="B38" s="135" t="s">
        <v>269</v>
      </c>
      <c r="C38" s="135" t="s">
        <v>396</v>
      </c>
      <c r="D38" s="135" t="s">
        <v>34</v>
      </c>
      <c r="E38" s="488">
        <v>8</v>
      </c>
      <c r="F38" s="14">
        <v>6</v>
      </c>
      <c r="G38" s="14">
        <v>11</v>
      </c>
      <c r="H38" s="14"/>
      <c r="I38" s="14"/>
      <c r="J38" s="14"/>
      <c r="K38" s="14"/>
      <c r="L38" s="14"/>
      <c r="M38" s="14"/>
      <c r="N38" s="14"/>
      <c r="O38" s="14"/>
      <c r="P38" s="14"/>
      <c r="Q38" s="14"/>
      <c r="R38" s="14"/>
      <c r="S38" s="14"/>
      <c r="T38" s="14"/>
      <c r="U38" s="14"/>
      <c r="V38" s="14">
        <v>25</v>
      </c>
      <c r="W38" s="14">
        <v>8.3000000000000007</v>
      </c>
      <c r="X38" s="9"/>
      <c r="Z38" s="14">
        <v>29</v>
      </c>
      <c r="AA38" s="14" t="s">
        <v>1803</v>
      </c>
      <c r="AB38" s="14" t="s">
        <v>39</v>
      </c>
      <c r="AC38" s="14" t="s">
        <v>396</v>
      </c>
      <c r="AD38" s="14">
        <v>2</v>
      </c>
      <c r="AE38" s="14">
        <v>4</v>
      </c>
      <c r="AF38" s="14">
        <v>50</v>
      </c>
      <c r="AG38" s="14">
        <v>2</v>
      </c>
    </row>
    <row r="39" spans="1:33" x14ac:dyDescent="0.3">
      <c r="A39" s="14">
        <v>30</v>
      </c>
      <c r="B39" s="135" t="s">
        <v>238</v>
      </c>
      <c r="C39" s="135" t="s">
        <v>396</v>
      </c>
      <c r="D39" s="135" t="s">
        <v>18</v>
      </c>
      <c r="E39" s="488">
        <v>10</v>
      </c>
      <c r="F39" s="14">
        <v>8</v>
      </c>
      <c r="G39" s="14">
        <v>7</v>
      </c>
      <c r="H39" s="14"/>
      <c r="I39" s="14"/>
      <c r="J39" s="14"/>
      <c r="K39" s="14"/>
      <c r="L39" s="14"/>
      <c r="M39" s="14"/>
      <c r="N39" s="14"/>
      <c r="O39" s="14"/>
      <c r="P39" s="14"/>
      <c r="Q39" s="14"/>
      <c r="R39" s="14"/>
      <c r="S39" s="14"/>
      <c r="T39" s="14"/>
      <c r="U39" s="14"/>
      <c r="V39" s="14">
        <v>25</v>
      </c>
      <c r="W39" s="14">
        <v>8.3000000000000007</v>
      </c>
      <c r="X39" s="9"/>
      <c r="Z39" s="14">
        <v>30</v>
      </c>
      <c r="AA39" s="14" t="s">
        <v>1879</v>
      </c>
      <c r="AB39" s="14" t="s">
        <v>12</v>
      </c>
      <c r="AC39" s="14" t="s">
        <v>396</v>
      </c>
      <c r="AD39" s="14">
        <v>2</v>
      </c>
      <c r="AE39" s="14">
        <v>4</v>
      </c>
      <c r="AF39" s="14">
        <v>50</v>
      </c>
      <c r="AG39" s="14">
        <v>2</v>
      </c>
    </row>
    <row r="40" spans="1:33" x14ac:dyDescent="0.3">
      <c r="A40" s="14">
        <v>31</v>
      </c>
      <c r="B40" s="135" t="s">
        <v>270</v>
      </c>
      <c r="C40" s="135" t="s">
        <v>396</v>
      </c>
      <c r="D40" s="135" t="s">
        <v>401</v>
      </c>
      <c r="E40" s="488">
        <v>5</v>
      </c>
      <c r="F40" s="14">
        <v>8</v>
      </c>
      <c r="G40" s="14">
        <v>12</v>
      </c>
      <c r="H40" s="247"/>
      <c r="I40" s="14"/>
      <c r="J40" s="14"/>
      <c r="K40" s="14"/>
      <c r="L40" s="14"/>
      <c r="M40" s="14"/>
      <c r="N40" s="14"/>
      <c r="O40" s="14"/>
      <c r="P40" s="14"/>
      <c r="Q40" s="14"/>
      <c r="R40" s="14"/>
      <c r="S40" s="14"/>
      <c r="T40" s="14"/>
      <c r="U40" s="14"/>
      <c r="V40" s="14">
        <v>25</v>
      </c>
      <c r="W40" s="14">
        <v>8.3000000000000007</v>
      </c>
      <c r="X40" s="9"/>
      <c r="Z40" s="14">
        <v>31</v>
      </c>
      <c r="AA40" s="14" t="s">
        <v>1838</v>
      </c>
      <c r="AB40" s="14" t="s">
        <v>407</v>
      </c>
      <c r="AC40" s="14" t="s">
        <v>399</v>
      </c>
      <c r="AD40" s="14">
        <v>2</v>
      </c>
      <c r="AE40" s="14">
        <v>4</v>
      </c>
      <c r="AF40" s="14">
        <v>50</v>
      </c>
      <c r="AG40" s="14">
        <v>1</v>
      </c>
    </row>
    <row r="41" spans="1:33" x14ac:dyDescent="0.3">
      <c r="A41" s="14">
        <v>32</v>
      </c>
      <c r="B41" s="135" t="s">
        <v>519</v>
      </c>
      <c r="C41" s="135" t="s">
        <v>396</v>
      </c>
      <c r="D41" s="135" t="s">
        <v>30</v>
      </c>
      <c r="E41" s="488">
        <v>11</v>
      </c>
      <c r="F41" s="14">
        <v>7</v>
      </c>
      <c r="G41" s="14">
        <v>7</v>
      </c>
      <c r="H41" s="14"/>
      <c r="I41" s="14"/>
      <c r="J41" s="14"/>
      <c r="K41" s="14"/>
      <c r="L41" s="14"/>
      <c r="M41" s="14"/>
      <c r="N41" s="14"/>
      <c r="O41" s="14"/>
      <c r="P41" s="14"/>
      <c r="Q41" s="14"/>
      <c r="R41" s="14"/>
      <c r="S41" s="14"/>
      <c r="T41" s="14"/>
      <c r="U41" s="14"/>
      <c r="V41" s="14">
        <v>25</v>
      </c>
      <c r="W41" s="14">
        <v>8.3000000000000007</v>
      </c>
      <c r="X41" s="9"/>
      <c r="Z41" s="14">
        <v>32</v>
      </c>
      <c r="AA41" s="14" t="s">
        <v>1880</v>
      </c>
      <c r="AB41" s="14" t="s">
        <v>70</v>
      </c>
      <c r="AC41" s="14" t="s">
        <v>396</v>
      </c>
      <c r="AD41" s="14">
        <v>2</v>
      </c>
      <c r="AE41" s="14">
        <v>4</v>
      </c>
      <c r="AF41" s="14">
        <v>50</v>
      </c>
      <c r="AG41" s="14">
        <v>0</v>
      </c>
    </row>
    <row r="42" spans="1:33" x14ac:dyDescent="0.3">
      <c r="A42" s="14">
        <v>33</v>
      </c>
      <c r="B42" s="135" t="s">
        <v>463</v>
      </c>
      <c r="C42" s="135" t="s">
        <v>396</v>
      </c>
      <c r="D42" s="135" t="s">
        <v>43</v>
      </c>
      <c r="E42" s="488">
        <v>11</v>
      </c>
      <c r="F42" s="14">
        <v>7</v>
      </c>
      <c r="G42" s="14">
        <v>7</v>
      </c>
      <c r="H42" s="14"/>
      <c r="I42" s="14"/>
      <c r="J42" s="14"/>
      <c r="K42" s="14"/>
      <c r="L42" s="14"/>
      <c r="M42" s="14"/>
      <c r="N42" s="14"/>
      <c r="O42" s="14"/>
      <c r="P42" s="14"/>
      <c r="Q42" s="14"/>
      <c r="R42" s="14"/>
      <c r="S42" s="14"/>
      <c r="T42" s="14"/>
      <c r="U42" s="14"/>
      <c r="V42" s="14">
        <v>25</v>
      </c>
      <c r="W42" s="14">
        <v>8.3000000000000007</v>
      </c>
      <c r="X42" s="9"/>
      <c r="Z42" s="14">
        <v>33</v>
      </c>
      <c r="AA42" s="14" t="s">
        <v>1816</v>
      </c>
      <c r="AB42" s="14" t="s">
        <v>34</v>
      </c>
      <c r="AC42" s="14" t="s">
        <v>396</v>
      </c>
      <c r="AD42" s="14">
        <v>2</v>
      </c>
      <c r="AE42" s="14">
        <v>4</v>
      </c>
      <c r="AF42" s="14">
        <v>50</v>
      </c>
      <c r="AG42" s="14">
        <v>2</v>
      </c>
    </row>
    <row r="43" spans="1:33" x14ac:dyDescent="0.3">
      <c r="A43" s="14">
        <v>34</v>
      </c>
      <c r="B43" s="135" t="s">
        <v>198</v>
      </c>
      <c r="C43" s="135" t="s">
        <v>396</v>
      </c>
      <c r="D43" s="135" t="s">
        <v>402</v>
      </c>
      <c r="E43" s="488">
        <v>7</v>
      </c>
      <c r="F43" s="14">
        <v>11</v>
      </c>
      <c r="G43" s="14">
        <v>6</v>
      </c>
      <c r="H43" s="247"/>
      <c r="I43" s="14"/>
      <c r="J43" s="14"/>
      <c r="K43" s="14"/>
      <c r="L43" s="14"/>
      <c r="M43" s="14"/>
      <c r="N43" s="14"/>
      <c r="O43" s="14"/>
      <c r="P43" s="14"/>
      <c r="Q43" s="14"/>
      <c r="R43" s="14"/>
      <c r="S43" s="14"/>
      <c r="T43" s="14"/>
      <c r="U43" s="14"/>
      <c r="V43" s="14">
        <v>24</v>
      </c>
      <c r="W43" s="14">
        <v>8</v>
      </c>
      <c r="X43" s="9"/>
      <c r="Z43" s="14">
        <v>34</v>
      </c>
      <c r="AA43" s="14" t="s">
        <v>2393</v>
      </c>
      <c r="AB43" s="14" t="s">
        <v>402</v>
      </c>
      <c r="AC43" s="14" t="s">
        <v>399</v>
      </c>
      <c r="AD43" s="14">
        <v>1</v>
      </c>
      <c r="AE43" s="14">
        <v>4</v>
      </c>
      <c r="AF43" s="14">
        <v>25</v>
      </c>
      <c r="AG43" s="14">
        <v>1</v>
      </c>
    </row>
    <row r="44" spans="1:33" x14ac:dyDescent="0.3">
      <c r="A44" s="14">
        <v>35</v>
      </c>
      <c r="B44" s="135" t="s">
        <v>532</v>
      </c>
      <c r="C44" s="135" t="s">
        <v>399</v>
      </c>
      <c r="D44" s="135" t="s">
        <v>32</v>
      </c>
      <c r="E44" s="488">
        <v>4</v>
      </c>
      <c r="F44" s="14">
        <v>12</v>
      </c>
      <c r="G44" s="14">
        <v>8</v>
      </c>
      <c r="H44" s="14"/>
      <c r="I44" s="14"/>
      <c r="J44" s="14"/>
      <c r="K44" s="14"/>
      <c r="L44" s="14"/>
      <c r="M44" s="14"/>
      <c r="N44" s="14"/>
      <c r="O44" s="14"/>
      <c r="P44" s="14"/>
      <c r="Q44" s="14"/>
      <c r="R44" s="14"/>
      <c r="S44" s="14"/>
      <c r="T44" s="14"/>
      <c r="U44" s="14"/>
      <c r="V44" s="14">
        <v>24</v>
      </c>
      <c r="W44" s="14">
        <v>8</v>
      </c>
      <c r="X44" s="9"/>
      <c r="Z44" s="14">
        <v>35</v>
      </c>
      <c r="AA44" s="14" t="s">
        <v>1802</v>
      </c>
      <c r="AB44" s="14" t="s">
        <v>395</v>
      </c>
      <c r="AC44" s="14" t="s">
        <v>396</v>
      </c>
      <c r="AD44" s="14">
        <v>1</v>
      </c>
      <c r="AE44" s="14">
        <v>4</v>
      </c>
      <c r="AF44" s="14">
        <v>25</v>
      </c>
      <c r="AG44" s="14">
        <v>0</v>
      </c>
    </row>
    <row r="45" spans="1:33" x14ac:dyDescent="0.3">
      <c r="A45" s="14">
        <v>36</v>
      </c>
      <c r="B45" s="135" t="s">
        <v>219</v>
      </c>
      <c r="C45" s="135" t="s">
        <v>396</v>
      </c>
      <c r="D45" s="135" t="s">
        <v>24</v>
      </c>
      <c r="E45" s="488">
        <v>7</v>
      </c>
      <c r="F45" s="14">
        <v>6</v>
      </c>
      <c r="G45" s="14">
        <v>11</v>
      </c>
      <c r="H45" s="14"/>
      <c r="I45" s="14"/>
      <c r="J45" s="14"/>
      <c r="K45" s="14"/>
      <c r="L45" s="14"/>
      <c r="M45" s="14"/>
      <c r="N45" s="14"/>
      <c r="O45" s="14"/>
      <c r="P45" s="14"/>
      <c r="Q45" s="14"/>
      <c r="R45" s="14"/>
      <c r="S45" s="14"/>
      <c r="T45" s="14"/>
      <c r="U45" s="14"/>
      <c r="V45" s="14">
        <v>24</v>
      </c>
      <c r="W45" s="14">
        <v>8</v>
      </c>
      <c r="X45" s="9"/>
      <c r="Z45" s="14">
        <v>36</v>
      </c>
      <c r="AA45" s="14" t="s">
        <v>1894</v>
      </c>
      <c r="AB45" s="14" t="s">
        <v>397</v>
      </c>
      <c r="AC45" s="14" t="s">
        <v>396</v>
      </c>
      <c r="AD45" s="14">
        <v>1</v>
      </c>
      <c r="AE45" s="14">
        <v>4</v>
      </c>
      <c r="AF45" s="14">
        <v>25</v>
      </c>
      <c r="AG45" s="14">
        <v>0</v>
      </c>
    </row>
    <row r="46" spans="1:33" x14ac:dyDescent="0.3">
      <c r="A46" s="14">
        <v>37</v>
      </c>
      <c r="B46" s="135" t="s">
        <v>226</v>
      </c>
      <c r="C46" s="135" t="s">
        <v>396</v>
      </c>
      <c r="D46" s="135" t="s">
        <v>18</v>
      </c>
      <c r="E46" s="488">
        <v>10</v>
      </c>
      <c r="F46" s="14">
        <v>5</v>
      </c>
      <c r="G46" s="14">
        <v>8</v>
      </c>
      <c r="H46" s="247"/>
      <c r="I46" s="14"/>
      <c r="J46" s="14"/>
      <c r="K46" s="14"/>
      <c r="L46" s="14"/>
      <c r="M46" s="14"/>
      <c r="N46" s="14"/>
      <c r="O46" s="14"/>
      <c r="P46" s="14"/>
      <c r="Q46" s="14"/>
      <c r="R46" s="14"/>
      <c r="S46" s="14"/>
      <c r="T46" s="14"/>
      <c r="U46" s="14"/>
      <c r="V46" s="14">
        <v>23</v>
      </c>
      <c r="W46" s="14">
        <v>7.7</v>
      </c>
      <c r="X46" s="9"/>
      <c r="Z46" s="14">
        <v>37</v>
      </c>
      <c r="AA46" s="14" t="s">
        <v>1887</v>
      </c>
      <c r="AB46" s="14" t="s">
        <v>26</v>
      </c>
      <c r="AC46" s="14" t="s">
        <v>396</v>
      </c>
      <c r="AD46" s="14">
        <v>1</v>
      </c>
      <c r="AE46" s="14">
        <v>4</v>
      </c>
      <c r="AF46" s="14">
        <v>25</v>
      </c>
      <c r="AG46" s="14">
        <v>0</v>
      </c>
    </row>
    <row r="47" spans="1:33" x14ac:dyDescent="0.3">
      <c r="A47" s="14">
        <v>38</v>
      </c>
      <c r="B47" s="135" t="s">
        <v>234</v>
      </c>
      <c r="C47" s="135" t="s">
        <v>396</v>
      </c>
      <c r="D47" s="135" t="s">
        <v>52</v>
      </c>
      <c r="E47" s="488">
        <v>5</v>
      </c>
      <c r="F47" s="14">
        <v>12</v>
      </c>
      <c r="G47" s="14">
        <v>6</v>
      </c>
      <c r="H47" s="247"/>
      <c r="I47" s="14"/>
      <c r="J47" s="14"/>
      <c r="K47" s="14"/>
      <c r="L47" s="14"/>
      <c r="M47" s="14"/>
      <c r="N47" s="14"/>
      <c r="O47" s="14"/>
      <c r="P47" s="14"/>
      <c r="Q47" s="14"/>
      <c r="R47" s="14"/>
      <c r="S47" s="14"/>
      <c r="T47" s="14"/>
      <c r="U47" s="14"/>
      <c r="V47" s="14">
        <v>23</v>
      </c>
      <c r="W47" s="14">
        <v>7.7</v>
      </c>
      <c r="X47" s="9"/>
      <c r="Z47" s="14">
        <v>38</v>
      </c>
      <c r="AA47" s="14" t="s">
        <v>2377</v>
      </c>
      <c r="AB47" s="14" t="s">
        <v>46</v>
      </c>
      <c r="AC47" s="14" t="s">
        <v>396</v>
      </c>
      <c r="AD47" s="14">
        <v>1</v>
      </c>
      <c r="AE47" s="14">
        <v>4</v>
      </c>
      <c r="AF47" s="14">
        <v>25</v>
      </c>
      <c r="AG47" s="14">
        <v>0</v>
      </c>
    </row>
    <row r="48" spans="1:33" x14ac:dyDescent="0.3">
      <c r="A48" s="14">
        <v>39</v>
      </c>
      <c r="B48" s="135" t="s">
        <v>294</v>
      </c>
      <c r="C48" s="135" t="s">
        <v>396</v>
      </c>
      <c r="D48" s="135" t="s">
        <v>398</v>
      </c>
      <c r="E48" s="488">
        <v>11</v>
      </c>
      <c r="F48" s="14">
        <v>6</v>
      </c>
      <c r="G48" s="14">
        <v>6</v>
      </c>
      <c r="H48" s="14"/>
      <c r="I48" s="14"/>
      <c r="J48" s="14"/>
      <c r="K48" s="14"/>
      <c r="L48" s="14"/>
      <c r="M48" s="14"/>
      <c r="N48" s="14"/>
      <c r="O48" s="14"/>
      <c r="P48" s="14"/>
      <c r="Q48" s="14"/>
      <c r="R48" s="14"/>
      <c r="S48" s="14"/>
      <c r="T48" s="14"/>
      <c r="U48" s="14"/>
      <c r="V48" s="14">
        <v>23</v>
      </c>
      <c r="W48" s="14">
        <v>7.7</v>
      </c>
      <c r="X48" s="9"/>
      <c r="Z48" s="14">
        <v>39</v>
      </c>
      <c r="AA48" s="14" t="s">
        <v>1822</v>
      </c>
      <c r="AB48" s="14" t="s">
        <v>28</v>
      </c>
      <c r="AC48" s="14" t="s">
        <v>399</v>
      </c>
      <c r="AD48" s="14">
        <v>0</v>
      </c>
      <c r="AE48" s="14">
        <v>4</v>
      </c>
      <c r="AF48" s="14">
        <v>0</v>
      </c>
      <c r="AG48" s="14">
        <v>0</v>
      </c>
    </row>
    <row r="49" spans="1:33" x14ac:dyDescent="0.3">
      <c r="A49" s="14">
        <v>40</v>
      </c>
      <c r="B49" s="135" t="s">
        <v>308</v>
      </c>
      <c r="C49" s="135" t="s">
        <v>399</v>
      </c>
      <c r="D49" s="135" t="s">
        <v>404</v>
      </c>
      <c r="E49" s="488">
        <v>4</v>
      </c>
      <c r="F49" s="14">
        <v>8</v>
      </c>
      <c r="G49" s="14">
        <v>11</v>
      </c>
      <c r="H49" s="14"/>
      <c r="I49" s="14"/>
      <c r="J49" s="14"/>
      <c r="K49" s="14"/>
      <c r="L49" s="14"/>
      <c r="M49" s="14"/>
      <c r="N49" s="14"/>
      <c r="O49" s="14"/>
      <c r="P49" s="14"/>
      <c r="Q49" s="14"/>
      <c r="R49" s="14"/>
      <c r="S49" s="14"/>
      <c r="T49" s="14"/>
      <c r="U49" s="14"/>
      <c r="V49" s="14">
        <v>23</v>
      </c>
      <c r="W49" s="14">
        <v>7.7</v>
      </c>
      <c r="X49" s="9"/>
      <c r="Z49" s="14">
        <v>40</v>
      </c>
      <c r="AA49" s="14" t="s">
        <v>2388</v>
      </c>
      <c r="AB49" s="14" t="s">
        <v>46</v>
      </c>
      <c r="AC49" s="14" t="s">
        <v>396</v>
      </c>
      <c r="AD49" s="14">
        <v>0</v>
      </c>
      <c r="AE49" s="14">
        <v>4</v>
      </c>
      <c r="AF49" s="14">
        <v>0</v>
      </c>
      <c r="AG49" s="14">
        <v>0</v>
      </c>
    </row>
    <row r="50" spans="1:33" x14ac:dyDescent="0.3">
      <c r="A50" s="14">
        <v>41</v>
      </c>
      <c r="B50" s="135" t="s">
        <v>202</v>
      </c>
      <c r="C50" s="135" t="s">
        <v>396</v>
      </c>
      <c r="D50" s="135" t="s">
        <v>561</v>
      </c>
      <c r="E50" s="488">
        <v>5</v>
      </c>
      <c r="F50" s="14">
        <v>10</v>
      </c>
      <c r="G50" s="14">
        <v>8</v>
      </c>
      <c r="H50" s="247"/>
      <c r="I50" s="14"/>
      <c r="J50" s="14"/>
      <c r="K50" s="14"/>
      <c r="L50" s="14"/>
      <c r="M50" s="14"/>
      <c r="N50" s="14"/>
      <c r="O50" s="14"/>
      <c r="P50" s="14"/>
      <c r="Q50" s="14"/>
      <c r="R50" s="14"/>
      <c r="S50" s="14"/>
      <c r="T50" s="14"/>
      <c r="U50" s="14"/>
      <c r="V50" s="14">
        <v>23</v>
      </c>
      <c r="W50" s="14">
        <v>7.7</v>
      </c>
      <c r="X50" s="9"/>
      <c r="Z50" s="14">
        <v>41</v>
      </c>
      <c r="AA50" s="14" t="s">
        <v>1827</v>
      </c>
      <c r="AB50" s="14" t="s">
        <v>43</v>
      </c>
      <c r="AC50" s="14" t="s">
        <v>396</v>
      </c>
      <c r="AD50" s="14">
        <v>0</v>
      </c>
      <c r="AE50" s="14">
        <v>4</v>
      </c>
      <c r="AF50" s="14">
        <v>0</v>
      </c>
      <c r="AG50" s="14">
        <v>0</v>
      </c>
    </row>
    <row r="51" spans="1:33" x14ac:dyDescent="0.3">
      <c r="A51" s="14">
        <v>42</v>
      </c>
      <c r="B51" s="135" t="s">
        <v>237</v>
      </c>
      <c r="C51" s="135" t="s">
        <v>396</v>
      </c>
      <c r="D51" s="135" t="s">
        <v>409</v>
      </c>
      <c r="E51" s="488">
        <v>6</v>
      </c>
      <c r="F51" s="14">
        <v>10</v>
      </c>
      <c r="G51" s="14">
        <v>6</v>
      </c>
      <c r="H51" s="247"/>
      <c r="I51" s="14"/>
      <c r="J51" s="14"/>
      <c r="K51" s="14"/>
      <c r="L51" s="14"/>
      <c r="M51" s="14"/>
      <c r="N51" s="14"/>
      <c r="O51" s="14"/>
      <c r="P51" s="14"/>
      <c r="Q51" s="14"/>
      <c r="R51" s="14"/>
      <c r="S51" s="14"/>
      <c r="T51" s="14"/>
      <c r="U51" s="14"/>
      <c r="V51" s="14">
        <v>22</v>
      </c>
      <c r="W51" s="14">
        <v>7.3</v>
      </c>
      <c r="X51" s="9"/>
      <c r="Z51" s="14">
        <v>42</v>
      </c>
      <c r="AA51" s="14" t="s">
        <v>1829</v>
      </c>
      <c r="AB51" s="14" t="s">
        <v>37</v>
      </c>
      <c r="AC51" s="14" t="s">
        <v>396</v>
      </c>
      <c r="AD51" s="14">
        <v>3</v>
      </c>
      <c r="AE51" s="14">
        <v>3</v>
      </c>
      <c r="AF51" s="14">
        <v>100</v>
      </c>
      <c r="AG51" s="14">
        <v>1</v>
      </c>
    </row>
    <row r="52" spans="1:33" x14ac:dyDescent="0.3">
      <c r="A52" s="14">
        <v>43</v>
      </c>
      <c r="B52" s="135" t="s">
        <v>233</v>
      </c>
      <c r="C52" s="135" t="s">
        <v>396</v>
      </c>
      <c r="D52" s="135" t="s">
        <v>401</v>
      </c>
      <c r="E52" s="488">
        <v>7</v>
      </c>
      <c r="F52" s="14">
        <v>9</v>
      </c>
      <c r="G52" s="14">
        <v>6</v>
      </c>
      <c r="H52" s="14"/>
      <c r="I52" s="14"/>
      <c r="J52" s="14"/>
      <c r="K52" s="14"/>
      <c r="L52" s="14"/>
      <c r="M52" s="14"/>
      <c r="N52" s="14"/>
      <c r="O52" s="14"/>
      <c r="P52" s="14"/>
      <c r="Q52" s="14"/>
      <c r="R52" s="14"/>
      <c r="S52" s="14"/>
      <c r="T52" s="14"/>
      <c r="U52" s="14"/>
      <c r="V52" s="14">
        <v>22</v>
      </c>
      <c r="W52" s="14">
        <v>7.3</v>
      </c>
      <c r="X52" s="9"/>
      <c r="Z52" s="14">
        <v>43</v>
      </c>
      <c r="AA52" s="14" t="s">
        <v>1809</v>
      </c>
      <c r="AB52" s="14" t="s">
        <v>16</v>
      </c>
      <c r="AC52" s="14" t="s">
        <v>399</v>
      </c>
      <c r="AD52" s="14">
        <v>3</v>
      </c>
      <c r="AE52" s="14">
        <v>3</v>
      </c>
      <c r="AF52" s="14">
        <v>100</v>
      </c>
      <c r="AG52" s="14">
        <v>2</v>
      </c>
    </row>
    <row r="53" spans="1:33" x14ac:dyDescent="0.3">
      <c r="A53" s="14">
        <v>44</v>
      </c>
      <c r="B53" s="135" t="s">
        <v>212</v>
      </c>
      <c r="C53" s="135" t="s">
        <v>396</v>
      </c>
      <c r="D53" s="135" t="s">
        <v>26</v>
      </c>
      <c r="E53" s="488">
        <v>7</v>
      </c>
      <c r="F53" s="14">
        <v>9</v>
      </c>
      <c r="G53" s="14">
        <v>6</v>
      </c>
      <c r="H53" s="14"/>
      <c r="I53" s="14"/>
      <c r="J53" s="14"/>
      <c r="K53" s="14"/>
      <c r="L53" s="14"/>
      <c r="M53" s="14"/>
      <c r="N53" s="14"/>
      <c r="O53" s="14"/>
      <c r="P53" s="14"/>
      <c r="Q53" s="14"/>
      <c r="R53" s="14"/>
      <c r="S53" s="14"/>
      <c r="T53" s="14"/>
      <c r="U53" s="14"/>
      <c r="V53" s="14">
        <v>22</v>
      </c>
      <c r="W53" s="14">
        <v>7.3</v>
      </c>
      <c r="X53" s="9"/>
      <c r="Z53" s="14">
        <v>44</v>
      </c>
      <c r="AA53" s="14" t="s">
        <v>1834</v>
      </c>
      <c r="AB53" s="14" t="s">
        <v>50</v>
      </c>
      <c r="AC53" s="14" t="s">
        <v>396</v>
      </c>
      <c r="AD53" s="14">
        <v>3</v>
      </c>
      <c r="AE53" s="14">
        <v>3</v>
      </c>
      <c r="AF53" s="14">
        <v>100</v>
      </c>
      <c r="AG53" s="14">
        <v>2</v>
      </c>
    </row>
    <row r="54" spans="1:33" x14ac:dyDescent="0.3">
      <c r="A54" s="14">
        <v>45</v>
      </c>
      <c r="B54" s="135" t="s">
        <v>768</v>
      </c>
      <c r="C54" s="135" t="s">
        <v>396</v>
      </c>
      <c r="D54" s="135" t="s">
        <v>22</v>
      </c>
      <c r="E54" s="488">
        <v>12</v>
      </c>
      <c r="F54" s="14">
        <v>9</v>
      </c>
      <c r="G54" s="14">
        <v>1</v>
      </c>
      <c r="H54" s="14"/>
      <c r="I54" s="14"/>
      <c r="J54" s="14"/>
      <c r="K54" s="14"/>
      <c r="L54" s="14"/>
      <c r="M54" s="14"/>
      <c r="N54" s="14"/>
      <c r="O54" s="14"/>
      <c r="P54" s="14"/>
      <c r="Q54" s="14"/>
      <c r="R54" s="14"/>
      <c r="S54" s="14"/>
      <c r="T54" s="14"/>
      <c r="U54" s="14"/>
      <c r="V54" s="14">
        <v>22</v>
      </c>
      <c r="W54" s="14">
        <v>7.3</v>
      </c>
      <c r="X54" s="9"/>
      <c r="Z54" s="14">
        <v>45</v>
      </c>
      <c r="AA54" s="14" t="s">
        <v>1807</v>
      </c>
      <c r="AB54" s="14" t="s">
        <v>50</v>
      </c>
      <c r="AC54" s="14" t="s">
        <v>394</v>
      </c>
      <c r="AD54" s="14">
        <v>3</v>
      </c>
      <c r="AE54" s="14">
        <v>3</v>
      </c>
      <c r="AF54" s="14">
        <v>100</v>
      </c>
      <c r="AG54" s="14">
        <v>1</v>
      </c>
    </row>
    <row r="55" spans="1:33" x14ac:dyDescent="0.3">
      <c r="A55" s="14">
        <v>46</v>
      </c>
      <c r="B55" s="135" t="s">
        <v>457</v>
      </c>
      <c r="C55" s="135" t="s">
        <v>396</v>
      </c>
      <c r="D55" s="135" t="s">
        <v>404</v>
      </c>
      <c r="E55" s="488">
        <v>6</v>
      </c>
      <c r="F55" s="14">
        <v>5</v>
      </c>
      <c r="G55" s="14">
        <v>11</v>
      </c>
      <c r="H55" s="247"/>
      <c r="I55" s="14"/>
      <c r="J55" s="14"/>
      <c r="K55" s="14"/>
      <c r="L55" s="14"/>
      <c r="M55" s="14"/>
      <c r="N55" s="14"/>
      <c r="O55" s="14"/>
      <c r="P55" s="14"/>
      <c r="Q55" s="14"/>
      <c r="R55" s="14"/>
      <c r="S55" s="14"/>
      <c r="T55" s="14"/>
      <c r="U55" s="14"/>
      <c r="V55" s="14">
        <v>22</v>
      </c>
      <c r="W55" s="14">
        <v>7.3</v>
      </c>
      <c r="X55" s="9"/>
      <c r="Z55" s="14">
        <v>46</v>
      </c>
      <c r="AA55" s="14" t="s">
        <v>1856</v>
      </c>
      <c r="AB55" s="14" t="s">
        <v>28</v>
      </c>
      <c r="AC55" s="14" t="s">
        <v>394</v>
      </c>
      <c r="AD55" s="14">
        <v>3</v>
      </c>
      <c r="AE55" s="14">
        <v>3</v>
      </c>
      <c r="AF55" s="14">
        <v>100</v>
      </c>
      <c r="AG55" s="14">
        <v>0</v>
      </c>
    </row>
    <row r="56" spans="1:33" x14ac:dyDescent="0.3">
      <c r="A56" s="14">
        <v>47</v>
      </c>
      <c r="B56" s="135" t="s">
        <v>88</v>
      </c>
      <c r="C56" s="135" t="s">
        <v>394</v>
      </c>
      <c r="D56" s="135" t="s">
        <v>20</v>
      </c>
      <c r="E56" s="488">
        <v>9</v>
      </c>
      <c r="F56" s="14">
        <v>5</v>
      </c>
      <c r="G56" s="14">
        <v>7</v>
      </c>
      <c r="H56" s="14"/>
      <c r="I56" s="14"/>
      <c r="J56" s="14"/>
      <c r="K56" s="14"/>
      <c r="L56" s="14"/>
      <c r="M56" s="14"/>
      <c r="N56" s="14"/>
      <c r="O56" s="14"/>
      <c r="P56" s="14"/>
      <c r="Q56" s="14"/>
      <c r="R56" s="14"/>
      <c r="S56" s="14"/>
      <c r="T56" s="14"/>
      <c r="U56" s="14"/>
      <c r="V56" s="14">
        <v>21</v>
      </c>
      <c r="W56" s="14">
        <v>7</v>
      </c>
      <c r="X56" s="9"/>
      <c r="Z56" s="14">
        <v>47</v>
      </c>
      <c r="AA56" s="14" t="s">
        <v>1860</v>
      </c>
      <c r="AB56" s="14" t="s">
        <v>22</v>
      </c>
      <c r="AC56" s="14" t="s">
        <v>396</v>
      </c>
      <c r="AD56" s="14">
        <v>3</v>
      </c>
      <c r="AE56" s="14">
        <v>3</v>
      </c>
      <c r="AF56" s="14">
        <v>100</v>
      </c>
      <c r="AG56" s="14">
        <v>3</v>
      </c>
    </row>
    <row r="57" spans="1:33" x14ac:dyDescent="0.3">
      <c r="A57" s="14">
        <v>48</v>
      </c>
      <c r="B57" s="135" t="s">
        <v>197</v>
      </c>
      <c r="C57" s="135" t="s">
        <v>396</v>
      </c>
      <c r="D57" s="135" t="s">
        <v>34</v>
      </c>
      <c r="E57" s="488">
        <v>7</v>
      </c>
      <c r="F57" s="14">
        <v>8</v>
      </c>
      <c r="G57" s="14">
        <v>6</v>
      </c>
      <c r="H57" s="14"/>
      <c r="I57" s="14"/>
      <c r="J57" s="14"/>
      <c r="K57" s="14"/>
      <c r="L57" s="14"/>
      <c r="M57" s="14"/>
      <c r="N57" s="14"/>
      <c r="O57" s="14"/>
      <c r="P57" s="14"/>
      <c r="Q57" s="14"/>
      <c r="R57" s="14"/>
      <c r="S57" s="14"/>
      <c r="T57" s="14"/>
      <c r="U57" s="14"/>
      <c r="V57" s="14">
        <v>21</v>
      </c>
      <c r="W57" s="14">
        <v>7</v>
      </c>
      <c r="X57" s="9"/>
      <c r="Z57" s="14">
        <v>48</v>
      </c>
      <c r="AA57" s="14" t="s">
        <v>2381</v>
      </c>
      <c r="AB57" s="14" t="s">
        <v>37</v>
      </c>
      <c r="AC57" s="14" t="s">
        <v>394</v>
      </c>
      <c r="AD57" s="14">
        <v>2</v>
      </c>
      <c r="AE57" s="14">
        <v>3</v>
      </c>
      <c r="AF57" s="14">
        <v>66.67</v>
      </c>
      <c r="AG57" s="14">
        <v>0</v>
      </c>
    </row>
    <row r="58" spans="1:33" x14ac:dyDescent="0.3">
      <c r="A58" s="14">
        <v>49</v>
      </c>
      <c r="B58" s="135" t="s">
        <v>241</v>
      </c>
      <c r="C58" s="135" t="s">
        <v>396</v>
      </c>
      <c r="D58" s="135" t="s">
        <v>407</v>
      </c>
      <c r="E58" s="488">
        <v>8</v>
      </c>
      <c r="F58" s="14">
        <v>6</v>
      </c>
      <c r="G58" s="14">
        <v>7</v>
      </c>
      <c r="H58" s="14"/>
      <c r="I58" s="14"/>
      <c r="J58" s="14"/>
      <c r="K58" s="14"/>
      <c r="L58" s="14"/>
      <c r="M58" s="14"/>
      <c r="N58" s="14"/>
      <c r="O58" s="14"/>
      <c r="P58" s="14"/>
      <c r="Q58" s="14"/>
      <c r="R58" s="14"/>
      <c r="S58" s="14"/>
      <c r="T58" s="14"/>
      <c r="U58" s="14"/>
      <c r="V58" s="14">
        <v>21</v>
      </c>
      <c r="W58" s="14">
        <v>7</v>
      </c>
      <c r="X58" s="9"/>
      <c r="Z58" s="14">
        <v>49</v>
      </c>
      <c r="AA58" s="14" t="s">
        <v>1849</v>
      </c>
      <c r="AB58" s="14" t="s">
        <v>30</v>
      </c>
      <c r="AC58" s="14" t="s">
        <v>396</v>
      </c>
      <c r="AD58" s="14">
        <v>2</v>
      </c>
      <c r="AE58" s="14">
        <v>3</v>
      </c>
      <c r="AF58" s="14">
        <v>66.67</v>
      </c>
      <c r="AG58" s="14">
        <v>0</v>
      </c>
    </row>
    <row r="59" spans="1:33" x14ac:dyDescent="0.3">
      <c r="A59" s="14">
        <v>50</v>
      </c>
      <c r="B59" s="135" t="s">
        <v>323</v>
      </c>
      <c r="C59" s="135" t="s">
        <v>399</v>
      </c>
      <c r="D59" s="135" t="s">
        <v>397</v>
      </c>
      <c r="E59" s="488">
        <v>7</v>
      </c>
      <c r="F59" s="14">
        <v>7</v>
      </c>
      <c r="G59" s="14">
        <v>7</v>
      </c>
      <c r="H59" s="14"/>
      <c r="I59" s="14"/>
      <c r="J59" s="14"/>
      <c r="K59" s="14"/>
      <c r="L59" s="14"/>
      <c r="M59" s="14"/>
      <c r="N59" s="14"/>
      <c r="O59" s="14"/>
      <c r="P59" s="14"/>
      <c r="Q59" s="14"/>
      <c r="R59" s="14"/>
      <c r="S59" s="14"/>
      <c r="T59" s="14"/>
      <c r="U59" s="14"/>
      <c r="V59" s="14">
        <v>21</v>
      </c>
      <c r="W59" s="14">
        <v>7</v>
      </c>
      <c r="X59" s="9"/>
      <c r="Z59" s="14">
        <v>50</v>
      </c>
      <c r="AA59" s="14" t="s">
        <v>2471</v>
      </c>
      <c r="AB59" s="14" t="s">
        <v>404</v>
      </c>
      <c r="AC59" s="14" t="s">
        <v>396</v>
      </c>
      <c r="AD59" s="14">
        <v>2</v>
      </c>
      <c r="AE59" s="14">
        <v>3</v>
      </c>
      <c r="AF59" s="14">
        <v>66.67</v>
      </c>
      <c r="AG59" s="14">
        <v>1</v>
      </c>
    </row>
    <row r="60" spans="1:33" x14ac:dyDescent="0.3">
      <c r="A60" s="14">
        <v>51</v>
      </c>
      <c r="B60" s="135" t="s">
        <v>335</v>
      </c>
      <c r="C60" s="135" t="s">
        <v>399</v>
      </c>
      <c r="D60" s="135" t="s">
        <v>50</v>
      </c>
      <c r="E60" s="488">
        <v>8</v>
      </c>
      <c r="F60" s="14">
        <v>8</v>
      </c>
      <c r="G60" s="14">
        <v>4</v>
      </c>
      <c r="H60" s="14"/>
      <c r="I60" s="14"/>
      <c r="J60" s="14"/>
      <c r="K60" s="14"/>
      <c r="L60" s="14"/>
      <c r="M60" s="14"/>
      <c r="N60" s="14"/>
      <c r="O60" s="14"/>
      <c r="P60" s="14"/>
      <c r="Q60" s="14"/>
      <c r="R60" s="14"/>
      <c r="S60" s="14"/>
      <c r="T60" s="14"/>
      <c r="U60" s="14"/>
      <c r="V60" s="14">
        <v>20</v>
      </c>
      <c r="W60" s="14">
        <v>6.7</v>
      </c>
      <c r="X60" s="9"/>
      <c r="Z60" s="14">
        <v>51</v>
      </c>
      <c r="AA60" s="14" t="s">
        <v>1798</v>
      </c>
      <c r="AB60" s="14" t="s">
        <v>43</v>
      </c>
      <c r="AC60" s="14" t="s">
        <v>396</v>
      </c>
      <c r="AD60" s="14">
        <v>2</v>
      </c>
      <c r="AE60" s="14">
        <v>3</v>
      </c>
      <c r="AF60" s="14">
        <v>66.67</v>
      </c>
      <c r="AG60" s="14">
        <v>1</v>
      </c>
    </row>
    <row r="61" spans="1:33" x14ac:dyDescent="0.3">
      <c r="A61" s="14">
        <v>52</v>
      </c>
      <c r="B61" s="135" t="s">
        <v>329</v>
      </c>
      <c r="C61" s="135" t="s">
        <v>399</v>
      </c>
      <c r="D61" s="135" t="s">
        <v>52</v>
      </c>
      <c r="E61" s="488">
        <v>14</v>
      </c>
      <c r="F61" s="14">
        <v>4</v>
      </c>
      <c r="G61" s="14">
        <v>2</v>
      </c>
      <c r="H61" s="14"/>
      <c r="I61" s="14"/>
      <c r="J61" s="14"/>
      <c r="K61" s="14"/>
      <c r="L61" s="14"/>
      <c r="M61" s="14"/>
      <c r="N61" s="14"/>
      <c r="O61" s="14"/>
      <c r="P61" s="14"/>
      <c r="Q61" s="14"/>
      <c r="R61" s="14"/>
      <c r="S61" s="14"/>
      <c r="T61" s="14"/>
      <c r="U61" s="14"/>
      <c r="V61" s="14">
        <v>20</v>
      </c>
      <c r="W61" s="14">
        <v>6.7</v>
      </c>
      <c r="X61" s="9"/>
      <c r="Z61" s="14">
        <v>52</v>
      </c>
      <c r="AA61" s="14" t="s">
        <v>1863</v>
      </c>
      <c r="AB61" s="14" t="s">
        <v>7</v>
      </c>
      <c r="AC61" s="14" t="s">
        <v>396</v>
      </c>
      <c r="AD61" s="14">
        <v>2</v>
      </c>
      <c r="AE61" s="14">
        <v>3</v>
      </c>
      <c r="AF61" s="14">
        <v>66.67</v>
      </c>
      <c r="AG61" s="14">
        <v>0</v>
      </c>
    </row>
    <row r="62" spans="1:33" x14ac:dyDescent="0.3">
      <c r="A62" s="14">
        <v>53</v>
      </c>
      <c r="B62" s="135" t="s">
        <v>220</v>
      </c>
      <c r="C62" s="135" t="s">
        <v>396</v>
      </c>
      <c r="D62" s="135" t="s">
        <v>18</v>
      </c>
      <c r="E62" s="488">
        <v>6</v>
      </c>
      <c r="F62" s="14">
        <v>7</v>
      </c>
      <c r="G62" s="14">
        <v>7</v>
      </c>
      <c r="H62" s="14"/>
      <c r="I62" s="14"/>
      <c r="J62" s="14"/>
      <c r="K62" s="14"/>
      <c r="L62" s="14"/>
      <c r="M62" s="14"/>
      <c r="N62" s="14"/>
      <c r="O62" s="14"/>
      <c r="P62" s="14"/>
      <c r="Q62" s="14"/>
      <c r="R62" s="14"/>
      <c r="S62" s="14"/>
      <c r="T62" s="14"/>
      <c r="U62" s="14"/>
      <c r="V62" s="14">
        <v>20</v>
      </c>
      <c r="W62" s="14">
        <v>6.7</v>
      </c>
      <c r="X62" s="9"/>
      <c r="Z62" s="14">
        <v>53</v>
      </c>
      <c r="AA62" s="14" t="s">
        <v>2376</v>
      </c>
      <c r="AB62" s="14" t="s">
        <v>39</v>
      </c>
      <c r="AC62" s="14" t="s">
        <v>396</v>
      </c>
      <c r="AD62" s="14">
        <v>2</v>
      </c>
      <c r="AE62" s="14">
        <v>3</v>
      </c>
      <c r="AF62" s="14">
        <v>66.67</v>
      </c>
      <c r="AG62" s="14">
        <v>0</v>
      </c>
    </row>
    <row r="63" spans="1:33" x14ac:dyDescent="0.3">
      <c r="A63" s="14">
        <v>54</v>
      </c>
      <c r="B63" s="135" t="s">
        <v>199</v>
      </c>
      <c r="C63" s="135" t="s">
        <v>396</v>
      </c>
      <c r="D63" s="135" t="s">
        <v>70</v>
      </c>
      <c r="E63" s="488">
        <v>6</v>
      </c>
      <c r="F63" s="14">
        <v>7</v>
      </c>
      <c r="G63" s="14">
        <v>7</v>
      </c>
      <c r="H63" s="247"/>
      <c r="I63" s="14"/>
      <c r="J63" s="14"/>
      <c r="K63" s="14"/>
      <c r="L63" s="14"/>
      <c r="M63" s="14"/>
      <c r="N63" s="14"/>
      <c r="O63" s="14"/>
      <c r="P63" s="14"/>
      <c r="Q63" s="14"/>
      <c r="R63" s="14"/>
      <c r="S63" s="14"/>
      <c r="T63" s="14"/>
      <c r="U63" s="14"/>
      <c r="V63" s="14">
        <v>20</v>
      </c>
      <c r="W63" s="14">
        <v>6.7</v>
      </c>
      <c r="X63" s="9"/>
      <c r="Z63" s="14">
        <v>54</v>
      </c>
      <c r="AA63" s="14" t="s">
        <v>1853</v>
      </c>
      <c r="AB63" s="14" t="s">
        <v>46</v>
      </c>
      <c r="AC63" s="14" t="s">
        <v>396</v>
      </c>
      <c r="AD63" s="14">
        <v>2</v>
      </c>
      <c r="AE63" s="14">
        <v>3</v>
      </c>
      <c r="AF63" s="14">
        <v>66.67</v>
      </c>
      <c r="AG63" s="14">
        <v>1</v>
      </c>
    </row>
    <row r="64" spans="1:33" x14ac:dyDescent="0.3">
      <c r="A64" s="14">
        <v>55</v>
      </c>
      <c r="B64" s="135" t="s">
        <v>188</v>
      </c>
      <c r="C64" s="135" t="s">
        <v>396</v>
      </c>
      <c r="D64" s="135" t="s">
        <v>50</v>
      </c>
      <c r="E64" s="488">
        <v>8</v>
      </c>
      <c r="F64" s="14">
        <v>5</v>
      </c>
      <c r="G64" s="14">
        <v>7</v>
      </c>
      <c r="H64" s="14"/>
      <c r="I64" s="14"/>
      <c r="J64" s="14"/>
      <c r="K64" s="14"/>
      <c r="L64" s="14"/>
      <c r="M64" s="14"/>
      <c r="N64" s="14"/>
      <c r="O64" s="14"/>
      <c r="P64" s="14"/>
      <c r="Q64" s="14"/>
      <c r="R64" s="14"/>
      <c r="S64" s="14"/>
      <c r="T64" s="14"/>
      <c r="U64" s="14"/>
      <c r="V64" s="14">
        <v>20</v>
      </c>
      <c r="W64" s="14">
        <v>6.7</v>
      </c>
      <c r="X64" s="9"/>
      <c r="Z64" s="14">
        <v>55</v>
      </c>
      <c r="AA64" s="14" t="s">
        <v>2472</v>
      </c>
      <c r="AB64" s="14" t="s">
        <v>407</v>
      </c>
      <c r="AC64" s="14" t="s">
        <v>396</v>
      </c>
      <c r="AD64" s="14">
        <v>2</v>
      </c>
      <c r="AE64" s="14">
        <v>3</v>
      </c>
      <c r="AF64" s="14">
        <v>66.67</v>
      </c>
      <c r="AG64" s="14">
        <v>0</v>
      </c>
    </row>
    <row r="65" spans="1:33" x14ac:dyDescent="0.3">
      <c r="A65" s="14">
        <v>56</v>
      </c>
      <c r="B65" s="135" t="s">
        <v>243</v>
      </c>
      <c r="C65" s="135" t="s">
        <v>396</v>
      </c>
      <c r="D65" s="135" t="s">
        <v>398</v>
      </c>
      <c r="E65" s="488">
        <v>6</v>
      </c>
      <c r="F65" s="14">
        <v>10</v>
      </c>
      <c r="G65" s="14">
        <v>4</v>
      </c>
      <c r="H65" s="14"/>
      <c r="I65" s="14"/>
      <c r="J65" s="14"/>
      <c r="K65" s="14"/>
      <c r="L65" s="14"/>
      <c r="M65" s="14"/>
      <c r="N65" s="14"/>
      <c r="O65" s="14"/>
      <c r="P65" s="14"/>
      <c r="Q65" s="14"/>
      <c r="R65" s="14"/>
      <c r="S65" s="14"/>
      <c r="T65" s="14"/>
      <c r="U65" s="14"/>
      <c r="V65" s="14">
        <v>20</v>
      </c>
      <c r="W65" s="14">
        <v>6.7</v>
      </c>
      <c r="X65" s="9"/>
      <c r="Z65" s="14">
        <v>56</v>
      </c>
      <c r="AA65" s="14" t="s">
        <v>2379</v>
      </c>
      <c r="AB65" s="14" t="s">
        <v>32</v>
      </c>
      <c r="AC65" s="14" t="s">
        <v>396</v>
      </c>
      <c r="AD65" s="14">
        <v>2</v>
      </c>
      <c r="AE65" s="14">
        <v>3</v>
      </c>
      <c r="AF65" s="14">
        <v>66.67</v>
      </c>
      <c r="AG65" s="14">
        <v>2</v>
      </c>
    </row>
    <row r="66" spans="1:33" x14ac:dyDescent="0.3">
      <c r="A66" s="14">
        <v>57</v>
      </c>
      <c r="B66" s="135" t="s">
        <v>208</v>
      </c>
      <c r="C66" s="135" t="s">
        <v>396</v>
      </c>
      <c r="D66" s="135" t="s">
        <v>46</v>
      </c>
      <c r="E66" s="488">
        <v>6</v>
      </c>
      <c r="F66" s="14">
        <v>7</v>
      </c>
      <c r="G66" s="14">
        <v>7</v>
      </c>
      <c r="H66" s="14"/>
      <c r="I66" s="14"/>
      <c r="J66" s="14"/>
      <c r="K66" s="14"/>
      <c r="L66" s="14"/>
      <c r="M66" s="14"/>
      <c r="N66" s="14"/>
      <c r="O66" s="14"/>
      <c r="P66" s="14"/>
      <c r="Q66" s="14"/>
      <c r="R66" s="14"/>
      <c r="S66" s="14"/>
      <c r="T66" s="14"/>
      <c r="U66" s="14"/>
      <c r="V66" s="14">
        <v>20</v>
      </c>
      <c r="W66" s="14">
        <v>6.7</v>
      </c>
      <c r="X66" s="9"/>
      <c r="Z66" s="14">
        <v>57</v>
      </c>
      <c r="AA66" s="14" t="s">
        <v>1814</v>
      </c>
      <c r="AB66" s="14" t="s">
        <v>37</v>
      </c>
      <c r="AC66" s="14" t="s">
        <v>396</v>
      </c>
      <c r="AD66" s="14">
        <v>2</v>
      </c>
      <c r="AE66" s="14">
        <v>3</v>
      </c>
      <c r="AF66" s="14">
        <v>66.67</v>
      </c>
      <c r="AG66" s="14">
        <v>1</v>
      </c>
    </row>
    <row r="67" spans="1:33" x14ac:dyDescent="0.3">
      <c r="A67" s="14">
        <v>58</v>
      </c>
      <c r="B67" s="135" t="s">
        <v>113</v>
      </c>
      <c r="C67" s="135" t="s">
        <v>394</v>
      </c>
      <c r="D67" s="135" t="s">
        <v>28</v>
      </c>
      <c r="E67" s="488">
        <v>4</v>
      </c>
      <c r="F67" s="14">
        <v>11</v>
      </c>
      <c r="G67" s="14">
        <v>5</v>
      </c>
      <c r="H67" s="14"/>
      <c r="I67" s="14"/>
      <c r="J67" s="14"/>
      <c r="K67" s="14"/>
      <c r="L67" s="14"/>
      <c r="M67" s="14"/>
      <c r="N67" s="14"/>
      <c r="O67" s="14"/>
      <c r="P67" s="14"/>
      <c r="Q67" s="14"/>
      <c r="R67" s="14"/>
      <c r="S67" s="14"/>
      <c r="T67" s="14"/>
      <c r="U67" s="14"/>
      <c r="V67" s="14">
        <v>20</v>
      </c>
      <c r="W67" s="14">
        <v>6.7</v>
      </c>
      <c r="X67" s="9"/>
      <c r="Z67" s="14">
        <v>58</v>
      </c>
      <c r="AA67" s="14" t="s">
        <v>1847</v>
      </c>
      <c r="AB67" s="14" t="s">
        <v>401</v>
      </c>
      <c r="AC67" s="14" t="s">
        <v>399</v>
      </c>
      <c r="AD67" s="14">
        <v>2</v>
      </c>
      <c r="AE67" s="14">
        <v>3</v>
      </c>
      <c r="AF67" s="14">
        <v>66.67</v>
      </c>
      <c r="AG67" s="14">
        <v>1</v>
      </c>
    </row>
    <row r="68" spans="1:33" x14ac:dyDescent="0.3">
      <c r="A68" s="14">
        <v>59</v>
      </c>
      <c r="B68" s="135" t="s">
        <v>332</v>
      </c>
      <c r="C68" s="135" t="s">
        <v>399</v>
      </c>
      <c r="D68" s="135" t="s">
        <v>26</v>
      </c>
      <c r="E68" s="488">
        <v>5</v>
      </c>
      <c r="F68" s="14">
        <v>7</v>
      </c>
      <c r="G68" s="14">
        <v>8</v>
      </c>
      <c r="H68" s="14"/>
      <c r="I68" s="14"/>
      <c r="J68" s="14"/>
      <c r="K68" s="14"/>
      <c r="L68" s="14"/>
      <c r="M68" s="14"/>
      <c r="N68" s="14"/>
      <c r="O68" s="14"/>
      <c r="P68" s="14"/>
      <c r="Q68" s="14"/>
      <c r="R68" s="14"/>
      <c r="S68" s="14"/>
      <c r="T68" s="14"/>
      <c r="U68" s="14"/>
      <c r="V68" s="14">
        <v>20</v>
      </c>
      <c r="W68" s="14">
        <v>6.7</v>
      </c>
      <c r="X68" s="9"/>
      <c r="Z68" s="14">
        <v>59</v>
      </c>
      <c r="AA68" s="14" t="s">
        <v>1859</v>
      </c>
      <c r="AB68" s="14" t="s">
        <v>34</v>
      </c>
      <c r="AC68" s="14" t="s">
        <v>396</v>
      </c>
      <c r="AD68" s="14">
        <v>2</v>
      </c>
      <c r="AE68" s="14">
        <v>3</v>
      </c>
      <c r="AF68" s="14">
        <v>66.67</v>
      </c>
      <c r="AG68" s="14">
        <v>1</v>
      </c>
    </row>
    <row r="69" spans="1:33" x14ac:dyDescent="0.3">
      <c r="A69" s="14">
        <v>60</v>
      </c>
      <c r="B69" s="135" t="s">
        <v>505</v>
      </c>
      <c r="C69" s="135" t="s">
        <v>396</v>
      </c>
      <c r="D69" s="135" t="s">
        <v>407</v>
      </c>
      <c r="E69" s="488">
        <v>5</v>
      </c>
      <c r="F69" s="14">
        <v>6</v>
      </c>
      <c r="G69" s="14">
        <v>9</v>
      </c>
      <c r="H69" s="14"/>
      <c r="I69" s="14"/>
      <c r="J69" s="14"/>
      <c r="K69" s="14"/>
      <c r="L69" s="14"/>
      <c r="M69" s="14"/>
      <c r="N69" s="14"/>
      <c r="O69" s="14"/>
      <c r="P69" s="14"/>
      <c r="Q69" s="14"/>
      <c r="R69" s="14"/>
      <c r="S69" s="14"/>
      <c r="T69" s="14"/>
      <c r="U69" s="14"/>
      <c r="V69" s="14">
        <v>20</v>
      </c>
      <c r="W69" s="14">
        <v>6.7</v>
      </c>
      <c r="X69" s="9"/>
      <c r="Z69" s="14">
        <v>60</v>
      </c>
      <c r="AA69" s="14" t="s">
        <v>1845</v>
      </c>
      <c r="AB69" s="14" t="s">
        <v>26</v>
      </c>
      <c r="AC69" s="14" t="s">
        <v>399</v>
      </c>
      <c r="AD69" s="14">
        <v>2</v>
      </c>
      <c r="AE69" s="14">
        <v>3</v>
      </c>
      <c r="AF69" s="14">
        <v>66.67</v>
      </c>
      <c r="AG69" s="14">
        <v>2</v>
      </c>
    </row>
    <row r="70" spans="1:33" x14ac:dyDescent="0.3">
      <c r="A70" s="14">
        <v>61</v>
      </c>
      <c r="B70" s="135" t="s">
        <v>128</v>
      </c>
      <c r="C70" s="135" t="s">
        <v>394</v>
      </c>
      <c r="D70" s="135" t="s">
        <v>30</v>
      </c>
      <c r="E70" s="488">
        <v>7</v>
      </c>
      <c r="F70" s="14">
        <v>7</v>
      </c>
      <c r="G70" s="14">
        <v>5</v>
      </c>
      <c r="H70" s="14"/>
      <c r="I70" s="14"/>
      <c r="J70" s="14"/>
      <c r="K70" s="14"/>
      <c r="L70" s="14"/>
      <c r="M70" s="14"/>
      <c r="N70" s="14"/>
      <c r="O70" s="14"/>
      <c r="P70" s="14"/>
      <c r="Q70" s="14"/>
      <c r="R70" s="14"/>
      <c r="S70" s="14"/>
      <c r="T70" s="14"/>
      <c r="U70" s="14"/>
      <c r="V70" s="14">
        <v>19</v>
      </c>
      <c r="W70" s="14">
        <v>6.3</v>
      </c>
      <c r="X70" s="9"/>
      <c r="Z70" s="14">
        <v>61</v>
      </c>
      <c r="AA70" s="14" t="s">
        <v>1817</v>
      </c>
      <c r="AB70" s="14" t="s">
        <v>20</v>
      </c>
      <c r="AC70" s="14" t="s">
        <v>399</v>
      </c>
      <c r="AD70" s="14">
        <v>2</v>
      </c>
      <c r="AE70" s="14">
        <v>3</v>
      </c>
      <c r="AF70" s="14">
        <v>66.67</v>
      </c>
      <c r="AG70" s="14">
        <v>1</v>
      </c>
    </row>
    <row r="71" spans="1:33" x14ac:dyDescent="0.3">
      <c r="A71" s="14">
        <v>62</v>
      </c>
      <c r="B71" s="135" t="s">
        <v>129</v>
      </c>
      <c r="C71" s="135" t="s">
        <v>394</v>
      </c>
      <c r="D71" s="135" t="s">
        <v>26</v>
      </c>
      <c r="E71" s="488">
        <v>5</v>
      </c>
      <c r="F71" s="14">
        <v>5</v>
      </c>
      <c r="G71" s="14">
        <v>9</v>
      </c>
      <c r="H71" s="14"/>
      <c r="I71" s="14"/>
      <c r="J71" s="14"/>
      <c r="K71" s="14"/>
      <c r="L71" s="14"/>
      <c r="M71" s="14"/>
      <c r="N71" s="14"/>
      <c r="O71" s="14"/>
      <c r="P71" s="14"/>
      <c r="Q71" s="14"/>
      <c r="R71" s="14"/>
      <c r="S71" s="14"/>
      <c r="T71" s="14"/>
      <c r="U71" s="14"/>
      <c r="V71" s="14">
        <v>19</v>
      </c>
      <c r="W71" s="14">
        <v>6.3</v>
      </c>
      <c r="X71" s="9"/>
      <c r="Z71" s="14">
        <v>62</v>
      </c>
      <c r="AA71" s="14" t="s">
        <v>2473</v>
      </c>
      <c r="AB71" s="14" t="s">
        <v>401</v>
      </c>
      <c r="AC71" s="14" t="s">
        <v>396</v>
      </c>
      <c r="AD71" s="14">
        <v>1</v>
      </c>
      <c r="AE71" s="14">
        <v>3</v>
      </c>
      <c r="AF71" s="14">
        <v>33.33</v>
      </c>
      <c r="AG71" s="14">
        <v>0</v>
      </c>
    </row>
    <row r="72" spans="1:33" x14ac:dyDescent="0.3">
      <c r="A72" s="14">
        <v>63</v>
      </c>
      <c r="B72" s="135" t="s">
        <v>1517</v>
      </c>
      <c r="C72" s="135" t="s">
        <v>396</v>
      </c>
      <c r="D72" s="135" t="s">
        <v>57</v>
      </c>
      <c r="E72" s="488">
        <v>0</v>
      </c>
      <c r="F72" s="14">
        <v>13</v>
      </c>
      <c r="G72" s="14">
        <v>6</v>
      </c>
      <c r="H72" s="14"/>
      <c r="I72" s="14"/>
      <c r="J72" s="14"/>
      <c r="K72" s="14"/>
      <c r="L72" s="14"/>
      <c r="M72" s="14"/>
      <c r="N72" s="14"/>
      <c r="O72" s="14"/>
      <c r="P72" s="14"/>
      <c r="Q72" s="14"/>
      <c r="R72" s="14"/>
      <c r="S72" s="14"/>
      <c r="T72" s="14"/>
      <c r="U72" s="14"/>
      <c r="V72" s="14">
        <v>19</v>
      </c>
      <c r="W72" s="14">
        <v>9.5</v>
      </c>
      <c r="X72" s="9"/>
      <c r="Z72" s="14">
        <v>63</v>
      </c>
      <c r="AA72" s="14" t="s">
        <v>1804</v>
      </c>
      <c r="AB72" s="14" t="s">
        <v>404</v>
      </c>
      <c r="AC72" s="14" t="s">
        <v>394</v>
      </c>
      <c r="AD72" s="14">
        <v>1</v>
      </c>
      <c r="AE72" s="14">
        <v>3</v>
      </c>
      <c r="AF72" s="14">
        <v>33.33</v>
      </c>
      <c r="AG72" s="14">
        <v>1</v>
      </c>
    </row>
    <row r="73" spans="1:33" x14ac:dyDescent="0.3">
      <c r="A73" s="14">
        <v>64</v>
      </c>
      <c r="B73" s="135" t="s">
        <v>454</v>
      </c>
      <c r="C73" s="135" t="s">
        <v>396</v>
      </c>
      <c r="D73" s="135" t="s">
        <v>37</v>
      </c>
      <c r="E73" s="488">
        <v>4</v>
      </c>
      <c r="F73" s="14">
        <v>8</v>
      </c>
      <c r="G73" s="14">
        <v>7</v>
      </c>
      <c r="H73" s="247"/>
      <c r="I73" s="14"/>
      <c r="J73" s="14"/>
      <c r="K73" s="14"/>
      <c r="L73" s="14"/>
      <c r="M73" s="14"/>
      <c r="N73" s="14"/>
      <c r="O73" s="14"/>
      <c r="P73" s="14"/>
      <c r="Q73" s="14"/>
      <c r="R73" s="14"/>
      <c r="S73" s="14"/>
      <c r="T73" s="14"/>
      <c r="U73" s="14"/>
      <c r="V73" s="14">
        <v>19</v>
      </c>
      <c r="W73" s="14">
        <v>6.3</v>
      </c>
      <c r="X73" s="9"/>
      <c r="Z73" s="14">
        <v>64</v>
      </c>
      <c r="AA73" s="14" t="s">
        <v>1876</v>
      </c>
      <c r="AB73" s="14" t="s">
        <v>14</v>
      </c>
      <c r="AC73" s="14" t="s">
        <v>394</v>
      </c>
      <c r="AD73" s="14">
        <v>1</v>
      </c>
      <c r="AE73" s="14">
        <v>3</v>
      </c>
      <c r="AF73" s="14">
        <v>33.33</v>
      </c>
      <c r="AG73" s="14">
        <v>0</v>
      </c>
    </row>
    <row r="74" spans="1:33" x14ac:dyDescent="0.3">
      <c r="A74" s="14">
        <v>65</v>
      </c>
      <c r="B74" s="135" t="s">
        <v>275</v>
      </c>
      <c r="C74" s="135" t="s">
        <v>396</v>
      </c>
      <c r="D74" s="135" t="s">
        <v>32</v>
      </c>
      <c r="E74" s="488">
        <v>6</v>
      </c>
      <c r="F74" s="14">
        <v>6</v>
      </c>
      <c r="G74" s="14">
        <v>6</v>
      </c>
      <c r="H74" s="14"/>
      <c r="I74" s="14"/>
      <c r="J74" s="14"/>
      <c r="K74" s="14"/>
      <c r="L74" s="14"/>
      <c r="M74" s="14"/>
      <c r="N74" s="14"/>
      <c r="O74" s="14"/>
      <c r="P74" s="14"/>
      <c r="Q74" s="14"/>
      <c r="R74" s="14"/>
      <c r="S74" s="14"/>
      <c r="T74" s="14"/>
      <c r="U74" s="14"/>
      <c r="V74" s="14">
        <v>18</v>
      </c>
      <c r="W74" s="14">
        <v>6</v>
      </c>
      <c r="X74" s="9"/>
      <c r="Z74" s="14">
        <v>65</v>
      </c>
      <c r="AA74" s="14" t="s">
        <v>2383</v>
      </c>
      <c r="AB74" s="14" t="s">
        <v>402</v>
      </c>
      <c r="AC74" s="14" t="s">
        <v>396</v>
      </c>
      <c r="AD74" s="14">
        <v>1</v>
      </c>
      <c r="AE74" s="14">
        <v>3</v>
      </c>
      <c r="AF74" s="14">
        <v>33.33</v>
      </c>
      <c r="AG74" s="14">
        <v>0</v>
      </c>
    </row>
    <row r="75" spans="1:33" x14ac:dyDescent="0.3">
      <c r="A75" s="14">
        <v>66</v>
      </c>
      <c r="B75" s="135" t="s">
        <v>334</v>
      </c>
      <c r="C75" s="135" t="s">
        <v>399</v>
      </c>
      <c r="D75" s="135" t="s">
        <v>46</v>
      </c>
      <c r="E75" s="488">
        <v>4</v>
      </c>
      <c r="F75" s="14">
        <v>5</v>
      </c>
      <c r="G75" s="14">
        <v>9</v>
      </c>
      <c r="H75" s="14"/>
      <c r="I75" s="14"/>
      <c r="J75" s="14"/>
      <c r="K75" s="14"/>
      <c r="L75" s="14"/>
      <c r="M75" s="14"/>
      <c r="N75" s="14"/>
      <c r="O75" s="14"/>
      <c r="P75" s="14"/>
      <c r="Q75" s="14"/>
      <c r="R75" s="14"/>
      <c r="S75" s="14"/>
      <c r="T75" s="14"/>
      <c r="U75" s="14"/>
      <c r="V75" s="14">
        <v>18</v>
      </c>
      <c r="W75" s="14">
        <v>6</v>
      </c>
      <c r="X75" s="9"/>
      <c r="Z75" s="14">
        <v>66</v>
      </c>
      <c r="AA75" s="14" t="s">
        <v>1883</v>
      </c>
      <c r="AB75" s="14" t="s">
        <v>18</v>
      </c>
      <c r="AC75" s="14" t="s">
        <v>399</v>
      </c>
      <c r="AD75" s="14">
        <v>1</v>
      </c>
      <c r="AE75" s="14">
        <v>3</v>
      </c>
      <c r="AF75" s="14">
        <v>33.33</v>
      </c>
      <c r="AG75" s="14">
        <v>0</v>
      </c>
    </row>
    <row r="76" spans="1:33" x14ac:dyDescent="0.3">
      <c r="A76" s="14">
        <v>67</v>
      </c>
      <c r="B76" s="135" t="s">
        <v>216</v>
      </c>
      <c r="C76" s="135" t="s">
        <v>396</v>
      </c>
      <c r="D76" s="135" t="s">
        <v>395</v>
      </c>
      <c r="E76" s="488">
        <v>8</v>
      </c>
      <c r="F76" s="14">
        <v>7</v>
      </c>
      <c r="G76" s="14">
        <v>3</v>
      </c>
      <c r="H76" s="14"/>
      <c r="I76" s="14"/>
      <c r="J76" s="14"/>
      <c r="K76" s="14"/>
      <c r="L76" s="14"/>
      <c r="M76" s="14"/>
      <c r="N76" s="14"/>
      <c r="O76" s="14"/>
      <c r="P76" s="14"/>
      <c r="Q76" s="14"/>
      <c r="R76" s="14"/>
      <c r="S76" s="14"/>
      <c r="T76" s="14"/>
      <c r="U76" s="14"/>
      <c r="V76" s="14">
        <v>18</v>
      </c>
      <c r="W76" s="14">
        <v>6</v>
      </c>
      <c r="X76" s="9"/>
      <c r="Z76" s="14">
        <v>67</v>
      </c>
      <c r="AA76" s="14" t="s">
        <v>1890</v>
      </c>
      <c r="AB76" s="14" t="s">
        <v>395</v>
      </c>
      <c r="AC76" s="14" t="s">
        <v>396</v>
      </c>
      <c r="AD76" s="14">
        <v>1</v>
      </c>
      <c r="AE76" s="14">
        <v>3</v>
      </c>
      <c r="AF76" s="14">
        <v>33.33</v>
      </c>
      <c r="AG76" s="14">
        <v>1</v>
      </c>
    </row>
    <row r="77" spans="1:33" x14ac:dyDescent="0.3">
      <c r="A77" s="14">
        <v>68</v>
      </c>
      <c r="B77" s="135" t="s">
        <v>239</v>
      </c>
      <c r="C77" s="135" t="s">
        <v>396</v>
      </c>
      <c r="D77" s="135" t="s">
        <v>30</v>
      </c>
      <c r="E77" s="488">
        <v>4</v>
      </c>
      <c r="F77" s="14">
        <v>6</v>
      </c>
      <c r="G77" s="14">
        <v>8</v>
      </c>
      <c r="H77" s="14"/>
      <c r="I77" s="14"/>
      <c r="J77" s="14"/>
      <c r="K77" s="14"/>
      <c r="L77" s="14"/>
      <c r="M77" s="14"/>
      <c r="N77" s="14"/>
      <c r="O77" s="14"/>
      <c r="P77" s="14"/>
      <c r="Q77" s="14"/>
      <c r="R77" s="14"/>
      <c r="S77" s="14"/>
      <c r="T77" s="14"/>
      <c r="U77" s="14"/>
      <c r="V77" s="14">
        <v>18</v>
      </c>
      <c r="W77" s="14">
        <v>6</v>
      </c>
      <c r="X77" s="9"/>
      <c r="Z77" s="14">
        <v>68</v>
      </c>
      <c r="AA77" s="14" t="s">
        <v>2387</v>
      </c>
      <c r="AB77" s="14" t="s">
        <v>52</v>
      </c>
      <c r="AC77" s="14" t="s">
        <v>396</v>
      </c>
      <c r="AD77" s="14">
        <v>1</v>
      </c>
      <c r="AE77" s="14">
        <v>3</v>
      </c>
      <c r="AF77" s="14">
        <v>33.33</v>
      </c>
      <c r="AG77" s="14">
        <v>1</v>
      </c>
    </row>
    <row r="78" spans="1:33" x14ac:dyDescent="0.3">
      <c r="A78" s="14">
        <v>69</v>
      </c>
      <c r="B78" s="135" t="s">
        <v>278</v>
      </c>
      <c r="C78" s="135" t="s">
        <v>396</v>
      </c>
      <c r="D78" s="135" t="s">
        <v>561</v>
      </c>
      <c r="E78" s="488">
        <v>4</v>
      </c>
      <c r="F78" s="14">
        <v>7</v>
      </c>
      <c r="G78" s="14">
        <v>7</v>
      </c>
      <c r="H78" s="247"/>
      <c r="I78" s="14"/>
      <c r="J78" s="14"/>
      <c r="K78" s="14"/>
      <c r="L78" s="14"/>
      <c r="M78" s="14"/>
      <c r="N78" s="14"/>
      <c r="O78" s="14"/>
      <c r="P78" s="14"/>
      <c r="Q78" s="14"/>
      <c r="R78" s="14"/>
      <c r="S78" s="14"/>
      <c r="T78" s="14"/>
      <c r="U78" s="14"/>
      <c r="V78" s="14">
        <v>18</v>
      </c>
      <c r="W78" s="14">
        <v>6</v>
      </c>
      <c r="X78" s="9"/>
      <c r="Z78" s="14">
        <v>69</v>
      </c>
      <c r="AA78" s="14" t="s">
        <v>1820</v>
      </c>
      <c r="AB78" s="14" t="s">
        <v>4</v>
      </c>
      <c r="AC78" s="14" t="s">
        <v>396</v>
      </c>
      <c r="AD78" s="14">
        <v>1</v>
      </c>
      <c r="AE78" s="14">
        <v>3</v>
      </c>
      <c r="AF78" s="14">
        <v>33.33</v>
      </c>
      <c r="AG78" s="14">
        <v>1</v>
      </c>
    </row>
    <row r="79" spans="1:33" x14ac:dyDescent="0.3">
      <c r="A79" s="14">
        <v>70</v>
      </c>
      <c r="B79" s="135" t="s">
        <v>207</v>
      </c>
      <c r="C79" s="135" t="s">
        <v>396</v>
      </c>
      <c r="D79" s="135" t="s">
        <v>24</v>
      </c>
      <c r="E79" s="488">
        <v>4</v>
      </c>
      <c r="F79" s="14">
        <v>3</v>
      </c>
      <c r="G79" s="14">
        <v>11</v>
      </c>
      <c r="H79" s="14"/>
      <c r="I79" s="14"/>
      <c r="J79" s="14"/>
      <c r="K79" s="14"/>
      <c r="L79" s="14"/>
      <c r="M79" s="14"/>
      <c r="N79" s="14"/>
      <c r="O79" s="14"/>
      <c r="P79" s="14"/>
      <c r="Q79" s="14"/>
      <c r="R79" s="14"/>
      <c r="S79" s="14"/>
      <c r="T79" s="14"/>
      <c r="U79" s="14"/>
      <c r="V79" s="14">
        <v>18</v>
      </c>
      <c r="W79" s="14">
        <v>6</v>
      </c>
      <c r="X79" s="9"/>
      <c r="Z79" s="14">
        <v>70</v>
      </c>
      <c r="AA79" s="14" t="s">
        <v>1819</v>
      </c>
      <c r="AB79" s="14" t="s">
        <v>52</v>
      </c>
      <c r="AC79" s="14" t="s">
        <v>396</v>
      </c>
      <c r="AD79" s="14">
        <v>1</v>
      </c>
      <c r="AE79" s="14">
        <v>3</v>
      </c>
      <c r="AF79" s="14">
        <v>33.33</v>
      </c>
      <c r="AG79" s="14">
        <v>0</v>
      </c>
    </row>
    <row r="80" spans="1:33" x14ac:dyDescent="0.3">
      <c r="A80" s="14">
        <v>71</v>
      </c>
      <c r="B80" s="135" t="s">
        <v>340</v>
      </c>
      <c r="C80" s="135" t="s">
        <v>399</v>
      </c>
      <c r="D80" s="135" t="s">
        <v>401</v>
      </c>
      <c r="E80" s="488">
        <v>4</v>
      </c>
      <c r="F80" s="14">
        <v>4</v>
      </c>
      <c r="G80" s="14">
        <v>10</v>
      </c>
      <c r="H80" s="14"/>
      <c r="I80" s="14"/>
      <c r="J80" s="14"/>
      <c r="K80" s="14"/>
      <c r="L80" s="14"/>
      <c r="M80" s="14"/>
      <c r="N80" s="14"/>
      <c r="O80" s="14"/>
      <c r="P80" s="14"/>
      <c r="Q80" s="14"/>
      <c r="R80" s="14"/>
      <c r="S80" s="14"/>
      <c r="T80" s="14"/>
      <c r="U80" s="14"/>
      <c r="V80" s="14">
        <v>18</v>
      </c>
      <c r="W80" s="14">
        <v>6</v>
      </c>
      <c r="X80" s="9"/>
      <c r="Z80" s="14">
        <v>71</v>
      </c>
      <c r="AA80" s="14" t="s">
        <v>1871</v>
      </c>
      <c r="AB80" s="14" t="s">
        <v>24</v>
      </c>
      <c r="AC80" s="14" t="s">
        <v>394</v>
      </c>
      <c r="AD80" s="14">
        <v>0</v>
      </c>
      <c r="AE80" s="14">
        <v>3</v>
      </c>
      <c r="AF80" s="14">
        <v>0</v>
      </c>
      <c r="AG80" s="14">
        <v>0</v>
      </c>
    </row>
    <row r="81" spans="1:33" x14ac:dyDescent="0.3">
      <c r="A81" s="14">
        <v>72</v>
      </c>
      <c r="B81" s="135" t="s">
        <v>92</v>
      </c>
      <c r="C81" s="135" t="s">
        <v>394</v>
      </c>
      <c r="D81" s="135" t="s">
        <v>561</v>
      </c>
      <c r="E81" s="488">
        <v>6</v>
      </c>
      <c r="F81" s="14">
        <v>9</v>
      </c>
      <c r="G81" s="14">
        <v>3</v>
      </c>
      <c r="H81" s="14"/>
      <c r="I81" s="14"/>
      <c r="J81" s="14"/>
      <c r="K81" s="14"/>
      <c r="L81" s="14"/>
      <c r="M81" s="14"/>
      <c r="N81" s="14"/>
      <c r="O81" s="14"/>
      <c r="P81" s="14"/>
      <c r="Q81" s="14"/>
      <c r="R81" s="14"/>
      <c r="S81" s="14"/>
      <c r="T81" s="14"/>
      <c r="U81" s="14"/>
      <c r="V81" s="14">
        <v>18</v>
      </c>
      <c r="W81" s="14">
        <v>6</v>
      </c>
      <c r="X81" s="9"/>
      <c r="Z81" s="14">
        <v>72</v>
      </c>
      <c r="AA81" s="14" t="s">
        <v>1895</v>
      </c>
      <c r="AB81" s="14" t="s">
        <v>30</v>
      </c>
      <c r="AC81" s="14" t="s">
        <v>396</v>
      </c>
      <c r="AD81" s="14">
        <v>0</v>
      </c>
      <c r="AE81" s="14">
        <v>3</v>
      </c>
      <c r="AF81" s="14">
        <v>0</v>
      </c>
      <c r="AG81" s="14">
        <v>0</v>
      </c>
    </row>
    <row r="82" spans="1:33" x14ac:dyDescent="0.3">
      <c r="A82" s="14">
        <v>73</v>
      </c>
      <c r="B82" s="135" t="s">
        <v>326</v>
      </c>
      <c r="C82" s="135" t="s">
        <v>399</v>
      </c>
      <c r="D82" s="135" t="s">
        <v>561</v>
      </c>
      <c r="E82" s="488">
        <v>5</v>
      </c>
      <c r="F82" s="14">
        <v>7</v>
      </c>
      <c r="G82" s="14">
        <v>5</v>
      </c>
      <c r="H82" s="14"/>
      <c r="I82" s="14"/>
      <c r="J82" s="14"/>
      <c r="K82" s="14"/>
      <c r="L82" s="14"/>
      <c r="M82" s="14"/>
      <c r="N82" s="14"/>
      <c r="O82" s="14"/>
      <c r="P82" s="14"/>
      <c r="Q82" s="14"/>
      <c r="R82" s="14"/>
      <c r="S82" s="14"/>
      <c r="T82" s="14"/>
      <c r="U82" s="14"/>
      <c r="V82" s="14">
        <v>17</v>
      </c>
      <c r="W82" s="14">
        <v>5.7</v>
      </c>
      <c r="X82" s="9"/>
      <c r="Z82" s="14">
        <v>73</v>
      </c>
      <c r="AA82" s="14" t="s">
        <v>2474</v>
      </c>
      <c r="AB82" s="14" t="s">
        <v>50</v>
      </c>
      <c r="AC82" s="14" t="s">
        <v>396</v>
      </c>
      <c r="AD82" s="14">
        <v>0</v>
      </c>
      <c r="AE82" s="14">
        <v>3</v>
      </c>
      <c r="AF82" s="14">
        <v>0</v>
      </c>
      <c r="AG82" s="14">
        <v>0</v>
      </c>
    </row>
    <row r="83" spans="1:33" x14ac:dyDescent="0.3">
      <c r="A83" s="14">
        <v>74</v>
      </c>
      <c r="B83" s="135" t="s">
        <v>277</v>
      </c>
      <c r="C83" s="135" t="s">
        <v>396</v>
      </c>
      <c r="D83" s="135" t="s">
        <v>50</v>
      </c>
      <c r="E83" s="488">
        <v>8</v>
      </c>
      <c r="F83" s="14">
        <v>5</v>
      </c>
      <c r="G83" s="14">
        <v>4</v>
      </c>
      <c r="H83" s="247"/>
      <c r="I83" s="14"/>
      <c r="J83" s="14"/>
      <c r="K83" s="14"/>
      <c r="L83" s="14"/>
      <c r="M83" s="14"/>
      <c r="N83" s="14"/>
      <c r="O83" s="14"/>
      <c r="P83" s="14"/>
      <c r="Q83" s="14"/>
      <c r="R83" s="14"/>
      <c r="S83" s="14"/>
      <c r="T83" s="14"/>
      <c r="U83" s="14"/>
      <c r="V83" s="14">
        <v>17</v>
      </c>
      <c r="W83" s="14">
        <v>5.7</v>
      </c>
      <c r="X83" s="9"/>
      <c r="Z83" s="14">
        <v>74</v>
      </c>
      <c r="AA83" s="14" t="s">
        <v>2378</v>
      </c>
      <c r="AB83" s="14" t="s">
        <v>18</v>
      </c>
      <c r="AC83" s="14" t="s">
        <v>396</v>
      </c>
      <c r="AD83" s="14">
        <v>0</v>
      </c>
      <c r="AE83" s="14">
        <v>3</v>
      </c>
      <c r="AF83" s="14">
        <v>0</v>
      </c>
      <c r="AG83" s="14">
        <v>0</v>
      </c>
    </row>
    <row r="84" spans="1:33" x14ac:dyDescent="0.3">
      <c r="A84" s="14">
        <v>75</v>
      </c>
      <c r="B84" s="135" t="s">
        <v>258</v>
      </c>
      <c r="C84" s="135" t="s">
        <v>396</v>
      </c>
      <c r="D84" s="135" t="s">
        <v>57</v>
      </c>
      <c r="E84" s="488">
        <v>5</v>
      </c>
      <c r="F84" s="14">
        <v>4</v>
      </c>
      <c r="G84" s="14">
        <v>8</v>
      </c>
      <c r="H84" s="14"/>
      <c r="I84" s="14"/>
      <c r="J84" s="14"/>
      <c r="K84" s="14"/>
      <c r="L84" s="14"/>
      <c r="M84" s="14"/>
      <c r="N84" s="14"/>
      <c r="O84" s="14"/>
      <c r="P84" s="14"/>
      <c r="Q84" s="14"/>
      <c r="R84" s="14"/>
      <c r="S84" s="14"/>
      <c r="T84" s="14"/>
      <c r="U84" s="14"/>
      <c r="V84" s="14">
        <v>17</v>
      </c>
      <c r="W84" s="14">
        <v>5.7</v>
      </c>
      <c r="X84" s="9"/>
      <c r="Z84" s="14">
        <v>75</v>
      </c>
      <c r="AA84" s="14" t="s">
        <v>1831</v>
      </c>
      <c r="AB84" s="14" t="s">
        <v>398</v>
      </c>
      <c r="AC84" s="14" t="s">
        <v>394</v>
      </c>
      <c r="AD84" s="14">
        <v>2</v>
      </c>
      <c r="AE84" s="14">
        <v>2</v>
      </c>
      <c r="AF84" s="14">
        <v>100</v>
      </c>
      <c r="AG84" s="14">
        <v>0</v>
      </c>
    </row>
    <row r="85" spans="1:33" x14ac:dyDescent="0.3">
      <c r="A85" s="14">
        <v>76</v>
      </c>
      <c r="B85" s="135" t="s">
        <v>227</v>
      </c>
      <c r="C85" s="135" t="s">
        <v>396</v>
      </c>
      <c r="D85" s="135" t="s">
        <v>404</v>
      </c>
      <c r="E85" s="488">
        <v>9</v>
      </c>
      <c r="F85" s="14">
        <v>8</v>
      </c>
      <c r="G85" s="14">
        <v>0</v>
      </c>
      <c r="H85" s="14"/>
      <c r="I85" s="14"/>
      <c r="J85" s="14"/>
      <c r="K85" s="14"/>
      <c r="L85" s="14"/>
      <c r="M85" s="14"/>
      <c r="N85" s="14"/>
      <c r="O85" s="14"/>
      <c r="P85" s="14"/>
      <c r="Q85" s="14"/>
      <c r="R85" s="14"/>
      <c r="S85" s="14"/>
      <c r="T85" s="14"/>
      <c r="U85" s="14"/>
      <c r="V85" s="14">
        <v>17</v>
      </c>
      <c r="W85" s="14">
        <v>8.5</v>
      </c>
      <c r="X85" s="9"/>
      <c r="Z85" s="14">
        <v>76</v>
      </c>
      <c r="AA85" s="14" t="s">
        <v>2475</v>
      </c>
      <c r="AB85" s="14" t="s">
        <v>12</v>
      </c>
      <c r="AC85" s="14" t="s">
        <v>396</v>
      </c>
      <c r="AD85" s="14">
        <v>2</v>
      </c>
      <c r="AE85" s="14">
        <v>2</v>
      </c>
      <c r="AF85" s="14">
        <v>100</v>
      </c>
      <c r="AG85" s="14">
        <v>0</v>
      </c>
    </row>
    <row r="86" spans="1:33" x14ac:dyDescent="0.3">
      <c r="A86" s="14">
        <v>77</v>
      </c>
      <c r="B86" s="135" t="s">
        <v>120</v>
      </c>
      <c r="C86" s="135" t="s">
        <v>394</v>
      </c>
      <c r="D86" s="135" t="s">
        <v>14</v>
      </c>
      <c r="E86" s="488">
        <v>5</v>
      </c>
      <c r="F86" s="14">
        <v>5</v>
      </c>
      <c r="G86" s="14">
        <v>7</v>
      </c>
      <c r="H86" s="14"/>
      <c r="I86" s="14"/>
      <c r="J86" s="14"/>
      <c r="K86" s="14"/>
      <c r="L86" s="14"/>
      <c r="M86" s="14"/>
      <c r="N86" s="14"/>
      <c r="O86" s="14"/>
      <c r="P86" s="14"/>
      <c r="Q86" s="14"/>
      <c r="R86" s="14"/>
      <c r="S86" s="14"/>
      <c r="T86" s="14"/>
      <c r="U86" s="14"/>
      <c r="V86" s="14">
        <v>17</v>
      </c>
      <c r="W86" s="14">
        <v>5.7</v>
      </c>
      <c r="X86" s="9"/>
      <c r="Z86" s="14">
        <v>77</v>
      </c>
      <c r="AA86" s="14" t="s">
        <v>1846</v>
      </c>
      <c r="AB86" s="14" t="s">
        <v>397</v>
      </c>
      <c r="AC86" s="14" t="s">
        <v>396</v>
      </c>
      <c r="AD86" s="14">
        <v>2</v>
      </c>
      <c r="AE86" s="14">
        <v>2</v>
      </c>
      <c r="AF86" s="14">
        <v>100</v>
      </c>
      <c r="AG86" s="14">
        <v>1</v>
      </c>
    </row>
    <row r="87" spans="1:33" x14ac:dyDescent="0.3">
      <c r="A87" s="14">
        <v>78</v>
      </c>
      <c r="B87" s="135" t="s">
        <v>98</v>
      </c>
      <c r="C87" s="135" t="s">
        <v>394</v>
      </c>
      <c r="D87" s="135" t="s">
        <v>24</v>
      </c>
      <c r="E87" s="488">
        <v>6</v>
      </c>
      <c r="F87" s="14">
        <v>5</v>
      </c>
      <c r="G87" s="14">
        <v>6</v>
      </c>
      <c r="H87" s="14"/>
      <c r="I87" s="14"/>
      <c r="J87" s="14"/>
      <c r="K87" s="14"/>
      <c r="L87" s="14"/>
      <c r="M87" s="14"/>
      <c r="N87" s="14"/>
      <c r="O87" s="14"/>
      <c r="P87" s="14"/>
      <c r="Q87" s="14"/>
      <c r="R87" s="14"/>
      <c r="S87" s="14"/>
      <c r="T87" s="14"/>
      <c r="U87" s="14"/>
      <c r="V87" s="14">
        <v>17</v>
      </c>
      <c r="W87" s="14">
        <v>5.7</v>
      </c>
      <c r="X87" s="9"/>
      <c r="Z87" s="14">
        <v>78</v>
      </c>
      <c r="AA87" s="14" t="s">
        <v>2380</v>
      </c>
      <c r="AB87" s="14" t="s">
        <v>41</v>
      </c>
      <c r="AC87" s="14" t="s">
        <v>396</v>
      </c>
      <c r="AD87" s="14">
        <v>2</v>
      </c>
      <c r="AE87" s="14">
        <v>2</v>
      </c>
      <c r="AF87" s="14">
        <v>100</v>
      </c>
      <c r="AG87" s="14">
        <v>0</v>
      </c>
    </row>
    <row r="88" spans="1:33" x14ac:dyDescent="0.3">
      <c r="A88" s="14">
        <v>79</v>
      </c>
      <c r="B88" s="135" t="s">
        <v>383</v>
      </c>
      <c r="C88" s="135" t="s">
        <v>399</v>
      </c>
      <c r="D88" s="135" t="s">
        <v>28</v>
      </c>
      <c r="E88" s="488">
        <v>5</v>
      </c>
      <c r="F88" s="14">
        <v>8</v>
      </c>
      <c r="G88" s="14">
        <v>4</v>
      </c>
      <c r="H88" s="14"/>
      <c r="I88" s="14"/>
      <c r="J88" s="14"/>
      <c r="K88" s="14"/>
      <c r="L88" s="14"/>
      <c r="M88" s="14"/>
      <c r="N88" s="14"/>
      <c r="O88" s="14"/>
      <c r="P88" s="14"/>
      <c r="Q88" s="14"/>
      <c r="R88" s="14"/>
      <c r="S88" s="14"/>
      <c r="T88" s="14"/>
      <c r="U88" s="14"/>
      <c r="V88" s="14">
        <v>17</v>
      </c>
      <c r="W88" s="14">
        <v>5.7</v>
      </c>
      <c r="X88" s="9"/>
      <c r="Z88" s="14">
        <v>79</v>
      </c>
      <c r="AA88" s="14" t="s">
        <v>1850</v>
      </c>
      <c r="AB88" s="14" t="s">
        <v>52</v>
      </c>
      <c r="AC88" s="14" t="s">
        <v>394</v>
      </c>
      <c r="AD88" s="14">
        <v>2</v>
      </c>
      <c r="AE88" s="14">
        <v>2</v>
      </c>
      <c r="AF88" s="14">
        <v>100</v>
      </c>
      <c r="AG88" s="14">
        <v>0</v>
      </c>
    </row>
    <row r="89" spans="1:33" x14ac:dyDescent="0.3">
      <c r="A89" s="14">
        <v>80</v>
      </c>
      <c r="B89" s="135" t="s">
        <v>410</v>
      </c>
      <c r="C89" s="135" t="s">
        <v>396</v>
      </c>
      <c r="D89" s="135" t="s">
        <v>26</v>
      </c>
      <c r="E89" s="488">
        <v>3</v>
      </c>
      <c r="F89" s="14">
        <v>7</v>
      </c>
      <c r="G89" s="14">
        <v>6</v>
      </c>
      <c r="H89" s="247"/>
      <c r="I89" s="14"/>
      <c r="J89" s="14"/>
      <c r="K89" s="14"/>
      <c r="L89" s="14"/>
      <c r="M89" s="14"/>
      <c r="N89" s="14"/>
      <c r="O89" s="14"/>
      <c r="P89" s="14"/>
      <c r="Q89" s="14"/>
      <c r="R89" s="14"/>
      <c r="S89" s="14"/>
      <c r="T89" s="14"/>
      <c r="U89" s="14"/>
      <c r="V89" s="14">
        <v>16</v>
      </c>
      <c r="W89" s="14">
        <v>5.3</v>
      </c>
      <c r="X89" s="9"/>
      <c r="Z89" s="14">
        <v>80</v>
      </c>
      <c r="AA89" s="14" t="s">
        <v>1813</v>
      </c>
      <c r="AB89" s="14" t="s">
        <v>22</v>
      </c>
      <c r="AC89" s="14" t="s">
        <v>399</v>
      </c>
      <c r="AD89" s="14">
        <v>2</v>
      </c>
      <c r="AE89" s="14">
        <v>2</v>
      </c>
      <c r="AF89" s="14">
        <v>100</v>
      </c>
      <c r="AG89" s="14">
        <v>0</v>
      </c>
    </row>
    <row r="90" spans="1:33" x14ac:dyDescent="0.3">
      <c r="A90" s="14">
        <v>81</v>
      </c>
      <c r="B90" s="135" t="s">
        <v>152</v>
      </c>
      <c r="C90" s="135" t="s">
        <v>394</v>
      </c>
      <c r="D90" s="135" t="s">
        <v>404</v>
      </c>
      <c r="E90" s="488">
        <v>7</v>
      </c>
      <c r="F90" s="14">
        <v>3</v>
      </c>
      <c r="G90" s="14">
        <v>6</v>
      </c>
      <c r="H90" s="14"/>
      <c r="I90" s="14"/>
      <c r="J90" s="14"/>
      <c r="K90" s="14"/>
      <c r="L90" s="14"/>
      <c r="M90" s="14"/>
      <c r="N90" s="14"/>
      <c r="O90" s="14"/>
      <c r="P90" s="14"/>
      <c r="Q90" s="14"/>
      <c r="R90" s="14"/>
      <c r="S90" s="14"/>
      <c r="T90" s="14"/>
      <c r="U90" s="14"/>
      <c r="V90" s="14">
        <v>16</v>
      </c>
      <c r="W90" s="14">
        <v>5.3</v>
      </c>
      <c r="X90" s="9"/>
      <c r="Z90" s="14">
        <v>81</v>
      </c>
      <c r="AA90" s="14" t="s">
        <v>1812</v>
      </c>
      <c r="AB90" s="14" t="s">
        <v>20</v>
      </c>
      <c r="AC90" s="14" t="s">
        <v>396</v>
      </c>
      <c r="AD90" s="14">
        <v>2</v>
      </c>
      <c r="AE90" s="14">
        <v>2</v>
      </c>
      <c r="AF90" s="14">
        <v>100</v>
      </c>
      <c r="AG90" s="14">
        <v>1</v>
      </c>
    </row>
    <row r="91" spans="1:33" x14ac:dyDescent="0.3">
      <c r="A91" s="14">
        <v>82</v>
      </c>
      <c r="B91" s="135" t="s">
        <v>114</v>
      </c>
      <c r="C91" s="135" t="s">
        <v>394</v>
      </c>
      <c r="D91" s="135" t="s">
        <v>401</v>
      </c>
      <c r="E91" s="488">
        <v>3</v>
      </c>
      <c r="F91" s="14">
        <v>5</v>
      </c>
      <c r="G91" s="14">
        <v>8</v>
      </c>
      <c r="H91" s="14"/>
      <c r="I91" s="14"/>
      <c r="J91" s="14"/>
      <c r="K91" s="14"/>
      <c r="L91" s="14"/>
      <c r="M91" s="14"/>
      <c r="N91" s="14"/>
      <c r="O91" s="14"/>
      <c r="P91" s="14"/>
      <c r="Q91" s="14"/>
      <c r="R91" s="14"/>
      <c r="S91" s="14"/>
      <c r="T91" s="14"/>
      <c r="U91" s="14"/>
      <c r="V91" s="14">
        <v>16</v>
      </c>
      <c r="W91" s="14">
        <v>5.3</v>
      </c>
      <c r="X91" s="9"/>
      <c r="Z91" s="14">
        <v>82</v>
      </c>
      <c r="AA91" s="14" t="s">
        <v>2476</v>
      </c>
      <c r="AB91" s="14" t="s">
        <v>404</v>
      </c>
      <c r="AC91" s="14" t="s">
        <v>396</v>
      </c>
      <c r="AD91" s="14">
        <v>2</v>
      </c>
      <c r="AE91" s="14">
        <v>2</v>
      </c>
      <c r="AF91" s="14">
        <v>100</v>
      </c>
      <c r="AG91" s="14">
        <v>0</v>
      </c>
    </row>
    <row r="92" spans="1:33" x14ac:dyDescent="0.3">
      <c r="A92" s="14">
        <v>83</v>
      </c>
      <c r="B92" s="135" t="s">
        <v>242</v>
      </c>
      <c r="C92" s="135" t="s">
        <v>396</v>
      </c>
      <c r="D92" s="135" t="s">
        <v>395</v>
      </c>
      <c r="E92" s="488">
        <v>7</v>
      </c>
      <c r="F92" s="14">
        <v>7</v>
      </c>
      <c r="G92" s="14">
        <v>2</v>
      </c>
      <c r="H92" s="14"/>
      <c r="I92" s="14"/>
      <c r="J92" s="14"/>
      <c r="K92" s="14"/>
      <c r="L92" s="14"/>
      <c r="M92" s="14"/>
      <c r="N92" s="14"/>
      <c r="O92" s="14"/>
      <c r="P92" s="14"/>
      <c r="Q92" s="14"/>
      <c r="R92" s="14"/>
      <c r="S92" s="14"/>
      <c r="T92" s="14"/>
      <c r="U92" s="14"/>
      <c r="V92" s="14">
        <v>16</v>
      </c>
      <c r="W92" s="14">
        <v>5.3</v>
      </c>
      <c r="X92" s="9"/>
      <c r="Z92" s="14">
        <v>83</v>
      </c>
      <c r="AA92" s="14" t="s">
        <v>1862</v>
      </c>
      <c r="AB92" s="14" t="s">
        <v>404</v>
      </c>
      <c r="AC92" s="14" t="s">
        <v>396</v>
      </c>
      <c r="AD92" s="14">
        <v>2</v>
      </c>
      <c r="AE92" s="14">
        <v>2</v>
      </c>
      <c r="AF92" s="14">
        <v>100</v>
      </c>
      <c r="AG92" s="14">
        <v>2</v>
      </c>
    </row>
    <row r="93" spans="1:33" x14ac:dyDescent="0.3">
      <c r="A93" s="14">
        <v>84</v>
      </c>
      <c r="B93" s="135" t="s">
        <v>245</v>
      </c>
      <c r="C93" s="135" t="s">
        <v>396</v>
      </c>
      <c r="D93" s="135" t="s">
        <v>4</v>
      </c>
      <c r="E93" s="488">
        <v>4</v>
      </c>
      <c r="F93" s="14">
        <v>6</v>
      </c>
      <c r="G93" s="14">
        <v>6</v>
      </c>
      <c r="H93" s="14"/>
      <c r="I93" s="14"/>
      <c r="J93" s="14"/>
      <c r="K93" s="14"/>
      <c r="L93" s="14"/>
      <c r="M93" s="14"/>
      <c r="N93" s="14"/>
      <c r="O93" s="14"/>
      <c r="P93" s="14"/>
      <c r="Q93" s="14"/>
      <c r="R93" s="14"/>
      <c r="S93" s="14"/>
      <c r="T93" s="14"/>
      <c r="U93" s="14"/>
      <c r="V93" s="14">
        <v>16</v>
      </c>
      <c r="W93" s="14">
        <v>5.3</v>
      </c>
      <c r="X93" s="9"/>
      <c r="Z93" s="14">
        <v>84</v>
      </c>
      <c r="AA93" s="14" t="s">
        <v>2477</v>
      </c>
      <c r="AB93" s="14" t="s">
        <v>39</v>
      </c>
      <c r="AC93" s="14" t="s">
        <v>396</v>
      </c>
      <c r="AD93" s="14">
        <v>2</v>
      </c>
      <c r="AE93" s="14">
        <v>2</v>
      </c>
      <c r="AF93" s="14">
        <v>100</v>
      </c>
      <c r="AG93" s="14">
        <v>0</v>
      </c>
    </row>
    <row r="94" spans="1:33" x14ac:dyDescent="0.3">
      <c r="A94" s="14">
        <v>85</v>
      </c>
      <c r="B94" s="135" t="s">
        <v>354</v>
      </c>
      <c r="C94" s="135" t="s">
        <v>399</v>
      </c>
      <c r="D94" s="135" t="s">
        <v>20</v>
      </c>
      <c r="E94" s="488">
        <v>7</v>
      </c>
      <c r="F94" s="14">
        <v>5</v>
      </c>
      <c r="G94" s="14">
        <v>4</v>
      </c>
      <c r="H94" s="14"/>
      <c r="I94" s="14"/>
      <c r="J94" s="14"/>
      <c r="K94" s="14"/>
      <c r="L94" s="14"/>
      <c r="M94" s="14"/>
      <c r="N94" s="14"/>
      <c r="O94" s="14"/>
      <c r="P94" s="14"/>
      <c r="Q94" s="14"/>
      <c r="R94" s="14"/>
      <c r="S94" s="14"/>
      <c r="T94" s="14"/>
      <c r="U94" s="14"/>
      <c r="V94" s="14">
        <v>16</v>
      </c>
      <c r="W94" s="14">
        <v>5.3</v>
      </c>
      <c r="X94" s="9"/>
      <c r="Z94" s="14">
        <v>85</v>
      </c>
      <c r="AA94" s="14" t="s">
        <v>2478</v>
      </c>
      <c r="AB94" s="14" t="s">
        <v>7</v>
      </c>
      <c r="AC94" s="14" t="s">
        <v>399</v>
      </c>
      <c r="AD94" s="14">
        <v>2</v>
      </c>
      <c r="AE94" s="14">
        <v>2</v>
      </c>
      <c r="AF94" s="14">
        <v>100</v>
      </c>
      <c r="AG94" s="14">
        <v>1</v>
      </c>
    </row>
    <row r="95" spans="1:33" x14ac:dyDescent="0.3">
      <c r="A95" s="14">
        <v>86</v>
      </c>
      <c r="B95" s="135" t="s">
        <v>285</v>
      </c>
      <c r="C95" s="135" t="s">
        <v>396</v>
      </c>
      <c r="D95" s="135" t="s">
        <v>397</v>
      </c>
      <c r="E95" s="488">
        <v>7</v>
      </c>
      <c r="F95" s="14">
        <v>4</v>
      </c>
      <c r="G95" s="14">
        <v>5</v>
      </c>
      <c r="H95" s="14"/>
      <c r="I95" s="14"/>
      <c r="J95" s="14"/>
      <c r="K95" s="14"/>
      <c r="L95" s="14"/>
      <c r="M95" s="14"/>
      <c r="N95" s="14"/>
      <c r="O95" s="14"/>
      <c r="P95" s="14"/>
      <c r="Q95" s="14"/>
      <c r="R95" s="14"/>
      <c r="S95" s="14"/>
      <c r="T95" s="14"/>
      <c r="U95" s="14"/>
      <c r="V95" s="14">
        <v>16</v>
      </c>
      <c r="W95" s="14">
        <v>5.3</v>
      </c>
      <c r="X95" s="9"/>
      <c r="Z95" s="14">
        <v>86</v>
      </c>
      <c r="AA95" s="14" t="s">
        <v>2391</v>
      </c>
      <c r="AB95" s="14" t="s">
        <v>404</v>
      </c>
      <c r="AC95" s="14" t="s">
        <v>394</v>
      </c>
      <c r="AD95" s="14">
        <v>2</v>
      </c>
      <c r="AE95" s="14">
        <v>2</v>
      </c>
      <c r="AF95" s="14">
        <v>100</v>
      </c>
      <c r="AG95" s="14">
        <v>1</v>
      </c>
    </row>
    <row r="96" spans="1:33" x14ac:dyDescent="0.3">
      <c r="A96" s="14">
        <v>87</v>
      </c>
      <c r="B96" s="135" t="s">
        <v>256</v>
      </c>
      <c r="C96" s="135" t="s">
        <v>396</v>
      </c>
      <c r="D96" s="135" t="s">
        <v>46</v>
      </c>
      <c r="E96" s="488">
        <v>6</v>
      </c>
      <c r="F96" s="14">
        <v>6</v>
      </c>
      <c r="G96" s="14">
        <v>3</v>
      </c>
      <c r="H96" s="247"/>
      <c r="I96" s="14"/>
      <c r="J96" s="14"/>
      <c r="K96" s="14"/>
      <c r="L96" s="14"/>
      <c r="M96" s="14"/>
      <c r="N96" s="14"/>
      <c r="O96" s="14"/>
      <c r="P96" s="14"/>
      <c r="Q96" s="14"/>
      <c r="R96" s="14"/>
      <c r="S96" s="14"/>
      <c r="T96" s="14"/>
      <c r="U96" s="14"/>
      <c r="V96" s="14">
        <v>15</v>
      </c>
      <c r="W96" s="14">
        <v>5</v>
      </c>
      <c r="X96" s="9"/>
      <c r="Z96" s="14">
        <v>87</v>
      </c>
      <c r="AA96" s="14" t="s">
        <v>1808</v>
      </c>
      <c r="AB96" s="14" t="s">
        <v>16</v>
      </c>
      <c r="AC96" s="14" t="s">
        <v>396</v>
      </c>
      <c r="AD96" s="14">
        <v>2</v>
      </c>
      <c r="AE96" s="14">
        <v>2</v>
      </c>
      <c r="AF96" s="14">
        <v>100</v>
      </c>
      <c r="AG96" s="14">
        <v>1</v>
      </c>
    </row>
    <row r="97" spans="1:33" x14ac:dyDescent="0.3">
      <c r="A97" s="14">
        <v>88</v>
      </c>
      <c r="B97" s="135" t="s">
        <v>99</v>
      </c>
      <c r="C97" s="135" t="s">
        <v>394</v>
      </c>
      <c r="D97" s="135" t="s">
        <v>32</v>
      </c>
      <c r="E97" s="488">
        <v>3</v>
      </c>
      <c r="F97" s="14">
        <v>5</v>
      </c>
      <c r="G97" s="14">
        <v>7</v>
      </c>
      <c r="H97" s="247"/>
      <c r="I97" s="14"/>
      <c r="J97" s="14"/>
      <c r="K97" s="14"/>
      <c r="L97" s="14"/>
      <c r="M97" s="14"/>
      <c r="N97" s="14"/>
      <c r="O97" s="14"/>
      <c r="P97" s="14"/>
      <c r="Q97" s="14"/>
      <c r="R97" s="14"/>
      <c r="S97" s="14"/>
      <c r="T97" s="14"/>
      <c r="U97" s="14"/>
      <c r="V97" s="14">
        <v>15</v>
      </c>
      <c r="W97" s="14">
        <v>5</v>
      </c>
      <c r="X97" s="9"/>
      <c r="Z97" s="14">
        <v>88</v>
      </c>
      <c r="AA97" s="14" t="s">
        <v>2399</v>
      </c>
      <c r="AB97" s="14" t="s">
        <v>26</v>
      </c>
      <c r="AC97" s="14" t="s">
        <v>396</v>
      </c>
      <c r="AD97" s="14">
        <v>2</v>
      </c>
      <c r="AE97" s="14">
        <v>2</v>
      </c>
      <c r="AF97" s="14">
        <v>100</v>
      </c>
      <c r="AG97" s="14">
        <v>2</v>
      </c>
    </row>
    <row r="98" spans="1:33" x14ac:dyDescent="0.3">
      <c r="A98" s="14">
        <v>89</v>
      </c>
      <c r="B98" s="135" t="s">
        <v>260</v>
      </c>
      <c r="C98" s="135" t="s">
        <v>396</v>
      </c>
      <c r="D98" s="135" t="s">
        <v>28</v>
      </c>
      <c r="E98" s="488">
        <v>4</v>
      </c>
      <c r="F98" s="14">
        <v>8</v>
      </c>
      <c r="G98" s="14">
        <v>3</v>
      </c>
      <c r="H98" s="14"/>
      <c r="I98" s="14"/>
      <c r="J98" s="14"/>
      <c r="K98" s="14"/>
      <c r="L98" s="14"/>
      <c r="M98" s="14"/>
      <c r="N98" s="14"/>
      <c r="O98" s="14"/>
      <c r="P98" s="14"/>
      <c r="Q98" s="14"/>
      <c r="R98" s="14"/>
      <c r="S98" s="14"/>
      <c r="T98" s="14"/>
      <c r="U98" s="14"/>
      <c r="V98" s="14">
        <v>15</v>
      </c>
      <c r="W98" s="14">
        <v>5</v>
      </c>
      <c r="X98" s="9"/>
      <c r="Z98" s="14">
        <v>89</v>
      </c>
      <c r="AA98" s="14" t="s">
        <v>1858</v>
      </c>
      <c r="AB98" s="14" t="s">
        <v>16</v>
      </c>
      <c r="AC98" s="14" t="s">
        <v>399</v>
      </c>
      <c r="AD98" s="14">
        <v>1</v>
      </c>
      <c r="AE98" s="14">
        <v>2</v>
      </c>
      <c r="AF98" s="14">
        <v>50</v>
      </c>
      <c r="AG98" s="14">
        <v>1</v>
      </c>
    </row>
    <row r="99" spans="1:33" x14ac:dyDescent="0.3">
      <c r="A99" s="14">
        <v>90</v>
      </c>
      <c r="B99" s="135" t="s">
        <v>456</v>
      </c>
      <c r="C99" s="135" t="s">
        <v>396</v>
      </c>
      <c r="D99" s="135" t="s">
        <v>37</v>
      </c>
      <c r="E99" s="488">
        <v>4</v>
      </c>
      <c r="F99" s="14">
        <v>8</v>
      </c>
      <c r="G99" s="14">
        <v>3</v>
      </c>
      <c r="H99" s="14"/>
      <c r="I99" s="14"/>
      <c r="J99" s="14"/>
      <c r="K99" s="14"/>
      <c r="L99" s="14"/>
      <c r="M99" s="14"/>
      <c r="N99" s="14"/>
      <c r="O99" s="14"/>
      <c r="P99" s="14"/>
      <c r="Q99" s="14"/>
      <c r="R99" s="14"/>
      <c r="S99" s="14"/>
      <c r="T99" s="14"/>
      <c r="U99" s="14"/>
      <c r="V99" s="14">
        <v>15</v>
      </c>
      <c r="W99" s="14">
        <v>5</v>
      </c>
      <c r="X99" s="9"/>
      <c r="Z99" s="14">
        <v>90</v>
      </c>
      <c r="AA99" s="14" t="s">
        <v>2408</v>
      </c>
      <c r="AB99" s="14" t="s">
        <v>407</v>
      </c>
      <c r="AC99" s="14" t="s">
        <v>394</v>
      </c>
      <c r="AD99" s="14">
        <v>1</v>
      </c>
      <c r="AE99" s="14">
        <v>2</v>
      </c>
      <c r="AF99" s="14">
        <v>50</v>
      </c>
      <c r="AG99" s="14">
        <v>0</v>
      </c>
    </row>
    <row r="100" spans="1:33" x14ac:dyDescent="0.3">
      <c r="A100" s="14">
        <v>91</v>
      </c>
      <c r="B100" s="135" t="s">
        <v>357</v>
      </c>
      <c r="C100" s="135" t="s">
        <v>399</v>
      </c>
      <c r="D100" s="135" t="s">
        <v>16</v>
      </c>
      <c r="E100" s="488">
        <v>6</v>
      </c>
      <c r="F100" s="14">
        <v>4</v>
      </c>
      <c r="G100" s="14">
        <v>5</v>
      </c>
      <c r="H100" s="14"/>
      <c r="I100" s="14"/>
      <c r="J100" s="14"/>
      <c r="K100" s="14"/>
      <c r="L100" s="14"/>
      <c r="M100" s="14"/>
      <c r="N100" s="14"/>
      <c r="O100" s="14"/>
      <c r="P100" s="14"/>
      <c r="Q100" s="14"/>
      <c r="R100" s="14"/>
      <c r="S100" s="14"/>
      <c r="T100" s="14"/>
      <c r="U100" s="14"/>
      <c r="V100" s="14">
        <v>15</v>
      </c>
      <c r="W100" s="14">
        <v>5</v>
      </c>
      <c r="X100" s="9"/>
      <c r="Z100" s="14">
        <v>91</v>
      </c>
      <c r="AA100" s="14" t="s">
        <v>1864</v>
      </c>
      <c r="AB100" s="14" t="s">
        <v>22</v>
      </c>
      <c r="AC100" s="14" t="s">
        <v>396</v>
      </c>
      <c r="AD100" s="14">
        <v>1</v>
      </c>
      <c r="AE100" s="14">
        <v>2</v>
      </c>
      <c r="AF100" s="14">
        <v>50</v>
      </c>
      <c r="AG100" s="14">
        <v>1</v>
      </c>
    </row>
    <row r="101" spans="1:33" x14ac:dyDescent="0.3">
      <c r="A101" s="14">
        <v>92</v>
      </c>
      <c r="B101" s="135" t="s">
        <v>225</v>
      </c>
      <c r="C101" s="135" t="s">
        <v>396</v>
      </c>
      <c r="D101" s="135" t="s">
        <v>7</v>
      </c>
      <c r="E101" s="488">
        <v>7</v>
      </c>
      <c r="F101" s="14">
        <v>6</v>
      </c>
      <c r="G101" s="14">
        <v>2</v>
      </c>
      <c r="H101" s="14"/>
      <c r="I101" s="14"/>
      <c r="J101" s="14"/>
      <c r="K101" s="14"/>
      <c r="L101" s="14"/>
      <c r="M101" s="14"/>
      <c r="N101" s="14"/>
      <c r="O101" s="14"/>
      <c r="P101" s="14"/>
      <c r="Q101" s="14"/>
      <c r="R101" s="14"/>
      <c r="S101" s="14"/>
      <c r="T101" s="14"/>
      <c r="U101" s="14"/>
      <c r="V101" s="14">
        <v>15</v>
      </c>
      <c r="W101" s="14">
        <v>5</v>
      </c>
      <c r="X101" s="9"/>
      <c r="Z101" s="14">
        <v>92</v>
      </c>
      <c r="AA101" s="14" t="s">
        <v>1815</v>
      </c>
      <c r="AB101" s="14" t="s">
        <v>16</v>
      </c>
      <c r="AC101" s="14" t="s">
        <v>396</v>
      </c>
      <c r="AD101" s="14">
        <v>1</v>
      </c>
      <c r="AE101" s="14">
        <v>2</v>
      </c>
      <c r="AF101" s="14">
        <v>50</v>
      </c>
      <c r="AG101" s="14">
        <v>0</v>
      </c>
    </row>
    <row r="102" spans="1:33" x14ac:dyDescent="0.3">
      <c r="A102" s="14">
        <v>93</v>
      </c>
      <c r="B102" s="135" t="s">
        <v>231</v>
      </c>
      <c r="C102" s="135" t="s">
        <v>396</v>
      </c>
      <c r="D102" s="135" t="s">
        <v>10</v>
      </c>
      <c r="E102" s="488">
        <v>5</v>
      </c>
      <c r="F102" s="14">
        <v>2</v>
      </c>
      <c r="G102" s="14">
        <v>8</v>
      </c>
      <c r="H102" s="14"/>
      <c r="I102" s="14"/>
      <c r="J102" s="14"/>
      <c r="K102" s="14"/>
      <c r="L102" s="14"/>
      <c r="M102" s="14"/>
      <c r="N102" s="14"/>
      <c r="O102" s="14"/>
      <c r="P102" s="14"/>
      <c r="Q102" s="14"/>
      <c r="R102" s="14"/>
      <c r="S102" s="14"/>
      <c r="T102" s="14"/>
      <c r="U102" s="14"/>
      <c r="V102" s="14">
        <v>15</v>
      </c>
      <c r="W102" s="14">
        <v>5</v>
      </c>
      <c r="X102" s="9"/>
      <c r="Z102" s="14">
        <v>93</v>
      </c>
      <c r="AA102" s="14" t="s">
        <v>2423</v>
      </c>
      <c r="AB102" s="14" t="s">
        <v>404</v>
      </c>
      <c r="AC102" s="14" t="s">
        <v>399</v>
      </c>
      <c r="AD102" s="14">
        <v>1</v>
      </c>
      <c r="AE102" s="14">
        <v>2</v>
      </c>
      <c r="AF102" s="14">
        <v>50</v>
      </c>
      <c r="AG102" s="14">
        <v>1</v>
      </c>
    </row>
    <row r="103" spans="1:33" x14ac:dyDescent="0.3">
      <c r="A103" s="14">
        <v>94</v>
      </c>
      <c r="B103" s="135" t="s">
        <v>265</v>
      </c>
      <c r="C103" s="135" t="s">
        <v>396</v>
      </c>
      <c r="D103" s="135" t="s">
        <v>398</v>
      </c>
      <c r="E103" s="488">
        <v>5</v>
      </c>
      <c r="F103" s="14">
        <v>6</v>
      </c>
      <c r="G103" s="14">
        <v>4</v>
      </c>
      <c r="H103" s="14"/>
      <c r="I103" s="14"/>
      <c r="J103" s="14"/>
      <c r="K103" s="14"/>
      <c r="L103" s="14"/>
      <c r="M103" s="14"/>
      <c r="N103" s="14"/>
      <c r="O103" s="14"/>
      <c r="P103" s="14"/>
      <c r="Q103" s="14"/>
      <c r="R103" s="14"/>
      <c r="S103" s="14"/>
      <c r="T103" s="14"/>
      <c r="U103" s="14"/>
      <c r="V103" s="14">
        <v>15</v>
      </c>
      <c r="W103" s="14">
        <v>5</v>
      </c>
      <c r="X103" s="9"/>
      <c r="Z103" s="14">
        <v>94</v>
      </c>
      <c r="AA103" s="14" t="s">
        <v>1830</v>
      </c>
      <c r="AB103" s="14" t="s">
        <v>24</v>
      </c>
      <c r="AC103" s="14" t="s">
        <v>399</v>
      </c>
      <c r="AD103" s="14">
        <v>1</v>
      </c>
      <c r="AE103" s="14">
        <v>2</v>
      </c>
      <c r="AF103" s="14">
        <v>50</v>
      </c>
      <c r="AG103" s="14">
        <v>0</v>
      </c>
    </row>
    <row r="104" spans="1:33" x14ac:dyDescent="0.3">
      <c r="A104" s="14">
        <v>95</v>
      </c>
      <c r="B104" s="135" t="s">
        <v>368</v>
      </c>
      <c r="C104" s="135" t="s">
        <v>399</v>
      </c>
      <c r="D104" s="135" t="s">
        <v>16</v>
      </c>
      <c r="E104" s="488">
        <v>4</v>
      </c>
      <c r="F104" s="14">
        <v>5</v>
      </c>
      <c r="G104" s="14">
        <v>6</v>
      </c>
      <c r="H104" s="14"/>
      <c r="I104" s="14"/>
      <c r="J104" s="14"/>
      <c r="K104" s="14"/>
      <c r="L104" s="14"/>
      <c r="M104" s="14"/>
      <c r="N104" s="14"/>
      <c r="O104" s="14"/>
      <c r="P104" s="14"/>
      <c r="Q104" s="14"/>
      <c r="R104" s="14"/>
      <c r="S104" s="14"/>
      <c r="T104" s="14"/>
      <c r="U104" s="14"/>
      <c r="V104" s="14">
        <v>15</v>
      </c>
      <c r="W104" s="14">
        <v>5</v>
      </c>
      <c r="X104" s="9"/>
      <c r="Z104" s="14">
        <v>95</v>
      </c>
      <c r="AA104" s="14" t="s">
        <v>1837</v>
      </c>
      <c r="AB104" s="14" t="s">
        <v>28</v>
      </c>
      <c r="AC104" s="14" t="s">
        <v>396</v>
      </c>
      <c r="AD104" s="14">
        <v>1</v>
      </c>
      <c r="AE104" s="14">
        <v>2</v>
      </c>
      <c r="AF104" s="14">
        <v>50</v>
      </c>
      <c r="AG104" s="14">
        <v>0</v>
      </c>
    </row>
    <row r="105" spans="1:33" x14ac:dyDescent="0.3">
      <c r="A105" s="14">
        <v>96</v>
      </c>
      <c r="B105" s="135" t="s">
        <v>344</v>
      </c>
      <c r="C105" s="135" t="s">
        <v>399</v>
      </c>
      <c r="D105" s="135" t="s">
        <v>4</v>
      </c>
      <c r="E105" s="488">
        <v>5</v>
      </c>
      <c r="F105" s="14">
        <v>7</v>
      </c>
      <c r="G105" s="14">
        <v>3</v>
      </c>
      <c r="H105" s="14"/>
      <c r="I105" s="14"/>
      <c r="J105" s="14"/>
      <c r="K105" s="14"/>
      <c r="L105" s="14"/>
      <c r="M105" s="14"/>
      <c r="N105" s="14"/>
      <c r="O105" s="14"/>
      <c r="P105" s="14"/>
      <c r="Q105" s="14"/>
      <c r="R105" s="14"/>
      <c r="S105" s="14"/>
      <c r="T105" s="14"/>
      <c r="U105" s="14"/>
      <c r="V105" s="14">
        <v>15</v>
      </c>
      <c r="W105" s="14">
        <v>5</v>
      </c>
      <c r="X105" s="9"/>
      <c r="Z105" s="14">
        <v>96</v>
      </c>
      <c r="AA105" s="14" t="s">
        <v>2386</v>
      </c>
      <c r="AB105" s="14" t="s">
        <v>39</v>
      </c>
      <c r="AC105" s="14" t="s">
        <v>399</v>
      </c>
      <c r="AD105" s="14">
        <v>1</v>
      </c>
      <c r="AE105" s="14">
        <v>2</v>
      </c>
      <c r="AF105" s="14">
        <v>50</v>
      </c>
      <c r="AG105" s="14">
        <v>1</v>
      </c>
    </row>
    <row r="106" spans="1:33" x14ac:dyDescent="0.3">
      <c r="A106" s="14">
        <v>97</v>
      </c>
      <c r="B106" s="135" t="s">
        <v>272</v>
      </c>
      <c r="C106" s="135" t="s">
        <v>396</v>
      </c>
      <c r="D106" s="135" t="s">
        <v>39</v>
      </c>
      <c r="E106" s="488">
        <v>5</v>
      </c>
      <c r="F106" s="14">
        <v>7</v>
      </c>
      <c r="G106" s="14">
        <v>3</v>
      </c>
      <c r="H106" s="14"/>
      <c r="I106" s="14"/>
      <c r="J106" s="14"/>
      <c r="K106" s="14"/>
      <c r="L106" s="14"/>
      <c r="M106" s="14"/>
      <c r="N106" s="14"/>
      <c r="O106" s="14"/>
      <c r="P106" s="14"/>
      <c r="Q106" s="14"/>
      <c r="R106" s="14"/>
      <c r="S106" s="14"/>
      <c r="T106" s="14"/>
      <c r="U106" s="14"/>
      <c r="V106" s="14">
        <v>15</v>
      </c>
      <c r="W106" s="14">
        <v>5</v>
      </c>
      <c r="X106" s="9"/>
      <c r="Z106" s="14">
        <v>97</v>
      </c>
      <c r="AA106" s="14" t="s">
        <v>1821</v>
      </c>
      <c r="AB106" s="14" t="s">
        <v>4</v>
      </c>
      <c r="AC106" s="14" t="s">
        <v>394</v>
      </c>
      <c r="AD106" s="14">
        <v>1</v>
      </c>
      <c r="AE106" s="14">
        <v>2</v>
      </c>
      <c r="AF106" s="14">
        <v>50</v>
      </c>
      <c r="AG106" s="14">
        <v>0</v>
      </c>
    </row>
    <row r="107" spans="1:33" x14ac:dyDescent="0.3">
      <c r="A107" s="14">
        <v>98</v>
      </c>
      <c r="B107" s="135" t="s">
        <v>283</v>
      </c>
      <c r="C107" s="135" t="s">
        <v>396</v>
      </c>
      <c r="D107" s="135" t="s">
        <v>16</v>
      </c>
      <c r="E107" s="488">
        <v>6</v>
      </c>
      <c r="F107" s="14">
        <v>5</v>
      </c>
      <c r="G107" s="14">
        <v>4</v>
      </c>
      <c r="H107" s="14"/>
      <c r="I107" s="14"/>
      <c r="J107" s="14"/>
      <c r="K107" s="14"/>
      <c r="L107" s="14"/>
      <c r="M107" s="14"/>
      <c r="N107" s="14"/>
      <c r="O107" s="14"/>
      <c r="P107" s="14"/>
      <c r="Q107" s="14"/>
      <c r="R107" s="14"/>
      <c r="S107" s="14"/>
      <c r="T107" s="14"/>
      <c r="U107" s="14"/>
      <c r="V107" s="14">
        <v>15</v>
      </c>
      <c r="W107" s="14">
        <v>5</v>
      </c>
      <c r="X107" s="9"/>
      <c r="Z107" s="14">
        <v>98</v>
      </c>
      <c r="AA107" s="14" t="s">
        <v>1855</v>
      </c>
      <c r="AB107" s="14" t="s">
        <v>37</v>
      </c>
      <c r="AC107" s="14" t="s">
        <v>399</v>
      </c>
      <c r="AD107" s="14">
        <v>1</v>
      </c>
      <c r="AE107" s="14">
        <v>2</v>
      </c>
      <c r="AF107" s="14">
        <v>50</v>
      </c>
      <c r="AG107" s="14">
        <v>1</v>
      </c>
    </row>
    <row r="108" spans="1:33" x14ac:dyDescent="0.3">
      <c r="A108" s="14">
        <v>99</v>
      </c>
      <c r="B108" s="135" t="s">
        <v>1248</v>
      </c>
      <c r="C108" s="135" t="s">
        <v>396</v>
      </c>
      <c r="D108" s="135" t="s">
        <v>20</v>
      </c>
      <c r="E108" s="488">
        <v>7</v>
      </c>
      <c r="F108" s="14">
        <v>3</v>
      </c>
      <c r="G108" s="14">
        <v>5</v>
      </c>
      <c r="H108" s="14"/>
      <c r="I108" s="14"/>
      <c r="J108" s="14"/>
      <c r="K108" s="14"/>
      <c r="L108" s="14"/>
      <c r="M108" s="14"/>
      <c r="N108" s="14"/>
      <c r="O108" s="14"/>
      <c r="P108" s="14"/>
      <c r="Q108" s="14"/>
      <c r="R108" s="14"/>
      <c r="S108" s="14"/>
      <c r="T108" s="14"/>
      <c r="U108" s="14"/>
      <c r="V108" s="14">
        <v>15</v>
      </c>
      <c r="W108" s="14">
        <v>5</v>
      </c>
      <c r="X108" s="9"/>
      <c r="Z108" s="14">
        <v>99</v>
      </c>
      <c r="AA108" s="14" t="s">
        <v>2398</v>
      </c>
      <c r="AB108" s="14" t="s">
        <v>24</v>
      </c>
      <c r="AC108" s="14" t="s">
        <v>399</v>
      </c>
      <c r="AD108" s="14">
        <v>1</v>
      </c>
      <c r="AE108" s="14">
        <v>2</v>
      </c>
      <c r="AF108" s="14">
        <v>50</v>
      </c>
      <c r="AG108" s="14">
        <v>0</v>
      </c>
    </row>
    <row r="109" spans="1:33" x14ac:dyDescent="0.3">
      <c r="A109" s="14">
        <v>100</v>
      </c>
      <c r="B109" s="135" t="s">
        <v>465</v>
      </c>
      <c r="C109" s="135" t="s">
        <v>396</v>
      </c>
      <c r="D109" s="135" t="s">
        <v>28</v>
      </c>
      <c r="E109" s="488">
        <v>3</v>
      </c>
      <c r="F109" s="14">
        <v>8</v>
      </c>
      <c r="G109" s="14">
        <v>4</v>
      </c>
      <c r="H109" s="14"/>
      <c r="I109" s="14"/>
      <c r="J109" s="14"/>
      <c r="K109" s="14"/>
      <c r="L109" s="14"/>
      <c r="M109" s="14"/>
      <c r="N109" s="14"/>
      <c r="O109" s="14"/>
      <c r="P109" s="14"/>
      <c r="Q109" s="14"/>
      <c r="R109" s="14"/>
      <c r="S109" s="14"/>
      <c r="T109" s="14"/>
      <c r="U109" s="14"/>
      <c r="V109" s="14">
        <v>15</v>
      </c>
      <c r="W109" s="14">
        <v>5</v>
      </c>
      <c r="X109" s="9"/>
      <c r="Z109" s="14">
        <v>100</v>
      </c>
      <c r="AA109" s="14" t="s">
        <v>1851</v>
      </c>
      <c r="AB109" s="14" t="s">
        <v>397</v>
      </c>
      <c r="AC109" s="14" t="s">
        <v>396</v>
      </c>
      <c r="AD109" s="14">
        <v>1</v>
      </c>
      <c r="AE109" s="14">
        <v>2</v>
      </c>
      <c r="AF109" s="14">
        <v>50</v>
      </c>
      <c r="AG109" s="14">
        <v>1</v>
      </c>
    </row>
    <row r="110" spans="1:33" x14ac:dyDescent="0.3">
      <c r="A110" s="14">
        <v>101</v>
      </c>
      <c r="B110" s="135" t="s">
        <v>336</v>
      </c>
      <c r="C110" s="135" t="s">
        <v>399</v>
      </c>
      <c r="D110" s="135" t="s">
        <v>402</v>
      </c>
      <c r="E110" s="488">
        <v>5</v>
      </c>
      <c r="F110" s="14">
        <v>6</v>
      </c>
      <c r="G110" s="14">
        <v>3</v>
      </c>
      <c r="H110" s="14"/>
      <c r="I110" s="14"/>
      <c r="J110" s="14"/>
      <c r="K110" s="14"/>
      <c r="L110" s="14"/>
      <c r="M110" s="14"/>
      <c r="N110" s="14"/>
      <c r="O110" s="14"/>
      <c r="P110" s="14"/>
      <c r="Q110" s="14"/>
      <c r="R110" s="14"/>
      <c r="S110" s="14"/>
      <c r="T110" s="14"/>
      <c r="U110" s="14"/>
      <c r="V110" s="14">
        <v>14</v>
      </c>
      <c r="W110" s="14">
        <v>4.7</v>
      </c>
      <c r="X110" s="9"/>
      <c r="Z110" s="14">
        <v>101</v>
      </c>
      <c r="AA110" s="14" t="s">
        <v>1818</v>
      </c>
      <c r="AB110" s="14" t="s">
        <v>407</v>
      </c>
      <c r="AC110" s="14" t="s">
        <v>394</v>
      </c>
      <c r="AD110" s="14">
        <v>1</v>
      </c>
      <c r="AE110" s="14">
        <v>2</v>
      </c>
      <c r="AF110" s="14">
        <v>50</v>
      </c>
      <c r="AG110" s="14">
        <v>1</v>
      </c>
    </row>
    <row r="111" spans="1:33" x14ac:dyDescent="0.3">
      <c r="A111" s="14">
        <v>102</v>
      </c>
      <c r="B111" s="135" t="s">
        <v>115</v>
      </c>
      <c r="C111" s="135" t="s">
        <v>394</v>
      </c>
      <c r="D111" s="135" t="s">
        <v>34</v>
      </c>
      <c r="E111" s="488">
        <v>7</v>
      </c>
      <c r="F111" s="14">
        <v>3</v>
      </c>
      <c r="G111" s="14">
        <v>4</v>
      </c>
      <c r="H111" s="247"/>
      <c r="I111" s="14"/>
      <c r="J111" s="14"/>
      <c r="K111" s="14"/>
      <c r="L111" s="14"/>
      <c r="M111" s="14"/>
      <c r="N111" s="14"/>
      <c r="O111" s="14"/>
      <c r="P111" s="14"/>
      <c r="Q111" s="14"/>
      <c r="R111" s="14"/>
      <c r="S111" s="14"/>
      <c r="T111" s="14"/>
      <c r="U111" s="14"/>
      <c r="V111" s="14">
        <v>14</v>
      </c>
      <c r="W111" s="14">
        <v>4.7</v>
      </c>
      <c r="X111" s="9"/>
      <c r="Z111" s="14">
        <v>102</v>
      </c>
      <c r="AA111" s="14" t="s">
        <v>2384</v>
      </c>
      <c r="AB111" s="14" t="s">
        <v>407</v>
      </c>
      <c r="AC111" s="14" t="s">
        <v>396</v>
      </c>
      <c r="AD111" s="14">
        <v>1</v>
      </c>
      <c r="AE111" s="14">
        <v>2</v>
      </c>
      <c r="AF111" s="14">
        <v>50</v>
      </c>
      <c r="AG111" s="14">
        <v>0</v>
      </c>
    </row>
    <row r="112" spans="1:33" x14ac:dyDescent="0.3">
      <c r="A112" s="14">
        <v>103</v>
      </c>
      <c r="B112" s="135" t="s">
        <v>328</v>
      </c>
      <c r="C112" s="135" t="s">
        <v>399</v>
      </c>
      <c r="D112" s="135" t="s">
        <v>7</v>
      </c>
      <c r="E112" s="488">
        <v>1</v>
      </c>
      <c r="F112" s="14">
        <v>4</v>
      </c>
      <c r="G112" s="14">
        <v>9</v>
      </c>
      <c r="H112" s="14"/>
      <c r="I112" s="14"/>
      <c r="J112" s="14"/>
      <c r="K112" s="14"/>
      <c r="L112" s="14"/>
      <c r="M112" s="14"/>
      <c r="N112" s="14"/>
      <c r="O112" s="14"/>
      <c r="P112" s="14"/>
      <c r="Q112" s="14"/>
      <c r="R112" s="14"/>
      <c r="S112" s="14"/>
      <c r="T112" s="14"/>
      <c r="U112" s="14"/>
      <c r="V112" s="14">
        <v>14</v>
      </c>
      <c r="W112" s="14">
        <v>4.7</v>
      </c>
      <c r="X112" s="9"/>
      <c r="Z112" s="14">
        <v>103</v>
      </c>
      <c r="AA112" s="14" t="s">
        <v>2382</v>
      </c>
      <c r="AB112" s="14" t="s">
        <v>4</v>
      </c>
      <c r="AC112" s="14" t="s">
        <v>396</v>
      </c>
      <c r="AD112" s="14">
        <v>1</v>
      </c>
      <c r="AE112" s="14">
        <v>2</v>
      </c>
      <c r="AF112" s="14">
        <v>50</v>
      </c>
      <c r="AG112" s="14">
        <v>1</v>
      </c>
    </row>
    <row r="113" spans="1:33" x14ac:dyDescent="0.3">
      <c r="A113" s="14">
        <v>104</v>
      </c>
      <c r="B113" s="135" t="s">
        <v>337</v>
      </c>
      <c r="C113" s="135" t="s">
        <v>399</v>
      </c>
      <c r="D113" s="135" t="s">
        <v>43</v>
      </c>
      <c r="E113" s="488">
        <v>2</v>
      </c>
      <c r="F113" s="14">
        <v>2</v>
      </c>
      <c r="G113" s="14">
        <v>10</v>
      </c>
      <c r="H113" s="14"/>
      <c r="I113" s="14"/>
      <c r="J113" s="14"/>
      <c r="K113" s="14"/>
      <c r="L113" s="14"/>
      <c r="M113" s="14"/>
      <c r="N113" s="14"/>
      <c r="O113" s="14"/>
      <c r="P113" s="14"/>
      <c r="Q113" s="14"/>
      <c r="R113" s="14"/>
      <c r="S113" s="14"/>
      <c r="T113" s="14"/>
      <c r="U113" s="14"/>
      <c r="V113" s="14">
        <v>14</v>
      </c>
      <c r="W113" s="14">
        <v>4.7</v>
      </c>
      <c r="X113" s="9"/>
      <c r="Z113" s="14">
        <v>104</v>
      </c>
      <c r="AA113" s="14" t="s">
        <v>1874</v>
      </c>
      <c r="AB113" s="14" t="s">
        <v>50</v>
      </c>
      <c r="AC113" s="14" t="s">
        <v>394</v>
      </c>
      <c r="AD113" s="14">
        <v>1</v>
      </c>
      <c r="AE113" s="14">
        <v>2</v>
      </c>
      <c r="AF113" s="14">
        <v>50</v>
      </c>
      <c r="AG113" s="14">
        <v>0</v>
      </c>
    </row>
    <row r="114" spans="1:33" x14ac:dyDescent="0.3">
      <c r="A114" s="14">
        <v>105</v>
      </c>
      <c r="B114" s="135" t="s">
        <v>106</v>
      </c>
      <c r="C114" s="135" t="s">
        <v>394</v>
      </c>
      <c r="D114" s="135" t="s">
        <v>70</v>
      </c>
      <c r="E114" s="488">
        <v>5</v>
      </c>
      <c r="F114" s="14">
        <v>5</v>
      </c>
      <c r="G114" s="14">
        <v>4</v>
      </c>
      <c r="H114" s="14"/>
      <c r="I114" s="14"/>
      <c r="J114" s="14"/>
      <c r="K114" s="14"/>
      <c r="L114" s="14"/>
      <c r="M114" s="14"/>
      <c r="N114" s="14"/>
      <c r="O114" s="14"/>
      <c r="P114" s="14"/>
      <c r="Q114" s="14"/>
      <c r="R114" s="14"/>
      <c r="S114" s="14"/>
      <c r="T114" s="14"/>
      <c r="U114" s="14"/>
      <c r="V114" s="14">
        <v>14</v>
      </c>
      <c r="W114" s="14">
        <v>4.7</v>
      </c>
      <c r="X114" s="9"/>
      <c r="Z114" s="14">
        <v>105</v>
      </c>
      <c r="AA114" s="14" t="s">
        <v>2412</v>
      </c>
      <c r="AB114" s="14" t="s">
        <v>18</v>
      </c>
      <c r="AC114" s="14" t="s">
        <v>396</v>
      </c>
      <c r="AD114" s="14">
        <v>1</v>
      </c>
      <c r="AE114" s="14">
        <v>2</v>
      </c>
      <c r="AF114" s="14">
        <v>50</v>
      </c>
      <c r="AG114" s="14">
        <v>0</v>
      </c>
    </row>
    <row r="115" spans="1:33" x14ac:dyDescent="0.3">
      <c r="A115" s="14">
        <v>106</v>
      </c>
      <c r="B115" s="135" t="s">
        <v>292</v>
      </c>
      <c r="C115" s="135" t="s">
        <v>396</v>
      </c>
      <c r="D115" s="135" t="s">
        <v>41</v>
      </c>
      <c r="E115" s="488">
        <v>5</v>
      </c>
      <c r="F115" s="14">
        <v>5</v>
      </c>
      <c r="G115" s="14">
        <v>4</v>
      </c>
      <c r="H115" s="14"/>
      <c r="I115" s="14"/>
      <c r="J115" s="14"/>
      <c r="K115" s="14"/>
      <c r="L115" s="14"/>
      <c r="M115" s="14"/>
      <c r="N115" s="14"/>
      <c r="O115" s="14"/>
      <c r="P115" s="14"/>
      <c r="Q115" s="14"/>
      <c r="R115" s="14"/>
      <c r="S115" s="14"/>
      <c r="T115" s="14"/>
      <c r="U115" s="14"/>
      <c r="V115" s="14">
        <v>14</v>
      </c>
      <c r="W115" s="14">
        <v>4.7</v>
      </c>
      <c r="X115" s="9"/>
      <c r="Z115" s="14">
        <v>106</v>
      </c>
      <c r="AA115" s="14" t="s">
        <v>1840</v>
      </c>
      <c r="AB115" s="14" t="s">
        <v>26</v>
      </c>
      <c r="AC115" s="14" t="s">
        <v>396</v>
      </c>
      <c r="AD115" s="14">
        <v>1</v>
      </c>
      <c r="AE115" s="14">
        <v>2</v>
      </c>
      <c r="AF115" s="14">
        <v>50</v>
      </c>
      <c r="AG115" s="14">
        <v>0</v>
      </c>
    </row>
    <row r="116" spans="1:33" x14ac:dyDescent="0.3">
      <c r="A116" s="14">
        <v>107</v>
      </c>
      <c r="B116" s="135" t="s">
        <v>126</v>
      </c>
      <c r="C116" s="135" t="s">
        <v>394</v>
      </c>
      <c r="D116" s="135" t="s">
        <v>39</v>
      </c>
      <c r="E116" s="488">
        <v>5</v>
      </c>
      <c r="F116" s="14">
        <v>2</v>
      </c>
      <c r="G116" s="14">
        <v>6</v>
      </c>
      <c r="H116" s="14"/>
      <c r="I116" s="14"/>
      <c r="J116" s="14"/>
      <c r="K116" s="14"/>
      <c r="L116" s="14"/>
      <c r="M116" s="14"/>
      <c r="N116" s="14"/>
      <c r="O116" s="14"/>
      <c r="P116" s="14"/>
      <c r="Q116" s="14"/>
      <c r="R116" s="14"/>
      <c r="S116" s="14"/>
      <c r="T116" s="14"/>
      <c r="U116" s="14"/>
      <c r="V116" s="14">
        <v>13</v>
      </c>
      <c r="W116" s="14">
        <v>4.3</v>
      </c>
      <c r="X116" s="9"/>
      <c r="Z116" s="14">
        <v>107</v>
      </c>
      <c r="AA116" s="14" t="s">
        <v>1866</v>
      </c>
      <c r="AB116" s="14" t="s">
        <v>398</v>
      </c>
      <c r="AC116" s="14" t="s">
        <v>396</v>
      </c>
      <c r="AD116" s="14">
        <v>0</v>
      </c>
      <c r="AE116" s="14">
        <v>2</v>
      </c>
      <c r="AF116" s="14">
        <v>0</v>
      </c>
      <c r="AG116" s="14">
        <v>0</v>
      </c>
    </row>
    <row r="117" spans="1:33" x14ac:dyDescent="0.3">
      <c r="A117" s="14">
        <v>108</v>
      </c>
      <c r="B117" s="135" t="s">
        <v>322</v>
      </c>
      <c r="C117" s="135" t="s">
        <v>399</v>
      </c>
      <c r="D117" s="135" t="s">
        <v>14</v>
      </c>
      <c r="E117" s="488">
        <v>2</v>
      </c>
      <c r="F117" s="14">
        <v>5</v>
      </c>
      <c r="G117" s="14">
        <v>6</v>
      </c>
      <c r="H117" s="14"/>
      <c r="I117" s="14"/>
      <c r="J117" s="14"/>
      <c r="K117" s="14"/>
      <c r="L117" s="14"/>
      <c r="M117" s="14"/>
      <c r="N117" s="14"/>
      <c r="O117" s="14"/>
      <c r="P117" s="14"/>
      <c r="Q117" s="14"/>
      <c r="R117" s="14"/>
      <c r="S117" s="14"/>
      <c r="T117" s="14"/>
      <c r="U117" s="14"/>
      <c r="V117" s="14">
        <v>13</v>
      </c>
      <c r="W117" s="14">
        <v>4.3</v>
      </c>
      <c r="X117" s="9"/>
      <c r="Z117" s="14">
        <v>108</v>
      </c>
      <c r="AA117" s="14" t="s">
        <v>1869</v>
      </c>
      <c r="AB117" s="14" t="s">
        <v>57</v>
      </c>
      <c r="AC117" s="14" t="s">
        <v>396</v>
      </c>
      <c r="AD117" s="14">
        <v>0</v>
      </c>
      <c r="AE117" s="14">
        <v>2</v>
      </c>
      <c r="AF117" s="14">
        <v>0</v>
      </c>
      <c r="AG117" s="14">
        <v>0</v>
      </c>
    </row>
    <row r="118" spans="1:33" x14ac:dyDescent="0.3">
      <c r="A118" s="14">
        <v>109</v>
      </c>
      <c r="B118" s="135" t="s">
        <v>93</v>
      </c>
      <c r="C118" s="135" t="s">
        <v>394</v>
      </c>
      <c r="D118" s="135" t="s">
        <v>10</v>
      </c>
      <c r="E118" s="488">
        <v>4</v>
      </c>
      <c r="F118" s="14">
        <v>5</v>
      </c>
      <c r="G118" s="14">
        <v>4</v>
      </c>
      <c r="H118" s="14"/>
      <c r="I118" s="14"/>
      <c r="J118" s="14"/>
      <c r="K118" s="14"/>
      <c r="L118" s="14"/>
      <c r="M118" s="14"/>
      <c r="N118" s="14"/>
      <c r="O118" s="14"/>
      <c r="P118" s="14"/>
      <c r="Q118" s="14"/>
      <c r="R118" s="14"/>
      <c r="S118" s="14"/>
      <c r="T118" s="14"/>
      <c r="U118" s="14"/>
      <c r="V118" s="14">
        <v>13</v>
      </c>
      <c r="W118" s="14">
        <v>4.3</v>
      </c>
      <c r="X118" s="9"/>
      <c r="Z118" s="14">
        <v>109</v>
      </c>
      <c r="AA118" s="14" t="s">
        <v>2424</v>
      </c>
      <c r="AB118" s="14" t="s">
        <v>409</v>
      </c>
      <c r="AC118" s="14" t="s">
        <v>396</v>
      </c>
      <c r="AD118" s="14">
        <v>0</v>
      </c>
      <c r="AE118" s="14">
        <v>2</v>
      </c>
      <c r="AF118" s="14">
        <v>0</v>
      </c>
      <c r="AG118" s="14">
        <v>0</v>
      </c>
    </row>
    <row r="119" spans="1:33" x14ac:dyDescent="0.3">
      <c r="A119" s="14">
        <v>110</v>
      </c>
      <c r="B119" s="135" t="s">
        <v>127</v>
      </c>
      <c r="C119" s="135" t="s">
        <v>394</v>
      </c>
      <c r="D119" s="135" t="s">
        <v>37</v>
      </c>
      <c r="E119" s="488">
        <v>5</v>
      </c>
      <c r="F119" s="14">
        <v>3</v>
      </c>
      <c r="G119" s="14">
        <v>5</v>
      </c>
      <c r="H119" s="14"/>
      <c r="I119" s="14"/>
      <c r="J119" s="14"/>
      <c r="K119" s="14"/>
      <c r="L119" s="14"/>
      <c r="M119" s="14"/>
      <c r="N119" s="14"/>
      <c r="O119" s="14"/>
      <c r="P119" s="14"/>
      <c r="Q119" s="14"/>
      <c r="R119" s="14"/>
      <c r="S119" s="14"/>
      <c r="T119" s="14"/>
      <c r="U119" s="14"/>
      <c r="V119" s="14">
        <v>13</v>
      </c>
      <c r="W119" s="14">
        <v>4.3</v>
      </c>
      <c r="X119" s="9"/>
      <c r="Z119" s="14">
        <v>110</v>
      </c>
      <c r="AA119" s="14" t="s">
        <v>2426</v>
      </c>
      <c r="AB119" s="14" t="s">
        <v>39</v>
      </c>
      <c r="AC119" s="14" t="s">
        <v>399</v>
      </c>
      <c r="AD119" s="14">
        <v>0</v>
      </c>
      <c r="AE119" s="14">
        <v>2</v>
      </c>
      <c r="AF119" s="14">
        <v>0</v>
      </c>
      <c r="AG119" s="14">
        <v>0</v>
      </c>
    </row>
    <row r="120" spans="1:33" x14ac:dyDescent="0.3">
      <c r="A120" s="14">
        <v>111</v>
      </c>
      <c r="B120" s="135" t="s">
        <v>263</v>
      </c>
      <c r="C120" s="135" t="s">
        <v>399</v>
      </c>
      <c r="D120" s="135" t="s">
        <v>409</v>
      </c>
      <c r="E120" s="488">
        <v>3</v>
      </c>
      <c r="F120" s="14">
        <v>6</v>
      </c>
      <c r="G120" s="14">
        <v>4</v>
      </c>
      <c r="H120" s="14"/>
      <c r="I120" s="14"/>
      <c r="J120" s="14"/>
      <c r="K120" s="14"/>
      <c r="L120" s="14"/>
      <c r="M120" s="14"/>
      <c r="N120" s="14"/>
      <c r="O120" s="14"/>
      <c r="P120" s="14"/>
      <c r="Q120" s="14"/>
      <c r="R120" s="14"/>
      <c r="S120" s="14"/>
      <c r="T120" s="14"/>
      <c r="U120" s="14"/>
      <c r="V120" s="14">
        <v>13</v>
      </c>
      <c r="W120" s="14">
        <v>4.3</v>
      </c>
      <c r="X120" s="9"/>
      <c r="Z120" s="14">
        <v>111</v>
      </c>
      <c r="AA120" s="14" t="s">
        <v>2479</v>
      </c>
      <c r="AB120" s="14" t="s">
        <v>409</v>
      </c>
      <c r="AC120" s="14" t="s">
        <v>399</v>
      </c>
      <c r="AD120" s="14">
        <v>0</v>
      </c>
      <c r="AE120" s="14">
        <v>2</v>
      </c>
      <c r="AF120" s="14">
        <v>0</v>
      </c>
      <c r="AG120" s="14">
        <v>0</v>
      </c>
    </row>
    <row r="121" spans="1:33" x14ac:dyDescent="0.3">
      <c r="A121" s="14">
        <v>112</v>
      </c>
      <c r="B121" s="135" t="s">
        <v>124</v>
      </c>
      <c r="C121" s="135" t="s">
        <v>394</v>
      </c>
      <c r="D121" s="135" t="s">
        <v>34</v>
      </c>
      <c r="E121" s="488">
        <v>4</v>
      </c>
      <c r="F121" s="14">
        <v>2</v>
      </c>
      <c r="G121" s="14">
        <v>7</v>
      </c>
      <c r="H121" s="14"/>
      <c r="I121" s="14"/>
      <c r="J121" s="14"/>
      <c r="K121" s="14"/>
      <c r="L121" s="14"/>
      <c r="M121" s="14"/>
      <c r="N121" s="14"/>
      <c r="O121" s="14"/>
      <c r="P121" s="14"/>
      <c r="Q121" s="14"/>
      <c r="R121" s="14"/>
      <c r="S121" s="14"/>
      <c r="T121" s="14"/>
      <c r="U121" s="14"/>
      <c r="V121" s="14">
        <v>13</v>
      </c>
      <c r="W121" s="14">
        <v>4.3</v>
      </c>
      <c r="X121" s="9"/>
      <c r="Z121" s="14">
        <v>112</v>
      </c>
      <c r="AA121" s="14" t="s">
        <v>1867</v>
      </c>
      <c r="AB121" s="14" t="s">
        <v>4</v>
      </c>
      <c r="AC121" s="14" t="s">
        <v>396</v>
      </c>
      <c r="AD121" s="14">
        <v>0</v>
      </c>
      <c r="AE121" s="14">
        <v>2</v>
      </c>
      <c r="AF121" s="14">
        <v>0</v>
      </c>
      <c r="AG121" s="14">
        <v>0</v>
      </c>
    </row>
    <row r="122" spans="1:33" x14ac:dyDescent="0.3">
      <c r="A122" s="14">
        <v>113</v>
      </c>
      <c r="B122" s="135" t="s">
        <v>276</v>
      </c>
      <c r="C122" s="135" t="s">
        <v>396</v>
      </c>
      <c r="D122" s="135" t="s">
        <v>402</v>
      </c>
      <c r="E122" s="488">
        <v>4</v>
      </c>
      <c r="F122" s="14">
        <v>6</v>
      </c>
      <c r="G122" s="14">
        <v>3</v>
      </c>
      <c r="H122" s="14"/>
      <c r="I122" s="14"/>
      <c r="J122" s="14"/>
      <c r="K122" s="14"/>
      <c r="L122" s="14"/>
      <c r="M122" s="14"/>
      <c r="N122" s="14"/>
      <c r="O122" s="14"/>
      <c r="P122" s="14"/>
      <c r="Q122" s="14"/>
      <c r="R122" s="14"/>
      <c r="S122" s="14"/>
      <c r="T122" s="14"/>
      <c r="U122" s="14"/>
      <c r="V122" s="14">
        <v>13</v>
      </c>
      <c r="W122" s="14">
        <v>4.3</v>
      </c>
      <c r="X122" s="9"/>
      <c r="Z122" s="14">
        <v>113</v>
      </c>
      <c r="AA122" s="14" t="s">
        <v>1825</v>
      </c>
      <c r="AB122" s="14" t="s">
        <v>43</v>
      </c>
      <c r="AC122" s="14" t="s">
        <v>396</v>
      </c>
      <c r="AD122" s="14">
        <v>0</v>
      </c>
      <c r="AE122" s="14">
        <v>2</v>
      </c>
      <c r="AF122" s="14">
        <v>0</v>
      </c>
      <c r="AG122" s="14">
        <v>0</v>
      </c>
    </row>
    <row r="123" spans="1:33" x14ac:dyDescent="0.3">
      <c r="A123" s="14">
        <v>114</v>
      </c>
      <c r="B123" s="135" t="s">
        <v>377</v>
      </c>
      <c r="C123" s="135" t="s">
        <v>399</v>
      </c>
      <c r="D123" s="135" t="s">
        <v>39</v>
      </c>
      <c r="E123" s="488">
        <v>0</v>
      </c>
      <c r="F123" s="14">
        <v>7</v>
      </c>
      <c r="G123" s="14">
        <v>6</v>
      </c>
      <c r="H123" s="14"/>
      <c r="I123" s="14"/>
      <c r="J123" s="14"/>
      <c r="K123" s="14"/>
      <c r="L123" s="14"/>
      <c r="M123" s="14"/>
      <c r="N123" s="14"/>
      <c r="O123" s="14"/>
      <c r="P123" s="14"/>
      <c r="Q123" s="14"/>
      <c r="R123" s="14"/>
      <c r="S123" s="14"/>
      <c r="T123" s="14"/>
      <c r="U123" s="14"/>
      <c r="V123" s="14">
        <v>13</v>
      </c>
      <c r="W123" s="14">
        <v>6.5</v>
      </c>
      <c r="X123" s="9"/>
      <c r="Z123" s="14">
        <v>114</v>
      </c>
      <c r="AA123" s="14" t="s">
        <v>1884</v>
      </c>
      <c r="AB123" s="14" t="s">
        <v>34</v>
      </c>
      <c r="AC123" s="14" t="s">
        <v>396</v>
      </c>
      <c r="AD123" s="14">
        <v>0</v>
      </c>
      <c r="AE123" s="14">
        <v>2</v>
      </c>
      <c r="AF123" s="14">
        <v>0</v>
      </c>
      <c r="AG123" s="14">
        <v>0</v>
      </c>
    </row>
    <row r="124" spans="1:33" x14ac:dyDescent="0.3">
      <c r="A124" s="14">
        <v>115</v>
      </c>
      <c r="B124" s="135" t="s">
        <v>137</v>
      </c>
      <c r="C124" s="135" t="s">
        <v>394</v>
      </c>
      <c r="D124" s="135" t="s">
        <v>402</v>
      </c>
      <c r="E124" s="488">
        <v>7</v>
      </c>
      <c r="F124" s="14">
        <v>4</v>
      </c>
      <c r="G124" s="14">
        <v>2</v>
      </c>
      <c r="H124" s="247"/>
      <c r="I124" s="14"/>
      <c r="J124" s="14"/>
      <c r="K124" s="14"/>
      <c r="L124" s="14"/>
      <c r="M124" s="14"/>
      <c r="N124" s="14"/>
      <c r="O124" s="14"/>
      <c r="P124" s="14"/>
      <c r="Q124" s="14"/>
      <c r="R124" s="14"/>
      <c r="S124" s="14"/>
      <c r="T124" s="14"/>
      <c r="U124" s="14"/>
      <c r="V124" s="14">
        <v>13</v>
      </c>
      <c r="W124" s="14">
        <v>4.3</v>
      </c>
      <c r="X124" s="9"/>
      <c r="Z124" s="14">
        <v>115</v>
      </c>
      <c r="AA124" s="14" t="s">
        <v>1865</v>
      </c>
      <c r="AB124" s="14" t="s">
        <v>7</v>
      </c>
      <c r="AC124" s="14" t="s">
        <v>396</v>
      </c>
      <c r="AD124" s="14">
        <v>0</v>
      </c>
      <c r="AE124" s="14">
        <v>2</v>
      </c>
      <c r="AF124" s="14">
        <v>0</v>
      </c>
      <c r="AG124" s="14">
        <v>0</v>
      </c>
    </row>
    <row r="125" spans="1:33" x14ac:dyDescent="0.3">
      <c r="A125" s="14">
        <v>116</v>
      </c>
      <c r="B125" s="135" t="s">
        <v>766</v>
      </c>
      <c r="C125" s="135" t="s">
        <v>396</v>
      </c>
      <c r="D125" s="135" t="s">
        <v>22</v>
      </c>
      <c r="E125" s="488">
        <v>2</v>
      </c>
      <c r="F125" s="14">
        <v>6</v>
      </c>
      <c r="G125" s="14">
        <v>5</v>
      </c>
      <c r="H125" s="14"/>
      <c r="I125" s="14"/>
      <c r="J125" s="14"/>
      <c r="K125" s="14"/>
      <c r="L125" s="14"/>
      <c r="M125" s="14"/>
      <c r="N125" s="14"/>
      <c r="O125" s="14"/>
      <c r="P125" s="14"/>
      <c r="Q125" s="14"/>
      <c r="R125" s="14"/>
      <c r="S125" s="14"/>
      <c r="T125" s="14"/>
      <c r="U125" s="14"/>
      <c r="V125" s="14">
        <v>13</v>
      </c>
      <c r="W125" s="14">
        <v>4.3</v>
      </c>
      <c r="X125" s="9"/>
      <c r="Z125" s="14">
        <v>116</v>
      </c>
      <c r="AA125" s="14" t="s">
        <v>1826</v>
      </c>
      <c r="AB125" s="14" t="s">
        <v>14</v>
      </c>
      <c r="AC125" s="14" t="s">
        <v>396</v>
      </c>
      <c r="AD125" s="14">
        <v>0</v>
      </c>
      <c r="AE125" s="14">
        <v>2</v>
      </c>
      <c r="AF125" s="14">
        <v>0</v>
      </c>
      <c r="AG125" s="14">
        <v>0</v>
      </c>
    </row>
    <row r="126" spans="1:33" x14ac:dyDescent="0.3">
      <c r="A126" s="14">
        <v>117</v>
      </c>
      <c r="B126" s="135" t="s">
        <v>433</v>
      </c>
      <c r="C126" s="135" t="s">
        <v>396</v>
      </c>
      <c r="D126" s="135" t="s">
        <v>14</v>
      </c>
      <c r="E126" s="488">
        <v>5</v>
      </c>
      <c r="F126" s="14">
        <v>8</v>
      </c>
      <c r="G126" s="14">
        <v>0</v>
      </c>
      <c r="H126" s="247"/>
      <c r="I126" s="14"/>
      <c r="J126" s="14"/>
      <c r="K126" s="14"/>
      <c r="L126" s="14"/>
      <c r="M126" s="14"/>
      <c r="N126" s="14"/>
      <c r="O126" s="14"/>
      <c r="P126" s="14"/>
      <c r="Q126" s="14"/>
      <c r="R126" s="14"/>
      <c r="S126" s="14"/>
      <c r="T126" s="14"/>
      <c r="U126" s="14"/>
      <c r="V126" s="14">
        <v>13</v>
      </c>
      <c r="W126" s="14">
        <v>6.5</v>
      </c>
      <c r="X126" s="9"/>
      <c r="Z126" s="14">
        <v>117</v>
      </c>
      <c r="AA126" s="14" t="s">
        <v>2480</v>
      </c>
      <c r="AB126" s="14" t="s">
        <v>37</v>
      </c>
      <c r="AC126" s="14" t="s">
        <v>394</v>
      </c>
      <c r="AD126" s="14">
        <v>0</v>
      </c>
      <c r="AE126" s="14">
        <v>2</v>
      </c>
      <c r="AF126" s="14">
        <v>0</v>
      </c>
      <c r="AG126" s="14">
        <v>0</v>
      </c>
    </row>
    <row r="127" spans="1:33" x14ac:dyDescent="0.3">
      <c r="A127" s="14">
        <v>118</v>
      </c>
      <c r="B127" s="135" t="s">
        <v>408</v>
      </c>
      <c r="C127" s="135" t="s">
        <v>396</v>
      </c>
      <c r="D127" s="135" t="s">
        <v>30</v>
      </c>
      <c r="E127" s="488">
        <v>7</v>
      </c>
      <c r="F127" s="14">
        <v>2</v>
      </c>
      <c r="G127" s="14">
        <v>3</v>
      </c>
      <c r="H127" s="14"/>
      <c r="I127" s="14"/>
      <c r="J127" s="14"/>
      <c r="K127" s="14"/>
      <c r="L127" s="14"/>
      <c r="M127" s="14"/>
      <c r="N127" s="14"/>
      <c r="O127" s="14"/>
      <c r="P127" s="14"/>
      <c r="Q127" s="14"/>
      <c r="R127" s="14"/>
      <c r="S127" s="14"/>
      <c r="T127" s="14"/>
      <c r="U127" s="14"/>
      <c r="V127" s="14">
        <v>12</v>
      </c>
      <c r="W127" s="14">
        <v>4</v>
      </c>
      <c r="X127" s="9"/>
      <c r="Z127" s="14">
        <v>118</v>
      </c>
      <c r="AA127" s="14" t="s">
        <v>1823</v>
      </c>
      <c r="AB127" s="14" t="s">
        <v>39</v>
      </c>
      <c r="AC127" s="14" t="s">
        <v>394</v>
      </c>
      <c r="AD127" s="14">
        <v>0</v>
      </c>
      <c r="AE127" s="14">
        <v>2</v>
      </c>
      <c r="AF127" s="14">
        <v>0</v>
      </c>
      <c r="AG127" s="14">
        <v>0</v>
      </c>
    </row>
    <row r="128" spans="1:33" x14ac:dyDescent="0.3">
      <c r="A128" s="14">
        <v>119</v>
      </c>
      <c r="B128" s="135" t="s">
        <v>87</v>
      </c>
      <c r="C128" s="135" t="s">
        <v>394</v>
      </c>
      <c r="D128" s="135" t="s">
        <v>16</v>
      </c>
      <c r="E128" s="488">
        <v>6</v>
      </c>
      <c r="F128" s="14">
        <v>3</v>
      </c>
      <c r="G128" s="14">
        <v>3</v>
      </c>
      <c r="H128" s="14"/>
      <c r="I128" s="14"/>
      <c r="J128" s="14"/>
      <c r="K128" s="14"/>
      <c r="L128" s="14"/>
      <c r="M128" s="14"/>
      <c r="N128" s="14"/>
      <c r="O128" s="14"/>
      <c r="P128" s="14"/>
      <c r="Q128" s="14"/>
      <c r="R128" s="14"/>
      <c r="S128" s="14"/>
      <c r="T128" s="14"/>
      <c r="U128" s="14"/>
      <c r="V128" s="14">
        <v>12</v>
      </c>
      <c r="W128" s="14">
        <v>4</v>
      </c>
      <c r="X128" s="9"/>
      <c r="Z128" s="14">
        <v>119</v>
      </c>
      <c r="AA128" s="14" t="s">
        <v>1888</v>
      </c>
      <c r="AB128" s="14" t="s">
        <v>398</v>
      </c>
      <c r="AC128" s="14" t="s">
        <v>396</v>
      </c>
      <c r="AD128" s="14">
        <v>0</v>
      </c>
      <c r="AE128" s="14">
        <v>2</v>
      </c>
      <c r="AF128" s="14">
        <v>0</v>
      </c>
      <c r="AG128" s="14">
        <v>0</v>
      </c>
    </row>
    <row r="129" spans="1:33" x14ac:dyDescent="0.3">
      <c r="A129" s="14">
        <v>120</v>
      </c>
      <c r="B129" s="135" t="s">
        <v>222</v>
      </c>
      <c r="C129" s="135" t="s">
        <v>396</v>
      </c>
      <c r="D129" s="135" t="s">
        <v>22</v>
      </c>
      <c r="E129" s="488">
        <v>1</v>
      </c>
      <c r="F129" s="14">
        <v>4</v>
      </c>
      <c r="G129" s="14">
        <v>7</v>
      </c>
      <c r="H129" s="14"/>
      <c r="I129" s="14"/>
      <c r="J129" s="14"/>
      <c r="K129" s="14"/>
      <c r="L129" s="14"/>
      <c r="M129" s="14"/>
      <c r="N129" s="14"/>
      <c r="O129" s="14"/>
      <c r="P129" s="14"/>
      <c r="Q129" s="14"/>
      <c r="R129" s="14"/>
      <c r="S129" s="14"/>
      <c r="T129" s="14"/>
      <c r="U129" s="14"/>
      <c r="V129" s="14">
        <v>12</v>
      </c>
      <c r="W129" s="14">
        <v>4</v>
      </c>
      <c r="X129" s="9"/>
      <c r="Z129" s="14">
        <v>120</v>
      </c>
      <c r="AA129" s="14" t="s">
        <v>2390</v>
      </c>
      <c r="AB129" s="14" t="s">
        <v>16</v>
      </c>
      <c r="AC129" s="14" t="s">
        <v>394</v>
      </c>
      <c r="AD129" s="14">
        <v>1</v>
      </c>
      <c r="AE129" s="14">
        <v>1</v>
      </c>
      <c r="AF129" s="14">
        <v>100</v>
      </c>
      <c r="AG129" s="14">
        <v>1</v>
      </c>
    </row>
    <row r="130" spans="1:33" x14ac:dyDescent="0.3">
      <c r="A130" s="14">
        <v>121</v>
      </c>
      <c r="B130" s="135" t="s">
        <v>89</v>
      </c>
      <c r="C130" s="135" t="s">
        <v>394</v>
      </c>
      <c r="D130" s="135" t="s">
        <v>404</v>
      </c>
      <c r="E130" s="488">
        <v>2</v>
      </c>
      <c r="F130" s="14">
        <v>4</v>
      </c>
      <c r="G130" s="14">
        <v>6</v>
      </c>
      <c r="H130" s="14"/>
      <c r="I130" s="14"/>
      <c r="J130" s="14"/>
      <c r="K130" s="14"/>
      <c r="L130" s="14"/>
      <c r="M130" s="14"/>
      <c r="N130" s="14"/>
      <c r="O130" s="14"/>
      <c r="P130" s="14"/>
      <c r="Q130" s="14"/>
      <c r="R130" s="14"/>
      <c r="S130" s="14"/>
      <c r="T130" s="14"/>
      <c r="U130" s="14"/>
      <c r="V130" s="14">
        <v>12</v>
      </c>
      <c r="W130" s="14">
        <v>4</v>
      </c>
      <c r="X130" s="9"/>
      <c r="Z130" s="14">
        <v>121</v>
      </c>
      <c r="AA130" s="14" t="s">
        <v>2404</v>
      </c>
      <c r="AB130" s="14" t="s">
        <v>39</v>
      </c>
      <c r="AC130" s="14" t="s">
        <v>394</v>
      </c>
      <c r="AD130" s="14">
        <v>1</v>
      </c>
      <c r="AE130" s="14">
        <v>1</v>
      </c>
      <c r="AF130" s="14">
        <v>100</v>
      </c>
      <c r="AG130" s="14">
        <v>0</v>
      </c>
    </row>
    <row r="131" spans="1:33" x14ac:dyDescent="0.3">
      <c r="A131" s="14">
        <v>122</v>
      </c>
      <c r="B131" s="135" t="s">
        <v>333</v>
      </c>
      <c r="C131" s="135" t="s">
        <v>399</v>
      </c>
      <c r="D131" s="135" t="s">
        <v>10</v>
      </c>
      <c r="E131" s="488">
        <v>3</v>
      </c>
      <c r="F131" s="14">
        <v>7</v>
      </c>
      <c r="G131" s="14">
        <v>2</v>
      </c>
      <c r="H131" s="14"/>
      <c r="I131" s="14"/>
      <c r="J131" s="14"/>
      <c r="K131" s="14"/>
      <c r="L131" s="14"/>
      <c r="M131" s="14"/>
      <c r="N131" s="14"/>
      <c r="O131" s="14"/>
      <c r="P131" s="14"/>
      <c r="Q131" s="14"/>
      <c r="R131" s="14"/>
      <c r="S131" s="14"/>
      <c r="T131" s="14"/>
      <c r="U131" s="14"/>
      <c r="V131" s="14">
        <v>12</v>
      </c>
      <c r="W131" s="14">
        <v>4</v>
      </c>
      <c r="X131" s="9"/>
      <c r="Z131" s="14">
        <v>122</v>
      </c>
      <c r="AA131" s="14" t="s">
        <v>1832</v>
      </c>
      <c r="AB131" s="14" t="s">
        <v>43</v>
      </c>
      <c r="AC131" s="14" t="s">
        <v>399</v>
      </c>
      <c r="AD131" s="14">
        <v>1</v>
      </c>
      <c r="AE131" s="14">
        <v>1</v>
      </c>
      <c r="AF131" s="14">
        <v>100</v>
      </c>
      <c r="AG131" s="14">
        <v>0</v>
      </c>
    </row>
    <row r="132" spans="1:33" x14ac:dyDescent="0.3">
      <c r="A132" s="14">
        <v>123</v>
      </c>
      <c r="B132" s="135" t="s">
        <v>125</v>
      </c>
      <c r="C132" s="135" t="s">
        <v>394</v>
      </c>
      <c r="D132" s="135" t="s">
        <v>397</v>
      </c>
      <c r="E132" s="488">
        <v>8</v>
      </c>
      <c r="F132" s="14">
        <v>3</v>
      </c>
      <c r="G132" s="14">
        <v>1</v>
      </c>
      <c r="H132" s="14"/>
      <c r="I132" s="14"/>
      <c r="J132" s="14"/>
      <c r="K132" s="14"/>
      <c r="L132" s="14"/>
      <c r="M132" s="14"/>
      <c r="N132" s="14"/>
      <c r="O132" s="14"/>
      <c r="P132" s="14"/>
      <c r="Q132" s="14"/>
      <c r="R132" s="14"/>
      <c r="S132" s="14"/>
      <c r="T132" s="14"/>
      <c r="U132" s="14"/>
      <c r="V132" s="14">
        <v>12</v>
      </c>
      <c r="W132" s="14">
        <v>4</v>
      </c>
      <c r="X132" s="9"/>
      <c r="Z132" s="14">
        <v>123</v>
      </c>
      <c r="AA132" s="14" t="s">
        <v>2396</v>
      </c>
      <c r="AB132" s="14" t="s">
        <v>43</v>
      </c>
      <c r="AC132" s="14" t="s">
        <v>394</v>
      </c>
      <c r="AD132" s="14">
        <v>1</v>
      </c>
      <c r="AE132" s="14">
        <v>1</v>
      </c>
      <c r="AF132" s="14">
        <v>100</v>
      </c>
      <c r="AG132" s="14">
        <v>0</v>
      </c>
    </row>
    <row r="133" spans="1:33" x14ac:dyDescent="0.3">
      <c r="A133" s="14">
        <v>124</v>
      </c>
      <c r="B133" s="135" t="s">
        <v>264</v>
      </c>
      <c r="C133" s="135" t="s">
        <v>396</v>
      </c>
      <c r="D133" s="135" t="s">
        <v>404</v>
      </c>
      <c r="E133" s="488">
        <v>0</v>
      </c>
      <c r="F133" s="14">
        <v>4</v>
      </c>
      <c r="G133" s="14">
        <v>8</v>
      </c>
      <c r="H133" s="14"/>
      <c r="I133" s="14"/>
      <c r="J133" s="14"/>
      <c r="K133" s="14"/>
      <c r="L133" s="14"/>
      <c r="M133" s="14"/>
      <c r="N133" s="14"/>
      <c r="O133" s="14"/>
      <c r="P133" s="14"/>
      <c r="Q133" s="14"/>
      <c r="R133" s="14"/>
      <c r="S133" s="14"/>
      <c r="T133" s="14"/>
      <c r="U133" s="14"/>
      <c r="V133" s="14">
        <v>12</v>
      </c>
      <c r="W133" s="14">
        <v>6</v>
      </c>
      <c r="X133" s="9"/>
      <c r="Z133" s="14">
        <v>124</v>
      </c>
      <c r="AA133" s="14" t="s">
        <v>2394</v>
      </c>
      <c r="AB133" s="14" t="s">
        <v>10</v>
      </c>
      <c r="AC133" s="14" t="s">
        <v>394</v>
      </c>
      <c r="AD133" s="14">
        <v>1</v>
      </c>
      <c r="AE133" s="14">
        <v>1</v>
      </c>
      <c r="AF133" s="14">
        <v>100</v>
      </c>
      <c r="AG133" s="14">
        <v>1</v>
      </c>
    </row>
    <row r="134" spans="1:33" x14ac:dyDescent="0.3">
      <c r="A134" s="14">
        <v>125</v>
      </c>
      <c r="B134" s="135" t="s">
        <v>315</v>
      </c>
      <c r="C134" s="135" t="s">
        <v>396</v>
      </c>
      <c r="D134" s="135" t="s">
        <v>20</v>
      </c>
      <c r="E134" s="488">
        <v>3</v>
      </c>
      <c r="F134" s="14">
        <v>5</v>
      </c>
      <c r="G134" s="14">
        <v>4</v>
      </c>
      <c r="H134" s="14"/>
      <c r="I134" s="14"/>
      <c r="J134" s="14"/>
      <c r="K134" s="14"/>
      <c r="L134" s="14"/>
      <c r="M134" s="14"/>
      <c r="N134" s="14"/>
      <c r="O134" s="14"/>
      <c r="P134" s="14"/>
      <c r="Q134" s="14"/>
      <c r="R134" s="14"/>
      <c r="S134" s="14"/>
      <c r="T134" s="14"/>
      <c r="U134" s="14"/>
      <c r="V134" s="14">
        <v>12</v>
      </c>
      <c r="W134" s="14">
        <v>4</v>
      </c>
      <c r="X134" s="9"/>
      <c r="Z134" s="14">
        <v>125</v>
      </c>
      <c r="AA134" s="14" t="s">
        <v>2389</v>
      </c>
      <c r="AB134" s="14" t="s">
        <v>7</v>
      </c>
      <c r="AC134" s="14" t="s">
        <v>394</v>
      </c>
      <c r="AD134" s="14">
        <v>1</v>
      </c>
      <c r="AE134" s="14">
        <v>1</v>
      </c>
      <c r="AF134" s="14">
        <v>100</v>
      </c>
      <c r="AG134" s="14">
        <v>0</v>
      </c>
    </row>
    <row r="135" spans="1:33" x14ac:dyDescent="0.3">
      <c r="A135" s="14">
        <v>126</v>
      </c>
      <c r="B135" s="135" t="s">
        <v>224</v>
      </c>
      <c r="C135" s="135" t="s">
        <v>396</v>
      </c>
      <c r="D135" s="135" t="s">
        <v>7</v>
      </c>
      <c r="E135" s="488">
        <v>8</v>
      </c>
      <c r="F135" s="14">
        <v>4</v>
      </c>
      <c r="G135" s="14">
        <v>0</v>
      </c>
      <c r="H135" s="14"/>
      <c r="I135" s="14"/>
      <c r="J135" s="14"/>
      <c r="K135" s="14"/>
      <c r="L135" s="14"/>
      <c r="M135" s="14"/>
      <c r="N135" s="14"/>
      <c r="O135" s="14"/>
      <c r="P135" s="14"/>
      <c r="Q135" s="14"/>
      <c r="R135" s="14"/>
      <c r="S135" s="14"/>
      <c r="T135" s="14"/>
      <c r="U135" s="14"/>
      <c r="V135" s="14">
        <v>12</v>
      </c>
      <c r="W135" s="14">
        <v>4</v>
      </c>
      <c r="X135" s="9"/>
      <c r="Z135" s="14">
        <v>126</v>
      </c>
      <c r="AA135" s="14" t="s">
        <v>2411</v>
      </c>
      <c r="AB135" s="14" t="s">
        <v>46</v>
      </c>
      <c r="AC135" s="14" t="s">
        <v>394</v>
      </c>
      <c r="AD135" s="14">
        <v>1</v>
      </c>
      <c r="AE135" s="14">
        <v>1</v>
      </c>
      <c r="AF135" s="14">
        <v>100</v>
      </c>
      <c r="AG135" s="14">
        <v>0</v>
      </c>
    </row>
    <row r="136" spans="1:33" x14ac:dyDescent="0.3">
      <c r="A136" s="14">
        <v>127</v>
      </c>
      <c r="B136" s="135" t="s">
        <v>320</v>
      </c>
      <c r="C136" s="135" t="s">
        <v>399</v>
      </c>
      <c r="D136" s="135" t="s">
        <v>30</v>
      </c>
      <c r="E136" s="488">
        <v>5</v>
      </c>
      <c r="F136" s="14">
        <v>6</v>
      </c>
      <c r="G136" s="14">
        <v>0</v>
      </c>
      <c r="H136" s="14"/>
      <c r="I136" s="14"/>
      <c r="J136" s="14"/>
      <c r="K136" s="14"/>
      <c r="L136" s="14"/>
      <c r="M136" s="14"/>
      <c r="N136" s="14"/>
      <c r="O136" s="14"/>
      <c r="P136" s="14"/>
      <c r="Q136" s="14"/>
      <c r="R136" s="14"/>
      <c r="S136" s="14"/>
      <c r="T136" s="14"/>
      <c r="U136" s="14"/>
      <c r="V136" s="14">
        <v>11</v>
      </c>
      <c r="W136" s="14">
        <v>5.5</v>
      </c>
      <c r="X136" s="9"/>
      <c r="Z136" s="14">
        <v>127</v>
      </c>
      <c r="AA136" s="14" t="s">
        <v>2481</v>
      </c>
      <c r="AB136" s="14" t="s">
        <v>57</v>
      </c>
      <c r="AC136" s="14" t="s">
        <v>394</v>
      </c>
      <c r="AD136" s="14">
        <v>1</v>
      </c>
      <c r="AE136" s="14">
        <v>1</v>
      </c>
      <c r="AF136" s="14">
        <v>100</v>
      </c>
      <c r="AG136" s="14">
        <v>1</v>
      </c>
    </row>
    <row r="137" spans="1:33" x14ac:dyDescent="0.3">
      <c r="A137" s="14">
        <v>128</v>
      </c>
      <c r="B137" s="135" t="s">
        <v>348</v>
      </c>
      <c r="C137" s="135" t="s">
        <v>399</v>
      </c>
      <c r="D137" s="135" t="s">
        <v>395</v>
      </c>
      <c r="E137" s="488">
        <v>2</v>
      </c>
      <c r="F137" s="14">
        <v>6</v>
      </c>
      <c r="G137" s="14">
        <v>3</v>
      </c>
      <c r="H137" s="247"/>
      <c r="I137" s="14"/>
      <c r="J137" s="14"/>
      <c r="K137" s="14"/>
      <c r="L137" s="14"/>
      <c r="M137" s="14"/>
      <c r="N137" s="14"/>
      <c r="O137" s="14"/>
      <c r="P137" s="14"/>
      <c r="Q137" s="14"/>
      <c r="R137" s="14"/>
      <c r="S137" s="14"/>
      <c r="T137" s="14"/>
      <c r="U137" s="14"/>
      <c r="V137" s="14">
        <v>11</v>
      </c>
      <c r="W137" s="14">
        <v>3.7</v>
      </c>
      <c r="X137" s="9"/>
      <c r="Z137" s="14">
        <v>128</v>
      </c>
      <c r="AA137" s="14" t="s">
        <v>2482</v>
      </c>
      <c r="AB137" s="14" t="s">
        <v>398</v>
      </c>
      <c r="AC137" s="14" t="s">
        <v>394</v>
      </c>
      <c r="AD137" s="14">
        <v>1</v>
      </c>
      <c r="AE137" s="14">
        <v>1</v>
      </c>
      <c r="AF137" s="14">
        <v>100</v>
      </c>
      <c r="AG137" s="14">
        <v>0</v>
      </c>
    </row>
    <row r="138" spans="1:33" x14ac:dyDescent="0.3">
      <c r="A138" s="14">
        <v>129</v>
      </c>
      <c r="B138" s="135" t="s">
        <v>341</v>
      </c>
      <c r="C138" s="135" t="s">
        <v>399</v>
      </c>
      <c r="D138" s="135" t="s">
        <v>57</v>
      </c>
      <c r="E138" s="488">
        <v>3</v>
      </c>
      <c r="F138" s="14">
        <v>7</v>
      </c>
      <c r="G138" s="14">
        <v>1</v>
      </c>
      <c r="H138" s="14"/>
      <c r="I138" s="14"/>
      <c r="J138" s="14"/>
      <c r="K138" s="14"/>
      <c r="L138" s="14"/>
      <c r="M138" s="14"/>
      <c r="N138" s="14"/>
      <c r="O138" s="14"/>
      <c r="P138" s="14"/>
      <c r="Q138" s="14"/>
      <c r="R138" s="14"/>
      <c r="S138" s="14"/>
      <c r="T138" s="14"/>
      <c r="U138" s="14"/>
      <c r="V138" s="14">
        <v>11</v>
      </c>
      <c r="W138" s="14">
        <v>3.7</v>
      </c>
      <c r="X138" s="9"/>
      <c r="Z138" s="14">
        <v>129</v>
      </c>
      <c r="AA138" s="14" t="s">
        <v>1844</v>
      </c>
      <c r="AB138" s="14" t="s">
        <v>397</v>
      </c>
      <c r="AC138" s="14" t="s">
        <v>396</v>
      </c>
      <c r="AD138" s="14">
        <v>1</v>
      </c>
      <c r="AE138" s="14">
        <v>1</v>
      </c>
      <c r="AF138" s="14">
        <v>100</v>
      </c>
      <c r="AG138" s="14">
        <v>0</v>
      </c>
    </row>
    <row r="139" spans="1:33" x14ac:dyDescent="0.3">
      <c r="A139" s="14">
        <v>130</v>
      </c>
      <c r="B139" s="135" t="s">
        <v>122</v>
      </c>
      <c r="C139" s="135" t="s">
        <v>394</v>
      </c>
      <c r="D139" s="135" t="s">
        <v>43</v>
      </c>
      <c r="E139" s="488">
        <v>4</v>
      </c>
      <c r="F139" s="14">
        <v>2</v>
      </c>
      <c r="G139" s="14">
        <v>5</v>
      </c>
      <c r="H139" s="14"/>
      <c r="I139" s="14"/>
      <c r="J139" s="14"/>
      <c r="K139" s="14"/>
      <c r="L139" s="14"/>
      <c r="M139" s="14"/>
      <c r="N139" s="14"/>
      <c r="O139" s="14"/>
      <c r="P139" s="14"/>
      <c r="Q139" s="14"/>
      <c r="R139" s="14"/>
      <c r="S139" s="14"/>
      <c r="T139" s="14"/>
      <c r="U139" s="14"/>
      <c r="V139" s="14">
        <v>11</v>
      </c>
      <c r="W139" s="14">
        <v>3.7</v>
      </c>
      <c r="X139" s="9"/>
      <c r="Z139" s="14">
        <v>130</v>
      </c>
      <c r="AA139" s="14" t="s">
        <v>2401</v>
      </c>
      <c r="AB139" s="14" t="s">
        <v>57</v>
      </c>
      <c r="AC139" s="14" t="s">
        <v>399</v>
      </c>
      <c r="AD139" s="14">
        <v>1</v>
      </c>
      <c r="AE139" s="14">
        <v>1</v>
      </c>
      <c r="AF139" s="14">
        <v>100</v>
      </c>
      <c r="AG139" s="14">
        <v>1</v>
      </c>
    </row>
    <row r="140" spans="1:33" x14ac:dyDescent="0.3">
      <c r="A140" s="14">
        <v>131</v>
      </c>
      <c r="B140" s="135" t="s">
        <v>145</v>
      </c>
      <c r="C140" s="135" t="s">
        <v>394</v>
      </c>
      <c r="D140" s="135" t="s">
        <v>7</v>
      </c>
      <c r="E140" s="488">
        <v>4</v>
      </c>
      <c r="F140" s="14">
        <v>4</v>
      </c>
      <c r="G140" s="14">
        <v>3</v>
      </c>
      <c r="H140" s="14"/>
      <c r="I140" s="14"/>
      <c r="J140" s="14"/>
      <c r="K140" s="14"/>
      <c r="L140" s="14"/>
      <c r="M140" s="14"/>
      <c r="N140" s="14"/>
      <c r="O140" s="14"/>
      <c r="P140" s="14"/>
      <c r="Q140" s="14"/>
      <c r="R140" s="14"/>
      <c r="S140" s="14"/>
      <c r="T140" s="14"/>
      <c r="U140" s="14"/>
      <c r="V140" s="14">
        <v>11</v>
      </c>
      <c r="W140" s="14">
        <v>3.7</v>
      </c>
      <c r="X140" s="9"/>
      <c r="Z140" s="14">
        <v>131</v>
      </c>
      <c r="AA140" s="14" t="s">
        <v>2403</v>
      </c>
      <c r="AB140" s="14" t="s">
        <v>28</v>
      </c>
      <c r="AC140" s="14" t="s">
        <v>394</v>
      </c>
      <c r="AD140" s="14">
        <v>1</v>
      </c>
      <c r="AE140" s="14">
        <v>1</v>
      </c>
      <c r="AF140" s="14">
        <v>100</v>
      </c>
      <c r="AG140" s="14">
        <v>0</v>
      </c>
    </row>
    <row r="141" spans="1:33" x14ac:dyDescent="0.3">
      <c r="A141" s="14">
        <v>132</v>
      </c>
      <c r="B141" s="135" t="s">
        <v>162</v>
      </c>
      <c r="C141" s="135" t="s">
        <v>394</v>
      </c>
      <c r="D141" s="135" t="s">
        <v>22</v>
      </c>
      <c r="E141" s="488">
        <v>1</v>
      </c>
      <c r="F141" s="14">
        <v>4</v>
      </c>
      <c r="G141" s="14">
        <v>6</v>
      </c>
      <c r="H141" s="14"/>
      <c r="I141" s="14"/>
      <c r="J141" s="14"/>
      <c r="K141" s="14"/>
      <c r="L141" s="14"/>
      <c r="M141" s="14"/>
      <c r="N141" s="14"/>
      <c r="O141" s="14"/>
      <c r="P141" s="14"/>
      <c r="Q141" s="14"/>
      <c r="R141" s="14"/>
      <c r="S141" s="14"/>
      <c r="T141" s="14"/>
      <c r="U141" s="14"/>
      <c r="V141" s="14">
        <v>11</v>
      </c>
      <c r="W141" s="14">
        <v>3.7</v>
      </c>
      <c r="X141" s="9"/>
      <c r="Z141" s="14">
        <v>132</v>
      </c>
      <c r="AA141" s="14" t="s">
        <v>2483</v>
      </c>
      <c r="AB141" s="14" t="s">
        <v>41</v>
      </c>
      <c r="AC141" s="14" t="s">
        <v>396</v>
      </c>
      <c r="AD141" s="14">
        <v>1</v>
      </c>
      <c r="AE141" s="14">
        <v>1</v>
      </c>
      <c r="AF141" s="14">
        <v>100</v>
      </c>
      <c r="AG141" s="14">
        <v>0</v>
      </c>
    </row>
    <row r="142" spans="1:33" x14ac:dyDescent="0.3">
      <c r="A142" s="14">
        <v>133</v>
      </c>
      <c r="B142" s="135" t="s">
        <v>339</v>
      </c>
      <c r="C142" s="135" t="s">
        <v>399</v>
      </c>
      <c r="D142" s="135" t="s">
        <v>37</v>
      </c>
      <c r="E142" s="488">
        <v>2</v>
      </c>
      <c r="F142" s="14">
        <v>5</v>
      </c>
      <c r="G142" s="14">
        <v>4</v>
      </c>
      <c r="H142" s="14"/>
      <c r="I142" s="14"/>
      <c r="J142" s="14"/>
      <c r="K142" s="14"/>
      <c r="L142" s="14"/>
      <c r="M142" s="14"/>
      <c r="N142" s="14"/>
      <c r="O142" s="14"/>
      <c r="P142" s="14"/>
      <c r="Q142" s="14"/>
      <c r="R142" s="14"/>
      <c r="S142" s="14"/>
      <c r="T142" s="14"/>
      <c r="U142" s="14"/>
      <c r="V142" s="14">
        <v>11</v>
      </c>
      <c r="W142" s="14">
        <v>3.7</v>
      </c>
      <c r="X142" s="9"/>
      <c r="Z142" s="14">
        <v>133</v>
      </c>
      <c r="AA142" s="14" t="s">
        <v>1854</v>
      </c>
      <c r="AB142" s="14" t="s">
        <v>397</v>
      </c>
      <c r="AC142" s="14" t="s">
        <v>394</v>
      </c>
      <c r="AD142" s="14">
        <v>1</v>
      </c>
      <c r="AE142" s="14">
        <v>1</v>
      </c>
      <c r="AF142" s="14">
        <v>100</v>
      </c>
      <c r="AG142" s="14">
        <v>0</v>
      </c>
    </row>
    <row r="143" spans="1:33" x14ac:dyDescent="0.3">
      <c r="A143" s="14">
        <v>134</v>
      </c>
      <c r="B143" s="135" t="s">
        <v>196</v>
      </c>
      <c r="C143" s="135" t="s">
        <v>396</v>
      </c>
      <c r="D143" s="135" t="s">
        <v>10</v>
      </c>
      <c r="E143" s="488">
        <v>6</v>
      </c>
      <c r="F143" s="14">
        <v>5</v>
      </c>
      <c r="G143" s="14">
        <v>0</v>
      </c>
      <c r="H143" s="14"/>
      <c r="I143" s="14"/>
      <c r="J143" s="14"/>
      <c r="K143" s="14"/>
      <c r="L143" s="14"/>
      <c r="M143" s="14"/>
      <c r="N143" s="14"/>
      <c r="O143" s="14"/>
      <c r="P143" s="14"/>
      <c r="Q143" s="14"/>
      <c r="R143" s="14"/>
      <c r="S143" s="14"/>
      <c r="T143" s="14"/>
      <c r="U143" s="14"/>
      <c r="V143" s="14">
        <v>11</v>
      </c>
      <c r="W143" s="14">
        <v>5.5</v>
      </c>
      <c r="X143" s="9"/>
      <c r="Z143" s="14">
        <v>134</v>
      </c>
      <c r="AA143" s="14" t="s">
        <v>2484</v>
      </c>
      <c r="AB143" s="14" t="s">
        <v>50</v>
      </c>
      <c r="AC143" s="14" t="s">
        <v>396</v>
      </c>
      <c r="AD143" s="14">
        <v>1</v>
      </c>
      <c r="AE143" s="14">
        <v>1</v>
      </c>
      <c r="AF143" s="14">
        <v>100</v>
      </c>
      <c r="AG143" s="14">
        <v>0</v>
      </c>
    </row>
    <row r="144" spans="1:33" x14ac:dyDescent="0.3">
      <c r="A144" s="14">
        <v>135</v>
      </c>
      <c r="B144" s="135" t="s">
        <v>97</v>
      </c>
      <c r="C144" s="135" t="s">
        <v>394</v>
      </c>
      <c r="D144" s="135" t="s">
        <v>397</v>
      </c>
      <c r="E144" s="488">
        <v>6</v>
      </c>
      <c r="F144" s="14">
        <v>2</v>
      </c>
      <c r="G144" s="14">
        <v>3</v>
      </c>
      <c r="H144" s="14"/>
      <c r="I144" s="14"/>
      <c r="J144" s="14"/>
      <c r="K144" s="14"/>
      <c r="L144" s="14"/>
      <c r="M144" s="14"/>
      <c r="N144" s="14"/>
      <c r="O144" s="14"/>
      <c r="P144" s="14"/>
      <c r="Q144" s="14"/>
      <c r="R144" s="14"/>
      <c r="S144" s="14"/>
      <c r="T144" s="14"/>
      <c r="U144" s="14"/>
      <c r="V144" s="14">
        <v>11</v>
      </c>
      <c r="W144" s="14">
        <v>3.7</v>
      </c>
      <c r="X144" s="9"/>
      <c r="Z144" s="14">
        <v>135</v>
      </c>
      <c r="AA144" s="14" t="s">
        <v>1861</v>
      </c>
      <c r="AB144" s="14" t="s">
        <v>12</v>
      </c>
      <c r="AC144" s="14" t="s">
        <v>394</v>
      </c>
      <c r="AD144" s="14">
        <v>1</v>
      </c>
      <c r="AE144" s="14">
        <v>1</v>
      </c>
      <c r="AF144" s="14">
        <v>100</v>
      </c>
      <c r="AG144" s="14">
        <v>0</v>
      </c>
    </row>
    <row r="145" spans="1:33" x14ac:dyDescent="0.3">
      <c r="A145" s="14">
        <v>136</v>
      </c>
      <c r="B145" s="135" t="s">
        <v>135</v>
      </c>
      <c r="C145" s="135" t="s">
        <v>394</v>
      </c>
      <c r="D145" s="135" t="s">
        <v>50</v>
      </c>
      <c r="E145" s="488">
        <v>6</v>
      </c>
      <c r="F145" s="14">
        <v>2</v>
      </c>
      <c r="G145" s="14">
        <v>3</v>
      </c>
      <c r="H145" s="14"/>
      <c r="I145" s="14"/>
      <c r="J145" s="14"/>
      <c r="K145" s="14"/>
      <c r="L145" s="14"/>
      <c r="M145" s="14"/>
      <c r="N145" s="14"/>
      <c r="O145" s="14"/>
      <c r="P145" s="14"/>
      <c r="Q145" s="14"/>
      <c r="R145" s="14"/>
      <c r="S145" s="14"/>
      <c r="T145" s="14"/>
      <c r="U145" s="14"/>
      <c r="V145" s="14">
        <v>11</v>
      </c>
      <c r="W145" s="14">
        <v>3.7</v>
      </c>
      <c r="X145" s="9"/>
      <c r="Z145" s="14">
        <v>136</v>
      </c>
      <c r="AA145" s="14" t="s">
        <v>2485</v>
      </c>
      <c r="AB145" s="14" t="s">
        <v>70</v>
      </c>
      <c r="AC145" s="14" t="s">
        <v>399</v>
      </c>
      <c r="AD145" s="14">
        <v>1</v>
      </c>
      <c r="AE145" s="14">
        <v>1</v>
      </c>
      <c r="AF145" s="14">
        <v>100</v>
      </c>
      <c r="AG145" s="14">
        <v>1</v>
      </c>
    </row>
    <row r="146" spans="1:33" x14ac:dyDescent="0.3">
      <c r="A146" s="14">
        <v>137</v>
      </c>
      <c r="B146" s="135" t="s">
        <v>462</v>
      </c>
      <c r="C146" s="135" t="s">
        <v>396</v>
      </c>
      <c r="D146" s="135" t="s">
        <v>32</v>
      </c>
      <c r="E146" s="488">
        <v>2</v>
      </c>
      <c r="F146" s="14">
        <v>5</v>
      </c>
      <c r="G146" s="14">
        <v>4</v>
      </c>
      <c r="H146" s="14"/>
      <c r="I146" s="14"/>
      <c r="J146" s="14"/>
      <c r="K146" s="14"/>
      <c r="L146" s="14"/>
      <c r="M146" s="14"/>
      <c r="N146" s="14"/>
      <c r="O146" s="14"/>
      <c r="P146" s="14"/>
      <c r="Q146" s="14"/>
      <c r="R146" s="14"/>
      <c r="S146" s="14"/>
      <c r="T146" s="14"/>
      <c r="U146" s="14"/>
      <c r="V146" s="14">
        <v>11</v>
      </c>
      <c r="W146" s="14">
        <v>3.7</v>
      </c>
      <c r="X146" s="9"/>
      <c r="Z146" s="14">
        <v>137</v>
      </c>
      <c r="AA146" s="14" t="s">
        <v>2392</v>
      </c>
      <c r="AB146" s="14" t="s">
        <v>20</v>
      </c>
      <c r="AC146" s="14" t="s">
        <v>394</v>
      </c>
      <c r="AD146" s="14">
        <v>1</v>
      </c>
      <c r="AE146" s="14">
        <v>1</v>
      </c>
      <c r="AF146" s="14">
        <v>100</v>
      </c>
      <c r="AG146" s="14">
        <v>1</v>
      </c>
    </row>
    <row r="147" spans="1:33" x14ac:dyDescent="0.3">
      <c r="A147" s="14">
        <v>138</v>
      </c>
      <c r="B147" s="135" t="s">
        <v>244</v>
      </c>
      <c r="C147" s="135" t="s">
        <v>399</v>
      </c>
      <c r="D147" s="135" t="s">
        <v>37</v>
      </c>
      <c r="E147" s="488">
        <v>3</v>
      </c>
      <c r="F147" s="14">
        <v>3</v>
      </c>
      <c r="G147" s="14">
        <v>5</v>
      </c>
      <c r="H147" s="14"/>
      <c r="I147" s="14"/>
      <c r="J147" s="14"/>
      <c r="K147" s="14"/>
      <c r="L147" s="14"/>
      <c r="M147" s="14"/>
      <c r="N147" s="14"/>
      <c r="O147" s="14"/>
      <c r="P147" s="14"/>
      <c r="Q147" s="14"/>
      <c r="R147" s="14"/>
      <c r="S147" s="14"/>
      <c r="T147" s="14"/>
      <c r="U147" s="14"/>
      <c r="V147" s="14">
        <v>11</v>
      </c>
      <c r="W147" s="14">
        <v>3.7</v>
      </c>
      <c r="X147" s="9"/>
      <c r="Z147" s="14">
        <v>138</v>
      </c>
      <c r="AA147" s="14" t="s">
        <v>2395</v>
      </c>
      <c r="AB147" s="14" t="s">
        <v>18</v>
      </c>
      <c r="AC147" s="14" t="s">
        <v>396</v>
      </c>
      <c r="AD147" s="14">
        <v>1</v>
      </c>
      <c r="AE147" s="14">
        <v>1</v>
      </c>
      <c r="AF147" s="14">
        <v>100</v>
      </c>
      <c r="AG147" s="14">
        <v>0</v>
      </c>
    </row>
    <row r="148" spans="1:33" x14ac:dyDescent="0.3">
      <c r="A148" s="14">
        <v>139</v>
      </c>
      <c r="B148" s="135" t="s">
        <v>466</v>
      </c>
      <c r="C148" s="135" t="s">
        <v>394</v>
      </c>
      <c r="D148" s="135" t="s">
        <v>16</v>
      </c>
      <c r="E148" s="488">
        <v>2</v>
      </c>
      <c r="F148" s="14">
        <v>5</v>
      </c>
      <c r="G148" s="14">
        <v>4</v>
      </c>
      <c r="H148" s="14"/>
      <c r="I148" s="14"/>
      <c r="J148" s="14"/>
      <c r="K148" s="14"/>
      <c r="L148" s="14"/>
      <c r="M148" s="14"/>
      <c r="N148" s="14"/>
      <c r="O148" s="14"/>
      <c r="P148" s="14"/>
      <c r="Q148" s="14"/>
      <c r="R148" s="14"/>
      <c r="S148" s="14"/>
      <c r="T148" s="14"/>
      <c r="U148" s="14"/>
      <c r="V148" s="14">
        <v>11</v>
      </c>
      <c r="W148" s="14">
        <v>3.7</v>
      </c>
      <c r="X148" s="9"/>
      <c r="Z148" s="14">
        <v>139</v>
      </c>
      <c r="AA148" s="14" t="s">
        <v>2405</v>
      </c>
      <c r="AB148" s="14" t="s">
        <v>12</v>
      </c>
      <c r="AC148" s="14" t="s">
        <v>394</v>
      </c>
      <c r="AD148" s="14">
        <v>1</v>
      </c>
      <c r="AE148" s="14">
        <v>1</v>
      </c>
      <c r="AF148" s="14">
        <v>100</v>
      </c>
      <c r="AG148" s="14">
        <v>1</v>
      </c>
    </row>
    <row r="149" spans="1:33" x14ac:dyDescent="0.3">
      <c r="A149" s="14">
        <v>140</v>
      </c>
      <c r="B149" s="135" t="s">
        <v>228</v>
      </c>
      <c r="C149" s="135" t="s">
        <v>396</v>
      </c>
      <c r="D149" s="135" t="s">
        <v>402</v>
      </c>
      <c r="E149" s="488">
        <v>4</v>
      </c>
      <c r="F149" s="14">
        <v>4</v>
      </c>
      <c r="G149" s="14">
        <v>2</v>
      </c>
      <c r="H149" s="14"/>
      <c r="I149" s="14"/>
      <c r="J149" s="14"/>
      <c r="K149" s="14"/>
      <c r="L149" s="14"/>
      <c r="M149" s="14"/>
      <c r="N149" s="14"/>
      <c r="O149" s="14"/>
      <c r="P149" s="14"/>
      <c r="Q149" s="14"/>
      <c r="R149" s="14"/>
      <c r="S149" s="14"/>
      <c r="T149" s="14"/>
      <c r="U149" s="14"/>
      <c r="V149" s="14">
        <v>10</v>
      </c>
      <c r="W149" s="14">
        <v>3.3</v>
      </c>
      <c r="X149" s="9"/>
      <c r="Z149" s="14">
        <v>140</v>
      </c>
      <c r="AA149" s="14" t="s">
        <v>2410</v>
      </c>
      <c r="AB149" s="14" t="s">
        <v>4</v>
      </c>
      <c r="AC149" s="14" t="s">
        <v>394</v>
      </c>
      <c r="AD149" s="14">
        <v>1</v>
      </c>
      <c r="AE149" s="14">
        <v>1</v>
      </c>
      <c r="AF149" s="14">
        <v>100</v>
      </c>
      <c r="AG149" s="14">
        <v>0</v>
      </c>
    </row>
    <row r="150" spans="1:33" x14ac:dyDescent="0.3">
      <c r="A150" s="14">
        <v>141</v>
      </c>
      <c r="B150" s="135" t="s">
        <v>257</v>
      </c>
      <c r="C150" s="135" t="s">
        <v>396</v>
      </c>
      <c r="D150" s="135" t="s">
        <v>14</v>
      </c>
      <c r="E150" s="488">
        <v>3</v>
      </c>
      <c r="F150" s="14">
        <v>3</v>
      </c>
      <c r="G150" s="14">
        <v>4</v>
      </c>
      <c r="H150" s="14"/>
      <c r="I150" s="14"/>
      <c r="J150" s="14"/>
      <c r="K150" s="14"/>
      <c r="L150" s="14"/>
      <c r="M150" s="14"/>
      <c r="N150" s="14"/>
      <c r="O150" s="14"/>
      <c r="P150" s="14"/>
      <c r="Q150" s="14"/>
      <c r="R150" s="14"/>
      <c r="S150" s="14"/>
      <c r="T150" s="14"/>
      <c r="U150" s="14"/>
      <c r="V150" s="14">
        <v>10</v>
      </c>
      <c r="W150" s="14">
        <v>3.3</v>
      </c>
      <c r="X150" s="9"/>
      <c r="Z150" s="14">
        <v>141</v>
      </c>
      <c r="AA150" s="14" t="s">
        <v>2486</v>
      </c>
      <c r="AB150" s="14" t="s">
        <v>34</v>
      </c>
      <c r="AC150" s="14" t="s">
        <v>394</v>
      </c>
      <c r="AD150" s="14">
        <v>1</v>
      </c>
      <c r="AE150" s="14">
        <v>1</v>
      </c>
      <c r="AF150" s="14">
        <v>100</v>
      </c>
      <c r="AG150" s="14">
        <v>0</v>
      </c>
    </row>
    <row r="151" spans="1:33" x14ac:dyDescent="0.3">
      <c r="A151" s="14">
        <v>142</v>
      </c>
      <c r="B151" s="135" t="s">
        <v>345</v>
      </c>
      <c r="C151" s="135" t="s">
        <v>399</v>
      </c>
      <c r="D151" s="135" t="s">
        <v>398</v>
      </c>
      <c r="E151" s="488">
        <v>4</v>
      </c>
      <c r="F151" s="14">
        <v>2</v>
      </c>
      <c r="G151" s="14">
        <v>4</v>
      </c>
      <c r="H151" s="14"/>
      <c r="I151" s="14"/>
      <c r="J151" s="14"/>
      <c r="K151" s="14"/>
      <c r="L151" s="14"/>
      <c r="M151" s="14"/>
      <c r="N151" s="14"/>
      <c r="O151" s="14"/>
      <c r="P151" s="14"/>
      <c r="Q151" s="14"/>
      <c r="R151" s="14"/>
      <c r="S151" s="14"/>
      <c r="T151" s="14"/>
      <c r="U151" s="14"/>
      <c r="V151" s="14">
        <v>10</v>
      </c>
      <c r="W151" s="14">
        <v>3.3</v>
      </c>
      <c r="X151" s="9"/>
      <c r="Z151" s="14">
        <v>142</v>
      </c>
      <c r="AA151" s="14" t="s">
        <v>2397</v>
      </c>
      <c r="AB151" s="14" t="s">
        <v>20</v>
      </c>
      <c r="AC151" s="14" t="s">
        <v>399</v>
      </c>
      <c r="AD151" s="14">
        <v>1</v>
      </c>
      <c r="AE151" s="14">
        <v>1</v>
      </c>
      <c r="AF151" s="14">
        <v>100</v>
      </c>
      <c r="AG151" s="14">
        <v>1</v>
      </c>
    </row>
    <row r="152" spans="1:33" x14ac:dyDescent="0.3">
      <c r="A152" s="14">
        <v>143</v>
      </c>
      <c r="B152" s="135" t="s">
        <v>306</v>
      </c>
      <c r="C152" s="135" t="s">
        <v>396</v>
      </c>
      <c r="D152" s="135" t="s">
        <v>10</v>
      </c>
      <c r="E152" s="488">
        <v>0</v>
      </c>
      <c r="F152" s="14">
        <v>5</v>
      </c>
      <c r="G152" s="14">
        <v>5</v>
      </c>
      <c r="H152" s="14"/>
      <c r="I152" s="14"/>
      <c r="J152" s="14"/>
      <c r="K152" s="14"/>
      <c r="L152" s="14"/>
      <c r="M152" s="14"/>
      <c r="N152" s="14"/>
      <c r="O152" s="14"/>
      <c r="P152" s="14"/>
      <c r="Q152" s="14"/>
      <c r="R152" s="14"/>
      <c r="S152" s="14"/>
      <c r="T152" s="14"/>
      <c r="U152" s="14"/>
      <c r="V152" s="14">
        <v>10</v>
      </c>
      <c r="W152" s="14">
        <v>5</v>
      </c>
      <c r="X152" s="9"/>
      <c r="Z152" s="14">
        <v>143</v>
      </c>
      <c r="AA152" s="14" t="s">
        <v>1835</v>
      </c>
      <c r="AB152" s="14" t="s">
        <v>37</v>
      </c>
      <c r="AC152" s="14" t="s">
        <v>399</v>
      </c>
      <c r="AD152" s="14">
        <v>1</v>
      </c>
      <c r="AE152" s="14">
        <v>1</v>
      </c>
      <c r="AF152" s="14">
        <v>100</v>
      </c>
      <c r="AG152" s="14">
        <v>0</v>
      </c>
    </row>
    <row r="153" spans="1:33" x14ac:dyDescent="0.3">
      <c r="A153" s="14">
        <v>144</v>
      </c>
      <c r="B153" s="135" t="s">
        <v>293</v>
      </c>
      <c r="C153" s="135" t="s">
        <v>396</v>
      </c>
      <c r="D153" s="135" t="s">
        <v>41</v>
      </c>
      <c r="E153" s="488">
        <v>6</v>
      </c>
      <c r="F153" s="14">
        <v>2</v>
      </c>
      <c r="G153" s="14">
        <v>2</v>
      </c>
      <c r="H153" s="14"/>
      <c r="I153" s="14"/>
      <c r="J153" s="14"/>
      <c r="K153" s="14"/>
      <c r="L153" s="14"/>
      <c r="M153" s="14"/>
      <c r="N153" s="14"/>
      <c r="O153" s="14"/>
      <c r="P153" s="14"/>
      <c r="Q153" s="14"/>
      <c r="R153" s="14"/>
      <c r="S153" s="14"/>
      <c r="T153" s="14"/>
      <c r="U153" s="14"/>
      <c r="V153" s="14">
        <v>10</v>
      </c>
      <c r="W153" s="14">
        <v>3.3</v>
      </c>
      <c r="X153" s="9"/>
      <c r="Z153" s="14">
        <v>144</v>
      </c>
      <c r="AA153" s="14" t="s">
        <v>1836</v>
      </c>
      <c r="AB153" s="14" t="s">
        <v>26</v>
      </c>
      <c r="AC153" s="14" t="s">
        <v>394</v>
      </c>
      <c r="AD153" s="14">
        <v>1</v>
      </c>
      <c r="AE153" s="14">
        <v>1</v>
      </c>
      <c r="AF153" s="14">
        <v>100</v>
      </c>
      <c r="AG153" s="14">
        <v>1</v>
      </c>
    </row>
    <row r="154" spans="1:33" x14ac:dyDescent="0.3">
      <c r="A154" s="14">
        <v>145</v>
      </c>
      <c r="B154" s="135" t="s">
        <v>291</v>
      </c>
      <c r="C154" s="135" t="s">
        <v>396</v>
      </c>
      <c r="D154" s="135" t="s">
        <v>24</v>
      </c>
      <c r="E154" s="488">
        <v>2</v>
      </c>
      <c r="F154" s="14">
        <v>2</v>
      </c>
      <c r="G154" s="14">
        <v>6</v>
      </c>
      <c r="H154" s="14"/>
      <c r="I154" s="14"/>
      <c r="J154" s="14"/>
      <c r="K154" s="14"/>
      <c r="L154" s="14"/>
      <c r="M154" s="14"/>
      <c r="N154" s="14"/>
      <c r="O154" s="14"/>
      <c r="P154" s="14"/>
      <c r="Q154" s="14"/>
      <c r="R154" s="14"/>
      <c r="S154" s="14"/>
      <c r="T154" s="14"/>
      <c r="U154" s="14"/>
      <c r="V154" s="14">
        <v>10</v>
      </c>
      <c r="W154" s="14">
        <v>3.3</v>
      </c>
      <c r="X154" s="9"/>
      <c r="Z154" s="14">
        <v>145</v>
      </c>
      <c r="AA154" s="14" t="s">
        <v>1841</v>
      </c>
      <c r="AB154" s="14" t="s">
        <v>57</v>
      </c>
      <c r="AC154" s="14" t="s">
        <v>396</v>
      </c>
      <c r="AD154" s="14">
        <v>1</v>
      </c>
      <c r="AE154" s="14">
        <v>1</v>
      </c>
      <c r="AF154" s="14">
        <v>100</v>
      </c>
      <c r="AG154" s="14">
        <v>0</v>
      </c>
    </row>
    <row r="155" spans="1:33" x14ac:dyDescent="0.3">
      <c r="A155" s="14">
        <v>146</v>
      </c>
      <c r="B155" s="135" t="s">
        <v>223</v>
      </c>
      <c r="C155" s="135" t="s">
        <v>396</v>
      </c>
      <c r="D155" s="135" t="s">
        <v>16</v>
      </c>
      <c r="E155" s="488">
        <v>7</v>
      </c>
      <c r="F155" s="14">
        <v>3</v>
      </c>
      <c r="G155" s="14">
        <v>0</v>
      </c>
      <c r="H155" s="14"/>
      <c r="I155" s="14"/>
      <c r="J155" s="14"/>
      <c r="K155" s="14"/>
      <c r="L155" s="14"/>
      <c r="M155" s="14"/>
      <c r="N155" s="14"/>
      <c r="O155" s="14"/>
      <c r="P155" s="14"/>
      <c r="Q155" s="14"/>
      <c r="R155" s="14"/>
      <c r="S155" s="14"/>
      <c r="T155" s="14"/>
      <c r="U155" s="14"/>
      <c r="V155" s="14">
        <v>10</v>
      </c>
      <c r="W155" s="14">
        <v>5</v>
      </c>
      <c r="X155" s="9"/>
      <c r="Z155" s="14">
        <v>146</v>
      </c>
      <c r="AA155" s="14" t="s">
        <v>2487</v>
      </c>
      <c r="AB155" s="14" t="s">
        <v>57</v>
      </c>
      <c r="AC155" s="14" t="s">
        <v>399</v>
      </c>
      <c r="AD155" s="14">
        <v>1</v>
      </c>
      <c r="AE155" s="14">
        <v>1</v>
      </c>
      <c r="AF155" s="14">
        <v>100</v>
      </c>
      <c r="AG155" s="14">
        <v>0</v>
      </c>
    </row>
    <row r="156" spans="1:33" x14ac:dyDescent="0.3">
      <c r="A156" s="14">
        <v>147</v>
      </c>
      <c r="B156" s="135" t="s">
        <v>249</v>
      </c>
      <c r="C156" s="135" t="s">
        <v>396</v>
      </c>
      <c r="D156" s="135" t="s">
        <v>407</v>
      </c>
      <c r="E156" s="488">
        <v>3</v>
      </c>
      <c r="F156" s="14">
        <v>3</v>
      </c>
      <c r="G156" s="14">
        <v>4</v>
      </c>
      <c r="H156" s="14"/>
      <c r="I156" s="14"/>
      <c r="J156" s="14"/>
      <c r="K156" s="14"/>
      <c r="L156" s="14"/>
      <c r="M156" s="14"/>
      <c r="N156" s="14"/>
      <c r="O156" s="14"/>
      <c r="P156" s="14"/>
      <c r="Q156" s="14"/>
      <c r="R156" s="14"/>
      <c r="S156" s="14"/>
      <c r="T156" s="14"/>
      <c r="U156" s="14"/>
      <c r="V156" s="14">
        <v>10</v>
      </c>
      <c r="W156" s="14">
        <v>3.3</v>
      </c>
      <c r="X156" s="9"/>
      <c r="Z156" s="14">
        <v>147</v>
      </c>
      <c r="AA156" s="14" t="s">
        <v>2400</v>
      </c>
      <c r="AB156" s="14" t="s">
        <v>14</v>
      </c>
      <c r="AC156" s="14" t="s">
        <v>396</v>
      </c>
      <c r="AD156" s="14">
        <v>1</v>
      </c>
      <c r="AE156" s="14">
        <v>1</v>
      </c>
      <c r="AF156" s="14">
        <v>100</v>
      </c>
      <c r="AG156" s="14">
        <v>1</v>
      </c>
    </row>
    <row r="157" spans="1:33" x14ac:dyDescent="0.3">
      <c r="A157" s="14">
        <v>148</v>
      </c>
      <c r="B157" s="135" t="s">
        <v>119</v>
      </c>
      <c r="C157" s="135" t="s">
        <v>394</v>
      </c>
      <c r="D157" s="135" t="s">
        <v>407</v>
      </c>
      <c r="E157" s="488">
        <v>0</v>
      </c>
      <c r="F157" s="14">
        <v>3</v>
      </c>
      <c r="G157" s="14">
        <v>7</v>
      </c>
      <c r="H157" s="14"/>
      <c r="I157" s="14"/>
      <c r="J157" s="14"/>
      <c r="K157" s="14"/>
      <c r="L157" s="14"/>
      <c r="M157" s="14"/>
      <c r="N157" s="14"/>
      <c r="O157" s="14"/>
      <c r="P157" s="14"/>
      <c r="Q157" s="14"/>
      <c r="R157" s="14"/>
      <c r="S157" s="14"/>
      <c r="T157" s="14"/>
      <c r="U157" s="14"/>
      <c r="V157" s="14">
        <v>10</v>
      </c>
      <c r="W157" s="14">
        <v>3.3</v>
      </c>
      <c r="X157" s="9"/>
      <c r="Z157" s="14">
        <v>148</v>
      </c>
      <c r="AA157" s="14" t="s">
        <v>2488</v>
      </c>
      <c r="AB157" s="14" t="s">
        <v>20</v>
      </c>
      <c r="AC157" s="14" t="s">
        <v>396</v>
      </c>
      <c r="AD157" s="14">
        <v>1</v>
      </c>
      <c r="AE157" s="14">
        <v>1</v>
      </c>
      <c r="AF157" s="14">
        <v>100</v>
      </c>
      <c r="AG157" s="14">
        <v>0</v>
      </c>
    </row>
    <row r="158" spans="1:33" x14ac:dyDescent="0.3">
      <c r="A158" s="14">
        <v>149</v>
      </c>
      <c r="B158" s="135" t="s">
        <v>247</v>
      </c>
      <c r="C158" s="135" t="s">
        <v>396</v>
      </c>
      <c r="D158" s="135" t="s">
        <v>39</v>
      </c>
      <c r="E158" s="488">
        <v>2</v>
      </c>
      <c r="F158" s="14">
        <v>4</v>
      </c>
      <c r="G158" s="14">
        <v>4</v>
      </c>
      <c r="H158" s="14"/>
      <c r="I158" s="14"/>
      <c r="J158" s="14"/>
      <c r="K158" s="14"/>
      <c r="L158" s="14"/>
      <c r="M158" s="14"/>
      <c r="N158" s="14"/>
      <c r="O158" s="14"/>
      <c r="P158" s="14"/>
      <c r="Q158" s="14"/>
      <c r="R158" s="14"/>
      <c r="S158" s="14"/>
      <c r="T158" s="14"/>
      <c r="U158" s="14"/>
      <c r="V158" s="14">
        <v>10</v>
      </c>
      <c r="W158" s="14">
        <v>3.3</v>
      </c>
      <c r="X158" s="9"/>
      <c r="Z158" s="14">
        <v>149</v>
      </c>
      <c r="AA158" s="14" t="s">
        <v>2489</v>
      </c>
      <c r="AB158" s="14" t="s">
        <v>30</v>
      </c>
      <c r="AC158" s="14" t="s">
        <v>1516</v>
      </c>
      <c r="AD158" s="14">
        <v>1</v>
      </c>
      <c r="AE158" s="14">
        <v>1</v>
      </c>
      <c r="AF158" s="14">
        <v>100</v>
      </c>
      <c r="AG158" s="14">
        <v>0</v>
      </c>
    </row>
    <row r="159" spans="1:33" x14ac:dyDescent="0.3">
      <c r="A159" s="14">
        <v>150</v>
      </c>
      <c r="B159" s="135" t="s">
        <v>254</v>
      </c>
      <c r="C159" s="135" t="s">
        <v>396</v>
      </c>
      <c r="D159" s="135" t="s">
        <v>22</v>
      </c>
      <c r="E159" s="488">
        <v>4</v>
      </c>
      <c r="F159" s="14">
        <v>4</v>
      </c>
      <c r="G159" s="14">
        <v>2</v>
      </c>
      <c r="H159" s="14"/>
      <c r="I159" s="14"/>
      <c r="J159" s="14"/>
      <c r="K159" s="14"/>
      <c r="L159" s="14"/>
      <c r="M159" s="14"/>
      <c r="N159" s="14"/>
      <c r="O159" s="14"/>
      <c r="P159" s="14"/>
      <c r="Q159" s="14"/>
      <c r="R159" s="14"/>
      <c r="S159" s="14"/>
      <c r="T159" s="14"/>
      <c r="U159" s="14"/>
      <c r="V159" s="14">
        <v>10</v>
      </c>
      <c r="W159" s="14">
        <v>3.3</v>
      </c>
      <c r="X159" s="9"/>
      <c r="Z159" s="14">
        <v>150</v>
      </c>
      <c r="AA159" s="14" t="s">
        <v>2406</v>
      </c>
      <c r="AB159" s="14" t="s">
        <v>18</v>
      </c>
      <c r="AC159" s="14" t="s">
        <v>399</v>
      </c>
      <c r="AD159" s="14">
        <v>1</v>
      </c>
      <c r="AE159" s="14">
        <v>1</v>
      </c>
      <c r="AF159" s="14">
        <v>100</v>
      </c>
      <c r="AG159" s="14">
        <v>0</v>
      </c>
    </row>
    <row r="160" spans="1:33" x14ac:dyDescent="0.3">
      <c r="A160" s="14">
        <v>151</v>
      </c>
      <c r="B160" s="135" t="s">
        <v>325</v>
      </c>
      <c r="C160" s="135" t="s">
        <v>399</v>
      </c>
      <c r="D160" s="135" t="s">
        <v>407</v>
      </c>
      <c r="E160" s="488">
        <v>4</v>
      </c>
      <c r="F160" s="14">
        <v>5</v>
      </c>
      <c r="G160" s="14">
        <v>0</v>
      </c>
      <c r="H160" s="14"/>
      <c r="I160" s="14"/>
      <c r="J160" s="14"/>
      <c r="K160" s="14"/>
      <c r="L160" s="14"/>
      <c r="M160" s="14"/>
      <c r="N160" s="14"/>
      <c r="O160" s="14"/>
      <c r="P160" s="14"/>
      <c r="Q160" s="14"/>
      <c r="R160" s="14"/>
      <c r="S160" s="14"/>
      <c r="T160" s="14"/>
      <c r="U160" s="14"/>
      <c r="V160" s="14">
        <v>9</v>
      </c>
      <c r="W160" s="14">
        <v>4.5</v>
      </c>
      <c r="X160" s="9"/>
      <c r="Z160" s="14">
        <v>151</v>
      </c>
      <c r="AA160" s="14" t="s">
        <v>2407</v>
      </c>
      <c r="AB160" s="14" t="s">
        <v>409</v>
      </c>
      <c r="AC160" s="14" t="s">
        <v>396</v>
      </c>
      <c r="AD160" s="14">
        <v>1</v>
      </c>
      <c r="AE160" s="14">
        <v>1</v>
      </c>
      <c r="AF160" s="14">
        <v>100</v>
      </c>
      <c r="AG160" s="14">
        <v>0</v>
      </c>
    </row>
    <row r="161" spans="1:33" x14ac:dyDescent="0.3">
      <c r="A161" s="14">
        <v>152</v>
      </c>
      <c r="B161" s="135" t="s">
        <v>250</v>
      </c>
      <c r="C161" s="135" t="s">
        <v>396</v>
      </c>
      <c r="D161" s="135" t="s">
        <v>30</v>
      </c>
      <c r="E161" s="488">
        <v>5</v>
      </c>
      <c r="F161" s="14">
        <v>0</v>
      </c>
      <c r="G161" s="14">
        <v>4</v>
      </c>
      <c r="H161" s="14"/>
      <c r="I161" s="14"/>
      <c r="J161" s="14"/>
      <c r="K161" s="14"/>
      <c r="L161" s="14"/>
      <c r="M161" s="14"/>
      <c r="N161" s="14"/>
      <c r="O161" s="14"/>
      <c r="P161" s="14"/>
      <c r="Q161" s="14"/>
      <c r="R161" s="14"/>
      <c r="S161" s="14"/>
      <c r="T161" s="14"/>
      <c r="U161" s="14"/>
      <c r="V161" s="14">
        <v>9</v>
      </c>
      <c r="W161" s="14">
        <v>4.5</v>
      </c>
      <c r="X161" s="9"/>
      <c r="Z161" s="14">
        <v>152</v>
      </c>
      <c r="AA161" s="14" t="s">
        <v>1857</v>
      </c>
      <c r="AB161" s="14" t="s">
        <v>32</v>
      </c>
      <c r="AC161" s="14" t="s">
        <v>396</v>
      </c>
      <c r="AD161" s="14">
        <v>1</v>
      </c>
      <c r="AE161" s="14">
        <v>1</v>
      </c>
      <c r="AF161" s="14">
        <v>100</v>
      </c>
      <c r="AG161" s="14">
        <v>0</v>
      </c>
    </row>
    <row r="162" spans="1:33" x14ac:dyDescent="0.3">
      <c r="A162" s="14">
        <v>153</v>
      </c>
      <c r="B162" s="135" t="s">
        <v>82</v>
      </c>
      <c r="C162" s="135" t="s">
        <v>394</v>
      </c>
      <c r="D162" s="135" t="s">
        <v>4</v>
      </c>
      <c r="E162" s="488">
        <v>2</v>
      </c>
      <c r="F162" s="14">
        <v>6</v>
      </c>
      <c r="G162" s="14">
        <v>1</v>
      </c>
      <c r="H162" s="14"/>
      <c r="I162" s="14"/>
      <c r="J162" s="14"/>
      <c r="K162" s="14"/>
      <c r="L162" s="14"/>
      <c r="M162" s="14"/>
      <c r="N162" s="14"/>
      <c r="O162" s="14"/>
      <c r="P162" s="14"/>
      <c r="Q162" s="14"/>
      <c r="R162" s="14"/>
      <c r="S162" s="14"/>
      <c r="T162" s="14"/>
      <c r="U162" s="14"/>
      <c r="V162" s="14">
        <v>9</v>
      </c>
      <c r="W162" s="14">
        <v>3</v>
      </c>
      <c r="X162" s="9"/>
      <c r="Z162" s="14">
        <v>153</v>
      </c>
      <c r="AA162" s="14" t="s">
        <v>2490</v>
      </c>
      <c r="AB162" s="14" t="s">
        <v>401</v>
      </c>
      <c r="AC162" s="14" t="s">
        <v>396</v>
      </c>
      <c r="AD162" s="14">
        <v>1</v>
      </c>
      <c r="AE162" s="14">
        <v>1</v>
      </c>
      <c r="AF162" s="14">
        <v>100</v>
      </c>
      <c r="AG162" s="14">
        <v>0</v>
      </c>
    </row>
    <row r="163" spans="1:33" x14ac:dyDescent="0.3">
      <c r="A163" s="14">
        <v>154</v>
      </c>
      <c r="B163" s="135" t="s">
        <v>84</v>
      </c>
      <c r="C163" s="135" t="s">
        <v>394</v>
      </c>
      <c r="D163" s="135" t="s">
        <v>50</v>
      </c>
      <c r="E163" s="488">
        <v>4</v>
      </c>
      <c r="F163" s="14">
        <v>0</v>
      </c>
      <c r="G163" s="14">
        <v>5</v>
      </c>
      <c r="H163" s="14"/>
      <c r="I163" s="14"/>
      <c r="J163" s="14"/>
      <c r="K163" s="14"/>
      <c r="L163" s="14"/>
      <c r="M163" s="14"/>
      <c r="N163" s="14"/>
      <c r="O163" s="14"/>
      <c r="P163" s="14"/>
      <c r="Q163" s="14"/>
      <c r="R163" s="14"/>
      <c r="S163" s="14"/>
      <c r="T163" s="14"/>
      <c r="U163" s="14"/>
      <c r="V163" s="14">
        <v>9</v>
      </c>
      <c r="W163" s="14">
        <v>3</v>
      </c>
      <c r="X163" s="9"/>
      <c r="Z163" s="14">
        <v>154</v>
      </c>
      <c r="AA163" s="14" t="s">
        <v>2402</v>
      </c>
      <c r="AB163" s="14" t="s">
        <v>4</v>
      </c>
      <c r="AC163" s="14" t="s">
        <v>396</v>
      </c>
      <c r="AD163" s="14">
        <v>1</v>
      </c>
      <c r="AE163" s="14">
        <v>1</v>
      </c>
      <c r="AF163" s="14">
        <v>100</v>
      </c>
      <c r="AG163" s="14">
        <v>1</v>
      </c>
    </row>
    <row r="164" spans="1:33" x14ac:dyDescent="0.3">
      <c r="A164" s="14">
        <v>155</v>
      </c>
      <c r="B164" s="135" t="s">
        <v>259</v>
      </c>
      <c r="C164" s="135" t="s">
        <v>396</v>
      </c>
      <c r="D164" s="135" t="s">
        <v>39</v>
      </c>
      <c r="E164" s="488">
        <v>3</v>
      </c>
      <c r="F164" s="14">
        <v>1</v>
      </c>
      <c r="G164" s="14">
        <v>5</v>
      </c>
      <c r="H164" s="14"/>
      <c r="I164" s="14"/>
      <c r="J164" s="14"/>
      <c r="K164" s="14"/>
      <c r="L164" s="14"/>
      <c r="M164" s="14"/>
      <c r="N164" s="14"/>
      <c r="O164" s="14"/>
      <c r="P164" s="14"/>
      <c r="Q164" s="14"/>
      <c r="R164" s="14"/>
      <c r="S164" s="14"/>
      <c r="T164" s="14"/>
      <c r="U164" s="14"/>
      <c r="V164" s="14">
        <v>9</v>
      </c>
      <c r="W164" s="14">
        <v>3</v>
      </c>
      <c r="X164" s="9"/>
      <c r="Z164" s="14">
        <v>155</v>
      </c>
      <c r="AA164" s="14" t="s">
        <v>2491</v>
      </c>
      <c r="AB164" s="14" t="s">
        <v>402</v>
      </c>
      <c r="AC164" s="14" t="s">
        <v>396</v>
      </c>
      <c r="AD164" s="14">
        <v>1</v>
      </c>
      <c r="AE164" s="14">
        <v>1</v>
      </c>
      <c r="AF164" s="14">
        <v>100</v>
      </c>
      <c r="AG164" s="14">
        <v>0</v>
      </c>
    </row>
    <row r="165" spans="1:33" x14ac:dyDescent="0.3">
      <c r="A165" s="14">
        <v>156</v>
      </c>
      <c r="B165" s="135" t="s">
        <v>109</v>
      </c>
      <c r="C165" s="135" t="s">
        <v>394</v>
      </c>
      <c r="D165" s="135" t="s">
        <v>46</v>
      </c>
      <c r="E165" s="488">
        <v>4</v>
      </c>
      <c r="F165" s="14">
        <v>2</v>
      </c>
      <c r="G165" s="14">
        <v>3</v>
      </c>
      <c r="H165" s="14"/>
      <c r="I165" s="14"/>
      <c r="J165" s="14"/>
      <c r="K165" s="14"/>
      <c r="L165" s="14"/>
      <c r="M165" s="14"/>
      <c r="N165" s="14"/>
      <c r="O165" s="14"/>
      <c r="P165" s="14"/>
      <c r="Q165" s="14"/>
      <c r="R165" s="14"/>
      <c r="S165" s="14"/>
      <c r="T165" s="14"/>
      <c r="U165" s="14"/>
      <c r="V165" s="14">
        <v>9</v>
      </c>
      <c r="W165" s="14">
        <v>3</v>
      </c>
      <c r="X165" s="9"/>
      <c r="Z165" s="14">
        <v>156</v>
      </c>
      <c r="AA165" s="14" t="s">
        <v>2492</v>
      </c>
      <c r="AB165" s="14" t="s">
        <v>7</v>
      </c>
      <c r="AC165" s="14" t="s">
        <v>394</v>
      </c>
      <c r="AD165" s="14">
        <v>1</v>
      </c>
      <c r="AE165" s="14">
        <v>1</v>
      </c>
      <c r="AF165" s="14">
        <v>100</v>
      </c>
      <c r="AG165" s="14">
        <v>0</v>
      </c>
    </row>
    <row r="166" spans="1:33" x14ac:dyDescent="0.3">
      <c r="A166" s="14">
        <v>157</v>
      </c>
      <c r="B166" s="135" t="s">
        <v>498</v>
      </c>
      <c r="C166" s="135" t="s">
        <v>396</v>
      </c>
      <c r="D166" s="135" t="s">
        <v>402</v>
      </c>
      <c r="E166" s="488">
        <v>5</v>
      </c>
      <c r="F166" s="14">
        <v>2</v>
      </c>
      <c r="G166" s="14">
        <v>2</v>
      </c>
      <c r="H166" s="14"/>
      <c r="I166" s="14"/>
      <c r="J166" s="14"/>
      <c r="K166" s="14"/>
      <c r="L166" s="14"/>
      <c r="M166" s="14"/>
      <c r="N166" s="14"/>
      <c r="O166" s="14"/>
      <c r="P166" s="14"/>
      <c r="Q166" s="14"/>
      <c r="R166" s="14"/>
      <c r="S166" s="14"/>
      <c r="T166" s="14"/>
      <c r="U166" s="14"/>
      <c r="V166" s="14">
        <v>9</v>
      </c>
      <c r="W166" s="14">
        <v>3</v>
      </c>
      <c r="X166" s="9"/>
      <c r="Z166" s="14">
        <v>157</v>
      </c>
      <c r="AA166" s="14" t="s">
        <v>2493</v>
      </c>
      <c r="AB166" s="14" t="s">
        <v>401</v>
      </c>
      <c r="AC166" s="14" t="s">
        <v>396</v>
      </c>
      <c r="AD166" s="14">
        <v>1</v>
      </c>
      <c r="AE166" s="14">
        <v>1</v>
      </c>
      <c r="AF166" s="14">
        <v>100</v>
      </c>
      <c r="AG166" s="14">
        <v>0</v>
      </c>
    </row>
    <row r="167" spans="1:33" x14ac:dyDescent="0.3">
      <c r="A167" s="14">
        <v>158</v>
      </c>
      <c r="B167" s="135" t="s">
        <v>107</v>
      </c>
      <c r="C167" s="135" t="s">
        <v>394</v>
      </c>
      <c r="D167" s="135" t="s">
        <v>407</v>
      </c>
      <c r="E167" s="488">
        <v>7</v>
      </c>
      <c r="F167" s="14">
        <v>1</v>
      </c>
      <c r="G167" s="14">
        <v>0</v>
      </c>
      <c r="H167" s="14"/>
      <c r="I167" s="14"/>
      <c r="J167" s="14"/>
      <c r="K167" s="14"/>
      <c r="L167" s="14"/>
      <c r="M167" s="14"/>
      <c r="N167" s="14"/>
      <c r="O167" s="14"/>
      <c r="P167" s="14"/>
      <c r="Q167" s="14"/>
      <c r="R167" s="14"/>
      <c r="S167" s="14"/>
      <c r="T167" s="14"/>
      <c r="U167" s="14"/>
      <c r="V167" s="14">
        <v>8</v>
      </c>
      <c r="W167" s="14">
        <v>4</v>
      </c>
      <c r="X167" s="9"/>
      <c r="Z167" s="14">
        <v>158</v>
      </c>
      <c r="AA167" s="14" t="s">
        <v>2494</v>
      </c>
      <c r="AB167" s="14" t="s">
        <v>395</v>
      </c>
      <c r="AC167" s="14" t="s">
        <v>399</v>
      </c>
      <c r="AD167" s="14">
        <v>1</v>
      </c>
      <c r="AE167" s="14">
        <v>1</v>
      </c>
      <c r="AF167" s="14">
        <v>100</v>
      </c>
      <c r="AG167" s="14">
        <v>1</v>
      </c>
    </row>
    <row r="168" spans="1:33" x14ac:dyDescent="0.3">
      <c r="A168" s="14">
        <v>159</v>
      </c>
      <c r="B168" s="135" t="s">
        <v>361</v>
      </c>
      <c r="C168" s="135" t="s">
        <v>399</v>
      </c>
      <c r="D168" s="135" t="s">
        <v>561</v>
      </c>
      <c r="E168" s="488">
        <v>2</v>
      </c>
      <c r="F168" s="14">
        <v>3</v>
      </c>
      <c r="G168" s="14">
        <v>3</v>
      </c>
      <c r="H168" s="14"/>
      <c r="I168" s="14"/>
      <c r="J168" s="14"/>
      <c r="K168" s="14"/>
      <c r="L168" s="14"/>
      <c r="M168" s="14"/>
      <c r="N168" s="14"/>
      <c r="O168" s="14"/>
      <c r="P168" s="14"/>
      <c r="Q168" s="14"/>
      <c r="R168" s="14"/>
      <c r="S168" s="14"/>
      <c r="T168" s="14"/>
      <c r="U168" s="14"/>
      <c r="V168" s="14">
        <v>8</v>
      </c>
      <c r="W168" s="14">
        <v>2.7</v>
      </c>
      <c r="X168" s="9"/>
      <c r="Z168" s="14">
        <v>159</v>
      </c>
      <c r="AA168" s="14" t="s">
        <v>1828</v>
      </c>
      <c r="AB168" s="14" t="s">
        <v>398</v>
      </c>
      <c r="AC168" s="14" t="s">
        <v>399</v>
      </c>
      <c r="AD168" s="14">
        <v>1</v>
      </c>
      <c r="AE168" s="14">
        <v>1</v>
      </c>
      <c r="AF168" s="14">
        <v>100</v>
      </c>
      <c r="AG168" s="14">
        <v>1</v>
      </c>
    </row>
    <row r="169" spans="1:33" x14ac:dyDescent="0.3">
      <c r="A169" s="14">
        <v>160</v>
      </c>
      <c r="B169" s="135" t="s">
        <v>366</v>
      </c>
      <c r="C169" s="135" t="s">
        <v>399</v>
      </c>
      <c r="D169" s="135" t="s">
        <v>70</v>
      </c>
      <c r="E169" s="488">
        <v>5</v>
      </c>
      <c r="F169" s="14">
        <v>3</v>
      </c>
      <c r="G169" s="14">
        <v>0</v>
      </c>
      <c r="H169" s="14"/>
      <c r="I169" s="14"/>
      <c r="J169" s="14"/>
      <c r="K169" s="14"/>
      <c r="L169" s="14"/>
      <c r="M169" s="14"/>
      <c r="N169" s="14"/>
      <c r="O169" s="14"/>
      <c r="P169" s="14"/>
      <c r="Q169" s="14"/>
      <c r="R169" s="14"/>
      <c r="S169" s="14"/>
      <c r="T169" s="14"/>
      <c r="U169" s="14"/>
      <c r="V169" s="14">
        <v>8</v>
      </c>
      <c r="W169" s="14">
        <v>4</v>
      </c>
      <c r="X169" s="9"/>
      <c r="Z169" s="14">
        <v>160</v>
      </c>
      <c r="AA169" s="14" t="s">
        <v>2409</v>
      </c>
      <c r="AB169" s="14" t="s">
        <v>12</v>
      </c>
      <c r="AC169" s="14" t="s">
        <v>399</v>
      </c>
      <c r="AD169" s="14">
        <v>1</v>
      </c>
      <c r="AE169" s="14">
        <v>1</v>
      </c>
      <c r="AF169" s="14">
        <v>100</v>
      </c>
      <c r="AG169" s="14">
        <v>1</v>
      </c>
    </row>
    <row r="170" spans="1:33" x14ac:dyDescent="0.3">
      <c r="A170" s="14">
        <v>161</v>
      </c>
      <c r="B170" s="135" t="s">
        <v>301</v>
      </c>
      <c r="C170" s="135" t="s">
        <v>396</v>
      </c>
      <c r="D170" s="135" t="s">
        <v>409</v>
      </c>
      <c r="E170" s="488">
        <v>5</v>
      </c>
      <c r="F170" s="14">
        <v>1</v>
      </c>
      <c r="G170" s="14">
        <v>2</v>
      </c>
      <c r="H170" s="14"/>
      <c r="I170" s="14"/>
      <c r="J170" s="14"/>
      <c r="K170" s="14"/>
      <c r="L170" s="14"/>
      <c r="M170" s="14"/>
      <c r="N170" s="14"/>
      <c r="O170" s="14"/>
      <c r="P170" s="14"/>
      <c r="Q170" s="14"/>
      <c r="R170" s="14"/>
      <c r="S170" s="14"/>
      <c r="T170" s="14"/>
      <c r="U170" s="14"/>
      <c r="V170" s="14">
        <v>8</v>
      </c>
      <c r="W170" s="14">
        <v>2.7</v>
      </c>
      <c r="X170" s="9"/>
      <c r="Z170" s="14">
        <v>161</v>
      </c>
      <c r="AA170" s="128" t="s">
        <v>2495</v>
      </c>
      <c r="AB170" s="14" t="s">
        <v>10</v>
      </c>
      <c r="AC170" s="14" t="s">
        <v>396</v>
      </c>
      <c r="AD170" s="14">
        <v>1</v>
      </c>
      <c r="AE170" s="14">
        <v>1</v>
      </c>
      <c r="AF170" s="14">
        <v>100</v>
      </c>
      <c r="AG170" s="14">
        <v>0</v>
      </c>
    </row>
    <row r="171" spans="1:33" x14ac:dyDescent="0.3">
      <c r="A171" s="14">
        <v>162</v>
      </c>
      <c r="B171" s="135" t="s">
        <v>230</v>
      </c>
      <c r="C171" s="135" t="s">
        <v>396</v>
      </c>
      <c r="D171" s="135" t="s">
        <v>52</v>
      </c>
      <c r="E171" s="488">
        <v>4</v>
      </c>
      <c r="F171" s="14">
        <v>0</v>
      </c>
      <c r="G171" s="14">
        <v>4</v>
      </c>
      <c r="H171" s="14"/>
      <c r="I171" s="14"/>
      <c r="J171" s="14"/>
      <c r="K171" s="14"/>
      <c r="L171" s="14"/>
      <c r="M171" s="14"/>
      <c r="N171" s="14"/>
      <c r="O171" s="14"/>
      <c r="P171" s="14"/>
      <c r="Q171" s="14"/>
      <c r="R171" s="14"/>
      <c r="S171" s="14"/>
      <c r="T171" s="14"/>
      <c r="U171" s="14"/>
      <c r="V171" s="14">
        <v>8</v>
      </c>
      <c r="W171" s="14">
        <v>4</v>
      </c>
      <c r="X171" s="9"/>
      <c r="Z171" s="14">
        <v>162</v>
      </c>
      <c r="AA171" s="128" t="s">
        <v>1852</v>
      </c>
      <c r="AB171" s="14" t="s">
        <v>30</v>
      </c>
      <c r="AC171" s="14" t="s">
        <v>396</v>
      </c>
      <c r="AD171" s="14">
        <v>1</v>
      </c>
      <c r="AE171" s="14">
        <v>1</v>
      </c>
      <c r="AF171" s="14">
        <v>100</v>
      </c>
      <c r="AG171" s="14">
        <v>0</v>
      </c>
    </row>
    <row r="172" spans="1:33" x14ac:dyDescent="0.3">
      <c r="A172" s="14">
        <v>163</v>
      </c>
      <c r="B172" s="135" t="s">
        <v>141</v>
      </c>
      <c r="C172" s="135" t="s">
        <v>394</v>
      </c>
      <c r="D172" s="135" t="s">
        <v>18</v>
      </c>
      <c r="E172" s="488">
        <v>2</v>
      </c>
      <c r="F172" s="14">
        <v>4</v>
      </c>
      <c r="G172" s="14">
        <v>2</v>
      </c>
      <c r="H172" s="14"/>
      <c r="I172" s="14"/>
      <c r="J172" s="14"/>
      <c r="K172" s="14"/>
      <c r="L172" s="14"/>
      <c r="M172" s="14"/>
      <c r="N172" s="14"/>
      <c r="O172" s="14"/>
      <c r="P172" s="14"/>
      <c r="Q172" s="14"/>
      <c r="R172" s="14"/>
      <c r="S172" s="14"/>
      <c r="T172" s="14"/>
      <c r="U172" s="14"/>
      <c r="V172" s="14">
        <v>8</v>
      </c>
      <c r="W172" s="14">
        <v>2.7</v>
      </c>
      <c r="X172" s="9"/>
      <c r="Z172" s="14">
        <v>163</v>
      </c>
      <c r="AA172" s="128" t="s">
        <v>2421</v>
      </c>
      <c r="AB172" s="14" t="s">
        <v>7</v>
      </c>
      <c r="AC172" s="14" t="s">
        <v>1516</v>
      </c>
      <c r="AD172" s="14">
        <v>0</v>
      </c>
      <c r="AE172" s="14">
        <v>1</v>
      </c>
      <c r="AF172" s="14">
        <v>0</v>
      </c>
      <c r="AG172" s="14">
        <v>0</v>
      </c>
    </row>
    <row r="173" spans="1:33" x14ac:dyDescent="0.3">
      <c r="A173" s="14">
        <v>164</v>
      </c>
      <c r="B173" s="135" t="s">
        <v>351</v>
      </c>
      <c r="C173" s="135" t="s">
        <v>399</v>
      </c>
      <c r="D173" s="135" t="s">
        <v>7</v>
      </c>
      <c r="E173" s="488">
        <v>4</v>
      </c>
      <c r="F173" s="14">
        <v>1</v>
      </c>
      <c r="G173" s="14">
        <v>3</v>
      </c>
      <c r="H173" s="14"/>
      <c r="I173" s="14"/>
      <c r="J173" s="14"/>
      <c r="K173" s="14"/>
      <c r="L173" s="14"/>
      <c r="M173" s="14"/>
      <c r="N173" s="14"/>
      <c r="O173" s="14"/>
      <c r="P173" s="14"/>
      <c r="Q173" s="14"/>
      <c r="R173" s="14"/>
      <c r="S173" s="14"/>
      <c r="T173" s="14"/>
      <c r="U173" s="14"/>
      <c r="V173" s="14">
        <v>8</v>
      </c>
      <c r="W173" s="14">
        <v>2.7</v>
      </c>
      <c r="X173" s="9"/>
      <c r="Z173" s="14">
        <v>164</v>
      </c>
      <c r="AA173" s="128" t="s">
        <v>2422</v>
      </c>
      <c r="AB173" s="14" t="s">
        <v>22</v>
      </c>
      <c r="AC173" s="14" t="s">
        <v>396</v>
      </c>
      <c r="AD173" s="14">
        <v>0</v>
      </c>
      <c r="AE173" s="14">
        <v>1</v>
      </c>
      <c r="AF173" s="14">
        <v>0</v>
      </c>
      <c r="AG173" s="14">
        <v>0</v>
      </c>
    </row>
    <row r="174" spans="1:33" x14ac:dyDescent="0.3">
      <c r="A174" s="14">
        <v>165</v>
      </c>
      <c r="B174" s="135" t="s">
        <v>267</v>
      </c>
      <c r="C174" s="135" t="s">
        <v>396</v>
      </c>
      <c r="D174" s="135" t="s">
        <v>7</v>
      </c>
      <c r="E174" s="488">
        <v>2</v>
      </c>
      <c r="F174" s="14">
        <v>6</v>
      </c>
      <c r="G174" s="14">
        <v>0</v>
      </c>
      <c r="H174" s="14"/>
      <c r="I174" s="14"/>
      <c r="J174" s="14"/>
      <c r="K174" s="14"/>
      <c r="L174" s="14"/>
      <c r="M174" s="14"/>
      <c r="N174" s="14"/>
      <c r="O174" s="14"/>
      <c r="P174" s="14"/>
      <c r="Q174" s="14"/>
      <c r="R174" s="14"/>
      <c r="S174" s="14"/>
      <c r="T174" s="14"/>
      <c r="U174" s="14"/>
      <c r="V174" s="14">
        <v>8</v>
      </c>
      <c r="W174" s="14">
        <v>2.7</v>
      </c>
      <c r="X174" s="9"/>
      <c r="Z174" s="14">
        <v>165</v>
      </c>
      <c r="AA174" s="128" t="s">
        <v>2419</v>
      </c>
      <c r="AB174" s="14" t="s">
        <v>57</v>
      </c>
      <c r="AC174" s="14" t="s">
        <v>396</v>
      </c>
      <c r="AD174" s="14">
        <v>0</v>
      </c>
      <c r="AE174" s="14">
        <v>1</v>
      </c>
      <c r="AF174" s="14">
        <v>0</v>
      </c>
      <c r="AG174" s="14">
        <v>0</v>
      </c>
    </row>
    <row r="175" spans="1:33" x14ac:dyDescent="0.3">
      <c r="A175" s="14">
        <v>166</v>
      </c>
      <c r="B175" s="135" t="s">
        <v>327</v>
      </c>
      <c r="C175" s="135" t="s">
        <v>399</v>
      </c>
      <c r="D175" s="135" t="s">
        <v>395</v>
      </c>
      <c r="E175" s="488">
        <v>3</v>
      </c>
      <c r="F175" s="14">
        <v>2</v>
      </c>
      <c r="G175" s="14">
        <v>3</v>
      </c>
      <c r="H175" s="14"/>
      <c r="I175" s="14"/>
      <c r="J175" s="14"/>
      <c r="K175" s="14"/>
      <c r="L175" s="14"/>
      <c r="M175" s="14"/>
      <c r="N175" s="14"/>
      <c r="O175" s="14"/>
      <c r="P175" s="14"/>
      <c r="Q175" s="14"/>
      <c r="R175" s="14"/>
      <c r="S175" s="14"/>
      <c r="T175" s="14"/>
      <c r="U175" s="14"/>
      <c r="V175" s="14">
        <v>8</v>
      </c>
      <c r="W175" s="14">
        <v>2.7</v>
      </c>
      <c r="X175" s="9"/>
      <c r="Z175" s="14">
        <v>166</v>
      </c>
      <c r="AA175" s="128" t="s">
        <v>1886</v>
      </c>
      <c r="AB175" s="14" t="s">
        <v>397</v>
      </c>
      <c r="AC175" s="14" t="s">
        <v>405</v>
      </c>
      <c r="AD175" s="14">
        <v>0</v>
      </c>
      <c r="AE175" s="14">
        <v>1</v>
      </c>
      <c r="AF175" s="14">
        <v>0</v>
      </c>
      <c r="AG175" s="14">
        <v>0</v>
      </c>
    </row>
    <row r="176" spans="1:33" x14ac:dyDescent="0.3">
      <c r="A176" s="14">
        <v>167</v>
      </c>
      <c r="B176" s="135" t="s">
        <v>248</v>
      </c>
      <c r="C176" s="135" t="s">
        <v>396</v>
      </c>
      <c r="D176" s="135" t="s">
        <v>397</v>
      </c>
      <c r="E176" s="488">
        <v>5</v>
      </c>
      <c r="F176" s="14">
        <v>3</v>
      </c>
      <c r="G176" s="14">
        <v>0</v>
      </c>
      <c r="H176" s="14"/>
      <c r="I176" s="14"/>
      <c r="J176" s="14"/>
      <c r="K176" s="14"/>
      <c r="L176" s="14"/>
      <c r="M176" s="14"/>
      <c r="N176" s="14"/>
      <c r="O176" s="14"/>
      <c r="P176" s="14"/>
      <c r="Q176" s="14"/>
      <c r="R176" s="14"/>
      <c r="S176" s="14"/>
      <c r="T176" s="14"/>
      <c r="U176" s="14"/>
      <c r="V176" s="14">
        <v>8</v>
      </c>
      <c r="W176" s="14">
        <v>4</v>
      </c>
      <c r="X176" s="9"/>
      <c r="Z176" s="14">
        <v>167</v>
      </c>
      <c r="AA176" s="128" t="s">
        <v>2496</v>
      </c>
      <c r="AB176" s="14" t="s">
        <v>70</v>
      </c>
      <c r="AC176" s="14" t="s">
        <v>396</v>
      </c>
      <c r="AD176" s="14">
        <v>0</v>
      </c>
      <c r="AE176" s="14">
        <v>1</v>
      </c>
      <c r="AF176" s="14">
        <v>0</v>
      </c>
      <c r="AG176" s="14">
        <v>0</v>
      </c>
    </row>
    <row r="177" spans="1:33" x14ac:dyDescent="0.3">
      <c r="A177" s="14">
        <v>168</v>
      </c>
      <c r="B177" s="135" t="s">
        <v>464</v>
      </c>
      <c r="C177" s="135" t="s">
        <v>394</v>
      </c>
      <c r="D177" s="135" t="s">
        <v>46</v>
      </c>
      <c r="E177" s="488">
        <v>0</v>
      </c>
      <c r="F177" s="14">
        <v>2</v>
      </c>
      <c r="G177" s="14">
        <v>6</v>
      </c>
      <c r="H177" s="14"/>
      <c r="I177" s="14"/>
      <c r="J177" s="14"/>
      <c r="K177" s="14"/>
      <c r="L177" s="14"/>
      <c r="M177" s="14"/>
      <c r="N177" s="14"/>
      <c r="O177" s="14"/>
      <c r="P177" s="14"/>
      <c r="Q177" s="14"/>
      <c r="R177" s="14"/>
      <c r="S177" s="14"/>
      <c r="T177" s="14"/>
      <c r="U177" s="14"/>
      <c r="V177" s="14">
        <v>8</v>
      </c>
      <c r="W177" s="14">
        <v>4</v>
      </c>
      <c r="X177" s="9"/>
      <c r="Z177" s="14">
        <v>168</v>
      </c>
      <c r="AA177" s="128" t="s">
        <v>2497</v>
      </c>
      <c r="AB177" s="14" t="s">
        <v>14</v>
      </c>
      <c r="AC177" s="14" t="s">
        <v>399</v>
      </c>
      <c r="AD177" s="14">
        <v>0</v>
      </c>
      <c r="AE177" s="14">
        <v>1</v>
      </c>
      <c r="AF177" s="14">
        <v>0</v>
      </c>
      <c r="AG177" s="14">
        <v>0</v>
      </c>
    </row>
    <row r="178" spans="1:33" x14ac:dyDescent="0.3">
      <c r="A178" s="14">
        <v>169</v>
      </c>
      <c r="B178" s="135" t="s">
        <v>523</v>
      </c>
      <c r="C178" s="135" t="s">
        <v>396</v>
      </c>
      <c r="D178" s="135" t="s">
        <v>34</v>
      </c>
      <c r="E178" s="488">
        <v>0</v>
      </c>
      <c r="F178" s="14">
        <v>4</v>
      </c>
      <c r="G178" s="14">
        <v>4</v>
      </c>
      <c r="H178" s="14"/>
      <c r="I178" s="14"/>
      <c r="J178" s="14"/>
      <c r="K178" s="14"/>
      <c r="L178" s="14"/>
      <c r="M178" s="14"/>
      <c r="N178" s="14"/>
      <c r="O178" s="14"/>
      <c r="P178" s="14"/>
      <c r="Q178" s="14"/>
      <c r="R178" s="14"/>
      <c r="S178" s="14"/>
      <c r="T178" s="14"/>
      <c r="U178" s="14"/>
      <c r="V178" s="14">
        <v>8</v>
      </c>
      <c r="W178" s="14">
        <v>2.7</v>
      </c>
      <c r="X178" s="9"/>
      <c r="Z178" s="14">
        <v>169</v>
      </c>
      <c r="AA178" s="128" t="s">
        <v>1891</v>
      </c>
      <c r="AB178" s="14" t="s">
        <v>30</v>
      </c>
      <c r="AC178" s="14" t="s">
        <v>399</v>
      </c>
      <c r="AD178" s="14">
        <v>0</v>
      </c>
      <c r="AE178" s="14">
        <v>1</v>
      </c>
      <c r="AF178" s="14">
        <v>0</v>
      </c>
      <c r="AG178" s="14">
        <v>0</v>
      </c>
    </row>
    <row r="179" spans="1:33" x14ac:dyDescent="0.3">
      <c r="A179" s="14">
        <v>170</v>
      </c>
      <c r="B179" s="135" t="s">
        <v>286</v>
      </c>
      <c r="C179" s="135" t="s">
        <v>396</v>
      </c>
      <c r="D179" s="135" t="s">
        <v>70</v>
      </c>
      <c r="E179" s="488">
        <v>1</v>
      </c>
      <c r="F179" s="14">
        <v>4</v>
      </c>
      <c r="G179" s="14">
        <v>2</v>
      </c>
      <c r="H179" s="14"/>
      <c r="I179" s="14"/>
      <c r="J179" s="14"/>
      <c r="K179" s="14"/>
      <c r="L179" s="14"/>
      <c r="M179" s="14"/>
      <c r="N179" s="14"/>
      <c r="O179" s="14"/>
      <c r="P179" s="14"/>
      <c r="Q179" s="14"/>
      <c r="R179" s="14"/>
      <c r="S179" s="14"/>
      <c r="T179" s="14"/>
      <c r="U179" s="14"/>
      <c r="V179" s="14">
        <v>7</v>
      </c>
      <c r="W179" s="14">
        <v>2.2999999999999998</v>
      </c>
      <c r="X179" s="9"/>
      <c r="Z179" s="14">
        <v>170</v>
      </c>
      <c r="AA179" s="128" t="s">
        <v>1881</v>
      </c>
      <c r="AB179" s="14" t="s">
        <v>4</v>
      </c>
      <c r="AC179" s="14" t="s">
        <v>399</v>
      </c>
      <c r="AD179" s="14">
        <v>0</v>
      </c>
      <c r="AE179" s="14">
        <v>1</v>
      </c>
      <c r="AF179" s="14">
        <v>0</v>
      </c>
      <c r="AG179" s="14">
        <v>0</v>
      </c>
    </row>
    <row r="180" spans="1:33" x14ac:dyDescent="0.3">
      <c r="A180" s="14">
        <v>171</v>
      </c>
      <c r="B180" s="135" t="s">
        <v>142</v>
      </c>
      <c r="C180" s="135" t="s">
        <v>394</v>
      </c>
      <c r="D180" s="135" t="s">
        <v>43</v>
      </c>
      <c r="E180" s="488">
        <v>0</v>
      </c>
      <c r="F180" s="14">
        <v>3</v>
      </c>
      <c r="G180" s="14">
        <v>4</v>
      </c>
      <c r="H180" s="14"/>
      <c r="I180" s="14"/>
      <c r="J180" s="14"/>
      <c r="K180" s="14"/>
      <c r="L180" s="14"/>
      <c r="M180" s="14"/>
      <c r="N180" s="14"/>
      <c r="O180" s="14"/>
      <c r="P180" s="14"/>
      <c r="Q180" s="14"/>
      <c r="R180" s="14"/>
      <c r="S180" s="14"/>
      <c r="T180" s="14"/>
      <c r="U180" s="14"/>
      <c r="V180" s="14">
        <v>7</v>
      </c>
      <c r="W180" s="14">
        <v>2.2999999999999998</v>
      </c>
      <c r="X180" s="9"/>
      <c r="Z180" s="14">
        <v>171</v>
      </c>
      <c r="AA180" s="128" t="s">
        <v>2498</v>
      </c>
      <c r="AB180" s="14" t="s">
        <v>20</v>
      </c>
      <c r="AC180" s="14" t="s">
        <v>396</v>
      </c>
      <c r="AD180" s="14">
        <v>0</v>
      </c>
      <c r="AE180" s="14">
        <v>1</v>
      </c>
      <c r="AF180" s="14">
        <v>0</v>
      </c>
      <c r="AG180" s="14">
        <v>0</v>
      </c>
    </row>
    <row r="181" spans="1:33" x14ac:dyDescent="0.3">
      <c r="A181" s="14">
        <v>172</v>
      </c>
      <c r="B181" s="135" t="s">
        <v>200</v>
      </c>
      <c r="C181" s="135" t="s">
        <v>396</v>
      </c>
      <c r="D181" s="135" t="s">
        <v>407</v>
      </c>
      <c r="E181" s="488">
        <v>7</v>
      </c>
      <c r="F181" s="14">
        <v>0</v>
      </c>
      <c r="G181" s="14">
        <v>0</v>
      </c>
      <c r="H181" s="247"/>
      <c r="I181" s="14"/>
      <c r="J181" s="14"/>
      <c r="K181" s="14"/>
      <c r="L181" s="14"/>
      <c r="M181" s="14"/>
      <c r="N181" s="14"/>
      <c r="O181" s="14"/>
      <c r="P181" s="14"/>
      <c r="Q181" s="14"/>
      <c r="R181" s="14"/>
      <c r="S181" s="14"/>
      <c r="T181" s="14"/>
      <c r="U181" s="14"/>
      <c r="V181" s="14">
        <v>7</v>
      </c>
      <c r="W181" s="14">
        <v>7</v>
      </c>
      <c r="X181" s="9"/>
      <c r="Z181" s="14">
        <v>172</v>
      </c>
      <c r="AA181" s="128" t="s">
        <v>1873</v>
      </c>
      <c r="AB181" s="14" t="s">
        <v>18</v>
      </c>
      <c r="AC181" s="14" t="s">
        <v>396</v>
      </c>
      <c r="AD181" s="14">
        <v>0</v>
      </c>
      <c r="AE181" s="14">
        <v>1</v>
      </c>
      <c r="AF181" s="14">
        <v>0</v>
      </c>
      <c r="AG181" s="14">
        <v>0</v>
      </c>
    </row>
    <row r="182" spans="1:33" x14ac:dyDescent="0.3">
      <c r="A182" s="14">
        <v>173</v>
      </c>
      <c r="B182" s="135" t="s">
        <v>232</v>
      </c>
      <c r="C182" s="135" t="s">
        <v>399</v>
      </c>
      <c r="D182" s="135" t="s">
        <v>39</v>
      </c>
      <c r="E182" s="488">
        <v>7</v>
      </c>
      <c r="F182" s="14">
        <v>0</v>
      </c>
      <c r="G182" s="14">
        <v>0</v>
      </c>
      <c r="H182" s="14"/>
      <c r="I182" s="14"/>
      <c r="J182" s="14"/>
      <c r="K182" s="14"/>
      <c r="L182" s="14"/>
      <c r="M182" s="14"/>
      <c r="N182" s="14"/>
      <c r="O182" s="14"/>
      <c r="P182" s="14"/>
      <c r="Q182" s="14"/>
      <c r="R182" s="14"/>
      <c r="S182" s="14"/>
      <c r="T182" s="14"/>
      <c r="U182" s="14"/>
      <c r="V182" s="14">
        <v>7</v>
      </c>
      <c r="W182" s="14">
        <v>7</v>
      </c>
      <c r="X182" s="9"/>
      <c r="Z182" s="14">
        <v>173</v>
      </c>
      <c r="AA182" s="128" t="s">
        <v>2418</v>
      </c>
      <c r="AB182" s="14" t="s">
        <v>16</v>
      </c>
      <c r="AC182" s="14" t="s">
        <v>394</v>
      </c>
      <c r="AD182" s="14">
        <v>0</v>
      </c>
      <c r="AE182" s="14">
        <v>1</v>
      </c>
      <c r="AF182" s="14">
        <v>0</v>
      </c>
      <c r="AG182" s="14">
        <v>0</v>
      </c>
    </row>
    <row r="183" spans="1:33" x14ac:dyDescent="0.3">
      <c r="A183" s="14">
        <v>174</v>
      </c>
      <c r="B183" s="135" t="s">
        <v>338</v>
      </c>
      <c r="C183" s="135" t="s">
        <v>399</v>
      </c>
      <c r="D183" s="135" t="s">
        <v>398</v>
      </c>
      <c r="E183" s="488">
        <v>3</v>
      </c>
      <c r="F183" s="14">
        <v>2</v>
      </c>
      <c r="G183" s="14">
        <v>2</v>
      </c>
      <c r="H183" s="14"/>
      <c r="I183" s="14"/>
      <c r="J183" s="14"/>
      <c r="K183" s="14"/>
      <c r="L183" s="14"/>
      <c r="M183" s="14"/>
      <c r="N183" s="14"/>
      <c r="O183" s="14"/>
      <c r="P183" s="14"/>
      <c r="Q183" s="14"/>
      <c r="R183" s="14"/>
      <c r="S183" s="14"/>
      <c r="T183" s="14"/>
      <c r="U183" s="14"/>
      <c r="V183" s="14">
        <v>7</v>
      </c>
      <c r="W183" s="14">
        <v>2.2999999999999998</v>
      </c>
      <c r="X183" s="9"/>
      <c r="Z183" s="14">
        <v>174</v>
      </c>
      <c r="AA183" s="128" t="s">
        <v>2416</v>
      </c>
      <c r="AB183" s="14" t="s">
        <v>402</v>
      </c>
      <c r="AC183" s="14" t="s">
        <v>394</v>
      </c>
      <c r="AD183" s="14">
        <v>0</v>
      </c>
      <c r="AE183" s="14">
        <v>1</v>
      </c>
      <c r="AF183" s="14">
        <v>0</v>
      </c>
      <c r="AG183" s="14">
        <v>0</v>
      </c>
    </row>
    <row r="184" spans="1:33" x14ac:dyDescent="0.3">
      <c r="A184" s="14">
        <v>175</v>
      </c>
      <c r="B184" s="135" t="s">
        <v>374</v>
      </c>
      <c r="C184" s="135" t="s">
        <v>399</v>
      </c>
      <c r="D184" s="135" t="s">
        <v>397</v>
      </c>
      <c r="E184" s="488">
        <v>3</v>
      </c>
      <c r="F184" s="14">
        <v>1</v>
      </c>
      <c r="G184" s="14">
        <v>3</v>
      </c>
      <c r="H184" s="14"/>
      <c r="I184" s="14"/>
      <c r="J184" s="14"/>
      <c r="K184" s="14"/>
      <c r="L184" s="14"/>
      <c r="M184" s="14"/>
      <c r="N184" s="14"/>
      <c r="O184" s="14"/>
      <c r="P184" s="14"/>
      <c r="Q184" s="14"/>
      <c r="R184" s="14"/>
      <c r="S184" s="14"/>
      <c r="T184" s="14"/>
      <c r="U184" s="14"/>
      <c r="V184" s="14">
        <v>7</v>
      </c>
      <c r="W184" s="14">
        <v>2.2999999999999998</v>
      </c>
      <c r="X184" s="9"/>
      <c r="Z184" s="14">
        <v>175</v>
      </c>
      <c r="AA184" s="128" t="s">
        <v>2499</v>
      </c>
      <c r="AB184" s="14" t="s">
        <v>397</v>
      </c>
      <c r="AC184" s="14" t="s">
        <v>399</v>
      </c>
      <c r="AD184" s="14">
        <v>0</v>
      </c>
      <c r="AE184" s="14">
        <v>1</v>
      </c>
      <c r="AF184" s="14">
        <v>0</v>
      </c>
      <c r="AG184" s="14">
        <v>0</v>
      </c>
    </row>
    <row r="185" spans="1:33" x14ac:dyDescent="0.3">
      <c r="A185" s="14">
        <v>176</v>
      </c>
      <c r="B185" s="135" t="s">
        <v>104</v>
      </c>
      <c r="C185" s="135" t="s">
        <v>394</v>
      </c>
      <c r="D185" s="135" t="s">
        <v>398</v>
      </c>
      <c r="E185" s="488">
        <v>3</v>
      </c>
      <c r="F185" s="14">
        <v>3</v>
      </c>
      <c r="G185" s="14">
        <v>1</v>
      </c>
      <c r="H185" s="14"/>
      <c r="I185" s="14"/>
      <c r="J185" s="14"/>
      <c r="K185" s="14"/>
      <c r="L185" s="14"/>
      <c r="M185" s="14"/>
      <c r="N185" s="14"/>
      <c r="O185" s="14"/>
      <c r="P185" s="14"/>
      <c r="Q185" s="14"/>
      <c r="R185" s="14"/>
      <c r="S185" s="14"/>
      <c r="T185" s="14"/>
      <c r="U185" s="14"/>
      <c r="V185" s="14">
        <v>7</v>
      </c>
      <c r="W185" s="14">
        <v>2.2999999999999998</v>
      </c>
      <c r="X185" s="9"/>
      <c r="Z185" s="14">
        <v>176</v>
      </c>
      <c r="AA185" s="128" t="s">
        <v>1872</v>
      </c>
      <c r="AB185" s="14" t="s">
        <v>407</v>
      </c>
      <c r="AC185" s="14" t="s">
        <v>396</v>
      </c>
      <c r="AD185" s="14">
        <v>0</v>
      </c>
      <c r="AE185" s="14">
        <v>1</v>
      </c>
      <c r="AF185" s="14">
        <v>0</v>
      </c>
      <c r="AG185" s="14">
        <v>0</v>
      </c>
    </row>
    <row r="186" spans="1:33" x14ac:dyDescent="0.3">
      <c r="A186" s="14">
        <v>177</v>
      </c>
      <c r="B186" s="135" t="s">
        <v>342</v>
      </c>
      <c r="C186" s="135" t="s">
        <v>399</v>
      </c>
      <c r="D186" s="135" t="s">
        <v>24</v>
      </c>
      <c r="E186" s="488">
        <v>0</v>
      </c>
      <c r="F186" s="14">
        <v>5</v>
      </c>
      <c r="G186" s="14">
        <v>2</v>
      </c>
      <c r="H186" s="14"/>
      <c r="I186" s="14"/>
      <c r="J186" s="14"/>
      <c r="K186" s="14"/>
      <c r="L186" s="14"/>
      <c r="M186" s="14"/>
      <c r="N186" s="14"/>
      <c r="O186" s="14"/>
      <c r="P186" s="14"/>
      <c r="Q186" s="14"/>
      <c r="R186" s="14"/>
      <c r="S186" s="14"/>
      <c r="T186" s="14"/>
      <c r="U186" s="14"/>
      <c r="V186" s="14">
        <v>7</v>
      </c>
      <c r="W186" s="14">
        <v>3.5</v>
      </c>
      <c r="X186" s="9"/>
      <c r="Z186" s="14">
        <v>177</v>
      </c>
      <c r="AA186" s="128" t="s">
        <v>1896</v>
      </c>
      <c r="AB186" s="14" t="s">
        <v>407</v>
      </c>
      <c r="AC186" s="14" t="s">
        <v>399</v>
      </c>
      <c r="AD186" s="14">
        <v>0</v>
      </c>
      <c r="AE186" s="14">
        <v>1</v>
      </c>
      <c r="AF186" s="14">
        <v>0</v>
      </c>
      <c r="AG186" s="14">
        <v>0</v>
      </c>
    </row>
    <row r="187" spans="1:33" x14ac:dyDescent="0.3">
      <c r="A187" s="14">
        <v>178</v>
      </c>
      <c r="B187" s="135" t="s">
        <v>284</v>
      </c>
      <c r="C187" s="135" t="s">
        <v>396</v>
      </c>
      <c r="D187" s="135" t="s">
        <v>50</v>
      </c>
      <c r="E187" s="488">
        <v>2</v>
      </c>
      <c r="F187" s="14">
        <v>3</v>
      </c>
      <c r="G187" s="14">
        <v>2</v>
      </c>
      <c r="H187" s="14"/>
      <c r="I187" s="14"/>
      <c r="J187" s="14"/>
      <c r="K187" s="14"/>
      <c r="L187" s="14"/>
      <c r="M187" s="14"/>
      <c r="N187" s="14"/>
      <c r="O187" s="14"/>
      <c r="P187" s="14"/>
      <c r="Q187" s="14"/>
      <c r="R187" s="14"/>
      <c r="S187" s="14"/>
      <c r="T187" s="14"/>
      <c r="U187" s="14"/>
      <c r="V187" s="14">
        <v>7</v>
      </c>
      <c r="W187" s="14">
        <v>2.2999999999999998</v>
      </c>
      <c r="X187" s="9"/>
      <c r="Z187" s="14">
        <v>178</v>
      </c>
      <c r="AA187" s="128" t="s">
        <v>2425</v>
      </c>
      <c r="AB187" s="14" t="s">
        <v>52</v>
      </c>
      <c r="AC187" s="14" t="s">
        <v>396</v>
      </c>
      <c r="AD187" s="14">
        <v>0</v>
      </c>
      <c r="AE187" s="14">
        <v>1</v>
      </c>
      <c r="AF187" s="14">
        <v>0</v>
      </c>
      <c r="AG187" s="14">
        <v>0</v>
      </c>
    </row>
    <row r="188" spans="1:33" x14ac:dyDescent="0.3">
      <c r="A188" s="14">
        <v>179</v>
      </c>
      <c r="B188" s="135" t="s">
        <v>559</v>
      </c>
      <c r="C188" s="135" t="s">
        <v>399</v>
      </c>
      <c r="D188" s="135" t="s">
        <v>407</v>
      </c>
      <c r="E188" s="488">
        <v>2</v>
      </c>
      <c r="F188" s="14">
        <v>0</v>
      </c>
      <c r="G188" s="14">
        <v>5</v>
      </c>
      <c r="H188" s="14"/>
      <c r="I188" s="14"/>
      <c r="J188" s="14"/>
      <c r="K188" s="14"/>
      <c r="L188" s="14"/>
      <c r="M188" s="14"/>
      <c r="N188" s="14"/>
      <c r="O188" s="14"/>
      <c r="P188" s="14"/>
      <c r="Q188" s="14"/>
      <c r="R188" s="14"/>
      <c r="S188" s="14"/>
      <c r="T188" s="14"/>
      <c r="U188" s="14"/>
      <c r="V188" s="14">
        <v>7</v>
      </c>
      <c r="W188" s="14">
        <v>3.5</v>
      </c>
      <c r="X188" s="9"/>
      <c r="Z188" s="14">
        <v>179</v>
      </c>
      <c r="AA188" s="128" t="s">
        <v>2500</v>
      </c>
      <c r="AB188" s="14" t="s">
        <v>395</v>
      </c>
      <c r="AC188" s="14" t="s">
        <v>399</v>
      </c>
      <c r="AD188" s="14">
        <v>0</v>
      </c>
      <c r="AE188" s="14">
        <v>1</v>
      </c>
      <c r="AF188" s="14">
        <v>0</v>
      </c>
      <c r="AG188" s="14">
        <v>0</v>
      </c>
    </row>
    <row r="189" spans="1:33" x14ac:dyDescent="0.3">
      <c r="A189" s="14">
        <v>180</v>
      </c>
      <c r="B189" s="135" t="s">
        <v>551</v>
      </c>
      <c r="C189" s="135" t="s">
        <v>399</v>
      </c>
      <c r="D189" s="135" t="s">
        <v>43</v>
      </c>
      <c r="E189" s="488">
        <v>3</v>
      </c>
      <c r="F189" s="14">
        <v>3</v>
      </c>
      <c r="G189" s="14">
        <v>1</v>
      </c>
      <c r="H189" s="14"/>
      <c r="I189" s="14"/>
      <c r="J189" s="14"/>
      <c r="K189" s="14"/>
      <c r="L189" s="14"/>
      <c r="M189" s="14"/>
      <c r="N189" s="14"/>
      <c r="O189" s="14"/>
      <c r="P189" s="14"/>
      <c r="Q189" s="14"/>
      <c r="R189" s="14"/>
      <c r="S189" s="14"/>
      <c r="T189" s="14"/>
      <c r="U189" s="14"/>
      <c r="V189" s="14">
        <v>7</v>
      </c>
      <c r="W189" s="14">
        <v>2.2999999999999998</v>
      </c>
      <c r="X189" s="9"/>
      <c r="Z189" s="14">
        <v>180</v>
      </c>
      <c r="AA189" s="128" t="s">
        <v>1877</v>
      </c>
      <c r="AB189" s="14" t="s">
        <v>70</v>
      </c>
      <c r="AC189" s="14" t="s">
        <v>399</v>
      </c>
      <c r="AD189" s="14">
        <v>0</v>
      </c>
      <c r="AE189" s="14">
        <v>1</v>
      </c>
      <c r="AF189" s="14">
        <v>0</v>
      </c>
      <c r="AG189" s="14">
        <v>0</v>
      </c>
    </row>
    <row r="190" spans="1:33" x14ac:dyDescent="0.3">
      <c r="A190" s="14">
        <v>181</v>
      </c>
      <c r="B190" s="135" t="s">
        <v>529</v>
      </c>
      <c r="C190" s="135" t="s">
        <v>396</v>
      </c>
      <c r="D190" s="135" t="s">
        <v>397</v>
      </c>
      <c r="E190" s="488">
        <v>1</v>
      </c>
      <c r="F190" s="14">
        <v>2</v>
      </c>
      <c r="G190" s="14">
        <v>4</v>
      </c>
      <c r="H190" s="14"/>
      <c r="I190" s="14"/>
      <c r="J190" s="14"/>
      <c r="K190" s="14"/>
      <c r="L190" s="14"/>
      <c r="M190" s="14"/>
      <c r="N190" s="14"/>
      <c r="O190" s="14"/>
      <c r="P190" s="14"/>
      <c r="Q190" s="14"/>
      <c r="R190" s="14"/>
      <c r="S190" s="14"/>
      <c r="T190" s="14"/>
      <c r="U190" s="14"/>
      <c r="V190" s="14">
        <v>7</v>
      </c>
      <c r="W190" s="14">
        <v>2.2999999999999998</v>
      </c>
      <c r="X190" s="9"/>
      <c r="Z190" s="14">
        <v>181</v>
      </c>
      <c r="AA190" s="128" t="s">
        <v>2501</v>
      </c>
      <c r="AB190" s="14" t="s">
        <v>10</v>
      </c>
      <c r="AC190" s="14" t="s">
        <v>399</v>
      </c>
      <c r="AD190" s="14">
        <v>0</v>
      </c>
      <c r="AE190" s="14">
        <v>1</v>
      </c>
      <c r="AF190" s="14">
        <v>0</v>
      </c>
      <c r="AG190" s="14">
        <v>0</v>
      </c>
    </row>
    <row r="191" spans="1:33" x14ac:dyDescent="0.3">
      <c r="A191" s="14">
        <v>182</v>
      </c>
      <c r="B191" s="135" t="s">
        <v>343</v>
      </c>
      <c r="C191" s="135" t="s">
        <v>399</v>
      </c>
      <c r="D191" s="135" t="s">
        <v>39</v>
      </c>
      <c r="E191" s="488">
        <v>1</v>
      </c>
      <c r="F191" s="14">
        <v>1</v>
      </c>
      <c r="G191" s="14">
        <v>4</v>
      </c>
      <c r="H191" s="14"/>
      <c r="I191" s="14"/>
      <c r="J191" s="14"/>
      <c r="K191" s="14"/>
      <c r="L191" s="14"/>
      <c r="M191" s="14"/>
      <c r="N191" s="14"/>
      <c r="O191" s="14"/>
      <c r="P191" s="14"/>
      <c r="Q191" s="14"/>
      <c r="R191" s="14"/>
      <c r="S191" s="14"/>
      <c r="T191" s="14"/>
      <c r="U191" s="14"/>
      <c r="V191" s="14">
        <v>6</v>
      </c>
      <c r="W191" s="14">
        <v>2</v>
      </c>
      <c r="X191" s="9"/>
      <c r="Z191" s="14">
        <v>182</v>
      </c>
      <c r="AA191" s="128" t="s">
        <v>1893</v>
      </c>
      <c r="AB191" s="14" t="s">
        <v>12</v>
      </c>
      <c r="AC191" s="14" t="s">
        <v>396</v>
      </c>
      <c r="AD191" s="14">
        <v>0</v>
      </c>
      <c r="AE191" s="14">
        <v>1</v>
      </c>
      <c r="AF191" s="14">
        <v>0</v>
      </c>
      <c r="AG191" s="14">
        <v>0</v>
      </c>
    </row>
    <row r="192" spans="1:33" x14ac:dyDescent="0.3">
      <c r="A192" s="14">
        <v>183</v>
      </c>
      <c r="B192" s="135" t="s">
        <v>349</v>
      </c>
      <c r="C192" s="135" t="s">
        <v>399</v>
      </c>
      <c r="D192" s="135" t="s">
        <v>18</v>
      </c>
      <c r="E192" s="488">
        <v>1</v>
      </c>
      <c r="F192" s="14">
        <v>5</v>
      </c>
      <c r="G192" s="14">
        <v>0</v>
      </c>
      <c r="H192" s="14"/>
      <c r="I192" s="14"/>
      <c r="J192" s="14"/>
      <c r="K192" s="14"/>
      <c r="L192" s="14"/>
      <c r="M192" s="14"/>
      <c r="N192" s="14"/>
      <c r="O192" s="14"/>
      <c r="P192" s="14"/>
      <c r="Q192" s="14"/>
      <c r="R192" s="14"/>
      <c r="S192" s="14"/>
      <c r="T192" s="14"/>
      <c r="U192" s="14"/>
      <c r="V192" s="14">
        <v>6</v>
      </c>
      <c r="W192" s="14">
        <v>3</v>
      </c>
      <c r="X192" s="9"/>
      <c r="Z192" s="14">
        <v>183</v>
      </c>
      <c r="AA192" s="128" t="s">
        <v>2420</v>
      </c>
      <c r="AB192" s="14" t="s">
        <v>397</v>
      </c>
      <c r="AC192" s="14" t="s">
        <v>394</v>
      </c>
      <c r="AD192" s="14">
        <v>0</v>
      </c>
      <c r="AE192" s="14">
        <v>1</v>
      </c>
      <c r="AF192" s="14">
        <v>0</v>
      </c>
      <c r="AG192" s="14">
        <v>0</v>
      </c>
    </row>
    <row r="193" spans="1:33" x14ac:dyDescent="0.3">
      <c r="A193" s="14">
        <v>184</v>
      </c>
      <c r="B193" s="135" t="s">
        <v>352</v>
      </c>
      <c r="C193" s="135" t="s">
        <v>399</v>
      </c>
      <c r="D193" s="135" t="s">
        <v>24</v>
      </c>
      <c r="E193" s="488">
        <v>4</v>
      </c>
      <c r="F193" s="14">
        <v>1</v>
      </c>
      <c r="G193" s="14">
        <v>1</v>
      </c>
      <c r="H193" s="14"/>
      <c r="I193" s="14"/>
      <c r="J193" s="14"/>
      <c r="K193" s="14"/>
      <c r="L193" s="14"/>
      <c r="M193" s="14"/>
      <c r="N193" s="14"/>
      <c r="O193" s="14"/>
      <c r="P193" s="14"/>
      <c r="Q193" s="14"/>
      <c r="R193" s="14"/>
      <c r="S193" s="14"/>
      <c r="T193" s="14"/>
      <c r="U193" s="14"/>
      <c r="V193" s="14">
        <v>6</v>
      </c>
      <c r="W193" s="14">
        <v>2</v>
      </c>
      <c r="X193" s="9"/>
      <c r="Z193" s="14">
        <v>184</v>
      </c>
      <c r="AA193" s="128" t="s">
        <v>1889</v>
      </c>
      <c r="AB193" s="14" t="s">
        <v>57</v>
      </c>
      <c r="AC193" s="14" t="s">
        <v>394</v>
      </c>
      <c r="AD193" s="14">
        <v>0</v>
      </c>
      <c r="AE193" s="14">
        <v>1</v>
      </c>
      <c r="AF193" s="14">
        <v>0</v>
      </c>
      <c r="AG193" s="14">
        <v>0</v>
      </c>
    </row>
    <row r="194" spans="1:33" x14ac:dyDescent="0.3">
      <c r="A194" s="14">
        <v>185</v>
      </c>
      <c r="B194" s="135" t="s">
        <v>474</v>
      </c>
      <c r="C194" s="135" t="s">
        <v>396</v>
      </c>
      <c r="D194" s="135" t="s">
        <v>10</v>
      </c>
      <c r="E194" s="488">
        <v>1</v>
      </c>
      <c r="F194" s="14">
        <v>5</v>
      </c>
      <c r="G194" s="14">
        <v>0</v>
      </c>
      <c r="H194" s="14"/>
      <c r="I194" s="14"/>
      <c r="J194" s="14"/>
      <c r="K194" s="14"/>
      <c r="L194" s="14"/>
      <c r="M194" s="14"/>
      <c r="N194" s="14"/>
      <c r="O194" s="14"/>
      <c r="P194" s="14"/>
      <c r="Q194" s="14"/>
      <c r="R194" s="14"/>
      <c r="S194" s="14"/>
      <c r="T194" s="14"/>
      <c r="U194" s="14"/>
      <c r="V194" s="14">
        <v>6</v>
      </c>
      <c r="W194" s="14">
        <v>3</v>
      </c>
      <c r="X194" s="9"/>
      <c r="Z194" s="14">
        <v>185</v>
      </c>
      <c r="AA194" s="128" t="s">
        <v>1882</v>
      </c>
      <c r="AB194" s="14" t="s">
        <v>43</v>
      </c>
      <c r="AC194" s="14" t="s">
        <v>394</v>
      </c>
      <c r="AD194" s="14">
        <v>0</v>
      </c>
      <c r="AE194" s="14">
        <v>1</v>
      </c>
      <c r="AF194" s="14">
        <v>0</v>
      </c>
      <c r="AG194" s="14">
        <v>0</v>
      </c>
    </row>
    <row r="195" spans="1:33" x14ac:dyDescent="0.3">
      <c r="A195" s="14">
        <v>186</v>
      </c>
      <c r="B195" s="135" t="s">
        <v>477</v>
      </c>
      <c r="C195" s="135" t="s">
        <v>396</v>
      </c>
      <c r="D195" s="135" t="s">
        <v>50</v>
      </c>
      <c r="E195" s="488">
        <v>0</v>
      </c>
      <c r="F195" s="14">
        <v>4</v>
      </c>
      <c r="G195" s="14">
        <v>2</v>
      </c>
      <c r="H195" s="14"/>
      <c r="I195" s="14"/>
      <c r="J195" s="14"/>
      <c r="K195" s="14"/>
      <c r="L195" s="14"/>
      <c r="M195" s="14"/>
      <c r="N195" s="14"/>
      <c r="O195" s="14"/>
      <c r="P195" s="14"/>
      <c r="Q195" s="14"/>
      <c r="R195" s="14"/>
      <c r="S195" s="14"/>
      <c r="T195" s="14"/>
      <c r="U195" s="14"/>
      <c r="V195" s="14">
        <v>6</v>
      </c>
      <c r="W195" s="14">
        <v>3</v>
      </c>
      <c r="X195" s="9"/>
      <c r="Z195" s="14">
        <v>186</v>
      </c>
      <c r="AA195" s="128" t="s">
        <v>2427</v>
      </c>
      <c r="AB195" s="14" t="s">
        <v>20</v>
      </c>
      <c r="AC195" s="14" t="s">
        <v>396</v>
      </c>
      <c r="AD195" s="14">
        <v>0</v>
      </c>
      <c r="AE195" s="14">
        <v>1</v>
      </c>
      <c r="AF195" s="14">
        <v>0</v>
      </c>
      <c r="AG195" s="14">
        <v>0</v>
      </c>
    </row>
    <row r="196" spans="1:33" x14ac:dyDescent="0.3">
      <c r="A196" s="14">
        <v>187</v>
      </c>
      <c r="B196" s="135" t="s">
        <v>155</v>
      </c>
      <c r="C196" s="135" t="s">
        <v>394</v>
      </c>
      <c r="D196" s="135" t="s">
        <v>32</v>
      </c>
      <c r="E196" s="488">
        <v>3</v>
      </c>
      <c r="F196" s="14">
        <v>2</v>
      </c>
      <c r="G196" s="14">
        <v>1</v>
      </c>
      <c r="H196" s="14"/>
      <c r="I196" s="14"/>
      <c r="J196" s="14"/>
      <c r="K196" s="14"/>
      <c r="L196" s="14"/>
      <c r="M196" s="14"/>
      <c r="N196" s="14"/>
      <c r="O196" s="14"/>
      <c r="P196" s="14"/>
      <c r="Q196" s="14"/>
      <c r="R196" s="14"/>
      <c r="S196" s="14"/>
      <c r="T196" s="14"/>
      <c r="U196" s="14"/>
      <c r="V196" s="14">
        <v>6</v>
      </c>
      <c r="W196" s="14">
        <v>2</v>
      </c>
      <c r="X196" s="9"/>
      <c r="Z196" s="14">
        <v>187</v>
      </c>
      <c r="AA196" s="128" t="s">
        <v>2413</v>
      </c>
      <c r="AB196" s="14" t="s">
        <v>10</v>
      </c>
      <c r="AC196" s="14" t="s">
        <v>396</v>
      </c>
      <c r="AD196" s="14">
        <v>0</v>
      </c>
      <c r="AE196" s="14">
        <v>1</v>
      </c>
      <c r="AF196" s="14">
        <v>0</v>
      </c>
      <c r="AG196" s="14">
        <v>0</v>
      </c>
    </row>
    <row r="197" spans="1:33" x14ac:dyDescent="0.3">
      <c r="A197" s="14">
        <v>188</v>
      </c>
      <c r="B197" s="135" t="s">
        <v>149</v>
      </c>
      <c r="C197" s="135" t="s">
        <v>394</v>
      </c>
      <c r="D197" s="135" t="s">
        <v>32</v>
      </c>
      <c r="E197" s="488">
        <v>2</v>
      </c>
      <c r="F197" s="14">
        <v>3</v>
      </c>
      <c r="G197" s="14">
        <v>1</v>
      </c>
      <c r="H197" s="14"/>
      <c r="I197" s="14"/>
      <c r="J197" s="14"/>
      <c r="K197" s="14"/>
      <c r="L197" s="14"/>
      <c r="M197" s="14"/>
      <c r="N197" s="14"/>
      <c r="O197" s="14"/>
      <c r="P197" s="14"/>
      <c r="Q197" s="14"/>
      <c r="R197" s="14"/>
      <c r="S197" s="14"/>
      <c r="T197" s="14"/>
      <c r="U197" s="14"/>
      <c r="V197" s="14">
        <v>6</v>
      </c>
      <c r="W197" s="14">
        <v>2</v>
      </c>
      <c r="X197" s="9"/>
      <c r="Z197" s="14">
        <v>188</v>
      </c>
      <c r="AA197" s="128" t="s">
        <v>1868</v>
      </c>
      <c r="AB197" s="14" t="s">
        <v>398</v>
      </c>
      <c r="AC197" s="14" t="s">
        <v>399</v>
      </c>
      <c r="AD197" s="14">
        <v>0</v>
      </c>
      <c r="AE197" s="14">
        <v>1</v>
      </c>
      <c r="AF197" s="14">
        <v>0</v>
      </c>
      <c r="AG197" s="14">
        <v>0</v>
      </c>
    </row>
    <row r="198" spans="1:33" x14ac:dyDescent="0.3">
      <c r="A198" s="14">
        <v>189</v>
      </c>
      <c r="B198" s="135" t="s">
        <v>83</v>
      </c>
      <c r="C198" s="135" t="s">
        <v>394</v>
      </c>
      <c r="D198" s="135" t="s">
        <v>409</v>
      </c>
      <c r="E198" s="488">
        <v>3</v>
      </c>
      <c r="F198" s="14">
        <v>1</v>
      </c>
      <c r="G198" s="14">
        <v>2</v>
      </c>
      <c r="H198" s="14"/>
      <c r="I198" s="14"/>
      <c r="J198" s="14"/>
      <c r="K198" s="14"/>
      <c r="L198" s="14"/>
      <c r="M198" s="14"/>
      <c r="N198" s="14"/>
      <c r="O198" s="14"/>
      <c r="P198" s="14"/>
      <c r="Q198" s="14"/>
      <c r="R198" s="14"/>
      <c r="S198" s="14"/>
      <c r="T198" s="14"/>
      <c r="U198" s="14"/>
      <c r="V198" s="14">
        <v>6</v>
      </c>
      <c r="W198" s="14">
        <v>2</v>
      </c>
      <c r="X198" s="9"/>
      <c r="Z198" s="14">
        <v>189</v>
      </c>
      <c r="AA198" s="128" t="s">
        <v>2417</v>
      </c>
      <c r="AB198" s="14" t="s">
        <v>43</v>
      </c>
      <c r="AC198" s="14" t="s">
        <v>394</v>
      </c>
      <c r="AD198" s="14">
        <v>0</v>
      </c>
      <c r="AE198" s="14">
        <v>1</v>
      </c>
      <c r="AF198" s="14">
        <v>0</v>
      </c>
      <c r="AG198" s="14">
        <v>0</v>
      </c>
    </row>
    <row r="199" spans="1:33" x14ac:dyDescent="0.3">
      <c r="A199" s="14">
        <v>190</v>
      </c>
      <c r="B199" s="135" t="s">
        <v>100</v>
      </c>
      <c r="C199" s="135" t="s">
        <v>394</v>
      </c>
      <c r="D199" s="135" t="s">
        <v>7</v>
      </c>
      <c r="E199" s="488">
        <v>3</v>
      </c>
      <c r="F199" s="14">
        <v>3</v>
      </c>
      <c r="G199" s="14">
        <v>0</v>
      </c>
      <c r="H199" s="14"/>
      <c r="I199" s="14"/>
      <c r="J199" s="14"/>
      <c r="K199" s="14"/>
      <c r="L199" s="14"/>
      <c r="M199" s="14"/>
      <c r="N199" s="14"/>
      <c r="O199" s="14"/>
      <c r="P199" s="14"/>
      <c r="Q199" s="14"/>
      <c r="R199" s="14"/>
      <c r="S199" s="14"/>
      <c r="T199" s="14"/>
      <c r="U199" s="14"/>
      <c r="V199" s="14">
        <v>6</v>
      </c>
      <c r="W199" s="14">
        <v>3</v>
      </c>
      <c r="X199" s="9"/>
      <c r="Z199" s="14">
        <v>190</v>
      </c>
      <c r="AA199" s="128" t="s">
        <v>2502</v>
      </c>
      <c r="AB199" s="14" t="s">
        <v>398</v>
      </c>
      <c r="AC199" s="14" t="s">
        <v>396</v>
      </c>
      <c r="AD199" s="14">
        <v>0</v>
      </c>
      <c r="AE199" s="14">
        <v>1</v>
      </c>
      <c r="AF199" s="14">
        <v>0</v>
      </c>
      <c r="AG199" s="14">
        <v>0</v>
      </c>
    </row>
    <row r="200" spans="1:33" x14ac:dyDescent="0.3">
      <c r="A200" s="14">
        <v>191</v>
      </c>
      <c r="B200" s="135" t="s">
        <v>428</v>
      </c>
      <c r="C200" s="135" t="s">
        <v>394</v>
      </c>
      <c r="D200" s="135" t="s">
        <v>52</v>
      </c>
      <c r="E200" s="488">
        <v>2</v>
      </c>
      <c r="F200" s="14">
        <v>2</v>
      </c>
      <c r="G200" s="14">
        <v>2</v>
      </c>
      <c r="H200" s="14"/>
      <c r="I200" s="14"/>
      <c r="J200" s="14"/>
      <c r="K200" s="14"/>
      <c r="L200" s="14"/>
      <c r="M200" s="14"/>
      <c r="N200" s="14"/>
      <c r="O200" s="14"/>
      <c r="P200" s="14"/>
      <c r="Q200" s="14"/>
      <c r="R200" s="14"/>
      <c r="S200" s="14"/>
      <c r="T200" s="14"/>
      <c r="U200" s="14"/>
      <c r="V200" s="14">
        <v>6</v>
      </c>
      <c r="W200" s="14">
        <v>2</v>
      </c>
      <c r="X200" s="9"/>
      <c r="Z200" s="14">
        <v>191</v>
      </c>
      <c r="AA200" s="128" t="s">
        <v>2415</v>
      </c>
      <c r="AB200" s="14" t="s">
        <v>43</v>
      </c>
      <c r="AC200" s="14" t="s">
        <v>396</v>
      </c>
      <c r="AD200" s="14">
        <v>0</v>
      </c>
      <c r="AE200" s="14">
        <v>1</v>
      </c>
      <c r="AF200" s="14">
        <v>0</v>
      </c>
      <c r="AG200" s="14">
        <v>0</v>
      </c>
    </row>
    <row r="201" spans="1:33" x14ac:dyDescent="0.3">
      <c r="A201" s="14">
        <v>192</v>
      </c>
      <c r="B201" s="135" t="s">
        <v>767</v>
      </c>
      <c r="C201" s="135" t="s">
        <v>396</v>
      </c>
      <c r="D201" s="135" t="s">
        <v>18</v>
      </c>
      <c r="E201" s="488">
        <v>1</v>
      </c>
      <c r="F201" s="14">
        <v>5</v>
      </c>
      <c r="G201" s="14">
        <v>0</v>
      </c>
      <c r="H201" s="14"/>
      <c r="I201" s="14"/>
      <c r="J201" s="14"/>
      <c r="K201" s="14"/>
      <c r="L201" s="14"/>
      <c r="M201" s="14"/>
      <c r="N201" s="14"/>
      <c r="O201" s="14"/>
      <c r="P201" s="14"/>
      <c r="Q201" s="14"/>
      <c r="R201" s="14"/>
      <c r="S201" s="14"/>
      <c r="T201" s="14"/>
      <c r="U201" s="14"/>
      <c r="V201" s="14">
        <v>6</v>
      </c>
      <c r="W201" s="14">
        <v>3</v>
      </c>
      <c r="X201" s="9"/>
      <c r="Z201" s="14">
        <v>192</v>
      </c>
      <c r="AA201" s="128" t="s">
        <v>1885</v>
      </c>
      <c r="AB201" s="14" t="s">
        <v>14</v>
      </c>
      <c r="AC201" s="14" t="s">
        <v>396</v>
      </c>
      <c r="AD201" s="14">
        <v>0</v>
      </c>
      <c r="AE201" s="14">
        <v>1</v>
      </c>
      <c r="AF201" s="14">
        <v>0</v>
      </c>
      <c r="AG201" s="14">
        <v>0</v>
      </c>
    </row>
    <row r="202" spans="1:33" x14ac:dyDescent="0.3">
      <c r="A202" s="14">
        <v>193</v>
      </c>
      <c r="B202" s="135" t="s">
        <v>490</v>
      </c>
      <c r="C202" s="135" t="s">
        <v>396</v>
      </c>
      <c r="D202" s="135" t="s">
        <v>43</v>
      </c>
      <c r="E202" s="488">
        <v>3</v>
      </c>
      <c r="F202" s="14">
        <v>3</v>
      </c>
      <c r="G202" s="14">
        <v>0</v>
      </c>
      <c r="H202" s="14"/>
      <c r="I202" s="14"/>
      <c r="J202" s="14"/>
      <c r="K202" s="14"/>
      <c r="L202" s="14"/>
      <c r="M202" s="14"/>
      <c r="N202" s="14"/>
      <c r="O202" s="14"/>
      <c r="P202" s="14"/>
      <c r="Q202" s="14"/>
      <c r="R202" s="14"/>
      <c r="S202" s="14"/>
      <c r="T202" s="14"/>
      <c r="U202" s="14"/>
      <c r="V202" s="14">
        <v>6</v>
      </c>
      <c r="W202" s="14">
        <v>3</v>
      </c>
      <c r="X202" s="9"/>
      <c r="Z202" s="14">
        <v>193</v>
      </c>
      <c r="AA202" s="128" t="s">
        <v>2503</v>
      </c>
      <c r="AB202" s="14" t="s">
        <v>14</v>
      </c>
      <c r="AC202" s="14" t="s">
        <v>396</v>
      </c>
      <c r="AD202" s="14">
        <v>0</v>
      </c>
      <c r="AE202" s="14">
        <v>1</v>
      </c>
      <c r="AF202" s="14">
        <v>0</v>
      </c>
      <c r="AG202" s="14">
        <v>0</v>
      </c>
    </row>
    <row r="203" spans="1:33" x14ac:dyDescent="0.3">
      <c r="A203" s="14">
        <v>194</v>
      </c>
      <c r="B203" s="135" t="s">
        <v>85</v>
      </c>
      <c r="C203" s="135" t="s">
        <v>394</v>
      </c>
      <c r="D203" s="135" t="s">
        <v>41</v>
      </c>
      <c r="E203" s="488">
        <v>2</v>
      </c>
      <c r="F203" s="14">
        <v>3</v>
      </c>
      <c r="G203" s="14">
        <v>0</v>
      </c>
      <c r="H203" s="14"/>
      <c r="I203" s="14"/>
      <c r="J203" s="14"/>
      <c r="K203" s="14"/>
      <c r="L203" s="14"/>
      <c r="M203" s="14"/>
      <c r="N203" s="14"/>
      <c r="O203" s="14"/>
      <c r="P203" s="14"/>
      <c r="Q203" s="14"/>
      <c r="R203" s="14"/>
      <c r="S203" s="14"/>
      <c r="T203" s="14"/>
      <c r="U203" s="14"/>
      <c r="V203" s="14">
        <v>5</v>
      </c>
      <c r="W203" s="14">
        <v>2.5</v>
      </c>
      <c r="X203" s="9"/>
      <c r="Z203" s="14">
        <v>194</v>
      </c>
      <c r="AA203" s="128" t="s">
        <v>2504</v>
      </c>
      <c r="AB203" s="14" t="s">
        <v>14</v>
      </c>
      <c r="AC203" s="14" t="s">
        <v>396</v>
      </c>
      <c r="AD203" s="14">
        <v>0</v>
      </c>
      <c r="AE203" s="14">
        <v>1</v>
      </c>
      <c r="AF203" s="14">
        <v>0</v>
      </c>
      <c r="AG203" s="14">
        <v>0</v>
      </c>
    </row>
    <row r="204" spans="1:33" x14ac:dyDescent="0.3">
      <c r="A204" s="14">
        <v>195</v>
      </c>
      <c r="B204" s="135" t="s">
        <v>430</v>
      </c>
      <c r="C204" s="135" t="s">
        <v>394</v>
      </c>
      <c r="D204" s="135" t="s">
        <v>57</v>
      </c>
      <c r="E204" s="488">
        <v>5</v>
      </c>
      <c r="F204" s="14">
        <v>0</v>
      </c>
      <c r="G204" s="14">
        <v>0</v>
      </c>
      <c r="H204" s="14"/>
      <c r="I204" s="14"/>
      <c r="J204" s="14"/>
      <c r="K204" s="14"/>
      <c r="L204" s="14"/>
      <c r="M204" s="14"/>
      <c r="N204" s="14"/>
      <c r="O204" s="14"/>
      <c r="P204" s="14"/>
      <c r="Q204" s="14"/>
      <c r="R204" s="14"/>
      <c r="S204" s="14"/>
      <c r="T204" s="14"/>
      <c r="U204" s="14"/>
      <c r="V204" s="14">
        <v>5</v>
      </c>
      <c r="W204" s="14">
        <v>2.5</v>
      </c>
      <c r="X204" s="9"/>
      <c r="Z204" s="14">
        <v>195</v>
      </c>
      <c r="AA204" s="128" t="s">
        <v>2505</v>
      </c>
      <c r="AB204" s="14" t="s">
        <v>16</v>
      </c>
      <c r="AC204" s="14" t="s">
        <v>399</v>
      </c>
      <c r="AD204" s="14">
        <v>0</v>
      </c>
      <c r="AE204" s="14">
        <v>1</v>
      </c>
      <c r="AF204" s="14">
        <v>0</v>
      </c>
      <c r="AG204" s="14">
        <v>0</v>
      </c>
    </row>
    <row r="205" spans="1:33" x14ac:dyDescent="0.3">
      <c r="A205" s="14">
        <v>196</v>
      </c>
      <c r="B205" s="135" t="s">
        <v>138</v>
      </c>
      <c r="C205" s="135" t="s">
        <v>394</v>
      </c>
      <c r="D205" s="135" t="s">
        <v>22</v>
      </c>
      <c r="E205" s="488">
        <v>1</v>
      </c>
      <c r="F205" s="14">
        <v>1</v>
      </c>
      <c r="G205" s="14">
        <v>3</v>
      </c>
      <c r="H205" s="14"/>
      <c r="I205" s="14"/>
      <c r="J205" s="14"/>
      <c r="K205" s="14"/>
      <c r="L205" s="14"/>
      <c r="M205" s="14"/>
      <c r="N205" s="14"/>
      <c r="O205" s="14"/>
      <c r="P205" s="14"/>
      <c r="Q205" s="14"/>
      <c r="R205" s="14"/>
      <c r="S205" s="14"/>
      <c r="T205" s="14"/>
      <c r="U205" s="14"/>
      <c r="V205" s="14">
        <v>5</v>
      </c>
      <c r="W205" s="14">
        <v>1.7</v>
      </c>
      <c r="X205" s="9"/>
      <c r="Z205" s="14">
        <v>196</v>
      </c>
      <c r="AA205" s="128" t="s">
        <v>1875</v>
      </c>
      <c r="AB205" s="14" t="s">
        <v>404</v>
      </c>
      <c r="AC205" s="14" t="s">
        <v>394</v>
      </c>
      <c r="AD205" s="14">
        <v>0</v>
      </c>
      <c r="AE205" s="14">
        <v>1</v>
      </c>
      <c r="AF205" s="14">
        <v>0</v>
      </c>
      <c r="AG205" s="14">
        <v>0</v>
      </c>
    </row>
    <row r="206" spans="1:33" x14ac:dyDescent="0.3">
      <c r="A206" s="14">
        <v>197</v>
      </c>
      <c r="B206" s="135" t="s">
        <v>367</v>
      </c>
      <c r="C206" s="135" t="s">
        <v>399</v>
      </c>
      <c r="D206" s="135" t="s">
        <v>4</v>
      </c>
      <c r="E206" s="488">
        <v>0</v>
      </c>
      <c r="F206" s="14">
        <v>4</v>
      </c>
      <c r="G206" s="14">
        <v>1</v>
      </c>
      <c r="H206" s="14"/>
      <c r="I206" s="14"/>
      <c r="J206" s="14"/>
      <c r="K206" s="14"/>
      <c r="L206" s="14"/>
      <c r="M206" s="14"/>
      <c r="N206" s="14"/>
      <c r="O206" s="14"/>
      <c r="P206" s="14"/>
      <c r="Q206" s="14"/>
      <c r="R206" s="14"/>
      <c r="S206" s="14"/>
      <c r="T206" s="14"/>
      <c r="U206" s="14"/>
      <c r="V206" s="14">
        <v>5</v>
      </c>
      <c r="W206" s="14">
        <v>2.5</v>
      </c>
      <c r="X206" s="9"/>
      <c r="Z206" s="14">
        <v>197</v>
      </c>
      <c r="AA206" s="128" t="s">
        <v>2506</v>
      </c>
      <c r="AB206" s="14" t="s">
        <v>402</v>
      </c>
      <c r="AC206" s="14" t="s">
        <v>399</v>
      </c>
      <c r="AD206" s="14">
        <v>0</v>
      </c>
      <c r="AE206" s="14">
        <v>1</v>
      </c>
      <c r="AF206" s="14">
        <v>0</v>
      </c>
      <c r="AG206" s="14">
        <v>0</v>
      </c>
    </row>
    <row r="207" spans="1:33" x14ac:dyDescent="0.3">
      <c r="A207" s="14">
        <v>198</v>
      </c>
      <c r="B207" s="135" t="s">
        <v>131</v>
      </c>
      <c r="C207" s="135" t="s">
        <v>394</v>
      </c>
      <c r="D207" s="135" t="s">
        <v>398</v>
      </c>
      <c r="E207" s="488">
        <v>2</v>
      </c>
      <c r="F207" s="14">
        <v>1</v>
      </c>
      <c r="G207" s="14">
        <v>2</v>
      </c>
      <c r="H207" s="14"/>
      <c r="I207" s="14"/>
      <c r="J207" s="14"/>
      <c r="K207" s="14"/>
      <c r="L207" s="14"/>
      <c r="M207" s="14"/>
      <c r="N207" s="14"/>
      <c r="O207" s="14"/>
      <c r="P207" s="14"/>
      <c r="Q207" s="14"/>
      <c r="R207" s="14"/>
      <c r="S207" s="14"/>
      <c r="T207" s="14"/>
      <c r="U207" s="14"/>
      <c r="V207" s="14">
        <v>5</v>
      </c>
      <c r="W207" s="14">
        <v>1.7</v>
      </c>
      <c r="X207" s="9"/>
      <c r="Z207" s="14">
        <v>198</v>
      </c>
      <c r="AA207" s="128" t="s">
        <v>2414</v>
      </c>
      <c r="AB207" s="14" t="s">
        <v>12</v>
      </c>
      <c r="AC207" s="14" t="s">
        <v>394</v>
      </c>
      <c r="AD207" s="14">
        <v>0</v>
      </c>
      <c r="AE207" s="14">
        <v>1</v>
      </c>
      <c r="AF207" s="14">
        <v>0</v>
      </c>
      <c r="AG207" s="14">
        <v>0</v>
      </c>
    </row>
    <row r="208" spans="1:33" x14ac:dyDescent="0.3">
      <c r="A208" s="14">
        <v>199</v>
      </c>
      <c r="B208" s="135" t="s">
        <v>86</v>
      </c>
      <c r="C208" s="135" t="s">
        <v>394</v>
      </c>
      <c r="D208" s="135" t="s">
        <v>401</v>
      </c>
      <c r="E208" s="488">
        <v>5</v>
      </c>
      <c r="F208" s="14">
        <v>0</v>
      </c>
      <c r="G208" s="14">
        <v>0</v>
      </c>
      <c r="H208" s="14"/>
      <c r="I208" s="14"/>
      <c r="J208" s="14"/>
      <c r="K208" s="14"/>
      <c r="L208" s="14"/>
      <c r="M208" s="14"/>
      <c r="N208" s="14"/>
      <c r="O208" s="14"/>
      <c r="P208" s="14"/>
      <c r="Q208" s="14"/>
      <c r="R208" s="14"/>
      <c r="S208" s="14"/>
      <c r="T208" s="14"/>
      <c r="U208" s="14"/>
      <c r="V208" s="14">
        <v>5</v>
      </c>
      <c r="W208" s="14">
        <v>2.5</v>
      </c>
      <c r="X208" s="9"/>
      <c r="Z208" s="14">
        <v>199</v>
      </c>
      <c r="AA208" s="128" t="s">
        <v>2507</v>
      </c>
      <c r="AB208" s="14" t="s">
        <v>401</v>
      </c>
      <c r="AC208" s="14" t="s">
        <v>394</v>
      </c>
      <c r="AD208" s="14">
        <v>0</v>
      </c>
      <c r="AE208" s="14">
        <v>1</v>
      </c>
      <c r="AF208" s="14">
        <v>0</v>
      </c>
      <c r="AG208" s="14">
        <v>0</v>
      </c>
    </row>
    <row r="209" spans="1:33" x14ac:dyDescent="0.3">
      <c r="A209" s="14">
        <v>200</v>
      </c>
      <c r="B209" s="135" t="s">
        <v>274</v>
      </c>
      <c r="C209" s="135" t="s">
        <v>396</v>
      </c>
      <c r="D209" s="135" t="s">
        <v>4</v>
      </c>
      <c r="E209" s="488">
        <v>1</v>
      </c>
      <c r="F209" s="14">
        <v>3</v>
      </c>
      <c r="G209" s="14">
        <v>1</v>
      </c>
      <c r="H209" s="14"/>
      <c r="I209" s="14"/>
      <c r="J209" s="14"/>
      <c r="K209" s="14"/>
      <c r="L209" s="14"/>
      <c r="M209" s="14"/>
      <c r="N209" s="14"/>
      <c r="O209" s="14"/>
      <c r="P209" s="14"/>
      <c r="Q209" s="14"/>
      <c r="R209" s="14"/>
      <c r="S209" s="14"/>
      <c r="T209" s="14"/>
      <c r="U209" s="14"/>
      <c r="V209" s="14">
        <v>5</v>
      </c>
      <c r="W209" s="14">
        <v>1.7</v>
      </c>
      <c r="X209" s="9"/>
      <c r="Z209" s="14">
        <v>200</v>
      </c>
      <c r="AA209" s="128" t="s">
        <v>2508</v>
      </c>
      <c r="AB209" s="14" t="s">
        <v>46</v>
      </c>
      <c r="AC209" s="14" t="s">
        <v>394</v>
      </c>
      <c r="AD209" s="14">
        <v>0</v>
      </c>
      <c r="AE209" s="14">
        <v>1</v>
      </c>
      <c r="AF209" s="14">
        <v>0</v>
      </c>
      <c r="AG209" s="14">
        <v>0</v>
      </c>
    </row>
    <row r="210" spans="1:33" x14ac:dyDescent="0.3">
      <c r="A210" s="14">
        <v>201</v>
      </c>
      <c r="B210" s="135" t="s">
        <v>229</v>
      </c>
      <c r="C210" s="135" t="s">
        <v>396</v>
      </c>
      <c r="D210" s="135" t="s">
        <v>20</v>
      </c>
      <c r="E210" s="488">
        <v>0</v>
      </c>
      <c r="F210" s="14">
        <v>0</v>
      </c>
      <c r="G210" s="14">
        <v>5</v>
      </c>
      <c r="H210" s="14"/>
      <c r="I210" s="14"/>
      <c r="J210" s="14"/>
      <c r="K210" s="14"/>
      <c r="L210" s="14"/>
      <c r="M210" s="14"/>
      <c r="N210" s="14"/>
      <c r="O210" s="14"/>
      <c r="P210" s="14"/>
      <c r="Q210" s="14"/>
      <c r="R210" s="14"/>
      <c r="S210" s="14"/>
      <c r="T210" s="14"/>
      <c r="U210" s="14"/>
      <c r="V210" s="14">
        <v>5</v>
      </c>
      <c r="W210" s="14">
        <v>5</v>
      </c>
      <c r="X210" s="9"/>
      <c r="Z210" s="9"/>
    </row>
    <row r="211" spans="1:33" x14ac:dyDescent="0.3">
      <c r="A211" s="14">
        <v>202</v>
      </c>
      <c r="B211" s="135" t="s">
        <v>96</v>
      </c>
      <c r="C211" s="135" t="s">
        <v>394</v>
      </c>
      <c r="D211" s="135" t="s">
        <v>395</v>
      </c>
      <c r="E211" s="488">
        <v>2</v>
      </c>
      <c r="F211" s="14">
        <v>1</v>
      </c>
      <c r="G211" s="14">
        <v>2</v>
      </c>
      <c r="H211" s="14"/>
      <c r="I211" s="14"/>
      <c r="J211" s="14"/>
      <c r="K211" s="14"/>
      <c r="L211" s="14"/>
      <c r="M211" s="14"/>
      <c r="N211" s="14"/>
      <c r="O211" s="14"/>
      <c r="P211" s="14"/>
      <c r="Q211" s="14"/>
      <c r="R211" s="14"/>
      <c r="S211" s="14"/>
      <c r="T211" s="14"/>
      <c r="U211" s="14"/>
      <c r="V211" s="14">
        <v>5</v>
      </c>
      <c r="W211" s="14">
        <v>1.7</v>
      </c>
      <c r="X211" s="9"/>
      <c r="Z211" s="9"/>
    </row>
    <row r="212" spans="1:33" x14ac:dyDescent="0.3">
      <c r="A212" s="14">
        <v>203</v>
      </c>
      <c r="B212" s="135" t="s">
        <v>362</v>
      </c>
      <c r="C212" s="135" t="s">
        <v>399</v>
      </c>
      <c r="D212" s="135" t="s">
        <v>57</v>
      </c>
      <c r="E212" s="488">
        <v>0</v>
      </c>
      <c r="F212" s="14">
        <v>1</v>
      </c>
      <c r="G212" s="14">
        <v>4</v>
      </c>
      <c r="H212" s="14"/>
      <c r="I212" s="14"/>
      <c r="J212" s="14"/>
      <c r="K212" s="14"/>
      <c r="L212" s="14"/>
      <c r="M212" s="14"/>
      <c r="N212" s="14"/>
      <c r="O212" s="14"/>
      <c r="P212" s="14"/>
      <c r="Q212" s="14"/>
      <c r="R212" s="14"/>
      <c r="S212" s="14"/>
      <c r="T212" s="14"/>
      <c r="U212" s="14"/>
      <c r="V212" s="14">
        <v>5</v>
      </c>
      <c r="W212" s="14">
        <v>2.5</v>
      </c>
      <c r="X212" s="9"/>
      <c r="Z212" s="9"/>
    </row>
    <row r="213" spans="1:33" x14ac:dyDescent="0.3">
      <c r="A213" s="14">
        <v>204</v>
      </c>
      <c r="B213" s="135" t="s">
        <v>102</v>
      </c>
      <c r="C213" s="135" t="s">
        <v>394</v>
      </c>
      <c r="D213" s="135" t="s">
        <v>28</v>
      </c>
      <c r="E213" s="488">
        <v>0</v>
      </c>
      <c r="F213" s="14">
        <v>5</v>
      </c>
      <c r="G213" s="14">
        <v>0</v>
      </c>
      <c r="H213" s="14"/>
      <c r="I213" s="14"/>
      <c r="J213" s="14"/>
      <c r="K213" s="14"/>
      <c r="L213" s="14"/>
      <c r="M213" s="14"/>
      <c r="N213" s="14"/>
      <c r="O213" s="14"/>
      <c r="P213" s="14"/>
      <c r="Q213" s="14"/>
      <c r="R213" s="14"/>
      <c r="S213" s="14"/>
      <c r="T213" s="14"/>
      <c r="U213" s="14"/>
      <c r="V213" s="14">
        <v>5</v>
      </c>
      <c r="W213" s="14">
        <v>1.7</v>
      </c>
      <c r="X213" s="9"/>
      <c r="Z213" s="9"/>
    </row>
    <row r="214" spans="1:33" x14ac:dyDescent="0.3">
      <c r="A214" s="14">
        <v>205</v>
      </c>
      <c r="B214" s="135" t="s">
        <v>143</v>
      </c>
      <c r="C214" s="135" t="s">
        <v>394</v>
      </c>
      <c r="D214" s="135" t="s">
        <v>41</v>
      </c>
      <c r="E214" s="488">
        <v>2</v>
      </c>
      <c r="F214" s="14">
        <v>1</v>
      </c>
      <c r="G214" s="14">
        <v>2</v>
      </c>
      <c r="H214" s="14"/>
      <c r="I214" s="14"/>
      <c r="J214" s="14"/>
      <c r="K214" s="14"/>
      <c r="L214" s="14"/>
      <c r="M214" s="14"/>
      <c r="N214" s="14"/>
      <c r="O214" s="14"/>
      <c r="P214" s="14"/>
      <c r="Q214" s="14"/>
      <c r="R214" s="14"/>
      <c r="S214" s="14"/>
      <c r="T214" s="14"/>
      <c r="U214" s="14"/>
      <c r="V214" s="14">
        <v>5</v>
      </c>
      <c r="W214" s="14">
        <v>1.7</v>
      </c>
      <c r="X214" s="9"/>
      <c r="Z214" s="9"/>
    </row>
    <row r="215" spans="1:33" x14ac:dyDescent="0.3">
      <c r="A215" s="14">
        <v>206</v>
      </c>
      <c r="B215" s="135" t="s">
        <v>1250</v>
      </c>
      <c r="C215" s="135" t="s">
        <v>396</v>
      </c>
      <c r="D215" s="135" t="s">
        <v>10</v>
      </c>
      <c r="E215" s="488">
        <v>0</v>
      </c>
      <c r="F215" s="14">
        <v>0</v>
      </c>
      <c r="G215" s="14">
        <v>5</v>
      </c>
      <c r="H215" s="14"/>
      <c r="I215" s="14"/>
      <c r="J215" s="14"/>
      <c r="K215" s="14"/>
      <c r="L215" s="14"/>
      <c r="M215" s="14"/>
      <c r="N215" s="14"/>
      <c r="O215" s="14"/>
      <c r="P215" s="14"/>
      <c r="Q215" s="14"/>
      <c r="R215" s="14"/>
      <c r="S215" s="14"/>
      <c r="T215" s="14"/>
      <c r="U215" s="14"/>
      <c r="V215" s="14">
        <v>5</v>
      </c>
      <c r="W215" s="14">
        <v>5</v>
      </c>
      <c r="X215" s="9"/>
      <c r="Z215" s="9"/>
    </row>
    <row r="216" spans="1:33" x14ac:dyDescent="0.3">
      <c r="A216" s="14">
        <v>207</v>
      </c>
      <c r="B216" s="135" t="s">
        <v>167</v>
      </c>
      <c r="C216" s="135" t="s">
        <v>394</v>
      </c>
      <c r="D216" s="135" t="s">
        <v>57</v>
      </c>
      <c r="E216" s="488">
        <v>2</v>
      </c>
      <c r="F216" s="14">
        <v>0</v>
      </c>
      <c r="G216" s="14">
        <v>3</v>
      </c>
      <c r="H216" s="14"/>
      <c r="I216" s="14"/>
      <c r="J216" s="14"/>
      <c r="K216" s="14"/>
      <c r="L216" s="14"/>
      <c r="M216" s="14"/>
      <c r="N216" s="14"/>
      <c r="O216" s="14"/>
      <c r="P216" s="14"/>
      <c r="Q216" s="14"/>
      <c r="R216" s="14"/>
      <c r="S216" s="14"/>
      <c r="T216" s="14"/>
      <c r="U216" s="14"/>
      <c r="V216" s="14">
        <v>5</v>
      </c>
      <c r="W216" s="14">
        <v>2.5</v>
      </c>
      <c r="X216" s="9"/>
      <c r="Z216" s="9"/>
    </row>
    <row r="217" spans="1:33" x14ac:dyDescent="0.3">
      <c r="A217" s="14">
        <v>208</v>
      </c>
      <c r="B217" s="135" t="s">
        <v>271</v>
      </c>
      <c r="C217" s="135" t="s">
        <v>396</v>
      </c>
      <c r="D217" s="135" t="s">
        <v>50</v>
      </c>
      <c r="E217" s="488">
        <v>0</v>
      </c>
      <c r="F217" s="14">
        <v>2</v>
      </c>
      <c r="G217" s="14">
        <v>3</v>
      </c>
      <c r="H217" s="14"/>
      <c r="I217" s="14"/>
      <c r="J217" s="14"/>
      <c r="K217" s="14"/>
      <c r="L217" s="14"/>
      <c r="M217" s="14"/>
      <c r="N217" s="14"/>
      <c r="O217" s="14"/>
      <c r="P217" s="14"/>
      <c r="Q217" s="14"/>
      <c r="R217" s="14"/>
      <c r="S217" s="14"/>
      <c r="T217" s="14"/>
      <c r="U217" s="14"/>
      <c r="V217" s="14">
        <v>5</v>
      </c>
      <c r="W217" s="14">
        <v>2.5</v>
      </c>
      <c r="X217" s="9"/>
      <c r="Z217" s="9"/>
    </row>
    <row r="218" spans="1:33" x14ac:dyDescent="0.3">
      <c r="A218" s="14">
        <v>209</v>
      </c>
      <c r="B218" s="135" t="s">
        <v>268</v>
      </c>
      <c r="C218" s="135" t="s">
        <v>396</v>
      </c>
      <c r="D218" s="135" t="s">
        <v>43</v>
      </c>
      <c r="E218" s="488">
        <v>0</v>
      </c>
      <c r="F218" s="14">
        <v>1</v>
      </c>
      <c r="G218" s="14">
        <v>4</v>
      </c>
      <c r="H218" s="14"/>
      <c r="I218" s="14"/>
      <c r="J218" s="14"/>
      <c r="K218" s="14"/>
      <c r="L218" s="14"/>
      <c r="M218" s="14"/>
      <c r="N218" s="14"/>
      <c r="O218" s="14"/>
      <c r="P218" s="14"/>
      <c r="Q218" s="14"/>
      <c r="R218" s="14"/>
      <c r="S218" s="14"/>
      <c r="T218" s="14"/>
      <c r="U218" s="14"/>
      <c r="V218" s="14">
        <v>5</v>
      </c>
      <c r="W218" s="14">
        <v>2.5</v>
      </c>
      <c r="X218" s="9"/>
      <c r="Z218" s="9"/>
    </row>
    <row r="219" spans="1:33" x14ac:dyDescent="0.3">
      <c r="A219" s="14">
        <v>210</v>
      </c>
      <c r="B219" s="135" t="s">
        <v>110</v>
      </c>
      <c r="C219" s="135" t="s">
        <v>394</v>
      </c>
      <c r="D219" s="135" t="s">
        <v>26</v>
      </c>
      <c r="E219" s="488">
        <v>5</v>
      </c>
      <c r="F219" s="14">
        <v>0</v>
      </c>
      <c r="G219" s="14">
        <v>0</v>
      </c>
      <c r="H219" s="14"/>
      <c r="I219" s="14"/>
      <c r="J219" s="14"/>
      <c r="K219" s="14"/>
      <c r="L219" s="14"/>
      <c r="M219" s="14"/>
      <c r="N219" s="14"/>
      <c r="O219" s="14"/>
      <c r="P219" s="14"/>
      <c r="Q219" s="14"/>
      <c r="R219" s="14"/>
      <c r="S219" s="14"/>
      <c r="T219" s="14"/>
      <c r="U219" s="14"/>
      <c r="V219" s="14">
        <v>5</v>
      </c>
      <c r="W219" s="14">
        <v>2.5</v>
      </c>
      <c r="X219" s="9"/>
      <c r="Z219" s="9"/>
    </row>
    <row r="220" spans="1:33" x14ac:dyDescent="0.3">
      <c r="A220" s="14">
        <v>211</v>
      </c>
      <c r="B220" s="135" t="s">
        <v>280</v>
      </c>
      <c r="C220" s="135" t="s">
        <v>396</v>
      </c>
      <c r="D220" s="135" t="s">
        <v>561</v>
      </c>
      <c r="E220" s="488">
        <v>2</v>
      </c>
      <c r="F220" s="14">
        <v>3</v>
      </c>
      <c r="G220" s="14">
        <v>0</v>
      </c>
      <c r="H220" s="14"/>
      <c r="I220" s="14"/>
      <c r="J220" s="14"/>
      <c r="K220" s="14"/>
      <c r="L220" s="14"/>
      <c r="M220" s="14"/>
      <c r="N220" s="14"/>
      <c r="O220" s="14"/>
      <c r="P220" s="14"/>
      <c r="Q220" s="14"/>
      <c r="R220" s="14"/>
      <c r="S220" s="14"/>
      <c r="T220" s="14"/>
      <c r="U220" s="14"/>
      <c r="V220" s="14">
        <v>5</v>
      </c>
      <c r="W220" s="14">
        <v>1.7</v>
      </c>
      <c r="X220" s="9"/>
      <c r="Z220" s="9"/>
    </row>
    <row r="221" spans="1:33" x14ac:dyDescent="0.3">
      <c r="A221" s="14">
        <v>212</v>
      </c>
      <c r="B221" s="135" t="s">
        <v>497</v>
      </c>
      <c r="C221" s="135" t="s">
        <v>396</v>
      </c>
      <c r="D221" s="135" t="s">
        <v>32</v>
      </c>
      <c r="E221" s="488">
        <v>2</v>
      </c>
      <c r="F221" s="14">
        <v>2</v>
      </c>
      <c r="G221" s="14">
        <v>1</v>
      </c>
      <c r="H221" s="14"/>
      <c r="I221" s="14"/>
      <c r="J221" s="14"/>
      <c r="K221" s="14"/>
      <c r="L221" s="14"/>
      <c r="M221" s="14"/>
      <c r="N221" s="14"/>
      <c r="O221" s="14"/>
      <c r="P221" s="14"/>
      <c r="Q221" s="14"/>
      <c r="R221" s="14"/>
      <c r="S221" s="14"/>
      <c r="T221" s="14"/>
      <c r="U221" s="14"/>
      <c r="V221" s="14">
        <v>5</v>
      </c>
      <c r="W221" s="14">
        <v>1.7</v>
      </c>
      <c r="X221" s="9"/>
      <c r="Z221" s="9"/>
    </row>
    <row r="222" spans="1:33" x14ac:dyDescent="0.3">
      <c r="A222" s="14">
        <v>213</v>
      </c>
      <c r="B222" s="135" t="s">
        <v>500</v>
      </c>
      <c r="C222" s="135" t="s">
        <v>396</v>
      </c>
      <c r="D222" s="135" t="s">
        <v>404</v>
      </c>
      <c r="E222" s="488">
        <v>0</v>
      </c>
      <c r="F222" s="14">
        <v>1</v>
      </c>
      <c r="G222" s="14">
        <v>4</v>
      </c>
      <c r="H222" s="14"/>
      <c r="I222" s="14"/>
      <c r="J222" s="14"/>
      <c r="K222" s="14"/>
      <c r="L222" s="14"/>
      <c r="M222" s="14"/>
      <c r="N222" s="14"/>
      <c r="O222" s="14"/>
      <c r="P222" s="14"/>
      <c r="Q222" s="14"/>
      <c r="R222" s="14"/>
      <c r="S222" s="14"/>
      <c r="T222" s="14"/>
      <c r="U222" s="14"/>
      <c r="V222" s="14">
        <v>5</v>
      </c>
      <c r="W222" s="14">
        <v>2.5</v>
      </c>
      <c r="X222" s="9"/>
      <c r="Z222" s="9"/>
    </row>
    <row r="223" spans="1:33" x14ac:dyDescent="0.3">
      <c r="A223" s="14">
        <v>214</v>
      </c>
      <c r="B223" s="135" t="s">
        <v>358</v>
      </c>
      <c r="C223" s="135" t="s">
        <v>399</v>
      </c>
      <c r="D223" s="135" t="s">
        <v>401</v>
      </c>
      <c r="E223" s="488">
        <v>1</v>
      </c>
      <c r="F223" s="14">
        <v>0</v>
      </c>
      <c r="G223" s="14">
        <v>3</v>
      </c>
      <c r="H223" s="14"/>
      <c r="I223" s="14"/>
      <c r="J223" s="14"/>
      <c r="K223" s="14"/>
      <c r="L223" s="14"/>
      <c r="M223" s="14"/>
      <c r="N223" s="14"/>
      <c r="O223" s="14"/>
      <c r="P223" s="14"/>
      <c r="Q223" s="14"/>
      <c r="R223" s="14"/>
      <c r="S223" s="14"/>
      <c r="T223" s="14"/>
      <c r="U223" s="14"/>
      <c r="V223" s="14">
        <v>4</v>
      </c>
      <c r="W223" s="14">
        <v>1.3</v>
      </c>
      <c r="X223" s="9"/>
      <c r="Z223" s="9"/>
    </row>
    <row r="224" spans="1:33" x14ac:dyDescent="0.3">
      <c r="A224" s="14">
        <v>215</v>
      </c>
      <c r="B224" s="135" t="s">
        <v>1518</v>
      </c>
      <c r="C224" s="135" t="s">
        <v>399</v>
      </c>
      <c r="D224" s="135" t="s">
        <v>70</v>
      </c>
      <c r="E224" s="488">
        <v>0</v>
      </c>
      <c r="F224" s="14">
        <v>0</v>
      </c>
      <c r="G224" s="14">
        <v>4</v>
      </c>
      <c r="H224" s="14"/>
      <c r="I224" s="14"/>
      <c r="J224" s="14"/>
      <c r="K224" s="14"/>
      <c r="L224" s="14"/>
      <c r="M224" s="14"/>
      <c r="N224" s="14"/>
      <c r="O224" s="14"/>
      <c r="P224" s="14"/>
      <c r="Q224" s="14"/>
      <c r="R224" s="14"/>
      <c r="S224" s="14"/>
      <c r="T224" s="14"/>
      <c r="U224" s="14"/>
      <c r="V224" s="14">
        <v>4</v>
      </c>
      <c r="W224" s="14">
        <v>4</v>
      </c>
      <c r="X224" s="9"/>
      <c r="Z224" s="9"/>
    </row>
    <row r="225" spans="1:26" x14ac:dyDescent="0.3">
      <c r="A225" s="14">
        <v>216</v>
      </c>
      <c r="B225" s="135" t="s">
        <v>94</v>
      </c>
      <c r="C225" s="135" t="s">
        <v>394</v>
      </c>
      <c r="D225" s="135" t="s">
        <v>37</v>
      </c>
      <c r="E225" s="488">
        <v>2</v>
      </c>
      <c r="F225" s="14">
        <v>2</v>
      </c>
      <c r="G225" s="14">
        <v>0</v>
      </c>
      <c r="H225" s="14"/>
      <c r="I225" s="14"/>
      <c r="J225" s="14"/>
      <c r="K225" s="14"/>
      <c r="L225" s="14"/>
      <c r="M225" s="14"/>
      <c r="N225" s="14"/>
      <c r="O225" s="14"/>
      <c r="P225" s="14"/>
      <c r="Q225" s="14"/>
      <c r="R225" s="14"/>
      <c r="S225" s="14"/>
      <c r="T225" s="14"/>
      <c r="U225" s="14"/>
      <c r="V225" s="14">
        <v>4</v>
      </c>
      <c r="W225" s="14">
        <v>2</v>
      </c>
      <c r="X225" s="9"/>
      <c r="Z225" s="9"/>
    </row>
    <row r="226" spans="1:26" x14ac:dyDescent="0.3">
      <c r="A226" s="14">
        <v>217</v>
      </c>
      <c r="B226" s="135" t="s">
        <v>105</v>
      </c>
      <c r="C226" s="135" t="s">
        <v>394</v>
      </c>
      <c r="D226" s="135" t="s">
        <v>395</v>
      </c>
      <c r="E226" s="488">
        <v>1</v>
      </c>
      <c r="F226" s="14">
        <v>1</v>
      </c>
      <c r="G226" s="14">
        <v>2</v>
      </c>
      <c r="H226" s="14"/>
      <c r="I226" s="14"/>
      <c r="J226" s="14"/>
      <c r="K226" s="14"/>
      <c r="L226" s="14"/>
      <c r="M226" s="14"/>
      <c r="N226" s="14"/>
      <c r="O226" s="14"/>
      <c r="P226" s="14"/>
      <c r="Q226" s="14"/>
      <c r="R226" s="14"/>
      <c r="S226" s="14"/>
      <c r="T226" s="14"/>
      <c r="U226" s="14"/>
      <c r="V226" s="14">
        <v>4</v>
      </c>
      <c r="W226" s="14">
        <v>1.3</v>
      </c>
      <c r="X226" s="9"/>
      <c r="Z226" s="9"/>
    </row>
    <row r="227" spans="1:26" x14ac:dyDescent="0.3">
      <c r="A227" s="14">
        <v>218</v>
      </c>
      <c r="B227" s="135" t="s">
        <v>221</v>
      </c>
      <c r="C227" s="135" t="s">
        <v>396</v>
      </c>
      <c r="D227" s="135" t="s">
        <v>32</v>
      </c>
      <c r="E227" s="488">
        <v>2</v>
      </c>
      <c r="F227" s="14">
        <v>1</v>
      </c>
      <c r="G227" s="14">
        <v>1</v>
      </c>
      <c r="H227" s="14"/>
      <c r="I227" s="14"/>
      <c r="J227" s="14"/>
      <c r="K227" s="14"/>
      <c r="L227" s="14"/>
      <c r="M227" s="14"/>
      <c r="N227" s="14"/>
      <c r="O227" s="14"/>
      <c r="P227" s="14"/>
      <c r="Q227" s="14"/>
      <c r="R227" s="14"/>
      <c r="S227" s="14"/>
      <c r="T227" s="14"/>
      <c r="U227" s="14"/>
      <c r="V227" s="14">
        <v>4</v>
      </c>
      <c r="W227" s="14">
        <v>1.3</v>
      </c>
      <c r="X227" s="9"/>
      <c r="Z227" s="9"/>
    </row>
    <row r="228" spans="1:26" x14ac:dyDescent="0.3">
      <c r="A228" s="14">
        <v>219</v>
      </c>
      <c r="B228" s="135" t="s">
        <v>134</v>
      </c>
      <c r="C228" s="135" t="s">
        <v>394</v>
      </c>
      <c r="D228" s="135" t="s">
        <v>52</v>
      </c>
      <c r="E228" s="488">
        <v>2</v>
      </c>
      <c r="F228" s="14">
        <v>2</v>
      </c>
      <c r="G228" s="14">
        <v>0</v>
      </c>
      <c r="H228" s="14"/>
      <c r="I228" s="14"/>
      <c r="J228" s="14"/>
      <c r="K228" s="14"/>
      <c r="L228" s="14"/>
      <c r="M228" s="14"/>
      <c r="N228" s="14"/>
      <c r="O228" s="14"/>
      <c r="P228" s="14"/>
      <c r="Q228" s="14"/>
      <c r="R228" s="14"/>
      <c r="S228" s="14"/>
      <c r="T228" s="14"/>
      <c r="U228" s="14"/>
      <c r="V228" s="14">
        <v>4</v>
      </c>
      <c r="W228" s="14">
        <v>1.3</v>
      </c>
      <c r="X228" s="9"/>
      <c r="Z228" s="9"/>
    </row>
    <row r="229" spans="1:26" x14ac:dyDescent="0.3">
      <c r="A229" s="14">
        <v>220</v>
      </c>
      <c r="B229" s="135" t="s">
        <v>312</v>
      </c>
      <c r="C229" s="135" t="s">
        <v>396</v>
      </c>
      <c r="D229" s="135" t="s">
        <v>401</v>
      </c>
      <c r="E229" s="488">
        <v>0</v>
      </c>
      <c r="F229" s="14">
        <v>2</v>
      </c>
      <c r="G229" s="14">
        <v>2</v>
      </c>
      <c r="H229" s="14"/>
      <c r="I229" s="14"/>
      <c r="J229" s="14"/>
      <c r="K229" s="14"/>
      <c r="L229" s="14"/>
      <c r="M229" s="14"/>
      <c r="N229" s="14"/>
      <c r="O229" s="14"/>
      <c r="P229" s="14"/>
      <c r="Q229" s="14"/>
      <c r="R229" s="14"/>
      <c r="S229" s="14"/>
      <c r="T229" s="14"/>
      <c r="U229" s="14"/>
      <c r="V229" s="14">
        <v>4</v>
      </c>
      <c r="W229" s="14">
        <v>1.3</v>
      </c>
      <c r="X229" s="9"/>
      <c r="Z229" s="9"/>
    </row>
    <row r="230" spans="1:26" x14ac:dyDescent="0.3">
      <c r="A230" s="14">
        <v>221</v>
      </c>
      <c r="B230" s="135" t="s">
        <v>266</v>
      </c>
      <c r="C230" s="135" t="s">
        <v>396</v>
      </c>
      <c r="D230" s="135" t="s">
        <v>52</v>
      </c>
      <c r="E230" s="488">
        <v>2</v>
      </c>
      <c r="F230" s="14">
        <v>1</v>
      </c>
      <c r="G230" s="14">
        <v>1</v>
      </c>
      <c r="H230" s="14"/>
      <c r="I230" s="14"/>
      <c r="J230" s="14"/>
      <c r="K230" s="14"/>
      <c r="L230" s="14"/>
      <c r="M230" s="14"/>
      <c r="N230" s="14"/>
      <c r="O230" s="14"/>
      <c r="P230" s="14"/>
      <c r="Q230" s="14"/>
      <c r="R230" s="14"/>
      <c r="S230" s="14"/>
      <c r="T230" s="14"/>
      <c r="U230" s="14"/>
      <c r="V230" s="14">
        <v>4</v>
      </c>
      <c r="W230" s="14">
        <v>1.3</v>
      </c>
      <c r="X230" s="9"/>
      <c r="Z230" s="9"/>
    </row>
    <row r="231" spans="1:26" x14ac:dyDescent="0.3">
      <c r="A231" s="14">
        <v>222</v>
      </c>
      <c r="B231" s="135" t="s">
        <v>151</v>
      </c>
      <c r="C231" s="135" t="s">
        <v>394</v>
      </c>
      <c r="D231" s="135" t="s">
        <v>409</v>
      </c>
      <c r="E231" s="488">
        <v>1</v>
      </c>
      <c r="F231" s="14">
        <v>2</v>
      </c>
      <c r="G231" s="14">
        <v>1</v>
      </c>
      <c r="H231" s="14"/>
      <c r="I231" s="14"/>
      <c r="J231" s="14"/>
      <c r="K231" s="14"/>
      <c r="L231" s="14"/>
      <c r="M231" s="14"/>
      <c r="N231" s="14"/>
      <c r="O231" s="14"/>
      <c r="P231" s="14"/>
      <c r="Q231" s="14"/>
      <c r="R231" s="14"/>
      <c r="S231" s="14"/>
      <c r="T231" s="14"/>
      <c r="U231" s="14"/>
      <c r="V231" s="14">
        <v>4</v>
      </c>
      <c r="W231" s="14">
        <v>1.3</v>
      </c>
      <c r="X231" s="9"/>
      <c r="Z231" s="9"/>
    </row>
    <row r="232" spans="1:26" x14ac:dyDescent="0.3">
      <c r="A232" s="14">
        <v>223</v>
      </c>
      <c r="B232" s="135" t="s">
        <v>95</v>
      </c>
      <c r="C232" s="135" t="s">
        <v>394</v>
      </c>
      <c r="D232" s="135" t="s">
        <v>14</v>
      </c>
      <c r="E232" s="488">
        <v>2</v>
      </c>
      <c r="F232" s="14">
        <v>1</v>
      </c>
      <c r="G232" s="14">
        <v>1</v>
      </c>
      <c r="H232" s="14"/>
      <c r="I232" s="14"/>
      <c r="J232" s="14"/>
      <c r="K232" s="14"/>
      <c r="L232" s="14"/>
      <c r="M232" s="14"/>
      <c r="N232" s="14"/>
      <c r="O232" s="14"/>
      <c r="P232" s="14"/>
      <c r="Q232" s="14"/>
      <c r="R232" s="14"/>
      <c r="S232" s="14"/>
      <c r="T232" s="14"/>
      <c r="U232" s="14"/>
      <c r="V232" s="14">
        <v>4</v>
      </c>
      <c r="W232" s="14">
        <v>1.3</v>
      </c>
      <c r="X232" s="9"/>
      <c r="Z232" s="9"/>
    </row>
    <row r="233" spans="1:26" x14ac:dyDescent="0.3">
      <c r="A233" s="14">
        <v>224</v>
      </c>
      <c r="B233" s="135" t="s">
        <v>531</v>
      </c>
      <c r="C233" s="135" t="s">
        <v>399</v>
      </c>
      <c r="D233" s="135" t="s">
        <v>30</v>
      </c>
      <c r="E233" s="488">
        <v>0</v>
      </c>
      <c r="F233" s="14">
        <v>0</v>
      </c>
      <c r="G233" s="14">
        <v>4</v>
      </c>
      <c r="H233" s="14"/>
      <c r="I233" s="14"/>
      <c r="J233" s="14"/>
      <c r="K233" s="14"/>
      <c r="L233" s="14"/>
      <c r="M233" s="14"/>
      <c r="N233" s="14"/>
      <c r="O233" s="14"/>
      <c r="P233" s="14"/>
      <c r="Q233" s="14"/>
      <c r="R233" s="14"/>
      <c r="S233" s="14"/>
      <c r="T233" s="14"/>
      <c r="U233" s="14"/>
      <c r="V233" s="14">
        <v>4</v>
      </c>
      <c r="W233" s="14">
        <v>4</v>
      </c>
      <c r="X233" s="9"/>
      <c r="Z233" s="9"/>
    </row>
    <row r="234" spans="1:26" x14ac:dyDescent="0.3">
      <c r="A234" s="14">
        <v>225</v>
      </c>
      <c r="B234" s="135" t="s">
        <v>359</v>
      </c>
      <c r="C234" s="135" t="s">
        <v>399</v>
      </c>
      <c r="D234" s="135" t="s">
        <v>43</v>
      </c>
      <c r="E234" s="488">
        <v>2</v>
      </c>
      <c r="F234" s="14">
        <v>1</v>
      </c>
      <c r="G234" s="14">
        <v>1</v>
      </c>
      <c r="H234" s="14"/>
      <c r="I234" s="14"/>
      <c r="J234" s="14"/>
      <c r="K234" s="14"/>
      <c r="L234" s="14"/>
      <c r="M234" s="14"/>
      <c r="N234" s="14"/>
      <c r="O234" s="14"/>
      <c r="P234" s="14"/>
      <c r="Q234" s="14"/>
      <c r="R234" s="14"/>
      <c r="S234" s="14"/>
      <c r="T234" s="14"/>
      <c r="U234" s="14"/>
      <c r="V234" s="14">
        <v>4</v>
      </c>
      <c r="W234" s="14">
        <v>1.3</v>
      </c>
      <c r="X234" s="9"/>
      <c r="Z234" s="9"/>
    </row>
    <row r="235" spans="1:26" x14ac:dyDescent="0.3">
      <c r="A235" s="14">
        <v>226</v>
      </c>
      <c r="B235" s="135" t="s">
        <v>1560</v>
      </c>
      <c r="C235" s="135" t="s">
        <v>399</v>
      </c>
      <c r="D235" s="135" t="s">
        <v>20</v>
      </c>
      <c r="E235" s="488">
        <v>0</v>
      </c>
      <c r="F235" s="14">
        <v>4</v>
      </c>
      <c r="G235" s="14">
        <v>0</v>
      </c>
      <c r="H235" s="14"/>
      <c r="I235" s="14"/>
      <c r="J235" s="14"/>
      <c r="K235" s="14"/>
      <c r="L235" s="14"/>
      <c r="M235" s="14"/>
      <c r="N235" s="14"/>
      <c r="O235" s="14"/>
      <c r="P235" s="14"/>
      <c r="Q235" s="14"/>
      <c r="R235" s="14"/>
      <c r="S235" s="14"/>
      <c r="T235" s="14"/>
      <c r="U235" s="14"/>
      <c r="V235" s="14">
        <v>4</v>
      </c>
      <c r="W235" s="14">
        <v>4</v>
      </c>
      <c r="X235" s="9"/>
      <c r="Z235" s="9"/>
    </row>
    <row r="236" spans="1:26" x14ac:dyDescent="0.3">
      <c r="A236" s="14">
        <v>227</v>
      </c>
      <c r="B236" s="135" t="s">
        <v>330</v>
      </c>
      <c r="C236" s="135" t="s">
        <v>399</v>
      </c>
      <c r="D236" s="135" t="s">
        <v>32</v>
      </c>
      <c r="E236" s="488">
        <v>1</v>
      </c>
      <c r="F236" s="14">
        <v>3</v>
      </c>
      <c r="G236" s="14">
        <v>0</v>
      </c>
      <c r="H236" s="14"/>
      <c r="I236" s="14"/>
      <c r="J236" s="14"/>
      <c r="K236" s="14"/>
      <c r="L236" s="14"/>
      <c r="M236" s="14"/>
      <c r="N236" s="14"/>
      <c r="O236" s="14"/>
      <c r="P236" s="14"/>
      <c r="Q236" s="14"/>
      <c r="R236" s="14"/>
      <c r="S236" s="14"/>
      <c r="T236" s="14"/>
      <c r="U236" s="14"/>
      <c r="V236" s="14">
        <v>4</v>
      </c>
      <c r="W236" s="14">
        <v>2</v>
      </c>
      <c r="X236" s="9"/>
      <c r="Z236" s="9"/>
    </row>
    <row r="237" spans="1:26" x14ac:dyDescent="0.3">
      <c r="A237" s="14">
        <v>228</v>
      </c>
      <c r="B237" s="135" t="s">
        <v>139</v>
      </c>
      <c r="C237" s="135" t="s">
        <v>394</v>
      </c>
      <c r="D237" s="135" t="s">
        <v>57</v>
      </c>
      <c r="E237" s="488">
        <v>0</v>
      </c>
      <c r="F237" s="14">
        <v>4</v>
      </c>
      <c r="G237" s="14">
        <v>0</v>
      </c>
      <c r="H237" s="14"/>
      <c r="I237" s="14"/>
      <c r="J237" s="14"/>
      <c r="K237" s="14"/>
      <c r="L237" s="14"/>
      <c r="M237" s="14"/>
      <c r="N237" s="14"/>
      <c r="O237" s="14"/>
      <c r="P237" s="14"/>
      <c r="Q237" s="14"/>
      <c r="R237" s="14"/>
      <c r="S237" s="14"/>
      <c r="T237" s="14"/>
      <c r="U237" s="14"/>
      <c r="V237" s="14">
        <v>4</v>
      </c>
      <c r="W237" s="14">
        <v>2</v>
      </c>
      <c r="X237" s="9"/>
      <c r="Z237" s="9"/>
    </row>
    <row r="238" spans="1:26" x14ac:dyDescent="0.3">
      <c r="A238" s="14">
        <v>229</v>
      </c>
      <c r="B238" s="135" t="s">
        <v>121</v>
      </c>
      <c r="C238" s="135" t="s">
        <v>394</v>
      </c>
      <c r="D238" s="135" t="s">
        <v>18</v>
      </c>
      <c r="E238" s="488">
        <v>1</v>
      </c>
      <c r="F238" s="14">
        <v>1</v>
      </c>
      <c r="G238" s="14">
        <v>2</v>
      </c>
      <c r="H238" s="14"/>
      <c r="I238" s="14"/>
      <c r="J238" s="14"/>
      <c r="K238" s="14"/>
      <c r="L238" s="14"/>
      <c r="M238" s="14"/>
      <c r="N238" s="14"/>
      <c r="O238" s="14"/>
      <c r="P238" s="14"/>
      <c r="Q238" s="14"/>
      <c r="R238" s="14"/>
      <c r="S238" s="14"/>
      <c r="T238" s="14"/>
      <c r="U238" s="14"/>
      <c r="V238" s="14">
        <v>4</v>
      </c>
      <c r="W238" s="14">
        <v>1.3</v>
      </c>
      <c r="X238" s="9"/>
      <c r="Z238" s="9"/>
    </row>
    <row r="239" spans="1:26" x14ac:dyDescent="0.3">
      <c r="A239" s="14">
        <v>230</v>
      </c>
      <c r="B239" s="135" t="s">
        <v>364</v>
      </c>
      <c r="C239" s="135" t="s">
        <v>399</v>
      </c>
      <c r="D239" s="135" t="s">
        <v>28</v>
      </c>
      <c r="E239" s="488">
        <v>0</v>
      </c>
      <c r="F239" s="14">
        <v>4</v>
      </c>
      <c r="G239" s="14">
        <v>0</v>
      </c>
      <c r="H239" s="14"/>
      <c r="I239" s="14"/>
      <c r="J239" s="14"/>
      <c r="K239" s="14"/>
      <c r="L239" s="14"/>
      <c r="M239" s="14"/>
      <c r="N239" s="14"/>
      <c r="O239" s="14"/>
      <c r="P239" s="14"/>
      <c r="Q239" s="14"/>
      <c r="R239" s="14"/>
      <c r="S239" s="14"/>
      <c r="T239" s="14"/>
      <c r="U239" s="14"/>
      <c r="V239" s="14">
        <v>4</v>
      </c>
      <c r="W239" s="14">
        <v>4</v>
      </c>
      <c r="X239" s="9"/>
      <c r="Z239" s="9"/>
    </row>
    <row r="240" spans="1:26" x14ac:dyDescent="0.3">
      <c r="A240" s="14">
        <v>231</v>
      </c>
      <c r="B240" s="135" t="s">
        <v>386</v>
      </c>
      <c r="C240" s="135" t="s">
        <v>399</v>
      </c>
      <c r="D240" s="135" t="s">
        <v>52</v>
      </c>
      <c r="E240" s="488">
        <v>1</v>
      </c>
      <c r="F240" s="14">
        <v>2</v>
      </c>
      <c r="G240" s="14">
        <v>1</v>
      </c>
      <c r="H240" s="14"/>
      <c r="I240" s="14"/>
      <c r="J240" s="14"/>
      <c r="K240" s="14"/>
      <c r="L240" s="14"/>
      <c r="M240" s="14"/>
      <c r="N240" s="14"/>
      <c r="O240" s="14"/>
      <c r="P240" s="14"/>
      <c r="Q240" s="14"/>
      <c r="R240" s="14"/>
      <c r="S240" s="14"/>
      <c r="T240" s="14"/>
      <c r="U240" s="14"/>
      <c r="V240" s="14">
        <v>4</v>
      </c>
      <c r="W240" s="14">
        <v>1.3</v>
      </c>
      <c r="X240" s="9"/>
      <c r="Z240" s="9"/>
    </row>
    <row r="241" spans="1:26" x14ac:dyDescent="0.3">
      <c r="A241" s="14">
        <v>232</v>
      </c>
      <c r="B241" s="135" t="s">
        <v>558</v>
      </c>
      <c r="C241" s="135" t="s">
        <v>399</v>
      </c>
      <c r="D241" s="135" t="s">
        <v>50</v>
      </c>
      <c r="E241" s="488">
        <v>1</v>
      </c>
      <c r="F241" s="14">
        <v>3</v>
      </c>
      <c r="G241" s="14">
        <v>0</v>
      </c>
      <c r="H241" s="14"/>
      <c r="I241" s="14"/>
      <c r="J241" s="14"/>
      <c r="K241" s="14"/>
      <c r="L241" s="14"/>
      <c r="M241" s="14"/>
      <c r="N241" s="14"/>
      <c r="O241" s="14"/>
      <c r="P241" s="14"/>
      <c r="Q241" s="14"/>
      <c r="R241" s="14"/>
      <c r="S241" s="14"/>
      <c r="T241" s="14"/>
      <c r="U241" s="14"/>
      <c r="V241" s="14">
        <v>4</v>
      </c>
      <c r="W241" s="14">
        <v>2</v>
      </c>
      <c r="X241" s="9"/>
      <c r="Z241" s="9"/>
    </row>
    <row r="242" spans="1:26" x14ac:dyDescent="0.3">
      <c r="A242" s="14">
        <v>233</v>
      </c>
      <c r="B242" s="135" t="s">
        <v>769</v>
      </c>
      <c r="C242" s="135" t="s">
        <v>399</v>
      </c>
      <c r="D242" s="135" t="s">
        <v>409</v>
      </c>
      <c r="E242" s="488">
        <v>4</v>
      </c>
      <c r="F242" s="14">
        <v>0</v>
      </c>
      <c r="G242" s="14">
        <v>0</v>
      </c>
      <c r="H242" s="14"/>
      <c r="I242" s="14"/>
      <c r="J242" s="14"/>
      <c r="K242" s="14"/>
      <c r="L242" s="14"/>
      <c r="M242" s="14"/>
      <c r="N242" s="14"/>
      <c r="O242" s="14"/>
      <c r="P242" s="14"/>
      <c r="Q242" s="14"/>
      <c r="R242" s="14"/>
      <c r="S242" s="14"/>
      <c r="T242" s="14"/>
      <c r="U242" s="14"/>
      <c r="V242" s="14">
        <v>4</v>
      </c>
      <c r="W242" s="14">
        <v>4</v>
      </c>
      <c r="X242" s="9"/>
      <c r="Z242" s="9"/>
    </row>
    <row r="243" spans="1:26" x14ac:dyDescent="0.3">
      <c r="A243" s="14">
        <v>234</v>
      </c>
      <c r="B243" s="135" t="s">
        <v>516</v>
      </c>
      <c r="C243" s="135" t="s">
        <v>394</v>
      </c>
      <c r="D243" s="135" t="s">
        <v>57</v>
      </c>
      <c r="E243" s="488">
        <v>0</v>
      </c>
      <c r="F243" s="14">
        <v>2</v>
      </c>
      <c r="G243" s="14">
        <v>2</v>
      </c>
      <c r="H243" s="14"/>
      <c r="I243" s="14"/>
      <c r="J243" s="14"/>
      <c r="K243" s="14"/>
      <c r="L243" s="14"/>
      <c r="M243" s="14"/>
      <c r="N243" s="14"/>
      <c r="O243" s="14"/>
      <c r="P243" s="14"/>
      <c r="Q243" s="14"/>
      <c r="R243" s="14"/>
      <c r="S243" s="14"/>
      <c r="T243" s="14"/>
      <c r="U243" s="14"/>
      <c r="V243" s="14">
        <v>4</v>
      </c>
      <c r="W243" s="14">
        <v>2</v>
      </c>
      <c r="X243" s="9"/>
      <c r="Z243" s="9"/>
    </row>
    <row r="244" spans="1:26" x14ac:dyDescent="0.3">
      <c r="A244" s="14">
        <v>235</v>
      </c>
      <c r="B244" s="135" t="s">
        <v>514</v>
      </c>
      <c r="C244" s="135" t="s">
        <v>396</v>
      </c>
      <c r="D244" s="135" t="s">
        <v>14</v>
      </c>
      <c r="E244" s="488">
        <v>0</v>
      </c>
      <c r="F244" s="14">
        <v>0</v>
      </c>
      <c r="G244" s="14">
        <v>4</v>
      </c>
      <c r="H244" s="14"/>
      <c r="I244" s="14"/>
      <c r="J244" s="14"/>
      <c r="K244" s="14"/>
      <c r="L244" s="14"/>
      <c r="M244" s="14"/>
      <c r="N244" s="14"/>
      <c r="O244" s="14"/>
      <c r="P244" s="14"/>
      <c r="Q244" s="14"/>
      <c r="R244" s="14"/>
      <c r="S244" s="14"/>
      <c r="T244" s="14"/>
      <c r="U244" s="14"/>
      <c r="V244" s="14">
        <v>4</v>
      </c>
      <c r="W244" s="14">
        <v>1.3</v>
      </c>
      <c r="X244" s="9"/>
      <c r="Z244" s="9"/>
    </row>
    <row r="245" spans="1:26" x14ac:dyDescent="0.3">
      <c r="A245" s="14">
        <v>236</v>
      </c>
      <c r="B245" s="135" t="s">
        <v>512</v>
      </c>
      <c r="C245" s="135" t="s">
        <v>394</v>
      </c>
      <c r="D245" s="135" t="s">
        <v>4</v>
      </c>
      <c r="E245" s="488">
        <v>2</v>
      </c>
      <c r="F245" s="14">
        <v>1</v>
      </c>
      <c r="G245" s="14">
        <v>1</v>
      </c>
      <c r="H245" s="14"/>
      <c r="I245" s="14"/>
      <c r="J245" s="14"/>
      <c r="K245" s="14"/>
      <c r="L245" s="14"/>
      <c r="M245" s="14"/>
      <c r="N245" s="14"/>
      <c r="O245" s="14"/>
      <c r="P245" s="14"/>
      <c r="Q245" s="14"/>
      <c r="R245" s="14"/>
      <c r="S245" s="14"/>
      <c r="T245" s="14"/>
      <c r="U245" s="14"/>
      <c r="V245" s="14">
        <v>4</v>
      </c>
      <c r="W245" s="14">
        <v>1.3</v>
      </c>
      <c r="X245" s="9"/>
      <c r="Z245" s="9"/>
    </row>
    <row r="246" spans="1:26" x14ac:dyDescent="0.3">
      <c r="A246" s="14">
        <v>237</v>
      </c>
      <c r="B246" s="135" t="s">
        <v>346</v>
      </c>
      <c r="C246" s="135" t="s">
        <v>399</v>
      </c>
      <c r="D246" s="135" t="s">
        <v>30</v>
      </c>
      <c r="E246" s="488">
        <v>0</v>
      </c>
      <c r="F246" s="14">
        <v>3</v>
      </c>
      <c r="G246" s="14">
        <v>0</v>
      </c>
      <c r="H246" s="247"/>
      <c r="I246" s="14"/>
      <c r="J246" s="14"/>
      <c r="K246" s="14"/>
      <c r="L246" s="14"/>
      <c r="M246" s="14"/>
      <c r="N246" s="14"/>
      <c r="O246" s="14"/>
      <c r="P246" s="14"/>
      <c r="Q246" s="14"/>
      <c r="R246" s="14"/>
      <c r="S246" s="14"/>
      <c r="T246" s="14"/>
      <c r="U246" s="14"/>
      <c r="V246" s="14">
        <v>3</v>
      </c>
      <c r="W246" s="14">
        <v>3</v>
      </c>
      <c r="X246" s="9"/>
      <c r="Z246" s="9"/>
    </row>
    <row r="247" spans="1:26" x14ac:dyDescent="0.3">
      <c r="A247" s="14">
        <v>238</v>
      </c>
      <c r="B247" s="135" t="s">
        <v>273</v>
      </c>
      <c r="C247" s="135" t="s">
        <v>396</v>
      </c>
      <c r="D247" s="135" t="s">
        <v>20</v>
      </c>
      <c r="E247" s="488">
        <v>0</v>
      </c>
      <c r="F247" s="14">
        <v>2</v>
      </c>
      <c r="G247" s="14">
        <v>1</v>
      </c>
      <c r="H247" s="14"/>
      <c r="I247" s="14"/>
      <c r="J247" s="14"/>
      <c r="K247" s="14"/>
      <c r="L247" s="14"/>
      <c r="M247" s="14"/>
      <c r="N247" s="14"/>
      <c r="O247" s="14"/>
      <c r="P247" s="14"/>
      <c r="Q247" s="14"/>
      <c r="R247" s="14"/>
      <c r="S247" s="14"/>
      <c r="T247" s="14"/>
      <c r="U247" s="14"/>
      <c r="V247" s="14">
        <v>3</v>
      </c>
      <c r="W247" s="14">
        <v>1.5</v>
      </c>
      <c r="X247" s="9"/>
      <c r="Z247" s="9"/>
    </row>
    <row r="248" spans="1:26" x14ac:dyDescent="0.3">
      <c r="A248" s="14">
        <v>239</v>
      </c>
      <c r="B248" s="135" t="s">
        <v>168</v>
      </c>
      <c r="C248" s="135" t="s">
        <v>394</v>
      </c>
      <c r="D248" s="135" t="s">
        <v>404</v>
      </c>
      <c r="E248" s="488">
        <v>1</v>
      </c>
      <c r="F248" s="14">
        <v>2</v>
      </c>
      <c r="G248" s="14">
        <v>0</v>
      </c>
      <c r="H248" s="14"/>
      <c r="I248" s="14"/>
      <c r="J248" s="14"/>
      <c r="K248" s="14"/>
      <c r="L248" s="14"/>
      <c r="M248" s="14"/>
      <c r="N248" s="14"/>
      <c r="O248" s="14"/>
      <c r="P248" s="14"/>
      <c r="Q248" s="14"/>
      <c r="R248" s="14"/>
      <c r="S248" s="14"/>
      <c r="T248" s="14"/>
      <c r="U248" s="14"/>
      <c r="V248" s="14">
        <v>3</v>
      </c>
      <c r="W248" s="14">
        <v>1</v>
      </c>
      <c r="X248" s="9"/>
      <c r="Z248" s="9"/>
    </row>
    <row r="249" spans="1:26" x14ac:dyDescent="0.3">
      <c r="A249" s="14">
        <v>240</v>
      </c>
      <c r="B249" s="135" t="s">
        <v>90</v>
      </c>
      <c r="C249" s="135" t="s">
        <v>394</v>
      </c>
      <c r="D249" s="135" t="s">
        <v>22</v>
      </c>
      <c r="E249" s="488">
        <v>1</v>
      </c>
      <c r="F249" s="14">
        <v>2</v>
      </c>
      <c r="G249" s="14">
        <v>0</v>
      </c>
      <c r="H249" s="14"/>
      <c r="I249" s="14"/>
      <c r="J249" s="14"/>
      <c r="K249" s="14"/>
      <c r="L249" s="14"/>
      <c r="M249" s="14"/>
      <c r="N249" s="14"/>
      <c r="O249" s="14"/>
      <c r="P249" s="14"/>
      <c r="Q249" s="14"/>
      <c r="R249" s="14"/>
      <c r="S249" s="14"/>
      <c r="T249" s="14"/>
      <c r="U249" s="14"/>
      <c r="V249" s="14">
        <v>3</v>
      </c>
      <c r="W249" s="14">
        <v>1.5</v>
      </c>
      <c r="X249" s="9"/>
      <c r="Z249" s="9"/>
    </row>
    <row r="250" spans="1:26" x14ac:dyDescent="0.3">
      <c r="A250" s="14">
        <v>241</v>
      </c>
      <c r="B250" s="135" t="s">
        <v>132</v>
      </c>
      <c r="C250" s="135" t="s">
        <v>394</v>
      </c>
      <c r="D250" s="135" t="s">
        <v>407</v>
      </c>
      <c r="E250" s="488">
        <v>0</v>
      </c>
      <c r="F250" s="14">
        <v>0</v>
      </c>
      <c r="G250" s="14">
        <v>3</v>
      </c>
      <c r="H250" s="14"/>
      <c r="I250" s="14"/>
      <c r="J250" s="14"/>
      <c r="K250" s="14"/>
      <c r="L250" s="14"/>
      <c r="M250" s="14"/>
      <c r="N250" s="14"/>
      <c r="O250" s="14"/>
      <c r="P250" s="14"/>
      <c r="Q250" s="14"/>
      <c r="R250" s="14"/>
      <c r="S250" s="14"/>
      <c r="T250" s="14"/>
      <c r="U250" s="14"/>
      <c r="V250" s="14">
        <v>3</v>
      </c>
      <c r="W250" s="14">
        <v>3</v>
      </c>
      <c r="X250" s="9"/>
      <c r="Z250" s="9"/>
    </row>
    <row r="251" spans="1:26" x14ac:dyDescent="0.3">
      <c r="A251" s="14">
        <v>242</v>
      </c>
      <c r="B251" s="135" t="s">
        <v>156</v>
      </c>
      <c r="C251" s="135" t="s">
        <v>394</v>
      </c>
      <c r="D251" s="135" t="s">
        <v>16</v>
      </c>
      <c r="E251" s="488">
        <v>2</v>
      </c>
      <c r="F251" s="14">
        <v>1</v>
      </c>
      <c r="G251" s="14">
        <v>0</v>
      </c>
      <c r="H251" s="14"/>
      <c r="I251" s="14"/>
      <c r="J251" s="14"/>
      <c r="K251" s="14"/>
      <c r="L251" s="14"/>
      <c r="M251" s="14"/>
      <c r="N251" s="14"/>
      <c r="O251" s="14"/>
      <c r="P251" s="14"/>
      <c r="Q251" s="14"/>
      <c r="R251" s="14"/>
      <c r="S251" s="14"/>
      <c r="T251" s="14"/>
      <c r="U251" s="14"/>
      <c r="V251" s="14">
        <v>3</v>
      </c>
      <c r="W251" s="14">
        <v>1</v>
      </c>
      <c r="X251" s="9"/>
      <c r="Z251" s="9"/>
    </row>
    <row r="252" spans="1:26" x14ac:dyDescent="0.3">
      <c r="A252" s="14">
        <v>243</v>
      </c>
      <c r="B252" s="135" t="s">
        <v>313</v>
      </c>
      <c r="C252" s="135" t="s">
        <v>396</v>
      </c>
      <c r="D252" s="135" t="s">
        <v>398</v>
      </c>
      <c r="E252" s="488">
        <v>0</v>
      </c>
      <c r="F252" s="14">
        <v>2</v>
      </c>
      <c r="G252" s="14">
        <v>1</v>
      </c>
      <c r="H252" s="14"/>
      <c r="I252" s="14"/>
      <c r="J252" s="14"/>
      <c r="K252" s="14"/>
      <c r="L252" s="14"/>
      <c r="M252" s="14"/>
      <c r="N252" s="14"/>
      <c r="O252" s="14"/>
      <c r="P252" s="14"/>
      <c r="Q252" s="14"/>
      <c r="R252" s="14"/>
      <c r="S252" s="14"/>
      <c r="T252" s="14"/>
      <c r="U252" s="14"/>
      <c r="V252" s="14">
        <v>3</v>
      </c>
      <c r="W252" s="14">
        <v>1.5</v>
      </c>
      <c r="X252" s="9"/>
      <c r="Z252" s="9"/>
    </row>
    <row r="253" spans="1:26" x14ac:dyDescent="0.3">
      <c r="A253" s="14">
        <v>244</v>
      </c>
      <c r="B253" s="135" t="s">
        <v>154</v>
      </c>
      <c r="C253" s="135" t="s">
        <v>394</v>
      </c>
      <c r="D253" s="135" t="s">
        <v>4</v>
      </c>
      <c r="E253" s="488">
        <v>0</v>
      </c>
      <c r="F253" s="14">
        <v>2</v>
      </c>
      <c r="G253" s="14">
        <v>1</v>
      </c>
      <c r="H253" s="14"/>
      <c r="I253" s="14"/>
      <c r="J253" s="14"/>
      <c r="K253" s="14"/>
      <c r="L253" s="14"/>
      <c r="M253" s="14"/>
      <c r="N253" s="14"/>
      <c r="O253" s="14"/>
      <c r="P253" s="14"/>
      <c r="Q253" s="14"/>
      <c r="R253" s="14"/>
      <c r="S253" s="14"/>
      <c r="T253" s="14"/>
      <c r="U253" s="14"/>
      <c r="V253" s="14">
        <v>3</v>
      </c>
      <c r="W253" s="14">
        <v>1</v>
      </c>
      <c r="X253" s="9"/>
    </row>
    <row r="254" spans="1:26" x14ac:dyDescent="0.3">
      <c r="A254" s="14">
        <v>245</v>
      </c>
      <c r="B254" s="135" t="s">
        <v>130</v>
      </c>
      <c r="C254" s="135" t="s">
        <v>394</v>
      </c>
      <c r="D254" s="135" t="s">
        <v>24</v>
      </c>
      <c r="E254" s="488">
        <v>2</v>
      </c>
      <c r="F254" s="14">
        <v>1</v>
      </c>
      <c r="G254" s="14">
        <v>0</v>
      </c>
      <c r="H254" s="14"/>
      <c r="I254" s="14"/>
      <c r="J254" s="14"/>
      <c r="K254" s="14"/>
      <c r="L254" s="14"/>
      <c r="M254" s="14"/>
      <c r="N254" s="14"/>
      <c r="O254" s="14"/>
      <c r="P254" s="14"/>
      <c r="Q254" s="14"/>
      <c r="R254" s="14"/>
      <c r="S254" s="14"/>
      <c r="T254" s="14"/>
      <c r="U254" s="14"/>
      <c r="V254" s="14">
        <v>3</v>
      </c>
      <c r="W254" s="14">
        <v>1</v>
      </c>
      <c r="X254" s="9"/>
    </row>
    <row r="255" spans="1:26" x14ac:dyDescent="0.3">
      <c r="A255" s="14">
        <v>246</v>
      </c>
      <c r="B255" s="135" t="s">
        <v>304</v>
      </c>
      <c r="C255" s="135" t="s">
        <v>396</v>
      </c>
      <c r="D255" s="135" t="s">
        <v>70</v>
      </c>
      <c r="E255" s="488">
        <v>0</v>
      </c>
      <c r="F255" s="14">
        <v>2</v>
      </c>
      <c r="G255" s="14">
        <v>1</v>
      </c>
      <c r="H255" s="14"/>
      <c r="I255" s="14"/>
      <c r="J255" s="14"/>
      <c r="K255" s="14"/>
      <c r="L255" s="14"/>
      <c r="M255" s="14"/>
      <c r="N255" s="14"/>
      <c r="O255" s="14"/>
      <c r="P255" s="14"/>
      <c r="Q255" s="14"/>
      <c r="R255" s="14"/>
      <c r="S255" s="14"/>
      <c r="T255" s="14"/>
      <c r="U255" s="14"/>
      <c r="V255" s="14">
        <v>3</v>
      </c>
      <c r="W255" s="14">
        <v>1</v>
      </c>
      <c r="X255" s="9"/>
    </row>
    <row r="256" spans="1:26" x14ac:dyDescent="0.3">
      <c r="A256" s="14">
        <v>247</v>
      </c>
      <c r="B256" s="135" t="s">
        <v>279</v>
      </c>
      <c r="C256" s="135" t="s">
        <v>396</v>
      </c>
      <c r="D256" s="135" t="s">
        <v>18</v>
      </c>
      <c r="E256" s="488">
        <v>1</v>
      </c>
      <c r="F256" s="14">
        <v>1</v>
      </c>
      <c r="G256" s="14">
        <v>1</v>
      </c>
      <c r="H256" s="14"/>
      <c r="I256" s="14"/>
      <c r="J256" s="14"/>
      <c r="K256" s="14"/>
      <c r="L256" s="14"/>
      <c r="M256" s="14"/>
      <c r="N256" s="14"/>
      <c r="O256" s="14"/>
      <c r="P256" s="14"/>
      <c r="Q256" s="14"/>
      <c r="R256" s="14"/>
      <c r="S256" s="14"/>
      <c r="T256" s="14"/>
      <c r="U256" s="14"/>
      <c r="V256" s="14">
        <v>3</v>
      </c>
      <c r="W256" s="14">
        <v>1</v>
      </c>
      <c r="X256" s="9"/>
    </row>
    <row r="257" spans="1:24" x14ac:dyDescent="0.3">
      <c r="A257" s="14">
        <v>248</v>
      </c>
      <c r="B257" s="135" t="s">
        <v>481</v>
      </c>
      <c r="C257" s="135" t="s">
        <v>396</v>
      </c>
      <c r="D257" s="135" t="s">
        <v>28</v>
      </c>
      <c r="E257" s="488">
        <v>1</v>
      </c>
      <c r="F257" s="14">
        <v>1</v>
      </c>
      <c r="G257" s="14">
        <v>1</v>
      </c>
      <c r="H257" s="14"/>
      <c r="I257" s="14"/>
      <c r="J257" s="14"/>
      <c r="K257" s="14"/>
      <c r="L257" s="14"/>
      <c r="M257" s="14"/>
      <c r="N257" s="14"/>
      <c r="O257" s="14"/>
      <c r="P257" s="14"/>
      <c r="Q257" s="14"/>
      <c r="R257" s="14"/>
      <c r="S257" s="14"/>
      <c r="T257" s="14"/>
      <c r="U257" s="14"/>
      <c r="V257" s="14">
        <v>3</v>
      </c>
      <c r="W257" s="14">
        <v>1</v>
      </c>
      <c r="X257" s="9"/>
    </row>
    <row r="258" spans="1:24" x14ac:dyDescent="0.3">
      <c r="A258" s="14">
        <v>249</v>
      </c>
      <c r="B258" s="135" t="s">
        <v>356</v>
      </c>
      <c r="C258" s="135" t="s">
        <v>399</v>
      </c>
      <c r="D258" s="135" t="s">
        <v>398</v>
      </c>
      <c r="E258" s="488">
        <v>0</v>
      </c>
      <c r="F258" s="14">
        <v>2</v>
      </c>
      <c r="G258" s="14">
        <v>1</v>
      </c>
      <c r="H258" s="14"/>
      <c r="I258" s="14"/>
      <c r="J258" s="14"/>
      <c r="K258" s="14"/>
      <c r="L258" s="14"/>
      <c r="M258" s="14"/>
      <c r="N258" s="14"/>
      <c r="O258" s="14"/>
      <c r="P258" s="14"/>
      <c r="Q258" s="14"/>
      <c r="R258" s="14"/>
      <c r="S258" s="14"/>
      <c r="T258" s="14"/>
      <c r="U258" s="14"/>
      <c r="V258" s="14">
        <v>3</v>
      </c>
      <c r="W258" s="14">
        <v>1.5</v>
      </c>
      <c r="X258" s="9"/>
    </row>
    <row r="259" spans="1:24" x14ac:dyDescent="0.3">
      <c r="A259" s="14">
        <v>250</v>
      </c>
      <c r="B259" s="135" t="s">
        <v>406</v>
      </c>
      <c r="C259" s="135" t="s">
        <v>394</v>
      </c>
      <c r="D259" s="135" t="s">
        <v>14</v>
      </c>
      <c r="E259" s="488">
        <v>2</v>
      </c>
      <c r="F259" s="14">
        <v>0</v>
      </c>
      <c r="G259" s="14">
        <v>1</v>
      </c>
      <c r="H259" s="14"/>
      <c r="I259" s="14"/>
      <c r="J259" s="14"/>
      <c r="K259" s="14"/>
      <c r="L259" s="14"/>
      <c r="M259" s="14"/>
      <c r="N259" s="14"/>
      <c r="O259" s="14"/>
      <c r="P259" s="14"/>
      <c r="Q259" s="14"/>
      <c r="R259" s="14"/>
      <c r="S259" s="14"/>
      <c r="T259" s="14"/>
      <c r="U259" s="14"/>
      <c r="V259" s="14">
        <v>3</v>
      </c>
      <c r="W259" s="14">
        <v>1.5</v>
      </c>
      <c r="X259" s="9"/>
    </row>
    <row r="260" spans="1:24" x14ac:dyDescent="0.3">
      <c r="A260" s="14">
        <v>251</v>
      </c>
      <c r="B260" s="135" t="s">
        <v>296</v>
      </c>
      <c r="C260" s="135" t="s">
        <v>396</v>
      </c>
      <c r="D260" s="135" t="s">
        <v>46</v>
      </c>
      <c r="E260" s="488">
        <v>0</v>
      </c>
      <c r="F260" s="14">
        <v>0</v>
      </c>
      <c r="G260" s="14">
        <v>3</v>
      </c>
      <c r="H260" s="14"/>
      <c r="I260" s="14"/>
      <c r="J260" s="14"/>
      <c r="K260" s="14"/>
      <c r="L260" s="14"/>
      <c r="M260" s="14"/>
      <c r="N260" s="14"/>
      <c r="O260" s="14"/>
      <c r="P260" s="14"/>
      <c r="Q260" s="14"/>
      <c r="R260" s="14"/>
      <c r="S260" s="14"/>
      <c r="T260" s="14"/>
      <c r="U260" s="14"/>
      <c r="V260" s="14">
        <v>3</v>
      </c>
      <c r="W260" s="14">
        <v>3</v>
      </c>
      <c r="X260" s="9"/>
    </row>
    <row r="261" spans="1:24" x14ac:dyDescent="0.3">
      <c r="A261" s="14">
        <v>252</v>
      </c>
      <c r="B261" s="135" t="s">
        <v>549</v>
      </c>
      <c r="C261" s="135" t="s">
        <v>399</v>
      </c>
      <c r="D261" s="135" t="s">
        <v>397</v>
      </c>
      <c r="E261" s="488">
        <v>1</v>
      </c>
      <c r="F261" s="14">
        <v>0</v>
      </c>
      <c r="G261" s="14">
        <v>2</v>
      </c>
      <c r="H261" s="14"/>
      <c r="I261" s="14"/>
      <c r="J261" s="14"/>
      <c r="K261" s="14"/>
      <c r="L261" s="14"/>
      <c r="M261" s="14"/>
      <c r="N261" s="14"/>
      <c r="O261" s="14"/>
      <c r="P261" s="14"/>
      <c r="Q261" s="14"/>
      <c r="R261" s="14"/>
      <c r="S261" s="14"/>
      <c r="T261" s="14"/>
      <c r="U261" s="14"/>
      <c r="V261" s="14">
        <v>3</v>
      </c>
      <c r="W261" s="14">
        <v>1.5</v>
      </c>
      <c r="X261" s="9"/>
    </row>
    <row r="262" spans="1:24" x14ac:dyDescent="0.3">
      <c r="A262" s="14">
        <v>253</v>
      </c>
      <c r="B262" s="135" t="s">
        <v>458</v>
      </c>
      <c r="C262" s="135" t="s">
        <v>394</v>
      </c>
      <c r="D262" s="135" t="s">
        <v>30</v>
      </c>
      <c r="E262" s="488">
        <v>2</v>
      </c>
      <c r="F262" s="14">
        <v>1</v>
      </c>
      <c r="G262" s="14">
        <v>0</v>
      </c>
      <c r="H262" s="14"/>
      <c r="I262" s="14"/>
      <c r="J262" s="14"/>
      <c r="K262" s="14"/>
      <c r="L262" s="14"/>
      <c r="M262" s="14"/>
      <c r="N262" s="14"/>
      <c r="O262" s="14"/>
      <c r="P262" s="14"/>
      <c r="Q262" s="14"/>
      <c r="R262" s="14"/>
      <c r="S262" s="14"/>
      <c r="T262" s="14"/>
      <c r="U262" s="14"/>
      <c r="V262" s="14">
        <v>3</v>
      </c>
      <c r="W262" s="14">
        <v>1</v>
      </c>
      <c r="X262" s="9"/>
    </row>
    <row r="263" spans="1:24" x14ac:dyDescent="0.3">
      <c r="A263" s="14">
        <v>254</v>
      </c>
      <c r="B263" s="135" t="s">
        <v>461</v>
      </c>
      <c r="C263" s="135" t="s">
        <v>394</v>
      </c>
      <c r="D263" s="135" t="s">
        <v>4</v>
      </c>
      <c r="E263" s="488">
        <v>1</v>
      </c>
      <c r="F263" s="14">
        <v>1</v>
      </c>
      <c r="G263" s="14">
        <v>1</v>
      </c>
      <c r="H263" s="14"/>
      <c r="I263" s="14"/>
      <c r="J263" s="14"/>
      <c r="K263" s="14"/>
      <c r="L263" s="14"/>
      <c r="M263" s="14"/>
      <c r="N263" s="14"/>
      <c r="O263" s="14"/>
      <c r="P263" s="14"/>
      <c r="Q263" s="14"/>
      <c r="R263" s="14"/>
      <c r="S263" s="14"/>
      <c r="T263" s="14"/>
      <c r="U263" s="14"/>
      <c r="V263" s="14">
        <v>3</v>
      </c>
      <c r="W263" s="14">
        <v>1</v>
      </c>
      <c r="X263" s="9"/>
    </row>
    <row r="264" spans="1:24" x14ac:dyDescent="0.3">
      <c r="A264" s="14">
        <v>255</v>
      </c>
      <c r="B264" s="135" t="s">
        <v>518</v>
      </c>
      <c r="C264" s="135" t="s">
        <v>396</v>
      </c>
      <c r="D264" s="135" t="s">
        <v>16</v>
      </c>
      <c r="E264" s="488">
        <v>0</v>
      </c>
      <c r="F264" s="14">
        <v>1</v>
      </c>
      <c r="G264" s="14">
        <v>2</v>
      </c>
      <c r="H264" s="14"/>
      <c r="I264" s="14"/>
      <c r="J264" s="14"/>
      <c r="K264" s="14"/>
      <c r="L264" s="14"/>
      <c r="M264" s="14"/>
      <c r="N264" s="14"/>
      <c r="O264" s="14"/>
      <c r="P264" s="14"/>
      <c r="Q264" s="14"/>
      <c r="R264" s="14"/>
      <c r="S264" s="14"/>
      <c r="T264" s="14"/>
      <c r="U264" s="14"/>
      <c r="V264" s="14">
        <v>3</v>
      </c>
      <c r="W264" s="14">
        <v>1.5</v>
      </c>
      <c r="X264" s="9"/>
    </row>
    <row r="265" spans="1:24" x14ac:dyDescent="0.3">
      <c r="A265" s="14">
        <v>256</v>
      </c>
      <c r="B265" s="135" t="s">
        <v>476</v>
      </c>
      <c r="C265" s="135" t="s">
        <v>396</v>
      </c>
      <c r="D265" s="135" t="s">
        <v>561</v>
      </c>
      <c r="E265" s="488">
        <v>0</v>
      </c>
      <c r="F265" s="14">
        <v>2</v>
      </c>
      <c r="G265" s="14">
        <v>0</v>
      </c>
      <c r="H265" s="14"/>
      <c r="I265" s="14"/>
      <c r="J265" s="14"/>
      <c r="K265" s="14"/>
      <c r="L265" s="14"/>
      <c r="M265" s="14"/>
      <c r="N265" s="14"/>
      <c r="O265" s="14"/>
      <c r="P265" s="14"/>
      <c r="Q265" s="14"/>
      <c r="R265" s="14"/>
      <c r="S265" s="14"/>
      <c r="T265" s="14"/>
      <c r="U265" s="14"/>
      <c r="V265" s="14">
        <v>2</v>
      </c>
      <c r="W265" s="14">
        <v>0.7</v>
      </c>
      <c r="X265" s="9"/>
    </row>
    <row r="266" spans="1:24" x14ac:dyDescent="0.3">
      <c r="A266" s="14">
        <v>257</v>
      </c>
      <c r="B266" s="135" t="s">
        <v>305</v>
      </c>
      <c r="C266" s="135" t="s">
        <v>396</v>
      </c>
      <c r="D266" s="135" t="s">
        <v>26</v>
      </c>
      <c r="E266" s="488">
        <v>1</v>
      </c>
      <c r="F266" s="14">
        <v>0</v>
      </c>
      <c r="G266" s="14">
        <v>1</v>
      </c>
      <c r="H266" s="14"/>
      <c r="I266" s="14"/>
      <c r="J266" s="14"/>
      <c r="K266" s="14"/>
      <c r="L266" s="14"/>
      <c r="M266" s="14"/>
      <c r="N266" s="14"/>
      <c r="O266" s="14"/>
      <c r="P266" s="14"/>
      <c r="Q266" s="14"/>
      <c r="R266" s="14"/>
      <c r="S266" s="14"/>
      <c r="T266" s="14"/>
      <c r="U266" s="14"/>
      <c r="V266" s="14">
        <v>2</v>
      </c>
      <c r="W266" s="14">
        <v>0.7</v>
      </c>
      <c r="X266" s="9"/>
    </row>
    <row r="267" spans="1:24" x14ac:dyDescent="0.3">
      <c r="A267" s="14">
        <v>258</v>
      </c>
      <c r="B267" s="135" t="s">
        <v>353</v>
      </c>
      <c r="C267" s="135" t="s">
        <v>399</v>
      </c>
      <c r="D267" s="135" t="s">
        <v>22</v>
      </c>
      <c r="E267" s="488">
        <v>0</v>
      </c>
      <c r="F267" s="14">
        <v>1</v>
      </c>
      <c r="G267" s="14">
        <v>1</v>
      </c>
      <c r="H267" s="14"/>
      <c r="I267" s="14"/>
      <c r="J267" s="14"/>
      <c r="K267" s="14"/>
      <c r="L267" s="14"/>
      <c r="M267" s="14"/>
      <c r="N267" s="14"/>
      <c r="O267" s="14"/>
      <c r="P267" s="14"/>
      <c r="Q267" s="14"/>
      <c r="R267" s="14"/>
      <c r="S267" s="14"/>
      <c r="T267" s="14"/>
      <c r="U267" s="14"/>
      <c r="V267" s="14">
        <v>2</v>
      </c>
      <c r="W267" s="14">
        <v>1</v>
      </c>
      <c r="X267" s="9"/>
    </row>
    <row r="268" spans="1:24" x14ac:dyDescent="0.3">
      <c r="A268" s="14">
        <v>259</v>
      </c>
      <c r="B268" s="135" t="s">
        <v>171</v>
      </c>
      <c r="C268" s="135" t="s">
        <v>394</v>
      </c>
      <c r="D268" s="135" t="s">
        <v>401</v>
      </c>
      <c r="E268" s="488">
        <v>0</v>
      </c>
      <c r="F268" s="14">
        <v>1</v>
      </c>
      <c r="G268" s="14">
        <v>1</v>
      </c>
      <c r="H268" s="14"/>
      <c r="I268" s="14"/>
      <c r="J268" s="14"/>
      <c r="K268" s="14"/>
      <c r="L268" s="14"/>
      <c r="M268" s="14"/>
      <c r="N268" s="14"/>
      <c r="O268" s="14"/>
      <c r="P268" s="14"/>
      <c r="Q268" s="14"/>
      <c r="R268" s="14"/>
      <c r="S268" s="14"/>
      <c r="T268" s="14"/>
      <c r="U268" s="14"/>
      <c r="V268" s="14">
        <v>2</v>
      </c>
      <c r="W268" s="14">
        <v>1</v>
      </c>
      <c r="X268" s="9"/>
    </row>
    <row r="269" spans="1:24" x14ac:dyDescent="0.3">
      <c r="A269" s="14">
        <v>260</v>
      </c>
      <c r="B269" s="135" t="s">
        <v>235</v>
      </c>
      <c r="C269" s="135" t="s">
        <v>396</v>
      </c>
      <c r="D269" s="135" t="s">
        <v>401</v>
      </c>
      <c r="E269" s="488">
        <v>0</v>
      </c>
      <c r="F269" s="14">
        <v>2</v>
      </c>
      <c r="G269" s="14">
        <v>0</v>
      </c>
      <c r="H269" s="14"/>
      <c r="I269" s="14"/>
      <c r="J269" s="14"/>
      <c r="K269" s="14"/>
      <c r="L269" s="14"/>
      <c r="M269" s="14"/>
      <c r="N269" s="14"/>
      <c r="O269" s="14"/>
      <c r="P269" s="14"/>
      <c r="Q269" s="14"/>
      <c r="R269" s="14"/>
      <c r="S269" s="14"/>
      <c r="T269" s="14"/>
      <c r="U269" s="14"/>
      <c r="V269" s="14">
        <v>2</v>
      </c>
      <c r="W269" s="14">
        <v>2</v>
      </c>
      <c r="X269" s="9"/>
    </row>
    <row r="270" spans="1:24" x14ac:dyDescent="0.3">
      <c r="A270" s="14">
        <v>261</v>
      </c>
      <c r="B270" s="135" t="s">
        <v>166</v>
      </c>
      <c r="C270" s="135" t="s">
        <v>394</v>
      </c>
      <c r="D270" s="135" t="s">
        <v>4</v>
      </c>
      <c r="E270" s="488">
        <v>2</v>
      </c>
      <c r="F270" s="14">
        <v>0</v>
      </c>
      <c r="G270" s="14">
        <v>0</v>
      </c>
      <c r="H270" s="14"/>
      <c r="I270" s="14"/>
      <c r="J270" s="14"/>
      <c r="K270" s="14"/>
      <c r="L270" s="14"/>
      <c r="M270" s="14"/>
      <c r="N270" s="14"/>
      <c r="O270" s="14"/>
      <c r="P270" s="14"/>
      <c r="Q270" s="14"/>
      <c r="R270" s="14"/>
      <c r="S270" s="14"/>
      <c r="T270" s="14"/>
      <c r="U270" s="14"/>
      <c r="V270" s="14">
        <v>2</v>
      </c>
      <c r="W270" s="14">
        <v>0.7</v>
      </c>
      <c r="X270" s="9"/>
    </row>
    <row r="271" spans="1:24" x14ac:dyDescent="0.3">
      <c r="A271" s="14">
        <v>262</v>
      </c>
      <c r="B271" s="135" t="s">
        <v>148</v>
      </c>
      <c r="C271" s="135" t="s">
        <v>394</v>
      </c>
      <c r="D271" s="135" t="s">
        <v>52</v>
      </c>
      <c r="E271" s="488">
        <v>1</v>
      </c>
      <c r="F271" s="14">
        <v>0</v>
      </c>
      <c r="G271" s="14">
        <v>1</v>
      </c>
      <c r="H271" s="14"/>
      <c r="I271" s="14"/>
      <c r="J271" s="14"/>
      <c r="K271" s="14"/>
      <c r="L271" s="14"/>
      <c r="M271" s="14"/>
      <c r="N271" s="14"/>
      <c r="O271" s="14"/>
      <c r="P271" s="14"/>
      <c r="Q271" s="14"/>
      <c r="R271" s="14"/>
      <c r="S271" s="14"/>
      <c r="T271" s="14"/>
      <c r="U271" s="14"/>
      <c r="V271" s="14">
        <v>2</v>
      </c>
      <c r="W271" s="14">
        <v>0.7</v>
      </c>
      <c r="X271" s="9"/>
    </row>
    <row r="272" spans="1:24" x14ac:dyDescent="0.3">
      <c r="A272" s="14">
        <v>263</v>
      </c>
      <c r="B272" s="135" t="s">
        <v>181</v>
      </c>
      <c r="C272" s="135" t="s">
        <v>394</v>
      </c>
      <c r="D272" s="135" t="s">
        <v>37</v>
      </c>
      <c r="E272" s="488">
        <v>0</v>
      </c>
      <c r="F272" s="14">
        <v>0</v>
      </c>
      <c r="G272" s="14">
        <v>2</v>
      </c>
      <c r="H272" s="14"/>
      <c r="I272" s="14"/>
      <c r="J272" s="14"/>
      <c r="K272" s="14"/>
      <c r="L272" s="14"/>
      <c r="M272" s="14"/>
      <c r="N272" s="14"/>
      <c r="O272" s="14"/>
      <c r="P272" s="14"/>
      <c r="Q272" s="14"/>
      <c r="R272" s="14"/>
      <c r="S272" s="14"/>
      <c r="T272" s="14"/>
      <c r="U272" s="14"/>
      <c r="V272" s="14">
        <v>2</v>
      </c>
      <c r="W272" s="14">
        <v>2</v>
      </c>
      <c r="X272" s="9"/>
    </row>
    <row r="273" spans="1:24" x14ac:dyDescent="0.3">
      <c r="A273" s="14">
        <v>264</v>
      </c>
      <c r="B273" s="135" t="s">
        <v>161</v>
      </c>
      <c r="C273" s="135" t="s">
        <v>394</v>
      </c>
      <c r="D273" s="135" t="s">
        <v>41</v>
      </c>
      <c r="E273" s="488">
        <v>0</v>
      </c>
      <c r="F273" s="14">
        <v>1</v>
      </c>
      <c r="G273" s="14">
        <v>1</v>
      </c>
      <c r="H273" s="14"/>
      <c r="I273" s="14"/>
      <c r="J273" s="14"/>
      <c r="K273" s="14"/>
      <c r="L273" s="14"/>
      <c r="M273" s="14"/>
      <c r="N273" s="14"/>
      <c r="O273" s="14"/>
      <c r="P273" s="14"/>
      <c r="Q273" s="14"/>
      <c r="R273" s="14"/>
      <c r="S273" s="14"/>
      <c r="T273" s="14"/>
      <c r="U273" s="14"/>
      <c r="V273" s="14">
        <v>2</v>
      </c>
      <c r="W273" s="14">
        <v>0.7</v>
      </c>
      <c r="X273" s="9"/>
    </row>
    <row r="274" spans="1:24" x14ac:dyDescent="0.3">
      <c r="A274" s="14">
        <v>265</v>
      </c>
      <c r="B274" s="135" t="s">
        <v>316</v>
      </c>
      <c r="C274" s="135" t="s">
        <v>396</v>
      </c>
      <c r="D274" s="135" t="s">
        <v>41</v>
      </c>
      <c r="E274" s="488">
        <v>1</v>
      </c>
      <c r="F274" s="14">
        <v>0</v>
      </c>
      <c r="G274" s="14">
        <v>1</v>
      </c>
      <c r="H274" s="14"/>
      <c r="I274" s="14"/>
      <c r="J274" s="14"/>
      <c r="K274" s="14"/>
      <c r="L274" s="14"/>
      <c r="M274" s="14"/>
      <c r="N274" s="14"/>
      <c r="O274" s="14"/>
      <c r="P274" s="14"/>
      <c r="Q274" s="14"/>
      <c r="R274" s="14"/>
      <c r="S274" s="14"/>
      <c r="T274" s="14"/>
      <c r="U274" s="14"/>
      <c r="V274" s="14">
        <v>2</v>
      </c>
      <c r="W274" s="14">
        <v>0.7</v>
      </c>
      <c r="X274" s="9"/>
    </row>
    <row r="275" spans="1:24" x14ac:dyDescent="0.3">
      <c r="A275" s="14">
        <v>266</v>
      </c>
      <c r="B275" s="135" t="s">
        <v>133</v>
      </c>
      <c r="C275" s="135" t="s">
        <v>394</v>
      </c>
      <c r="D275" s="135" t="s">
        <v>561</v>
      </c>
      <c r="E275" s="488">
        <v>0</v>
      </c>
      <c r="F275" s="14">
        <v>2</v>
      </c>
      <c r="G275" s="14">
        <v>0</v>
      </c>
      <c r="H275" s="14"/>
      <c r="I275" s="14"/>
      <c r="J275" s="14"/>
      <c r="K275" s="14"/>
      <c r="L275" s="14"/>
      <c r="M275" s="14"/>
      <c r="N275" s="14"/>
      <c r="O275" s="14"/>
      <c r="P275" s="14"/>
      <c r="Q275" s="14"/>
      <c r="R275" s="14"/>
      <c r="S275" s="14"/>
      <c r="T275" s="14"/>
      <c r="U275" s="14"/>
      <c r="V275" s="14">
        <v>2</v>
      </c>
      <c r="W275" s="14">
        <v>0.7</v>
      </c>
      <c r="X275" s="9"/>
    </row>
    <row r="276" spans="1:24" x14ac:dyDescent="0.3">
      <c r="A276" s="14">
        <v>267</v>
      </c>
      <c r="B276" s="135" t="s">
        <v>118</v>
      </c>
      <c r="C276" s="135" t="s">
        <v>394</v>
      </c>
      <c r="D276" s="135" t="s">
        <v>10</v>
      </c>
      <c r="E276" s="488">
        <v>1</v>
      </c>
      <c r="F276" s="14">
        <v>1</v>
      </c>
      <c r="G276" s="14">
        <v>0</v>
      </c>
      <c r="H276" s="14"/>
      <c r="I276" s="14"/>
      <c r="J276" s="14"/>
      <c r="K276" s="14"/>
      <c r="L276" s="14"/>
      <c r="M276" s="14"/>
      <c r="N276" s="14"/>
      <c r="O276" s="14"/>
      <c r="P276" s="14"/>
      <c r="Q276" s="14"/>
      <c r="R276" s="14"/>
      <c r="S276" s="14"/>
      <c r="T276" s="14"/>
      <c r="U276" s="14"/>
      <c r="V276" s="14">
        <v>2</v>
      </c>
      <c r="W276" s="14">
        <v>0.7</v>
      </c>
      <c r="X276" s="9"/>
    </row>
    <row r="277" spans="1:24" x14ac:dyDescent="0.3">
      <c r="A277" s="14">
        <v>268</v>
      </c>
      <c r="B277" s="135" t="s">
        <v>376</v>
      </c>
      <c r="C277" s="135" t="s">
        <v>399</v>
      </c>
      <c r="D277" s="135" t="s">
        <v>50</v>
      </c>
      <c r="E277" s="488">
        <v>0</v>
      </c>
      <c r="F277" s="14">
        <v>2</v>
      </c>
      <c r="G277" s="14">
        <v>0</v>
      </c>
      <c r="H277" s="247"/>
      <c r="I277" s="14"/>
      <c r="J277" s="14"/>
      <c r="K277" s="14"/>
      <c r="L277" s="14"/>
      <c r="M277" s="14"/>
      <c r="N277" s="14"/>
      <c r="O277" s="14"/>
      <c r="P277" s="14"/>
      <c r="Q277" s="14"/>
      <c r="R277" s="14"/>
      <c r="S277" s="14"/>
      <c r="T277" s="14"/>
      <c r="U277" s="14"/>
      <c r="V277" s="14">
        <v>2</v>
      </c>
      <c r="W277" s="14">
        <v>2</v>
      </c>
      <c r="X277" s="9"/>
    </row>
    <row r="278" spans="1:24" x14ac:dyDescent="0.3">
      <c r="A278" s="14">
        <v>269</v>
      </c>
      <c r="B278" s="135" t="s">
        <v>371</v>
      </c>
      <c r="C278" s="135" t="s">
        <v>399</v>
      </c>
      <c r="D278" s="135" t="s">
        <v>24</v>
      </c>
      <c r="E278" s="488">
        <v>0</v>
      </c>
      <c r="F278" s="14">
        <v>1</v>
      </c>
      <c r="G278" s="14">
        <v>1</v>
      </c>
      <c r="H278" s="14"/>
      <c r="I278" s="14"/>
      <c r="J278" s="14"/>
      <c r="K278" s="14"/>
      <c r="L278" s="14"/>
      <c r="M278" s="14"/>
      <c r="N278" s="14"/>
      <c r="O278" s="14"/>
      <c r="P278" s="14"/>
      <c r="Q278" s="14"/>
      <c r="R278" s="14"/>
      <c r="S278" s="14"/>
      <c r="T278" s="14"/>
      <c r="U278" s="14"/>
      <c r="V278" s="14">
        <v>2</v>
      </c>
      <c r="W278" s="14">
        <v>0.7</v>
      </c>
      <c r="X278" s="9"/>
    </row>
    <row r="279" spans="1:24" x14ac:dyDescent="0.3">
      <c r="A279" s="14">
        <v>270</v>
      </c>
      <c r="B279" s="135" t="s">
        <v>1523</v>
      </c>
      <c r="C279" s="135" t="s">
        <v>394</v>
      </c>
      <c r="D279" s="135" t="s">
        <v>70</v>
      </c>
      <c r="E279" s="488">
        <v>1</v>
      </c>
      <c r="F279" s="14">
        <v>1</v>
      </c>
      <c r="G279" s="14">
        <v>0</v>
      </c>
      <c r="H279" s="14"/>
      <c r="I279" s="14"/>
      <c r="J279" s="14"/>
      <c r="K279" s="14"/>
      <c r="L279" s="14"/>
      <c r="M279" s="14"/>
      <c r="N279" s="14"/>
      <c r="O279" s="14"/>
      <c r="P279" s="14"/>
      <c r="Q279" s="14"/>
      <c r="R279" s="14"/>
      <c r="S279" s="14"/>
      <c r="T279" s="14"/>
      <c r="U279" s="14"/>
      <c r="V279" s="14">
        <v>2</v>
      </c>
      <c r="W279" s="14">
        <v>0.7</v>
      </c>
      <c r="X279" s="9"/>
    </row>
    <row r="280" spans="1:24" x14ac:dyDescent="0.3">
      <c r="A280" s="14">
        <v>271</v>
      </c>
      <c r="B280" s="135" t="s">
        <v>380</v>
      </c>
      <c r="C280" s="135" t="s">
        <v>399</v>
      </c>
      <c r="D280" s="135" t="s">
        <v>30</v>
      </c>
      <c r="E280" s="488">
        <v>0</v>
      </c>
      <c r="F280" s="14">
        <v>1</v>
      </c>
      <c r="G280" s="14">
        <v>1</v>
      </c>
      <c r="H280" s="14"/>
      <c r="I280" s="14"/>
      <c r="J280" s="14"/>
      <c r="K280" s="14"/>
      <c r="L280" s="14"/>
      <c r="M280" s="14"/>
      <c r="N280" s="14"/>
      <c r="O280" s="14"/>
      <c r="P280" s="14"/>
      <c r="Q280" s="14"/>
      <c r="R280" s="14"/>
      <c r="S280" s="14"/>
      <c r="T280" s="14"/>
      <c r="U280" s="14"/>
      <c r="V280" s="14">
        <v>2</v>
      </c>
      <c r="W280" s="14">
        <v>1</v>
      </c>
      <c r="X280" s="9"/>
    </row>
    <row r="281" spans="1:24" x14ac:dyDescent="0.3">
      <c r="A281" s="14">
        <v>272</v>
      </c>
      <c r="B281" s="135" t="s">
        <v>153</v>
      </c>
      <c r="C281" s="135" t="s">
        <v>394</v>
      </c>
      <c r="D281" s="135" t="s">
        <v>37</v>
      </c>
      <c r="E281" s="488">
        <v>0</v>
      </c>
      <c r="F281" s="14">
        <v>1</v>
      </c>
      <c r="G281" s="14">
        <v>1</v>
      </c>
      <c r="H281" s="14"/>
      <c r="I281" s="14"/>
      <c r="J281" s="14"/>
      <c r="K281" s="14"/>
      <c r="L281" s="14"/>
      <c r="M281" s="14"/>
      <c r="N281" s="14"/>
      <c r="O281" s="14"/>
      <c r="P281" s="14"/>
      <c r="Q281" s="14"/>
      <c r="R281" s="14"/>
      <c r="S281" s="14"/>
      <c r="T281" s="14"/>
      <c r="U281" s="14"/>
      <c r="V281" s="14">
        <v>2</v>
      </c>
      <c r="W281" s="14">
        <v>1</v>
      </c>
      <c r="X281" s="9"/>
    </row>
    <row r="282" spans="1:24" x14ac:dyDescent="0.3">
      <c r="A282" s="14">
        <v>273</v>
      </c>
      <c r="B282" s="135" t="s">
        <v>369</v>
      </c>
      <c r="C282" s="135" t="s">
        <v>399</v>
      </c>
      <c r="D282" s="135" t="s">
        <v>10</v>
      </c>
      <c r="E282" s="488">
        <v>1</v>
      </c>
      <c r="F282" s="14">
        <v>0</v>
      </c>
      <c r="G282" s="14">
        <v>1</v>
      </c>
      <c r="H282" s="14"/>
      <c r="I282" s="14"/>
      <c r="J282" s="14"/>
      <c r="K282" s="14"/>
      <c r="L282" s="14"/>
      <c r="M282" s="14"/>
      <c r="N282" s="14"/>
      <c r="O282" s="14"/>
      <c r="P282" s="14"/>
      <c r="Q282" s="14"/>
      <c r="R282" s="14"/>
      <c r="S282" s="14"/>
      <c r="T282" s="14"/>
      <c r="U282" s="14"/>
      <c r="V282" s="14">
        <v>2</v>
      </c>
      <c r="W282" s="14">
        <v>1</v>
      </c>
      <c r="X282" s="9"/>
    </row>
    <row r="283" spans="1:24" x14ac:dyDescent="0.3">
      <c r="A283" s="14">
        <v>274</v>
      </c>
      <c r="B283" s="135" t="s">
        <v>469</v>
      </c>
      <c r="C283" s="135" t="s">
        <v>396</v>
      </c>
      <c r="D283" s="135" t="s">
        <v>24</v>
      </c>
      <c r="E283" s="488">
        <v>2</v>
      </c>
      <c r="F283" s="14">
        <v>0</v>
      </c>
      <c r="G283" s="14">
        <v>0</v>
      </c>
      <c r="H283" s="14"/>
      <c r="I283" s="14"/>
      <c r="J283" s="14"/>
      <c r="K283" s="14"/>
      <c r="L283" s="14"/>
      <c r="M283" s="14"/>
      <c r="N283" s="14"/>
      <c r="O283" s="14"/>
      <c r="P283" s="14"/>
      <c r="Q283" s="14"/>
      <c r="R283" s="14"/>
      <c r="S283" s="14"/>
      <c r="T283" s="14"/>
      <c r="U283" s="14"/>
      <c r="V283" s="14">
        <v>2</v>
      </c>
      <c r="W283" s="14">
        <v>2</v>
      </c>
      <c r="X283" s="9"/>
    </row>
    <row r="284" spans="1:24" x14ac:dyDescent="0.3">
      <c r="A284" s="14">
        <v>275</v>
      </c>
      <c r="B284" s="135" t="s">
        <v>298</v>
      </c>
      <c r="C284" s="135" t="s">
        <v>396</v>
      </c>
      <c r="D284" s="135" t="s">
        <v>409</v>
      </c>
      <c r="E284" s="488">
        <v>0</v>
      </c>
      <c r="F284" s="14">
        <v>0</v>
      </c>
      <c r="G284" s="14">
        <v>2</v>
      </c>
      <c r="H284" s="14"/>
      <c r="I284" s="14"/>
      <c r="J284" s="14"/>
      <c r="K284" s="14"/>
      <c r="L284" s="14"/>
      <c r="M284" s="14"/>
      <c r="N284" s="14"/>
      <c r="O284" s="14"/>
      <c r="P284" s="14"/>
      <c r="Q284" s="14"/>
      <c r="R284" s="14"/>
      <c r="S284" s="14"/>
      <c r="T284" s="14"/>
      <c r="U284" s="14"/>
      <c r="V284" s="14">
        <v>2</v>
      </c>
      <c r="W284" s="14">
        <v>2</v>
      </c>
      <c r="X284" s="9"/>
    </row>
    <row r="285" spans="1:24" x14ac:dyDescent="0.3">
      <c r="A285" s="14">
        <v>276</v>
      </c>
      <c r="B285" s="135" t="s">
        <v>472</v>
      </c>
      <c r="C285" s="135" t="s">
        <v>394</v>
      </c>
      <c r="D285" s="135" t="s">
        <v>7</v>
      </c>
      <c r="E285" s="488">
        <v>0</v>
      </c>
      <c r="F285" s="14">
        <v>0</v>
      </c>
      <c r="G285" s="14">
        <v>2</v>
      </c>
      <c r="H285" s="14"/>
      <c r="I285" s="14"/>
      <c r="J285" s="14"/>
      <c r="K285" s="14"/>
      <c r="L285" s="14"/>
      <c r="M285" s="14"/>
      <c r="N285" s="14"/>
      <c r="O285" s="14"/>
      <c r="P285" s="14"/>
      <c r="Q285" s="14"/>
      <c r="R285" s="14"/>
      <c r="S285" s="14"/>
      <c r="T285" s="14"/>
      <c r="U285" s="14"/>
      <c r="V285" s="14">
        <v>2</v>
      </c>
      <c r="W285" s="14">
        <v>1</v>
      </c>
      <c r="X285" s="9"/>
    </row>
    <row r="286" spans="1:24" x14ac:dyDescent="0.3">
      <c r="A286" s="14">
        <v>277</v>
      </c>
      <c r="B286" s="135" t="s">
        <v>764</v>
      </c>
      <c r="C286" s="135" t="s">
        <v>394</v>
      </c>
      <c r="D286" s="135" t="s">
        <v>70</v>
      </c>
      <c r="E286" s="488">
        <v>0</v>
      </c>
      <c r="F286" s="14">
        <v>1</v>
      </c>
      <c r="G286" s="14">
        <v>1</v>
      </c>
      <c r="H286" s="14"/>
      <c r="I286" s="14"/>
      <c r="J286" s="14"/>
      <c r="K286" s="14"/>
      <c r="L286" s="14"/>
      <c r="M286" s="14"/>
      <c r="N286" s="14"/>
      <c r="O286" s="14"/>
      <c r="P286" s="14"/>
      <c r="Q286" s="14"/>
      <c r="R286" s="14"/>
      <c r="S286" s="14"/>
      <c r="T286" s="14"/>
      <c r="U286" s="14"/>
      <c r="V286" s="14">
        <v>2</v>
      </c>
      <c r="W286" s="14">
        <v>0.7</v>
      </c>
      <c r="X286" s="9"/>
    </row>
    <row r="287" spans="1:24" x14ac:dyDescent="0.3">
      <c r="A287" s="14">
        <v>278</v>
      </c>
      <c r="B287" s="135" t="s">
        <v>524</v>
      </c>
      <c r="C287" s="135" t="s">
        <v>396</v>
      </c>
      <c r="D287" s="135" t="s">
        <v>14</v>
      </c>
      <c r="E287" s="488">
        <v>0</v>
      </c>
      <c r="F287" s="14">
        <v>1</v>
      </c>
      <c r="G287" s="14">
        <v>1</v>
      </c>
      <c r="H287" s="14"/>
      <c r="I287" s="14"/>
      <c r="J287" s="14"/>
      <c r="K287" s="14"/>
      <c r="L287" s="14"/>
      <c r="M287" s="14"/>
      <c r="N287" s="14"/>
      <c r="O287" s="14"/>
      <c r="P287" s="14"/>
      <c r="Q287" s="14"/>
      <c r="R287" s="14"/>
      <c r="S287" s="14"/>
      <c r="T287" s="14"/>
      <c r="U287" s="14"/>
      <c r="V287" s="14">
        <v>2</v>
      </c>
      <c r="W287" s="14">
        <v>1</v>
      </c>
      <c r="X287" s="9"/>
    </row>
    <row r="288" spans="1:24" x14ac:dyDescent="0.3">
      <c r="A288" s="14">
        <v>279</v>
      </c>
      <c r="B288" s="135" t="s">
        <v>471</v>
      </c>
      <c r="C288" s="135" t="s">
        <v>396</v>
      </c>
      <c r="D288" s="135" t="s">
        <v>57</v>
      </c>
      <c r="E288" s="488">
        <v>2</v>
      </c>
      <c r="F288" s="14">
        <v>0</v>
      </c>
      <c r="G288" s="14">
        <v>0</v>
      </c>
      <c r="H288" s="14"/>
      <c r="I288" s="14"/>
      <c r="J288" s="14"/>
      <c r="K288" s="14"/>
      <c r="L288" s="14"/>
      <c r="M288" s="14"/>
      <c r="N288" s="14"/>
      <c r="O288" s="14"/>
      <c r="P288" s="14"/>
      <c r="Q288" s="14"/>
      <c r="R288" s="14"/>
      <c r="S288" s="14"/>
      <c r="T288" s="14"/>
      <c r="U288" s="14"/>
      <c r="V288" s="14">
        <v>2</v>
      </c>
      <c r="W288" s="14">
        <v>2</v>
      </c>
      <c r="X288" s="9"/>
    </row>
    <row r="289" spans="1:24" x14ac:dyDescent="0.3">
      <c r="A289" s="14">
        <v>280</v>
      </c>
      <c r="B289" s="135" t="s">
        <v>492</v>
      </c>
      <c r="C289" s="135" t="s">
        <v>394</v>
      </c>
      <c r="D289" s="135" t="s">
        <v>43</v>
      </c>
      <c r="E289" s="488">
        <v>2</v>
      </c>
      <c r="F289" s="14">
        <v>0</v>
      </c>
      <c r="G289" s="14">
        <v>0</v>
      </c>
      <c r="H289" s="14"/>
      <c r="I289" s="14"/>
      <c r="J289" s="14"/>
      <c r="K289" s="14"/>
      <c r="L289" s="14"/>
      <c r="M289" s="14"/>
      <c r="N289" s="14"/>
      <c r="O289" s="14"/>
      <c r="P289" s="14"/>
      <c r="Q289" s="14"/>
      <c r="R289" s="14"/>
      <c r="S289" s="14"/>
      <c r="T289" s="14"/>
      <c r="U289" s="14"/>
      <c r="V289" s="14">
        <v>2</v>
      </c>
      <c r="W289" s="14">
        <v>0.7</v>
      </c>
      <c r="X289" s="9"/>
    </row>
    <row r="290" spans="1:24" x14ac:dyDescent="0.3">
      <c r="A290" s="14">
        <v>281</v>
      </c>
      <c r="B290" s="135" t="s">
        <v>501</v>
      </c>
      <c r="C290" s="135" t="s">
        <v>396</v>
      </c>
      <c r="D290" s="135" t="s">
        <v>34</v>
      </c>
      <c r="E290" s="488">
        <v>0</v>
      </c>
      <c r="F290" s="14">
        <v>0</v>
      </c>
      <c r="G290" s="14">
        <v>2</v>
      </c>
      <c r="H290" s="14"/>
      <c r="I290" s="14"/>
      <c r="J290" s="14"/>
      <c r="K290" s="14"/>
      <c r="L290" s="14"/>
      <c r="M290" s="14"/>
      <c r="N290" s="14"/>
      <c r="O290" s="14"/>
      <c r="P290" s="14"/>
      <c r="Q290" s="14"/>
      <c r="R290" s="14"/>
      <c r="S290" s="14"/>
      <c r="T290" s="14"/>
      <c r="U290" s="14"/>
      <c r="V290" s="14">
        <v>2</v>
      </c>
      <c r="W290" s="14">
        <v>2</v>
      </c>
      <c r="X290" s="9"/>
    </row>
    <row r="291" spans="1:24" x14ac:dyDescent="0.3">
      <c r="A291" s="14">
        <v>282</v>
      </c>
      <c r="B291" s="135" t="s">
        <v>508</v>
      </c>
      <c r="C291" s="135" t="s">
        <v>394</v>
      </c>
      <c r="D291" s="135" t="s">
        <v>402</v>
      </c>
      <c r="E291" s="488">
        <v>0</v>
      </c>
      <c r="F291" s="14">
        <v>2</v>
      </c>
      <c r="G291" s="14">
        <v>0</v>
      </c>
      <c r="H291" s="14"/>
      <c r="I291" s="14"/>
      <c r="J291" s="14"/>
      <c r="K291" s="14"/>
      <c r="L291" s="14"/>
      <c r="M291" s="14"/>
      <c r="N291" s="14"/>
      <c r="O291" s="14"/>
      <c r="P291" s="14"/>
      <c r="Q291" s="14"/>
      <c r="R291" s="14"/>
      <c r="S291" s="14"/>
      <c r="T291" s="14"/>
      <c r="U291" s="14"/>
      <c r="V291" s="14">
        <v>2</v>
      </c>
      <c r="W291" s="14">
        <v>2</v>
      </c>
      <c r="X291" s="9"/>
    </row>
    <row r="292" spans="1:24" x14ac:dyDescent="0.3">
      <c r="A292" s="14">
        <v>283</v>
      </c>
      <c r="B292" s="135" t="s">
        <v>1556</v>
      </c>
      <c r="C292" s="135" t="s">
        <v>394</v>
      </c>
      <c r="D292" s="135" t="s">
        <v>70</v>
      </c>
      <c r="E292" s="488">
        <v>0</v>
      </c>
      <c r="F292" s="14">
        <v>1</v>
      </c>
      <c r="G292" s="14">
        <v>1</v>
      </c>
      <c r="H292" s="14"/>
      <c r="I292" s="14"/>
      <c r="J292" s="14"/>
      <c r="K292" s="14"/>
      <c r="L292" s="14"/>
      <c r="M292" s="14"/>
      <c r="N292" s="14"/>
      <c r="O292" s="14"/>
      <c r="P292" s="14"/>
      <c r="Q292" s="14"/>
      <c r="R292" s="14"/>
      <c r="S292" s="14"/>
      <c r="T292" s="14"/>
      <c r="U292" s="14"/>
      <c r="V292" s="14">
        <v>2</v>
      </c>
      <c r="W292" s="14">
        <v>0.7</v>
      </c>
      <c r="X292" s="9"/>
    </row>
    <row r="293" spans="1:24" x14ac:dyDescent="0.3">
      <c r="A293" s="14">
        <v>284</v>
      </c>
      <c r="B293" s="135" t="s">
        <v>504</v>
      </c>
      <c r="C293" s="135" t="s">
        <v>396</v>
      </c>
      <c r="D293" s="135" t="s">
        <v>395</v>
      </c>
      <c r="E293" s="488">
        <v>0</v>
      </c>
      <c r="F293" s="14">
        <v>1</v>
      </c>
      <c r="G293" s="14">
        <v>1</v>
      </c>
      <c r="H293" s="14"/>
      <c r="I293" s="14"/>
      <c r="J293" s="14"/>
      <c r="K293" s="14"/>
      <c r="L293" s="14"/>
      <c r="M293" s="14"/>
      <c r="N293" s="14"/>
      <c r="O293" s="14"/>
      <c r="P293" s="14"/>
      <c r="Q293" s="14"/>
      <c r="R293" s="14"/>
      <c r="S293" s="14"/>
      <c r="T293" s="14"/>
      <c r="U293" s="14"/>
      <c r="V293" s="14">
        <v>2</v>
      </c>
      <c r="W293" s="14">
        <v>1</v>
      </c>
      <c r="X293" s="9"/>
    </row>
    <row r="294" spans="1:24" x14ac:dyDescent="0.3">
      <c r="A294" s="14">
        <v>285</v>
      </c>
      <c r="B294" s="135" t="s">
        <v>557</v>
      </c>
      <c r="C294" s="135" t="s">
        <v>399</v>
      </c>
      <c r="D294" s="135" t="s">
        <v>26</v>
      </c>
      <c r="E294" s="488">
        <v>1</v>
      </c>
      <c r="F294" s="14">
        <v>0</v>
      </c>
      <c r="G294" s="14">
        <v>1</v>
      </c>
      <c r="H294" s="14"/>
      <c r="I294" s="14"/>
      <c r="J294" s="14"/>
      <c r="K294" s="14"/>
      <c r="L294" s="14"/>
      <c r="M294" s="14"/>
      <c r="N294" s="14"/>
      <c r="O294" s="14"/>
      <c r="P294" s="14"/>
      <c r="Q294" s="14"/>
      <c r="R294" s="14"/>
      <c r="S294" s="14"/>
      <c r="T294" s="14"/>
      <c r="U294" s="14"/>
      <c r="V294" s="14">
        <v>2</v>
      </c>
      <c r="W294" s="14">
        <v>1</v>
      </c>
      <c r="X294" s="9"/>
    </row>
    <row r="295" spans="1:24" x14ac:dyDescent="0.3">
      <c r="A295" s="14">
        <v>286</v>
      </c>
      <c r="B295" s="135" t="s">
        <v>98</v>
      </c>
      <c r="C295" s="135" t="s">
        <v>399</v>
      </c>
      <c r="D295" s="135" t="s">
        <v>20</v>
      </c>
      <c r="E295" s="488">
        <v>0</v>
      </c>
      <c r="F295" s="14">
        <v>1</v>
      </c>
      <c r="G295" s="14">
        <v>0</v>
      </c>
      <c r="H295" s="14"/>
      <c r="I295" s="14"/>
      <c r="J295" s="14"/>
      <c r="K295" s="14"/>
      <c r="L295" s="14"/>
      <c r="M295" s="14"/>
      <c r="N295" s="14"/>
      <c r="O295" s="14"/>
      <c r="P295" s="14"/>
      <c r="Q295" s="14"/>
      <c r="R295" s="14"/>
      <c r="S295" s="14"/>
      <c r="T295" s="14"/>
      <c r="U295" s="14"/>
      <c r="V295" s="14">
        <v>1</v>
      </c>
      <c r="W295" s="14">
        <v>1</v>
      </c>
      <c r="X295" s="9"/>
    </row>
    <row r="296" spans="1:24" x14ac:dyDescent="0.3">
      <c r="A296" s="14">
        <v>287</v>
      </c>
      <c r="B296" s="135" t="s">
        <v>381</v>
      </c>
      <c r="C296" s="135" t="s">
        <v>399</v>
      </c>
      <c r="D296" s="135" t="s">
        <v>34</v>
      </c>
      <c r="E296" s="488">
        <v>0</v>
      </c>
      <c r="F296" s="14">
        <v>1</v>
      </c>
      <c r="G296" s="14">
        <v>0</v>
      </c>
      <c r="H296" s="14"/>
      <c r="I296" s="14"/>
      <c r="J296" s="14"/>
      <c r="K296" s="14"/>
      <c r="L296" s="14"/>
      <c r="M296" s="14"/>
      <c r="N296" s="14"/>
      <c r="O296" s="14"/>
      <c r="P296" s="14"/>
      <c r="Q296" s="14"/>
      <c r="R296" s="14"/>
      <c r="S296" s="14"/>
      <c r="T296" s="14"/>
      <c r="U296" s="14"/>
      <c r="V296" s="14">
        <v>1</v>
      </c>
      <c r="W296" s="14">
        <v>0.5</v>
      </c>
      <c r="X296" s="9"/>
    </row>
    <row r="297" spans="1:24" x14ac:dyDescent="0.3">
      <c r="A297" s="14"/>
      <c r="B297" s="14" t="s">
        <v>1251</v>
      </c>
      <c r="C297" s="14" t="s">
        <v>396</v>
      </c>
      <c r="D297" s="14" t="s">
        <v>402</v>
      </c>
      <c r="E297" s="14">
        <v>0</v>
      </c>
      <c r="F297" s="14">
        <v>1</v>
      </c>
      <c r="G297" s="14">
        <v>0</v>
      </c>
      <c r="H297" s="14"/>
      <c r="I297" s="14"/>
      <c r="J297" s="14"/>
      <c r="K297" s="14"/>
      <c r="L297" s="14"/>
      <c r="M297" s="14"/>
      <c r="N297" s="14"/>
      <c r="O297" s="14"/>
      <c r="P297" s="14"/>
      <c r="Q297" s="14"/>
      <c r="R297" s="14"/>
      <c r="S297" s="14"/>
      <c r="T297" s="14"/>
      <c r="U297" s="14"/>
      <c r="V297" s="128">
        <v>1</v>
      </c>
      <c r="W297" s="128">
        <v>1</v>
      </c>
      <c r="X297" s="9"/>
    </row>
    <row r="298" spans="1:24" x14ac:dyDescent="0.3">
      <c r="A298" s="14"/>
      <c r="B298" s="14" t="s">
        <v>400</v>
      </c>
      <c r="C298" s="14" t="s">
        <v>394</v>
      </c>
      <c r="D298" s="14" t="s">
        <v>10</v>
      </c>
      <c r="E298" s="14">
        <v>1</v>
      </c>
      <c r="F298" s="14">
        <v>0</v>
      </c>
      <c r="G298" s="14">
        <v>0</v>
      </c>
      <c r="H298" s="14"/>
      <c r="I298" s="14"/>
      <c r="J298" s="14"/>
      <c r="K298" s="14"/>
      <c r="L298" s="14"/>
      <c r="M298" s="14"/>
      <c r="N298" s="14"/>
      <c r="O298" s="14"/>
      <c r="P298" s="14"/>
      <c r="Q298" s="14"/>
      <c r="R298" s="14"/>
      <c r="S298" s="14"/>
      <c r="T298" s="14"/>
      <c r="U298" s="14"/>
      <c r="V298" s="128">
        <v>1</v>
      </c>
      <c r="W298" s="128">
        <v>1</v>
      </c>
      <c r="X298" s="9"/>
    </row>
    <row r="299" spans="1:24" x14ac:dyDescent="0.3">
      <c r="A299" s="14"/>
      <c r="B299" s="14" t="s">
        <v>117</v>
      </c>
      <c r="C299" s="14" t="s">
        <v>394</v>
      </c>
      <c r="D299" s="14" t="s">
        <v>404</v>
      </c>
      <c r="E299" s="14">
        <v>1</v>
      </c>
      <c r="F299" s="14">
        <v>0</v>
      </c>
      <c r="G299" s="14">
        <v>0</v>
      </c>
      <c r="H299" s="14"/>
      <c r="I299" s="14"/>
      <c r="J299" s="14"/>
      <c r="K299" s="14"/>
      <c r="L299" s="14"/>
      <c r="M299" s="14"/>
      <c r="N299" s="14"/>
      <c r="O299" s="14"/>
      <c r="P299" s="14"/>
      <c r="Q299" s="14"/>
      <c r="R299" s="14"/>
      <c r="S299" s="14"/>
      <c r="T299" s="14"/>
      <c r="U299" s="14"/>
      <c r="V299" s="128">
        <v>1</v>
      </c>
      <c r="W299" s="128">
        <v>0.3</v>
      </c>
      <c r="X299" s="9"/>
    </row>
    <row r="300" spans="1:24" x14ac:dyDescent="0.3">
      <c r="A300" s="14"/>
      <c r="B300" s="14" t="s">
        <v>111</v>
      </c>
      <c r="C300" s="14" t="s">
        <v>394</v>
      </c>
      <c r="D300" s="14" t="s">
        <v>39</v>
      </c>
      <c r="E300" s="14">
        <v>0</v>
      </c>
      <c r="F300" s="14">
        <v>1</v>
      </c>
      <c r="G300" s="14">
        <v>0</v>
      </c>
      <c r="H300" s="14"/>
      <c r="I300" s="14"/>
      <c r="J300" s="14"/>
      <c r="K300" s="14"/>
      <c r="L300" s="14"/>
      <c r="M300" s="14"/>
      <c r="N300" s="14"/>
      <c r="O300" s="14"/>
      <c r="P300" s="14"/>
      <c r="Q300" s="14"/>
      <c r="R300" s="14"/>
      <c r="S300" s="14"/>
      <c r="T300" s="14"/>
      <c r="U300" s="14"/>
      <c r="V300" s="128">
        <v>1</v>
      </c>
      <c r="W300" s="128">
        <v>0.3</v>
      </c>
      <c r="X300" s="9"/>
    </row>
    <row r="301" spans="1:24" x14ac:dyDescent="0.3">
      <c r="A301" s="14"/>
      <c r="B301" s="14" t="s">
        <v>318</v>
      </c>
      <c r="C301" s="14" t="s">
        <v>399</v>
      </c>
      <c r="D301" s="14" t="s">
        <v>402</v>
      </c>
      <c r="E301" s="14">
        <v>0</v>
      </c>
      <c r="F301" s="14">
        <v>0</v>
      </c>
      <c r="G301" s="14">
        <v>1</v>
      </c>
      <c r="H301" s="14"/>
      <c r="I301" s="14"/>
      <c r="J301" s="14"/>
      <c r="K301" s="14"/>
      <c r="L301" s="14"/>
      <c r="M301" s="14"/>
      <c r="N301" s="14"/>
      <c r="O301" s="14"/>
      <c r="P301" s="14"/>
      <c r="Q301" s="14"/>
      <c r="R301" s="14"/>
      <c r="S301" s="14"/>
      <c r="T301" s="14"/>
      <c r="U301" s="14"/>
      <c r="V301" s="128">
        <v>1</v>
      </c>
      <c r="W301" s="128">
        <v>1</v>
      </c>
      <c r="X301" s="9"/>
    </row>
    <row r="302" spans="1:24" x14ac:dyDescent="0.3">
      <c r="A302" s="14"/>
      <c r="B302" s="14" t="s">
        <v>123</v>
      </c>
      <c r="C302" s="14" t="s">
        <v>394</v>
      </c>
      <c r="D302" s="14" t="s">
        <v>561</v>
      </c>
      <c r="E302" s="14">
        <v>0</v>
      </c>
      <c r="F302" s="14">
        <v>0</v>
      </c>
      <c r="G302" s="14">
        <v>1</v>
      </c>
      <c r="H302" s="14"/>
      <c r="I302" s="14"/>
      <c r="J302" s="14"/>
      <c r="K302" s="14"/>
      <c r="L302" s="14"/>
      <c r="M302" s="14"/>
      <c r="N302" s="14"/>
      <c r="O302" s="14"/>
      <c r="P302" s="14"/>
      <c r="Q302" s="14"/>
      <c r="R302" s="14"/>
      <c r="S302" s="14"/>
      <c r="T302" s="14"/>
      <c r="U302" s="14"/>
      <c r="V302" s="128">
        <v>1</v>
      </c>
      <c r="W302" s="128">
        <v>1</v>
      </c>
      <c r="X302" s="9"/>
    </row>
    <row r="303" spans="1:24" x14ac:dyDescent="0.3">
      <c r="A303" s="14"/>
      <c r="B303" s="14" t="s">
        <v>1255</v>
      </c>
      <c r="C303" s="14" t="s">
        <v>399</v>
      </c>
      <c r="D303" s="14" t="s">
        <v>46</v>
      </c>
      <c r="E303" s="14">
        <v>1</v>
      </c>
      <c r="F303" s="14">
        <v>0</v>
      </c>
      <c r="G303" s="14">
        <v>0</v>
      </c>
      <c r="H303" s="14"/>
      <c r="I303" s="14"/>
      <c r="J303" s="14"/>
      <c r="K303" s="14"/>
      <c r="L303" s="14"/>
      <c r="M303" s="14"/>
      <c r="N303" s="14"/>
      <c r="O303" s="14"/>
      <c r="P303" s="14"/>
      <c r="Q303" s="14"/>
      <c r="R303" s="14"/>
      <c r="S303" s="14"/>
      <c r="T303" s="14"/>
      <c r="U303" s="14"/>
      <c r="V303" s="128">
        <v>1</v>
      </c>
      <c r="W303" s="128">
        <v>1</v>
      </c>
      <c r="X303" s="9"/>
    </row>
    <row r="304" spans="1:24" x14ac:dyDescent="0.3">
      <c r="A304" s="14"/>
      <c r="B304" s="14" t="s">
        <v>182</v>
      </c>
      <c r="C304" s="14" t="s">
        <v>394</v>
      </c>
      <c r="D304" s="14" t="s">
        <v>397</v>
      </c>
      <c r="E304" s="14">
        <v>0</v>
      </c>
      <c r="F304" s="14">
        <v>0</v>
      </c>
      <c r="G304" s="14">
        <v>1</v>
      </c>
      <c r="H304" s="14"/>
      <c r="I304" s="14"/>
      <c r="J304" s="14"/>
      <c r="K304" s="14"/>
      <c r="L304" s="14"/>
      <c r="M304" s="14"/>
      <c r="N304" s="14"/>
      <c r="O304" s="14"/>
      <c r="P304" s="14"/>
      <c r="Q304" s="14"/>
      <c r="R304" s="14"/>
      <c r="S304" s="14"/>
      <c r="T304" s="14"/>
      <c r="U304" s="14"/>
      <c r="V304" s="128">
        <v>1</v>
      </c>
      <c r="W304" s="128">
        <v>1</v>
      </c>
      <c r="X304" s="9"/>
    </row>
    <row r="305" spans="1:24" x14ac:dyDescent="0.3">
      <c r="A305" s="14"/>
      <c r="B305" s="14" t="s">
        <v>1254</v>
      </c>
      <c r="C305" s="14" t="s">
        <v>399</v>
      </c>
      <c r="D305" s="14" t="s">
        <v>18</v>
      </c>
      <c r="E305" s="14">
        <v>0</v>
      </c>
      <c r="F305" s="14">
        <v>1</v>
      </c>
      <c r="G305" s="14">
        <v>0</v>
      </c>
      <c r="H305" s="14"/>
      <c r="I305" s="14"/>
      <c r="J305" s="14"/>
      <c r="K305" s="14"/>
      <c r="L305" s="14"/>
      <c r="M305" s="14"/>
      <c r="N305" s="14"/>
      <c r="O305" s="14"/>
      <c r="P305" s="14"/>
      <c r="Q305" s="14"/>
      <c r="R305" s="14"/>
      <c r="S305" s="14"/>
      <c r="T305" s="14"/>
      <c r="U305" s="14"/>
      <c r="V305" s="128">
        <v>1</v>
      </c>
      <c r="W305" s="128">
        <v>0.5</v>
      </c>
      <c r="X305" s="9"/>
    </row>
    <row r="306" spans="1:24" x14ac:dyDescent="0.3">
      <c r="A306" s="14"/>
      <c r="B306" s="14" t="s">
        <v>360</v>
      </c>
      <c r="C306" s="14" t="s">
        <v>399</v>
      </c>
      <c r="D306" s="14" t="s">
        <v>41</v>
      </c>
      <c r="E306" s="14">
        <v>0</v>
      </c>
      <c r="F306" s="14">
        <v>0</v>
      </c>
      <c r="G306" s="14">
        <v>1</v>
      </c>
      <c r="H306" s="14"/>
      <c r="I306" s="14"/>
      <c r="J306" s="14"/>
      <c r="K306" s="14"/>
      <c r="L306" s="14"/>
      <c r="M306" s="14"/>
      <c r="N306" s="14"/>
      <c r="O306" s="14"/>
      <c r="P306" s="14"/>
      <c r="Q306" s="14"/>
      <c r="R306" s="14"/>
      <c r="S306" s="14"/>
      <c r="T306" s="14"/>
      <c r="U306" s="14"/>
      <c r="V306" s="128">
        <v>1</v>
      </c>
      <c r="W306" s="128">
        <v>1</v>
      </c>
      <c r="X306" s="9"/>
    </row>
    <row r="307" spans="1:24" x14ac:dyDescent="0.3">
      <c r="A307" s="14"/>
      <c r="B307" s="14" t="s">
        <v>543</v>
      </c>
      <c r="C307" s="14" t="s">
        <v>399</v>
      </c>
      <c r="D307" s="14" t="s">
        <v>34</v>
      </c>
      <c r="E307" s="14">
        <v>0</v>
      </c>
      <c r="F307" s="14">
        <v>1</v>
      </c>
      <c r="G307" s="14">
        <v>0</v>
      </c>
      <c r="H307" s="14"/>
      <c r="I307" s="14"/>
      <c r="J307" s="14"/>
      <c r="K307" s="14"/>
      <c r="L307" s="14"/>
      <c r="M307" s="14"/>
      <c r="N307" s="14"/>
      <c r="O307" s="14"/>
      <c r="P307" s="14"/>
      <c r="Q307" s="14"/>
      <c r="R307" s="14"/>
      <c r="S307" s="14"/>
      <c r="T307" s="14"/>
      <c r="U307" s="14"/>
      <c r="V307" s="128">
        <v>1</v>
      </c>
      <c r="W307" s="128">
        <v>1</v>
      </c>
      <c r="X307" s="9"/>
    </row>
    <row r="308" spans="1:24" x14ac:dyDescent="0.3">
      <c r="A308" s="14"/>
      <c r="B308" s="14" t="s">
        <v>535</v>
      </c>
      <c r="C308" s="14" t="s">
        <v>399</v>
      </c>
      <c r="D308" s="14" t="s">
        <v>407</v>
      </c>
      <c r="E308" s="14">
        <v>0</v>
      </c>
      <c r="F308" s="14">
        <v>0</v>
      </c>
      <c r="G308" s="14">
        <v>1</v>
      </c>
      <c r="H308" s="14"/>
      <c r="I308" s="14"/>
      <c r="J308" s="14"/>
      <c r="K308" s="14"/>
      <c r="L308" s="14"/>
      <c r="M308" s="14"/>
      <c r="N308" s="14"/>
      <c r="O308" s="14"/>
      <c r="P308" s="14"/>
      <c r="Q308" s="14"/>
      <c r="R308" s="14"/>
      <c r="S308" s="14"/>
      <c r="T308" s="14"/>
      <c r="U308" s="14"/>
      <c r="V308" s="128">
        <v>1</v>
      </c>
      <c r="W308" s="128">
        <v>1</v>
      </c>
      <c r="X308" s="9"/>
    </row>
    <row r="309" spans="1:24" x14ac:dyDescent="0.3">
      <c r="A309" s="14"/>
      <c r="B309" s="14" t="s">
        <v>169</v>
      </c>
      <c r="C309" s="14" t="s">
        <v>394</v>
      </c>
      <c r="D309" s="14" t="s">
        <v>50</v>
      </c>
      <c r="E309" s="14">
        <v>1</v>
      </c>
      <c r="F309" s="14">
        <v>0</v>
      </c>
      <c r="G309" s="14">
        <v>0</v>
      </c>
      <c r="H309" s="14"/>
      <c r="I309" s="14"/>
      <c r="J309" s="14"/>
      <c r="K309" s="14"/>
      <c r="L309" s="14"/>
      <c r="M309" s="14"/>
      <c r="N309" s="14"/>
      <c r="O309" s="14"/>
      <c r="P309" s="14"/>
      <c r="Q309" s="14"/>
      <c r="R309" s="14"/>
      <c r="S309" s="14"/>
      <c r="T309" s="14"/>
      <c r="U309" s="14"/>
      <c r="V309" s="128">
        <v>1</v>
      </c>
      <c r="W309" s="128">
        <v>1</v>
      </c>
      <c r="X309" s="9"/>
    </row>
    <row r="310" spans="1:24" x14ac:dyDescent="0.3">
      <c r="A310" s="14"/>
      <c r="B310" s="14" t="s">
        <v>146</v>
      </c>
      <c r="C310" s="14" t="s">
        <v>394</v>
      </c>
      <c r="D310" s="14" t="s">
        <v>46</v>
      </c>
      <c r="E310" s="14">
        <v>0</v>
      </c>
      <c r="F310" s="14">
        <v>1</v>
      </c>
      <c r="G310" s="14">
        <v>0</v>
      </c>
      <c r="H310" s="14"/>
      <c r="I310" s="14"/>
      <c r="J310" s="14"/>
      <c r="K310" s="14"/>
      <c r="L310" s="14"/>
      <c r="M310" s="14"/>
      <c r="N310" s="14"/>
      <c r="O310" s="14"/>
      <c r="P310" s="14"/>
      <c r="Q310" s="14"/>
      <c r="R310" s="14"/>
      <c r="S310" s="14"/>
      <c r="T310" s="14"/>
      <c r="U310" s="14"/>
      <c r="V310" s="128">
        <v>1</v>
      </c>
      <c r="W310" s="128">
        <v>0.5</v>
      </c>
      <c r="X310" s="9"/>
    </row>
    <row r="311" spans="1:24" x14ac:dyDescent="0.3">
      <c r="A311" s="14"/>
      <c r="B311" s="14" t="s">
        <v>289</v>
      </c>
      <c r="C311" s="14" t="s">
        <v>396</v>
      </c>
      <c r="D311" s="14" t="s">
        <v>395</v>
      </c>
      <c r="E311" s="14">
        <v>1</v>
      </c>
      <c r="F311" s="14">
        <v>0</v>
      </c>
      <c r="G311" s="14">
        <v>0</v>
      </c>
      <c r="H311" s="14"/>
      <c r="I311" s="14"/>
      <c r="J311" s="14"/>
      <c r="K311" s="14"/>
      <c r="L311" s="14"/>
      <c r="M311" s="14"/>
      <c r="N311" s="14"/>
      <c r="O311" s="14"/>
      <c r="P311" s="14"/>
      <c r="Q311" s="14"/>
      <c r="R311" s="14"/>
      <c r="S311" s="14"/>
      <c r="T311" s="14"/>
      <c r="U311" s="14"/>
      <c r="V311" s="128">
        <v>1</v>
      </c>
      <c r="W311" s="128">
        <v>1</v>
      </c>
      <c r="X311" s="9"/>
    </row>
    <row r="312" spans="1:24" x14ac:dyDescent="0.3">
      <c r="A312" s="14"/>
      <c r="B312" s="14" t="s">
        <v>290</v>
      </c>
      <c r="C312" s="14" t="s">
        <v>396</v>
      </c>
      <c r="D312" s="14" t="s">
        <v>70</v>
      </c>
      <c r="E312" s="14">
        <v>0</v>
      </c>
      <c r="F312" s="14">
        <v>0</v>
      </c>
      <c r="G312" s="14">
        <v>1</v>
      </c>
      <c r="H312" s="14"/>
      <c r="I312" s="14"/>
      <c r="J312" s="14"/>
      <c r="K312" s="14"/>
      <c r="L312" s="14"/>
      <c r="M312" s="14"/>
      <c r="N312" s="14"/>
      <c r="O312" s="14"/>
      <c r="P312" s="14"/>
      <c r="Q312" s="14"/>
      <c r="R312" s="14"/>
      <c r="S312" s="14"/>
      <c r="T312" s="14"/>
      <c r="U312" s="14"/>
      <c r="V312" s="128">
        <v>1</v>
      </c>
      <c r="W312" s="128">
        <v>1</v>
      </c>
      <c r="X312" s="9"/>
    </row>
    <row r="313" spans="1:24" x14ac:dyDescent="0.3">
      <c r="A313" s="14"/>
      <c r="B313" s="14" t="s">
        <v>310</v>
      </c>
      <c r="C313" s="14" t="s">
        <v>399</v>
      </c>
      <c r="D313" s="14" t="s">
        <v>395</v>
      </c>
      <c r="E313" s="14">
        <v>0</v>
      </c>
      <c r="F313" s="14">
        <v>0</v>
      </c>
      <c r="G313" s="14">
        <v>1</v>
      </c>
      <c r="H313" s="14"/>
      <c r="I313" s="14"/>
      <c r="J313" s="14"/>
      <c r="K313" s="14"/>
      <c r="L313" s="14"/>
      <c r="M313" s="14"/>
      <c r="N313" s="14"/>
      <c r="O313" s="14"/>
      <c r="P313" s="14"/>
      <c r="Q313" s="14"/>
      <c r="R313" s="14"/>
      <c r="S313" s="14"/>
      <c r="T313" s="14"/>
      <c r="U313" s="14"/>
      <c r="V313" s="128">
        <v>1</v>
      </c>
      <c r="W313" s="128">
        <v>1</v>
      </c>
      <c r="X313" s="9"/>
    </row>
    <row r="314" spans="1:24" x14ac:dyDescent="0.3">
      <c r="A314" s="14"/>
      <c r="B314" s="14" t="s">
        <v>159</v>
      </c>
      <c r="C314" s="14" t="s">
        <v>394</v>
      </c>
      <c r="D314" s="14" t="s">
        <v>20</v>
      </c>
      <c r="E314" s="14">
        <v>0</v>
      </c>
      <c r="F314" s="14">
        <v>1</v>
      </c>
      <c r="G314" s="14">
        <v>0</v>
      </c>
      <c r="H314" s="14"/>
      <c r="I314" s="14"/>
      <c r="J314" s="14"/>
      <c r="K314" s="14"/>
      <c r="L314" s="14"/>
      <c r="M314" s="14"/>
      <c r="N314" s="14"/>
      <c r="O314" s="14"/>
      <c r="P314" s="14"/>
      <c r="Q314" s="14"/>
      <c r="R314" s="14"/>
      <c r="S314" s="14"/>
      <c r="T314" s="14"/>
      <c r="U314" s="14"/>
      <c r="V314" s="128">
        <v>1</v>
      </c>
      <c r="W314" s="128">
        <v>0.3</v>
      </c>
      <c r="X314" s="9"/>
    </row>
    <row r="315" spans="1:24" x14ac:dyDescent="0.3">
      <c r="A315" s="14"/>
      <c r="B315" s="14" t="s">
        <v>150</v>
      </c>
      <c r="C315" s="14" t="s">
        <v>394</v>
      </c>
      <c r="D315" s="14" t="s">
        <v>22</v>
      </c>
      <c r="E315" s="14">
        <v>0</v>
      </c>
      <c r="F315" s="14">
        <v>0</v>
      </c>
      <c r="G315" s="14">
        <v>1</v>
      </c>
      <c r="H315" s="14"/>
      <c r="I315" s="14"/>
      <c r="J315" s="14"/>
      <c r="K315" s="14"/>
      <c r="L315" s="14"/>
      <c r="M315" s="14"/>
      <c r="N315" s="14"/>
      <c r="O315" s="14"/>
      <c r="P315" s="14"/>
      <c r="Q315" s="14"/>
      <c r="R315" s="14"/>
      <c r="S315" s="14"/>
      <c r="T315" s="14"/>
      <c r="U315" s="14"/>
      <c r="V315" s="128">
        <v>1</v>
      </c>
      <c r="W315" s="128">
        <v>1</v>
      </c>
      <c r="X315" s="9"/>
    </row>
    <row r="316" spans="1:24" x14ac:dyDescent="0.3">
      <c r="A316" s="14"/>
      <c r="B316" s="14" t="s">
        <v>160</v>
      </c>
      <c r="C316" s="14" t="s">
        <v>394</v>
      </c>
      <c r="D316" s="14" t="s">
        <v>398</v>
      </c>
      <c r="E316" s="14">
        <v>0</v>
      </c>
      <c r="F316" s="14">
        <v>1</v>
      </c>
      <c r="G316" s="14">
        <v>0</v>
      </c>
      <c r="H316" s="14"/>
      <c r="I316" s="14"/>
      <c r="J316" s="14"/>
      <c r="K316" s="14"/>
      <c r="L316" s="14"/>
      <c r="M316" s="14"/>
      <c r="N316" s="14"/>
      <c r="O316" s="14"/>
      <c r="P316" s="14"/>
      <c r="Q316" s="14"/>
      <c r="R316" s="14"/>
      <c r="S316" s="14"/>
      <c r="T316" s="14"/>
      <c r="U316" s="14"/>
      <c r="V316" s="128">
        <v>1</v>
      </c>
      <c r="W316" s="128">
        <v>0.5</v>
      </c>
      <c r="X316" s="9"/>
    </row>
    <row r="317" spans="1:24" x14ac:dyDescent="0.3">
      <c r="A317" s="14"/>
      <c r="B317" s="14" t="s">
        <v>1246</v>
      </c>
      <c r="C317" s="14" t="s">
        <v>394</v>
      </c>
      <c r="D317" s="14" t="s">
        <v>409</v>
      </c>
      <c r="E317" s="14">
        <v>1</v>
      </c>
      <c r="F317" s="14">
        <v>0</v>
      </c>
      <c r="G317" s="14">
        <v>0</v>
      </c>
      <c r="H317" s="14"/>
      <c r="I317" s="14"/>
      <c r="J317" s="14"/>
      <c r="K317" s="14"/>
      <c r="L317" s="14"/>
      <c r="M317" s="14"/>
      <c r="N317" s="14"/>
      <c r="O317" s="14"/>
      <c r="P317" s="14"/>
      <c r="Q317" s="14"/>
      <c r="R317" s="14"/>
      <c r="S317" s="14"/>
      <c r="T317" s="14"/>
      <c r="U317" s="14"/>
      <c r="V317" s="128">
        <v>1</v>
      </c>
      <c r="W317" s="128">
        <v>1</v>
      </c>
      <c r="X317" s="9"/>
    </row>
    <row r="318" spans="1:24" x14ac:dyDescent="0.3">
      <c r="A318" s="14"/>
      <c r="B318" s="14" t="s">
        <v>1253</v>
      </c>
      <c r="C318" s="14" t="s">
        <v>399</v>
      </c>
      <c r="D318" s="14" t="s">
        <v>70</v>
      </c>
      <c r="E318" s="14">
        <v>0</v>
      </c>
      <c r="F318" s="14">
        <v>0</v>
      </c>
      <c r="G318" s="14">
        <v>1</v>
      </c>
      <c r="H318" s="14"/>
      <c r="I318" s="14"/>
      <c r="J318" s="14"/>
      <c r="K318" s="14"/>
      <c r="L318" s="14"/>
      <c r="M318" s="14"/>
      <c r="N318" s="14"/>
      <c r="O318" s="14"/>
      <c r="P318" s="14"/>
      <c r="Q318" s="14"/>
      <c r="R318" s="14"/>
      <c r="S318" s="14"/>
      <c r="T318" s="14"/>
      <c r="U318" s="14"/>
      <c r="V318" s="128">
        <v>1</v>
      </c>
      <c r="W318" s="128">
        <v>1</v>
      </c>
      <c r="X318" s="9"/>
    </row>
    <row r="319" spans="1:24" x14ac:dyDescent="0.3">
      <c r="A319" s="14"/>
      <c r="B319" s="14" t="s">
        <v>1550</v>
      </c>
      <c r="C319" s="14" t="s">
        <v>396</v>
      </c>
      <c r="D319" s="14" t="s">
        <v>70</v>
      </c>
      <c r="E319" s="14">
        <v>0</v>
      </c>
      <c r="F319" s="14">
        <v>1</v>
      </c>
      <c r="G319" s="14">
        <v>0</v>
      </c>
      <c r="H319" s="14"/>
      <c r="I319" s="14"/>
      <c r="J319" s="14"/>
      <c r="K319" s="14"/>
      <c r="L319" s="14"/>
      <c r="M319" s="14"/>
      <c r="N319" s="14"/>
      <c r="O319" s="14"/>
      <c r="P319" s="14"/>
      <c r="Q319" s="14"/>
      <c r="R319" s="14"/>
      <c r="S319" s="14"/>
      <c r="T319" s="14"/>
      <c r="U319" s="14"/>
      <c r="V319" s="128">
        <v>1</v>
      </c>
      <c r="W319" s="128">
        <v>1</v>
      </c>
      <c r="X319" s="9"/>
    </row>
    <row r="320" spans="1:24" x14ac:dyDescent="0.3">
      <c r="A320" s="14"/>
      <c r="B320" s="14" t="s">
        <v>172</v>
      </c>
      <c r="C320" s="14" t="s">
        <v>394</v>
      </c>
      <c r="D320" s="14" t="s">
        <v>30</v>
      </c>
      <c r="E320" s="14">
        <v>0</v>
      </c>
      <c r="F320" s="14">
        <v>0</v>
      </c>
      <c r="G320" s="14">
        <v>1</v>
      </c>
      <c r="H320" s="14"/>
      <c r="I320" s="14"/>
      <c r="J320" s="14"/>
      <c r="K320" s="14"/>
      <c r="L320" s="14"/>
      <c r="M320" s="14"/>
      <c r="N320" s="14"/>
      <c r="O320" s="14"/>
      <c r="P320" s="14"/>
      <c r="Q320" s="14"/>
      <c r="R320" s="14"/>
      <c r="S320" s="14"/>
      <c r="T320" s="14"/>
      <c r="U320" s="14"/>
      <c r="V320" s="128">
        <v>1</v>
      </c>
      <c r="W320" s="128">
        <v>1</v>
      </c>
      <c r="X320" s="9"/>
    </row>
    <row r="321" spans="1:24" x14ac:dyDescent="0.3">
      <c r="A321" s="14"/>
      <c r="B321" s="14" t="s">
        <v>489</v>
      </c>
      <c r="C321" s="14" t="s">
        <v>396</v>
      </c>
      <c r="D321" s="14" t="s">
        <v>16</v>
      </c>
      <c r="E321" s="14">
        <v>0</v>
      </c>
      <c r="F321" s="14">
        <v>1</v>
      </c>
      <c r="G321" s="14">
        <v>0</v>
      </c>
      <c r="H321" s="14"/>
      <c r="I321" s="14"/>
      <c r="J321" s="14"/>
      <c r="K321" s="14"/>
      <c r="L321" s="14"/>
      <c r="M321" s="14"/>
      <c r="N321" s="14"/>
      <c r="O321" s="14"/>
      <c r="P321" s="14"/>
      <c r="Q321" s="14"/>
      <c r="R321" s="14"/>
      <c r="S321" s="14"/>
      <c r="T321" s="14"/>
      <c r="U321" s="14"/>
      <c r="V321" s="128">
        <v>1</v>
      </c>
      <c r="W321" s="128">
        <v>0.3</v>
      </c>
      <c r="X321" s="9"/>
    </row>
    <row r="322" spans="1:24" x14ac:dyDescent="0.3">
      <c r="A322" s="14"/>
      <c r="B322" s="14" t="s">
        <v>177</v>
      </c>
      <c r="C322" s="14" t="s">
        <v>394</v>
      </c>
      <c r="D322" s="14" t="s">
        <v>561</v>
      </c>
      <c r="E322" s="14">
        <v>0</v>
      </c>
      <c r="F322" s="14">
        <v>1</v>
      </c>
      <c r="G322" s="14">
        <v>0</v>
      </c>
      <c r="H322" s="14"/>
      <c r="I322" s="14"/>
      <c r="J322" s="14"/>
      <c r="K322" s="14"/>
      <c r="L322" s="14"/>
      <c r="M322" s="14"/>
      <c r="N322" s="14"/>
      <c r="O322" s="14"/>
      <c r="P322" s="14"/>
      <c r="Q322" s="14"/>
      <c r="R322" s="14"/>
      <c r="S322" s="14"/>
      <c r="T322" s="14"/>
      <c r="U322" s="14"/>
      <c r="V322" s="128">
        <v>1</v>
      </c>
      <c r="W322" s="128">
        <v>0.3</v>
      </c>
      <c r="X322" s="9"/>
    </row>
    <row r="323" spans="1:24" x14ac:dyDescent="0.3">
      <c r="A323" s="14"/>
      <c r="B323" s="14" t="s">
        <v>460</v>
      </c>
      <c r="C323" s="14" t="s">
        <v>394</v>
      </c>
      <c r="D323" s="14" t="s">
        <v>7</v>
      </c>
      <c r="E323" s="14">
        <v>1</v>
      </c>
      <c r="F323" s="14">
        <v>0</v>
      </c>
      <c r="G323" s="14">
        <v>0</v>
      </c>
      <c r="H323" s="14"/>
      <c r="I323" s="14"/>
      <c r="J323" s="14"/>
      <c r="K323" s="14"/>
      <c r="L323" s="14"/>
      <c r="M323" s="14"/>
      <c r="N323" s="14"/>
      <c r="O323" s="14"/>
      <c r="P323" s="14"/>
      <c r="Q323" s="14"/>
      <c r="R323" s="14"/>
      <c r="S323" s="14"/>
      <c r="T323" s="14"/>
      <c r="U323" s="14"/>
      <c r="V323" s="128">
        <v>1</v>
      </c>
      <c r="W323" s="128">
        <v>1</v>
      </c>
      <c r="X323" s="9"/>
    </row>
    <row r="324" spans="1:24" x14ac:dyDescent="0.3">
      <c r="A324" s="14"/>
      <c r="B324" s="14" t="s">
        <v>522</v>
      </c>
      <c r="C324" s="14" t="s">
        <v>394</v>
      </c>
      <c r="D324" s="14" t="s">
        <v>39</v>
      </c>
      <c r="E324" s="14">
        <v>0</v>
      </c>
      <c r="F324" s="14">
        <v>1</v>
      </c>
      <c r="G324" s="14">
        <v>0</v>
      </c>
      <c r="H324" s="14"/>
      <c r="I324" s="14"/>
      <c r="J324" s="14"/>
      <c r="K324" s="14"/>
      <c r="L324" s="14"/>
      <c r="M324" s="14"/>
      <c r="N324" s="14"/>
      <c r="O324" s="14"/>
      <c r="P324" s="14"/>
      <c r="Q324" s="14"/>
      <c r="R324" s="14"/>
      <c r="S324" s="14"/>
      <c r="T324" s="14"/>
      <c r="U324" s="14"/>
      <c r="V324" s="128">
        <v>1</v>
      </c>
      <c r="W324" s="128">
        <v>0.3</v>
      </c>
      <c r="X324" s="9"/>
    </row>
    <row r="325" spans="1:24" x14ac:dyDescent="0.3">
      <c r="A325" s="14"/>
      <c r="B325" s="14" t="s">
        <v>506</v>
      </c>
      <c r="C325" s="14" t="s">
        <v>396</v>
      </c>
      <c r="D325" s="14" t="s">
        <v>28</v>
      </c>
      <c r="E325" s="14">
        <v>0</v>
      </c>
      <c r="F325" s="14">
        <v>1</v>
      </c>
      <c r="G325" s="14">
        <v>0</v>
      </c>
      <c r="H325" s="14"/>
      <c r="I325" s="14"/>
      <c r="J325" s="14"/>
      <c r="K325" s="14"/>
      <c r="L325" s="14"/>
      <c r="M325" s="14"/>
      <c r="N325" s="14"/>
      <c r="O325" s="14"/>
      <c r="P325" s="14"/>
      <c r="Q325" s="14"/>
      <c r="R325" s="14"/>
      <c r="S325" s="14"/>
      <c r="T325" s="14"/>
      <c r="U325" s="14"/>
      <c r="V325" s="128">
        <v>1</v>
      </c>
      <c r="W325" s="128">
        <v>0.3</v>
      </c>
      <c r="X325" s="9"/>
    </row>
    <row r="326" spans="1:24" x14ac:dyDescent="0.3">
      <c r="A326" s="14"/>
      <c r="B326" s="14" t="s">
        <v>502</v>
      </c>
      <c r="C326" s="14" t="s">
        <v>394</v>
      </c>
      <c r="D326" s="14" t="s">
        <v>407</v>
      </c>
      <c r="E326" s="14">
        <v>0</v>
      </c>
      <c r="F326" s="14">
        <v>1</v>
      </c>
      <c r="G326" s="14">
        <v>0</v>
      </c>
      <c r="H326" s="14"/>
      <c r="I326" s="14"/>
      <c r="J326" s="14"/>
      <c r="K326" s="14"/>
      <c r="L326" s="14"/>
      <c r="M326" s="14"/>
      <c r="N326" s="14"/>
      <c r="O326" s="14"/>
      <c r="P326" s="14"/>
      <c r="Q326" s="14"/>
      <c r="R326" s="14"/>
      <c r="S326" s="14"/>
      <c r="T326" s="14"/>
      <c r="U326" s="14"/>
      <c r="V326" s="128">
        <v>1</v>
      </c>
      <c r="W326" s="128">
        <v>1</v>
      </c>
      <c r="X326" s="9"/>
    </row>
    <row r="327" spans="1:24" x14ac:dyDescent="0.3">
      <c r="A327" s="14"/>
      <c r="B327" s="14" t="s">
        <v>496</v>
      </c>
      <c r="C327" s="14" t="s">
        <v>394</v>
      </c>
      <c r="D327" s="14" t="s">
        <v>407</v>
      </c>
      <c r="E327" s="14">
        <v>0</v>
      </c>
      <c r="F327" s="14">
        <v>0</v>
      </c>
      <c r="G327" s="14">
        <v>1</v>
      </c>
      <c r="H327" s="14"/>
      <c r="I327" s="14"/>
      <c r="J327" s="14"/>
      <c r="K327" s="14"/>
      <c r="L327" s="14"/>
      <c r="M327" s="14"/>
      <c r="N327" s="14"/>
      <c r="O327" s="14"/>
      <c r="P327" s="14"/>
      <c r="Q327" s="14"/>
      <c r="R327" s="14"/>
      <c r="S327" s="14"/>
      <c r="T327" s="14"/>
      <c r="U327" s="14"/>
      <c r="V327" s="128">
        <v>1</v>
      </c>
      <c r="W327" s="128">
        <v>1</v>
      </c>
      <c r="X327" s="9"/>
    </row>
    <row r="328" spans="1:24" x14ac:dyDescent="0.3">
      <c r="A328" s="14"/>
      <c r="B328" s="14" t="s">
        <v>526</v>
      </c>
      <c r="C328" s="14" t="s">
        <v>396</v>
      </c>
      <c r="D328" s="14" t="s">
        <v>4</v>
      </c>
      <c r="E328" s="14">
        <v>0</v>
      </c>
      <c r="F328" s="14">
        <v>1</v>
      </c>
      <c r="G328" s="14">
        <v>0</v>
      </c>
      <c r="H328" s="14"/>
      <c r="I328" s="14"/>
      <c r="J328" s="14"/>
      <c r="K328" s="14"/>
      <c r="L328" s="14"/>
      <c r="M328" s="14"/>
      <c r="N328" s="14"/>
      <c r="O328" s="14"/>
      <c r="P328" s="14"/>
      <c r="Q328" s="14"/>
      <c r="R328" s="14"/>
      <c r="S328" s="14"/>
      <c r="T328" s="14"/>
      <c r="U328" s="14"/>
      <c r="V328" s="128">
        <v>1</v>
      </c>
      <c r="W328" s="128">
        <v>0.3</v>
      </c>
      <c r="X328" s="9"/>
    </row>
    <row r="329" spans="1:24" x14ac:dyDescent="0.3">
      <c r="A329" s="14"/>
      <c r="B329" s="14" t="s">
        <v>520</v>
      </c>
      <c r="C329" s="14" t="s">
        <v>394</v>
      </c>
      <c r="D329" s="14" t="s">
        <v>26</v>
      </c>
      <c r="E329" s="14">
        <v>0</v>
      </c>
      <c r="F329" s="14">
        <v>0</v>
      </c>
      <c r="G329" s="14">
        <v>1</v>
      </c>
      <c r="H329" s="14"/>
      <c r="I329" s="14"/>
      <c r="J329" s="14"/>
      <c r="K329" s="14"/>
      <c r="L329" s="14"/>
      <c r="M329" s="14"/>
      <c r="N329" s="14"/>
      <c r="O329" s="14"/>
      <c r="P329" s="14"/>
      <c r="Q329" s="14"/>
      <c r="R329" s="14"/>
      <c r="S329" s="14"/>
      <c r="T329" s="14"/>
      <c r="U329" s="14"/>
      <c r="V329" s="128">
        <v>1</v>
      </c>
      <c r="W329" s="128">
        <v>0.3</v>
      </c>
      <c r="X329" s="9"/>
    </row>
    <row r="330" spans="1:24" x14ac:dyDescent="0.3">
      <c r="A330" s="14"/>
      <c r="B330" s="14" t="s">
        <v>1249</v>
      </c>
      <c r="C330" s="14" t="s">
        <v>396</v>
      </c>
      <c r="D330" s="14" t="s">
        <v>398</v>
      </c>
      <c r="E330" s="14">
        <v>0</v>
      </c>
      <c r="F330" s="14">
        <v>1</v>
      </c>
      <c r="G330" s="14">
        <v>0</v>
      </c>
      <c r="H330" s="14"/>
      <c r="I330" s="14"/>
      <c r="J330" s="14"/>
      <c r="K330" s="14"/>
      <c r="L330" s="14"/>
      <c r="M330" s="14"/>
      <c r="N330" s="14"/>
      <c r="O330" s="14"/>
      <c r="P330" s="14"/>
      <c r="Q330" s="14"/>
      <c r="R330" s="14"/>
      <c r="S330" s="14"/>
      <c r="T330" s="14"/>
      <c r="U330" s="14"/>
      <c r="V330" s="128">
        <v>1</v>
      </c>
      <c r="W330" s="128">
        <v>0.3</v>
      </c>
      <c r="X330" s="9"/>
    </row>
    <row r="331" spans="1:24" x14ac:dyDescent="0.3">
      <c r="A331" s="14"/>
      <c r="B331" s="14" t="s">
        <v>1558</v>
      </c>
      <c r="C331" s="14" t="s">
        <v>396</v>
      </c>
      <c r="D331" s="14" t="s">
        <v>409</v>
      </c>
      <c r="E331" s="14">
        <v>0</v>
      </c>
      <c r="F331" s="14">
        <v>0</v>
      </c>
      <c r="G331" s="14">
        <v>1</v>
      </c>
      <c r="H331" s="14"/>
      <c r="I331" s="14"/>
      <c r="J331" s="14"/>
      <c r="K331" s="14"/>
      <c r="L331" s="14"/>
      <c r="M331" s="14"/>
      <c r="N331" s="14"/>
      <c r="O331" s="14"/>
      <c r="P331" s="14"/>
      <c r="Q331" s="14"/>
      <c r="R331" s="14"/>
      <c r="S331" s="14"/>
      <c r="T331" s="14"/>
      <c r="U331" s="14"/>
      <c r="V331" s="128">
        <v>1</v>
      </c>
      <c r="W331" s="128">
        <v>1</v>
      </c>
      <c r="X331" s="9"/>
    </row>
    <row r="332" spans="1:24" x14ac:dyDescent="0.3">
      <c r="A332" s="14"/>
      <c r="B332" s="14" t="s">
        <v>2466</v>
      </c>
      <c r="C332" s="14" t="s">
        <v>394</v>
      </c>
      <c r="D332" s="14" t="s">
        <v>401</v>
      </c>
      <c r="E332" s="14">
        <v>0</v>
      </c>
      <c r="F332" s="14">
        <v>0</v>
      </c>
      <c r="G332" s="14">
        <v>1</v>
      </c>
      <c r="H332" s="14"/>
      <c r="I332" s="14"/>
      <c r="J332" s="14"/>
      <c r="K332" s="14"/>
      <c r="L332" s="14"/>
      <c r="M332" s="14"/>
      <c r="N332" s="14"/>
      <c r="O332" s="14"/>
      <c r="P332" s="14"/>
      <c r="Q332" s="14"/>
      <c r="R332" s="14"/>
      <c r="S332" s="14"/>
      <c r="T332" s="14"/>
      <c r="U332" s="14"/>
      <c r="V332" s="128">
        <v>1</v>
      </c>
      <c r="W332" s="128">
        <v>1</v>
      </c>
      <c r="X332" s="9"/>
    </row>
    <row r="333" spans="1:24" x14ac:dyDescent="0.3">
      <c r="A333" s="14"/>
      <c r="B333" s="14" t="s">
        <v>311</v>
      </c>
      <c r="C333" s="14" t="s">
        <v>396</v>
      </c>
      <c r="D333" s="14" t="s">
        <v>10</v>
      </c>
      <c r="E333" s="14">
        <v>0</v>
      </c>
      <c r="F333" s="14">
        <v>0</v>
      </c>
      <c r="G333" s="14">
        <v>0</v>
      </c>
      <c r="H333" s="14"/>
      <c r="I333" s="14"/>
      <c r="J333" s="14"/>
      <c r="K333" s="14"/>
      <c r="L333" s="14"/>
      <c r="M333" s="14"/>
      <c r="N333" s="14"/>
      <c r="O333" s="14"/>
      <c r="P333" s="14"/>
      <c r="Q333" s="14"/>
      <c r="R333" s="14"/>
      <c r="S333" s="14"/>
      <c r="T333" s="14"/>
      <c r="U333" s="14"/>
      <c r="V333" s="128">
        <v>0</v>
      </c>
      <c r="W333" s="128">
        <v>0</v>
      </c>
      <c r="X333" s="9"/>
    </row>
    <row r="334" spans="1:24" x14ac:dyDescent="0.3">
      <c r="A334" s="14"/>
      <c r="B334" s="14" t="s">
        <v>103</v>
      </c>
      <c r="C334" s="14" t="s">
        <v>394</v>
      </c>
      <c r="D334" s="14" t="s">
        <v>24</v>
      </c>
      <c r="E334" s="14">
        <v>0</v>
      </c>
      <c r="F334" s="14">
        <v>0</v>
      </c>
      <c r="G334" s="14">
        <v>0</v>
      </c>
      <c r="H334" s="14"/>
      <c r="I334" s="14"/>
      <c r="J334" s="14"/>
      <c r="K334" s="14"/>
      <c r="L334" s="14"/>
      <c r="M334" s="14"/>
      <c r="N334" s="14"/>
      <c r="O334" s="14"/>
      <c r="P334" s="14"/>
      <c r="Q334" s="14"/>
      <c r="R334" s="14"/>
      <c r="S334" s="14"/>
      <c r="T334" s="14"/>
      <c r="U334" s="14"/>
      <c r="V334" s="128">
        <v>0</v>
      </c>
      <c r="W334" s="128">
        <v>0</v>
      </c>
      <c r="X334" s="9"/>
    </row>
    <row r="335" spans="1:24" x14ac:dyDescent="0.3">
      <c r="A335" s="14"/>
      <c r="B335" s="14" t="s">
        <v>1521</v>
      </c>
      <c r="C335" s="14" t="s">
        <v>396</v>
      </c>
      <c r="D335" s="14" t="s">
        <v>32</v>
      </c>
      <c r="E335" s="14">
        <v>0</v>
      </c>
      <c r="F335" s="14">
        <v>0</v>
      </c>
      <c r="G335" s="14">
        <v>0</v>
      </c>
      <c r="H335" s="14"/>
      <c r="I335" s="14"/>
      <c r="J335" s="14"/>
      <c r="K335" s="14"/>
      <c r="L335" s="14"/>
      <c r="M335" s="14"/>
      <c r="N335" s="14"/>
      <c r="O335" s="14"/>
      <c r="P335" s="14"/>
      <c r="Q335" s="14"/>
      <c r="R335" s="14"/>
      <c r="S335" s="14"/>
      <c r="T335" s="14"/>
      <c r="U335" s="14"/>
      <c r="V335" s="128">
        <v>0</v>
      </c>
      <c r="W335" s="128">
        <v>0</v>
      </c>
      <c r="X335" s="9"/>
    </row>
    <row r="336" spans="1:24" x14ac:dyDescent="0.3">
      <c r="A336" s="14"/>
      <c r="B336" s="14" t="s">
        <v>317</v>
      </c>
      <c r="C336" s="14" t="s">
        <v>396</v>
      </c>
      <c r="D336" s="14" t="s">
        <v>50</v>
      </c>
      <c r="E336" s="14">
        <v>0</v>
      </c>
      <c r="F336" s="14">
        <v>0</v>
      </c>
      <c r="G336" s="14">
        <v>0</v>
      </c>
      <c r="H336" s="14"/>
      <c r="I336" s="14"/>
      <c r="J336" s="14"/>
      <c r="K336" s="14"/>
      <c r="L336" s="14"/>
      <c r="M336" s="14"/>
      <c r="N336" s="14"/>
      <c r="O336" s="14"/>
      <c r="P336" s="14"/>
      <c r="Q336" s="14"/>
      <c r="R336" s="14"/>
      <c r="S336" s="14"/>
      <c r="T336" s="14"/>
      <c r="U336" s="14"/>
      <c r="V336" s="128">
        <v>0</v>
      </c>
      <c r="W336" s="128">
        <v>0</v>
      </c>
      <c r="X336" s="9"/>
    </row>
    <row r="337" spans="1:24" x14ac:dyDescent="0.3">
      <c r="A337" s="14"/>
      <c r="B337" s="14" t="s">
        <v>183</v>
      </c>
      <c r="C337" s="14" t="s">
        <v>394</v>
      </c>
      <c r="D337" s="14" t="s">
        <v>10</v>
      </c>
      <c r="E337" s="14">
        <v>0</v>
      </c>
      <c r="F337" s="14">
        <v>0</v>
      </c>
      <c r="G337" s="14">
        <v>0</v>
      </c>
      <c r="H337" s="14"/>
      <c r="I337" s="14"/>
      <c r="J337" s="14"/>
      <c r="K337" s="14"/>
      <c r="L337" s="14"/>
      <c r="M337" s="14"/>
      <c r="N337" s="14"/>
      <c r="O337" s="14"/>
      <c r="P337" s="14"/>
      <c r="Q337" s="14"/>
      <c r="R337" s="14"/>
      <c r="S337" s="14"/>
      <c r="T337" s="14"/>
      <c r="U337" s="14"/>
      <c r="V337" s="128">
        <v>0</v>
      </c>
      <c r="W337" s="128">
        <v>0</v>
      </c>
      <c r="X337" s="9"/>
    </row>
    <row r="338" spans="1:24" x14ac:dyDescent="0.3">
      <c r="A338" s="14"/>
      <c r="B338" s="14" t="s">
        <v>101</v>
      </c>
      <c r="C338" s="14" t="s">
        <v>394</v>
      </c>
      <c r="D338" s="14" t="s">
        <v>402</v>
      </c>
      <c r="E338" s="14">
        <v>0</v>
      </c>
      <c r="F338" s="14">
        <v>0</v>
      </c>
      <c r="G338" s="14">
        <v>0</v>
      </c>
      <c r="H338" s="14"/>
      <c r="I338" s="14"/>
      <c r="J338" s="14"/>
      <c r="K338" s="14"/>
      <c r="L338" s="14"/>
      <c r="M338" s="14"/>
      <c r="N338" s="14"/>
      <c r="O338" s="14"/>
      <c r="P338" s="14"/>
      <c r="Q338" s="14"/>
      <c r="R338" s="14"/>
      <c r="S338" s="14"/>
      <c r="T338" s="14"/>
      <c r="U338" s="14"/>
      <c r="V338" s="128">
        <v>0</v>
      </c>
      <c r="W338" s="128">
        <v>0</v>
      </c>
      <c r="X338" s="9"/>
    </row>
    <row r="339" spans="1:24" x14ac:dyDescent="0.3">
      <c r="A339" s="14"/>
      <c r="B339" s="14" t="s">
        <v>288</v>
      </c>
      <c r="C339" s="14" t="s">
        <v>396</v>
      </c>
      <c r="D339" s="14" t="s">
        <v>30</v>
      </c>
      <c r="E339" s="14">
        <v>0</v>
      </c>
      <c r="F339" s="14">
        <v>0</v>
      </c>
      <c r="G339" s="14">
        <v>0</v>
      </c>
      <c r="H339" s="14"/>
      <c r="I339" s="14"/>
      <c r="J339" s="14"/>
      <c r="K339" s="14"/>
      <c r="L339" s="14"/>
      <c r="M339" s="14"/>
      <c r="N339" s="14"/>
      <c r="O339" s="14"/>
      <c r="P339" s="14"/>
      <c r="Q339" s="14"/>
      <c r="R339" s="14"/>
      <c r="S339" s="14"/>
      <c r="T339" s="14"/>
      <c r="U339" s="14"/>
      <c r="V339" s="128">
        <v>0</v>
      </c>
      <c r="W339" s="128">
        <v>0</v>
      </c>
      <c r="X339" s="9"/>
    </row>
    <row r="340" spans="1:24" x14ac:dyDescent="0.3">
      <c r="A340" s="14"/>
      <c r="B340" s="14" t="s">
        <v>180</v>
      </c>
      <c r="C340" s="14" t="s">
        <v>394</v>
      </c>
      <c r="D340" s="14" t="s">
        <v>16</v>
      </c>
      <c r="E340" s="14">
        <v>0</v>
      </c>
      <c r="F340" s="14">
        <v>0</v>
      </c>
      <c r="G340" s="14">
        <v>0</v>
      </c>
      <c r="H340" s="14"/>
      <c r="I340" s="14"/>
      <c r="J340" s="14"/>
      <c r="K340" s="14"/>
      <c r="L340" s="14"/>
      <c r="M340" s="14"/>
      <c r="N340" s="14"/>
      <c r="O340" s="14"/>
      <c r="P340" s="14"/>
      <c r="Q340" s="14"/>
      <c r="R340" s="14"/>
      <c r="S340" s="14"/>
      <c r="T340" s="14"/>
      <c r="U340" s="14"/>
      <c r="V340" s="128">
        <v>0</v>
      </c>
      <c r="W340" s="128">
        <v>0</v>
      </c>
      <c r="X340" s="9"/>
    </row>
    <row r="341" spans="1:24" x14ac:dyDescent="0.3">
      <c r="A341" s="14"/>
      <c r="B341" s="14" t="s">
        <v>251</v>
      </c>
      <c r="C341" s="14" t="s">
        <v>396</v>
      </c>
      <c r="D341" s="14" t="s">
        <v>37</v>
      </c>
      <c r="E341" s="14">
        <v>0</v>
      </c>
      <c r="F341" s="14">
        <v>0</v>
      </c>
      <c r="G341" s="14">
        <v>0</v>
      </c>
      <c r="H341" s="14"/>
      <c r="I341" s="14"/>
      <c r="J341" s="14"/>
      <c r="K341" s="14"/>
      <c r="L341" s="14"/>
      <c r="M341" s="14"/>
      <c r="N341" s="14"/>
      <c r="O341" s="14"/>
      <c r="P341" s="14"/>
      <c r="Q341" s="14"/>
      <c r="R341" s="14"/>
      <c r="S341" s="14"/>
      <c r="T341" s="14"/>
      <c r="U341" s="14"/>
      <c r="V341" s="128">
        <v>0</v>
      </c>
      <c r="W341" s="128">
        <v>0</v>
      </c>
      <c r="X341" s="9"/>
    </row>
    <row r="342" spans="1:24" x14ac:dyDescent="0.3">
      <c r="A342" s="14"/>
      <c r="B342" s="14" t="s">
        <v>186</v>
      </c>
      <c r="C342" s="14" t="s">
        <v>394</v>
      </c>
      <c r="D342" s="14" t="s">
        <v>57</v>
      </c>
      <c r="E342" s="14">
        <v>0</v>
      </c>
      <c r="F342" s="14">
        <v>0</v>
      </c>
      <c r="G342" s="14">
        <v>0</v>
      </c>
      <c r="H342" s="14"/>
      <c r="I342" s="14"/>
      <c r="J342" s="14"/>
      <c r="K342" s="14"/>
      <c r="L342" s="14"/>
      <c r="M342" s="14"/>
      <c r="N342" s="14"/>
      <c r="O342" s="14"/>
      <c r="P342" s="14"/>
      <c r="Q342" s="14"/>
      <c r="R342" s="14"/>
      <c r="S342" s="14"/>
      <c r="T342" s="14"/>
      <c r="U342" s="14"/>
      <c r="V342" s="128">
        <v>0</v>
      </c>
      <c r="W342" s="128">
        <v>0</v>
      </c>
      <c r="X342" s="9"/>
    </row>
    <row r="343" spans="1:24" x14ac:dyDescent="0.3">
      <c r="A343" s="14"/>
      <c r="B343" s="14" t="s">
        <v>1555</v>
      </c>
      <c r="C343" s="14" t="s">
        <v>394</v>
      </c>
      <c r="D343" s="14" t="s">
        <v>20</v>
      </c>
      <c r="E343" s="14">
        <v>0</v>
      </c>
      <c r="F343" s="14">
        <v>0</v>
      </c>
      <c r="G343" s="14">
        <v>0</v>
      </c>
      <c r="H343" s="14"/>
      <c r="I343" s="14"/>
      <c r="J343" s="14"/>
      <c r="K343" s="14"/>
      <c r="L343" s="14"/>
      <c r="M343" s="14"/>
      <c r="N343" s="14"/>
      <c r="O343" s="14"/>
      <c r="P343" s="14"/>
      <c r="Q343" s="14"/>
      <c r="R343" s="14"/>
      <c r="S343" s="14"/>
      <c r="T343" s="14"/>
      <c r="U343" s="14"/>
      <c r="V343" s="128">
        <v>0</v>
      </c>
      <c r="W343" s="128">
        <v>0</v>
      </c>
      <c r="X343" s="9"/>
    </row>
    <row r="344" spans="1:24" x14ac:dyDescent="0.3">
      <c r="A344" s="14"/>
      <c r="B344" s="14" t="s">
        <v>140</v>
      </c>
      <c r="C344" s="14" t="s">
        <v>394</v>
      </c>
      <c r="D344" s="14" t="s">
        <v>402</v>
      </c>
      <c r="E344" s="14">
        <v>0</v>
      </c>
      <c r="F344" s="14">
        <v>0</v>
      </c>
      <c r="G344" s="14">
        <v>0</v>
      </c>
      <c r="H344" s="14"/>
      <c r="I344" s="14"/>
      <c r="J344" s="14"/>
      <c r="K344" s="14"/>
      <c r="L344" s="14"/>
      <c r="M344" s="14"/>
      <c r="N344" s="14"/>
      <c r="O344" s="14"/>
      <c r="P344" s="14"/>
      <c r="Q344" s="14"/>
      <c r="R344" s="14"/>
      <c r="S344" s="14"/>
      <c r="T344" s="14"/>
      <c r="U344" s="14"/>
      <c r="V344" s="128">
        <v>0</v>
      </c>
      <c r="W344" s="128">
        <v>0</v>
      </c>
      <c r="X344" s="9"/>
    </row>
    <row r="345" spans="1:24" x14ac:dyDescent="0.3">
      <c r="A345" s="14"/>
      <c r="B345" s="14" t="s">
        <v>314</v>
      </c>
      <c r="C345" s="14" t="s">
        <v>396</v>
      </c>
      <c r="D345" s="14" t="s">
        <v>46</v>
      </c>
      <c r="E345" s="14">
        <v>0</v>
      </c>
      <c r="F345" s="14">
        <v>0</v>
      </c>
      <c r="G345" s="14">
        <v>0</v>
      </c>
      <c r="H345" s="14"/>
      <c r="I345" s="14"/>
      <c r="J345" s="14"/>
      <c r="K345" s="14"/>
      <c r="L345" s="14"/>
      <c r="M345" s="14"/>
      <c r="N345" s="14"/>
      <c r="O345" s="14"/>
      <c r="P345" s="14"/>
      <c r="Q345" s="14"/>
      <c r="R345" s="14"/>
      <c r="S345" s="14"/>
      <c r="T345" s="14"/>
      <c r="U345" s="14"/>
      <c r="V345" s="128">
        <v>0</v>
      </c>
      <c r="W345" s="128">
        <v>0</v>
      </c>
      <c r="X345" s="9"/>
    </row>
    <row r="346" spans="1:24" x14ac:dyDescent="0.3">
      <c r="A346" s="14"/>
      <c r="B346" s="14" t="s">
        <v>287</v>
      </c>
      <c r="C346" s="14" t="s">
        <v>396</v>
      </c>
      <c r="D346" s="14" t="s">
        <v>46</v>
      </c>
      <c r="E346" s="14">
        <v>0</v>
      </c>
      <c r="F346" s="14">
        <v>0</v>
      </c>
      <c r="G346" s="14">
        <v>0</v>
      </c>
      <c r="H346" s="14"/>
      <c r="I346" s="14"/>
      <c r="J346" s="14"/>
      <c r="K346" s="14"/>
      <c r="L346" s="14"/>
      <c r="M346" s="14"/>
      <c r="N346" s="14"/>
      <c r="O346" s="14"/>
      <c r="P346" s="14"/>
      <c r="Q346" s="14"/>
      <c r="R346" s="14"/>
      <c r="S346" s="14"/>
      <c r="T346" s="14"/>
      <c r="U346" s="14"/>
      <c r="V346" s="128">
        <v>0</v>
      </c>
      <c r="W346" s="128">
        <v>0</v>
      </c>
      <c r="X346" s="9"/>
    </row>
    <row r="347" spans="1:24" x14ac:dyDescent="0.3">
      <c r="A347" s="14"/>
      <c r="B347" s="14" t="s">
        <v>157</v>
      </c>
      <c r="C347" s="14" t="s">
        <v>394</v>
      </c>
      <c r="D347" s="14" t="s">
        <v>397</v>
      </c>
      <c r="E347" s="14">
        <v>0</v>
      </c>
      <c r="F347" s="14">
        <v>0</v>
      </c>
      <c r="G347" s="14">
        <v>0</v>
      </c>
      <c r="H347" s="14"/>
      <c r="I347" s="14"/>
      <c r="J347" s="14"/>
      <c r="K347" s="14"/>
      <c r="L347" s="14"/>
      <c r="M347" s="14"/>
      <c r="N347" s="14"/>
      <c r="O347" s="14"/>
      <c r="P347" s="14"/>
      <c r="Q347" s="14"/>
      <c r="R347" s="14"/>
      <c r="S347" s="14"/>
      <c r="T347" s="14"/>
      <c r="U347" s="14"/>
      <c r="V347" s="128">
        <v>0</v>
      </c>
      <c r="W347" s="128">
        <v>0</v>
      </c>
      <c r="X347" s="9"/>
    </row>
    <row r="348" spans="1:24" x14ac:dyDescent="0.3">
      <c r="A348" s="14"/>
      <c r="B348" s="14" t="s">
        <v>174</v>
      </c>
      <c r="C348" s="14" t="s">
        <v>394</v>
      </c>
      <c r="D348" s="14" t="s">
        <v>28</v>
      </c>
      <c r="E348" s="14">
        <v>0</v>
      </c>
      <c r="F348" s="14">
        <v>0</v>
      </c>
      <c r="G348" s="14">
        <v>0</v>
      </c>
      <c r="H348" s="14"/>
      <c r="I348" s="14"/>
      <c r="J348" s="14"/>
      <c r="K348" s="14"/>
      <c r="L348" s="14"/>
      <c r="M348" s="14"/>
      <c r="N348" s="14"/>
      <c r="O348" s="14"/>
      <c r="P348" s="14"/>
      <c r="Q348" s="14"/>
      <c r="R348" s="14"/>
      <c r="S348" s="14"/>
      <c r="T348" s="14"/>
      <c r="U348" s="14"/>
      <c r="V348" s="128">
        <v>0</v>
      </c>
      <c r="W348" s="128">
        <v>0</v>
      </c>
      <c r="X348" s="9"/>
    </row>
    <row r="349" spans="1:24" x14ac:dyDescent="0.3">
      <c r="A349" s="14"/>
      <c r="B349" s="14" t="s">
        <v>164</v>
      </c>
      <c r="C349" s="14" t="s">
        <v>394</v>
      </c>
      <c r="D349" s="14" t="s">
        <v>39</v>
      </c>
      <c r="E349" s="14">
        <v>0</v>
      </c>
      <c r="F349" s="14">
        <v>0</v>
      </c>
      <c r="G349" s="14">
        <v>0</v>
      </c>
      <c r="H349" s="14"/>
      <c r="I349" s="14"/>
      <c r="J349" s="14"/>
      <c r="K349" s="14"/>
      <c r="L349" s="14"/>
      <c r="M349" s="14"/>
      <c r="N349" s="14"/>
      <c r="O349" s="14"/>
      <c r="P349" s="14"/>
      <c r="Q349" s="14"/>
      <c r="R349" s="14"/>
      <c r="S349" s="14"/>
      <c r="T349" s="14"/>
      <c r="U349" s="14"/>
      <c r="V349" s="128">
        <v>0</v>
      </c>
      <c r="W349" s="128">
        <v>0</v>
      </c>
      <c r="X349" s="9"/>
    </row>
    <row r="350" spans="1:24" x14ac:dyDescent="0.3">
      <c r="A350" s="14"/>
      <c r="B350" s="14" t="s">
        <v>372</v>
      </c>
      <c r="C350" s="14" t="s">
        <v>399</v>
      </c>
      <c r="D350" s="14" t="s">
        <v>52</v>
      </c>
      <c r="E350" s="14">
        <v>0</v>
      </c>
      <c r="F350" s="14">
        <v>0</v>
      </c>
      <c r="G350" s="14">
        <v>0</v>
      </c>
      <c r="H350" s="14"/>
      <c r="I350" s="14"/>
      <c r="J350" s="14"/>
      <c r="K350" s="14"/>
      <c r="L350" s="14"/>
      <c r="M350" s="14"/>
      <c r="N350" s="14"/>
      <c r="O350" s="14"/>
      <c r="P350" s="14"/>
      <c r="Q350" s="14"/>
      <c r="R350" s="14"/>
      <c r="S350" s="14"/>
      <c r="T350" s="14"/>
      <c r="U350" s="14"/>
      <c r="V350" s="128">
        <v>0</v>
      </c>
      <c r="W350" s="128">
        <v>0</v>
      </c>
      <c r="X350" s="9"/>
    </row>
    <row r="351" spans="1:24" x14ac:dyDescent="0.3">
      <c r="A351" s="14"/>
      <c r="B351" s="14" t="s">
        <v>384</v>
      </c>
      <c r="C351" s="14" t="s">
        <v>399</v>
      </c>
      <c r="D351" s="14" t="s">
        <v>57</v>
      </c>
      <c r="E351" s="14">
        <v>0</v>
      </c>
      <c r="F351" s="14">
        <v>0</v>
      </c>
      <c r="G351" s="14">
        <v>0</v>
      </c>
      <c r="H351" s="14"/>
      <c r="I351" s="14"/>
      <c r="J351" s="14"/>
      <c r="K351" s="14"/>
      <c r="L351" s="14"/>
      <c r="M351" s="14"/>
      <c r="N351" s="14"/>
      <c r="O351" s="14"/>
      <c r="P351" s="14"/>
      <c r="Q351" s="14"/>
      <c r="R351" s="14"/>
      <c r="S351" s="14"/>
      <c r="T351" s="14"/>
      <c r="U351" s="14"/>
      <c r="V351" s="128">
        <v>0</v>
      </c>
      <c r="W351" s="128">
        <v>0</v>
      </c>
      <c r="X351" s="9"/>
    </row>
    <row r="352" spans="1:24" x14ac:dyDescent="0.3">
      <c r="A352" s="14"/>
      <c r="B352" s="14" t="s">
        <v>163</v>
      </c>
      <c r="C352" s="14" t="s">
        <v>394</v>
      </c>
      <c r="D352" s="14" t="s">
        <v>41</v>
      </c>
      <c r="E352" s="14">
        <v>0</v>
      </c>
      <c r="F352" s="14">
        <v>0</v>
      </c>
      <c r="G352" s="14">
        <v>0</v>
      </c>
      <c r="H352" s="14"/>
      <c r="I352" s="14"/>
      <c r="J352" s="14"/>
      <c r="K352" s="14"/>
      <c r="L352" s="14"/>
      <c r="M352" s="14"/>
      <c r="N352" s="14"/>
      <c r="O352" s="14"/>
      <c r="P352" s="14"/>
      <c r="Q352" s="14"/>
      <c r="R352" s="14"/>
      <c r="S352" s="14"/>
      <c r="T352" s="14"/>
      <c r="U352" s="14"/>
      <c r="V352" s="128">
        <v>0</v>
      </c>
      <c r="W352" s="128">
        <v>0</v>
      </c>
      <c r="X352" s="9"/>
    </row>
    <row r="353" spans="1:25" x14ac:dyDescent="0.3">
      <c r="A353" s="14"/>
      <c r="B353" s="14" t="s">
        <v>544</v>
      </c>
      <c r="C353" s="14" t="s">
        <v>399</v>
      </c>
      <c r="D353" s="14" t="s">
        <v>7</v>
      </c>
      <c r="E353" s="14">
        <v>0</v>
      </c>
      <c r="F353" s="14">
        <v>0</v>
      </c>
      <c r="G353" s="14">
        <v>0</v>
      </c>
      <c r="H353" s="14"/>
      <c r="I353" s="14"/>
      <c r="J353" s="14"/>
      <c r="K353" s="14"/>
      <c r="L353" s="14"/>
      <c r="M353" s="14"/>
      <c r="N353" s="14"/>
      <c r="O353" s="14"/>
      <c r="P353" s="14"/>
      <c r="Q353" s="14"/>
      <c r="R353" s="14"/>
      <c r="S353" s="14"/>
      <c r="T353" s="14"/>
      <c r="U353" s="14"/>
      <c r="V353" s="128">
        <v>0</v>
      </c>
      <c r="W353" s="128">
        <v>0</v>
      </c>
      <c r="X353" s="9"/>
    </row>
    <row r="354" spans="1:25" x14ac:dyDescent="0.3">
      <c r="A354" s="14"/>
      <c r="B354" s="14" t="s">
        <v>1522</v>
      </c>
      <c r="C354" s="14" t="s">
        <v>394</v>
      </c>
      <c r="D354" s="14" t="s">
        <v>409</v>
      </c>
      <c r="E354" s="14">
        <v>0</v>
      </c>
      <c r="F354" s="14">
        <v>0</v>
      </c>
      <c r="G354" s="14">
        <v>0</v>
      </c>
      <c r="H354" s="14"/>
      <c r="I354" s="14"/>
      <c r="J354" s="14"/>
      <c r="K354" s="14"/>
      <c r="L354" s="14"/>
      <c r="M354" s="14"/>
      <c r="N354" s="14"/>
      <c r="O354" s="14"/>
      <c r="P354" s="14"/>
      <c r="Q354" s="14"/>
      <c r="R354" s="14"/>
      <c r="S354" s="14"/>
      <c r="T354" s="14"/>
      <c r="U354" s="14"/>
      <c r="V354" s="128">
        <v>0</v>
      </c>
      <c r="W354" s="128">
        <v>0</v>
      </c>
      <c r="X354" s="9"/>
    </row>
    <row r="355" spans="1:25" x14ac:dyDescent="0.3">
      <c r="A355" s="14"/>
      <c r="B355" s="14" t="s">
        <v>108</v>
      </c>
      <c r="C355" s="14" t="s">
        <v>394</v>
      </c>
      <c r="D355" s="14" t="s">
        <v>43</v>
      </c>
      <c r="E355" s="14">
        <v>0</v>
      </c>
      <c r="F355" s="14">
        <v>0</v>
      </c>
      <c r="G355" s="14">
        <v>0</v>
      </c>
      <c r="H355" s="14"/>
      <c r="I355" s="14"/>
      <c r="J355" s="14"/>
      <c r="K355" s="14"/>
      <c r="L355" s="14"/>
      <c r="M355" s="14"/>
      <c r="N355" s="14"/>
      <c r="O355" s="14"/>
      <c r="P355" s="14"/>
      <c r="Q355" s="14"/>
      <c r="R355" s="14"/>
      <c r="S355" s="14"/>
      <c r="T355" s="14"/>
      <c r="U355" s="14"/>
      <c r="V355" s="128">
        <v>0</v>
      </c>
      <c r="W355" s="128">
        <v>0</v>
      </c>
      <c r="X355" s="9"/>
    </row>
    <row r="356" spans="1:25" x14ac:dyDescent="0.3">
      <c r="A356" s="14"/>
      <c r="B356" s="14" t="s">
        <v>178</v>
      </c>
      <c r="C356" s="14" t="s">
        <v>394</v>
      </c>
      <c r="D356" s="14" t="s">
        <v>43</v>
      </c>
      <c r="E356" s="14">
        <v>0</v>
      </c>
      <c r="F356" s="14">
        <v>0</v>
      </c>
      <c r="G356" s="14">
        <v>0</v>
      </c>
      <c r="H356" s="14"/>
      <c r="I356" s="14"/>
      <c r="J356" s="14"/>
      <c r="K356" s="14"/>
      <c r="L356" s="14"/>
      <c r="M356" s="14"/>
      <c r="N356" s="14"/>
      <c r="O356" s="14"/>
      <c r="P356" s="14"/>
      <c r="Q356" s="14"/>
      <c r="R356" s="14"/>
      <c r="S356" s="14"/>
      <c r="T356" s="14"/>
      <c r="U356" s="14"/>
      <c r="V356" s="128">
        <v>0</v>
      </c>
      <c r="W356" s="128">
        <v>0</v>
      </c>
      <c r="X356" s="9"/>
    </row>
    <row r="357" spans="1:25" x14ac:dyDescent="0.3">
      <c r="A357" s="14"/>
      <c r="B357" s="14" t="s">
        <v>309</v>
      </c>
      <c r="C357" s="14" t="s">
        <v>396</v>
      </c>
      <c r="D357" s="14" t="s">
        <v>395</v>
      </c>
      <c r="E357" s="14">
        <v>0</v>
      </c>
      <c r="F357" s="14">
        <v>0</v>
      </c>
      <c r="G357" s="14">
        <v>0</v>
      </c>
      <c r="H357" s="14"/>
      <c r="I357" s="14"/>
      <c r="J357" s="14"/>
      <c r="K357" s="14"/>
      <c r="L357" s="14"/>
      <c r="M357" s="14"/>
      <c r="N357" s="14"/>
      <c r="O357" s="14"/>
      <c r="P357" s="14"/>
      <c r="Q357" s="14"/>
      <c r="R357" s="14"/>
      <c r="S357" s="14"/>
      <c r="T357" s="14"/>
      <c r="U357" s="14"/>
      <c r="V357" s="128">
        <v>0</v>
      </c>
      <c r="W357" s="128">
        <v>0</v>
      </c>
      <c r="X357" s="9"/>
    </row>
    <row r="358" spans="1:25" x14ac:dyDescent="0.3">
      <c r="A358" s="14"/>
      <c r="B358" s="14" t="s">
        <v>112</v>
      </c>
      <c r="C358" s="14" t="s">
        <v>394</v>
      </c>
      <c r="D358" s="14" t="s">
        <v>30</v>
      </c>
      <c r="E358" s="14">
        <v>0</v>
      </c>
      <c r="F358" s="14">
        <v>0</v>
      </c>
      <c r="G358" s="14">
        <v>0</v>
      </c>
      <c r="H358" s="14"/>
      <c r="I358" s="14"/>
      <c r="J358" s="14"/>
      <c r="K358" s="14"/>
      <c r="L358" s="14"/>
      <c r="M358" s="14"/>
      <c r="N358" s="14"/>
      <c r="O358" s="14"/>
      <c r="P358" s="14"/>
      <c r="Q358" s="14"/>
      <c r="R358" s="14"/>
      <c r="S358" s="14"/>
      <c r="T358" s="14"/>
      <c r="U358" s="14"/>
      <c r="V358" s="128">
        <v>0</v>
      </c>
      <c r="W358" s="128">
        <v>0</v>
      </c>
      <c r="X358" s="9"/>
    </row>
    <row r="359" spans="1:25" x14ac:dyDescent="0.3">
      <c r="A359" s="14"/>
      <c r="B359" s="14" t="s">
        <v>546</v>
      </c>
      <c r="C359" s="14" t="s">
        <v>399</v>
      </c>
      <c r="D359" s="14" t="s">
        <v>16</v>
      </c>
      <c r="E359" s="14">
        <v>0</v>
      </c>
      <c r="F359" s="14">
        <v>0</v>
      </c>
      <c r="G359" s="14">
        <v>0</v>
      </c>
      <c r="H359" s="14"/>
      <c r="I359" s="14"/>
      <c r="J359" s="14"/>
      <c r="K359" s="14"/>
      <c r="L359" s="14"/>
      <c r="M359" s="14"/>
      <c r="N359" s="14"/>
      <c r="O359" s="14"/>
      <c r="P359" s="14"/>
      <c r="Q359" s="14"/>
      <c r="R359" s="14"/>
      <c r="S359" s="14"/>
      <c r="T359" s="14"/>
      <c r="U359" s="14"/>
      <c r="V359" s="128">
        <v>0</v>
      </c>
      <c r="W359" s="128">
        <v>0</v>
      </c>
      <c r="X359" s="9"/>
    </row>
    <row r="360" spans="1:25" x14ac:dyDescent="0.3">
      <c r="A360" s="14"/>
      <c r="B360" s="14" t="s">
        <v>2467</v>
      </c>
      <c r="C360" s="14" t="s">
        <v>394</v>
      </c>
      <c r="D360" s="14" t="s">
        <v>14</v>
      </c>
      <c r="E360" s="14">
        <v>0</v>
      </c>
      <c r="F360" s="14">
        <v>0</v>
      </c>
      <c r="G360" s="14">
        <v>0</v>
      </c>
      <c r="H360" s="14"/>
      <c r="I360" s="14"/>
      <c r="J360" s="14"/>
      <c r="K360" s="14"/>
      <c r="L360" s="14"/>
      <c r="M360" s="14"/>
      <c r="N360" s="14"/>
      <c r="O360" s="14"/>
      <c r="P360" s="14"/>
      <c r="Q360" s="14"/>
      <c r="R360" s="14"/>
      <c r="S360" s="14"/>
      <c r="T360" s="14"/>
      <c r="U360" s="14"/>
      <c r="V360" s="128">
        <v>0</v>
      </c>
      <c r="W360" s="128">
        <v>0</v>
      </c>
      <c r="X360" s="9"/>
    </row>
    <row r="361" spans="1:25" x14ac:dyDescent="0.3">
      <c r="A361" s="14"/>
      <c r="B361" s="14" t="s">
        <v>350</v>
      </c>
      <c r="C361" s="14" t="s">
        <v>399</v>
      </c>
      <c r="D361" s="14" t="s">
        <v>32</v>
      </c>
      <c r="E361" s="14">
        <v>0</v>
      </c>
      <c r="F361" s="14">
        <v>0</v>
      </c>
      <c r="G361" s="14">
        <v>0</v>
      </c>
      <c r="H361" s="14"/>
      <c r="I361" s="14"/>
      <c r="J361" s="14"/>
      <c r="K361" s="14"/>
      <c r="L361" s="14"/>
      <c r="M361" s="14"/>
      <c r="N361" s="14"/>
      <c r="O361" s="14"/>
      <c r="P361" s="14"/>
      <c r="Q361" s="14"/>
      <c r="R361" s="14"/>
      <c r="S361" s="14"/>
      <c r="T361" s="14"/>
      <c r="U361" s="14"/>
      <c r="V361" s="128">
        <v>0</v>
      </c>
      <c r="W361" s="128">
        <v>0</v>
      </c>
      <c r="X361" s="9"/>
    </row>
    <row r="362" spans="1:25" x14ac:dyDescent="0.3">
      <c r="A362" s="14"/>
      <c r="B362" s="14" t="s">
        <v>185</v>
      </c>
      <c r="C362" s="14" t="s">
        <v>394</v>
      </c>
      <c r="D362" s="14" t="s">
        <v>404</v>
      </c>
      <c r="E362" s="14">
        <v>0</v>
      </c>
      <c r="F362" s="14">
        <v>0</v>
      </c>
      <c r="G362" s="14">
        <v>0</v>
      </c>
      <c r="H362" s="14"/>
      <c r="I362" s="14"/>
      <c r="J362" s="14"/>
      <c r="K362" s="14"/>
      <c r="L362" s="14"/>
      <c r="M362" s="14"/>
      <c r="N362" s="14"/>
      <c r="O362" s="14"/>
      <c r="P362" s="14"/>
      <c r="Q362" s="14"/>
      <c r="R362" s="14"/>
      <c r="S362" s="14"/>
      <c r="T362" s="14"/>
      <c r="U362" s="14"/>
      <c r="V362" s="128">
        <v>0</v>
      </c>
      <c r="W362" s="128">
        <v>0</v>
      </c>
      <c r="X362" s="9"/>
    </row>
    <row r="363" spans="1:25" x14ac:dyDescent="0.3">
      <c r="A363" s="14"/>
      <c r="B363" s="14" t="s">
        <v>553</v>
      </c>
      <c r="C363" s="14" t="s">
        <v>399</v>
      </c>
      <c r="D363" s="14" t="s">
        <v>561</v>
      </c>
      <c r="E363" s="14">
        <v>0</v>
      </c>
      <c r="F363" s="14">
        <v>0</v>
      </c>
      <c r="G363" s="14">
        <v>0</v>
      </c>
      <c r="H363" s="14"/>
      <c r="I363" s="14"/>
      <c r="J363" s="14"/>
      <c r="K363" s="14"/>
      <c r="L363" s="14"/>
      <c r="M363" s="14"/>
      <c r="N363" s="14"/>
      <c r="O363" s="14"/>
      <c r="P363" s="14"/>
      <c r="Q363" s="14"/>
      <c r="R363" s="14"/>
      <c r="S363" s="14"/>
      <c r="T363" s="14"/>
      <c r="U363" s="14"/>
      <c r="V363" s="128">
        <v>0</v>
      </c>
      <c r="W363" s="128">
        <v>0</v>
      </c>
      <c r="X363" s="9"/>
      <c r="Y363" s="9"/>
    </row>
    <row r="364" spans="1:25" x14ac:dyDescent="0.3">
      <c r="A364" s="14"/>
      <c r="B364" s="14" t="s">
        <v>255</v>
      </c>
      <c r="C364" s="14" t="s">
        <v>396</v>
      </c>
      <c r="D364" s="14" t="s">
        <v>395</v>
      </c>
      <c r="E364" s="14">
        <v>0</v>
      </c>
      <c r="F364" s="14">
        <v>0</v>
      </c>
      <c r="G364" s="14">
        <v>0</v>
      </c>
      <c r="H364" s="14"/>
      <c r="I364" s="14"/>
      <c r="J364" s="14"/>
      <c r="K364" s="14"/>
      <c r="L364" s="14"/>
      <c r="M364" s="14"/>
      <c r="N364" s="14"/>
      <c r="O364" s="14"/>
      <c r="P364" s="14"/>
      <c r="Q364" s="14"/>
      <c r="R364" s="14"/>
      <c r="S364" s="14"/>
      <c r="T364" s="14"/>
      <c r="U364" s="14"/>
      <c r="V364" s="128">
        <v>0</v>
      </c>
      <c r="W364" s="128">
        <v>0</v>
      </c>
      <c r="X364" s="9"/>
      <c r="Y364" s="9"/>
    </row>
    <row r="365" spans="1:25" x14ac:dyDescent="0.3">
      <c r="A365" s="14"/>
      <c r="B365" s="14" t="s">
        <v>179</v>
      </c>
      <c r="C365" s="14" t="s">
        <v>394</v>
      </c>
      <c r="D365" s="14" t="s">
        <v>7</v>
      </c>
      <c r="E365" s="14">
        <v>0</v>
      </c>
      <c r="F365" s="14">
        <v>0</v>
      </c>
      <c r="G365" s="14">
        <v>0</v>
      </c>
      <c r="H365" s="14"/>
      <c r="I365" s="14"/>
      <c r="J365" s="14"/>
      <c r="K365" s="14"/>
      <c r="L365" s="14"/>
      <c r="M365" s="14"/>
      <c r="N365" s="14"/>
      <c r="O365" s="14"/>
      <c r="P365" s="14"/>
      <c r="Q365" s="14"/>
      <c r="R365" s="14"/>
      <c r="S365" s="14"/>
      <c r="T365" s="14"/>
      <c r="U365" s="14"/>
      <c r="V365" s="128">
        <v>0</v>
      </c>
      <c r="W365" s="128">
        <v>0</v>
      </c>
      <c r="X365" s="9"/>
      <c r="Y365" s="9"/>
    </row>
    <row r="366" spans="1:25" x14ac:dyDescent="0.3">
      <c r="A366" s="14"/>
      <c r="B366" s="14" t="s">
        <v>484</v>
      </c>
      <c r="C366" s="14" t="s">
        <v>396</v>
      </c>
      <c r="D366" s="14" t="s">
        <v>561</v>
      </c>
      <c r="E366" s="14">
        <v>0</v>
      </c>
      <c r="F366" s="14">
        <v>0</v>
      </c>
      <c r="G366" s="14">
        <v>0</v>
      </c>
      <c r="H366" s="14"/>
      <c r="I366" s="14"/>
      <c r="J366" s="14"/>
      <c r="K366" s="14"/>
      <c r="L366" s="14"/>
      <c r="M366" s="14"/>
      <c r="N366" s="14"/>
      <c r="O366" s="14"/>
      <c r="P366" s="14"/>
      <c r="Q366" s="14"/>
      <c r="R366" s="14"/>
      <c r="S366" s="14"/>
      <c r="T366" s="14"/>
      <c r="U366" s="14"/>
      <c r="V366" s="128">
        <v>0</v>
      </c>
      <c r="W366" s="128">
        <v>0</v>
      </c>
      <c r="X366" s="9"/>
      <c r="Y366" s="9"/>
    </row>
    <row r="367" spans="1:25" x14ac:dyDescent="0.3">
      <c r="A367" s="14"/>
      <c r="B367" s="14" t="s">
        <v>365</v>
      </c>
      <c r="C367" s="14" t="s">
        <v>399</v>
      </c>
      <c r="D367" s="14" t="s">
        <v>397</v>
      </c>
      <c r="E367" s="14">
        <v>0</v>
      </c>
      <c r="F367" s="14">
        <v>0</v>
      </c>
      <c r="G367" s="14">
        <v>0</v>
      </c>
      <c r="H367" s="14"/>
      <c r="I367" s="14"/>
      <c r="J367" s="14"/>
      <c r="K367" s="14"/>
      <c r="L367" s="14"/>
      <c r="M367" s="14"/>
      <c r="N367" s="14"/>
      <c r="O367" s="14"/>
      <c r="P367" s="14"/>
      <c r="Q367" s="14"/>
      <c r="R367" s="14"/>
      <c r="S367" s="14"/>
      <c r="T367" s="14"/>
      <c r="U367" s="14"/>
      <c r="V367" s="128">
        <v>0</v>
      </c>
      <c r="W367" s="128">
        <v>0</v>
      </c>
      <c r="X367" s="9"/>
      <c r="Y367" s="9"/>
    </row>
    <row r="368" spans="1:25" x14ac:dyDescent="0.3">
      <c r="A368" s="14"/>
      <c r="B368" s="14" t="s">
        <v>307</v>
      </c>
      <c r="C368" s="14" t="s">
        <v>396</v>
      </c>
      <c r="D368" s="14" t="s">
        <v>52</v>
      </c>
      <c r="E368" s="14">
        <v>0</v>
      </c>
      <c r="F368" s="14">
        <v>0</v>
      </c>
      <c r="G368" s="14">
        <v>0</v>
      </c>
      <c r="H368" s="14"/>
      <c r="I368" s="14"/>
      <c r="J368" s="14"/>
      <c r="K368" s="14"/>
      <c r="L368" s="14"/>
      <c r="M368" s="14"/>
      <c r="N368" s="14"/>
      <c r="O368" s="14"/>
      <c r="P368" s="14"/>
      <c r="Q368" s="14"/>
      <c r="R368" s="14"/>
      <c r="S368" s="14"/>
      <c r="T368" s="14"/>
      <c r="U368" s="14"/>
      <c r="V368" s="128">
        <v>0</v>
      </c>
      <c r="W368" s="128">
        <v>0</v>
      </c>
      <c r="X368" s="9"/>
      <c r="Y368" s="9"/>
    </row>
    <row r="369" spans="1:25" x14ac:dyDescent="0.3">
      <c r="A369" s="14"/>
      <c r="B369" s="14" t="s">
        <v>507</v>
      </c>
      <c r="C369" s="14" t="s">
        <v>394</v>
      </c>
      <c r="D369" s="14" t="s">
        <v>46</v>
      </c>
      <c r="E369" s="14">
        <v>0</v>
      </c>
      <c r="F369" s="14">
        <v>0</v>
      </c>
      <c r="G369" s="14">
        <v>0</v>
      </c>
      <c r="H369" s="14"/>
      <c r="I369" s="14"/>
      <c r="J369" s="14"/>
      <c r="K369" s="14"/>
      <c r="L369" s="14"/>
      <c r="M369" s="14"/>
      <c r="N369" s="14"/>
      <c r="O369" s="14"/>
      <c r="P369" s="14"/>
      <c r="Q369" s="14"/>
      <c r="R369" s="14"/>
      <c r="S369" s="14"/>
      <c r="T369" s="14"/>
      <c r="U369" s="14"/>
      <c r="V369" s="128">
        <v>0</v>
      </c>
      <c r="W369" s="128">
        <v>0</v>
      </c>
      <c r="X369" s="9"/>
      <c r="Y369" s="9"/>
    </row>
    <row r="370" spans="1:25" x14ac:dyDescent="0.3">
      <c r="A370" s="14"/>
      <c r="B370" s="14" t="s">
        <v>184</v>
      </c>
      <c r="C370" s="14" t="s">
        <v>394</v>
      </c>
      <c r="D370" s="14" t="s">
        <v>52</v>
      </c>
      <c r="E370" s="14">
        <v>0</v>
      </c>
      <c r="F370" s="14">
        <v>0</v>
      </c>
      <c r="G370" s="14">
        <v>0</v>
      </c>
      <c r="H370" s="14"/>
      <c r="I370" s="14"/>
      <c r="J370" s="14"/>
      <c r="K370" s="14"/>
      <c r="L370" s="14"/>
      <c r="M370" s="14"/>
      <c r="N370" s="14"/>
      <c r="O370" s="14"/>
      <c r="P370" s="14"/>
      <c r="Q370" s="14"/>
      <c r="R370" s="14"/>
      <c r="S370" s="14"/>
      <c r="T370" s="14"/>
      <c r="U370" s="14"/>
      <c r="V370" s="128">
        <v>0</v>
      </c>
      <c r="W370" s="128">
        <v>0</v>
      </c>
      <c r="X370" s="9"/>
      <c r="Y370" s="9"/>
    </row>
    <row r="371" spans="1:25" x14ac:dyDescent="0.3">
      <c r="A371" s="14"/>
      <c r="B371" s="14" t="s">
        <v>1742</v>
      </c>
      <c r="C371" s="14" t="s">
        <v>394</v>
      </c>
      <c r="D371" s="14" t="s">
        <v>34</v>
      </c>
      <c r="E371" s="14">
        <v>0</v>
      </c>
      <c r="F371" s="14">
        <v>0</v>
      </c>
      <c r="G371" s="14">
        <v>0</v>
      </c>
      <c r="H371" s="14"/>
      <c r="I371" s="14"/>
      <c r="J371" s="14"/>
      <c r="K371" s="14"/>
      <c r="L371" s="14"/>
      <c r="M371" s="14"/>
      <c r="N371" s="14"/>
      <c r="O371" s="14"/>
      <c r="P371" s="14"/>
      <c r="Q371" s="14"/>
      <c r="R371" s="14"/>
      <c r="S371" s="14"/>
      <c r="T371" s="14"/>
      <c r="U371" s="14"/>
      <c r="V371" s="128">
        <v>0</v>
      </c>
      <c r="W371" s="128">
        <v>0</v>
      </c>
      <c r="X371" s="9"/>
      <c r="Y371" s="9"/>
    </row>
    <row r="372" spans="1:25" x14ac:dyDescent="0.3">
      <c r="A372" s="14"/>
      <c r="B372" s="14" t="s">
        <v>513</v>
      </c>
      <c r="C372" s="14" t="s">
        <v>394</v>
      </c>
      <c r="D372" s="14" t="s">
        <v>10</v>
      </c>
      <c r="E372" s="14">
        <v>0</v>
      </c>
      <c r="F372" s="14">
        <v>0</v>
      </c>
      <c r="G372" s="14">
        <v>0</v>
      </c>
      <c r="H372" s="14"/>
      <c r="I372" s="14"/>
      <c r="J372" s="14"/>
      <c r="K372" s="14"/>
      <c r="L372" s="14"/>
      <c r="M372" s="14"/>
      <c r="N372" s="14"/>
      <c r="O372" s="14"/>
      <c r="P372" s="14"/>
      <c r="Q372" s="14"/>
      <c r="R372" s="14"/>
      <c r="S372" s="14"/>
      <c r="T372" s="14"/>
      <c r="U372" s="14"/>
      <c r="V372" s="128">
        <v>0</v>
      </c>
      <c r="W372" s="128">
        <v>0</v>
      </c>
      <c r="X372" s="9"/>
      <c r="Y372" s="9"/>
    </row>
    <row r="373" spans="1:25" x14ac:dyDescent="0.3">
      <c r="A373" s="14"/>
      <c r="B373" s="14" t="s">
        <v>521</v>
      </c>
      <c r="C373" s="14" t="s">
        <v>396</v>
      </c>
      <c r="D373" s="14" t="s">
        <v>397</v>
      </c>
      <c r="E373" s="14">
        <v>0</v>
      </c>
      <c r="F373" s="14">
        <v>0</v>
      </c>
      <c r="G373" s="14">
        <v>0</v>
      </c>
      <c r="H373" s="14"/>
      <c r="I373" s="14"/>
      <c r="J373" s="14"/>
      <c r="K373" s="14"/>
      <c r="L373" s="14"/>
      <c r="M373" s="14"/>
      <c r="N373" s="14"/>
      <c r="O373" s="14"/>
      <c r="P373" s="14"/>
      <c r="Q373" s="14"/>
      <c r="R373" s="14"/>
      <c r="S373" s="14"/>
      <c r="T373" s="14"/>
      <c r="U373" s="14"/>
      <c r="V373" s="128">
        <v>0</v>
      </c>
      <c r="W373" s="128">
        <v>0</v>
      </c>
      <c r="X373" s="9"/>
      <c r="Y373" s="9"/>
    </row>
    <row r="374" spans="1:25" x14ac:dyDescent="0.3">
      <c r="A374" s="14"/>
      <c r="B374" s="14" t="s">
        <v>495</v>
      </c>
      <c r="C374" s="14" t="s">
        <v>396</v>
      </c>
      <c r="D374" s="14" t="s">
        <v>57</v>
      </c>
      <c r="E374" s="14">
        <v>0</v>
      </c>
      <c r="F374" s="14">
        <v>0</v>
      </c>
      <c r="G374" s="14">
        <v>0</v>
      </c>
      <c r="H374" s="14"/>
      <c r="I374" s="14"/>
      <c r="J374" s="14"/>
      <c r="K374" s="14"/>
      <c r="L374" s="14"/>
      <c r="M374" s="14"/>
      <c r="N374" s="14"/>
      <c r="O374" s="14"/>
      <c r="P374" s="14"/>
      <c r="Q374" s="14"/>
      <c r="R374" s="14"/>
      <c r="S374" s="14"/>
      <c r="T374" s="14"/>
      <c r="U374" s="14"/>
      <c r="V374" s="128">
        <v>0</v>
      </c>
      <c r="W374" s="128">
        <v>0</v>
      </c>
      <c r="X374" s="9"/>
      <c r="Y374" s="9"/>
    </row>
    <row r="375" spans="1:25" x14ac:dyDescent="0.3">
      <c r="A375" s="14"/>
      <c r="B375" s="14" t="s">
        <v>560</v>
      </c>
      <c r="C375" s="14" t="s">
        <v>399</v>
      </c>
      <c r="D375" s="14" t="s">
        <v>34</v>
      </c>
      <c r="E375" s="14">
        <v>0</v>
      </c>
      <c r="F375" s="14">
        <v>0</v>
      </c>
      <c r="G375" s="14">
        <v>0</v>
      </c>
      <c r="H375" s="14"/>
      <c r="I375" s="14"/>
      <c r="J375" s="14"/>
      <c r="K375" s="14"/>
      <c r="L375" s="14"/>
      <c r="M375" s="14"/>
      <c r="N375" s="14"/>
      <c r="O375" s="14"/>
      <c r="P375" s="14"/>
      <c r="Q375" s="14"/>
      <c r="R375" s="14"/>
      <c r="S375" s="14"/>
      <c r="T375" s="14"/>
      <c r="U375" s="14"/>
      <c r="V375" s="128">
        <v>0</v>
      </c>
      <c r="W375" s="128">
        <v>0</v>
      </c>
      <c r="X375" s="9"/>
      <c r="Y375" s="9"/>
    </row>
    <row r="376" spans="1:25" x14ac:dyDescent="0.3">
      <c r="A376" s="14"/>
      <c r="B376" s="14" t="s">
        <v>499</v>
      </c>
      <c r="C376" s="14" t="s">
        <v>394</v>
      </c>
      <c r="D376" s="14" t="s">
        <v>404</v>
      </c>
      <c r="E376" s="14">
        <v>0</v>
      </c>
      <c r="F376" s="14">
        <v>0</v>
      </c>
      <c r="G376" s="14">
        <v>0</v>
      </c>
      <c r="H376" s="14"/>
      <c r="I376" s="14"/>
      <c r="J376" s="14"/>
      <c r="K376" s="14"/>
      <c r="L376" s="14"/>
      <c r="M376" s="14"/>
      <c r="N376" s="14"/>
      <c r="O376" s="14"/>
      <c r="P376" s="14"/>
      <c r="Q376" s="14"/>
      <c r="R376" s="14"/>
      <c r="S376" s="14"/>
      <c r="T376" s="14"/>
      <c r="U376" s="14"/>
      <c r="V376" s="128">
        <v>0</v>
      </c>
      <c r="W376" s="128">
        <v>0</v>
      </c>
      <c r="X376" s="9"/>
      <c r="Y376" s="9"/>
    </row>
    <row r="377" spans="1:25" x14ac:dyDescent="0.3">
      <c r="A377" s="14"/>
      <c r="B377" s="14" t="s">
        <v>2468</v>
      </c>
      <c r="C377" s="14" t="s">
        <v>394</v>
      </c>
      <c r="D377" s="14" t="s">
        <v>18</v>
      </c>
      <c r="E377" s="14">
        <v>0</v>
      </c>
      <c r="F377" s="14">
        <v>0</v>
      </c>
      <c r="G377" s="14">
        <v>0</v>
      </c>
      <c r="H377" s="14"/>
      <c r="I377" s="14"/>
      <c r="J377" s="14"/>
      <c r="K377" s="14"/>
      <c r="L377" s="14"/>
      <c r="M377" s="14"/>
      <c r="N377" s="14"/>
      <c r="O377" s="14"/>
      <c r="P377" s="14"/>
      <c r="Q377" s="14"/>
      <c r="R377" s="14"/>
      <c r="S377" s="14"/>
      <c r="T377" s="14"/>
      <c r="U377" s="14"/>
      <c r="V377" s="128">
        <v>0</v>
      </c>
      <c r="W377" s="128">
        <v>0</v>
      </c>
      <c r="X377" s="9"/>
      <c r="Y377" s="9"/>
    </row>
    <row r="378" spans="1:25" x14ac:dyDescent="0.3">
      <c r="X378" s="9"/>
      <c r="Y378" s="9"/>
    </row>
    <row r="379" spans="1:25" x14ac:dyDescent="0.3">
      <c r="X379" s="9"/>
      <c r="Y379" s="9"/>
    </row>
    <row r="380" spans="1:25" x14ac:dyDescent="0.3">
      <c r="X380" s="9"/>
      <c r="Y380" s="9"/>
    </row>
    <row r="381" spans="1:25" x14ac:dyDescent="0.3">
      <c r="X381" s="9"/>
      <c r="Y381" s="9"/>
    </row>
    <row r="382" spans="1:25" x14ac:dyDescent="0.3">
      <c r="X382" s="9"/>
      <c r="Y382" s="9"/>
    </row>
    <row r="383" spans="1:25" x14ac:dyDescent="0.3">
      <c r="X383" s="9"/>
      <c r="Y383" s="9"/>
    </row>
    <row r="384" spans="1:25" x14ac:dyDescent="0.3">
      <c r="X384" s="9"/>
      <c r="Y384" s="9"/>
    </row>
    <row r="385" spans="24:25" x14ac:dyDescent="0.3">
      <c r="X385" s="9"/>
      <c r="Y385" s="9"/>
    </row>
    <row r="386" spans="24:25" x14ac:dyDescent="0.3">
      <c r="X386" s="9"/>
      <c r="Y386" s="9"/>
    </row>
    <row r="387" spans="24:25" x14ac:dyDescent="0.3">
      <c r="X387" s="9"/>
      <c r="Y387" s="9"/>
    </row>
    <row r="388" spans="24:25" x14ac:dyDescent="0.3">
      <c r="X388" s="9"/>
      <c r="Y388" s="9"/>
    </row>
    <row r="389" spans="24:25" x14ac:dyDescent="0.3">
      <c r="X389" s="9"/>
      <c r="Y389" s="9"/>
    </row>
    <row r="390" spans="24:25" x14ac:dyDescent="0.3">
      <c r="X390" s="9"/>
      <c r="Y390" s="9"/>
    </row>
    <row r="391" spans="24:25" x14ac:dyDescent="0.3">
      <c r="X391" s="9"/>
      <c r="Y391" s="9"/>
    </row>
    <row r="392" spans="24:25" x14ac:dyDescent="0.3">
      <c r="X392" s="9"/>
      <c r="Y392" s="9"/>
    </row>
    <row r="393" spans="24:25" x14ac:dyDescent="0.3">
      <c r="X393" s="9"/>
      <c r="Y393" s="9"/>
    </row>
    <row r="394" spans="24:25" x14ac:dyDescent="0.3">
      <c r="X394" s="9"/>
      <c r="Y394" s="9"/>
    </row>
    <row r="395" spans="24:25" x14ac:dyDescent="0.3">
      <c r="X395" s="9"/>
      <c r="Y395" s="9"/>
    </row>
    <row r="396" spans="24:25" x14ac:dyDescent="0.3">
      <c r="X396" s="9"/>
      <c r="Y396" s="9"/>
    </row>
    <row r="397" spans="24:25" x14ac:dyDescent="0.3">
      <c r="X397" s="9"/>
      <c r="Y397" s="9"/>
    </row>
    <row r="398" spans="24:25" x14ac:dyDescent="0.3">
      <c r="X398" s="9"/>
      <c r="Y398" s="9"/>
    </row>
    <row r="399" spans="24:25" x14ac:dyDescent="0.3">
      <c r="X399" s="9"/>
      <c r="Y399" s="9"/>
    </row>
    <row r="400" spans="24:25" x14ac:dyDescent="0.3">
      <c r="X400" s="9"/>
      <c r="Y400" s="9"/>
    </row>
    <row r="401" spans="24:25" x14ac:dyDescent="0.3">
      <c r="X401" s="9"/>
      <c r="Y401" s="9"/>
    </row>
    <row r="402" spans="24:25" x14ac:dyDescent="0.3">
      <c r="X402" s="9"/>
      <c r="Y402" s="9"/>
    </row>
    <row r="403" spans="24:25" x14ac:dyDescent="0.3">
      <c r="X403" s="9"/>
      <c r="Y403" s="9"/>
    </row>
    <row r="404" spans="24:25" x14ac:dyDescent="0.3">
      <c r="X404" s="9"/>
      <c r="Y404" s="9"/>
    </row>
    <row r="405" spans="24:25" x14ac:dyDescent="0.3">
      <c r="X405" s="9"/>
      <c r="Y405" s="9"/>
    </row>
    <row r="406" spans="24:25" x14ac:dyDescent="0.3">
      <c r="X406" s="9"/>
      <c r="Y406" s="9"/>
    </row>
    <row r="407" spans="24:25" x14ac:dyDescent="0.3">
      <c r="X407" s="9"/>
      <c r="Y407" s="9"/>
    </row>
    <row r="408" spans="24:25" x14ac:dyDescent="0.3">
      <c r="X408" s="9"/>
      <c r="Y408" s="9"/>
    </row>
    <row r="409" spans="24:25" x14ac:dyDescent="0.3">
      <c r="X409" s="9"/>
      <c r="Y409" s="9"/>
    </row>
    <row r="410" spans="24:25" x14ac:dyDescent="0.3">
      <c r="X410" s="9"/>
      <c r="Y410" s="9"/>
    </row>
    <row r="411" spans="24:25" x14ac:dyDescent="0.3">
      <c r="X411" s="9"/>
      <c r="Y411" s="9"/>
    </row>
    <row r="412" spans="24:25" x14ac:dyDescent="0.3">
      <c r="X412" s="9"/>
      <c r="Y412" s="9"/>
    </row>
    <row r="413" spans="24:25" x14ac:dyDescent="0.3">
      <c r="X413" s="9"/>
      <c r="Y413" s="9"/>
    </row>
    <row r="414" spans="24:25" x14ac:dyDescent="0.3">
      <c r="X414" s="9"/>
      <c r="Y414" s="9"/>
    </row>
    <row r="415" spans="24:25" x14ac:dyDescent="0.3">
      <c r="X415" s="9"/>
      <c r="Y415" s="9"/>
    </row>
    <row r="416" spans="24:25" x14ac:dyDescent="0.3">
      <c r="X416" s="9"/>
      <c r="Y416" s="9"/>
    </row>
    <row r="417" spans="24:25" x14ac:dyDescent="0.3">
      <c r="X417" s="9"/>
      <c r="Y417" s="9"/>
    </row>
    <row r="418" spans="24:25" x14ac:dyDescent="0.3">
      <c r="X418" s="9"/>
      <c r="Y418" s="9"/>
    </row>
    <row r="419" spans="24:25" x14ac:dyDescent="0.3">
      <c r="X419" s="9"/>
      <c r="Y419" s="9"/>
    </row>
    <row r="420" spans="24:25" x14ac:dyDescent="0.3">
      <c r="X420" s="9"/>
      <c r="Y420" s="9"/>
    </row>
    <row r="421" spans="24:25" x14ac:dyDescent="0.3">
      <c r="X421" s="9"/>
      <c r="Y421" s="9"/>
    </row>
    <row r="422" spans="24:25" x14ac:dyDescent="0.3">
      <c r="X422" s="9"/>
      <c r="Y422" s="9"/>
    </row>
    <row r="423" spans="24:25" x14ac:dyDescent="0.3">
      <c r="X423" s="9"/>
      <c r="Y423" s="9"/>
    </row>
    <row r="424" spans="24:25" x14ac:dyDescent="0.3">
      <c r="X424" s="9"/>
      <c r="Y424" s="9"/>
    </row>
    <row r="425" spans="24:25" x14ac:dyDescent="0.3">
      <c r="X425" s="9"/>
      <c r="Y425" s="9"/>
    </row>
    <row r="426" spans="24:25" x14ac:dyDescent="0.3">
      <c r="X426" s="9"/>
      <c r="Y426" s="9"/>
    </row>
    <row r="427" spans="24:25" x14ac:dyDescent="0.3">
      <c r="X427" s="9"/>
      <c r="Y427" s="9"/>
    </row>
    <row r="428" spans="24:25" x14ac:dyDescent="0.3">
      <c r="X428" s="9"/>
      <c r="Y428" s="9"/>
    </row>
    <row r="429" spans="24:25" x14ac:dyDescent="0.3">
      <c r="X429" s="9"/>
      <c r="Y429" s="9"/>
    </row>
    <row r="430" spans="24:25" x14ac:dyDescent="0.3">
      <c r="X430" s="9"/>
      <c r="Y430" s="9"/>
    </row>
    <row r="431" spans="24:25" x14ac:dyDescent="0.3">
      <c r="X431" s="9"/>
      <c r="Y431" s="9"/>
    </row>
    <row r="432" spans="24:25" x14ac:dyDescent="0.3">
      <c r="X432" s="9"/>
      <c r="Y432" s="9"/>
    </row>
    <row r="433" spans="24:25" x14ac:dyDescent="0.3">
      <c r="X433" s="9"/>
      <c r="Y433" s="9"/>
    </row>
    <row r="434" spans="24:25" x14ac:dyDescent="0.3">
      <c r="X434" s="9"/>
      <c r="Y434" s="9"/>
    </row>
    <row r="435" spans="24:25" x14ac:dyDescent="0.3">
      <c r="X435" s="9"/>
      <c r="Y435" s="9"/>
    </row>
    <row r="436" spans="24:25" x14ac:dyDescent="0.3">
      <c r="X436" s="9"/>
      <c r="Y436" s="9"/>
    </row>
    <row r="437" spans="24:25" x14ac:dyDescent="0.3">
      <c r="X437" s="9"/>
      <c r="Y437" s="9"/>
    </row>
    <row r="438" spans="24:25" x14ac:dyDescent="0.3">
      <c r="X438" s="9"/>
      <c r="Y438" s="9"/>
    </row>
    <row r="439" spans="24:25" x14ac:dyDescent="0.3">
      <c r="X439" s="9"/>
      <c r="Y439" s="9"/>
    </row>
    <row r="440" spans="24:25" x14ac:dyDescent="0.3">
      <c r="X440" s="9"/>
      <c r="Y440" s="9"/>
    </row>
    <row r="441" spans="24:25" x14ac:dyDescent="0.3">
      <c r="X441" s="9"/>
      <c r="Y441" s="9"/>
    </row>
    <row r="442" spans="24:25" x14ac:dyDescent="0.3">
      <c r="X442" s="9"/>
      <c r="Y442" s="9"/>
    </row>
    <row r="443" spans="24:25" x14ac:dyDescent="0.3">
      <c r="X443" s="9"/>
      <c r="Y443" s="9"/>
    </row>
    <row r="444" spans="24:25" x14ac:dyDescent="0.3">
      <c r="X444" s="9"/>
      <c r="Y444" s="9"/>
    </row>
    <row r="445" spans="24:25" x14ac:dyDescent="0.3">
      <c r="X445" s="9"/>
      <c r="Y445" s="9"/>
    </row>
  </sheetData>
  <mergeCells count="3">
    <mergeCell ref="A6:C7"/>
    <mergeCell ref="A8:C8"/>
    <mergeCell ref="Z8:AC8"/>
  </mergeCells>
  <conditionalFormatting sqref="Z253:Z1048576 Z1:Z7">
    <cfRule type="colorScale" priority="35">
      <colorScale>
        <cfvo type="min"/>
        <cfvo type="percentile" val="50"/>
        <cfvo type="max"/>
        <color rgb="FFF8696B"/>
        <color rgb="FFFFEB84"/>
        <color rgb="FF63BE7B"/>
      </colorScale>
    </cfRule>
  </conditionalFormatting>
  <conditionalFormatting sqref="Y1:Y8 Y446:Y1048576">
    <cfRule type="colorScale" priority="34">
      <colorScale>
        <cfvo type="min"/>
        <cfvo type="percentile" val="50"/>
        <cfvo type="max"/>
        <color rgb="FFF8696B"/>
        <color rgb="FFFFEB84"/>
        <color rgb="FF63BE7B"/>
      </colorScale>
    </cfRule>
  </conditionalFormatting>
  <conditionalFormatting sqref="X1:X8 X446:X1048576">
    <cfRule type="colorScale" priority="33">
      <colorScale>
        <cfvo type="min"/>
        <cfvo type="percentile" val="50"/>
        <cfvo type="max"/>
        <color rgb="FFF8696B"/>
        <color rgb="FFFFEB84"/>
        <color rgb="FF63BE7B"/>
      </colorScale>
    </cfRule>
  </conditionalFormatting>
  <conditionalFormatting sqref="V378:V1048576 V1:V9">
    <cfRule type="colorScale" priority="32">
      <colorScale>
        <cfvo type="min"/>
        <cfvo type="percentile" val="50"/>
        <cfvo type="max"/>
        <color rgb="FFF8696B"/>
        <color rgb="FFFFEB84"/>
        <color rgb="FF63BE7B"/>
      </colorScale>
    </cfRule>
  </conditionalFormatting>
  <conditionalFormatting sqref="W1:W1048576">
    <cfRule type="colorScale" priority="31">
      <colorScale>
        <cfvo type="min"/>
        <cfvo type="percentile" val="50"/>
        <cfvo type="max"/>
        <color rgb="FFF8696B"/>
        <color rgb="FFFFEB84"/>
        <color rgb="FF63BE7B"/>
      </colorScale>
    </cfRule>
  </conditionalFormatting>
  <conditionalFormatting sqref="E378:U1048576 E1:U9">
    <cfRule type="colorScale" priority="30">
      <colorScale>
        <cfvo type="min"/>
        <cfvo type="percentile" val="50"/>
        <cfvo type="max"/>
        <color rgb="FFF8696B"/>
        <color rgb="FFFFEB84"/>
        <color rgb="FF63BE7B"/>
      </colorScale>
    </cfRule>
  </conditionalFormatting>
  <conditionalFormatting sqref="A9">
    <cfRule type="colorScale" priority="36">
      <colorScale>
        <cfvo type="min"/>
        <cfvo type="percentile" val="50"/>
        <cfvo type="max"/>
        <color rgb="FFF8696B"/>
        <color rgb="FFFFEB84"/>
        <color rgb="FF63BE7B"/>
      </colorScale>
    </cfRule>
  </conditionalFormatting>
  <conditionalFormatting sqref="Z10:Z115">
    <cfRule type="colorScale" priority="25">
      <colorScale>
        <cfvo type="min"/>
        <cfvo type="percentile" val="50"/>
        <cfvo type="max"/>
        <color rgb="FF63BE7B"/>
        <color rgb="FFFFEB84"/>
        <color rgb="FFF8696B"/>
      </colorScale>
    </cfRule>
  </conditionalFormatting>
  <conditionalFormatting sqref="AD10:AD115">
    <cfRule type="colorScale" priority="26">
      <colorScale>
        <cfvo type="min"/>
        <cfvo type="percentile" val="50"/>
        <cfvo type="max"/>
        <color rgb="FFF8696B"/>
        <color rgb="FFFFEB84"/>
        <color rgb="FF63BE7B"/>
      </colorScale>
    </cfRule>
  </conditionalFormatting>
  <conditionalFormatting sqref="AE10:AE115">
    <cfRule type="colorScale" priority="27">
      <colorScale>
        <cfvo type="min"/>
        <cfvo type="percentile" val="50"/>
        <cfvo type="max"/>
        <color rgb="FFF8696B"/>
        <color rgb="FFFFEB84"/>
        <color rgb="FF63BE7B"/>
      </colorScale>
    </cfRule>
  </conditionalFormatting>
  <conditionalFormatting sqref="AF10:AF115">
    <cfRule type="colorScale" priority="28">
      <colorScale>
        <cfvo type="min"/>
        <cfvo type="percentile" val="50"/>
        <cfvo type="max"/>
        <color rgb="FFF8696B"/>
        <color rgb="FFFFEB84"/>
        <color rgb="FF63BE7B"/>
      </colorScale>
    </cfRule>
  </conditionalFormatting>
  <conditionalFormatting sqref="AG10:AG115">
    <cfRule type="colorScale" priority="29">
      <colorScale>
        <cfvo type="min"/>
        <cfvo type="percentile" val="50"/>
        <cfvo type="max"/>
        <color rgb="FFF8696B"/>
        <color rgb="FFFFEB84"/>
        <color rgb="FF63BE7B"/>
      </colorScale>
    </cfRule>
  </conditionalFormatting>
  <conditionalFormatting sqref="V10:V377">
    <cfRule type="colorScale" priority="23">
      <colorScale>
        <cfvo type="min"/>
        <cfvo type="percentile" val="50"/>
        <cfvo type="max"/>
        <color rgb="FFF8696B"/>
        <color rgb="FFFFEB84"/>
        <color rgb="FF63BE7B"/>
      </colorScale>
    </cfRule>
  </conditionalFormatting>
  <conditionalFormatting sqref="C10:C59">
    <cfRule type="colorScale" priority="21">
      <colorScale>
        <cfvo type="min"/>
        <cfvo type="percentile" val="50"/>
        <cfvo type="max"/>
        <color rgb="FFF8696B"/>
        <color rgb="FFFFEB84"/>
        <color rgb="FF63BE7B"/>
      </colorScale>
    </cfRule>
  </conditionalFormatting>
  <conditionalFormatting sqref="E10:E59">
    <cfRule type="colorScale" priority="20">
      <colorScale>
        <cfvo type="min"/>
        <cfvo type="percentile" val="50"/>
        <cfvo type="max"/>
        <color rgb="FFF8696B"/>
        <color rgb="FFFFEB84"/>
        <color rgb="FF63BE7B"/>
      </colorScale>
    </cfRule>
  </conditionalFormatting>
  <conditionalFormatting sqref="F10:F59">
    <cfRule type="colorScale" priority="19">
      <colorScale>
        <cfvo type="min"/>
        <cfvo type="percentile" val="50"/>
        <cfvo type="max"/>
        <color rgb="FFF8696B"/>
        <color rgb="FFFFEB84"/>
        <color rgb="FF63BE7B"/>
      </colorScale>
    </cfRule>
  </conditionalFormatting>
  <conditionalFormatting sqref="G10:G59">
    <cfRule type="colorScale" priority="18">
      <colorScale>
        <cfvo type="min"/>
        <cfvo type="percentile" val="50"/>
        <cfvo type="max"/>
        <color rgb="FFF8696B"/>
        <color rgb="FFFFEB84"/>
        <color rgb="FF63BE7B"/>
      </colorScale>
    </cfRule>
  </conditionalFormatting>
  <conditionalFormatting sqref="H10:H59">
    <cfRule type="colorScale" priority="17">
      <colorScale>
        <cfvo type="min"/>
        <cfvo type="percentile" val="50"/>
        <cfvo type="max"/>
        <color rgb="FFF8696B"/>
        <color rgb="FFFFEB84"/>
        <color rgb="FF63BE7B"/>
      </colorScale>
    </cfRule>
  </conditionalFormatting>
  <conditionalFormatting sqref="I10:I59">
    <cfRule type="colorScale" priority="16">
      <colorScale>
        <cfvo type="min"/>
        <cfvo type="percentile" val="50"/>
        <cfvo type="max"/>
        <color rgb="FFF8696B"/>
        <color rgb="FFFFEB84"/>
        <color rgb="FF63BE7B"/>
      </colorScale>
    </cfRule>
  </conditionalFormatting>
  <conditionalFormatting sqref="J10:J59">
    <cfRule type="colorScale" priority="15">
      <colorScale>
        <cfvo type="min"/>
        <cfvo type="percentile" val="50"/>
        <cfvo type="max"/>
        <color rgb="FFF8696B"/>
        <color rgb="FFFFEB84"/>
        <color rgb="FF63BE7B"/>
      </colorScale>
    </cfRule>
  </conditionalFormatting>
  <conditionalFormatting sqref="K10:K59">
    <cfRule type="colorScale" priority="14">
      <colorScale>
        <cfvo type="min"/>
        <cfvo type="percentile" val="50"/>
        <cfvo type="max"/>
        <color rgb="FFF8696B"/>
        <color rgb="FFFFEB84"/>
        <color rgb="FF63BE7B"/>
      </colorScale>
    </cfRule>
  </conditionalFormatting>
  <conditionalFormatting sqref="L10:L59">
    <cfRule type="colorScale" priority="13">
      <colorScale>
        <cfvo type="min"/>
        <cfvo type="percentile" val="50"/>
        <cfvo type="max"/>
        <color rgb="FF63BE7B"/>
        <color rgb="FFFFEB84"/>
        <color rgb="FFF8696B"/>
      </colorScale>
    </cfRule>
  </conditionalFormatting>
  <conditionalFormatting sqref="M10:M59">
    <cfRule type="colorScale" priority="12">
      <colorScale>
        <cfvo type="min"/>
        <cfvo type="percentile" val="50"/>
        <cfvo type="max"/>
        <color rgb="FFF8696B"/>
        <color rgb="FFFFEB84"/>
        <color rgb="FF63BE7B"/>
      </colorScale>
    </cfRule>
  </conditionalFormatting>
  <conditionalFormatting sqref="N10:N59">
    <cfRule type="colorScale" priority="11">
      <colorScale>
        <cfvo type="min"/>
        <cfvo type="percentile" val="50"/>
        <cfvo type="max"/>
        <color rgb="FFF8696B"/>
        <color rgb="FFFFEB84"/>
        <color rgb="FF63BE7B"/>
      </colorScale>
    </cfRule>
  </conditionalFormatting>
  <conditionalFormatting sqref="O10:O59">
    <cfRule type="colorScale" priority="22">
      <colorScale>
        <cfvo type="min"/>
        <cfvo type="percentile" val="50"/>
        <cfvo type="max"/>
        <color rgb="FFF8696B"/>
        <color rgb="FFFFEB84"/>
        <color rgb="FF63BE7B"/>
      </colorScale>
    </cfRule>
  </conditionalFormatting>
  <conditionalFormatting sqref="P10:P59">
    <cfRule type="colorScale" priority="10">
      <colorScale>
        <cfvo type="min"/>
        <cfvo type="percentile" val="50"/>
        <cfvo type="max"/>
        <color rgb="FFF8696B"/>
        <color rgb="FFFFEB84"/>
        <color rgb="FF63BE7B"/>
      </colorScale>
    </cfRule>
  </conditionalFormatting>
  <conditionalFormatting sqref="Q10:Q59">
    <cfRule type="colorScale" priority="9">
      <colorScale>
        <cfvo type="min"/>
        <cfvo type="percentile" val="50"/>
        <cfvo type="max"/>
        <color rgb="FFF8696B"/>
        <color rgb="FFFFEB84"/>
        <color rgb="FF63BE7B"/>
      </colorScale>
    </cfRule>
  </conditionalFormatting>
  <conditionalFormatting sqref="R10:R59">
    <cfRule type="colorScale" priority="8">
      <colorScale>
        <cfvo type="min"/>
        <cfvo type="percentile" val="50"/>
        <cfvo type="max"/>
        <color rgb="FF63BE7B"/>
        <color rgb="FFFFEB84"/>
        <color rgb="FFF8696B"/>
      </colorScale>
    </cfRule>
  </conditionalFormatting>
  <conditionalFormatting sqref="S10:S59">
    <cfRule type="colorScale" priority="7">
      <colorScale>
        <cfvo type="min"/>
        <cfvo type="percentile" val="50"/>
        <cfvo type="max"/>
        <color rgb="FFF8696B"/>
        <color rgb="FFFFEB84"/>
        <color rgb="FF63BE7B"/>
      </colorScale>
    </cfRule>
  </conditionalFormatting>
  <conditionalFormatting sqref="E10:U377">
    <cfRule type="colorScale" priority="6">
      <colorScale>
        <cfvo type="min"/>
        <cfvo type="percentile" val="50"/>
        <cfvo type="max"/>
        <color rgb="FFF8696B"/>
        <color rgb="FFFFEB84"/>
        <color rgb="FF63BE7B"/>
      </colorScale>
    </cfRule>
  </conditionalFormatting>
  <conditionalFormatting sqref="A10:A377">
    <cfRule type="colorScale" priority="24">
      <colorScale>
        <cfvo type="min"/>
        <cfvo type="percentile" val="50"/>
        <cfvo type="max"/>
        <color rgb="FFF8696B"/>
        <color rgb="FFFFEB84"/>
        <color rgb="FF63BE7B"/>
      </colorScale>
    </cfRule>
  </conditionalFormatting>
  <conditionalFormatting sqref="A10:A377">
    <cfRule type="colorScale" priority="5">
      <colorScale>
        <cfvo type="min"/>
        <cfvo type="percentile" val="50"/>
        <cfvo type="max"/>
        <color rgb="FF63BE7B"/>
        <color rgb="FFFFEB84"/>
        <color rgb="FFF8696B"/>
      </colorScale>
    </cfRule>
  </conditionalFormatting>
  <conditionalFormatting sqref="Z116:Z169">
    <cfRule type="colorScale" priority="37">
      <colorScale>
        <cfvo type="min"/>
        <cfvo type="percentile" val="50"/>
        <cfvo type="max"/>
        <color rgb="FF63BE7B"/>
        <color rgb="FFFFEB84"/>
        <color rgb="FFF8696B"/>
      </colorScale>
    </cfRule>
  </conditionalFormatting>
  <conditionalFormatting sqref="AD116:AD169">
    <cfRule type="colorScale" priority="38">
      <colorScale>
        <cfvo type="min"/>
        <cfvo type="percentile" val="50"/>
        <cfvo type="max"/>
        <color rgb="FFF8696B"/>
        <color rgb="FFFFEB84"/>
        <color rgb="FF63BE7B"/>
      </colorScale>
    </cfRule>
  </conditionalFormatting>
  <conditionalFormatting sqref="AE116:AE169">
    <cfRule type="colorScale" priority="39">
      <colorScale>
        <cfvo type="min"/>
        <cfvo type="percentile" val="50"/>
        <cfvo type="max"/>
        <color rgb="FFF8696B"/>
        <color rgb="FFFFEB84"/>
        <color rgb="FF63BE7B"/>
      </colorScale>
    </cfRule>
  </conditionalFormatting>
  <conditionalFormatting sqref="AF116:AF169">
    <cfRule type="colorScale" priority="40">
      <colorScale>
        <cfvo type="min"/>
        <cfvo type="percentile" val="50"/>
        <cfvo type="max"/>
        <color rgb="FFF8696B"/>
        <color rgb="FFFFEB84"/>
        <color rgb="FF63BE7B"/>
      </colorScale>
    </cfRule>
  </conditionalFormatting>
  <conditionalFormatting sqref="AG116:AG169">
    <cfRule type="colorScale" priority="41">
      <colorScale>
        <cfvo type="min"/>
        <cfvo type="percentile" val="50"/>
        <cfvo type="max"/>
        <color rgb="FFF8696B"/>
        <color rgb="FFFFEB84"/>
        <color rgb="FF63BE7B"/>
      </colorScale>
    </cfRule>
  </conditionalFormatting>
  <conditionalFormatting sqref="Z10:Z209">
    <cfRule type="colorScale" priority="42">
      <colorScale>
        <cfvo type="min"/>
        <cfvo type="percentile" val="50"/>
        <cfvo type="max"/>
        <color rgb="FF63BE7B"/>
        <color rgb="FFFFEB84"/>
        <color rgb="FFF8696B"/>
      </colorScale>
    </cfRule>
  </conditionalFormatting>
  <conditionalFormatting sqref="AD10:AD209">
    <cfRule type="colorScale" priority="3">
      <colorScale>
        <cfvo type="min"/>
        <cfvo type="percentile" val="50"/>
        <cfvo type="max"/>
        <color rgb="FFF8696B"/>
        <color rgb="FFFFEB84"/>
        <color rgb="FF63BE7B"/>
      </colorScale>
    </cfRule>
  </conditionalFormatting>
  <conditionalFormatting sqref="AE10:AE209">
    <cfRule type="colorScale" priority="4">
      <colorScale>
        <cfvo type="min"/>
        <cfvo type="percentile" val="50"/>
        <cfvo type="max"/>
        <color rgb="FFF8696B"/>
        <color rgb="FFFFEB84"/>
        <color rgb="FF63BE7B"/>
      </colorScale>
    </cfRule>
  </conditionalFormatting>
  <conditionalFormatting sqref="AF10:AF209">
    <cfRule type="colorScale" priority="1">
      <colorScale>
        <cfvo type="min"/>
        <cfvo type="percentile" val="50"/>
        <cfvo type="max"/>
        <color rgb="FFF8696B"/>
        <color rgb="FFFFEB84"/>
        <color rgb="FF63BE7B"/>
      </colorScale>
    </cfRule>
  </conditionalFormatting>
  <conditionalFormatting sqref="AG10:AG209">
    <cfRule type="colorScale" priority="2">
      <colorScale>
        <cfvo type="min"/>
        <cfvo type="percentile" val="50"/>
        <cfvo type="max"/>
        <color rgb="FFF8696B"/>
        <color rgb="FFFFEB84"/>
        <color rgb="FF63BE7B"/>
      </colorScale>
    </cfRule>
  </conditionalFormatting>
  <hyperlinks>
    <hyperlink ref="B5" r:id="rId1"/>
  </hyperlinks>
  <pageMargins left="0.7" right="0.7" top="0.75" bottom="0.75" header="0.3" footer="0.3"/>
  <pageSetup orientation="portrait" horizontalDpi="4294967293" verticalDpi="4294967293" r:id="rId2"/>
  <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8:AH210"/>
  <sheetViews>
    <sheetView zoomScale="85" zoomScaleNormal="85" zoomScalePageLayoutView="85" workbookViewId="0">
      <selection activeCell="H11" sqref="H11"/>
    </sheetView>
  </sheetViews>
  <sheetFormatPr defaultColWidth="8.77734375" defaultRowHeight="14.4" x14ac:dyDescent="0.3"/>
  <cols>
    <col min="1" max="1" width="7.44140625" style="9" bestFit="1" customWidth="1"/>
    <col min="2" max="2" width="19.44140625" style="9" bestFit="1" customWidth="1"/>
    <col min="3" max="3" width="7.77734375" style="9" customWidth="1"/>
    <col min="4" max="4" width="6.109375" style="9" bestFit="1" customWidth="1"/>
    <col min="5" max="6" width="9.77734375" style="9" customWidth="1"/>
    <col min="7" max="9" width="11.77734375" style="9" customWidth="1"/>
    <col min="10" max="13" width="9.77734375" style="9" customWidth="1"/>
    <col min="14" max="14" width="20.77734375" style="9" bestFit="1" customWidth="1"/>
    <col min="15" max="15" width="8.77734375" style="9"/>
    <col min="16" max="16" width="7.44140625" style="105" bestFit="1" customWidth="1"/>
    <col min="17" max="17" width="6.6640625" style="105" bestFit="1" customWidth="1"/>
    <col min="18" max="18" width="7.77734375" style="105" bestFit="1" customWidth="1"/>
    <col min="19" max="19" width="7.6640625" style="105" bestFit="1" customWidth="1"/>
    <col min="20" max="20" width="11.77734375" style="105" bestFit="1" customWidth="1"/>
    <col min="21" max="21" width="9.77734375" style="105" customWidth="1"/>
    <col min="22" max="24" width="11.77734375" style="105" customWidth="1"/>
    <col min="25" max="25" width="20.88671875" style="105" bestFit="1" customWidth="1"/>
    <col min="26" max="26" width="14.77734375" style="105" bestFit="1" customWidth="1"/>
    <col min="27" max="27" width="21" style="105" bestFit="1" customWidth="1"/>
    <col min="28" max="28" width="6.77734375" style="105" bestFit="1" customWidth="1"/>
    <col min="29" max="29" width="8.77734375" style="9"/>
    <col min="30" max="30" width="7.44140625" style="9" bestFit="1" customWidth="1"/>
    <col min="31" max="31" width="20" style="9" bestFit="1" customWidth="1"/>
    <col min="32" max="32" width="8.77734375" style="9"/>
    <col min="33" max="33" width="13.77734375" style="9" bestFit="1" customWidth="1"/>
    <col min="34" max="34" width="19.77734375" style="9" bestFit="1" customWidth="1"/>
    <col min="35" max="16384" width="8.77734375" style="9"/>
  </cols>
  <sheetData>
    <row r="8" spans="1:34" ht="15" thickBot="1" x14ac:dyDescent="0.35"/>
    <row r="9" spans="1:34" ht="15.6" thickTop="1" thickBot="1" x14ac:dyDescent="0.35">
      <c r="A9" s="596" t="s">
        <v>1524</v>
      </c>
      <c r="B9" s="596"/>
      <c r="C9" s="596"/>
      <c r="D9" s="104"/>
      <c r="E9" s="104"/>
      <c r="F9" s="104"/>
      <c r="G9" s="597" t="s">
        <v>1525</v>
      </c>
      <c r="H9" s="598"/>
      <c r="I9" s="599" t="s">
        <v>1526</v>
      </c>
      <c r="J9" s="600"/>
      <c r="K9" s="496"/>
      <c r="L9" s="104"/>
      <c r="M9" s="596" t="s">
        <v>1527</v>
      </c>
      <c r="N9" s="596"/>
      <c r="O9" s="596"/>
      <c r="S9" s="601" t="s">
        <v>1525</v>
      </c>
      <c r="T9" s="598"/>
      <c r="U9" s="599" t="s">
        <v>1526</v>
      </c>
      <c r="V9" s="602"/>
      <c r="X9" s="593" t="s">
        <v>2509</v>
      </c>
      <c r="Y9" s="594"/>
      <c r="Z9" s="594"/>
      <c r="AA9" s="595"/>
      <c r="AB9" s="104"/>
      <c r="AH9" s="122"/>
    </row>
    <row r="10" spans="1:34" ht="15" thickTop="1" x14ac:dyDescent="0.3">
      <c r="A10" s="46" t="s">
        <v>863</v>
      </c>
      <c r="B10" s="248" t="s">
        <v>415</v>
      </c>
      <c r="C10" s="46" t="s">
        <v>387</v>
      </c>
      <c r="D10" s="46" t="s">
        <v>413</v>
      </c>
      <c r="E10" s="46" t="s">
        <v>389</v>
      </c>
      <c r="F10" s="46" t="s">
        <v>390</v>
      </c>
      <c r="G10" s="46" t="s">
        <v>1528</v>
      </c>
      <c r="H10" s="46" t="s">
        <v>1529</v>
      </c>
      <c r="I10" s="46" t="s">
        <v>1530</v>
      </c>
      <c r="J10" s="46" t="s">
        <v>1531</v>
      </c>
      <c r="K10" s="178"/>
      <c r="L10" s="104"/>
      <c r="M10" s="46" t="s">
        <v>863</v>
      </c>
      <c r="N10" s="248" t="s">
        <v>415</v>
      </c>
      <c r="O10" s="249" t="s">
        <v>387</v>
      </c>
      <c r="P10" s="249" t="s">
        <v>413</v>
      </c>
      <c r="Q10" s="249" t="s">
        <v>389</v>
      </c>
      <c r="R10" s="249" t="s">
        <v>390</v>
      </c>
      <c r="S10" s="249" t="s">
        <v>1528</v>
      </c>
      <c r="T10" s="249" t="s">
        <v>1529</v>
      </c>
      <c r="U10" s="249" t="s">
        <v>1530</v>
      </c>
      <c r="V10" s="249" t="s">
        <v>1531</v>
      </c>
      <c r="W10" s="9"/>
      <c r="X10" s="46" t="s">
        <v>863</v>
      </c>
      <c r="Y10" s="248" t="s">
        <v>387</v>
      </c>
      <c r="Z10" s="46" t="s">
        <v>1532</v>
      </c>
      <c r="AA10" s="46" t="s">
        <v>1533</v>
      </c>
      <c r="AB10" s="9"/>
    </row>
    <row r="11" spans="1:34" x14ac:dyDescent="0.3">
      <c r="A11" s="8">
        <v>1</v>
      </c>
      <c r="B11" s="14" t="s">
        <v>173</v>
      </c>
      <c r="C11" s="247" t="str">
        <f>IFERROR(INDEX(YAtCData[Team],MATCH(YACWR74[[#This Row],[Name]],YAtCData[Player],0)),"")</f>
        <v>DET</v>
      </c>
      <c r="D11" s="247" t="str">
        <f>IFERROR(INDEX(YAtCData[Pos],MATCH(YACWR74[[#This Row],[Name]],YAtCData[Player],0)),"")</f>
        <v>WR</v>
      </c>
      <c r="E11" s="247">
        <f>IFERROR(INDEX(YAtCData[Rec],MATCH(YACWR74[[#This Row],[Name]],YAtCData[Player],0)),"")</f>
        <v>18</v>
      </c>
      <c r="F11" s="247">
        <f>IFERROR(INDEX(YAtCData[Yards],MATCH(YACWR74[[#This Row],[Name]],YAtCData[Player],0)),"")</f>
        <v>408</v>
      </c>
      <c r="G11" s="247">
        <f>IFERROR(INDEX(YAtCData[YAtC],MATCH(YACWR74[[#This Row],[Name]],YAtCData[Player],0)),"")</f>
        <v>257</v>
      </c>
      <c r="H11" s="247">
        <f>IFERROR(INDEX(YAtCData[YAtC/Rec],MATCH(YACWR74[[#This Row],[Name]],YAtCData[Player],0)),"")</f>
        <v>14.28</v>
      </c>
      <c r="I11" s="247">
        <f>IFERROR(INDEX(YACDATA[YAC],MATCH(YACWR74[[#This Row],[Name]],YACDATA[Player],0)),"")</f>
        <v>151</v>
      </c>
      <c r="J11" s="499">
        <f>IFERROR(INDEX(YACDATA[YAC per Reception],MATCH(YACWR74[[#This Row],[Name]],YACDATA[Player],0)),"")</f>
        <v>8.4</v>
      </c>
      <c r="K11" s="500"/>
      <c r="L11" s="104"/>
      <c r="M11" s="14">
        <v>1</v>
      </c>
      <c r="N11" s="488" t="s">
        <v>319</v>
      </c>
      <c r="O11" s="247" t="str">
        <f>IFERROR(INDEX(YAtCData[Team],MATCH(YACTE70[[#This Row],[Name]],YAtCData[Player],0)),"")</f>
        <v>CAR</v>
      </c>
      <c r="P11" s="247" t="str">
        <f>IFERROR(INDEX(YAtCData[Pos],MATCH(YACTE70[[#This Row],[Name]],YAtCData[Player],0)),"")</f>
        <v>TE</v>
      </c>
      <c r="Q11" s="247">
        <f>IFERROR(INDEX(YAtCData[Rec],MATCH(YACTE70[[#This Row],[Name]],YAtCData[Player],0)),"")</f>
        <v>18</v>
      </c>
      <c r="R11" s="247">
        <f>IFERROR(INDEX(YAtCData[Yards],MATCH(YACTE70[[#This Row],[Name]],YAtCData[Player],0)),"")</f>
        <v>259</v>
      </c>
      <c r="S11" s="247">
        <f>IFERROR(INDEX(YAtCData[YAtC],MATCH(YACTE70[[#This Row],[Name]],YAtCData[Player],0)),"")</f>
        <v>151</v>
      </c>
      <c r="T11" s="247">
        <f>IFERROR(INDEX(YAtCData[YAtC/Rec],MATCH(YACTE70[[#This Row],[Name]],YAtCData[Player],0)),"")</f>
        <v>8.39</v>
      </c>
      <c r="U11" s="247">
        <f>IFERROR(INDEX(YACDATA[YAC],MATCH(YACTE70[[#This Row],[Name]],YACDATA[Player],0)),"")</f>
        <v>108</v>
      </c>
      <c r="V11" s="499">
        <f>IFERROR(INDEX(YACDATA[YAC per Reception],MATCH(YACTE70[[#This Row],[Name]],YACDATA[Player],0)),"")</f>
        <v>6</v>
      </c>
      <c r="W11" s="9"/>
      <c r="X11" s="14">
        <v>1</v>
      </c>
      <c r="Y11" s="14" t="s">
        <v>849</v>
      </c>
      <c r="Z11" s="14">
        <v>559</v>
      </c>
      <c r="AA11" s="15">
        <v>186.3</v>
      </c>
      <c r="AB11" s="9"/>
    </row>
    <row r="12" spans="1:34" x14ac:dyDescent="0.3">
      <c r="A12" s="8">
        <v>1.9184569130067071</v>
      </c>
      <c r="B12" s="14" t="s">
        <v>218</v>
      </c>
      <c r="C12" s="247" t="str">
        <f>IFERROR(INDEX(YAtCData[Team],MATCH(YACWR74[[#This Row],[Name]],YAtCData[Player],0)),"")</f>
        <v>MIN</v>
      </c>
      <c r="D12" s="247" t="str">
        <f>IFERROR(INDEX(YAtCData[Pos],MATCH(YACWR74[[#This Row],[Name]],YAtCData[Player],0)),"")</f>
        <v>WR</v>
      </c>
      <c r="E12" s="247">
        <f>IFERROR(INDEX(YAtCData[Rec],MATCH(YACWR74[[#This Row],[Name]],YAtCData[Player],0)),"")</f>
        <v>20</v>
      </c>
      <c r="F12" s="247">
        <f>IFERROR(INDEX(YAtCData[Yards],MATCH(YACWR74[[#This Row],[Name]],YAtCData[Player],0)),"")</f>
        <v>325</v>
      </c>
      <c r="G12" s="247">
        <f>IFERROR(INDEX(YAtCData[YAtC],MATCH(YACWR74[[#This Row],[Name]],YAtCData[Player],0)),"")</f>
        <v>219</v>
      </c>
      <c r="H12" s="247">
        <f>IFERROR(INDEX(YAtCData[YAtC/Rec],MATCH(YACWR74[[#This Row],[Name]],YAtCData[Player],0)),"")</f>
        <v>10.95</v>
      </c>
      <c r="I12" s="247">
        <f>IFERROR(INDEX(YACDATA[YAC],MATCH(YACWR74[[#This Row],[Name]],YACDATA[Player],0)),"")</f>
        <v>106</v>
      </c>
      <c r="J12" s="499">
        <f>IFERROR(INDEX(YACDATA[YAC per Reception],MATCH(YACWR74[[#This Row],[Name]],YACDATA[Player],0)),"")</f>
        <v>5.3</v>
      </c>
      <c r="K12" s="500"/>
      <c r="L12" s="104"/>
      <c r="M12" s="14">
        <v>2</v>
      </c>
      <c r="N12" s="488" t="s">
        <v>323</v>
      </c>
      <c r="O12" s="247" t="str">
        <f>IFERROR(INDEX(YAtCData[Team],MATCH(YACTE70[[#This Row],[Name]],YAtCData[Player],0)),"")</f>
        <v>KC</v>
      </c>
      <c r="P12" s="247" t="str">
        <f>IFERROR(INDEX(YAtCData[Pos],MATCH(YACTE70[[#This Row],[Name]],YAtCData[Player],0)),"")</f>
        <v>TE</v>
      </c>
      <c r="Q12" s="247">
        <f>IFERROR(INDEX(YAtCData[Rec],MATCH(YACTE70[[#This Row],[Name]],YAtCData[Player],0)),"")</f>
        <v>17</v>
      </c>
      <c r="R12" s="247">
        <f>IFERROR(INDEX(YAtCData[Yards],MATCH(YACTE70[[#This Row],[Name]],YAtCData[Player],0)),"")</f>
        <v>197</v>
      </c>
      <c r="S12" s="247">
        <f>IFERROR(INDEX(YAtCData[YAtC],MATCH(YACTE70[[#This Row],[Name]],YAtCData[Player],0)),"")</f>
        <v>88</v>
      </c>
      <c r="T12" s="247">
        <f>IFERROR(INDEX(YAtCData[YAtC/Rec],MATCH(YACTE70[[#This Row],[Name]],YAtCData[Player],0)),"")</f>
        <v>5.18</v>
      </c>
      <c r="U12" s="247">
        <f>IFERROR(INDEX(YACDATA[YAC],MATCH(YACTE70[[#This Row],[Name]],YACDATA[Player],0)),"")</f>
        <v>109</v>
      </c>
      <c r="V12" s="499">
        <f>IFERROR(INDEX(YACDATA[YAC per Reception],MATCH(YACTE70[[#This Row],[Name]],YACDATA[Player],0)),"")</f>
        <v>6.4</v>
      </c>
      <c r="W12" s="9"/>
      <c r="X12" s="14">
        <v>2</v>
      </c>
      <c r="Y12" s="14" t="s">
        <v>853</v>
      </c>
      <c r="Z12" s="14">
        <v>546</v>
      </c>
      <c r="AA12" s="14">
        <v>182</v>
      </c>
      <c r="AB12" s="9"/>
    </row>
    <row r="13" spans="1:34" x14ac:dyDescent="0.3">
      <c r="A13" s="8">
        <v>2.8369138260134141</v>
      </c>
      <c r="B13" s="14" t="s">
        <v>205</v>
      </c>
      <c r="C13" s="247" t="str">
        <f>IFERROR(INDEX(YAtCData[Team],MATCH(YACWR74[[#This Row],[Name]],YAtCData[Player],0)),"")</f>
        <v>MIA</v>
      </c>
      <c r="D13" s="247" t="str">
        <f>IFERROR(INDEX(YAtCData[Pos],MATCH(YACWR74[[#This Row],[Name]],YAtCData[Player],0)),"")</f>
        <v>WR</v>
      </c>
      <c r="E13" s="247">
        <f>IFERROR(INDEX(YAtCData[Rec],MATCH(YACWR74[[#This Row],[Name]],YAtCData[Player],0)),"")</f>
        <v>24</v>
      </c>
      <c r="F13" s="247">
        <f>IFERROR(INDEX(YAtCData[Yards],MATCH(YACWR74[[#This Row],[Name]],YAtCData[Player],0)),"")</f>
        <v>314</v>
      </c>
      <c r="G13" s="247">
        <f>IFERROR(INDEX(YAtCData[YAtC],MATCH(YACWR74[[#This Row],[Name]],YAtCData[Player],0)),"")</f>
        <v>166</v>
      </c>
      <c r="H13" s="247">
        <f>IFERROR(INDEX(YAtCData[YAtC/Rec],MATCH(YACWR74[[#This Row],[Name]],YAtCData[Player],0)),"")</f>
        <v>6.92</v>
      </c>
      <c r="I13" s="247">
        <f>IFERROR(INDEX(YACDATA[YAC],MATCH(YACWR74[[#This Row],[Name]],YACDATA[Player],0)),"")</f>
        <v>148</v>
      </c>
      <c r="J13" s="499">
        <f>IFERROR(INDEX(YACDATA[YAC per Reception],MATCH(YACWR74[[#This Row],[Name]],YACDATA[Player],0)),"")</f>
        <v>6.2</v>
      </c>
      <c r="K13" s="500"/>
      <c r="L13" s="104"/>
      <c r="M13" s="14">
        <v>3</v>
      </c>
      <c r="N13" s="488" t="s">
        <v>215</v>
      </c>
      <c r="O13" s="247" t="str">
        <f>IFERROR(INDEX(YAtCData[Team],MATCH(YACTE70[[#This Row],[Name]],YAtCData[Player],0)),"")</f>
        <v>WAS</v>
      </c>
      <c r="P13" s="247" t="str">
        <f>IFERROR(INDEX(YAtCData[Pos],MATCH(YACTE70[[#This Row],[Name]],YAtCData[Player],0)),"")</f>
        <v>TE</v>
      </c>
      <c r="Q13" s="247">
        <f>IFERROR(INDEX(YAtCData[Rec],MATCH(YACTE70[[#This Row],[Name]],YAtCData[Player],0)),"")</f>
        <v>16</v>
      </c>
      <c r="R13" s="247">
        <f>IFERROR(INDEX(YAtCData[Yards],MATCH(YACTE70[[#This Row],[Name]],YAtCData[Player],0)),"")</f>
        <v>190</v>
      </c>
      <c r="S13" s="247">
        <f>IFERROR(INDEX(YAtCData[YAtC],MATCH(YACTE70[[#This Row],[Name]],YAtCData[Player],0)),"")</f>
        <v>125</v>
      </c>
      <c r="T13" s="247">
        <f>IFERROR(INDEX(YAtCData[YAtC/Rec],MATCH(YACTE70[[#This Row],[Name]],YAtCData[Player],0)),"")</f>
        <v>7.81</v>
      </c>
      <c r="U13" s="247">
        <f>IFERROR(INDEX(YACDATA[YAC],MATCH(YACTE70[[#This Row],[Name]],YACDATA[Player],0)),"")</f>
        <v>65</v>
      </c>
      <c r="V13" s="499">
        <f>IFERROR(INDEX(YACDATA[YAC per Reception],MATCH(YACTE70[[#This Row],[Name]],YACDATA[Player],0)),"")</f>
        <v>4.0999999999999996</v>
      </c>
      <c r="W13" s="9"/>
      <c r="X13" s="14">
        <v>3</v>
      </c>
      <c r="Y13" s="14" t="s">
        <v>840</v>
      </c>
      <c r="Z13" s="14">
        <v>544</v>
      </c>
      <c r="AA13" s="14">
        <v>181.3</v>
      </c>
      <c r="AB13" s="9"/>
    </row>
    <row r="14" spans="1:34" x14ac:dyDescent="0.3">
      <c r="A14" s="8">
        <v>3.7553707390201208</v>
      </c>
      <c r="B14" s="14" t="s">
        <v>187</v>
      </c>
      <c r="C14" s="247" t="str">
        <f>IFERROR(INDEX(YAtCData[Team],MATCH(YACWR74[[#This Row],[Name]],YAtCData[Player],0)),"")</f>
        <v>PIT</v>
      </c>
      <c r="D14" s="247" t="str">
        <f>IFERROR(INDEX(YAtCData[Pos],MATCH(YACWR74[[#This Row],[Name]],YAtCData[Player],0)),"")</f>
        <v>WR</v>
      </c>
      <c r="E14" s="247">
        <f>IFERROR(INDEX(YAtCData[Rec],MATCH(YACWR74[[#This Row],[Name]],YAtCData[Player],0)),"")</f>
        <v>24</v>
      </c>
      <c r="F14" s="247">
        <f>IFERROR(INDEX(YAtCData[Yards],MATCH(YACWR74[[#This Row],[Name]],YAtCData[Player],0)),"")</f>
        <v>305</v>
      </c>
      <c r="G14" s="247">
        <f>IFERROR(INDEX(YAtCData[YAtC],MATCH(YACWR74[[#This Row],[Name]],YAtCData[Player],0)),"")</f>
        <v>240</v>
      </c>
      <c r="H14" s="247">
        <f>IFERROR(INDEX(YAtCData[YAtC/Rec],MATCH(YACWR74[[#This Row],[Name]],YAtCData[Player],0)),"")</f>
        <v>10</v>
      </c>
      <c r="I14" s="247">
        <f>IFERROR(INDEX(YACDATA[YAC],MATCH(YACWR74[[#This Row],[Name]],YACDATA[Player],0)),"")</f>
        <v>65</v>
      </c>
      <c r="J14" s="499">
        <f>IFERROR(INDEX(YACDATA[YAC per Reception],MATCH(YACWR74[[#This Row],[Name]],YACDATA[Player],0)),"")</f>
        <v>2.7</v>
      </c>
      <c r="K14" s="500"/>
      <c r="L14" s="104"/>
      <c r="M14" s="14">
        <v>4</v>
      </c>
      <c r="N14" s="488" t="s">
        <v>532</v>
      </c>
      <c r="O14" s="247" t="str">
        <f>IFERROR(INDEX(YAtCData[Team],MATCH(YACTE70[[#This Row],[Name]],YAtCData[Player],0)),"")</f>
        <v>BAL</v>
      </c>
      <c r="P14" s="247" t="str">
        <f>IFERROR(INDEX(YAtCData[Pos],MATCH(YACTE70[[#This Row],[Name]],YAtCData[Player],0)),"")</f>
        <v>TE</v>
      </c>
      <c r="Q14" s="247">
        <f>IFERROR(INDEX(YAtCData[Rec],MATCH(YACTE70[[#This Row],[Name]],YAtCData[Player],0)),"")</f>
        <v>18</v>
      </c>
      <c r="R14" s="247">
        <f>IFERROR(INDEX(YAtCData[Yards],MATCH(YACTE70[[#This Row],[Name]],YAtCData[Player],0)),"")</f>
        <v>183</v>
      </c>
      <c r="S14" s="247">
        <f>IFERROR(INDEX(YAtCData[YAtC],MATCH(YACTE70[[#This Row],[Name]],YAtCData[Player],0)),"")</f>
        <v>102</v>
      </c>
      <c r="T14" s="247">
        <f>IFERROR(INDEX(YAtCData[YAtC/Rec],MATCH(YACTE70[[#This Row],[Name]],YAtCData[Player],0)),"")</f>
        <v>5.67</v>
      </c>
      <c r="U14" s="247">
        <f>IFERROR(INDEX(YACDATA[YAC],MATCH(YACTE70[[#This Row],[Name]],YACDATA[Player],0)),"")</f>
        <v>81</v>
      </c>
      <c r="V14" s="499">
        <f>IFERROR(INDEX(YACDATA[YAC per Reception],MATCH(YACTE70[[#This Row],[Name]],YACDATA[Player],0)),"")</f>
        <v>4.5</v>
      </c>
      <c r="W14" s="9"/>
      <c r="X14" s="14">
        <v>4</v>
      </c>
      <c r="Y14" s="14" t="s">
        <v>857</v>
      </c>
      <c r="Z14" s="14">
        <v>516</v>
      </c>
      <c r="AA14" s="14">
        <v>172</v>
      </c>
      <c r="AB14" s="9"/>
    </row>
    <row r="15" spans="1:34" x14ac:dyDescent="0.3">
      <c r="A15" s="8">
        <v>4.6738276520268283</v>
      </c>
      <c r="B15" s="14" t="s">
        <v>217</v>
      </c>
      <c r="C15" s="247" t="str">
        <f>IFERROR(INDEX(YAtCData[Team],MATCH(YACWR74[[#This Row],[Name]],YAtCData[Player],0)),"")</f>
        <v>TB</v>
      </c>
      <c r="D15" s="247" t="str">
        <f>IFERROR(INDEX(YAtCData[Pos],MATCH(YACWR74[[#This Row],[Name]],YAtCData[Player],0)),"")</f>
        <v>WR</v>
      </c>
      <c r="E15" s="247">
        <f>IFERROR(INDEX(YAtCData[Rec],MATCH(YACWR74[[#This Row],[Name]],YAtCData[Player],0)),"")</f>
        <v>21</v>
      </c>
      <c r="F15" s="247">
        <f>IFERROR(INDEX(YAtCData[Yards],MATCH(YACWR74[[#This Row],[Name]],YAtCData[Player],0)),"")</f>
        <v>301</v>
      </c>
      <c r="G15" s="247">
        <f>IFERROR(INDEX(YAtCData[YAtC],MATCH(YACWR74[[#This Row],[Name]],YAtCData[Player],0)),"")</f>
        <v>268</v>
      </c>
      <c r="H15" s="247">
        <f>IFERROR(INDEX(YAtCData[YAtC/Rec],MATCH(YACWR74[[#This Row],[Name]],YAtCData[Player],0)),"")</f>
        <v>12.76</v>
      </c>
      <c r="I15" s="247">
        <f>IFERROR(INDEX(YACDATA[YAC],MATCH(YACWR74[[#This Row],[Name]],YACDATA[Player],0)),"")</f>
        <v>33</v>
      </c>
      <c r="J15" s="499">
        <f>IFERROR(INDEX(YACDATA[YAC per Reception],MATCH(YACWR74[[#This Row],[Name]],YACDATA[Player],0)),"")</f>
        <v>1.6</v>
      </c>
      <c r="K15" s="500"/>
      <c r="L15" s="104"/>
      <c r="M15" s="14">
        <v>5</v>
      </c>
      <c r="N15" s="488" t="s">
        <v>332</v>
      </c>
      <c r="O15" s="247" t="str">
        <f>IFERROR(INDEX(YAtCData[Team],MATCH(YACTE70[[#This Row],[Name]],YAtCData[Player],0)),"")</f>
        <v>DET</v>
      </c>
      <c r="P15" s="247" t="str">
        <f>IFERROR(INDEX(YAtCData[Pos],MATCH(YACTE70[[#This Row],[Name]],YAtCData[Player],0)),"")</f>
        <v>TE</v>
      </c>
      <c r="Q15" s="247">
        <f>IFERROR(INDEX(YAtCData[Rec],MATCH(YACTE70[[#This Row],[Name]],YAtCData[Player],0)),"")</f>
        <v>14</v>
      </c>
      <c r="R15" s="247">
        <f>IFERROR(INDEX(YAtCData[Yards],MATCH(YACTE70[[#This Row],[Name]],YAtCData[Player],0)),"")</f>
        <v>168</v>
      </c>
      <c r="S15" s="247">
        <f>IFERROR(INDEX(YAtCData[YAtC],MATCH(YACTE70[[#This Row],[Name]],YAtCData[Player],0)),"")</f>
        <v>115</v>
      </c>
      <c r="T15" s="247">
        <f>IFERROR(INDEX(YAtCData[YAtC/Rec],MATCH(YACTE70[[#This Row],[Name]],YAtCData[Player],0)),"")</f>
        <v>8.2100000000000009</v>
      </c>
      <c r="U15" s="247">
        <f>IFERROR(INDEX(YACDATA[YAC],MATCH(YACTE70[[#This Row],[Name]],YACDATA[Player],0)),"")</f>
        <v>53</v>
      </c>
      <c r="V15" s="499">
        <f>IFERROR(INDEX(YACDATA[YAC per Reception],MATCH(YACTE70[[#This Row],[Name]],YACDATA[Player],0)),"")</f>
        <v>3.8</v>
      </c>
      <c r="W15" s="9"/>
      <c r="X15" s="14">
        <v>5</v>
      </c>
      <c r="Y15" s="14" t="s">
        <v>835</v>
      </c>
      <c r="Z15" s="14">
        <v>473</v>
      </c>
      <c r="AA15" s="14">
        <v>157.69999999999999</v>
      </c>
      <c r="AB15" s="9"/>
    </row>
    <row r="16" spans="1:34" x14ac:dyDescent="0.3">
      <c r="A16" s="8">
        <v>5.5922845650335349</v>
      </c>
      <c r="B16" s="14" t="s">
        <v>195</v>
      </c>
      <c r="C16" s="247" t="str">
        <f>IFERROR(INDEX(YAtCData[Team],MATCH(YACWR74[[#This Row],[Name]],YAtCData[Player],0)),"")</f>
        <v>CIN</v>
      </c>
      <c r="D16" s="247" t="str">
        <f>IFERROR(INDEX(YAtCData[Pos],MATCH(YACWR74[[#This Row],[Name]],YAtCData[Player],0)),"")</f>
        <v>WR</v>
      </c>
      <c r="E16" s="247">
        <f>IFERROR(INDEX(YAtCData[Rec],MATCH(YACWR74[[#This Row],[Name]],YAtCData[Player],0)),"")</f>
        <v>22</v>
      </c>
      <c r="F16" s="247">
        <f>IFERROR(INDEX(YAtCData[Yards],MATCH(YACWR74[[#This Row],[Name]],YAtCData[Player],0)),"")</f>
        <v>295</v>
      </c>
      <c r="G16" s="247">
        <f>IFERROR(INDEX(YAtCData[YAtC],MATCH(YACWR74[[#This Row],[Name]],YAtCData[Player],0)),"")</f>
        <v>185</v>
      </c>
      <c r="H16" s="247">
        <f>IFERROR(INDEX(YAtCData[YAtC/Rec],MATCH(YACWR74[[#This Row],[Name]],YAtCData[Player],0)),"")</f>
        <v>8.41</v>
      </c>
      <c r="I16" s="247">
        <f>IFERROR(INDEX(YACDATA[YAC],MATCH(YACWR74[[#This Row],[Name]],YACDATA[Player],0)),"")</f>
        <v>110</v>
      </c>
      <c r="J16" s="499">
        <f>IFERROR(INDEX(YACDATA[YAC per Reception],MATCH(YACWR74[[#This Row],[Name]],YACDATA[Player],0)),"")</f>
        <v>5</v>
      </c>
      <c r="K16" s="500"/>
      <c r="L16" s="104"/>
      <c r="M16" s="14">
        <v>6</v>
      </c>
      <c r="N16" s="488" t="s">
        <v>331</v>
      </c>
      <c r="O16" s="247" t="str">
        <f>IFERROR(INDEX(YAtCData[Team],MATCH(YACTE70[[#This Row],[Name]],YAtCData[Player],0)),"")</f>
        <v>MIN</v>
      </c>
      <c r="P16" s="247" t="str">
        <f>IFERROR(INDEX(YAtCData[Pos],MATCH(YACTE70[[#This Row],[Name]],YAtCData[Player],0)),"")</f>
        <v>TE</v>
      </c>
      <c r="Q16" s="247">
        <f>IFERROR(INDEX(YAtCData[Rec],MATCH(YACTE70[[#This Row],[Name]],YAtCData[Player],0)),"")</f>
        <v>14</v>
      </c>
      <c r="R16" s="247">
        <f>IFERROR(INDEX(YAtCData[Yards],MATCH(YACTE70[[#This Row],[Name]],YAtCData[Player],0)),"")</f>
        <v>166</v>
      </c>
      <c r="S16" s="247">
        <f>IFERROR(INDEX(YAtCData[YAtC],MATCH(YACTE70[[#This Row],[Name]],YAtCData[Player],0)),"")</f>
        <v>124</v>
      </c>
      <c r="T16" s="247">
        <f>IFERROR(INDEX(YAtCData[YAtC/Rec],MATCH(YACTE70[[#This Row],[Name]],YAtCData[Player],0)),"")</f>
        <v>8.86</v>
      </c>
      <c r="U16" s="247">
        <f>IFERROR(INDEX(YACDATA[YAC],MATCH(YACTE70[[#This Row],[Name]],YACDATA[Player],0)),"")</f>
        <v>42</v>
      </c>
      <c r="V16" s="499">
        <f>IFERROR(INDEX(YACDATA[YAC per Reception],MATCH(YACTE70[[#This Row],[Name]],YACDATA[Player],0)),"")</f>
        <v>3</v>
      </c>
      <c r="W16" s="9"/>
      <c r="X16" s="14">
        <v>6</v>
      </c>
      <c r="Y16" s="14" t="s">
        <v>843</v>
      </c>
      <c r="Z16" s="14">
        <v>463</v>
      </c>
      <c r="AA16" s="14">
        <v>154.30000000000001</v>
      </c>
      <c r="AB16" s="9"/>
    </row>
    <row r="17" spans="1:28" x14ac:dyDescent="0.3">
      <c r="A17" s="8">
        <v>6.5107414780402415</v>
      </c>
      <c r="B17" s="14" t="s">
        <v>213</v>
      </c>
      <c r="C17" s="247" t="str">
        <f>IFERROR(INDEX(YAtCData[Team],MATCH(YACWR74[[#This Row],[Name]],YAtCData[Player],0)),"")</f>
        <v>IND</v>
      </c>
      <c r="D17" s="247" t="str">
        <f>IFERROR(INDEX(YAtCData[Pos],MATCH(YACWR74[[#This Row],[Name]],YAtCData[Player],0)),"")</f>
        <v>WR</v>
      </c>
      <c r="E17" s="247">
        <f>IFERROR(INDEX(YAtCData[Rec],MATCH(YACWR74[[#This Row],[Name]],YAtCData[Player],0)),"")</f>
        <v>18</v>
      </c>
      <c r="F17" s="247">
        <f>IFERROR(INDEX(YAtCData[Yards],MATCH(YACWR74[[#This Row],[Name]],YAtCData[Player],0)),"")</f>
        <v>294</v>
      </c>
      <c r="G17" s="247">
        <f>IFERROR(INDEX(YAtCData[YAtC],MATCH(YACWR74[[#This Row],[Name]],YAtCData[Player],0)),"")</f>
        <v>194</v>
      </c>
      <c r="H17" s="247">
        <f>IFERROR(INDEX(YAtCData[YAtC/Rec],MATCH(YACWR74[[#This Row],[Name]],YAtCData[Player],0)),"")</f>
        <v>10.78</v>
      </c>
      <c r="I17" s="247">
        <f>IFERROR(INDEX(YACDATA[YAC],MATCH(YACWR74[[#This Row],[Name]],YACDATA[Player],0)),"")</f>
        <v>100</v>
      </c>
      <c r="J17" s="499">
        <f>IFERROR(INDEX(YACDATA[YAC per Reception],MATCH(YACWR74[[#This Row],[Name]],YACDATA[Player],0)),"")</f>
        <v>5.6</v>
      </c>
      <c r="K17" s="500"/>
      <c r="L17" s="104"/>
      <c r="M17" s="14">
        <v>7</v>
      </c>
      <c r="N17" s="488" t="s">
        <v>335</v>
      </c>
      <c r="O17" s="247" t="str">
        <f>IFERROR(INDEX(YAtCData[Team],MATCH(YACTE70[[#This Row],[Name]],YAtCData[Player],0)),"")</f>
        <v>ATL</v>
      </c>
      <c r="P17" s="247" t="str">
        <f>IFERROR(INDEX(YAtCData[Pos],MATCH(YACTE70[[#This Row],[Name]],YAtCData[Player],0)),"")</f>
        <v>TE</v>
      </c>
      <c r="Q17" s="247">
        <f>IFERROR(INDEX(YAtCData[Rec],MATCH(YACTE70[[#This Row],[Name]],YAtCData[Player],0)),"")</f>
        <v>14</v>
      </c>
      <c r="R17" s="247">
        <f>IFERROR(INDEX(YAtCData[Yards],MATCH(YACTE70[[#This Row],[Name]],YAtCData[Player],0)),"")</f>
        <v>154</v>
      </c>
      <c r="S17" s="247">
        <f>IFERROR(INDEX(YAtCData[YAtC],MATCH(YACTE70[[#This Row],[Name]],YAtCData[Player],0)),"")</f>
        <v>92</v>
      </c>
      <c r="T17" s="247">
        <f>IFERROR(INDEX(YAtCData[YAtC/Rec],MATCH(YACTE70[[#This Row],[Name]],YAtCData[Player],0)),"")</f>
        <v>6.57</v>
      </c>
      <c r="U17" s="247">
        <f>IFERROR(INDEX(YACDATA[YAC],MATCH(YACTE70[[#This Row],[Name]],YACDATA[Player],0)),"")</f>
        <v>62</v>
      </c>
      <c r="V17" s="499">
        <f>IFERROR(INDEX(YACDATA[YAC per Reception],MATCH(YACTE70[[#This Row],[Name]],YACDATA[Player],0)),"")</f>
        <v>4.4000000000000004</v>
      </c>
      <c r="W17" s="9"/>
      <c r="X17" s="14">
        <v>7</v>
      </c>
      <c r="Y17" s="14" t="s">
        <v>838</v>
      </c>
      <c r="Z17" s="14">
        <v>453</v>
      </c>
      <c r="AA17" s="14">
        <v>151</v>
      </c>
      <c r="AB17" s="9"/>
    </row>
    <row r="18" spans="1:28" x14ac:dyDescent="0.3">
      <c r="A18" s="8">
        <v>7.429198391046949</v>
      </c>
      <c r="B18" s="14" t="s">
        <v>191</v>
      </c>
      <c r="C18" s="247" t="str">
        <f>IFERROR(INDEX(YAtCData[Team],MATCH(YACWR74[[#This Row],[Name]],YAtCData[Player],0)),"")</f>
        <v>NYG</v>
      </c>
      <c r="D18" s="247" t="str">
        <f>IFERROR(INDEX(YAtCData[Pos],MATCH(YACWR74[[#This Row],[Name]],YAtCData[Player],0)),"")</f>
        <v>WR</v>
      </c>
      <c r="E18" s="247">
        <f>IFERROR(INDEX(YAtCData[Rec],MATCH(YACWR74[[#This Row],[Name]],YAtCData[Player],0)),"")</f>
        <v>19</v>
      </c>
      <c r="F18" s="247">
        <f>IFERROR(INDEX(YAtCData[Yards],MATCH(YACWR74[[#This Row],[Name]],YAtCData[Player],0)),"")</f>
        <v>280</v>
      </c>
      <c r="G18" s="247">
        <f>IFERROR(INDEX(YAtCData[YAtC],MATCH(YACWR74[[#This Row],[Name]],YAtCData[Player],0)),"")</f>
        <v>190</v>
      </c>
      <c r="H18" s="247">
        <f>IFERROR(INDEX(YAtCData[YAtC/Rec],MATCH(YACWR74[[#This Row],[Name]],YAtCData[Player],0)),"")</f>
        <v>10</v>
      </c>
      <c r="I18" s="247">
        <f>IFERROR(INDEX(YACDATA[YAC],MATCH(YACWR74[[#This Row],[Name]],YACDATA[Player],0)),"")</f>
        <v>90</v>
      </c>
      <c r="J18" s="499">
        <f>IFERROR(INDEX(YACDATA[YAC per Reception],MATCH(YACWR74[[#This Row],[Name]],YACDATA[Player],0)),"")</f>
        <v>4.7</v>
      </c>
      <c r="K18" s="500"/>
      <c r="L18" s="104"/>
      <c r="M18" s="14">
        <v>8</v>
      </c>
      <c r="N18" s="488" t="s">
        <v>328</v>
      </c>
      <c r="O18" s="247" t="str">
        <f>IFERROR(INDEX(YAtCData[Team],MATCH(YACTE70[[#This Row],[Name]],YAtCData[Player],0)),"")</f>
        <v>SEA</v>
      </c>
      <c r="P18" s="247" t="str">
        <f>IFERROR(INDEX(YAtCData[Pos],MATCH(YACTE70[[#This Row],[Name]],YAtCData[Player],0)),"")</f>
        <v>TE</v>
      </c>
      <c r="Q18" s="247">
        <f>IFERROR(INDEX(YAtCData[Rec],MATCH(YACTE70[[#This Row],[Name]],YAtCData[Player],0)),"")</f>
        <v>10</v>
      </c>
      <c r="R18" s="247">
        <f>IFERROR(INDEX(YAtCData[Yards],MATCH(YACTE70[[#This Row],[Name]],YAtCData[Player],0)),"")</f>
        <v>153</v>
      </c>
      <c r="S18" s="247">
        <f>IFERROR(INDEX(YAtCData[YAtC],MATCH(YACTE70[[#This Row],[Name]],YAtCData[Player],0)),"")</f>
        <v>128</v>
      </c>
      <c r="T18" s="247">
        <f>IFERROR(INDEX(YAtCData[YAtC/Rec],MATCH(YACTE70[[#This Row],[Name]],YAtCData[Player],0)),"")</f>
        <v>12.8</v>
      </c>
      <c r="U18" s="247">
        <f>IFERROR(INDEX(YACDATA[YAC],MATCH(YACTE70[[#This Row],[Name]],YACDATA[Player],0)),"")</f>
        <v>25</v>
      </c>
      <c r="V18" s="499">
        <f>IFERROR(INDEX(YACDATA[YAC per Reception],MATCH(YACTE70[[#This Row],[Name]],YACDATA[Player],0)),"")</f>
        <v>2.5</v>
      </c>
      <c r="W18" s="9"/>
      <c r="X18" s="14">
        <v>8</v>
      </c>
      <c r="Y18" s="14" t="s">
        <v>845</v>
      </c>
      <c r="Z18" s="14">
        <v>430</v>
      </c>
      <c r="AA18" s="14">
        <v>143.30000000000001</v>
      </c>
      <c r="AB18" s="9"/>
    </row>
    <row r="19" spans="1:28" x14ac:dyDescent="0.3">
      <c r="A19" s="8">
        <v>8.3476553040536565</v>
      </c>
      <c r="B19" s="14" t="s">
        <v>192</v>
      </c>
      <c r="C19" s="247" t="str">
        <f>IFERROR(INDEX(YAtCData[Team],MATCH(YACWR74[[#This Row],[Name]],YAtCData[Player],0)),"")</f>
        <v>SEA</v>
      </c>
      <c r="D19" s="247" t="str">
        <f>IFERROR(INDEX(YAtCData[Pos],MATCH(YACWR74[[#This Row],[Name]],YAtCData[Player],0)),"")</f>
        <v>WR</v>
      </c>
      <c r="E19" s="247">
        <f>IFERROR(INDEX(YAtCData[Rec],MATCH(YACWR74[[#This Row],[Name]],YAtCData[Player],0)),"")</f>
        <v>20</v>
      </c>
      <c r="F19" s="247">
        <f>IFERROR(INDEX(YAtCData[Yards],MATCH(YACWR74[[#This Row],[Name]],YAtCData[Player],0)),"")</f>
        <v>276</v>
      </c>
      <c r="G19" s="247">
        <f>IFERROR(INDEX(YAtCData[YAtC],MATCH(YACWR74[[#This Row],[Name]],YAtCData[Player],0)),"")</f>
        <v>183</v>
      </c>
      <c r="H19" s="247">
        <f>IFERROR(INDEX(YAtCData[YAtC/Rec],MATCH(YACWR74[[#This Row],[Name]],YAtCData[Player],0)),"")</f>
        <v>9.15</v>
      </c>
      <c r="I19" s="247">
        <f>IFERROR(INDEX(YACDATA[YAC],MATCH(YACWR74[[#This Row],[Name]],YACDATA[Player],0)),"")</f>
        <v>93</v>
      </c>
      <c r="J19" s="499">
        <f>IFERROR(INDEX(YACDATA[YAC per Reception],MATCH(YACWR74[[#This Row],[Name]],YACDATA[Player],0)),"")</f>
        <v>4.7</v>
      </c>
      <c r="K19" s="500"/>
      <c r="L19" s="104"/>
      <c r="M19" s="14">
        <v>9</v>
      </c>
      <c r="N19" s="488" t="s">
        <v>326</v>
      </c>
      <c r="O19" s="247" t="str">
        <f>IFERROR(INDEX(YAtCData[Team],MATCH(YACTE70[[#This Row],[Name]],YAtCData[Player],0)),"")</f>
        <v>JAX</v>
      </c>
      <c r="P19" s="247" t="str">
        <f>IFERROR(INDEX(YAtCData[Pos],MATCH(YACTE70[[#This Row],[Name]],YAtCData[Player],0)),"")</f>
        <v>TE</v>
      </c>
      <c r="Q19" s="247">
        <f>IFERROR(INDEX(YAtCData[Rec],MATCH(YACTE70[[#This Row],[Name]],YAtCData[Player],0)),"")</f>
        <v>11</v>
      </c>
      <c r="R19" s="247">
        <f>IFERROR(INDEX(YAtCData[Yards],MATCH(YACTE70[[#This Row],[Name]],YAtCData[Player],0)),"")</f>
        <v>148</v>
      </c>
      <c r="S19" s="247">
        <f>IFERROR(INDEX(YAtCData[YAtC],MATCH(YACTE70[[#This Row],[Name]],YAtCData[Player],0)),"")</f>
        <v>89</v>
      </c>
      <c r="T19" s="247">
        <f>IFERROR(INDEX(YAtCData[YAtC/Rec],MATCH(YACTE70[[#This Row],[Name]],YAtCData[Player],0)),"")</f>
        <v>8.09</v>
      </c>
      <c r="U19" s="247">
        <f>IFERROR(INDEX(YACDATA[YAC],MATCH(YACTE70[[#This Row],[Name]],YACDATA[Player],0)),"")</f>
        <v>59</v>
      </c>
      <c r="V19" s="499">
        <f>IFERROR(INDEX(YACDATA[YAC per Reception],MATCH(YACTE70[[#This Row],[Name]],YACDATA[Player],0)),"")</f>
        <v>5.4</v>
      </c>
      <c r="W19" s="9"/>
      <c r="X19" s="14">
        <v>9</v>
      </c>
      <c r="Y19" s="14" t="s">
        <v>856</v>
      </c>
      <c r="Z19" s="14">
        <v>425</v>
      </c>
      <c r="AA19" s="14">
        <v>141.69999999999999</v>
      </c>
      <c r="AB19" s="9"/>
    </row>
    <row r="20" spans="1:28" x14ac:dyDescent="0.3">
      <c r="A20" s="8">
        <v>9.2661122170603623</v>
      </c>
      <c r="B20" s="14" t="s">
        <v>208</v>
      </c>
      <c r="C20" s="247" t="str">
        <f>IFERROR(INDEX(YAtCData[Team],MATCH(YACWR74[[#This Row],[Name]],YAtCData[Player],0)),"")</f>
        <v>CHI</v>
      </c>
      <c r="D20" s="247" t="str">
        <f>IFERROR(INDEX(YAtCData[Pos],MATCH(YACWR74[[#This Row],[Name]],YAtCData[Player],0)),"")</f>
        <v>WR</v>
      </c>
      <c r="E20" s="247">
        <f>IFERROR(INDEX(YAtCData[Rec],MATCH(YACWR74[[#This Row],[Name]],YAtCData[Player],0)),"")</f>
        <v>14</v>
      </c>
      <c r="F20" s="247">
        <f>IFERROR(INDEX(YAtCData[Yards],MATCH(YACWR74[[#This Row],[Name]],YAtCData[Player],0)),"")</f>
        <v>271</v>
      </c>
      <c r="G20" s="247">
        <f>IFERROR(INDEX(YAtCData[YAtC],MATCH(YACWR74[[#This Row],[Name]],YAtCData[Player],0)),"")</f>
        <v>203</v>
      </c>
      <c r="H20" s="247">
        <f>IFERROR(INDEX(YAtCData[YAtC/Rec],MATCH(YACWR74[[#This Row],[Name]],YAtCData[Player],0)),"")</f>
        <v>14.5</v>
      </c>
      <c r="I20" s="247">
        <f>IFERROR(INDEX(YACDATA[YAC],MATCH(YACWR74[[#This Row],[Name]],YACDATA[Player],0)),"")</f>
        <v>68</v>
      </c>
      <c r="J20" s="499">
        <f>IFERROR(INDEX(YACDATA[YAC per Reception],MATCH(YACWR74[[#This Row],[Name]],YACDATA[Player],0)),"")</f>
        <v>4.9000000000000004</v>
      </c>
      <c r="K20" s="500"/>
      <c r="L20" s="104"/>
      <c r="M20" s="14">
        <v>10</v>
      </c>
      <c r="N20" s="488" t="s">
        <v>308</v>
      </c>
      <c r="O20" s="247" t="str">
        <f>IFERROR(INDEX(YAtCData[Team],MATCH(YACTE70[[#This Row],[Name]],YAtCData[Player],0)),"")</f>
        <v>NO</v>
      </c>
      <c r="P20" s="247" t="str">
        <f>IFERROR(INDEX(YAtCData[Pos],MATCH(YACTE70[[#This Row],[Name]],YAtCData[Player],0)),"")</f>
        <v>TE</v>
      </c>
      <c r="Q20" s="247">
        <f>IFERROR(INDEX(YAtCData[Rec],MATCH(YACTE70[[#This Row],[Name]],YAtCData[Player],0)),"")</f>
        <v>10</v>
      </c>
      <c r="R20" s="247">
        <f>IFERROR(INDEX(YAtCData[Yards],MATCH(YACTE70[[#This Row],[Name]],YAtCData[Player],0)),"")</f>
        <v>144</v>
      </c>
      <c r="S20" s="247">
        <f>IFERROR(INDEX(YAtCData[YAtC],MATCH(YACTE70[[#This Row],[Name]],YAtCData[Player],0)),"")</f>
        <v>134</v>
      </c>
      <c r="T20" s="247">
        <f>IFERROR(INDEX(YAtCData[YAtC/Rec],MATCH(YACTE70[[#This Row],[Name]],YAtCData[Player],0)),"")</f>
        <v>13.4</v>
      </c>
      <c r="U20" s="247">
        <f>IFERROR(INDEX(YACDATA[YAC],MATCH(YACTE70[[#This Row],[Name]],YACDATA[Player],0)),"")</f>
        <v>10</v>
      </c>
      <c r="V20" s="499">
        <f>IFERROR(INDEX(YACDATA[YAC per Reception],MATCH(YACTE70[[#This Row],[Name]],YACDATA[Player],0)),"")</f>
        <v>1</v>
      </c>
      <c r="W20" s="9"/>
      <c r="X20" s="14">
        <v>10</v>
      </c>
      <c r="Y20" s="14" t="s">
        <v>846</v>
      </c>
      <c r="Z20" s="14">
        <v>354</v>
      </c>
      <c r="AA20" s="14">
        <v>118</v>
      </c>
      <c r="AB20" s="9"/>
    </row>
    <row r="21" spans="1:28" x14ac:dyDescent="0.3">
      <c r="A21" s="8">
        <v>10.18456913006707</v>
      </c>
      <c r="B21" s="14" t="s">
        <v>210</v>
      </c>
      <c r="C21" s="247" t="str">
        <f>IFERROR(INDEX(YAtCData[Team],MATCH(YACWR74[[#This Row],[Name]],YAtCData[Player],0)),"")</f>
        <v>OAK</v>
      </c>
      <c r="D21" s="247" t="str">
        <f>IFERROR(INDEX(YAtCData[Pos],MATCH(YACWR74[[#This Row],[Name]],YAtCData[Player],0)),"")</f>
        <v>WR</v>
      </c>
      <c r="E21" s="247">
        <f>IFERROR(INDEX(YAtCData[Rec],MATCH(YACWR74[[#This Row],[Name]],YAtCData[Player],0)),"")</f>
        <v>15</v>
      </c>
      <c r="F21" s="247">
        <f>IFERROR(INDEX(YAtCData[Yards],MATCH(YACWR74[[#This Row],[Name]],YAtCData[Player],0)),"")</f>
        <v>270</v>
      </c>
      <c r="G21" s="247">
        <f>IFERROR(INDEX(YAtCData[YAtC],MATCH(YACWR74[[#This Row],[Name]],YAtCData[Player],0)),"")</f>
        <v>153</v>
      </c>
      <c r="H21" s="247">
        <f>IFERROR(INDEX(YAtCData[YAtC/Rec],MATCH(YACWR74[[#This Row],[Name]],YAtCData[Player],0)),"")</f>
        <v>10.199999999999999</v>
      </c>
      <c r="I21" s="247">
        <f>IFERROR(INDEX(YACDATA[YAC],MATCH(YACWR74[[#This Row],[Name]],YACDATA[Player],0)),"")</f>
        <v>117</v>
      </c>
      <c r="J21" s="499">
        <f>IFERROR(INDEX(YACDATA[YAC per Reception],MATCH(YACWR74[[#This Row],[Name]],YACDATA[Player],0)),"")</f>
        <v>7.8</v>
      </c>
      <c r="K21" s="500"/>
      <c r="L21" s="104"/>
      <c r="M21" s="14">
        <v>11</v>
      </c>
      <c r="N21" s="488" t="s">
        <v>329</v>
      </c>
      <c r="O21" s="247" t="str">
        <f>IFERROR(INDEX(YAtCData[Team],MATCH(YACTE70[[#This Row],[Name]],YAtCData[Player],0)),"")</f>
        <v>DAL</v>
      </c>
      <c r="P21" s="247" t="str">
        <f>IFERROR(INDEX(YAtCData[Pos],MATCH(YACTE70[[#This Row],[Name]],YAtCData[Player],0)),"")</f>
        <v>TE</v>
      </c>
      <c r="Q21" s="247">
        <f>IFERROR(INDEX(YAtCData[Rec],MATCH(YACTE70[[#This Row],[Name]],YAtCData[Player],0)),"")</f>
        <v>14</v>
      </c>
      <c r="R21" s="247">
        <f>IFERROR(INDEX(YAtCData[Yards],MATCH(YACTE70[[#This Row],[Name]],YAtCData[Player],0)),"")</f>
        <v>142</v>
      </c>
      <c r="S21" s="247">
        <f>IFERROR(INDEX(YAtCData[YAtC],MATCH(YACTE70[[#This Row],[Name]],YAtCData[Player],0)),"")</f>
        <v>62</v>
      </c>
      <c r="T21" s="247">
        <f>IFERROR(INDEX(YAtCData[YAtC/Rec],MATCH(YACTE70[[#This Row],[Name]],YAtCData[Player],0)),"")</f>
        <v>4.43</v>
      </c>
      <c r="U21" s="247">
        <f>IFERROR(INDEX(YACDATA[YAC],MATCH(YACTE70[[#This Row],[Name]],YACDATA[Player],0)),"")</f>
        <v>80</v>
      </c>
      <c r="V21" s="499">
        <f>IFERROR(INDEX(YACDATA[YAC per Reception],MATCH(YACTE70[[#This Row],[Name]],YACDATA[Player],0)),"")</f>
        <v>5.7</v>
      </c>
      <c r="W21" s="9"/>
      <c r="X21" s="14">
        <v>11</v>
      </c>
      <c r="Y21" s="14" t="s">
        <v>855</v>
      </c>
      <c r="Z21" s="14">
        <v>342</v>
      </c>
      <c r="AA21" s="14">
        <v>114</v>
      </c>
      <c r="AB21" s="9"/>
    </row>
    <row r="22" spans="1:28" x14ac:dyDescent="0.3">
      <c r="A22" s="8">
        <v>11.103026043073777</v>
      </c>
      <c r="B22" s="14" t="s">
        <v>2510</v>
      </c>
      <c r="C22" s="247" t="str">
        <f>IFERROR(INDEX(YAtCData[Team],MATCH(YACWR74[[#This Row],[Name]],YAtCData[Player],0)),"")</f>
        <v>CLE</v>
      </c>
      <c r="D22" s="247" t="str">
        <f>IFERROR(INDEX(YAtCData[Pos],MATCH(YACWR74[[#This Row],[Name]],YAtCData[Player],0)),"")</f>
        <v>WR</v>
      </c>
      <c r="E22" s="247">
        <f>IFERROR(INDEX(YAtCData[Rec],MATCH(YACWR74[[#This Row],[Name]],YAtCData[Player],0)),"")</f>
        <v>14</v>
      </c>
      <c r="F22" s="247">
        <f>IFERROR(INDEX(YAtCData[Yards],MATCH(YACWR74[[#This Row],[Name]],YAtCData[Player],0)),"")</f>
        <v>244</v>
      </c>
      <c r="G22" s="247">
        <f>IFERROR(INDEX(YAtCData[YAtC],MATCH(YACWR74[[#This Row],[Name]],YAtCData[Player],0)),"")</f>
        <v>174</v>
      </c>
      <c r="H22" s="247">
        <f>IFERROR(INDEX(YAtCData[YAtC/Rec],MATCH(YACWR74[[#This Row],[Name]],YAtCData[Player],0)),"")</f>
        <v>12.43</v>
      </c>
      <c r="I22" s="247">
        <f>IFERROR(INDEX(YACDATA[YAC],MATCH(YACWR74[[#This Row],[Name]],YACDATA[Player],0)),"")</f>
        <v>70</v>
      </c>
      <c r="J22" s="499">
        <f>IFERROR(INDEX(YACDATA[YAC per Reception],MATCH(YACWR74[[#This Row],[Name]],YACDATA[Player],0)),"")</f>
        <v>5</v>
      </c>
      <c r="K22" s="500"/>
      <c r="L22" s="104"/>
      <c r="M22" s="14">
        <v>12</v>
      </c>
      <c r="N22" s="488" t="s">
        <v>336</v>
      </c>
      <c r="O22" s="247" t="str">
        <f>IFERROR(INDEX(YAtCData[Team],MATCH(YACTE70[[#This Row],[Name]],YAtCData[Player],0)),"")</f>
        <v>NE</v>
      </c>
      <c r="P22" s="247" t="str">
        <f>IFERROR(INDEX(YAtCData[Pos],MATCH(YACTE70[[#This Row],[Name]],YAtCData[Player],0)),"")</f>
        <v>TE</v>
      </c>
      <c r="Q22" s="247">
        <f>IFERROR(INDEX(YAtCData[Rec],MATCH(YACTE70[[#This Row],[Name]],YAtCData[Player],0)),"")</f>
        <v>10</v>
      </c>
      <c r="R22" s="247">
        <f>IFERROR(INDEX(YAtCData[Yards],MATCH(YACTE70[[#This Row],[Name]],YAtCData[Player],0)),"")</f>
        <v>138</v>
      </c>
      <c r="S22" s="247">
        <f>IFERROR(INDEX(YAtCData[YAtC],MATCH(YACTE70[[#This Row],[Name]],YAtCData[Player],0)),"")</f>
        <v>31</v>
      </c>
      <c r="T22" s="247">
        <f>IFERROR(INDEX(YAtCData[YAtC/Rec],MATCH(YACTE70[[#This Row],[Name]],YAtCData[Player],0)),"")</f>
        <v>3.1</v>
      </c>
      <c r="U22" s="247">
        <f>IFERROR(INDEX(YACDATA[YAC],MATCH(YACTE70[[#This Row],[Name]],YACDATA[Player],0)),"")</f>
        <v>107</v>
      </c>
      <c r="V22" s="499">
        <f>IFERROR(INDEX(YACDATA[YAC per Reception],MATCH(YACTE70[[#This Row],[Name]],YACDATA[Player],0)),"")</f>
        <v>10.7</v>
      </c>
      <c r="W22" s="9"/>
      <c r="X22" s="14">
        <v>12</v>
      </c>
      <c r="Y22" s="14" t="s">
        <v>829</v>
      </c>
      <c r="Z22" s="14">
        <v>334</v>
      </c>
      <c r="AA22" s="14">
        <v>111.3</v>
      </c>
      <c r="AB22" s="9"/>
    </row>
    <row r="23" spans="1:28" x14ac:dyDescent="0.3">
      <c r="A23" s="8">
        <v>12.021482956080483</v>
      </c>
      <c r="B23" s="14" t="s">
        <v>463</v>
      </c>
      <c r="C23" s="247" t="str">
        <f>IFERROR(INDEX(YAtCData[Team],MATCH(YACWR74[[#This Row],[Name]],YAtCData[Player],0)),"")</f>
        <v>HOU</v>
      </c>
      <c r="D23" s="247" t="str">
        <f>IFERROR(INDEX(YAtCData[Pos],MATCH(YACWR74[[#This Row],[Name]],YAtCData[Player],0)),"")</f>
        <v>WR</v>
      </c>
      <c r="E23" s="247">
        <f>IFERROR(INDEX(YAtCData[Rec],MATCH(YACWR74[[#This Row],[Name]],YAtCData[Player],0)),"")</f>
        <v>12</v>
      </c>
      <c r="F23" s="247">
        <f>IFERROR(INDEX(YAtCData[Yards],MATCH(YACWR74[[#This Row],[Name]],YAtCData[Player],0)),"")</f>
        <v>242</v>
      </c>
      <c r="G23" s="247">
        <f>IFERROR(INDEX(YAtCData[YAtC],MATCH(YACWR74[[#This Row],[Name]],YAtCData[Player],0)),"")</f>
        <v>170</v>
      </c>
      <c r="H23" s="247">
        <f>IFERROR(INDEX(YAtCData[YAtC/Rec],MATCH(YACWR74[[#This Row],[Name]],YAtCData[Player],0)),"")</f>
        <v>14.17</v>
      </c>
      <c r="I23" s="247">
        <f>IFERROR(INDEX(YACDATA[YAC],MATCH(YACWR74[[#This Row],[Name]],YACDATA[Player],0)),"")</f>
        <v>72</v>
      </c>
      <c r="J23" s="499">
        <f>IFERROR(INDEX(YACDATA[YAC per Reception],MATCH(YACWR74[[#This Row],[Name]],YACDATA[Player],0)),"")</f>
        <v>6</v>
      </c>
      <c r="K23" s="500"/>
      <c r="L23" s="104"/>
      <c r="M23" s="14">
        <v>13</v>
      </c>
      <c r="N23" s="488" t="s">
        <v>368</v>
      </c>
      <c r="O23" s="247" t="str">
        <f>IFERROR(INDEX(YAtCData[Team],MATCH(YACTE70[[#This Row],[Name]],YAtCData[Player],0)),"")</f>
        <v>IND</v>
      </c>
      <c r="P23" s="247" t="str">
        <f>IFERROR(INDEX(YAtCData[Pos],MATCH(YACTE70[[#This Row],[Name]],YAtCData[Player],0)),"")</f>
        <v>TE</v>
      </c>
      <c r="Q23" s="247">
        <f>IFERROR(INDEX(YAtCData[Rec],MATCH(YACTE70[[#This Row],[Name]],YAtCData[Player],0)),"")</f>
        <v>13</v>
      </c>
      <c r="R23" s="247">
        <f>IFERROR(INDEX(YAtCData[Yards],MATCH(YACTE70[[#This Row],[Name]],YAtCData[Player],0)),"")</f>
        <v>137</v>
      </c>
      <c r="S23" s="247">
        <f>IFERROR(INDEX(YAtCData[YAtC],MATCH(YACTE70[[#This Row],[Name]],YAtCData[Player],0)),"")</f>
        <v>81</v>
      </c>
      <c r="T23" s="247">
        <f>IFERROR(INDEX(YAtCData[YAtC/Rec],MATCH(YACTE70[[#This Row],[Name]],YAtCData[Player],0)),"")</f>
        <v>6.23</v>
      </c>
      <c r="U23" s="247">
        <f>IFERROR(INDEX(YACDATA[YAC],MATCH(YACTE70[[#This Row],[Name]],YACDATA[Player],0)),"")</f>
        <v>56</v>
      </c>
      <c r="V23" s="499">
        <f>IFERROR(INDEX(YACDATA[YAC per Reception],MATCH(YACTE70[[#This Row],[Name]],YACDATA[Player],0)),"")</f>
        <v>4.3</v>
      </c>
      <c r="W23" s="9"/>
      <c r="X23" s="14">
        <v>13</v>
      </c>
      <c r="Y23" s="14" t="s">
        <v>850</v>
      </c>
      <c r="Z23" s="14">
        <v>327</v>
      </c>
      <c r="AA23" s="14">
        <v>109</v>
      </c>
      <c r="AB23" s="9"/>
    </row>
    <row r="24" spans="1:28" x14ac:dyDescent="0.3">
      <c r="A24" s="8">
        <v>12.939939869087191</v>
      </c>
      <c r="B24" s="14" t="s">
        <v>226</v>
      </c>
      <c r="C24" s="247" t="str">
        <f>IFERROR(INDEX(YAtCData[Team],MATCH(YACWR74[[#This Row],[Name]],YAtCData[Player],0)),"")</f>
        <v>WAS</v>
      </c>
      <c r="D24" s="247" t="str">
        <f>IFERROR(INDEX(YAtCData[Pos],MATCH(YACWR74[[#This Row],[Name]],YAtCData[Player],0)),"")</f>
        <v>WR</v>
      </c>
      <c r="E24" s="247">
        <f>IFERROR(INDEX(YAtCData[Rec],MATCH(YACWR74[[#This Row],[Name]],YAtCData[Player],0)),"")</f>
        <v>14</v>
      </c>
      <c r="F24" s="247">
        <f>IFERROR(INDEX(YAtCData[Yards],MATCH(YACWR74[[#This Row],[Name]],YAtCData[Player],0)),"")</f>
        <v>238</v>
      </c>
      <c r="G24" s="247">
        <f>IFERROR(INDEX(YAtCData[YAtC],MATCH(YACWR74[[#This Row],[Name]],YAtCData[Player],0)),"")</f>
        <v>155</v>
      </c>
      <c r="H24" s="247">
        <f>IFERROR(INDEX(YAtCData[YAtC/Rec],MATCH(YACWR74[[#This Row],[Name]],YAtCData[Player],0)),"")</f>
        <v>11.07</v>
      </c>
      <c r="I24" s="247">
        <f>IFERROR(INDEX(YACDATA[YAC],MATCH(YACWR74[[#This Row],[Name]],YACDATA[Player],0)),"")</f>
        <v>83</v>
      </c>
      <c r="J24" s="499">
        <f>IFERROR(INDEX(YACDATA[YAC per Reception],MATCH(YACWR74[[#This Row],[Name]],YACDATA[Player],0)),"")</f>
        <v>5.9</v>
      </c>
      <c r="K24" s="500"/>
      <c r="L24" s="104"/>
      <c r="M24" s="14">
        <v>14</v>
      </c>
      <c r="N24" s="488" t="s">
        <v>320</v>
      </c>
      <c r="O24" s="247" t="str">
        <f>IFERROR(INDEX(YAtCData[Team],MATCH(YACTE70[[#This Row],[Name]],YAtCData[Player],0)),"")</f>
        <v>TEN</v>
      </c>
      <c r="P24" s="247" t="str">
        <f>IFERROR(INDEX(YAtCData[Pos],MATCH(YACTE70[[#This Row],[Name]],YAtCData[Player],0)),"")</f>
        <v>TE</v>
      </c>
      <c r="Q24" s="247">
        <f>IFERROR(INDEX(YAtCData[Rec],MATCH(YACTE70[[#This Row],[Name]],YAtCData[Player],0)),"")</f>
        <v>9</v>
      </c>
      <c r="R24" s="247">
        <f>IFERROR(INDEX(YAtCData[Yards],MATCH(YACTE70[[#This Row],[Name]],YAtCData[Player],0)),"")</f>
        <v>125</v>
      </c>
      <c r="S24" s="247">
        <f>IFERROR(INDEX(YAtCData[YAtC],MATCH(YACTE70[[#This Row],[Name]],YAtCData[Player],0)),"")</f>
        <v>72</v>
      </c>
      <c r="T24" s="247">
        <f>IFERROR(INDEX(YAtCData[YAtC/Rec],MATCH(YACTE70[[#This Row],[Name]],YAtCData[Player],0)),"")</f>
        <v>8</v>
      </c>
      <c r="U24" s="247">
        <f>IFERROR(INDEX(YACDATA[YAC],MATCH(YACTE70[[#This Row],[Name]],YACDATA[Player],0)),"")</f>
        <v>53</v>
      </c>
      <c r="V24" s="499">
        <f>IFERROR(INDEX(YACDATA[YAC per Reception],MATCH(YACTE70[[#This Row],[Name]],YACDATA[Player],0)),"")</f>
        <v>5.9</v>
      </c>
      <c r="W24" s="9"/>
      <c r="X24" s="14">
        <v>14</v>
      </c>
      <c r="Y24" s="14" t="s">
        <v>859</v>
      </c>
      <c r="Z24" s="14">
        <v>327</v>
      </c>
      <c r="AA24" s="14">
        <v>109</v>
      </c>
      <c r="AB24" s="9"/>
    </row>
    <row r="25" spans="1:28" x14ac:dyDescent="0.3">
      <c r="A25" s="8">
        <v>13.858396782093898</v>
      </c>
      <c r="B25" s="14" t="s">
        <v>199</v>
      </c>
      <c r="C25" s="247" t="str">
        <f>IFERROR(INDEX(YAtCData[Team],MATCH(YACWR74[[#This Row],[Name]],YAtCData[Player],0)),"")</f>
        <v>DEN</v>
      </c>
      <c r="D25" s="247" t="str">
        <f>IFERROR(INDEX(YAtCData[Pos],MATCH(YACWR74[[#This Row],[Name]],YAtCData[Player],0)),"")</f>
        <v>WR</v>
      </c>
      <c r="E25" s="247">
        <f>IFERROR(INDEX(YAtCData[Rec],MATCH(YACWR74[[#This Row],[Name]],YAtCData[Player],0)),"")</f>
        <v>15</v>
      </c>
      <c r="F25" s="247">
        <f>IFERROR(INDEX(YAtCData[Yards],MATCH(YACWR74[[#This Row],[Name]],YAtCData[Player],0)),"")</f>
        <v>238</v>
      </c>
      <c r="G25" s="247">
        <f>IFERROR(INDEX(YAtCData[YAtC],MATCH(YACWR74[[#This Row],[Name]],YAtCData[Player],0)),"")</f>
        <v>134</v>
      </c>
      <c r="H25" s="247">
        <f>IFERROR(INDEX(YAtCData[YAtC/Rec],MATCH(YACWR74[[#This Row],[Name]],YAtCData[Player],0)),"")</f>
        <v>8.93</v>
      </c>
      <c r="I25" s="247">
        <f>IFERROR(INDEX(YACDATA[YAC],MATCH(YACWR74[[#This Row],[Name]],YACDATA[Player],0)),"")</f>
        <v>104</v>
      </c>
      <c r="J25" s="499">
        <f>IFERROR(INDEX(YACDATA[YAC per Reception],MATCH(YACWR74[[#This Row],[Name]],YACDATA[Player],0)),"")</f>
        <v>6.9</v>
      </c>
      <c r="K25" s="500"/>
      <c r="L25" s="104"/>
      <c r="M25" s="14">
        <v>15</v>
      </c>
      <c r="N25" s="488" t="s">
        <v>334</v>
      </c>
      <c r="O25" s="247" t="str">
        <f>IFERROR(INDEX(YAtCData[Team],MATCH(YACTE70[[#This Row],[Name]],YAtCData[Player],0)),"")</f>
        <v>CHI</v>
      </c>
      <c r="P25" s="247" t="str">
        <f>IFERROR(INDEX(YAtCData[Pos],MATCH(YACTE70[[#This Row],[Name]],YAtCData[Player],0)),"")</f>
        <v>TE</v>
      </c>
      <c r="Q25" s="247">
        <f>IFERROR(INDEX(YAtCData[Rec],MATCH(YACTE70[[#This Row],[Name]],YAtCData[Player],0)),"")</f>
        <v>15</v>
      </c>
      <c r="R25" s="247">
        <f>IFERROR(INDEX(YAtCData[Yards],MATCH(YACTE70[[#This Row],[Name]],YAtCData[Player],0)),"")</f>
        <v>125</v>
      </c>
      <c r="S25" s="247">
        <f>IFERROR(INDEX(YAtCData[YAtC],MATCH(YACTE70[[#This Row],[Name]],YAtCData[Player],0)),"")</f>
        <v>69</v>
      </c>
      <c r="T25" s="247">
        <f>IFERROR(INDEX(YAtCData[YAtC/Rec],MATCH(YACTE70[[#This Row],[Name]],YAtCData[Player],0)),"")</f>
        <v>4.5999999999999996</v>
      </c>
      <c r="U25" s="247">
        <f>IFERROR(INDEX(YACDATA[YAC],MATCH(YACTE70[[#This Row],[Name]],YACDATA[Player],0)),"")</f>
        <v>56</v>
      </c>
      <c r="V25" s="499">
        <f>IFERROR(INDEX(YACDATA[YAC per Reception],MATCH(YACTE70[[#This Row],[Name]],YACDATA[Player],0)),"")</f>
        <v>3.7</v>
      </c>
      <c r="W25" s="9"/>
      <c r="X25" s="14">
        <v>15</v>
      </c>
      <c r="Y25" s="14" t="s">
        <v>842</v>
      </c>
      <c r="Z25" s="14">
        <v>324</v>
      </c>
      <c r="AA25" s="14">
        <v>108</v>
      </c>
      <c r="AB25" s="9"/>
    </row>
    <row r="26" spans="1:28" x14ac:dyDescent="0.3">
      <c r="A26" s="8">
        <v>14.776853695100604</v>
      </c>
      <c r="B26" s="14" t="s">
        <v>454</v>
      </c>
      <c r="C26" s="247" t="str">
        <f>IFERROR(INDEX(YAtCData[Team],MATCH(YACWR74[[#This Row],[Name]],YAtCData[Player],0)),"")</f>
        <v>NYG</v>
      </c>
      <c r="D26" s="247" t="str">
        <f>IFERROR(INDEX(YAtCData[Pos],MATCH(YACWR74[[#This Row],[Name]],YAtCData[Player],0)),"")</f>
        <v>WR</v>
      </c>
      <c r="E26" s="247">
        <f>IFERROR(INDEX(YAtCData[Rec],MATCH(YACWR74[[#This Row],[Name]],YAtCData[Player],0)),"")</f>
        <v>16</v>
      </c>
      <c r="F26" s="247">
        <f>IFERROR(INDEX(YAtCData[Yards],MATCH(YACWR74[[#This Row],[Name]],YAtCData[Player],0)),"")</f>
        <v>233</v>
      </c>
      <c r="G26" s="247">
        <f>IFERROR(INDEX(YAtCData[YAtC],MATCH(YACWR74[[#This Row],[Name]],YAtCData[Player],0)),"")</f>
        <v>173</v>
      </c>
      <c r="H26" s="247">
        <f>IFERROR(INDEX(YAtCData[YAtC/Rec],MATCH(YACWR74[[#This Row],[Name]],YAtCData[Player],0)),"")</f>
        <v>10.81</v>
      </c>
      <c r="I26" s="247">
        <f>IFERROR(INDEX(YACDATA[YAC],MATCH(YACWR74[[#This Row],[Name]],YACDATA[Player],0)),"")</f>
        <v>60</v>
      </c>
      <c r="J26" s="499">
        <f>IFERROR(INDEX(YACDATA[YAC per Reception],MATCH(YACWR74[[#This Row],[Name]],YACDATA[Player],0)),"")</f>
        <v>3.8</v>
      </c>
      <c r="K26" s="500"/>
      <c r="L26" s="104"/>
      <c r="M26" s="14">
        <v>16</v>
      </c>
      <c r="N26" s="488" t="s">
        <v>357</v>
      </c>
      <c r="O26" s="247" t="str">
        <f>IFERROR(INDEX(YAtCData[Team],MATCH(YACTE70[[#This Row],[Name]],YAtCData[Player],0)),"")</f>
        <v>IND</v>
      </c>
      <c r="P26" s="247" t="str">
        <f>IFERROR(INDEX(YAtCData[Pos],MATCH(YACTE70[[#This Row],[Name]],YAtCData[Player],0)),"")</f>
        <v>TE</v>
      </c>
      <c r="Q26" s="247">
        <f>IFERROR(INDEX(YAtCData[Rec],MATCH(YACTE70[[#This Row],[Name]],YAtCData[Player],0)),"")</f>
        <v>9</v>
      </c>
      <c r="R26" s="247">
        <f>IFERROR(INDEX(YAtCData[Yards],MATCH(YACTE70[[#This Row],[Name]],YAtCData[Player],0)),"")</f>
        <v>113</v>
      </c>
      <c r="S26" s="247">
        <f>IFERROR(INDEX(YAtCData[YAtC],MATCH(YACTE70[[#This Row],[Name]],YAtCData[Player],0)),"")</f>
        <v>84</v>
      </c>
      <c r="T26" s="247">
        <f>IFERROR(INDEX(YAtCData[YAtC/Rec],MATCH(YACTE70[[#This Row],[Name]],YAtCData[Player],0)),"")</f>
        <v>9.33</v>
      </c>
      <c r="U26" s="247">
        <f>IFERROR(INDEX(YACDATA[YAC],MATCH(YACTE70[[#This Row],[Name]],YACDATA[Player],0)),"")</f>
        <v>29</v>
      </c>
      <c r="V26" s="499">
        <f>IFERROR(INDEX(YACDATA[YAC per Reception],MATCH(YACTE70[[#This Row],[Name]],YACDATA[Player],0)),"")</f>
        <v>3.2</v>
      </c>
      <c r="W26" s="9"/>
      <c r="X26" s="14">
        <v>16</v>
      </c>
      <c r="Y26" s="14" t="s">
        <v>852</v>
      </c>
      <c r="Z26" s="14">
        <v>322</v>
      </c>
      <c r="AA26" s="14">
        <v>107.3</v>
      </c>
      <c r="AB26" s="9"/>
    </row>
    <row r="27" spans="1:28" x14ac:dyDescent="0.3">
      <c r="A27" s="8">
        <v>15.695310608107311</v>
      </c>
      <c r="B27" s="14" t="s">
        <v>241</v>
      </c>
      <c r="C27" s="247" t="str">
        <f>IFERROR(INDEX(YAtCData[Team],MATCH(YACWR74[[#This Row],[Name]],YAtCData[Player],0)),"")</f>
        <v>SD</v>
      </c>
      <c r="D27" s="247" t="str">
        <f>IFERROR(INDEX(YAtCData[Pos],MATCH(YACWR74[[#This Row],[Name]],YAtCData[Player],0)),"")</f>
        <v>WR</v>
      </c>
      <c r="E27" s="247">
        <f>IFERROR(INDEX(YAtCData[Rec],MATCH(YACWR74[[#This Row],[Name]],YAtCData[Player],0)),"")</f>
        <v>17</v>
      </c>
      <c r="F27" s="247">
        <f>IFERROR(INDEX(YAtCData[Yards],MATCH(YACWR74[[#This Row],[Name]],YAtCData[Player],0)),"")</f>
        <v>229</v>
      </c>
      <c r="G27" s="247">
        <f>IFERROR(INDEX(YAtCData[YAtC],MATCH(YACWR74[[#This Row],[Name]],YAtCData[Player],0)),"")</f>
        <v>158</v>
      </c>
      <c r="H27" s="247">
        <f>IFERROR(INDEX(YAtCData[YAtC/Rec],MATCH(YACWR74[[#This Row],[Name]],YAtCData[Player],0)),"")</f>
        <v>9.2899999999999991</v>
      </c>
      <c r="I27" s="247">
        <f>IFERROR(INDEX(YACDATA[YAC],MATCH(YACWR74[[#This Row],[Name]],YACDATA[Player],0)),"")</f>
        <v>71</v>
      </c>
      <c r="J27" s="499">
        <f>IFERROR(INDEX(YACDATA[YAC per Reception],MATCH(YACWR74[[#This Row],[Name]],YACDATA[Player],0)),"")</f>
        <v>4.2</v>
      </c>
      <c r="K27" s="500"/>
      <c r="L27" s="104"/>
      <c r="M27" s="14">
        <v>17</v>
      </c>
      <c r="N27" s="488" t="s">
        <v>322</v>
      </c>
      <c r="O27" s="247" t="str">
        <f>IFERROR(INDEX(YAtCData[Team],MATCH(YACTE70[[#This Row],[Name]],YAtCData[Player],0)),"")</f>
        <v>CLE</v>
      </c>
      <c r="P27" s="247" t="str">
        <f>IFERROR(INDEX(YAtCData[Pos],MATCH(YACTE70[[#This Row],[Name]],YAtCData[Player],0)),"")</f>
        <v>TE</v>
      </c>
      <c r="Q27" s="247">
        <f>IFERROR(INDEX(YAtCData[Rec],MATCH(YACTE70[[#This Row],[Name]],YAtCData[Player],0)),"")</f>
        <v>9</v>
      </c>
      <c r="R27" s="247">
        <f>IFERROR(INDEX(YAtCData[Yards],MATCH(YACTE70[[#This Row],[Name]],YAtCData[Player],0)),"")</f>
        <v>103</v>
      </c>
      <c r="S27" s="247">
        <f>IFERROR(INDEX(YAtCData[YAtC],MATCH(YACTE70[[#This Row],[Name]],YAtCData[Player],0)),"")</f>
        <v>65</v>
      </c>
      <c r="T27" s="247">
        <f>IFERROR(INDEX(YAtCData[YAtC/Rec],MATCH(YACTE70[[#This Row],[Name]],YAtCData[Player],0)),"")</f>
        <v>7.22</v>
      </c>
      <c r="U27" s="247">
        <f>IFERROR(INDEX(YACDATA[YAC],MATCH(YACTE70[[#This Row],[Name]],YACDATA[Player],0)),"")</f>
        <v>38</v>
      </c>
      <c r="V27" s="499">
        <f>IFERROR(INDEX(YACDATA[YAC per Reception],MATCH(YACTE70[[#This Row],[Name]],YACDATA[Player],0)),"")</f>
        <v>4.2</v>
      </c>
      <c r="W27" s="9"/>
      <c r="X27" s="14">
        <v>17</v>
      </c>
      <c r="Y27" s="14" t="s">
        <v>833</v>
      </c>
      <c r="Z27" s="14">
        <v>322</v>
      </c>
      <c r="AA27" s="14">
        <v>107.3</v>
      </c>
      <c r="AB27" s="9"/>
    </row>
    <row r="28" spans="1:28" x14ac:dyDescent="0.3">
      <c r="A28" s="8">
        <v>16.613767521114021</v>
      </c>
      <c r="B28" s="14" t="s">
        <v>227</v>
      </c>
      <c r="C28" s="247" t="str">
        <f>IFERROR(INDEX(YAtCData[Team],MATCH(YACWR74[[#This Row],[Name]],YAtCData[Player],0)),"")</f>
        <v>NO</v>
      </c>
      <c r="D28" s="247" t="str">
        <f>IFERROR(INDEX(YAtCData[Pos],MATCH(YACWR74[[#This Row],[Name]],YAtCData[Player],0)),"")</f>
        <v>WR</v>
      </c>
      <c r="E28" s="247">
        <f>IFERROR(INDEX(YAtCData[Rec],MATCH(YACWR74[[#This Row],[Name]],YAtCData[Player],0)),"")</f>
        <v>14</v>
      </c>
      <c r="F28" s="247">
        <f>IFERROR(INDEX(YAtCData[Yards],MATCH(YACWR74[[#This Row],[Name]],YAtCData[Player],0)),"")</f>
        <v>226</v>
      </c>
      <c r="G28" s="247">
        <f>IFERROR(INDEX(YAtCData[YAtC],MATCH(YACWR74[[#This Row],[Name]],YAtCData[Player],0)),"")</f>
        <v>152</v>
      </c>
      <c r="H28" s="247">
        <f>IFERROR(INDEX(YAtCData[YAtC/Rec],MATCH(YACWR74[[#This Row],[Name]],YAtCData[Player],0)),"")</f>
        <v>10.86</v>
      </c>
      <c r="I28" s="247">
        <f>IFERROR(INDEX(YACDATA[YAC],MATCH(YACWR74[[#This Row],[Name]],YACDATA[Player],0)),"")</f>
        <v>74</v>
      </c>
      <c r="J28" s="499">
        <f>IFERROR(INDEX(YACDATA[YAC per Reception],MATCH(YACWR74[[#This Row],[Name]],YACDATA[Player],0)),"")</f>
        <v>5.3</v>
      </c>
      <c r="K28" s="500"/>
      <c r="L28" s="104"/>
      <c r="M28" s="14">
        <v>18</v>
      </c>
      <c r="N28" s="488" t="s">
        <v>344</v>
      </c>
      <c r="O28" s="247" t="str">
        <f>IFERROR(INDEX(YAtCData[Team],MATCH(YACTE70[[#This Row],[Name]],YAtCData[Player],0)),"")</f>
        <v>OAK</v>
      </c>
      <c r="P28" s="247" t="str">
        <f>IFERROR(INDEX(YAtCData[Pos],MATCH(YACTE70[[#This Row],[Name]],YAtCData[Player],0)),"")</f>
        <v>TE</v>
      </c>
      <c r="Q28" s="247">
        <f>IFERROR(INDEX(YAtCData[Rec],MATCH(YACTE70[[#This Row],[Name]],YAtCData[Player],0)),"")</f>
        <v>11</v>
      </c>
      <c r="R28" s="247">
        <f>IFERROR(INDEX(YAtCData[Yards],MATCH(YACTE70[[#This Row],[Name]],YAtCData[Player],0)),"")</f>
        <v>102</v>
      </c>
      <c r="S28" s="247">
        <f>IFERROR(INDEX(YAtCData[YAtC],MATCH(YACTE70[[#This Row],[Name]],YAtCData[Player],0)),"")</f>
        <v>54</v>
      </c>
      <c r="T28" s="247">
        <f>IFERROR(INDEX(YAtCData[YAtC/Rec],MATCH(YACTE70[[#This Row],[Name]],YAtCData[Player],0)),"")</f>
        <v>4.91</v>
      </c>
      <c r="U28" s="247">
        <f>IFERROR(INDEX(YACDATA[YAC],MATCH(YACTE70[[#This Row],[Name]],YACDATA[Player],0)),"")</f>
        <v>48</v>
      </c>
      <c r="V28" s="499">
        <f>IFERROR(INDEX(YACDATA[YAC per Reception],MATCH(YACTE70[[#This Row],[Name]],YACDATA[Player],0)),"")</f>
        <v>4.4000000000000004</v>
      </c>
      <c r="W28" s="9"/>
      <c r="X28" s="14">
        <v>18</v>
      </c>
      <c r="Y28" s="14" t="s">
        <v>839</v>
      </c>
      <c r="Z28" s="14">
        <v>314</v>
      </c>
      <c r="AA28" s="14">
        <v>104.7</v>
      </c>
      <c r="AB28" s="9"/>
    </row>
    <row r="29" spans="1:28" x14ac:dyDescent="0.3">
      <c r="A29" s="8">
        <v>17.532224434120725</v>
      </c>
      <c r="B29" s="14" t="s">
        <v>206</v>
      </c>
      <c r="C29" s="247" t="str">
        <f>IFERROR(INDEX(YAtCData[Team],MATCH(YACWR74[[#This Row],[Name]],YAtCData[Player],0)),"")</f>
        <v>NO</v>
      </c>
      <c r="D29" s="247" t="str">
        <f>IFERROR(INDEX(YAtCData[Pos],MATCH(YACWR74[[#This Row],[Name]],YAtCData[Player],0)),"")</f>
        <v>WR</v>
      </c>
      <c r="E29" s="247">
        <f>IFERROR(INDEX(YAtCData[Rec],MATCH(YACWR74[[#This Row],[Name]],YAtCData[Player],0)),"")</f>
        <v>15</v>
      </c>
      <c r="F29" s="247">
        <f>IFERROR(INDEX(YAtCData[Yards],MATCH(YACWR74[[#This Row],[Name]],YAtCData[Player],0)),"")</f>
        <v>224</v>
      </c>
      <c r="G29" s="247">
        <f>IFERROR(INDEX(YAtCData[YAtC],MATCH(YACWR74[[#This Row],[Name]],YAtCData[Player],0)),"")</f>
        <v>125</v>
      </c>
      <c r="H29" s="247">
        <f>IFERROR(INDEX(YAtCData[YAtC/Rec],MATCH(YACWR74[[#This Row],[Name]],YAtCData[Player],0)),"")</f>
        <v>8.33</v>
      </c>
      <c r="I29" s="247">
        <f>IFERROR(INDEX(YACDATA[YAC],MATCH(YACWR74[[#This Row],[Name]],YACDATA[Player],0)),"")</f>
        <v>99</v>
      </c>
      <c r="J29" s="499">
        <f>IFERROR(INDEX(YACDATA[YAC per Reception],MATCH(YACWR74[[#This Row],[Name]],YACDATA[Player],0)),"")</f>
        <v>6.6</v>
      </c>
      <c r="K29" s="500"/>
      <c r="L29" s="104"/>
      <c r="M29" s="14">
        <v>19</v>
      </c>
      <c r="N29" s="488" t="s">
        <v>383</v>
      </c>
      <c r="O29" s="247" t="str">
        <f>IFERROR(INDEX(YAtCData[Team],MATCH(YACTE70[[#This Row],[Name]],YAtCData[Player],0)),"")</f>
        <v>CIN</v>
      </c>
      <c r="P29" s="247" t="str">
        <f>IFERROR(INDEX(YAtCData[Pos],MATCH(YACTE70[[#This Row],[Name]],YAtCData[Player],0)),"")</f>
        <v>TE</v>
      </c>
      <c r="Q29" s="247">
        <f>IFERROR(INDEX(YAtCData[Rec],MATCH(YACTE70[[#This Row],[Name]],YAtCData[Player],0)),"")</f>
        <v>7</v>
      </c>
      <c r="R29" s="247">
        <f>IFERROR(INDEX(YAtCData[Yards],MATCH(YACTE70[[#This Row],[Name]],YAtCData[Player],0)),"")</f>
        <v>99</v>
      </c>
      <c r="S29" s="247">
        <f>IFERROR(INDEX(YAtCData[YAtC],MATCH(YACTE70[[#This Row],[Name]],YAtCData[Player],0)),"")</f>
        <v>56</v>
      </c>
      <c r="T29" s="247">
        <f>IFERROR(INDEX(YAtCData[YAtC/Rec],MATCH(YACTE70[[#This Row],[Name]],YAtCData[Player],0)),"")</f>
        <v>8</v>
      </c>
      <c r="U29" s="247">
        <f>IFERROR(INDEX(YACDATA[YAC],MATCH(YACTE70[[#This Row],[Name]],YACDATA[Player],0)),"")</f>
        <v>43</v>
      </c>
      <c r="V29" s="499">
        <f>IFERROR(INDEX(YACDATA[YAC per Reception],MATCH(YACTE70[[#This Row],[Name]],YACDATA[Player],0)),"")</f>
        <v>6.1</v>
      </c>
      <c r="W29" s="9"/>
      <c r="X29" s="14">
        <v>19</v>
      </c>
      <c r="Y29" s="14" t="s">
        <v>836</v>
      </c>
      <c r="Z29" s="14">
        <v>308</v>
      </c>
      <c r="AA29" s="14">
        <v>102.7</v>
      </c>
      <c r="AB29" s="9"/>
    </row>
    <row r="30" spans="1:28" x14ac:dyDescent="0.3">
      <c r="A30" s="8">
        <v>18.450681347127432</v>
      </c>
      <c r="B30" s="14" t="s">
        <v>189</v>
      </c>
      <c r="C30" s="247" t="str">
        <f>IFERROR(INDEX(YAtCData[Team],MATCH(YACWR74[[#This Row],[Name]],YAtCData[Player],0)),"")</f>
        <v>HOU</v>
      </c>
      <c r="D30" s="247" t="str">
        <f>IFERROR(INDEX(YAtCData[Pos],MATCH(YACWR74[[#This Row],[Name]],YAtCData[Player],0)),"")</f>
        <v>WR</v>
      </c>
      <c r="E30" s="247">
        <f>IFERROR(INDEX(YAtCData[Rec],MATCH(YACWR74[[#This Row],[Name]],YAtCData[Player],0)),"")</f>
        <v>16</v>
      </c>
      <c r="F30" s="247">
        <f>IFERROR(INDEX(YAtCData[Yards],MATCH(YACWR74[[#This Row],[Name]],YAtCData[Player],0)),"")</f>
        <v>223</v>
      </c>
      <c r="G30" s="247">
        <f>IFERROR(INDEX(YAtCData[YAtC],MATCH(YACWR74[[#This Row],[Name]],YAtCData[Player],0)),"")</f>
        <v>200</v>
      </c>
      <c r="H30" s="247">
        <f>IFERROR(INDEX(YAtCData[YAtC/Rec],MATCH(YACWR74[[#This Row],[Name]],YAtCData[Player],0)),"")</f>
        <v>12.5</v>
      </c>
      <c r="I30" s="247">
        <f>IFERROR(INDEX(YACDATA[YAC],MATCH(YACWR74[[#This Row],[Name]],YACDATA[Player],0)),"")</f>
        <v>23</v>
      </c>
      <c r="J30" s="499">
        <f>IFERROR(INDEX(YACDATA[YAC per Reception],MATCH(YACWR74[[#This Row],[Name]],YACDATA[Player],0)),"")</f>
        <v>1.4</v>
      </c>
      <c r="K30" s="500"/>
      <c r="L30" s="104"/>
      <c r="M30" s="14">
        <v>20</v>
      </c>
      <c r="N30" s="488" t="s">
        <v>558</v>
      </c>
      <c r="O30" s="247" t="str">
        <f>IFERROR(INDEX(YAtCData[Team],MATCH(YACTE70[[#This Row],[Name]],YAtCData[Player],0)),"")</f>
        <v>ATL</v>
      </c>
      <c r="P30" s="247" t="str">
        <f>IFERROR(INDEX(YAtCData[Pos],MATCH(YACTE70[[#This Row],[Name]],YAtCData[Player],0)),"")</f>
        <v>TE</v>
      </c>
      <c r="Q30" s="247">
        <f>IFERROR(INDEX(YAtCData[Rec],MATCH(YACTE70[[#This Row],[Name]],YAtCData[Player],0)),"")</f>
        <v>4</v>
      </c>
      <c r="R30" s="247">
        <f>IFERROR(INDEX(YAtCData[Yards],MATCH(YACTE70[[#This Row],[Name]],YAtCData[Player],0)),"")</f>
        <v>98</v>
      </c>
      <c r="S30" s="247">
        <f>IFERROR(INDEX(YAtCData[YAtC],MATCH(YACTE70[[#This Row],[Name]],YAtCData[Player],0)),"")</f>
        <v>70</v>
      </c>
      <c r="T30" s="247">
        <f>IFERROR(INDEX(YAtCData[YAtC/Rec],MATCH(YACTE70[[#This Row],[Name]],YAtCData[Player],0)),"")</f>
        <v>17.5</v>
      </c>
      <c r="U30" s="247">
        <f>IFERROR(INDEX(YACDATA[YAC],MATCH(YACTE70[[#This Row],[Name]],YACDATA[Player],0)),"")</f>
        <v>28</v>
      </c>
      <c r="V30" s="499">
        <f>IFERROR(INDEX(YACDATA[YAC per Reception],MATCH(YACTE70[[#This Row],[Name]],YACDATA[Player],0)),"")</f>
        <v>7</v>
      </c>
      <c r="W30" s="9"/>
      <c r="X30" s="14">
        <v>20</v>
      </c>
      <c r="Y30" s="14" t="s">
        <v>844</v>
      </c>
      <c r="Z30" s="14">
        <v>304</v>
      </c>
      <c r="AA30" s="14">
        <v>101.3</v>
      </c>
      <c r="AB30" s="9"/>
    </row>
    <row r="31" spans="1:28" x14ac:dyDescent="0.3">
      <c r="A31" s="8">
        <v>19.36913826013414</v>
      </c>
      <c r="B31" s="14" t="s">
        <v>204</v>
      </c>
      <c r="C31" s="247" t="str">
        <f>IFERROR(INDEX(YAtCData[Team],MATCH(YACWR74[[#This Row],[Name]],YAtCData[Player],0)),"")</f>
        <v>OAK</v>
      </c>
      <c r="D31" s="247" t="str">
        <f>IFERROR(INDEX(YAtCData[Pos],MATCH(YACWR74[[#This Row],[Name]],YAtCData[Player],0)),"")</f>
        <v>WR</v>
      </c>
      <c r="E31" s="247">
        <f>IFERROR(INDEX(YAtCData[Rec],MATCH(YACWR74[[#This Row],[Name]],YAtCData[Player],0)),"")</f>
        <v>19</v>
      </c>
      <c r="F31" s="247">
        <f>IFERROR(INDEX(YAtCData[Yards],MATCH(YACWR74[[#This Row],[Name]],YAtCData[Player],0)),"")</f>
        <v>220</v>
      </c>
      <c r="G31" s="247">
        <f>IFERROR(INDEX(YAtCData[YAtC],MATCH(YACWR74[[#This Row],[Name]],YAtCData[Player],0)),"")</f>
        <v>157</v>
      </c>
      <c r="H31" s="247">
        <f>IFERROR(INDEX(YAtCData[YAtC/Rec],MATCH(YACWR74[[#This Row],[Name]],YAtCData[Player],0)),"")</f>
        <v>8.26</v>
      </c>
      <c r="I31" s="247">
        <f>IFERROR(INDEX(YACDATA[YAC],MATCH(YACWR74[[#This Row],[Name]],YACDATA[Player],0)),"")</f>
        <v>63</v>
      </c>
      <c r="J31" s="499">
        <f>IFERROR(INDEX(YACDATA[YAC per Reception],MATCH(YACWR74[[#This Row],[Name]],YACDATA[Player],0)),"")</f>
        <v>3.3</v>
      </c>
      <c r="K31" s="500"/>
      <c r="L31" s="104"/>
      <c r="M31" s="14">
        <v>21</v>
      </c>
      <c r="N31" s="488" t="s">
        <v>559</v>
      </c>
      <c r="O31" s="247" t="str">
        <f>IFERROR(INDEX(YAtCData[Team],MATCH(YACTE70[[#This Row],[Name]],YAtCData[Player],0)),"")</f>
        <v>SD</v>
      </c>
      <c r="P31" s="247" t="str">
        <f>IFERROR(INDEX(YAtCData[Pos],MATCH(YACTE70[[#This Row],[Name]],YAtCData[Player],0)),"")</f>
        <v>TE</v>
      </c>
      <c r="Q31" s="247">
        <f>IFERROR(INDEX(YAtCData[Rec],MATCH(YACTE70[[#This Row],[Name]],YAtCData[Player],0)),"")</f>
        <v>6</v>
      </c>
      <c r="R31" s="247">
        <f>IFERROR(INDEX(YAtCData[Yards],MATCH(YACTE70[[#This Row],[Name]],YAtCData[Player],0)),"")</f>
        <v>96</v>
      </c>
      <c r="S31" s="247">
        <f>IFERROR(INDEX(YAtCData[YAtC],MATCH(YACTE70[[#This Row],[Name]],YAtCData[Player],0)),"")</f>
        <v>49</v>
      </c>
      <c r="T31" s="247">
        <f>IFERROR(INDEX(YAtCData[YAtC/Rec],MATCH(YACTE70[[#This Row],[Name]],YAtCData[Player],0)),"")</f>
        <v>8.17</v>
      </c>
      <c r="U31" s="247">
        <f>IFERROR(INDEX(YACDATA[YAC],MATCH(YACTE70[[#This Row],[Name]],YACDATA[Player],0)),"")</f>
        <v>47</v>
      </c>
      <c r="V31" s="499">
        <f>IFERROR(INDEX(YACDATA[YAC per Reception],MATCH(YACTE70[[#This Row],[Name]],YACDATA[Player],0)),"")</f>
        <v>7.8</v>
      </c>
      <c r="W31" s="9"/>
      <c r="X31" s="14">
        <v>21</v>
      </c>
      <c r="Y31" s="14" t="s">
        <v>827</v>
      </c>
      <c r="Z31" s="14">
        <v>304</v>
      </c>
      <c r="AA31" s="14">
        <v>101.3</v>
      </c>
      <c r="AB31" s="9"/>
    </row>
    <row r="32" spans="1:28" x14ac:dyDescent="0.3">
      <c r="A32" s="8">
        <v>20.287595173140847</v>
      </c>
      <c r="B32" s="14" t="s">
        <v>193</v>
      </c>
      <c r="C32" s="247" t="str">
        <f>IFERROR(INDEX(YAtCData[Team],MATCH(YACWR74[[#This Row],[Name]],YAtCData[Player],0)),"")</f>
        <v>ARI</v>
      </c>
      <c r="D32" s="247" t="str">
        <f>IFERROR(INDEX(YAtCData[Pos],MATCH(YACWR74[[#This Row],[Name]],YAtCData[Player],0)),"")</f>
        <v>WR</v>
      </c>
      <c r="E32" s="247">
        <f>IFERROR(INDEX(YAtCData[Rec],MATCH(YACWR74[[#This Row],[Name]],YAtCData[Player],0)),"")</f>
        <v>20</v>
      </c>
      <c r="F32" s="247">
        <f>IFERROR(INDEX(YAtCData[Yards],MATCH(YACWR74[[#This Row],[Name]],YAtCData[Player],0)),"")</f>
        <v>218</v>
      </c>
      <c r="G32" s="247">
        <f>IFERROR(INDEX(YAtCData[YAtC],MATCH(YACWR74[[#This Row],[Name]],YAtCData[Player],0)),"")</f>
        <v>169</v>
      </c>
      <c r="H32" s="247">
        <f>IFERROR(INDEX(YAtCData[YAtC/Rec],MATCH(YACWR74[[#This Row],[Name]],YAtCData[Player],0)),"")</f>
        <v>8.4499999999999993</v>
      </c>
      <c r="I32" s="247">
        <f>IFERROR(INDEX(YACDATA[YAC],MATCH(YACWR74[[#This Row],[Name]],YACDATA[Player],0)),"")</f>
        <v>49</v>
      </c>
      <c r="J32" s="499">
        <f>IFERROR(INDEX(YACDATA[YAC per Reception],MATCH(YACWR74[[#This Row],[Name]],YACDATA[Player],0)),"")</f>
        <v>2.5</v>
      </c>
      <c r="K32" s="500"/>
      <c r="L32" s="104"/>
      <c r="M32" s="14">
        <v>22</v>
      </c>
      <c r="N32" s="488" t="s">
        <v>338</v>
      </c>
      <c r="O32" s="247" t="str">
        <f>IFERROR(INDEX(YAtCData[Team],MATCH(YACTE70[[#This Row],[Name]],YAtCData[Player],0)),"")</f>
        <v>SF</v>
      </c>
      <c r="P32" s="247" t="str">
        <f>IFERROR(INDEX(YAtCData[Pos],MATCH(YACTE70[[#This Row],[Name]],YAtCData[Player],0)),"")</f>
        <v>TE</v>
      </c>
      <c r="Q32" s="247">
        <f>IFERROR(INDEX(YAtCData[Rec],MATCH(YACTE70[[#This Row],[Name]],YAtCData[Player],0)),"")</f>
        <v>5</v>
      </c>
      <c r="R32" s="247">
        <f>IFERROR(INDEX(YAtCData[Yards],MATCH(YACTE70[[#This Row],[Name]],YAtCData[Player],0)),"")</f>
        <v>93</v>
      </c>
      <c r="S32" s="247">
        <f>IFERROR(INDEX(YAtCData[YAtC],MATCH(YACTE70[[#This Row],[Name]],YAtCData[Player],0)),"")</f>
        <v>28</v>
      </c>
      <c r="T32" s="247">
        <f>IFERROR(INDEX(YAtCData[YAtC/Rec],MATCH(YACTE70[[#This Row],[Name]],YAtCData[Player],0)),"")</f>
        <v>5.6</v>
      </c>
      <c r="U32" s="247">
        <f>IFERROR(INDEX(YACDATA[YAC],MATCH(YACTE70[[#This Row],[Name]],YACDATA[Player],0)),"")</f>
        <v>65</v>
      </c>
      <c r="V32" s="499">
        <f>IFERROR(INDEX(YACDATA[YAC per Reception],MATCH(YACTE70[[#This Row],[Name]],YACDATA[Player],0)),"")</f>
        <v>13</v>
      </c>
      <c r="W32" s="9"/>
      <c r="X32" s="14">
        <v>22</v>
      </c>
      <c r="Y32" s="14" t="s">
        <v>848</v>
      </c>
      <c r="Z32" s="14">
        <v>300</v>
      </c>
      <c r="AA32" s="14">
        <v>100</v>
      </c>
      <c r="AB32" s="9"/>
    </row>
    <row r="33" spans="1:28" x14ac:dyDescent="0.3">
      <c r="A33" s="8">
        <v>21.206052086147555</v>
      </c>
      <c r="B33" s="14" t="s">
        <v>240</v>
      </c>
      <c r="C33" s="247" t="str">
        <f>IFERROR(INDEX(YAtCData[Team],MATCH(YACWR74[[#This Row],[Name]],YAtCData[Player],0)),"")</f>
        <v>DAL</v>
      </c>
      <c r="D33" s="247" t="str">
        <f>IFERROR(INDEX(YAtCData[Pos],MATCH(YACWR74[[#This Row],[Name]],YAtCData[Player],0)),"")</f>
        <v>WR</v>
      </c>
      <c r="E33" s="247">
        <f>IFERROR(INDEX(YAtCData[Rec],MATCH(YACWR74[[#This Row],[Name]],YAtCData[Player],0)),"")</f>
        <v>20</v>
      </c>
      <c r="F33" s="247">
        <f>IFERROR(INDEX(YAtCData[Yards],MATCH(YACWR74[[#This Row],[Name]],YAtCData[Player],0)),"")</f>
        <v>213</v>
      </c>
      <c r="G33" s="247">
        <f>IFERROR(INDEX(YAtCData[YAtC],MATCH(YACWR74[[#This Row],[Name]],YAtCData[Player],0)),"")</f>
        <v>135</v>
      </c>
      <c r="H33" s="247">
        <f>IFERROR(INDEX(YAtCData[YAtC/Rec],MATCH(YACWR74[[#This Row],[Name]],YAtCData[Player],0)),"")</f>
        <v>6.75</v>
      </c>
      <c r="I33" s="247">
        <f>IFERROR(INDEX(YACDATA[YAC],MATCH(YACWR74[[#This Row],[Name]],YACDATA[Player],0)),"")</f>
        <v>78</v>
      </c>
      <c r="J33" s="499">
        <f>IFERROR(INDEX(YACDATA[YAC per Reception],MATCH(YACWR74[[#This Row],[Name]],YACDATA[Player],0)),"")</f>
        <v>3.9</v>
      </c>
      <c r="K33" s="500"/>
      <c r="L33" s="104"/>
      <c r="M33" s="14">
        <v>23</v>
      </c>
      <c r="N33" s="488" t="s">
        <v>340</v>
      </c>
      <c r="O33" s="247" t="str">
        <f>IFERROR(INDEX(YAtCData[Team],MATCH(YACTE70[[#This Row],[Name]],YAtCData[Player],0)),"")</f>
        <v>TB</v>
      </c>
      <c r="P33" s="247" t="str">
        <f>IFERROR(INDEX(YAtCData[Pos],MATCH(YACTE70[[#This Row],[Name]],YAtCData[Player],0)),"")</f>
        <v>TE</v>
      </c>
      <c r="Q33" s="247">
        <f>IFERROR(INDEX(YAtCData[Rec],MATCH(YACTE70[[#This Row],[Name]],YAtCData[Player],0)),"")</f>
        <v>11</v>
      </c>
      <c r="R33" s="247">
        <f>IFERROR(INDEX(YAtCData[Yards],MATCH(YACTE70[[#This Row],[Name]],YAtCData[Player],0)),"")</f>
        <v>92</v>
      </c>
      <c r="S33" s="247">
        <f>IFERROR(INDEX(YAtCData[YAtC],MATCH(YACTE70[[#This Row],[Name]],YAtCData[Player],0)),"")</f>
        <v>65</v>
      </c>
      <c r="T33" s="247">
        <f>IFERROR(INDEX(YAtCData[YAtC/Rec],MATCH(YACTE70[[#This Row],[Name]],YAtCData[Player],0)),"")</f>
        <v>5.91</v>
      </c>
      <c r="U33" s="247">
        <f>IFERROR(INDEX(YACDATA[YAC],MATCH(YACTE70[[#This Row],[Name]],YACDATA[Player],0)),"")</f>
        <v>27</v>
      </c>
      <c r="V33" s="499">
        <f>IFERROR(INDEX(YACDATA[YAC per Reception],MATCH(YACTE70[[#This Row],[Name]],YACDATA[Player],0)),"")</f>
        <v>2.5</v>
      </c>
      <c r="W33" s="9"/>
      <c r="X33" s="14">
        <v>23</v>
      </c>
      <c r="Y33" s="14" t="s">
        <v>828</v>
      </c>
      <c r="Z33" s="14">
        <v>298</v>
      </c>
      <c r="AA33" s="14">
        <v>99.3</v>
      </c>
      <c r="AB33" s="9"/>
    </row>
    <row r="34" spans="1:28" x14ac:dyDescent="0.3">
      <c r="A34" s="8">
        <v>22.124508999154259</v>
      </c>
      <c r="B34" s="14" t="s">
        <v>427</v>
      </c>
      <c r="C34" s="247" t="str">
        <f>IFERROR(INDEX(YAtCData[Team],MATCH(YACWR74[[#This Row],[Name]],YAtCData[Player],0)),"")</f>
        <v>GB</v>
      </c>
      <c r="D34" s="247" t="str">
        <f>IFERROR(INDEX(YAtCData[Pos],MATCH(YACWR74[[#This Row],[Name]],YAtCData[Player],0)),"")</f>
        <v>WR</v>
      </c>
      <c r="E34" s="247">
        <f>IFERROR(INDEX(YAtCData[Rec],MATCH(YACWR74[[#This Row],[Name]],YAtCData[Player],0)),"")</f>
        <v>17</v>
      </c>
      <c r="F34" s="247">
        <f>IFERROR(INDEX(YAtCData[Yards],MATCH(YACWR74[[#This Row],[Name]],YAtCData[Player],0)),"")</f>
        <v>206</v>
      </c>
      <c r="G34" s="247">
        <f>IFERROR(INDEX(YAtCData[YAtC],MATCH(YACWR74[[#This Row],[Name]],YAtCData[Player],0)),"")</f>
        <v>134</v>
      </c>
      <c r="H34" s="247">
        <f>IFERROR(INDEX(YAtCData[YAtC/Rec],MATCH(YACWR74[[#This Row],[Name]],YAtCData[Player],0)),"")</f>
        <v>7.88</v>
      </c>
      <c r="I34" s="247">
        <f>IFERROR(INDEX(YACDATA[YAC],MATCH(YACWR74[[#This Row],[Name]],YACDATA[Player],0)),"")</f>
        <v>72</v>
      </c>
      <c r="J34" s="499">
        <f>IFERROR(INDEX(YACDATA[YAC per Reception],MATCH(YACWR74[[#This Row],[Name]],YACDATA[Player],0)),"")</f>
        <v>4.2</v>
      </c>
      <c r="K34" s="500"/>
      <c r="L34" s="104"/>
      <c r="M34" s="14">
        <v>24</v>
      </c>
      <c r="N34" s="488" t="s">
        <v>361</v>
      </c>
      <c r="O34" s="247" t="str">
        <f>IFERROR(INDEX(YAtCData[Team],MATCH(YACTE70[[#This Row],[Name]],YAtCData[Player],0)),"")</f>
        <v>JAX</v>
      </c>
      <c r="P34" s="247" t="str">
        <f>IFERROR(INDEX(YAtCData[Pos],MATCH(YACTE70[[#This Row],[Name]],YAtCData[Player],0)),"")</f>
        <v>TE</v>
      </c>
      <c r="Q34" s="247">
        <f>IFERROR(INDEX(YAtCData[Rec],MATCH(YACTE70[[#This Row],[Name]],YAtCData[Player],0)),"")</f>
        <v>7</v>
      </c>
      <c r="R34" s="247">
        <f>IFERROR(INDEX(YAtCData[Yards],MATCH(YACTE70[[#This Row],[Name]],YAtCData[Player],0)),"")</f>
        <v>85</v>
      </c>
      <c r="S34" s="247">
        <f>IFERROR(INDEX(YAtCData[YAtC],MATCH(YACTE70[[#This Row],[Name]],YAtCData[Player],0)),"")</f>
        <v>15</v>
      </c>
      <c r="T34" s="247">
        <f>IFERROR(INDEX(YAtCData[YAtC/Rec],MATCH(YACTE70[[#This Row],[Name]],YAtCData[Player],0)),"")</f>
        <v>2.14</v>
      </c>
      <c r="U34" s="247">
        <f>IFERROR(INDEX(YACDATA[YAC],MATCH(YACTE70[[#This Row],[Name]],YACDATA[Player],0)),"")</f>
        <v>70</v>
      </c>
      <c r="V34" s="499">
        <f>IFERROR(INDEX(YACDATA[YAC per Reception],MATCH(YACTE70[[#This Row],[Name]],YACDATA[Player],0)),"")</f>
        <v>10</v>
      </c>
      <c r="W34" s="9"/>
      <c r="X34" s="14">
        <v>24</v>
      </c>
      <c r="Y34" s="14" t="s">
        <v>830</v>
      </c>
      <c r="Z34" s="14">
        <v>285</v>
      </c>
      <c r="AA34" s="14">
        <v>95</v>
      </c>
      <c r="AB34" s="9"/>
    </row>
    <row r="35" spans="1:28" x14ac:dyDescent="0.3">
      <c r="A35" s="8">
        <v>23.042965912160966</v>
      </c>
      <c r="B35" s="14" t="s">
        <v>203</v>
      </c>
      <c r="C35" s="247" t="str">
        <f>IFERROR(INDEX(YAtCData[Team],MATCH(YACWR74[[#This Row],[Name]],YAtCData[Player],0)),"")</f>
        <v>DEN</v>
      </c>
      <c r="D35" s="247" t="str">
        <f>IFERROR(INDEX(YAtCData[Pos],MATCH(YACWR74[[#This Row],[Name]],YAtCData[Player],0)),"")</f>
        <v>WR</v>
      </c>
      <c r="E35" s="247">
        <f>IFERROR(INDEX(YAtCData[Rec],MATCH(YACWR74[[#This Row],[Name]],YAtCData[Player],0)),"")</f>
        <v>17</v>
      </c>
      <c r="F35" s="247">
        <f>IFERROR(INDEX(YAtCData[Yards],MATCH(YACWR74[[#This Row],[Name]],YAtCData[Player],0)),"")</f>
        <v>205</v>
      </c>
      <c r="G35" s="247">
        <f>IFERROR(INDEX(YAtCData[YAtC],MATCH(YACWR74[[#This Row],[Name]],YAtCData[Player],0)),"")</f>
        <v>147</v>
      </c>
      <c r="H35" s="247">
        <f>IFERROR(INDEX(YAtCData[YAtC/Rec],MATCH(YACWR74[[#This Row],[Name]],YAtCData[Player],0)),"")</f>
        <v>8.65</v>
      </c>
      <c r="I35" s="247">
        <f>IFERROR(INDEX(YACDATA[YAC],MATCH(YACWR74[[#This Row],[Name]],YACDATA[Player],0)),"")</f>
        <v>58</v>
      </c>
      <c r="J35" s="499">
        <f>IFERROR(INDEX(YACDATA[YAC per Reception],MATCH(YACWR74[[#This Row],[Name]],YACDATA[Player],0)),"")</f>
        <v>3.4</v>
      </c>
      <c r="K35" s="500"/>
      <c r="L35" s="104"/>
      <c r="M35" s="14">
        <v>25</v>
      </c>
      <c r="N35" s="488" t="s">
        <v>263</v>
      </c>
      <c r="O35" s="247" t="str">
        <f>IFERROR(INDEX(YAtCData[Team],MATCH(YACTE70[[#This Row],[Name]],YAtCData[Player],0)),"")</f>
        <v>LA</v>
      </c>
      <c r="P35" s="247" t="str">
        <f>IFERROR(INDEX(YAtCData[Pos],MATCH(YACTE70[[#This Row],[Name]],YAtCData[Player],0)),"")</f>
        <v>TE</v>
      </c>
      <c r="Q35" s="247">
        <f>IFERROR(INDEX(YAtCData[Rec],MATCH(YACTE70[[#This Row],[Name]],YAtCData[Player],0)),"")</f>
        <v>6</v>
      </c>
      <c r="R35" s="247">
        <f>IFERROR(INDEX(YAtCData[Yards],MATCH(YACTE70[[#This Row],[Name]],YAtCData[Player],0)),"")</f>
        <v>76</v>
      </c>
      <c r="S35" s="247">
        <f>IFERROR(INDEX(YAtCData[YAtC],MATCH(YACTE70[[#This Row],[Name]],YAtCData[Player],0)),"")</f>
        <v>48</v>
      </c>
      <c r="T35" s="247">
        <f>IFERROR(INDEX(YAtCData[YAtC/Rec],MATCH(YACTE70[[#This Row],[Name]],YAtCData[Player],0)),"")</f>
        <v>8</v>
      </c>
      <c r="U35" s="247">
        <f>IFERROR(INDEX(YACDATA[YAC],MATCH(YACTE70[[#This Row],[Name]],YACDATA[Player],0)),"")</f>
        <v>28</v>
      </c>
      <c r="V35" s="499">
        <f>IFERROR(INDEX(YACDATA[YAC per Reception],MATCH(YACTE70[[#This Row],[Name]],YACDATA[Player],0)),"")</f>
        <v>4.7</v>
      </c>
      <c r="W35" s="9"/>
      <c r="X35" s="14">
        <v>25</v>
      </c>
      <c r="Y35" s="14" t="s">
        <v>854</v>
      </c>
      <c r="Z35" s="14">
        <v>283</v>
      </c>
      <c r="AA35" s="14">
        <v>94.3</v>
      </c>
      <c r="AB35" s="9"/>
    </row>
    <row r="36" spans="1:28" x14ac:dyDescent="0.3">
      <c r="A36" s="8">
        <v>23.961422825167674</v>
      </c>
      <c r="B36" s="14" t="s">
        <v>211</v>
      </c>
      <c r="C36" s="247" t="str">
        <f>IFERROR(INDEX(YAtCData[Team],MATCH(YACWR74[[#This Row],[Name]],YAtCData[Player],0)),"")</f>
        <v>PHI</v>
      </c>
      <c r="D36" s="247" t="str">
        <f>IFERROR(INDEX(YAtCData[Pos],MATCH(YACWR74[[#This Row],[Name]],YAtCData[Player],0)),"")</f>
        <v>WR</v>
      </c>
      <c r="E36" s="247">
        <f>IFERROR(INDEX(YAtCData[Rec],MATCH(YACWR74[[#This Row],[Name]],YAtCData[Player],0)),"")</f>
        <v>15</v>
      </c>
      <c r="F36" s="247">
        <f>IFERROR(INDEX(YAtCData[Yards],MATCH(YACWR74[[#This Row],[Name]],YAtCData[Player],0)),"")</f>
        <v>204</v>
      </c>
      <c r="G36" s="247">
        <f>IFERROR(INDEX(YAtCData[YAtC],MATCH(YACWR74[[#This Row],[Name]],YAtCData[Player],0)),"")</f>
        <v>140</v>
      </c>
      <c r="H36" s="247">
        <f>IFERROR(INDEX(YAtCData[YAtC/Rec],MATCH(YACWR74[[#This Row],[Name]],YAtCData[Player],0)),"")</f>
        <v>9.33</v>
      </c>
      <c r="I36" s="247">
        <f>IFERROR(INDEX(YACDATA[YAC],MATCH(YACWR74[[#This Row],[Name]],YACDATA[Player],0)),"")</f>
        <v>64</v>
      </c>
      <c r="J36" s="499">
        <f>IFERROR(INDEX(YACDATA[YAC per Reception],MATCH(YACWR74[[#This Row],[Name]],YACDATA[Player],0)),"")</f>
        <v>4.3</v>
      </c>
      <c r="K36" s="500"/>
      <c r="L36" s="104"/>
      <c r="M36" s="14">
        <v>26</v>
      </c>
      <c r="N36" s="488" t="s">
        <v>337</v>
      </c>
      <c r="O36" s="247" t="str">
        <f>IFERROR(INDEX(YAtCData[Team],MATCH(YACTE70[[#This Row],[Name]],YAtCData[Player],0)),"")</f>
        <v>HOU</v>
      </c>
      <c r="P36" s="247" t="str">
        <f>IFERROR(INDEX(YAtCData[Pos],MATCH(YACTE70[[#This Row],[Name]],YAtCData[Player],0)),"")</f>
        <v>TE</v>
      </c>
      <c r="Q36" s="247">
        <f>IFERROR(INDEX(YAtCData[Rec],MATCH(YACTE70[[#This Row],[Name]],YAtCData[Player],0)),"")</f>
        <v>11</v>
      </c>
      <c r="R36" s="247">
        <f>IFERROR(INDEX(YAtCData[Yards],MATCH(YACTE70[[#This Row],[Name]],YAtCData[Player],0)),"")</f>
        <v>74</v>
      </c>
      <c r="S36" s="247">
        <f>IFERROR(INDEX(YAtCData[YAtC],MATCH(YACTE70[[#This Row],[Name]],YAtCData[Player],0)),"")</f>
        <v>46</v>
      </c>
      <c r="T36" s="247">
        <f>IFERROR(INDEX(YAtCData[YAtC/Rec],MATCH(YACTE70[[#This Row],[Name]],YAtCData[Player],0)),"")</f>
        <v>4.18</v>
      </c>
      <c r="U36" s="247">
        <f>IFERROR(INDEX(YACDATA[YAC],MATCH(YACTE70[[#This Row],[Name]],YACDATA[Player],0)),"")</f>
        <v>28</v>
      </c>
      <c r="V36" s="499">
        <f>IFERROR(INDEX(YACDATA[YAC per Reception],MATCH(YACTE70[[#This Row],[Name]],YACDATA[Player],0)),"")</f>
        <v>2.5</v>
      </c>
      <c r="W36" s="9"/>
      <c r="X36" s="14">
        <v>26</v>
      </c>
      <c r="Y36" s="14" t="s">
        <v>831</v>
      </c>
      <c r="Z36" s="14">
        <v>270</v>
      </c>
      <c r="AA36" s="14">
        <v>90</v>
      </c>
      <c r="AB36" s="9"/>
    </row>
    <row r="37" spans="1:28" x14ac:dyDescent="0.3">
      <c r="A37" s="8">
        <v>24.879879738174381</v>
      </c>
      <c r="B37" s="14" t="s">
        <v>315</v>
      </c>
      <c r="C37" s="247" t="str">
        <f>IFERROR(INDEX(YAtCData[Team],MATCH(YACWR74[[#This Row],[Name]],YAtCData[Player],0)),"")</f>
        <v>PIT</v>
      </c>
      <c r="D37" s="247" t="str">
        <f>IFERROR(INDEX(YAtCData[Pos],MATCH(YACWR74[[#This Row],[Name]],YAtCData[Player],0)),"")</f>
        <v>WR</v>
      </c>
      <c r="E37" s="247">
        <f>IFERROR(INDEX(YAtCData[Rec],MATCH(YACWR74[[#This Row],[Name]],YAtCData[Player],0)),"")</f>
        <v>7</v>
      </c>
      <c r="F37" s="247">
        <f>IFERROR(INDEX(YAtCData[Yards],MATCH(YACWR74[[#This Row],[Name]],YAtCData[Player],0)),"")</f>
        <v>203</v>
      </c>
      <c r="G37" s="247">
        <f>IFERROR(INDEX(YAtCData[YAtC],MATCH(YACWR74[[#This Row],[Name]],YAtCData[Player],0)),"")</f>
        <v>160</v>
      </c>
      <c r="H37" s="247">
        <f>IFERROR(INDEX(YAtCData[YAtC/Rec],MATCH(YACWR74[[#This Row],[Name]],YAtCData[Player],0)),"")</f>
        <v>22.86</v>
      </c>
      <c r="I37" s="247">
        <f>IFERROR(INDEX(YACDATA[YAC],MATCH(YACWR74[[#This Row],[Name]],YACDATA[Player],0)),"")</f>
        <v>43</v>
      </c>
      <c r="J37" s="499">
        <f>IFERROR(INDEX(YACDATA[YAC per Reception],MATCH(YACWR74[[#This Row],[Name]],YACDATA[Player],0)),"")</f>
        <v>6.1</v>
      </c>
      <c r="K37" s="500"/>
      <c r="L37" s="104"/>
      <c r="M37" s="14">
        <v>27</v>
      </c>
      <c r="N37" s="488" t="s">
        <v>366</v>
      </c>
      <c r="O37" s="247" t="str">
        <f>IFERROR(INDEX(YAtCData[Team],MATCH(YACTE70[[#This Row],[Name]],YAtCData[Player],0)),"")</f>
        <v>DEN</v>
      </c>
      <c r="P37" s="247" t="str">
        <f>IFERROR(INDEX(YAtCData[Pos],MATCH(YACTE70[[#This Row],[Name]],YAtCData[Player],0)),"")</f>
        <v>TE</v>
      </c>
      <c r="Q37" s="247">
        <f>IFERROR(INDEX(YAtCData[Rec],MATCH(YACTE70[[#This Row],[Name]],YAtCData[Player],0)),"")</f>
        <v>7</v>
      </c>
      <c r="R37" s="247">
        <f>IFERROR(INDEX(YAtCData[Yards],MATCH(YACTE70[[#This Row],[Name]],YAtCData[Player],0)),"")</f>
        <v>74</v>
      </c>
      <c r="S37" s="247">
        <f>IFERROR(INDEX(YAtCData[YAtC],MATCH(YACTE70[[#This Row],[Name]],YAtCData[Player],0)),"")</f>
        <v>44</v>
      </c>
      <c r="T37" s="247">
        <f>IFERROR(INDEX(YAtCData[YAtC/Rec],MATCH(YACTE70[[#This Row],[Name]],YAtCData[Player],0)),"")</f>
        <v>6.29</v>
      </c>
      <c r="U37" s="247">
        <f>IFERROR(INDEX(YACDATA[YAC],MATCH(YACTE70[[#This Row],[Name]],YACDATA[Player],0)),"")</f>
        <v>30</v>
      </c>
      <c r="V37" s="499">
        <f>IFERROR(INDEX(YACDATA[YAC per Reception],MATCH(YACTE70[[#This Row],[Name]],YACDATA[Player],0)),"")</f>
        <v>4.3</v>
      </c>
      <c r="W37" s="9"/>
      <c r="X37" s="14">
        <v>27</v>
      </c>
      <c r="Y37" s="14" t="s">
        <v>834</v>
      </c>
      <c r="Z37" s="14">
        <v>257</v>
      </c>
      <c r="AA37" s="14">
        <v>85.7</v>
      </c>
      <c r="AB37" s="9"/>
    </row>
    <row r="38" spans="1:28" x14ac:dyDescent="0.3">
      <c r="A38" s="8">
        <v>25.798336651181089</v>
      </c>
      <c r="B38" s="14" t="s">
        <v>505</v>
      </c>
      <c r="C38" s="247" t="str">
        <f>IFERROR(INDEX(YAtCData[Team],MATCH(YACWR74[[#This Row],[Name]],YAtCData[Player],0)),"")</f>
        <v>SD</v>
      </c>
      <c r="D38" s="247" t="str">
        <f>IFERROR(INDEX(YAtCData[Pos],MATCH(YACWR74[[#This Row],[Name]],YAtCData[Player],0)),"")</f>
        <v>WR</v>
      </c>
      <c r="E38" s="247">
        <f>IFERROR(INDEX(YAtCData[Rec],MATCH(YACWR74[[#This Row],[Name]],YAtCData[Player],0)),"")</f>
        <v>11</v>
      </c>
      <c r="F38" s="247">
        <f>IFERROR(INDEX(YAtCData[Yards],MATCH(YACWR74[[#This Row],[Name]],YAtCData[Player],0)),"")</f>
        <v>201</v>
      </c>
      <c r="G38" s="247">
        <f>IFERROR(INDEX(YAtCData[YAtC],MATCH(YACWR74[[#This Row],[Name]],YAtCData[Player],0)),"")</f>
        <v>55</v>
      </c>
      <c r="H38" s="247">
        <f>IFERROR(INDEX(YAtCData[YAtC/Rec],MATCH(YACWR74[[#This Row],[Name]],YAtCData[Player],0)),"")</f>
        <v>5</v>
      </c>
      <c r="I38" s="247">
        <f>IFERROR(INDEX(YACDATA[YAC],MATCH(YACWR74[[#This Row],[Name]],YACDATA[Player],0)),"")</f>
        <v>146</v>
      </c>
      <c r="J38" s="499">
        <f>IFERROR(INDEX(YACDATA[YAC per Reception],MATCH(YACWR74[[#This Row],[Name]],YACDATA[Player],0)),"")</f>
        <v>13.3</v>
      </c>
      <c r="K38" s="500"/>
      <c r="L38" s="104"/>
      <c r="M38" s="14">
        <v>28</v>
      </c>
      <c r="N38" s="488" t="s">
        <v>343</v>
      </c>
      <c r="O38" s="247" t="str">
        <f>IFERROR(INDEX(YAtCData[Team],MATCH(YACTE70[[#This Row],[Name]],YAtCData[Player],0)),"")</f>
        <v>PHI</v>
      </c>
      <c r="P38" s="247" t="str">
        <f>IFERROR(INDEX(YAtCData[Pos],MATCH(YACTE70[[#This Row],[Name]],YAtCData[Player],0)),"")</f>
        <v>TE</v>
      </c>
      <c r="Q38" s="247">
        <f>IFERROR(INDEX(YAtCData[Rec],MATCH(YACTE70[[#This Row],[Name]],YAtCData[Player],0)),"")</f>
        <v>4</v>
      </c>
      <c r="R38" s="247">
        <f>IFERROR(INDEX(YAtCData[Yards],MATCH(YACTE70[[#This Row],[Name]],YAtCData[Player],0)),"")</f>
        <v>72</v>
      </c>
      <c r="S38" s="247">
        <f>IFERROR(INDEX(YAtCData[YAtC],MATCH(YACTE70[[#This Row],[Name]],YAtCData[Player],0)),"")</f>
        <v>36</v>
      </c>
      <c r="T38" s="247">
        <f>IFERROR(INDEX(YAtCData[YAtC/Rec],MATCH(YACTE70[[#This Row],[Name]],YAtCData[Player],0)),"")</f>
        <v>9</v>
      </c>
      <c r="U38" s="247">
        <f>IFERROR(INDEX(YACDATA[YAC],MATCH(YACTE70[[#This Row],[Name]],YACDATA[Player],0)),"")</f>
        <v>36</v>
      </c>
      <c r="V38" s="499">
        <f>IFERROR(INDEX(YACDATA[YAC per Reception],MATCH(YACTE70[[#This Row],[Name]],YACDATA[Player],0)),"")</f>
        <v>9</v>
      </c>
      <c r="W38" s="9"/>
      <c r="X38" s="14">
        <v>28</v>
      </c>
      <c r="Y38" s="14" t="s">
        <v>841</v>
      </c>
      <c r="Z38" s="14">
        <v>254</v>
      </c>
      <c r="AA38" s="14">
        <v>84.7</v>
      </c>
      <c r="AB38" s="9"/>
    </row>
    <row r="39" spans="1:28" x14ac:dyDescent="0.3">
      <c r="A39" s="8">
        <v>26.716793564187796</v>
      </c>
      <c r="B39" s="14" t="s">
        <v>270</v>
      </c>
      <c r="C39" s="247" t="str">
        <f>IFERROR(INDEX(YAtCData[Team],MATCH(YACWR74[[#This Row],[Name]],YAtCData[Player],0)),"")</f>
        <v>TB</v>
      </c>
      <c r="D39" s="247" t="str">
        <f>IFERROR(INDEX(YAtCData[Pos],MATCH(YACWR74[[#This Row],[Name]],YAtCData[Player],0)),"")</f>
        <v>WR</v>
      </c>
      <c r="E39" s="247">
        <f>IFERROR(INDEX(YAtCData[Rec],MATCH(YACWR74[[#This Row],[Name]],YAtCData[Player],0)),"")</f>
        <v>18</v>
      </c>
      <c r="F39" s="247">
        <f>IFERROR(INDEX(YAtCData[Yards],MATCH(YACWR74[[#This Row],[Name]],YAtCData[Player],0)),"")</f>
        <v>201</v>
      </c>
      <c r="G39" s="247">
        <f>IFERROR(INDEX(YAtCData[YAtC],MATCH(YACWR74[[#This Row],[Name]],YAtCData[Player],0)),"")</f>
        <v>52</v>
      </c>
      <c r="H39" s="247">
        <f>IFERROR(INDEX(YAtCData[YAtC/Rec],MATCH(YACWR74[[#This Row],[Name]],YAtCData[Player],0)),"")</f>
        <v>2.89</v>
      </c>
      <c r="I39" s="247">
        <f>IFERROR(INDEX(YACDATA[YAC],MATCH(YACWR74[[#This Row],[Name]],YACDATA[Player],0)),"")</f>
        <v>149</v>
      </c>
      <c r="J39" s="499">
        <f>IFERROR(INDEX(YACDATA[YAC per Reception],MATCH(YACWR74[[#This Row],[Name]],YACDATA[Player],0)),"")</f>
        <v>8.3000000000000007</v>
      </c>
      <c r="K39" s="500"/>
      <c r="L39" s="104"/>
      <c r="M39" s="14">
        <v>29</v>
      </c>
      <c r="N39" s="488" t="s">
        <v>349</v>
      </c>
      <c r="O39" s="247" t="str">
        <f>IFERROR(INDEX(YAtCData[Team],MATCH(YACTE70[[#This Row],[Name]],YAtCData[Player],0)),"")</f>
        <v>WAS</v>
      </c>
      <c r="P39" s="247" t="str">
        <f>IFERROR(INDEX(YAtCData[Pos],MATCH(YACTE70[[#This Row],[Name]],YAtCData[Player],0)),"")</f>
        <v>TE</v>
      </c>
      <c r="Q39" s="247">
        <f>IFERROR(INDEX(YAtCData[Rec],MATCH(YACTE70[[#This Row],[Name]],YAtCData[Player],0)),"")</f>
        <v>6</v>
      </c>
      <c r="R39" s="247">
        <f>IFERROR(INDEX(YAtCData[Yards],MATCH(YACTE70[[#This Row],[Name]],YAtCData[Player],0)),"")</f>
        <v>71</v>
      </c>
      <c r="S39" s="247">
        <f>IFERROR(INDEX(YAtCData[YAtC],MATCH(YACTE70[[#This Row],[Name]],YAtCData[Player],0)),"")</f>
        <v>27</v>
      </c>
      <c r="T39" s="247">
        <f>IFERROR(INDEX(YAtCData[YAtC/Rec],MATCH(YACTE70[[#This Row],[Name]],YAtCData[Player],0)),"")</f>
        <v>4.5</v>
      </c>
      <c r="U39" s="247">
        <f>IFERROR(INDEX(YACDATA[YAC],MATCH(YACTE70[[#This Row],[Name]],YACDATA[Player],0)),"")</f>
        <v>44</v>
      </c>
      <c r="V39" s="499">
        <f>IFERROR(INDEX(YACDATA[YAC per Reception],MATCH(YACTE70[[#This Row],[Name]],YACDATA[Player],0)),"")</f>
        <v>7.3</v>
      </c>
      <c r="W39" s="9"/>
      <c r="X39" s="14">
        <v>29</v>
      </c>
      <c r="Y39" s="14" t="s">
        <v>851</v>
      </c>
      <c r="Z39" s="14">
        <v>248</v>
      </c>
      <c r="AA39" s="14">
        <v>82.7</v>
      </c>
      <c r="AB39" s="9"/>
    </row>
    <row r="40" spans="1:28" x14ac:dyDescent="0.3">
      <c r="A40" s="8">
        <v>27.6352504771945</v>
      </c>
      <c r="B40" s="14" t="s">
        <v>768</v>
      </c>
      <c r="C40" s="247" t="str">
        <f>IFERROR(INDEX(YAtCData[Team],MATCH(YACWR74[[#This Row],[Name]],YAtCData[Player],0)),"")</f>
        <v>CAR</v>
      </c>
      <c r="D40" s="247" t="str">
        <f>IFERROR(INDEX(YAtCData[Pos],MATCH(YACWR74[[#This Row],[Name]],YAtCData[Player],0)),"")</f>
        <v>WR</v>
      </c>
      <c r="E40" s="247">
        <f>IFERROR(INDEX(YAtCData[Rec],MATCH(YACWR74[[#This Row],[Name]],YAtCData[Player],0)),"")</f>
        <v>13</v>
      </c>
      <c r="F40" s="247">
        <f>IFERROR(INDEX(YAtCData[Yards],MATCH(YACWR74[[#This Row],[Name]],YAtCData[Player],0)),"")</f>
        <v>199</v>
      </c>
      <c r="G40" s="247">
        <f>IFERROR(INDEX(YAtCData[YAtC],MATCH(YACWR74[[#This Row],[Name]],YAtCData[Player],0)),"")</f>
        <v>155</v>
      </c>
      <c r="H40" s="247">
        <f>IFERROR(INDEX(YAtCData[YAtC/Rec],MATCH(YACWR74[[#This Row],[Name]],YAtCData[Player],0)),"")</f>
        <v>11.92</v>
      </c>
      <c r="I40" s="247">
        <f>IFERROR(INDEX(YACDATA[YAC],MATCH(YACWR74[[#This Row],[Name]],YACDATA[Player],0)),"")</f>
        <v>44</v>
      </c>
      <c r="J40" s="499">
        <f>IFERROR(INDEX(YACDATA[YAC per Reception],MATCH(YACWR74[[#This Row],[Name]],YACDATA[Player],0)),"")</f>
        <v>3.4</v>
      </c>
      <c r="K40" s="500"/>
      <c r="L40" s="104"/>
      <c r="M40" s="14">
        <v>30</v>
      </c>
      <c r="N40" s="488" t="s">
        <v>354</v>
      </c>
      <c r="O40" s="247" t="str">
        <f>IFERROR(INDEX(YAtCData[Team],MATCH(YACTE70[[#This Row],[Name]],YAtCData[Player],0)),"")</f>
        <v>PIT</v>
      </c>
      <c r="P40" s="247" t="str">
        <f>IFERROR(INDEX(YAtCData[Pos],MATCH(YACTE70[[#This Row],[Name]],YAtCData[Player],0)),"")</f>
        <v>TE</v>
      </c>
      <c r="Q40" s="247">
        <f>IFERROR(INDEX(YAtCData[Rec],MATCH(YACTE70[[#This Row],[Name]],YAtCData[Player],0)),"")</f>
        <v>10</v>
      </c>
      <c r="R40" s="247">
        <f>IFERROR(INDEX(YAtCData[Yards],MATCH(YACTE70[[#This Row],[Name]],YAtCData[Player],0)),"")</f>
        <v>70</v>
      </c>
      <c r="S40" s="247">
        <f>IFERROR(INDEX(YAtCData[YAtC],MATCH(YACTE70[[#This Row],[Name]],YAtCData[Player],0)),"")</f>
        <v>50</v>
      </c>
      <c r="T40" s="247">
        <f>IFERROR(INDEX(YAtCData[YAtC/Rec],MATCH(YACTE70[[#This Row],[Name]],YAtCData[Player],0)),"")</f>
        <v>5</v>
      </c>
      <c r="U40" s="247">
        <f>IFERROR(INDEX(YACDATA[YAC],MATCH(YACTE70[[#This Row],[Name]],YACDATA[Player],0)),"")</f>
        <v>20</v>
      </c>
      <c r="V40" s="499">
        <f>IFERROR(INDEX(YACDATA[YAC per Reception],MATCH(YACTE70[[#This Row],[Name]],YACDATA[Player],0)),"")</f>
        <v>2</v>
      </c>
      <c r="W40" s="9"/>
      <c r="X40" s="14">
        <v>30</v>
      </c>
      <c r="Y40" s="14" t="s">
        <v>832</v>
      </c>
      <c r="Z40" s="14">
        <v>203</v>
      </c>
      <c r="AA40" s="14">
        <v>67.7</v>
      </c>
      <c r="AB40" s="9"/>
    </row>
    <row r="41" spans="1:28" x14ac:dyDescent="0.3">
      <c r="A41" s="8">
        <v>28.553707390201208</v>
      </c>
      <c r="B41" s="14" t="s">
        <v>237</v>
      </c>
      <c r="C41" s="247" t="str">
        <f>IFERROR(INDEX(YAtCData[Team],MATCH(YACWR74[[#This Row],[Name]],YAtCData[Player],0)),"")</f>
        <v>LA</v>
      </c>
      <c r="D41" s="247" t="str">
        <f>IFERROR(INDEX(YAtCData[Pos],MATCH(YACWR74[[#This Row],[Name]],YAtCData[Player],0)),"")</f>
        <v>WR</v>
      </c>
      <c r="E41" s="247">
        <f>IFERROR(INDEX(YAtCData[Rec],MATCH(YACWR74[[#This Row],[Name]],YAtCData[Player],0)),"")</f>
        <v>14</v>
      </c>
      <c r="F41" s="247">
        <f>IFERROR(INDEX(YAtCData[Yards],MATCH(YACWR74[[#This Row],[Name]],YAtCData[Player],0)),"")</f>
        <v>199</v>
      </c>
      <c r="G41" s="247">
        <f>IFERROR(INDEX(YAtCData[YAtC],MATCH(YACWR74[[#This Row],[Name]],YAtCData[Player],0)),"")</f>
        <v>138</v>
      </c>
      <c r="H41" s="247">
        <f>IFERROR(INDEX(YAtCData[YAtC/Rec],MATCH(YACWR74[[#This Row],[Name]],YAtCData[Player],0)),"")</f>
        <v>9.86</v>
      </c>
      <c r="I41" s="247">
        <f>IFERROR(INDEX(YACDATA[YAC],MATCH(YACWR74[[#This Row],[Name]],YACDATA[Player],0)),"")</f>
        <v>61</v>
      </c>
      <c r="J41" s="499">
        <f>IFERROR(INDEX(YACDATA[YAC per Reception],MATCH(YACWR74[[#This Row],[Name]],YACDATA[Player],0)),"")</f>
        <v>4.4000000000000004</v>
      </c>
      <c r="K41" s="500"/>
      <c r="L41" s="104"/>
      <c r="M41" s="14">
        <v>31</v>
      </c>
      <c r="N41" s="488" t="s">
        <v>377</v>
      </c>
      <c r="O41" s="247" t="str">
        <f>IFERROR(INDEX(YAtCData[Team],MATCH(YACTE70[[#This Row],[Name]],YAtCData[Player],0)),"")</f>
        <v>PHI</v>
      </c>
      <c r="P41" s="247" t="str">
        <f>IFERROR(INDEX(YAtCData[Pos],MATCH(YACTE70[[#This Row],[Name]],YAtCData[Player],0)),"")</f>
        <v>TE</v>
      </c>
      <c r="Q41" s="247">
        <f>IFERROR(INDEX(YAtCData[Rec],MATCH(YACTE70[[#This Row],[Name]],YAtCData[Player],0)),"")</f>
        <v>7</v>
      </c>
      <c r="R41" s="247">
        <f>IFERROR(INDEX(YAtCData[Yards],MATCH(YACTE70[[#This Row],[Name]],YAtCData[Player],0)),"")</f>
        <v>68</v>
      </c>
      <c r="S41" s="247">
        <f>IFERROR(INDEX(YAtCData[YAtC],MATCH(YACTE70[[#This Row],[Name]],YAtCData[Player],0)),"")</f>
        <v>30</v>
      </c>
      <c r="T41" s="247">
        <f>IFERROR(INDEX(YAtCData[YAtC/Rec],MATCH(YACTE70[[#This Row],[Name]],YAtCData[Player],0)),"")</f>
        <v>4.29</v>
      </c>
      <c r="U41" s="247">
        <f>IFERROR(INDEX(YACDATA[YAC],MATCH(YACTE70[[#This Row],[Name]],YACDATA[Player],0)),"")</f>
        <v>38</v>
      </c>
      <c r="V41" s="499">
        <f>IFERROR(INDEX(YACDATA[YAC per Reception],MATCH(YACTE70[[#This Row],[Name]],YACDATA[Player],0)),"")</f>
        <v>5.4</v>
      </c>
      <c r="W41" s="9"/>
      <c r="X41" s="14">
        <v>31</v>
      </c>
      <c r="Y41" s="14" t="s">
        <v>847</v>
      </c>
      <c r="Z41" s="14">
        <v>199</v>
      </c>
      <c r="AA41" s="14">
        <v>66.3</v>
      </c>
      <c r="AB41" s="9"/>
    </row>
    <row r="42" spans="1:28" x14ac:dyDescent="0.3">
      <c r="A42" s="8">
        <v>29.472164303207915</v>
      </c>
      <c r="B42" s="14" t="s">
        <v>456</v>
      </c>
      <c r="C42" s="247" t="str">
        <f>IFERROR(INDEX(YAtCData[Team],MATCH(YACWR74[[#This Row],[Name]],YAtCData[Player],0)),"")</f>
        <v>NYG</v>
      </c>
      <c r="D42" s="247" t="str">
        <f>IFERROR(INDEX(YAtCData[Pos],MATCH(YACWR74[[#This Row],[Name]],YAtCData[Player],0)),"")</f>
        <v>WR</v>
      </c>
      <c r="E42" s="247">
        <f>IFERROR(INDEX(YAtCData[Rec],MATCH(YACWR74[[#This Row],[Name]],YAtCData[Player],0)),"")</f>
        <v>11</v>
      </c>
      <c r="F42" s="247">
        <f>IFERROR(INDEX(YAtCData[Yards],MATCH(YACWR74[[#This Row],[Name]],YAtCData[Player],0)),"")</f>
        <v>195</v>
      </c>
      <c r="G42" s="247">
        <f>IFERROR(INDEX(YAtCData[YAtC],MATCH(YACWR74[[#This Row],[Name]],YAtCData[Player],0)),"")</f>
        <v>115</v>
      </c>
      <c r="H42" s="247">
        <f>IFERROR(INDEX(YAtCData[YAtC/Rec],MATCH(YACWR74[[#This Row],[Name]],YAtCData[Player],0)),"")</f>
        <v>10.45</v>
      </c>
      <c r="I42" s="247">
        <f>IFERROR(INDEX(YACDATA[YAC],MATCH(YACWR74[[#This Row],[Name]],YACDATA[Player],0)),"")</f>
        <v>80</v>
      </c>
      <c r="J42" s="499">
        <f>IFERROR(INDEX(YACDATA[YAC per Reception],MATCH(YACWR74[[#This Row],[Name]],YACDATA[Player],0)),"")</f>
        <v>7.3</v>
      </c>
      <c r="K42" s="500"/>
      <c r="L42" s="104"/>
      <c r="M42" s="14">
        <v>32</v>
      </c>
      <c r="N42" s="488" t="s">
        <v>362</v>
      </c>
      <c r="O42" s="247" t="str">
        <f>IFERROR(INDEX(YAtCData[Team],MATCH(YACTE70[[#This Row],[Name]],YAtCData[Player],0)),"")</f>
        <v>MIA</v>
      </c>
      <c r="P42" s="247" t="str">
        <f>IFERROR(INDEX(YAtCData[Pos],MATCH(YACTE70[[#This Row],[Name]],YAtCData[Player],0)),"")</f>
        <v>TE</v>
      </c>
      <c r="Q42" s="247">
        <f>IFERROR(INDEX(YAtCData[Rec],MATCH(YACTE70[[#This Row],[Name]],YAtCData[Player],0)),"")</f>
        <v>5</v>
      </c>
      <c r="R42" s="247">
        <f>IFERROR(INDEX(YAtCData[Yards],MATCH(YACTE70[[#This Row],[Name]],YAtCData[Player],0)),"")</f>
        <v>67</v>
      </c>
      <c r="S42" s="247">
        <f>IFERROR(INDEX(YAtCData[YAtC],MATCH(YACTE70[[#This Row],[Name]],YAtCData[Player],0)),"")</f>
        <v>40</v>
      </c>
      <c r="T42" s="247">
        <f>IFERROR(INDEX(YAtCData[YAtC/Rec],MATCH(YACTE70[[#This Row],[Name]],YAtCData[Player],0)),"")</f>
        <v>8</v>
      </c>
      <c r="U42" s="247">
        <f>IFERROR(INDEX(YACDATA[YAC],MATCH(YACTE70[[#This Row],[Name]],YACDATA[Player],0)),"")</f>
        <v>27</v>
      </c>
      <c r="V42" s="499">
        <f>IFERROR(INDEX(YACDATA[YAC per Reception],MATCH(YACTE70[[#This Row],[Name]],YACDATA[Player],0)),"")</f>
        <v>5.4</v>
      </c>
      <c r="W42" s="9"/>
      <c r="X42" s="14">
        <v>32</v>
      </c>
      <c r="Y42" s="14" t="s">
        <v>858</v>
      </c>
      <c r="Z42" s="14">
        <v>185</v>
      </c>
      <c r="AA42" s="16">
        <v>61.7</v>
      </c>
      <c r="AB42" s="9"/>
    </row>
    <row r="43" spans="1:28" x14ac:dyDescent="0.3">
      <c r="A43" s="8">
        <v>30.390621216214623</v>
      </c>
      <c r="B43" s="14" t="s">
        <v>197</v>
      </c>
      <c r="C43" s="247" t="str">
        <f>IFERROR(INDEX(YAtCData[Team],MATCH(YACWR74[[#This Row],[Name]],YAtCData[Player],0)),"")</f>
        <v>NYJ</v>
      </c>
      <c r="D43" s="247" t="str">
        <f>IFERROR(INDEX(YAtCData[Pos],MATCH(YACWR74[[#This Row],[Name]],YAtCData[Player],0)),"")</f>
        <v>WR</v>
      </c>
      <c r="E43" s="247">
        <f>IFERROR(INDEX(YAtCData[Rec],MATCH(YACWR74[[#This Row],[Name]],YAtCData[Player],0)),"")</f>
        <v>9</v>
      </c>
      <c r="F43" s="247">
        <f>IFERROR(INDEX(YAtCData[Yards],MATCH(YACWR74[[#This Row],[Name]],YAtCData[Player],0)),"")</f>
        <v>194</v>
      </c>
      <c r="G43" s="247">
        <f>IFERROR(INDEX(YAtCData[YAtC],MATCH(YACWR74[[#This Row],[Name]],YAtCData[Player],0)),"")</f>
        <v>164</v>
      </c>
      <c r="H43" s="247">
        <f>IFERROR(INDEX(YAtCData[YAtC/Rec],MATCH(YACWR74[[#This Row],[Name]],YAtCData[Player],0)),"")</f>
        <v>18.22</v>
      </c>
      <c r="I43" s="247">
        <f>IFERROR(INDEX(YACDATA[YAC],MATCH(YACWR74[[#This Row],[Name]],YACDATA[Player],0)),"")</f>
        <v>30</v>
      </c>
      <c r="J43" s="499">
        <f>IFERROR(INDEX(YACDATA[YAC per Reception],MATCH(YACWR74[[#This Row],[Name]],YACDATA[Player],0)),"")</f>
        <v>3.3</v>
      </c>
      <c r="K43" s="500"/>
      <c r="L43" s="104"/>
      <c r="M43" s="14">
        <v>33</v>
      </c>
      <c r="N43" s="488" t="s">
        <v>333</v>
      </c>
      <c r="O43" s="247" t="str">
        <f>IFERROR(INDEX(YAtCData[Team],MATCH(YACTE70[[#This Row],[Name]],YAtCData[Player],0)),"")</f>
        <v>BUF</v>
      </c>
      <c r="P43" s="247" t="str">
        <f>IFERROR(INDEX(YAtCData[Pos],MATCH(YACTE70[[#This Row],[Name]],YAtCData[Player],0)),"")</f>
        <v>TE</v>
      </c>
      <c r="Q43" s="247">
        <f>IFERROR(INDEX(YAtCData[Rec],MATCH(YACTE70[[#This Row],[Name]],YAtCData[Player],0)),"")</f>
        <v>7</v>
      </c>
      <c r="R43" s="247">
        <f>IFERROR(INDEX(YAtCData[Yards],MATCH(YACTE70[[#This Row],[Name]],YAtCData[Player],0)),"")</f>
        <v>67</v>
      </c>
      <c r="S43" s="247">
        <f>IFERROR(INDEX(YAtCData[YAtC],MATCH(YACTE70[[#This Row],[Name]],YAtCData[Player],0)),"")</f>
        <v>38</v>
      </c>
      <c r="T43" s="247">
        <f>IFERROR(INDEX(YAtCData[YAtC/Rec],MATCH(YACTE70[[#This Row],[Name]],YAtCData[Player],0)),"")</f>
        <v>5.43</v>
      </c>
      <c r="U43" s="247">
        <f>IFERROR(INDEX(YACDATA[YAC],MATCH(YACTE70[[#This Row],[Name]],YACDATA[Player],0)),"")</f>
        <v>29</v>
      </c>
      <c r="V43" s="499">
        <f>IFERROR(INDEX(YACDATA[YAC per Reception],MATCH(YACTE70[[#This Row],[Name]],YACDATA[Player],0)),"")</f>
        <v>4.0999999999999996</v>
      </c>
      <c r="W43" s="9"/>
      <c r="X43" s="9"/>
      <c r="Y43" s="9"/>
      <c r="Z43" s="9"/>
      <c r="AA43" s="9"/>
      <c r="AB43" s="9"/>
    </row>
    <row r="44" spans="1:28" x14ac:dyDescent="0.3">
      <c r="A44" s="8">
        <v>31.30907812922133</v>
      </c>
      <c r="B44" s="14" t="s">
        <v>188</v>
      </c>
      <c r="C44" s="247" t="str">
        <f>IFERROR(INDEX(YAtCData[Team],MATCH(YACWR74[[#This Row],[Name]],YAtCData[Player],0)),"")</f>
        <v>ATL</v>
      </c>
      <c r="D44" s="247" t="str">
        <f>IFERROR(INDEX(YAtCData[Pos],MATCH(YACWR74[[#This Row],[Name]],YAtCData[Player],0)),"")</f>
        <v>WR</v>
      </c>
      <c r="E44" s="247">
        <f>IFERROR(INDEX(YAtCData[Rec],MATCH(YACWR74[[#This Row],[Name]],YAtCData[Player],0)),"")</f>
        <v>10</v>
      </c>
      <c r="F44" s="247">
        <f>IFERROR(INDEX(YAtCData[Yards],MATCH(YACWR74[[#This Row],[Name]],YAtCData[Player],0)),"")</f>
        <v>188</v>
      </c>
      <c r="G44" s="247">
        <f>IFERROR(INDEX(YAtCData[YAtC],MATCH(YACWR74[[#This Row],[Name]],YAtCData[Player],0)),"")</f>
        <v>114</v>
      </c>
      <c r="H44" s="247">
        <f>IFERROR(INDEX(YAtCData[YAtC/Rec],MATCH(YACWR74[[#This Row],[Name]],YAtCData[Player],0)),"")</f>
        <v>11.4</v>
      </c>
      <c r="I44" s="247">
        <f>IFERROR(INDEX(YACDATA[YAC],MATCH(YACWR74[[#This Row],[Name]],YACDATA[Player],0)),"")</f>
        <v>74</v>
      </c>
      <c r="J44" s="499">
        <f>IFERROR(INDEX(YACDATA[YAC per Reception],MATCH(YACWR74[[#This Row],[Name]],YACDATA[Player],0)),"")</f>
        <v>7.4</v>
      </c>
      <c r="K44" s="500"/>
      <c r="L44" s="104"/>
      <c r="M44" s="14">
        <v>34</v>
      </c>
      <c r="N44" s="488" t="s">
        <v>341</v>
      </c>
      <c r="O44" s="247" t="str">
        <f>IFERROR(INDEX(YAtCData[Team],MATCH(YACTE70[[#This Row],[Name]],YAtCData[Player],0)),"")</f>
        <v>MIA</v>
      </c>
      <c r="P44" s="247" t="str">
        <f>IFERROR(INDEX(YAtCData[Pos],MATCH(YACTE70[[#This Row],[Name]],YAtCData[Player],0)),"")</f>
        <v>TE</v>
      </c>
      <c r="Q44" s="247">
        <f>IFERROR(INDEX(YAtCData[Rec],MATCH(YACTE70[[#This Row],[Name]],YAtCData[Player],0)),"")</f>
        <v>8</v>
      </c>
      <c r="R44" s="247">
        <f>IFERROR(INDEX(YAtCData[Yards],MATCH(YACTE70[[#This Row],[Name]],YAtCData[Player],0)),"")</f>
        <v>60</v>
      </c>
      <c r="S44" s="247">
        <f>IFERROR(INDEX(YAtCData[YAtC],MATCH(YACTE70[[#This Row],[Name]],YAtCData[Player],0)),"")</f>
        <v>31</v>
      </c>
      <c r="T44" s="247">
        <f>IFERROR(INDEX(YAtCData[YAtC/Rec],MATCH(YACTE70[[#This Row],[Name]],YAtCData[Player],0)),"")</f>
        <v>3.88</v>
      </c>
      <c r="U44" s="247">
        <f>IFERROR(INDEX(YACDATA[YAC],MATCH(YACTE70[[#This Row],[Name]],YACDATA[Player],0)),"")</f>
        <v>29</v>
      </c>
      <c r="V44" s="499">
        <f>IFERROR(INDEX(YACDATA[YAC per Reception],MATCH(YACTE70[[#This Row],[Name]],YACDATA[Player],0)),"")</f>
        <v>3.6</v>
      </c>
      <c r="W44" s="9"/>
      <c r="X44" s="9"/>
      <c r="Y44" s="9"/>
      <c r="Z44" s="9"/>
      <c r="AA44" s="9"/>
      <c r="AB44" s="9"/>
    </row>
    <row r="45" spans="1:28" x14ac:dyDescent="0.3">
      <c r="A45" s="8">
        <v>32.227535042228041</v>
      </c>
      <c r="B45" s="14" t="s">
        <v>457</v>
      </c>
      <c r="C45" s="247" t="str">
        <f>IFERROR(INDEX(YAtCData[Team],MATCH(YACWR74[[#This Row],[Name]],YAtCData[Player],0)),"")</f>
        <v>NO</v>
      </c>
      <c r="D45" s="247" t="str">
        <f>IFERROR(INDEX(YAtCData[Pos],MATCH(YACWR74[[#This Row],[Name]],YAtCData[Player],0)),"")</f>
        <v>WR</v>
      </c>
      <c r="E45" s="247">
        <f>IFERROR(INDEX(YAtCData[Rec],MATCH(YACWR74[[#This Row],[Name]],YAtCData[Player],0)),"")</f>
        <v>17</v>
      </c>
      <c r="F45" s="247">
        <f>IFERROR(INDEX(YAtCData[Yards],MATCH(YACWR74[[#This Row],[Name]],YAtCData[Player],0)),"")</f>
        <v>185</v>
      </c>
      <c r="G45" s="247">
        <f>IFERROR(INDEX(YAtCData[YAtC],MATCH(YACWR74[[#This Row],[Name]],YAtCData[Player],0)),"")</f>
        <v>127</v>
      </c>
      <c r="H45" s="247">
        <f>IFERROR(INDEX(YAtCData[YAtC/Rec],MATCH(YACWR74[[#This Row],[Name]],YAtCData[Player],0)),"")</f>
        <v>7.47</v>
      </c>
      <c r="I45" s="247">
        <f>IFERROR(INDEX(YACDATA[YAC],MATCH(YACWR74[[#This Row],[Name]],YACDATA[Player],0)),"")</f>
        <v>58</v>
      </c>
      <c r="J45" s="499">
        <f>IFERROR(INDEX(YACDATA[YAC per Reception],MATCH(YACWR74[[#This Row],[Name]],YACDATA[Player],0)),"")</f>
        <v>3.4</v>
      </c>
      <c r="K45" s="500"/>
      <c r="L45" s="104"/>
      <c r="M45" s="14">
        <v>35</v>
      </c>
      <c r="N45" s="488" t="s">
        <v>531</v>
      </c>
      <c r="O45" s="247" t="str">
        <f>IFERROR(INDEX(YAtCData[Team],MATCH(YACTE70[[#This Row],[Name]],YAtCData[Player],0)),"")</f>
        <v>TEN</v>
      </c>
      <c r="P45" s="247" t="str">
        <f>IFERROR(INDEX(YAtCData[Pos],MATCH(YACTE70[[#This Row],[Name]],YAtCData[Player],0)),"")</f>
        <v>TE</v>
      </c>
      <c r="Q45" s="247">
        <f>IFERROR(INDEX(YAtCData[Rec],MATCH(YACTE70[[#This Row],[Name]],YAtCData[Player],0)),"")</f>
        <v>3</v>
      </c>
      <c r="R45" s="247">
        <f>IFERROR(INDEX(YAtCData[Yards],MATCH(YACTE70[[#This Row],[Name]],YAtCData[Player],0)),"")</f>
        <v>59</v>
      </c>
      <c r="S45" s="247">
        <f>IFERROR(INDEX(YAtCData[YAtC],MATCH(YACTE70[[#This Row],[Name]],YAtCData[Player],0)),"")</f>
        <v>44</v>
      </c>
      <c r="T45" s="247">
        <f>IFERROR(INDEX(YAtCData[YAtC/Rec],MATCH(YACTE70[[#This Row],[Name]],YAtCData[Player],0)),"")</f>
        <v>14.67</v>
      </c>
      <c r="U45" s="247">
        <f>IFERROR(INDEX(YACDATA[YAC],MATCH(YACTE70[[#This Row],[Name]],YACDATA[Player],0)),"")</f>
        <v>15</v>
      </c>
      <c r="V45" s="499">
        <f>IFERROR(INDEX(YACDATA[YAC per Reception],MATCH(YACTE70[[#This Row],[Name]],YACDATA[Player],0)),"")</f>
        <v>5</v>
      </c>
      <c r="W45" s="9"/>
      <c r="X45" s="9"/>
      <c r="Y45" s="9"/>
      <c r="Z45" s="9"/>
      <c r="AA45" s="9"/>
      <c r="AB45" s="9"/>
    </row>
    <row r="46" spans="1:28" x14ac:dyDescent="0.3">
      <c r="A46" s="8">
        <v>33.145991955234742</v>
      </c>
      <c r="B46" s="14" t="s">
        <v>194</v>
      </c>
      <c r="C46" s="247" t="str">
        <f>IFERROR(INDEX(YAtCData[Team],MATCH(YACWR74[[#This Row],[Name]],YAtCData[Player],0)),"")</f>
        <v>JAX</v>
      </c>
      <c r="D46" s="247" t="str">
        <f>IFERROR(INDEX(YAtCData[Pos],MATCH(YACWR74[[#This Row],[Name]],YAtCData[Player],0)),"")</f>
        <v>WR</v>
      </c>
      <c r="E46" s="247">
        <f>IFERROR(INDEX(YAtCData[Rec],MATCH(YACWR74[[#This Row],[Name]],YAtCData[Player],0)),"")</f>
        <v>16</v>
      </c>
      <c r="F46" s="247">
        <f>IFERROR(INDEX(YAtCData[Yards],MATCH(YACWR74[[#This Row],[Name]],YAtCData[Player],0)),"")</f>
        <v>183</v>
      </c>
      <c r="G46" s="247">
        <f>IFERROR(INDEX(YAtCData[YAtC],MATCH(YACWR74[[#This Row],[Name]],YAtCData[Player],0)),"")</f>
        <v>140</v>
      </c>
      <c r="H46" s="247">
        <f>IFERROR(INDEX(YAtCData[YAtC/Rec],MATCH(YACWR74[[#This Row],[Name]],YAtCData[Player],0)),"")</f>
        <v>8.75</v>
      </c>
      <c r="I46" s="247">
        <f>IFERROR(INDEX(YACDATA[YAC],MATCH(YACWR74[[#This Row],[Name]],YACDATA[Player],0)),"")</f>
        <v>43</v>
      </c>
      <c r="J46" s="499">
        <f>IFERROR(INDEX(YACDATA[YAC per Reception],MATCH(YACWR74[[#This Row],[Name]],YACDATA[Player],0)),"")</f>
        <v>2.7</v>
      </c>
      <c r="K46" s="500"/>
      <c r="L46" s="104"/>
      <c r="M46" s="14">
        <v>36</v>
      </c>
      <c r="N46" s="488" t="s">
        <v>232</v>
      </c>
      <c r="O46" s="247" t="str">
        <f>IFERROR(INDEX(YAtCData[Team],MATCH(YACTE70[[#This Row],[Name]],YAtCData[Player],0)),"")</f>
        <v>PHI</v>
      </c>
      <c r="P46" s="247" t="str">
        <f>IFERROR(INDEX(YAtCData[Pos],MATCH(YACTE70[[#This Row],[Name]],YAtCData[Player],0)),"")</f>
        <v>TE</v>
      </c>
      <c r="Q46" s="247">
        <f>IFERROR(INDEX(YAtCData[Rec],MATCH(YACTE70[[#This Row],[Name]],YAtCData[Player],0)),"")</f>
        <v>6</v>
      </c>
      <c r="R46" s="247">
        <f>IFERROR(INDEX(YAtCData[Yards],MATCH(YACTE70[[#This Row],[Name]],YAtCData[Player],0)),"")</f>
        <v>58</v>
      </c>
      <c r="S46" s="247">
        <f>IFERROR(INDEX(YAtCData[YAtC],MATCH(YACTE70[[#This Row],[Name]],YAtCData[Player],0)),"")</f>
        <v>38</v>
      </c>
      <c r="T46" s="247">
        <f>IFERROR(INDEX(YAtCData[YAtC/Rec],MATCH(YACTE70[[#This Row],[Name]],YAtCData[Player],0)),"")</f>
        <v>6.33</v>
      </c>
      <c r="U46" s="247">
        <f>IFERROR(INDEX(YACDATA[YAC],MATCH(YACTE70[[#This Row],[Name]],YACDATA[Player],0)),"")</f>
        <v>20</v>
      </c>
      <c r="V46" s="499">
        <f>IFERROR(INDEX(YACDATA[YAC per Reception],MATCH(YACTE70[[#This Row],[Name]],YACDATA[Player],0)),"")</f>
        <v>3.3</v>
      </c>
      <c r="W46" s="9"/>
      <c r="X46" s="9"/>
      <c r="Y46" s="9"/>
      <c r="Z46" s="9"/>
      <c r="AA46" s="9"/>
      <c r="AB46" s="9"/>
    </row>
    <row r="47" spans="1:28" x14ac:dyDescent="0.3">
      <c r="A47" s="8">
        <v>34.064448868241449</v>
      </c>
      <c r="B47" s="14" t="s">
        <v>269</v>
      </c>
      <c r="C47" s="247" t="str">
        <f>IFERROR(INDEX(YAtCData[Team],MATCH(YACWR74[[#This Row],[Name]],YAtCData[Player],0)),"")</f>
        <v>NYJ</v>
      </c>
      <c r="D47" s="247" t="str">
        <f>IFERROR(INDEX(YAtCData[Pos],MATCH(YACWR74[[#This Row],[Name]],YAtCData[Player],0)),"")</f>
        <v>WR</v>
      </c>
      <c r="E47" s="247">
        <f>IFERROR(INDEX(YAtCData[Rec],MATCH(YACWR74[[#This Row],[Name]],YAtCData[Player],0)),"")</f>
        <v>17</v>
      </c>
      <c r="F47" s="247">
        <f>IFERROR(INDEX(YAtCData[Yards],MATCH(YACWR74[[#This Row],[Name]],YAtCData[Player],0)),"")</f>
        <v>183</v>
      </c>
      <c r="G47" s="247">
        <f>IFERROR(INDEX(YAtCData[YAtC],MATCH(YACWR74[[#This Row],[Name]],YAtCData[Player],0)),"")</f>
        <v>114</v>
      </c>
      <c r="H47" s="247">
        <f>IFERROR(INDEX(YAtCData[YAtC/Rec],MATCH(YACWR74[[#This Row],[Name]],YAtCData[Player],0)),"")</f>
        <v>6.71</v>
      </c>
      <c r="I47" s="247">
        <f>IFERROR(INDEX(YACDATA[YAC],MATCH(YACWR74[[#This Row],[Name]],YACDATA[Player],0)),"")</f>
        <v>69</v>
      </c>
      <c r="J47" s="499">
        <f>IFERROR(INDEX(YACDATA[YAC per Reception],MATCH(YACWR74[[#This Row],[Name]],YACDATA[Player],0)),"")</f>
        <v>4.0999999999999996</v>
      </c>
      <c r="K47" s="500"/>
      <c r="L47" s="104"/>
      <c r="M47" s="14">
        <v>37</v>
      </c>
      <c r="N47" s="488" t="s">
        <v>327</v>
      </c>
      <c r="O47" s="247" t="str">
        <f>IFERROR(INDEX(YAtCData[Team],MATCH(YACTE70[[#This Row],[Name]],YAtCData[Player],0)),"")</f>
        <v>GB</v>
      </c>
      <c r="P47" s="247" t="str">
        <f>IFERROR(INDEX(YAtCData[Pos],MATCH(YACTE70[[#This Row],[Name]],YAtCData[Player],0)),"")</f>
        <v>TE</v>
      </c>
      <c r="Q47" s="247">
        <f>IFERROR(INDEX(YAtCData[Rec],MATCH(YACTE70[[#This Row],[Name]],YAtCData[Player],0)),"")</f>
        <v>5</v>
      </c>
      <c r="R47" s="247">
        <f>IFERROR(INDEX(YAtCData[Yards],MATCH(YACTE70[[#This Row],[Name]],YAtCData[Player],0)),"")</f>
        <v>56</v>
      </c>
      <c r="S47" s="247">
        <f>IFERROR(INDEX(YAtCData[YAtC],MATCH(YACTE70[[#This Row],[Name]],YAtCData[Player],0)),"")</f>
        <v>34</v>
      </c>
      <c r="T47" s="247">
        <f>IFERROR(INDEX(YAtCData[YAtC/Rec],MATCH(YACTE70[[#This Row],[Name]],YAtCData[Player],0)),"")</f>
        <v>6.8</v>
      </c>
      <c r="U47" s="247">
        <f>IFERROR(INDEX(YACDATA[YAC],MATCH(YACTE70[[#This Row],[Name]],YACDATA[Player],0)),"")</f>
        <v>22</v>
      </c>
      <c r="V47" s="499">
        <f>IFERROR(INDEX(YACDATA[YAC per Reception],MATCH(YACTE70[[#This Row],[Name]],YACDATA[Player],0)),"")</f>
        <v>4.4000000000000004</v>
      </c>
      <c r="W47" s="9"/>
      <c r="X47" s="9"/>
      <c r="Y47" s="9"/>
      <c r="Z47" s="9"/>
      <c r="AA47" s="9"/>
      <c r="AB47" s="9"/>
    </row>
    <row r="48" spans="1:28" x14ac:dyDescent="0.3">
      <c r="A48" s="8">
        <v>34.982905781248157</v>
      </c>
      <c r="B48" s="14" t="s">
        <v>198</v>
      </c>
      <c r="C48" s="247" t="str">
        <f>IFERROR(INDEX(YAtCData[Team],MATCH(YACWR74[[#This Row],[Name]],YAtCData[Player],0)),"")</f>
        <v>NE</v>
      </c>
      <c r="D48" s="247" t="str">
        <f>IFERROR(INDEX(YAtCData[Pos],MATCH(YACWR74[[#This Row],[Name]],YAtCData[Player],0)),"")</f>
        <v>WR</v>
      </c>
      <c r="E48" s="247">
        <f>IFERROR(INDEX(YAtCData[Rec],MATCH(YACWR74[[#This Row],[Name]],YAtCData[Player],0)),"")</f>
        <v>18</v>
      </c>
      <c r="F48" s="247">
        <f>IFERROR(INDEX(YAtCData[Yards],MATCH(YACWR74[[#This Row],[Name]],YAtCData[Player],0)),"")</f>
        <v>180</v>
      </c>
      <c r="G48" s="247">
        <f>IFERROR(INDEX(YAtCData[YAtC],MATCH(YACWR74[[#This Row],[Name]],YAtCData[Player],0)),"")</f>
        <v>88</v>
      </c>
      <c r="H48" s="247">
        <f>IFERROR(INDEX(YAtCData[YAtC/Rec],MATCH(YACWR74[[#This Row],[Name]],YAtCData[Player],0)),"")</f>
        <v>4.8899999999999997</v>
      </c>
      <c r="I48" s="247">
        <f>IFERROR(INDEX(YACDATA[YAC],MATCH(YACWR74[[#This Row],[Name]],YACDATA[Player],0)),"")</f>
        <v>92</v>
      </c>
      <c r="J48" s="499">
        <f>IFERROR(INDEX(YACDATA[YAC per Reception],MATCH(YACWR74[[#This Row],[Name]],YACDATA[Player],0)),"")</f>
        <v>5.0999999999999996</v>
      </c>
      <c r="K48" s="500"/>
      <c r="L48" s="104"/>
      <c r="M48" s="14">
        <v>38</v>
      </c>
      <c r="N48" s="488" t="s">
        <v>348</v>
      </c>
      <c r="O48" s="247" t="str">
        <f>IFERROR(INDEX(YAtCData[Team],MATCH(YACTE70[[#This Row],[Name]],YAtCData[Player],0)),"")</f>
        <v>GB</v>
      </c>
      <c r="P48" s="247" t="str">
        <f>IFERROR(INDEX(YAtCData[Pos],MATCH(YACTE70[[#This Row],[Name]],YAtCData[Player],0)),"")</f>
        <v>TE</v>
      </c>
      <c r="Q48" s="247">
        <f>IFERROR(INDEX(YAtCData[Rec],MATCH(YACTE70[[#This Row],[Name]],YAtCData[Player],0)),"")</f>
        <v>6</v>
      </c>
      <c r="R48" s="247">
        <f>IFERROR(INDEX(YAtCData[Yards],MATCH(YACTE70[[#This Row],[Name]],YAtCData[Player],0)),"")</f>
        <v>53</v>
      </c>
      <c r="S48" s="247">
        <f>IFERROR(INDEX(YAtCData[YAtC],MATCH(YACTE70[[#This Row],[Name]],YAtCData[Player],0)),"")</f>
        <v>27</v>
      </c>
      <c r="T48" s="247">
        <f>IFERROR(INDEX(YAtCData[YAtC/Rec],MATCH(YACTE70[[#This Row],[Name]],YAtCData[Player],0)),"")</f>
        <v>4.5</v>
      </c>
      <c r="U48" s="247">
        <f>IFERROR(INDEX(YACDATA[YAC],MATCH(YACTE70[[#This Row],[Name]],YACDATA[Player],0)),"")</f>
        <v>26</v>
      </c>
      <c r="V48" s="499">
        <f>IFERROR(INDEX(YACDATA[YAC per Reception],MATCH(YACTE70[[#This Row],[Name]],YACDATA[Player],0)),"")</f>
        <v>4.3</v>
      </c>
      <c r="W48" s="9"/>
      <c r="X48" s="9"/>
      <c r="Y48" s="9"/>
      <c r="Z48" s="9"/>
      <c r="AA48" s="9"/>
      <c r="AB48" s="9"/>
    </row>
    <row r="49" spans="1:28" x14ac:dyDescent="0.3">
      <c r="A49" s="8">
        <v>35.901362694254864</v>
      </c>
      <c r="B49" s="14" t="s">
        <v>202</v>
      </c>
      <c r="C49" s="247" t="str">
        <f>IFERROR(INDEX(YAtCData[Team],MATCH(YACWR74[[#This Row],[Name]],YAtCData[Player],0)),"")</f>
        <v>JAX</v>
      </c>
      <c r="D49" s="247" t="str">
        <f>IFERROR(INDEX(YAtCData[Pos],MATCH(YACWR74[[#This Row],[Name]],YAtCData[Player],0)),"")</f>
        <v>WR</v>
      </c>
      <c r="E49" s="247">
        <f>IFERROR(INDEX(YAtCData[Rec],MATCH(YACWR74[[#This Row],[Name]],YAtCData[Player],0)),"")</f>
        <v>13</v>
      </c>
      <c r="F49" s="247">
        <f>IFERROR(INDEX(YAtCData[Yards],MATCH(YACWR74[[#This Row],[Name]],YAtCData[Player],0)),"")</f>
        <v>179</v>
      </c>
      <c r="G49" s="247">
        <f>IFERROR(INDEX(YAtCData[YAtC],MATCH(YACWR74[[#This Row],[Name]],YAtCData[Player],0)),"")</f>
        <v>118</v>
      </c>
      <c r="H49" s="247">
        <f>IFERROR(INDEX(YAtCData[YAtC/Rec],MATCH(YACWR74[[#This Row],[Name]],YAtCData[Player],0)),"")</f>
        <v>9.08</v>
      </c>
      <c r="I49" s="247">
        <f>IFERROR(INDEX(YACDATA[YAC],MATCH(YACWR74[[#This Row],[Name]],YACDATA[Player],0)),"")</f>
        <v>61</v>
      </c>
      <c r="J49" s="499">
        <f>IFERROR(INDEX(YACDATA[YAC per Reception],MATCH(YACWR74[[#This Row],[Name]],YACDATA[Player],0)),"")</f>
        <v>4.7</v>
      </c>
      <c r="K49" s="500"/>
      <c r="L49" s="104"/>
      <c r="M49" s="14">
        <v>39</v>
      </c>
      <c r="N49" s="488" t="s">
        <v>345</v>
      </c>
      <c r="O49" s="247" t="str">
        <f>IFERROR(INDEX(YAtCData[Team],MATCH(YACTE70[[#This Row],[Name]],YAtCData[Player],0)),"")</f>
        <v>SF</v>
      </c>
      <c r="P49" s="247" t="str">
        <f>IFERROR(INDEX(YAtCData[Pos],MATCH(YACTE70[[#This Row],[Name]],YAtCData[Player],0)),"")</f>
        <v>TE</v>
      </c>
      <c r="Q49" s="247">
        <f>IFERROR(INDEX(YAtCData[Rec],MATCH(YACTE70[[#This Row],[Name]],YAtCData[Player],0)),"")</f>
        <v>5</v>
      </c>
      <c r="R49" s="247">
        <f>IFERROR(INDEX(YAtCData[Yards],MATCH(YACTE70[[#This Row],[Name]],YAtCData[Player],0)),"")</f>
        <v>52</v>
      </c>
      <c r="S49" s="247">
        <f>IFERROR(INDEX(YAtCData[YAtC],MATCH(YACTE70[[#This Row],[Name]],YAtCData[Player],0)),"")</f>
        <v>40</v>
      </c>
      <c r="T49" s="247">
        <f>IFERROR(INDEX(YAtCData[YAtC/Rec],MATCH(YACTE70[[#This Row],[Name]],YAtCData[Player],0)),"")</f>
        <v>8</v>
      </c>
      <c r="U49" s="247">
        <f>IFERROR(INDEX(YACDATA[YAC],MATCH(YACTE70[[#This Row],[Name]],YACDATA[Player],0)),"")</f>
        <v>12</v>
      </c>
      <c r="V49" s="499">
        <f>IFERROR(INDEX(YACDATA[YAC per Reception],MATCH(YACTE70[[#This Row],[Name]],YACDATA[Player],0)),"")</f>
        <v>2.4</v>
      </c>
      <c r="W49" s="9"/>
      <c r="X49" s="9"/>
      <c r="Y49" s="9"/>
      <c r="Z49" s="9"/>
      <c r="AA49" s="9"/>
      <c r="AB49" s="9"/>
    </row>
    <row r="50" spans="1:28" x14ac:dyDescent="0.3">
      <c r="A50" s="8">
        <v>36.819819607261572</v>
      </c>
      <c r="B50" s="14" t="s">
        <v>238</v>
      </c>
      <c r="C50" s="247" t="str">
        <f>IFERROR(INDEX(YAtCData[Team],MATCH(YACWR74[[#This Row],[Name]],YAtCData[Player],0)),"")</f>
        <v>WAS</v>
      </c>
      <c r="D50" s="247" t="str">
        <f>IFERROR(INDEX(YAtCData[Pos],MATCH(YACWR74[[#This Row],[Name]],YAtCData[Player],0)),"")</f>
        <v>WR</v>
      </c>
      <c r="E50" s="247">
        <f>IFERROR(INDEX(YAtCData[Rec],MATCH(YACWR74[[#This Row],[Name]],YAtCData[Player],0)),"")</f>
        <v>16</v>
      </c>
      <c r="F50" s="247">
        <f>IFERROR(INDEX(YAtCData[Yards],MATCH(YACWR74[[#This Row],[Name]],YAtCData[Player],0)),"")</f>
        <v>175</v>
      </c>
      <c r="G50" s="247">
        <f>IFERROR(INDEX(YAtCData[YAtC],MATCH(YACWR74[[#This Row],[Name]],YAtCData[Player],0)),"")</f>
        <v>77</v>
      </c>
      <c r="H50" s="247">
        <f>IFERROR(INDEX(YAtCData[YAtC/Rec],MATCH(YACWR74[[#This Row],[Name]],YAtCData[Player],0)),"")</f>
        <v>4.8099999999999996</v>
      </c>
      <c r="I50" s="247">
        <f>IFERROR(INDEX(YACDATA[YAC],MATCH(YACWR74[[#This Row],[Name]],YACDATA[Player],0)),"")</f>
        <v>98</v>
      </c>
      <c r="J50" s="499">
        <f>IFERROR(INDEX(YACDATA[YAC per Reception],MATCH(YACWR74[[#This Row],[Name]],YACDATA[Player],0)),"")</f>
        <v>6.1</v>
      </c>
      <c r="K50" s="500"/>
      <c r="L50" s="104"/>
      <c r="M50" s="14">
        <v>40</v>
      </c>
      <c r="N50" s="488" t="s">
        <v>339</v>
      </c>
      <c r="O50" s="247" t="str">
        <f>IFERROR(INDEX(YAtCData[Team],MATCH(YACTE70[[#This Row],[Name]],YAtCData[Player],0)),"")</f>
        <v>NYG</v>
      </c>
      <c r="P50" s="247" t="str">
        <f>IFERROR(INDEX(YAtCData[Pos],MATCH(YACTE70[[#This Row],[Name]],YAtCData[Player],0)),"")</f>
        <v>TE</v>
      </c>
      <c r="Q50" s="247">
        <f>IFERROR(INDEX(YAtCData[Rec],MATCH(YACTE70[[#This Row],[Name]],YAtCData[Player],0)),"")</f>
        <v>8</v>
      </c>
      <c r="R50" s="247">
        <f>IFERROR(INDEX(YAtCData[Yards],MATCH(YACTE70[[#This Row],[Name]],YAtCData[Player],0)),"")</f>
        <v>50</v>
      </c>
      <c r="S50" s="247">
        <f>IFERROR(INDEX(YAtCData[YAtC],MATCH(YACTE70[[#This Row],[Name]],YAtCData[Player],0)),"")</f>
        <v>38</v>
      </c>
      <c r="T50" s="247">
        <f>IFERROR(INDEX(YAtCData[YAtC/Rec],MATCH(YACTE70[[#This Row],[Name]],YAtCData[Player],0)),"")</f>
        <v>4.75</v>
      </c>
      <c r="U50" s="247">
        <f>IFERROR(INDEX(YACDATA[YAC],MATCH(YACTE70[[#This Row],[Name]],YACDATA[Player],0)),"")</f>
        <v>12</v>
      </c>
      <c r="V50" s="499">
        <f>IFERROR(INDEX(YACDATA[YAC per Reception],MATCH(YACTE70[[#This Row],[Name]],YACDATA[Player],0)),"")</f>
        <v>1.5</v>
      </c>
      <c r="W50" s="9"/>
      <c r="X50" s="9"/>
      <c r="Y50" s="9"/>
      <c r="Z50" s="9"/>
      <c r="AA50" s="9"/>
      <c r="AB50" s="9"/>
    </row>
    <row r="51" spans="1:28" x14ac:dyDescent="0.3">
      <c r="A51" s="8">
        <v>37.738276520268279</v>
      </c>
      <c r="B51" s="14" t="s">
        <v>433</v>
      </c>
      <c r="C51" s="247" t="str">
        <f>IFERROR(INDEX(YAtCData[Team],MATCH(YACWR74[[#This Row],[Name]],YAtCData[Player],0)),"")</f>
        <v>CLE</v>
      </c>
      <c r="D51" s="247" t="str">
        <f>IFERROR(INDEX(YAtCData[Pos],MATCH(YACWR74[[#This Row],[Name]],YAtCData[Player],0)),"")</f>
        <v>WR</v>
      </c>
      <c r="E51" s="247">
        <f>IFERROR(INDEX(YAtCData[Rec],MATCH(YACWR74[[#This Row],[Name]],YAtCData[Player],0)),"")</f>
        <v>7</v>
      </c>
      <c r="F51" s="247">
        <f>IFERROR(INDEX(YAtCData[Yards],MATCH(YACWR74[[#This Row],[Name]],YAtCData[Player],0)),"")</f>
        <v>173</v>
      </c>
      <c r="G51" s="247">
        <f>IFERROR(INDEX(YAtCData[YAtC],MATCH(YACWR74[[#This Row],[Name]],YAtCData[Player],0)),"")</f>
        <v>160</v>
      </c>
      <c r="H51" s="247">
        <f>IFERROR(INDEX(YAtCData[YAtC/Rec],MATCH(YACWR74[[#This Row],[Name]],YAtCData[Player],0)),"")</f>
        <v>22.86</v>
      </c>
      <c r="I51" s="247">
        <f>IFERROR(INDEX(YACDATA[YAC],MATCH(YACWR74[[#This Row],[Name]],YACDATA[Player],0)),"")</f>
        <v>13</v>
      </c>
      <c r="J51" s="499">
        <f>IFERROR(INDEX(YACDATA[YAC per Reception],MATCH(YACWR74[[#This Row],[Name]],YACDATA[Player],0)),"")</f>
        <v>1.9</v>
      </c>
      <c r="K51" s="500"/>
      <c r="L51" s="104"/>
      <c r="M51" s="14">
        <v>41</v>
      </c>
      <c r="N51" s="488" t="s">
        <v>386</v>
      </c>
      <c r="O51" s="247" t="str">
        <f>IFERROR(INDEX(YAtCData[Team],MATCH(YACTE70[[#This Row],[Name]],YAtCData[Player],0)),"")</f>
        <v>DAL</v>
      </c>
      <c r="P51" s="247" t="str">
        <f>IFERROR(INDEX(YAtCData[Pos],MATCH(YACTE70[[#This Row],[Name]],YAtCData[Player],0)),"")</f>
        <v>TE</v>
      </c>
      <c r="Q51" s="247">
        <f>IFERROR(INDEX(YAtCData[Rec],MATCH(YACTE70[[#This Row],[Name]],YAtCData[Player],0)),"")</f>
        <v>3</v>
      </c>
      <c r="R51" s="247">
        <f>IFERROR(INDEX(YAtCData[Yards],MATCH(YACTE70[[#This Row],[Name]],YAtCData[Player],0)),"")</f>
        <v>50</v>
      </c>
      <c r="S51" s="247">
        <f>IFERROR(INDEX(YAtCData[YAtC],MATCH(YACTE70[[#This Row],[Name]],YAtCData[Player],0)),"")</f>
        <v>14</v>
      </c>
      <c r="T51" s="247">
        <f>IFERROR(INDEX(YAtCData[YAtC/Rec],MATCH(YACTE70[[#This Row],[Name]],YAtCData[Player],0)),"")</f>
        <v>4.67</v>
      </c>
      <c r="U51" s="247">
        <f>IFERROR(INDEX(YACDATA[YAC],MATCH(YACTE70[[#This Row],[Name]],YACDATA[Player],0)),"")</f>
        <v>36</v>
      </c>
      <c r="V51" s="499">
        <f>IFERROR(INDEX(YACDATA[YAC per Reception],MATCH(YACTE70[[#This Row],[Name]],YACDATA[Player],0)),"")</f>
        <v>12</v>
      </c>
      <c r="W51" s="9"/>
      <c r="X51" s="9"/>
      <c r="Y51" s="9"/>
      <c r="Z51" s="9"/>
      <c r="AA51" s="9"/>
      <c r="AB51" s="9"/>
    </row>
    <row r="52" spans="1:28" x14ac:dyDescent="0.3">
      <c r="A52" s="8">
        <v>38.656733433274987</v>
      </c>
      <c r="B52" s="14" t="s">
        <v>1660</v>
      </c>
      <c r="C52" s="247" t="str">
        <f>IFERROR(INDEX(YAtCData[Team],MATCH(YACWR74[[#This Row],[Name]],YAtCData[Player],0)),"")</f>
        <v>BAL</v>
      </c>
      <c r="D52" s="247" t="str">
        <f>IFERROR(INDEX(YAtCData[Pos],MATCH(YACWR74[[#This Row],[Name]],YAtCData[Player],0)),"")</f>
        <v>WR</v>
      </c>
      <c r="E52" s="247">
        <f>IFERROR(INDEX(YAtCData[Rec],MATCH(YACWR74[[#This Row],[Name]],YAtCData[Player],0)),"")</f>
        <v>16</v>
      </c>
      <c r="F52" s="247">
        <f>IFERROR(INDEX(YAtCData[Yards],MATCH(YACWR74[[#This Row],[Name]],YAtCData[Player],0)),"")</f>
        <v>170</v>
      </c>
      <c r="G52" s="247">
        <f>IFERROR(INDEX(YAtCData[YAtC],MATCH(YACWR74[[#This Row],[Name]],YAtCData[Player],0)),"")</f>
        <v>113</v>
      </c>
      <c r="H52" s="247">
        <f>IFERROR(INDEX(YAtCData[YAtC/Rec],MATCH(YACWR74[[#This Row],[Name]],YAtCData[Player],0)),"")</f>
        <v>7.06</v>
      </c>
      <c r="I52" s="247">
        <f>IFERROR(INDEX(YACDATA[YAC],MATCH(YACWR74[[#This Row],[Name]],YACDATA[Player],0)),"")</f>
        <v>57</v>
      </c>
      <c r="J52" s="499">
        <f>IFERROR(INDEX(YACDATA[YAC per Reception],MATCH(YACWR74[[#This Row],[Name]],YACDATA[Player],0)),"")</f>
        <v>3.6</v>
      </c>
      <c r="K52" s="500"/>
      <c r="L52" s="104"/>
      <c r="M52" s="14">
        <v>42</v>
      </c>
      <c r="N52" s="488" t="s">
        <v>324</v>
      </c>
      <c r="O52" s="247" t="str">
        <f>IFERROR(INDEX(YAtCData[Team],MATCH(YACTE70[[#This Row],[Name]],YAtCData[Player],0)),"")</f>
        <v>TB</v>
      </c>
      <c r="P52" s="247" t="str">
        <f>IFERROR(INDEX(YAtCData[Pos],MATCH(YACTE70[[#This Row],[Name]],YAtCData[Player],0)),"")</f>
        <v>TE</v>
      </c>
      <c r="Q52" s="247">
        <f>IFERROR(INDEX(YAtCData[Rec],MATCH(YACTE70[[#This Row],[Name]],YAtCData[Player],0)),"")</f>
        <v>3</v>
      </c>
      <c r="R52" s="247">
        <f>IFERROR(INDEX(YAtCData[Yards],MATCH(YACTE70[[#This Row],[Name]],YAtCData[Player],0)),"")</f>
        <v>44</v>
      </c>
      <c r="S52" s="247">
        <f>IFERROR(INDEX(YAtCData[YAtC],MATCH(YACTE70[[#This Row],[Name]],YAtCData[Player],0)),"")</f>
        <v>48</v>
      </c>
      <c r="T52" s="247">
        <f>IFERROR(INDEX(YAtCData[YAtC/Rec],MATCH(YACTE70[[#This Row],[Name]],YAtCData[Player],0)),"")</f>
        <v>16</v>
      </c>
      <c r="U52" s="247" t="str">
        <f>IFERROR(INDEX(YACDATA[YAC],MATCH(YACTE70[[#This Row],[Name]],YACDATA[Player],0)),"")</f>
        <v/>
      </c>
      <c r="V52" s="499" t="str">
        <f>IFERROR(INDEX(YACDATA[YAC per Reception],MATCH(YACTE70[[#This Row],[Name]],YACDATA[Player],0)),"")</f>
        <v/>
      </c>
      <c r="W52" s="9"/>
      <c r="X52" s="9"/>
      <c r="Y52" s="9"/>
      <c r="Z52" s="9"/>
      <c r="AA52" s="9"/>
      <c r="AB52" s="9"/>
    </row>
    <row r="53" spans="1:28" x14ac:dyDescent="0.3">
      <c r="A53" s="8">
        <v>39.575190346281694</v>
      </c>
      <c r="B53" s="14" t="s">
        <v>201</v>
      </c>
      <c r="C53" s="247" t="str">
        <f>IFERROR(INDEX(YAtCData[Team],MATCH(YACWR74[[#This Row],[Name]],YAtCData[Player],0)),"")</f>
        <v>KC</v>
      </c>
      <c r="D53" s="247" t="str">
        <f>IFERROR(INDEX(YAtCData[Pos],MATCH(YACWR74[[#This Row],[Name]],YAtCData[Player],0)),"")</f>
        <v>WR</v>
      </c>
      <c r="E53" s="247">
        <f>IFERROR(INDEX(YAtCData[Rec],MATCH(YACWR74[[#This Row],[Name]],YAtCData[Player],0)),"")</f>
        <v>15</v>
      </c>
      <c r="F53" s="247">
        <f>IFERROR(INDEX(YAtCData[Yards],MATCH(YACWR74[[#This Row],[Name]],YAtCData[Player],0)),"")</f>
        <v>166</v>
      </c>
      <c r="G53" s="247">
        <f>IFERROR(INDEX(YAtCData[YAtC],MATCH(YACWR74[[#This Row],[Name]],YAtCData[Player],0)),"")</f>
        <v>128</v>
      </c>
      <c r="H53" s="247">
        <f>IFERROR(INDEX(YAtCData[YAtC/Rec],MATCH(YACWR74[[#This Row],[Name]],YAtCData[Player],0)),"")</f>
        <v>8.5299999999999994</v>
      </c>
      <c r="I53" s="247">
        <f>IFERROR(INDEX(YACDATA[YAC],MATCH(YACWR74[[#This Row],[Name]],YACDATA[Player],0)),"")</f>
        <v>38</v>
      </c>
      <c r="J53" s="499">
        <f>IFERROR(INDEX(YACDATA[YAC per Reception],MATCH(YACWR74[[#This Row],[Name]],YACDATA[Player],0)),"")</f>
        <v>2.5</v>
      </c>
      <c r="K53" s="500"/>
      <c r="L53" s="104"/>
      <c r="M53" s="14">
        <v>43</v>
      </c>
      <c r="N53" s="488" t="s">
        <v>352</v>
      </c>
      <c r="O53" s="247" t="str">
        <f>IFERROR(INDEX(YAtCData[Team],MATCH(YACTE70[[#This Row],[Name]],YAtCData[Player],0)),"")</f>
        <v>ARI</v>
      </c>
      <c r="P53" s="247" t="str">
        <f>IFERROR(INDEX(YAtCData[Pos],MATCH(YACTE70[[#This Row],[Name]],YAtCData[Player],0)),"")</f>
        <v>TE</v>
      </c>
      <c r="Q53" s="247">
        <f>IFERROR(INDEX(YAtCData[Rec],MATCH(YACTE70[[#This Row],[Name]],YAtCData[Player],0)),"")</f>
        <v>4</v>
      </c>
      <c r="R53" s="247">
        <f>IFERROR(INDEX(YAtCData[Yards],MATCH(YACTE70[[#This Row],[Name]],YAtCData[Player],0)),"")</f>
        <v>41</v>
      </c>
      <c r="S53" s="247">
        <f>IFERROR(INDEX(YAtCData[YAtC],MATCH(YACTE70[[#This Row],[Name]],YAtCData[Player],0)),"")</f>
        <v>34</v>
      </c>
      <c r="T53" s="247">
        <f>IFERROR(INDEX(YAtCData[YAtC/Rec],MATCH(YACTE70[[#This Row],[Name]],YAtCData[Player],0)),"")</f>
        <v>8.5</v>
      </c>
      <c r="U53" s="247">
        <f>IFERROR(INDEX(YACDATA[YAC],MATCH(YACTE70[[#This Row],[Name]],YACDATA[Player],0)),"")</f>
        <v>7</v>
      </c>
      <c r="V53" s="499">
        <f>IFERROR(INDEX(YACDATA[YAC per Reception],MATCH(YACTE70[[#This Row],[Name]],YACDATA[Player],0)),"")</f>
        <v>1.8</v>
      </c>
      <c r="W53" s="9"/>
      <c r="X53" s="9"/>
      <c r="Y53" s="9"/>
      <c r="Z53" s="9"/>
      <c r="AA53" s="9"/>
      <c r="AB53" s="9"/>
    </row>
    <row r="54" spans="1:28" x14ac:dyDescent="0.3">
      <c r="A54" s="8">
        <v>40.493647259288402</v>
      </c>
      <c r="B54" s="14" t="s">
        <v>275</v>
      </c>
      <c r="C54" s="247" t="str">
        <f>IFERROR(INDEX(YAtCData[Team],MATCH(YACWR74[[#This Row],[Name]],YAtCData[Player],0)),"")</f>
        <v>BAL</v>
      </c>
      <c r="D54" s="247" t="str">
        <f>IFERROR(INDEX(YAtCData[Pos],MATCH(YACWR74[[#This Row],[Name]],YAtCData[Player],0)),"")</f>
        <v>WR</v>
      </c>
      <c r="E54" s="247">
        <f>IFERROR(INDEX(YAtCData[Rec],MATCH(YACWR74[[#This Row],[Name]],YAtCData[Player],0)),"")</f>
        <v>10</v>
      </c>
      <c r="F54" s="247">
        <f>IFERROR(INDEX(YAtCData[Yards],MATCH(YACWR74[[#This Row],[Name]],YAtCData[Player],0)),"")</f>
        <v>166</v>
      </c>
      <c r="G54" s="247">
        <f>IFERROR(INDEX(YAtCData[YAtC],MATCH(YACWR74[[#This Row],[Name]],YAtCData[Player],0)),"")</f>
        <v>124</v>
      </c>
      <c r="H54" s="247">
        <f>IFERROR(INDEX(YAtCData[YAtC/Rec],MATCH(YACWR74[[#This Row],[Name]],YAtCData[Player],0)),"")</f>
        <v>12.4</v>
      </c>
      <c r="I54" s="247">
        <f>IFERROR(INDEX(YACDATA[YAC],MATCH(YACWR74[[#This Row],[Name]],YACDATA[Player],0)),"")</f>
        <v>42</v>
      </c>
      <c r="J54" s="499">
        <f>IFERROR(INDEX(YACDATA[YAC per Reception],MATCH(YACWR74[[#This Row],[Name]],YACDATA[Player],0)),"")</f>
        <v>4.2</v>
      </c>
      <c r="K54" s="500"/>
      <c r="L54" s="104"/>
      <c r="M54" s="14">
        <v>44</v>
      </c>
      <c r="N54" s="488" t="s">
        <v>351</v>
      </c>
      <c r="O54" s="247" t="str">
        <f>IFERROR(INDEX(YAtCData[Team],MATCH(YACTE70[[#This Row],[Name]],YAtCData[Player],0)),"")</f>
        <v>SEA</v>
      </c>
      <c r="P54" s="247" t="str">
        <f>IFERROR(INDEX(YAtCData[Pos],MATCH(YACTE70[[#This Row],[Name]],YAtCData[Player],0)),"")</f>
        <v>TE</v>
      </c>
      <c r="Q54" s="247">
        <f>IFERROR(INDEX(YAtCData[Rec],MATCH(YACTE70[[#This Row],[Name]],YAtCData[Player],0)),"")</f>
        <v>5</v>
      </c>
      <c r="R54" s="247">
        <f>IFERROR(INDEX(YAtCData[Yards],MATCH(YACTE70[[#This Row],[Name]],YAtCData[Player],0)),"")</f>
        <v>41</v>
      </c>
      <c r="S54" s="247">
        <f>IFERROR(INDEX(YAtCData[YAtC],MATCH(YACTE70[[#This Row],[Name]],YAtCData[Player],0)),"")</f>
        <v>22</v>
      </c>
      <c r="T54" s="247">
        <f>IFERROR(INDEX(YAtCData[YAtC/Rec],MATCH(YACTE70[[#This Row],[Name]],YAtCData[Player],0)),"")</f>
        <v>4.4000000000000004</v>
      </c>
      <c r="U54" s="247">
        <f>IFERROR(INDEX(YACDATA[YAC],MATCH(YACTE70[[#This Row],[Name]],YACDATA[Player],0)),"")</f>
        <v>19</v>
      </c>
      <c r="V54" s="499">
        <f>IFERROR(INDEX(YACDATA[YAC per Reception],MATCH(YACTE70[[#This Row],[Name]],YACDATA[Player],0)),"")</f>
        <v>3.8</v>
      </c>
      <c r="W54" s="9"/>
      <c r="X54" s="9"/>
      <c r="Y54" s="9"/>
      <c r="Z54" s="9"/>
      <c r="AA54" s="9"/>
      <c r="AB54" s="9"/>
    </row>
    <row r="55" spans="1:28" x14ac:dyDescent="0.3">
      <c r="A55" s="8">
        <v>41.412104172295109</v>
      </c>
      <c r="B55" s="14" t="s">
        <v>260</v>
      </c>
      <c r="C55" s="247" t="str">
        <f>IFERROR(INDEX(YAtCData[Team],MATCH(YACWR74[[#This Row],[Name]],YAtCData[Player],0)),"")</f>
        <v>CIN</v>
      </c>
      <c r="D55" s="247" t="str">
        <f>IFERROR(INDEX(YAtCData[Pos],MATCH(YACWR74[[#This Row],[Name]],YAtCData[Player],0)),"")</f>
        <v>WR</v>
      </c>
      <c r="E55" s="247">
        <f>IFERROR(INDEX(YAtCData[Rec],MATCH(YACWR74[[#This Row],[Name]],YAtCData[Player],0)),"")</f>
        <v>9</v>
      </c>
      <c r="F55" s="247">
        <f>IFERROR(INDEX(YAtCData[Yards],MATCH(YACWR74[[#This Row],[Name]],YAtCData[Player],0)),"")</f>
        <v>164</v>
      </c>
      <c r="G55" s="247">
        <f>IFERROR(INDEX(YAtCData[YAtC],MATCH(YACWR74[[#This Row],[Name]],YAtCData[Player],0)),"")</f>
        <v>93</v>
      </c>
      <c r="H55" s="247">
        <f>IFERROR(INDEX(YAtCData[YAtC/Rec],MATCH(YACWR74[[#This Row],[Name]],YAtCData[Player],0)),"")</f>
        <v>10.33</v>
      </c>
      <c r="I55" s="247">
        <f>IFERROR(INDEX(YACDATA[YAC],MATCH(YACWR74[[#This Row],[Name]],YACDATA[Player],0)),"")</f>
        <v>71</v>
      </c>
      <c r="J55" s="499">
        <f>IFERROR(INDEX(YACDATA[YAC per Reception],MATCH(YACWR74[[#This Row],[Name]],YACDATA[Player],0)),"")</f>
        <v>7.9</v>
      </c>
      <c r="K55" s="500"/>
      <c r="L55" s="104"/>
      <c r="M55" s="14">
        <v>45</v>
      </c>
      <c r="N55" s="488" t="s">
        <v>244</v>
      </c>
      <c r="O55" s="247" t="str">
        <f>IFERROR(INDEX(YAtCData[Team],MATCH(YACTE70[[#This Row],[Name]],YAtCData[Player],0)),"")</f>
        <v>NYG</v>
      </c>
      <c r="P55" s="247" t="str">
        <f>IFERROR(INDEX(YAtCData[Pos],MATCH(YACTE70[[#This Row],[Name]],YAtCData[Player],0)),"")</f>
        <v>TE</v>
      </c>
      <c r="Q55" s="247">
        <f>IFERROR(INDEX(YAtCData[Rec],MATCH(YACTE70[[#This Row],[Name]],YAtCData[Player],0)),"")</f>
        <v>8</v>
      </c>
      <c r="R55" s="247">
        <f>IFERROR(INDEX(YAtCData[Yards],MATCH(YACTE70[[#This Row],[Name]],YAtCData[Player],0)),"")</f>
        <v>40</v>
      </c>
      <c r="S55" s="247">
        <f>IFERROR(INDEX(YAtCData[YAtC],MATCH(YACTE70[[#This Row],[Name]],YAtCData[Player],0)),"")</f>
        <v>28</v>
      </c>
      <c r="T55" s="247">
        <f>IFERROR(INDEX(YAtCData[YAtC/Rec],MATCH(YACTE70[[#This Row],[Name]],YAtCData[Player],0)),"")</f>
        <v>3.5</v>
      </c>
      <c r="U55" s="247">
        <f>IFERROR(INDEX(YACDATA[YAC],MATCH(YACTE70[[#This Row],[Name]],YACDATA[Player],0)),"")</f>
        <v>12</v>
      </c>
      <c r="V55" s="499">
        <f>IFERROR(INDEX(YACDATA[YAC per Reception],MATCH(YACTE70[[#This Row],[Name]],YACDATA[Player],0)),"")</f>
        <v>1.5</v>
      </c>
      <c r="W55" s="9"/>
      <c r="X55" s="9"/>
      <c r="Y55" s="9"/>
      <c r="Z55" s="9"/>
      <c r="AA55" s="9"/>
      <c r="AB55" s="9"/>
    </row>
    <row r="56" spans="1:28" x14ac:dyDescent="0.3">
      <c r="A56" s="8">
        <v>42.330561085301809</v>
      </c>
      <c r="B56" s="14" t="s">
        <v>190</v>
      </c>
      <c r="C56" s="247" t="str">
        <f>IFERROR(INDEX(YAtCData[Team],MATCH(YACWR74[[#This Row],[Name]],YAtCData[Player],0)),"")</f>
        <v>NYJ</v>
      </c>
      <c r="D56" s="247" t="str">
        <f>IFERROR(INDEX(YAtCData[Pos],MATCH(YACWR74[[#This Row],[Name]],YAtCData[Player],0)),"")</f>
        <v>WR</v>
      </c>
      <c r="E56" s="247">
        <f>IFERROR(INDEX(YAtCData[Rec],MATCH(YACWR74[[#This Row],[Name]],YAtCData[Player],0)),"")</f>
        <v>12</v>
      </c>
      <c r="F56" s="247">
        <f>IFERROR(INDEX(YAtCData[Yards],MATCH(YACWR74[[#This Row],[Name]],YAtCData[Player],0)),"")</f>
        <v>160</v>
      </c>
      <c r="G56" s="247">
        <f>IFERROR(INDEX(YAtCData[YAtC],MATCH(YACWR74[[#This Row],[Name]],YAtCData[Player],0)),"")</f>
        <v>108</v>
      </c>
      <c r="H56" s="247">
        <f>IFERROR(INDEX(YAtCData[YAtC/Rec],MATCH(YACWR74[[#This Row],[Name]],YAtCData[Player],0)),"")</f>
        <v>9</v>
      </c>
      <c r="I56" s="247">
        <f>IFERROR(INDEX(YACDATA[YAC],MATCH(YACWR74[[#This Row],[Name]],YACDATA[Player],0)),"")</f>
        <v>52</v>
      </c>
      <c r="J56" s="499">
        <f>IFERROR(INDEX(YACDATA[YAC per Reception],MATCH(YACWR74[[#This Row],[Name]],YACDATA[Player],0)),"")</f>
        <v>4.3</v>
      </c>
      <c r="K56" s="500"/>
      <c r="L56" s="104"/>
      <c r="M56" s="14">
        <v>46</v>
      </c>
      <c r="N56" s="59" t="s">
        <v>551</v>
      </c>
      <c r="O56" s="247" t="str">
        <f>IFERROR(INDEX(YAtCData[Team],MATCH(YACTE70[[#This Row],[Name]],YAtCData[Player],0)),"")</f>
        <v>HOU</v>
      </c>
      <c r="P56" s="247" t="str">
        <f>IFERROR(INDEX(YAtCData[Pos],MATCH(YACTE70[[#This Row],[Name]],YAtCData[Player],0)),"")</f>
        <v>TE</v>
      </c>
      <c r="Q56" s="247">
        <f>IFERROR(INDEX(YAtCData[Rec],MATCH(YACTE70[[#This Row],[Name]],YAtCData[Player],0)),"")</f>
        <v>5</v>
      </c>
      <c r="R56" s="247">
        <f>IFERROR(INDEX(YAtCData[Yards],MATCH(YACTE70[[#This Row],[Name]],YAtCData[Player],0)),"")</f>
        <v>40</v>
      </c>
      <c r="S56" s="247">
        <f>IFERROR(INDEX(YAtCData[YAtC],MATCH(YACTE70[[#This Row],[Name]],YAtCData[Player],0)),"")</f>
        <v>22</v>
      </c>
      <c r="T56" s="247">
        <f>IFERROR(INDEX(YAtCData[YAtC/Rec],MATCH(YACTE70[[#This Row],[Name]],YAtCData[Player],0)),"")</f>
        <v>4.4000000000000004</v>
      </c>
      <c r="U56" s="247">
        <f>IFERROR(INDEX(YACDATA[YAC],MATCH(YACTE70[[#This Row],[Name]],YACDATA[Player],0)),"")</f>
        <v>18</v>
      </c>
      <c r="V56" s="499">
        <f>IFERROR(INDEX(YACDATA[YAC per Reception],MATCH(YACTE70[[#This Row],[Name]],YACDATA[Player],0)),"")</f>
        <v>3.6</v>
      </c>
      <c r="W56" s="9"/>
      <c r="X56" s="9"/>
      <c r="Y56" s="9"/>
      <c r="Z56" s="9"/>
      <c r="AA56" s="9"/>
      <c r="AB56" s="9"/>
    </row>
    <row r="57" spans="1:28" x14ac:dyDescent="0.3">
      <c r="A57" s="8">
        <v>43.249017998308517</v>
      </c>
      <c r="B57" s="14" t="s">
        <v>519</v>
      </c>
      <c r="C57" s="247" t="str">
        <f>IFERROR(INDEX(YAtCData[Team],MATCH(YACWR74[[#This Row],[Name]],YAtCData[Player],0)),"")</f>
        <v>TEN</v>
      </c>
      <c r="D57" s="247" t="str">
        <f>IFERROR(INDEX(YAtCData[Pos],MATCH(YACWR74[[#This Row],[Name]],YAtCData[Player],0)),"")</f>
        <v>WR</v>
      </c>
      <c r="E57" s="247">
        <f>IFERROR(INDEX(YAtCData[Rec],MATCH(YACWR74[[#This Row],[Name]],YAtCData[Player],0)),"")</f>
        <v>14</v>
      </c>
      <c r="F57" s="247">
        <f>IFERROR(INDEX(YAtCData[Yards],MATCH(YACWR74[[#This Row],[Name]],YAtCData[Player],0)),"")</f>
        <v>157</v>
      </c>
      <c r="G57" s="247">
        <f>IFERROR(INDEX(YAtCData[YAtC],MATCH(YACWR74[[#This Row],[Name]],YAtCData[Player],0)),"")</f>
        <v>127</v>
      </c>
      <c r="H57" s="247">
        <f>IFERROR(INDEX(YAtCData[YAtC/Rec],MATCH(YACWR74[[#This Row],[Name]],YAtCData[Player],0)),"")</f>
        <v>9.07</v>
      </c>
      <c r="I57" s="247">
        <f>IFERROR(INDEX(YACDATA[YAC],MATCH(YACWR74[[#This Row],[Name]],YACDATA[Player],0)),"")</f>
        <v>30</v>
      </c>
      <c r="J57" s="499">
        <f>IFERROR(INDEX(YACDATA[YAC per Reception],MATCH(YACWR74[[#This Row],[Name]],YACDATA[Player],0)),"")</f>
        <v>2.1</v>
      </c>
      <c r="K57" s="500"/>
      <c r="L57" s="104"/>
      <c r="M57" s="14">
        <v>47</v>
      </c>
      <c r="N57" s="59" t="s">
        <v>364</v>
      </c>
      <c r="O57" s="247" t="str">
        <f>IFERROR(INDEX(YAtCData[Team],MATCH(YACTE70[[#This Row],[Name]],YAtCData[Player],0)),"")</f>
        <v>CIN</v>
      </c>
      <c r="P57" s="247" t="str">
        <f>IFERROR(INDEX(YAtCData[Pos],MATCH(YACTE70[[#This Row],[Name]],YAtCData[Player],0)),"")</f>
        <v>TE</v>
      </c>
      <c r="Q57" s="247">
        <f>IFERROR(INDEX(YAtCData[Rec],MATCH(YACTE70[[#This Row],[Name]],YAtCData[Player],0)),"")</f>
        <v>3</v>
      </c>
      <c r="R57" s="247">
        <f>IFERROR(INDEX(YAtCData[Yards],MATCH(YACTE70[[#This Row],[Name]],YAtCData[Player],0)),"")</f>
        <v>35</v>
      </c>
      <c r="S57" s="247">
        <f>IFERROR(INDEX(YAtCData[YAtC],MATCH(YACTE70[[#This Row],[Name]],YAtCData[Player],0)),"")</f>
        <v>15</v>
      </c>
      <c r="T57" s="247">
        <f>IFERROR(INDEX(YAtCData[YAtC/Rec],MATCH(YACTE70[[#This Row],[Name]],YAtCData[Player],0)),"")</f>
        <v>5</v>
      </c>
      <c r="U57" s="247">
        <f>IFERROR(INDEX(YACDATA[YAC],MATCH(YACTE70[[#This Row],[Name]],YACDATA[Player],0)),"")</f>
        <v>20</v>
      </c>
      <c r="V57" s="499">
        <f>IFERROR(INDEX(YACDATA[YAC per Reception],MATCH(YACTE70[[#This Row],[Name]],YACDATA[Player],0)),"")</f>
        <v>6.7</v>
      </c>
      <c r="W57" s="9"/>
      <c r="X57" s="9"/>
      <c r="Y57" s="9"/>
      <c r="Z57" s="9"/>
      <c r="AA57" s="9"/>
      <c r="AB57" s="9"/>
    </row>
    <row r="58" spans="1:28" x14ac:dyDescent="0.3">
      <c r="A58" s="8">
        <v>44.167474911315225</v>
      </c>
      <c r="B58" s="14" t="s">
        <v>262</v>
      </c>
      <c r="C58" s="247" t="str">
        <f>IFERROR(INDEX(YAtCData[Team],MATCH(YACWR74[[#This Row],[Name]],YAtCData[Player],0)),"")</f>
        <v>MIA</v>
      </c>
      <c r="D58" s="247" t="str">
        <f>IFERROR(INDEX(YAtCData[Pos],MATCH(YACWR74[[#This Row],[Name]],YAtCData[Player],0)),"")</f>
        <v>WR</v>
      </c>
      <c r="E58" s="247">
        <f>IFERROR(INDEX(YAtCData[Rec],MATCH(YACWR74[[#This Row],[Name]],YAtCData[Player],0)),"")</f>
        <v>11</v>
      </c>
      <c r="F58" s="247">
        <f>IFERROR(INDEX(YAtCData[Yards],MATCH(YACWR74[[#This Row],[Name]],YAtCData[Player],0)),"")</f>
        <v>157</v>
      </c>
      <c r="G58" s="247">
        <f>IFERROR(INDEX(YAtCData[YAtC],MATCH(YACWR74[[#This Row],[Name]],YAtCData[Player],0)),"")</f>
        <v>120</v>
      </c>
      <c r="H58" s="247">
        <f>IFERROR(INDEX(YAtCData[YAtC/Rec],MATCH(YACWR74[[#This Row],[Name]],YAtCData[Player],0)),"")</f>
        <v>10.91</v>
      </c>
      <c r="I58" s="247">
        <f>IFERROR(INDEX(YACDATA[YAC],MATCH(YACWR74[[#This Row],[Name]],YACDATA[Player],0)),"")</f>
        <v>37</v>
      </c>
      <c r="J58" s="499">
        <f>IFERROR(INDEX(YACDATA[YAC per Reception],MATCH(YACWR74[[#This Row],[Name]],YACDATA[Player],0)),"")</f>
        <v>3.4</v>
      </c>
      <c r="K58" s="500"/>
      <c r="L58" s="104"/>
      <c r="M58" s="14">
        <v>48</v>
      </c>
      <c r="N58" s="59" t="s">
        <v>325</v>
      </c>
      <c r="O58" s="247" t="str">
        <f>IFERROR(INDEX(YAtCData[Team],MATCH(YACTE70[[#This Row],[Name]],YAtCData[Player],0)),"")</f>
        <v>SD</v>
      </c>
      <c r="P58" s="247" t="str">
        <f>IFERROR(INDEX(YAtCData[Pos],MATCH(YACTE70[[#This Row],[Name]],YAtCData[Player],0)),"")</f>
        <v>TE</v>
      </c>
      <c r="Q58" s="247">
        <f>IFERROR(INDEX(YAtCData[Rec],MATCH(YACTE70[[#This Row],[Name]],YAtCData[Player],0)),"")</f>
        <v>6</v>
      </c>
      <c r="R58" s="247">
        <f>IFERROR(INDEX(YAtCData[Yards],MATCH(YACTE70[[#This Row],[Name]],YAtCData[Player],0)),"")</f>
        <v>35</v>
      </c>
      <c r="S58" s="247">
        <f>IFERROR(INDEX(YAtCData[YAtC],MATCH(YACTE70[[#This Row],[Name]],YAtCData[Player],0)),"")</f>
        <v>12</v>
      </c>
      <c r="T58" s="247">
        <f>IFERROR(INDEX(YAtCData[YAtC/Rec],MATCH(YACTE70[[#This Row],[Name]],YAtCData[Player],0)),"")</f>
        <v>2</v>
      </c>
      <c r="U58" s="247">
        <f>IFERROR(INDEX(YACDATA[YAC],MATCH(YACTE70[[#This Row],[Name]],YACDATA[Player],0)),"")</f>
        <v>23</v>
      </c>
      <c r="V58" s="499">
        <f>IFERROR(INDEX(YACDATA[YAC per Reception],MATCH(YACTE70[[#This Row],[Name]],YACDATA[Player],0)),"")</f>
        <v>3.8</v>
      </c>
      <c r="W58" s="9"/>
      <c r="X58" s="9"/>
      <c r="Y58" s="9"/>
      <c r="Z58" s="9"/>
      <c r="AA58" s="9"/>
      <c r="AB58" s="9"/>
    </row>
    <row r="59" spans="1:28" x14ac:dyDescent="0.3">
      <c r="A59" s="8">
        <v>45.085931824321932</v>
      </c>
      <c r="B59" s="14" t="s">
        <v>283</v>
      </c>
      <c r="C59" s="247" t="str">
        <f>IFERROR(INDEX(YAtCData[Team],MATCH(YACWR74[[#This Row],[Name]],YAtCData[Player],0)),"")</f>
        <v>IND</v>
      </c>
      <c r="D59" s="247" t="str">
        <f>IFERROR(INDEX(YAtCData[Pos],MATCH(YACWR74[[#This Row],[Name]],YAtCData[Player],0)),"")</f>
        <v>WR</v>
      </c>
      <c r="E59" s="247">
        <f>IFERROR(INDEX(YAtCData[Rec],MATCH(YACWR74[[#This Row],[Name]],YAtCData[Player],0)),"")</f>
        <v>8</v>
      </c>
      <c r="F59" s="247">
        <f>IFERROR(INDEX(YAtCData[Yards],MATCH(YACWR74[[#This Row],[Name]],YAtCData[Player],0)),"")</f>
        <v>151</v>
      </c>
      <c r="G59" s="247">
        <f>IFERROR(INDEX(YAtCData[YAtC],MATCH(YACWR74[[#This Row],[Name]],YAtCData[Player],0)),"")</f>
        <v>127</v>
      </c>
      <c r="H59" s="247">
        <f>IFERROR(INDEX(YAtCData[YAtC/Rec],MATCH(YACWR74[[#This Row],[Name]],YAtCData[Player],0)),"")</f>
        <v>15.88</v>
      </c>
      <c r="I59" s="247">
        <f>IFERROR(INDEX(YACDATA[YAC],MATCH(YACWR74[[#This Row],[Name]],YACDATA[Player],0)),"")</f>
        <v>24</v>
      </c>
      <c r="J59" s="499">
        <f>IFERROR(INDEX(YACDATA[YAC per Reception],MATCH(YACWR74[[#This Row],[Name]],YACDATA[Player],0)),"")</f>
        <v>3</v>
      </c>
      <c r="K59" s="500"/>
      <c r="L59" s="104"/>
      <c r="M59" s="14">
        <v>49</v>
      </c>
      <c r="N59" s="59" t="s">
        <v>374</v>
      </c>
      <c r="O59" s="247" t="str">
        <f>IFERROR(INDEX(YAtCData[Team],MATCH(YACTE70[[#This Row],[Name]],YAtCData[Player],0)),"")</f>
        <v>KC</v>
      </c>
      <c r="P59" s="247" t="str">
        <f>IFERROR(INDEX(YAtCData[Pos],MATCH(YACTE70[[#This Row],[Name]],YAtCData[Player],0)),"")</f>
        <v>TE</v>
      </c>
      <c r="Q59" s="247">
        <f>IFERROR(INDEX(YAtCData[Rec],MATCH(YACTE70[[#This Row],[Name]],YAtCData[Player],0)),"")</f>
        <v>4</v>
      </c>
      <c r="R59" s="247">
        <f>IFERROR(INDEX(YAtCData[Yards],MATCH(YACTE70[[#This Row],[Name]],YAtCData[Player],0)),"")</f>
        <v>34</v>
      </c>
      <c r="S59" s="247">
        <f>IFERROR(INDEX(YAtCData[YAtC],MATCH(YACTE70[[#This Row],[Name]],YAtCData[Player],0)),"")</f>
        <v>18</v>
      </c>
      <c r="T59" s="247">
        <f>IFERROR(INDEX(YAtCData[YAtC/Rec],MATCH(YACTE70[[#This Row],[Name]],YAtCData[Player],0)),"")</f>
        <v>4.5</v>
      </c>
      <c r="U59" s="247">
        <f>IFERROR(INDEX(YACDATA[YAC],MATCH(YACTE70[[#This Row],[Name]],YACDATA[Player],0)),"")</f>
        <v>16</v>
      </c>
      <c r="V59" s="499">
        <f>IFERROR(INDEX(YACDATA[YAC per Reception],MATCH(YACTE70[[#This Row],[Name]],YACDATA[Player],0)),"")</f>
        <v>4</v>
      </c>
      <c r="W59" s="9"/>
      <c r="X59" s="9"/>
      <c r="Y59" s="9"/>
      <c r="Z59" s="9"/>
      <c r="AA59" s="9"/>
      <c r="AB59" s="9"/>
    </row>
    <row r="60" spans="1:28" x14ac:dyDescent="0.3">
      <c r="A60" s="8">
        <v>46.00438873732864</v>
      </c>
      <c r="B60" s="14" t="s">
        <v>234</v>
      </c>
      <c r="C60" s="247" t="str">
        <f>IFERROR(INDEX(YAtCData[Team],MATCH(YACWR74[[#This Row],[Name]],YAtCData[Player],0)),"")</f>
        <v>DAL</v>
      </c>
      <c r="D60" s="247" t="str">
        <f>IFERROR(INDEX(YAtCData[Pos],MATCH(YACWR74[[#This Row],[Name]],YAtCData[Player],0)),"")</f>
        <v>WR</v>
      </c>
      <c r="E60" s="247">
        <f>IFERROR(INDEX(YAtCData[Rec],MATCH(YACWR74[[#This Row],[Name]],YAtCData[Player],0)),"")</f>
        <v>11</v>
      </c>
      <c r="F60" s="247">
        <f>IFERROR(INDEX(YAtCData[Yards],MATCH(YACWR74[[#This Row],[Name]],YAtCData[Player],0)),"")</f>
        <v>150</v>
      </c>
      <c r="G60" s="247">
        <f>IFERROR(INDEX(YAtCData[YAtC],MATCH(YACWR74[[#This Row],[Name]],YAtCData[Player],0)),"")</f>
        <v>126</v>
      </c>
      <c r="H60" s="247">
        <f>IFERROR(INDEX(YAtCData[YAtC/Rec],MATCH(YACWR74[[#This Row],[Name]],YAtCData[Player],0)),"")</f>
        <v>11.45</v>
      </c>
      <c r="I60" s="247">
        <f>IFERROR(INDEX(YACDATA[YAC],MATCH(YACWR74[[#This Row],[Name]],YACDATA[Player],0)),"")</f>
        <v>24</v>
      </c>
      <c r="J60" s="499">
        <f>IFERROR(INDEX(YACDATA[YAC per Reception],MATCH(YACWR74[[#This Row],[Name]],YACDATA[Player],0)),"")</f>
        <v>2.2000000000000002</v>
      </c>
      <c r="K60" s="500"/>
      <c r="L60" s="104"/>
      <c r="M60" s="14">
        <v>50</v>
      </c>
      <c r="N60" s="59" t="s">
        <v>1253</v>
      </c>
      <c r="O60" s="247" t="str">
        <f>IFERROR(INDEX(YAtCData[Team],MATCH(YACTE70[[#This Row],[Name]],YAtCData[Player],0)),"")</f>
        <v>DEN</v>
      </c>
      <c r="P60" s="247" t="str">
        <f>IFERROR(INDEX(YAtCData[Pos],MATCH(YACTE70[[#This Row],[Name]],YAtCData[Player],0)),"")</f>
        <v>TE</v>
      </c>
      <c r="Q60" s="247">
        <f>IFERROR(INDEX(YAtCData[Rec],MATCH(YACTE70[[#This Row],[Name]],YAtCData[Player],0)),"")</f>
        <v>1</v>
      </c>
      <c r="R60" s="247">
        <f>IFERROR(INDEX(YAtCData[Yards],MATCH(YACTE70[[#This Row],[Name]],YAtCData[Player],0)),"")</f>
        <v>29</v>
      </c>
      <c r="S60" s="247">
        <f>IFERROR(INDEX(YAtCData[YAtC],MATCH(YACTE70[[#This Row],[Name]],YAtCData[Player],0)),"")</f>
        <v>22</v>
      </c>
      <c r="T60" s="247">
        <f>IFERROR(INDEX(YAtCData[YAtC/Rec],MATCH(YACTE70[[#This Row],[Name]],YAtCData[Player],0)),"")</f>
        <v>22</v>
      </c>
      <c r="U60" s="247">
        <f>IFERROR(INDEX(YACDATA[YAC],MATCH(YACTE70[[#This Row],[Name]],YACDATA[Player],0)),"")</f>
        <v>7</v>
      </c>
      <c r="V60" s="499">
        <f>IFERROR(INDEX(YACDATA[YAC per Reception],MATCH(YACTE70[[#This Row],[Name]],YACDATA[Player],0)),"")</f>
        <v>7</v>
      </c>
      <c r="W60" s="9"/>
      <c r="X60" s="9"/>
      <c r="Y60" s="9"/>
      <c r="Z60" s="9"/>
      <c r="AA60" s="9"/>
      <c r="AB60" s="9"/>
    </row>
    <row r="61" spans="1:28" x14ac:dyDescent="0.3">
      <c r="A61" s="8">
        <v>46.922845650335347</v>
      </c>
      <c r="B61" s="14" t="s">
        <v>291</v>
      </c>
      <c r="C61" s="247" t="str">
        <f>IFERROR(INDEX(YAtCData[Team],MATCH(YACWR74[[#This Row],[Name]],YAtCData[Player],0)),"")</f>
        <v>ARI</v>
      </c>
      <c r="D61" s="247" t="str">
        <f>IFERROR(INDEX(YAtCData[Pos],MATCH(YACWR74[[#This Row],[Name]],YAtCData[Player],0)),"")</f>
        <v>WR</v>
      </c>
      <c r="E61" s="247">
        <f>IFERROR(INDEX(YAtCData[Rec],MATCH(YACWR74[[#This Row],[Name]],YAtCData[Player],0)),"")</f>
        <v>6</v>
      </c>
      <c r="F61" s="247">
        <f>IFERROR(INDEX(YAtCData[Yards],MATCH(YACWR74[[#This Row],[Name]],YAtCData[Player],0)),"")</f>
        <v>145</v>
      </c>
      <c r="G61" s="247">
        <f>IFERROR(INDEX(YAtCData[YAtC],MATCH(YACWR74[[#This Row],[Name]],YAtCData[Player],0)),"")</f>
        <v>99</v>
      </c>
      <c r="H61" s="247">
        <f>IFERROR(INDEX(YAtCData[YAtC/Rec],MATCH(YACWR74[[#This Row],[Name]],YAtCData[Player],0)),"")</f>
        <v>16.5</v>
      </c>
      <c r="I61" s="247">
        <f>IFERROR(INDEX(YACDATA[YAC],MATCH(YACWR74[[#This Row],[Name]],YACDATA[Player],0)),"")</f>
        <v>46</v>
      </c>
      <c r="J61" s="499">
        <f>IFERROR(INDEX(YACDATA[YAC per Reception],MATCH(YACWR74[[#This Row],[Name]],YACDATA[Player],0)),"")</f>
        <v>7.7</v>
      </c>
      <c r="K61" s="500"/>
      <c r="L61" s="104"/>
      <c r="M61" s="14">
        <v>51</v>
      </c>
      <c r="N61" s="59" t="s">
        <v>369</v>
      </c>
      <c r="O61" s="247" t="str">
        <f>IFERROR(INDEX(YAtCData[Team],MATCH(YACTE70[[#This Row],[Name]],YAtCData[Player],0)),"")</f>
        <v>BUF</v>
      </c>
      <c r="P61" s="247" t="str">
        <f>IFERROR(INDEX(YAtCData[Pos],MATCH(YACTE70[[#This Row],[Name]],YAtCData[Player],0)),"")</f>
        <v>TE</v>
      </c>
      <c r="Q61" s="247">
        <f>IFERROR(INDEX(YAtCData[Rec],MATCH(YACTE70[[#This Row],[Name]],YAtCData[Player],0)),"")</f>
        <v>1</v>
      </c>
      <c r="R61" s="247">
        <f>IFERROR(INDEX(YAtCData[Yards],MATCH(YACTE70[[#This Row],[Name]],YAtCData[Player],0)),"")</f>
        <v>28</v>
      </c>
      <c r="S61" s="247">
        <f>IFERROR(INDEX(YAtCData[YAtC],MATCH(YACTE70[[#This Row],[Name]],YAtCData[Player],0)),"")</f>
        <v>13</v>
      </c>
      <c r="T61" s="247">
        <f>IFERROR(INDEX(YAtCData[YAtC/Rec],MATCH(YACTE70[[#This Row],[Name]],YAtCData[Player],0)),"")</f>
        <v>13</v>
      </c>
      <c r="U61" s="247">
        <f>IFERROR(INDEX(YACDATA[YAC],MATCH(YACTE70[[#This Row],[Name]],YACDATA[Player],0)),"")</f>
        <v>15</v>
      </c>
      <c r="V61" s="499">
        <f>IFERROR(INDEX(YACDATA[YAC per Reception],MATCH(YACTE70[[#This Row],[Name]],YACDATA[Player],0)),"")</f>
        <v>15</v>
      </c>
      <c r="W61" s="9"/>
      <c r="X61" s="9"/>
      <c r="Y61" s="9"/>
      <c r="Z61" s="9"/>
      <c r="AA61" s="9"/>
      <c r="AB61" s="9"/>
    </row>
    <row r="62" spans="1:28" x14ac:dyDescent="0.3">
      <c r="A62" s="8">
        <v>47.841302563342055</v>
      </c>
      <c r="B62" s="14" t="s">
        <v>214</v>
      </c>
      <c r="C62" s="247" t="str">
        <f>IFERROR(INDEX(YAtCData[Team],MATCH(YACWR74[[#This Row],[Name]],YAtCData[Player],0)),"")</f>
        <v>LA</v>
      </c>
      <c r="D62" s="247" t="str">
        <f>IFERROR(INDEX(YAtCData[Pos],MATCH(YACWR74[[#This Row],[Name]],YAtCData[Player],0)),"")</f>
        <v>WR</v>
      </c>
      <c r="E62" s="247">
        <f>IFERROR(INDEX(YAtCData[Rec],MATCH(YACWR74[[#This Row],[Name]],YAtCData[Player],0)),"")</f>
        <v>14</v>
      </c>
      <c r="F62" s="247">
        <f>IFERROR(INDEX(YAtCData[Yards],MATCH(YACWR74[[#This Row],[Name]],YAtCData[Player],0)),"")</f>
        <v>145</v>
      </c>
      <c r="G62" s="247">
        <f>IFERROR(INDEX(YAtCData[YAtC],MATCH(YACWR74[[#This Row],[Name]],YAtCData[Player],0)),"")</f>
        <v>83</v>
      </c>
      <c r="H62" s="247">
        <f>IFERROR(INDEX(YAtCData[YAtC/Rec],MATCH(YACWR74[[#This Row],[Name]],YAtCData[Player],0)),"")</f>
        <v>5.93</v>
      </c>
      <c r="I62" s="247">
        <f>IFERROR(INDEX(YACDATA[YAC],MATCH(YACWR74[[#This Row],[Name]],YACDATA[Player],0)),"")</f>
        <v>62</v>
      </c>
      <c r="J62" s="499">
        <f>IFERROR(INDEX(YACDATA[YAC per Reception],MATCH(YACWR74[[#This Row],[Name]],YACDATA[Player],0)),"")</f>
        <v>4.4000000000000004</v>
      </c>
      <c r="K62" s="500"/>
      <c r="L62" s="104"/>
      <c r="M62" s="14">
        <v>52</v>
      </c>
      <c r="N62" s="59" t="s">
        <v>330</v>
      </c>
      <c r="O62" s="247" t="str">
        <f>IFERROR(INDEX(YAtCData[Team],MATCH(YACTE70[[#This Row],[Name]],YAtCData[Player],0)),"")</f>
        <v>BAL</v>
      </c>
      <c r="P62" s="247" t="str">
        <f>IFERROR(INDEX(YAtCData[Pos],MATCH(YACTE70[[#This Row],[Name]],YAtCData[Player],0)),"")</f>
        <v>TE</v>
      </c>
      <c r="Q62" s="247">
        <f>IFERROR(INDEX(YAtCData[Rec],MATCH(YACTE70[[#This Row],[Name]],YAtCData[Player],0)),"")</f>
        <v>2</v>
      </c>
      <c r="R62" s="247">
        <f>IFERROR(INDEX(YAtCData[Yards],MATCH(YACTE70[[#This Row],[Name]],YAtCData[Player],0)),"")</f>
        <v>27</v>
      </c>
      <c r="S62" s="247">
        <f>IFERROR(INDEX(YAtCData[YAtC],MATCH(YACTE70[[#This Row],[Name]],YAtCData[Player],0)),"")</f>
        <v>18</v>
      </c>
      <c r="T62" s="247">
        <f>IFERROR(INDEX(YAtCData[YAtC/Rec],MATCH(YACTE70[[#This Row],[Name]],YAtCData[Player],0)),"")</f>
        <v>9</v>
      </c>
      <c r="U62" s="247">
        <f>IFERROR(INDEX(YACDATA[YAC],MATCH(YACTE70[[#This Row],[Name]],YACDATA[Player],0)),"")</f>
        <v>9</v>
      </c>
      <c r="V62" s="499">
        <f>IFERROR(INDEX(YACDATA[YAC per Reception],MATCH(YACTE70[[#This Row],[Name]],YACDATA[Player],0)),"")</f>
        <v>4.5</v>
      </c>
      <c r="W62" s="9"/>
      <c r="X62" s="9"/>
      <c r="Y62" s="9"/>
      <c r="Z62" s="9"/>
      <c r="AA62" s="9"/>
      <c r="AB62" s="9"/>
    </row>
    <row r="63" spans="1:28" x14ac:dyDescent="0.3">
      <c r="A63" s="8">
        <v>48.759759476348762</v>
      </c>
      <c r="B63" s="14" t="s">
        <v>278</v>
      </c>
      <c r="C63" s="247" t="str">
        <f>IFERROR(INDEX(YAtCData[Team],MATCH(YACWR74[[#This Row],[Name]],YAtCData[Player],0)),"")</f>
        <v>JAX</v>
      </c>
      <c r="D63" s="247" t="str">
        <f>IFERROR(INDEX(YAtCData[Pos],MATCH(YACWR74[[#This Row],[Name]],YAtCData[Player],0)),"")</f>
        <v>WR</v>
      </c>
      <c r="E63" s="247">
        <f>IFERROR(INDEX(YAtCData[Rec],MATCH(YACWR74[[#This Row],[Name]],YAtCData[Player],0)),"")</f>
        <v>12</v>
      </c>
      <c r="F63" s="247">
        <f>IFERROR(INDEX(YAtCData[Yards],MATCH(YACWR74[[#This Row],[Name]],YAtCData[Player],0)),"")</f>
        <v>141</v>
      </c>
      <c r="G63" s="247">
        <f>IFERROR(INDEX(YAtCData[YAtC],MATCH(YACWR74[[#This Row],[Name]],YAtCData[Player],0)),"")</f>
        <v>42</v>
      </c>
      <c r="H63" s="247">
        <f>IFERROR(INDEX(YAtCData[YAtC/Rec],MATCH(YACWR74[[#This Row],[Name]],YAtCData[Player],0)),"")</f>
        <v>3.5</v>
      </c>
      <c r="I63" s="247">
        <f>IFERROR(INDEX(YACDATA[YAC],MATCH(YACWR74[[#This Row],[Name]],YACDATA[Player],0)),"")</f>
        <v>99</v>
      </c>
      <c r="J63" s="499">
        <f>IFERROR(INDEX(YACDATA[YAC per Reception],MATCH(YACWR74[[#This Row],[Name]],YACDATA[Player],0)),"")</f>
        <v>8.3000000000000007</v>
      </c>
      <c r="K63" s="500"/>
      <c r="L63" s="104"/>
      <c r="M63" s="14">
        <v>53</v>
      </c>
      <c r="N63" s="59" t="s">
        <v>1560</v>
      </c>
      <c r="O63" s="247" t="str">
        <f>IFERROR(INDEX(YAtCData[Team],MATCH(YACTE70[[#This Row],[Name]],YAtCData[Player],0)),"")</f>
        <v>PIT</v>
      </c>
      <c r="P63" s="247" t="str">
        <f>IFERROR(INDEX(YAtCData[Pos],MATCH(YACTE70[[#This Row],[Name]],YAtCData[Player],0)),"")</f>
        <v>TE</v>
      </c>
      <c r="Q63" s="247">
        <f>IFERROR(INDEX(YAtCData[Rec],MATCH(YACTE70[[#This Row],[Name]],YAtCData[Player],0)),"")</f>
        <v>2</v>
      </c>
      <c r="R63" s="247">
        <f>IFERROR(INDEX(YAtCData[Yards],MATCH(YACTE70[[#This Row],[Name]],YAtCData[Player],0)),"")</f>
        <v>26</v>
      </c>
      <c r="S63" s="247">
        <f>IFERROR(INDEX(YAtCData[YAtC],MATCH(YACTE70[[#This Row],[Name]],YAtCData[Player],0)),"")</f>
        <v>19</v>
      </c>
      <c r="T63" s="247">
        <f>IFERROR(INDEX(YAtCData[YAtC/Rec],MATCH(YACTE70[[#This Row],[Name]],YAtCData[Player],0)),"")</f>
        <v>9.5</v>
      </c>
      <c r="U63" s="247">
        <f>IFERROR(INDEX(YACDATA[YAC],MATCH(YACTE70[[#This Row],[Name]],YACDATA[Player],0)),"")</f>
        <v>7</v>
      </c>
      <c r="V63" s="499">
        <f>IFERROR(INDEX(YACDATA[YAC per Reception],MATCH(YACTE70[[#This Row],[Name]],YACDATA[Player],0)),"")</f>
        <v>3.5</v>
      </c>
      <c r="W63" s="9"/>
      <c r="X63" s="9"/>
      <c r="Y63" s="9"/>
      <c r="Z63" s="9"/>
      <c r="AA63" s="9"/>
      <c r="AB63" s="9"/>
    </row>
    <row r="64" spans="1:28" x14ac:dyDescent="0.3">
      <c r="A64" s="8">
        <v>49.67821638935547</v>
      </c>
      <c r="B64" s="14" t="s">
        <v>220</v>
      </c>
      <c r="C64" s="247" t="str">
        <f>IFERROR(INDEX(YAtCData[Team],MATCH(YACWR74[[#This Row],[Name]],YAtCData[Player],0)),"")</f>
        <v>WAS</v>
      </c>
      <c r="D64" s="247" t="str">
        <f>IFERROR(INDEX(YAtCData[Pos],MATCH(YACWR74[[#This Row],[Name]],YAtCData[Player],0)),"")</f>
        <v>WR</v>
      </c>
      <c r="E64" s="247">
        <f>IFERROR(INDEX(YAtCData[Rec],MATCH(YACWR74[[#This Row],[Name]],YAtCData[Player],0)),"")</f>
        <v>13</v>
      </c>
      <c r="F64" s="247">
        <f>IFERROR(INDEX(YAtCData[Yards],MATCH(YACWR74[[#This Row],[Name]],YAtCData[Player],0)),"")</f>
        <v>135</v>
      </c>
      <c r="G64" s="247">
        <f>IFERROR(INDEX(YAtCData[YAtC],MATCH(YACWR74[[#This Row],[Name]],YAtCData[Player],0)),"")</f>
        <v>97</v>
      </c>
      <c r="H64" s="247">
        <f>IFERROR(INDEX(YAtCData[YAtC/Rec],MATCH(YACWR74[[#This Row],[Name]],YAtCData[Player],0)),"")</f>
        <v>7.46</v>
      </c>
      <c r="I64" s="247">
        <f>IFERROR(INDEX(YACDATA[YAC],MATCH(YACWR74[[#This Row],[Name]],YACDATA[Player],0)),"")</f>
        <v>38</v>
      </c>
      <c r="J64" s="499">
        <f>IFERROR(INDEX(YACDATA[YAC per Reception],MATCH(YACWR74[[#This Row],[Name]],YACDATA[Player],0)),"")</f>
        <v>2.9</v>
      </c>
      <c r="K64" s="500"/>
      <c r="L64" s="104"/>
      <c r="M64" s="14">
        <v>54</v>
      </c>
      <c r="N64" s="59" t="s">
        <v>353</v>
      </c>
      <c r="O64" s="247" t="str">
        <f>IFERROR(INDEX(YAtCData[Team],MATCH(YACTE70[[#This Row],[Name]],YAtCData[Player],0)),"")</f>
        <v>CAR</v>
      </c>
      <c r="P64" s="247" t="str">
        <f>IFERROR(INDEX(YAtCData[Pos],MATCH(YACTE70[[#This Row],[Name]],YAtCData[Player],0)),"")</f>
        <v>TE</v>
      </c>
      <c r="Q64" s="247">
        <f>IFERROR(INDEX(YAtCData[Rec],MATCH(YACTE70[[#This Row],[Name]],YAtCData[Player],0)),"")</f>
        <v>1</v>
      </c>
      <c r="R64" s="247">
        <f>IFERROR(INDEX(YAtCData[Yards],MATCH(YACTE70[[#This Row],[Name]],YAtCData[Player],0)),"")</f>
        <v>23</v>
      </c>
      <c r="S64" s="247">
        <f>IFERROR(INDEX(YAtCData[YAtC],MATCH(YACTE70[[#This Row],[Name]],YAtCData[Player],0)),"")</f>
        <v>20</v>
      </c>
      <c r="T64" s="247">
        <f>IFERROR(INDEX(YAtCData[YAtC/Rec],MATCH(YACTE70[[#This Row],[Name]],YAtCData[Player],0)),"")</f>
        <v>20</v>
      </c>
      <c r="U64" s="247">
        <f>IFERROR(INDEX(YACDATA[YAC],MATCH(YACTE70[[#This Row],[Name]],YACDATA[Player],0)),"")</f>
        <v>3</v>
      </c>
      <c r="V64" s="499">
        <f>IFERROR(INDEX(YACDATA[YAC per Reception],MATCH(YACTE70[[#This Row],[Name]],YACDATA[Player],0)),"")</f>
        <v>3</v>
      </c>
      <c r="W64" s="9"/>
      <c r="X64" s="9"/>
      <c r="Y64" s="9"/>
      <c r="Z64" s="9"/>
      <c r="AA64" s="9"/>
      <c r="AB64" s="9"/>
    </row>
    <row r="65" spans="1:28" x14ac:dyDescent="0.3">
      <c r="A65" s="8">
        <v>50.596673302362177</v>
      </c>
      <c r="B65" s="14" t="s">
        <v>219</v>
      </c>
      <c r="C65" s="247" t="str">
        <f>IFERROR(INDEX(YAtCData[Team],MATCH(YACWR74[[#This Row],[Name]],YAtCData[Player],0)),"")</f>
        <v>ARI</v>
      </c>
      <c r="D65" s="247" t="str">
        <f>IFERROR(INDEX(YAtCData[Pos],MATCH(YACWR74[[#This Row],[Name]],YAtCData[Player],0)),"")</f>
        <v>WR</v>
      </c>
      <c r="E65" s="247">
        <f>IFERROR(INDEX(YAtCData[Rec],MATCH(YACWR74[[#This Row],[Name]],YAtCData[Player],0)),"")</f>
        <v>9</v>
      </c>
      <c r="F65" s="247">
        <f>IFERROR(INDEX(YAtCData[Yards],MATCH(YACWR74[[#This Row],[Name]],YAtCData[Player],0)),"")</f>
        <v>134</v>
      </c>
      <c r="G65" s="247">
        <f>IFERROR(INDEX(YAtCData[YAtC],MATCH(YACWR74[[#This Row],[Name]],YAtCData[Player],0)),"")</f>
        <v>118</v>
      </c>
      <c r="H65" s="247">
        <f>IFERROR(INDEX(YAtCData[YAtC/Rec],MATCH(YACWR74[[#This Row],[Name]],YAtCData[Player],0)),"")</f>
        <v>13.11</v>
      </c>
      <c r="I65" s="247">
        <f>IFERROR(INDEX(YACDATA[YAC],MATCH(YACWR74[[#This Row],[Name]],YACDATA[Player],0)),"")</f>
        <v>16</v>
      </c>
      <c r="J65" s="499">
        <f>IFERROR(INDEX(YACDATA[YAC per Reception],MATCH(YACWR74[[#This Row],[Name]],YACDATA[Player],0)),"")</f>
        <v>1.8</v>
      </c>
      <c r="K65" s="500"/>
      <c r="L65" s="104"/>
      <c r="M65" s="14">
        <v>55</v>
      </c>
      <c r="N65" s="59" t="s">
        <v>557</v>
      </c>
      <c r="O65" s="247" t="str">
        <f>IFERROR(INDEX(YAtCData[Team],MATCH(YACTE70[[#This Row],[Name]],YAtCData[Player],0)),"")</f>
        <v>DET</v>
      </c>
      <c r="P65" s="247" t="str">
        <f>IFERROR(INDEX(YAtCData[Pos],MATCH(YACTE70[[#This Row],[Name]],YAtCData[Player],0)),"")</f>
        <v>TE</v>
      </c>
      <c r="Q65" s="247">
        <f>IFERROR(INDEX(YAtCData[Rec],MATCH(YACTE70[[#This Row],[Name]],YAtCData[Player],0)),"")</f>
        <v>2</v>
      </c>
      <c r="R65" s="247">
        <f>IFERROR(INDEX(YAtCData[Yards],MATCH(YACTE70[[#This Row],[Name]],YAtCData[Player],0)),"")</f>
        <v>18</v>
      </c>
      <c r="S65" s="247">
        <f>IFERROR(INDEX(YAtCData[YAtC],MATCH(YACTE70[[#This Row],[Name]],YAtCData[Player],0)),"")</f>
        <v>9</v>
      </c>
      <c r="T65" s="247">
        <f>IFERROR(INDEX(YAtCData[YAtC/Rec],MATCH(YACTE70[[#This Row],[Name]],YAtCData[Player],0)),"")</f>
        <v>4.5</v>
      </c>
      <c r="U65" s="247">
        <f>IFERROR(INDEX(YACDATA[YAC],MATCH(YACTE70[[#This Row],[Name]],YACDATA[Player],0)),"")</f>
        <v>9</v>
      </c>
      <c r="V65" s="499">
        <f>IFERROR(INDEX(YACDATA[YAC per Reception],MATCH(YACTE70[[#This Row],[Name]],YACDATA[Player],0)),"")</f>
        <v>4.5</v>
      </c>
      <c r="W65" s="9"/>
      <c r="X65" s="9"/>
      <c r="Y65" s="9"/>
      <c r="Z65" s="9"/>
      <c r="AA65" s="9"/>
      <c r="AB65" s="9"/>
    </row>
    <row r="66" spans="1:28" x14ac:dyDescent="0.3">
      <c r="A66" s="8">
        <v>51.515130215368885</v>
      </c>
      <c r="B66" s="14" t="s">
        <v>432</v>
      </c>
      <c r="C66" s="247" t="str">
        <f>IFERROR(INDEX(YAtCData[Team],MATCH(YACWR74[[#This Row],[Name]],YAtCData[Player],0)),"")</f>
        <v>CHI</v>
      </c>
      <c r="D66" s="247" t="str">
        <f>IFERROR(INDEX(YAtCData[Pos],MATCH(YACWR74[[#This Row],[Name]],YAtCData[Player],0)),"")</f>
        <v>WR</v>
      </c>
      <c r="E66" s="247">
        <f>IFERROR(INDEX(YAtCData[Rec],MATCH(YACWR74[[#This Row],[Name]],YAtCData[Player],0)),"")</f>
        <v>13</v>
      </c>
      <c r="F66" s="247">
        <f>IFERROR(INDEX(YAtCData[Yards],MATCH(YACWR74[[#This Row],[Name]],YAtCData[Player],0)),"")</f>
        <v>132</v>
      </c>
      <c r="G66" s="247">
        <f>IFERROR(INDEX(YAtCData[YAtC],MATCH(YACWR74[[#This Row],[Name]],YAtCData[Player],0)),"")</f>
        <v>96</v>
      </c>
      <c r="H66" s="247">
        <f>IFERROR(INDEX(YAtCData[YAtC/Rec],MATCH(YACWR74[[#This Row],[Name]],YAtCData[Player],0)),"")</f>
        <v>7.38</v>
      </c>
      <c r="I66" s="247">
        <f>IFERROR(INDEX(YACDATA[YAC],MATCH(YACWR74[[#This Row],[Name]],YACDATA[Player],0)),"")</f>
        <v>36</v>
      </c>
      <c r="J66" s="499">
        <f>IFERROR(INDEX(YACDATA[YAC per Reception],MATCH(YACWR74[[#This Row],[Name]],YACDATA[Player],0)),"")</f>
        <v>2.8</v>
      </c>
      <c r="K66" s="500"/>
      <c r="L66" s="104"/>
      <c r="M66" s="14">
        <v>56</v>
      </c>
      <c r="N66" s="59" t="s">
        <v>358</v>
      </c>
      <c r="O66" s="247" t="str">
        <f>IFERROR(INDEX(YAtCData[Team],MATCH(YACTE70[[#This Row],[Name]],YAtCData[Player],0)),"")</f>
        <v>TB</v>
      </c>
      <c r="P66" s="247" t="str">
        <f>IFERROR(INDEX(YAtCData[Pos],MATCH(YACTE70[[#This Row],[Name]],YAtCData[Player],0)),"")</f>
        <v>TE</v>
      </c>
      <c r="Q66" s="247">
        <f>IFERROR(INDEX(YAtCData[Rec],MATCH(YACTE70[[#This Row],[Name]],YAtCData[Player],0)),"")</f>
        <v>2</v>
      </c>
      <c r="R66" s="247">
        <f>IFERROR(INDEX(YAtCData[Yards],MATCH(YACTE70[[#This Row],[Name]],YAtCData[Player],0)),"")</f>
        <v>11</v>
      </c>
      <c r="S66" s="247">
        <f>IFERROR(INDEX(YAtCData[YAtC],MATCH(YACTE70[[#This Row],[Name]],YAtCData[Player],0)),"")</f>
        <v>9</v>
      </c>
      <c r="T66" s="247">
        <f>IFERROR(INDEX(YAtCData[YAtC/Rec],MATCH(YACTE70[[#This Row],[Name]],YAtCData[Player],0)),"")</f>
        <v>4.5</v>
      </c>
      <c r="U66" s="247">
        <f>IFERROR(INDEX(YACDATA[YAC],MATCH(YACTE70[[#This Row],[Name]],YACDATA[Player],0)),"")</f>
        <v>2</v>
      </c>
      <c r="V66" s="499">
        <f>IFERROR(INDEX(YACDATA[YAC per Reception],MATCH(YACTE70[[#This Row],[Name]],YACDATA[Player],0)),"")</f>
        <v>1</v>
      </c>
      <c r="W66" s="9"/>
      <c r="X66" s="9"/>
      <c r="Y66" s="9"/>
      <c r="Z66" s="9"/>
      <c r="AA66" s="9"/>
      <c r="AB66" s="9"/>
    </row>
    <row r="67" spans="1:28" x14ac:dyDescent="0.3">
      <c r="A67" s="8">
        <v>52.433587128375592</v>
      </c>
      <c r="B67" s="14" t="s">
        <v>216</v>
      </c>
      <c r="C67" s="247" t="str">
        <f>IFERROR(INDEX(YAtCData[Team],MATCH(YACWR74[[#This Row],[Name]],YAtCData[Player],0)),"")</f>
        <v>GB</v>
      </c>
      <c r="D67" s="247" t="str">
        <f>IFERROR(INDEX(YAtCData[Pos],MATCH(YACWR74[[#This Row],[Name]],YAtCData[Player],0)),"")</f>
        <v>WR</v>
      </c>
      <c r="E67" s="247">
        <f>IFERROR(INDEX(YAtCData[Rec],MATCH(YACWR74[[#This Row],[Name]],YAtCData[Player],0)),"")</f>
        <v>12</v>
      </c>
      <c r="F67" s="247">
        <f>IFERROR(INDEX(YAtCData[Yards],MATCH(YACWR74[[#This Row],[Name]],YAtCData[Player],0)),"")</f>
        <v>132</v>
      </c>
      <c r="G67" s="247">
        <f>IFERROR(INDEX(YAtCData[YAtC],MATCH(YACWR74[[#This Row],[Name]],YAtCData[Player],0)),"")</f>
        <v>66</v>
      </c>
      <c r="H67" s="247">
        <f>IFERROR(INDEX(YAtCData[YAtC/Rec],MATCH(YACWR74[[#This Row],[Name]],YAtCData[Player],0)),"")</f>
        <v>5.5</v>
      </c>
      <c r="I67" s="247">
        <f>IFERROR(INDEX(YACDATA[YAC],MATCH(YACWR74[[#This Row],[Name]],YACDATA[Player],0)),"")</f>
        <v>66</v>
      </c>
      <c r="J67" s="499">
        <f>IFERROR(INDEX(YACDATA[YAC per Reception],MATCH(YACWR74[[#This Row],[Name]],YACDATA[Player],0)),"")</f>
        <v>5.5</v>
      </c>
      <c r="K67" s="500"/>
      <c r="L67" s="104"/>
      <c r="M67" s="14">
        <v>57</v>
      </c>
      <c r="N67" s="59" t="s">
        <v>1518</v>
      </c>
      <c r="O67" s="247" t="str">
        <f>IFERROR(INDEX(YAtCData[Team],MATCH(YACTE70[[#This Row],[Name]],YAtCData[Player],0)),"")</f>
        <v>DEN</v>
      </c>
      <c r="P67" s="247" t="str">
        <f>IFERROR(INDEX(YAtCData[Pos],MATCH(YACTE70[[#This Row],[Name]],YAtCData[Player],0)),"")</f>
        <v>TE</v>
      </c>
      <c r="Q67" s="247">
        <f>IFERROR(INDEX(YAtCData[Rec],MATCH(YACTE70[[#This Row],[Name]],YAtCData[Player],0)),"")</f>
        <v>2</v>
      </c>
      <c r="R67" s="247">
        <f>IFERROR(INDEX(YAtCData[Yards],MATCH(YACTE70[[#This Row],[Name]],YAtCData[Player],0)),"")</f>
        <v>9</v>
      </c>
      <c r="S67" s="247">
        <f>IFERROR(INDEX(YAtCData[YAtC],MATCH(YACTE70[[#This Row],[Name]],YAtCData[Player],0)),"")</f>
        <v>12</v>
      </c>
      <c r="T67" s="247">
        <f>IFERROR(INDEX(YAtCData[YAtC/Rec],MATCH(YACTE70[[#This Row],[Name]],YAtCData[Player],0)),"")</f>
        <v>6</v>
      </c>
      <c r="U67" s="247" t="str">
        <f>IFERROR(INDEX(YACDATA[YAC],MATCH(YACTE70[[#This Row],[Name]],YACDATA[Player],0)),"")</f>
        <v/>
      </c>
      <c r="V67" s="499" t="str">
        <f>IFERROR(INDEX(YACDATA[YAC per Reception],MATCH(YACTE70[[#This Row],[Name]],YACDATA[Player],0)),"")</f>
        <v/>
      </c>
      <c r="W67" s="9"/>
      <c r="X67" s="9"/>
      <c r="Y67" s="9"/>
      <c r="Z67" s="9"/>
      <c r="AA67" s="9"/>
      <c r="AB67" s="9"/>
    </row>
    <row r="68" spans="1:28" x14ac:dyDescent="0.3">
      <c r="A68" s="8">
        <v>53.3520440413823</v>
      </c>
      <c r="B68" s="14" t="s">
        <v>258</v>
      </c>
      <c r="C68" s="247" t="str">
        <f>IFERROR(INDEX(YAtCData[Team],MATCH(YACWR74[[#This Row],[Name]],YAtCData[Player],0)),"")</f>
        <v>MIA</v>
      </c>
      <c r="D68" s="247" t="str">
        <f>IFERROR(INDEX(YAtCData[Pos],MATCH(YACWR74[[#This Row],[Name]],YAtCData[Player],0)),"")</f>
        <v>WR</v>
      </c>
      <c r="E68" s="247">
        <f>IFERROR(INDEX(YAtCData[Rec],MATCH(YACWR74[[#This Row],[Name]],YAtCData[Player],0)),"")</f>
        <v>8</v>
      </c>
      <c r="F68" s="247">
        <f>IFERROR(INDEX(YAtCData[Yards],MATCH(YACWR74[[#This Row],[Name]],YAtCData[Player],0)),"")</f>
        <v>131</v>
      </c>
      <c r="G68" s="247">
        <f>IFERROR(INDEX(YAtCData[YAtC],MATCH(YACWR74[[#This Row],[Name]],YAtCData[Player],0)),"")</f>
        <v>105</v>
      </c>
      <c r="H68" s="247">
        <f>IFERROR(INDEX(YAtCData[YAtC/Rec],MATCH(YACWR74[[#This Row],[Name]],YAtCData[Player],0)),"")</f>
        <v>13.13</v>
      </c>
      <c r="I68" s="247">
        <f>IFERROR(INDEX(YACDATA[YAC],MATCH(YACWR74[[#This Row],[Name]],YACDATA[Player],0)),"")</f>
        <v>26</v>
      </c>
      <c r="J68" s="499">
        <f>IFERROR(INDEX(YACDATA[YAC per Reception],MATCH(YACWR74[[#This Row],[Name]],YACDATA[Player],0)),"")</f>
        <v>3.3</v>
      </c>
      <c r="K68" s="500"/>
      <c r="L68" s="104"/>
      <c r="M68" s="156"/>
      <c r="N68" s="156"/>
      <c r="O68" s="156"/>
      <c r="P68" s="156"/>
      <c r="Q68" s="156"/>
      <c r="R68" s="156"/>
      <c r="S68" s="156"/>
      <c r="T68" s="142"/>
      <c r="U68" s="156"/>
      <c r="V68" s="156"/>
      <c r="W68" s="9"/>
      <c r="X68" s="9"/>
      <c r="Y68" s="9"/>
      <c r="Z68" s="9"/>
      <c r="AA68" s="9"/>
      <c r="AB68" s="9"/>
    </row>
    <row r="69" spans="1:28" x14ac:dyDescent="0.3">
      <c r="A69" s="8">
        <v>54.270500954389</v>
      </c>
      <c r="B69" s="14" t="s">
        <v>256</v>
      </c>
      <c r="C69" s="247" t="str">
        <f>IFERROR(INDEX(YAtCData[Team],MATCH(YACWR74[[#This Row],[Name]],YAtCData[Player],0)),"")</f>
        <v>CHI</v>
      </c>
      <c r="D69" s="247" t="str">
        <f>IFERROR(INDEX(YAtCData[Pos],MATCH(YACWR74[[#This Row],[Name]],YAtCData[Player],0)),"")</f>
        <v>WR</v>
      </c>
      <c r="E69" s="247">
        <f>IFERROR(INDEX(YAtCData[Rec],MATCH(YACWR74[[#This Row],[Name]],YAtCData[Player],0)),"")</f>
        <v>11</v>
      </c>
      <c r="F69" s="247">
        <f>IFERROR(INDEX(YAtCData[Yards],MATCH(YACWR74[[#This Row],[Name]],YAtCData[Player],0)),"")</f>
        <v>130</v>
      </c>
      <c r="G69" s="247">
        <f>IFERROR(INDEX(YAtCData[YAtC],MATCH(YACWR74[[#This Row],[Name]],YAtCData[Player],0)),"")</f>
        <v>75</v>
      </c>
      <c r="H69" s="247">
        <f>IFERROR(INDEX(YAtCData[YAtC/Rec],MATCH(YACWR74[[#This Row],[Name]],YAtCData[Player],0)),"")</f>
        <v>6.82</v>
      </c>
      <c r="I69" s="247">
        <f>IFERROR(INDEX(YACDATA[YAC],MATCH(YACWR74[[#This Row],[Name]],YACDATA[Player],0)),"")</f>
        <v>55</v>
      </c>
      <c r="J69" s="499">
        <f>IFERROR(INDEX(YACDATA[YAC per Reception],MATCH(YACWR74[[#This Row],[Name]],YACDATA[Player],0)),"")</f>
        <v>5</v>
      </c>
      <c r="K69" s="500"/>
      <c r="L69" s="104"/>
      <c r="M69" s="156"/>
      <c r="N69" s="156"/>
      <c r="O69" s="156"/>
      <c r="P69" s="156"/>
      <c r="Q69" s="156"/>
      <c r="R69" s="156"/>
      <c r="S69" s="156"/>
      <c r="T69" s="142"/>
      <c r="U69" s="156"/>
      <c r="V69" s="156"/>
      <c r="W69" s="156"/>
      <c r="X69" s="156"/>
      <c r="Y69" s="156"/>
      <c r="Z69" s="9"/>
      <c r="AA69" s="9"/>
      <c r="AB69" s="9"/>
    </row>
    <row r="70" spans="1:28" x14ac:dyDescent="0.3">
      <c r="A70" s="8">
        <v>55.188957867395708</v>
      </c>
      <c r="B70" s="14" t="s">
        <v>277</v>
      </c>
      <c r="C70" s="247" t="str">
        <f>IFERROR(INDEX(YAtCData[Team],MATCH(YACWR74[[#This Row],[Name]],YAtCData[Player],0)),"")</f>
        <v>ATL</v>
      </c>
      <c r="D70" s="247" t="str">
        <f>IFERROR(INDEX(YAtCData[Pos],MATCH(YACWR74[[#This Row],[Name]],YAtCData[Player],0)),"")</f>
        <v>WR</v>
      </c>
      <c r="E70" s="247">
        <f>IFERROR(INDEX(YAtCData[Rec],MATCH(YACWR74[[#This Row],[Name]],YAtCData[Player],0)),"")</f>
        <v>11</v>
      </c>
      <c r="F70" s="247">
        <f>IFERROR(INDEX(YAtCData[Yards],MATCH(YACWR74[[#This Row],[Name]],YAtCData[Player],0)),"")</f>
        <v>130</v>
      </c>
      <c r="G70" s="247">
        <f>IFERROR(INDEX(YAtCData[YAtC],MATCH(YACWR74[[#This Row],[Name]],YAtCData[Player],0)),"")</f>
        <v>75</v>
      </c>
      <c r="H70" s="247">
        <f>IFERROR(INDEX(YAtCData[YAtC/Rec],MATCH(YACWR74[[#This Row],[Name]],YAtCData[Player],0)),"")</f>
        <v>6.82</v>
      </c>
      <c r="I70" s="247">
        <f>IFERROR(INDEX(YACDATA[YAC],MATCH(YACWR74[[#This Row],[Name]],YACDATA[Player],0)),"")</f>
        <v>55</v>
      </c>
      <c r="J70" s="499">
        <f>IFERROR(INDEX(YACDATA[YAC per Reception],MATCH(YACWR74[[#This Row],[Name]],YACDATA[Player],0)),"")</f>
        <v>5</v>
      </c>
      <c r="K70" s="500"/>
      <c r="L70" s="104"/>
      <c r="M70" s="156"/>
      <c r="N70" s="156"/>
      <c r="O70" s="156"/>
      <c r="P70" s="156"/>
      <c r="Q70" s="156"/>
      <c r="R70" s="156"/>
      <c r="S70" s="156"/>
      <c r="T70" s="142"/>
      <c r="U70" s="156"/>
      <c r="V70" s="156"/>
      <c r="W70" s="156"/>
      <c r="X70" s="156"/>
      <c r="Y70" s="156"/>
      <c r="Z70" s="9"/>
      <c r="AA70" s="9"/>
      <c r="AB70" s="9"/>
    </row>
    <row r="71" spans="1:28" x14ac:dyDescent="0.3">
      <c r="A71" s="8">
        <v>56.107414780402415</v>
      </c>
      <c r="B71" s="14" t="s">
        <v>292</v>
      </c>
      <c r="C71" s="247" t="str">
        <f>IFERROR(INDEX(YAtCData[Team],MATCH(YACWR74[[#This Row],[Name]],YAtCData[Player],0)),"")</f>
        <v>MIN</v>
      </c>
      <c r="D71" s="247" t="str">
        <f>IFERROR(INDEX(YAtCData[Pos],MATCH(YACWR74[[#This Row],[Name]],YAtCData[Player],0)),"")</f>
        <v>WR</v>
      </c>
      <c r="E71" s="247">
        <f>IFERROR(INDEX(YAtCData[Rec],MATCH(YACWR74[[#This Row],[Name]],YAtCData[Player],0)),"")</f>
        <v>11</v>
      </c>
      <c r="F71" s="247">
        <f>IFERROR(INDEX(YAtCData[Yards],MATCH(YACWR74[[#This Row],[Name]],YAtCData[Player],0)),"")</f>
        <v>124</v>
      </c>
      <c r="G71" s="247">
        <f>IFERROR(INDEX(YAtCData[YAtC],MATCH(YACWR74[[#This Row],[Name]],YAtCData[Player],0)),"")</f>
        <v>109</v>
      </c>
      <c r="H71" s="247">
        <f>IFERROR(INDEX(YAtCData[YAtC/Rec],MATCH(YACWR74[[#This Row],[Name]],YAtCData[Player],0)),"")</f>
        <v>9.91</v>
      </c>
      <c r="I71" s="247">
        <f>IFERROR(INDEX(YACDATA[YAC],MATCH(YACWR74[[#This Row],[Name]],YACDATA[Player],0)),"")</f>
        <v>15</v>
      </c>
      <c r="J71" s="499">
        <f>IFERROR(INDEX(YACDATA[YAC per Reception],MATCH(YACWR74[[#This Row],[Name]],YACDATA[Player],0)),"")</f>
        <v>1.4</v>
      </c>
      <c r="K71" s="500"/>
      <c r="L71" s="104"/>
      <c r="M71" s="156"/>
      <c r="N71" s="156"/>
      <c r="O71" s="156"/>
      <c r="P71" s="156"/>
      <c r="Q71" s="156"/>
      <c r="R71" s="156"/>
      <c r="S71" s="156"/>
      <c r="T71" s="142"/>
      <c r="U71" s="156"/>
      <c r="V71" s="156"/>
      <c r="W71" s="156"/>
      <c r="X71" s="156"/>
      <c r="Y71" s="156"/>
      <c r="Z71" s="9"/>
      <c r="AA71" s="9"/>
      <c r="AB71" s="9"/>
    </row>
    <row r="72" spans="1:28" x14ac:dyDescent="0.3">
      <c r="A72" s="8">
        <v>57.025871693409123</v>
      </c>
      <c r="B72" s="14" t="s">
        <v>230</v>
      </c>
      <c r="C72" s="247" t="str">
        <f>IFERROR(INDEX(YAtCData[Team],MATCH(YACWR74[[#This Row],[Name]],YAtCData[Player],0)),"")</f>
        <v>DAL</v>
      </c>
      <c r="D72" s="247" t="str">
        <f>IFERROR(INDEX(YAtCData[Pos],MATCH(YACWR74[[#This Row],[Name]],YAtCData[Player],0)),"")</f>
        <v>WR</v>
      </c>
      <c r="E72" s="247">
        <f>IFERROR(INDEX(YAtCData[Rec],MATCH(YACWR74[[#This Row],[Name]],YAtCData[Player],0)),"")</f>
        <v>7</v>
      </c>
      <c r="F72" s="247">
        <f>IFERROR(INDEX(YAtCData[Yards],MATCH(YACWR74[[#This Row],[Name]],YAtCData[Player],0)),"")</f>
        <v>122</v>
      </c>
      <c r="G72" s="247">
        <f>IFERROR(INDEX(YAtCData[YAtC],MATCH(YACWR74[[#This Row],[Name]],YAtCData[Player],0)),"")</f>
        <v>80</v>
      </c>
      <c r="H72" s="247">
        <f>IFERROR(INDEX(YAtCData[YAtC/Rec],MATCH(YACWR74[[#This Row],[Name]],YAtCData[Player],0)),"")</f>
        <v>11.43</v>
      </c>
      <c r="I72" s="247">
        <f>IFERROR(INDEX(YACDATA[YAC],MATCH(YACWR74[[#This Row],[Name]],YACDATA[Player],0)),"")</f>
        <v>42</v>
      </c>
      <c r="J72" s="499">
        <f>IFERROR(INDEX(YACDATA[YAC per Reception],MATCH(YACWR74[[#This Row],[Name]],YACDATA[Player],0)),"")</f>
        <v>6</v>
      </c>
      <c r="K72" s="500"/>
      <c r="L72" s="104"/>
      <c r="M72" s="156"/>
      <c r="N72" s="156"/>
      <c r="O72" s="156"/>
      <c r="P72" s="156"/>
      <c r="Q72" s="156"/>
      <c r="R72" s="156"/>
      <c r="S72" s="156"/>
      <c r="T72" s="142"/>
      <c r="U72" s="156"/>
      <c r="V72" s="156"/>
      <c r="W72" s="156"/>
      <c r="X72" s="156"/>
      <c r="Y72" s="156"/>
      <c r="Z72" s="9"/>
      <c r="AA72" s="9"/>
      <c r="AB72" s="9"/>
    </row>
    <row r="73" spans="1:28" x14ac:dyDescent="0.3">
      <c r="A73" s="8">
        <v>57.94432860641583</v>
      </c>
      <c r="B73" s="14" t="s">
        <v>276</v>
      </c>
      <c r="C73" s="247" t="str">
        <f>IFERROR(INDEX(YAtCData[Team],MATCH(YACWR74[[#This Row],[Name]],YAtCData[Player],0)),"")</f>
        <v>NE</v>
      </c>
      <c r="D73" s="247" t="str">
        <f>IFERROR(INDEX(YAtCData[Pos],MATCH(YACWR74[[#This Row],[Name]],YAtCData[Player],0)),"")</f>
        <v>WR</v>
      </c>
      <c r="E73" s="247">
        <f>IFERROR(INDEX(YAtCData[Rec],MATCH(YACWR74[[#This Row],[Name]],YAtCData[Player],0)),"")</f>
        <v>8</v>
      </c>
      <c r="F73" s="247">
        <f>IFERROR(INDEX(YAtCData[Yards],MATCH(YACWR74[[#This Row],[Name]],YAtCData[Player],0)),"")</f>
        <v>122</v>
      </c>
      <c r="G73" s="247">
        <f>IFERROR(INDEX(YAtCData[YAtC],MATCH(YACWR74[[#This Row],[Name]],YAtCData[Player],0)),"")</f>
        <v>59</v>
      </c>
      <c r="H73" s="247">
        <f>IFERROR(INDEX(YAtCData[YAtC/Rec],MATCH(YACWR74[[#This Row],[Name]],YAtCData[Player],0)),"")</f>
        <v>7.38</v>
      </c>
      <c r="I73" s="247">
        <f>IFERROR(INDEX(YACDATA[YAC],MATCH(YACWR74[[#This Row],[Name]],YACDATA[Player],0)),"")</f>
        <v>63</v>
      </c>
      <c r="J73" s="499">
        <f>IFERROR(INDEX(YACDATA[YAC per Reception],MATCH(YACWR74[[#This Row],[Name]],YACDATA[Player],0)),"")</f>
        <v>7.9</v>
      </c>
      <c r="K73" s="500"/>
      <c r="L73" s="104"/>
      <c r="M73" s="156"/>
      <c r="N73" s="156"/>
      <c r="O73" s="156"/>
      <c r="P73" s="156"/>
      <c r="Q73" s="156"/>
      <c r="R73" s="156"/>
      <c r="S73" s="156"/>
      <c r="T73" s="142"/>
      <c r="U73" s="156"/>
      <c r="V73" s="156"/>
      <c r="W73" s="156"/>
      <c r="X73" s="156"/>
      <c r="Y73" s="156"/>
      <c r="Z73" s="9"/>
      <c r="AA73" s="9"/>
      <c r="AB73" s="9"/>
    </row>
    <row r="74" spans="1:28" x14ac:dyDescent="0.3">
      <c r="A74" s="8">
        <v>58.862785519422538</v>
      </c>
      <c r="B74" s="14" t="s">
        <v>465</v>
      </c>
      <c r="C74" s="247" t="str">
        <f>IFERROR(INDEX(YAtCData[Team],MATCH(YACWR74[[#This Row],[Name]],YAtCData[Player],0)),"")</f>
        <v>CIN</v>
      </c>
      <c r="D74" s="247" t="str">
        <f>IFERROR(INDEX(YAtCData[Pos],MATCH(YACWR74[[#This Row],[Name]],YAtCData[Player],0)),"")</f>
        <v>WR</v>
      </c>
      <c r="E74" s="247">
        <f>IFERROR(INDEX(YAtCData[Rec],MATCH(YACWR74[[#This Row],[Name]],YAtCData[Player],0)),"")</f>
        <v>11</v>
      </c>
      <c r="F74" s="247">
        <f>IFERROR(INDEX(YAtCData[Yards],MATCH(YACWR74[[#This Row],[Name]],YAtCData[Player],0)),"")</f>
        <v>120</v>
      </c>
      <c r="G74" s="247">
        <f>IFERROR(INDEX(YAtCData[YAtC],MATCH(YACWR74[[#This Row],[Name]],YAtCData[Player],0)),"")</f>
        <v>82</v>
      </c>
      <c r="H74" s="247">
        <f>IFERROR(INDEX(YAtCData[YAtC/Rec],MATCH(YACWR74[[#This Row],[Name]],YAtCData[Player],0)),"")</f>
        <v>7.45</v>
      </c>
      <c r="I74" s="247">
        <f>IFERROR(INDEX(YACDATA[YAC],MATCH(YACWR74[[#This Row],[Name]],YACDATA[Player],0)),"")</f>
        <v>38</v>
      </c>
      <c r="J74" s="499">
        <f>IFERROR(INDEX(YACDATA[YAC per Reception],MATCH(YACWR74[[#This Row],[Name]],YACDATA[Player],0)),"")</f>
        <v>3.5</v>
      </c>
      <c r="K74" s="500"/>
      <c r="L74" s="104"/>
      <c r="M74" s="156"/>
      <c r="N74" s="156"/>
      <c r="O74" s="156"/>
      <c r="P74" s="156"/>
      <c r="Q74" s="156"/>
      <c r="R74" s="156"/>
      <c r="S74" s="156"/>
      <c r="T74" s="142"/>
      <c r="U74" s="156"/>
      <c r="V74" s="156"/>
      <c r="W74" s="156"/>
      <c r="X74" s="156"/>
      <c r="Y74" s="156"/>
      <c r="Z74" s="9"/>
      <c r="AA74" s="9"/>
      <c r="AB74" s="9"/>
    </row>
    <row r="75" spans="1:28" x14ac:dyDescent="0.3">
      <c r="A75" s="8">
        <v>59.781242432429245</v>
      </c>
      <c r="B75" s="14" t="s">
        <v>272</v>
      </c>
      <c r="C75" s="247" t="str">
        <f>IFERROR(INDEX(YAtCData[Team],MATCH(YACWR74[[#This Row],[Name]],YAtCData[Player],0)),"")</f>
        <v>PHI</v>
      </c>
      <c r="D75" s="247" t="str">
        <f>IFERROR(INDEX(YAtCData[Pos],MATCH(YACWR74[[#This Row],[Name]],YAtCData[Player],0)),"")</f>
        <v>WR</v>
      </c>
      <c r="E75" s="247">
        <f>IFERROR(INDEX(YAtCData[Rec],MATCH(YACWR74[[#This Row],[Name]],YAtCData[Player],0)),"")</f>
        <v>11</v>
      </c>
      <c r="F75" s="247">
        <f>IFERROR(INDEX(YAtCData[Yards],MATCH(YACWR74[[#This Row],[Name]],YAtCData[Player],0)),"")</f>
        <v>120</v>
      </c>
      <c r="G75" s="247">
        <f>IFERROR(INDEX(YAtCData[YAtC],MATCH(YACWR74[[#This Row],[Name]],YAtCData[Player],0)),"")</f>
        <v>78</v>
      </c>
      <c r="H75" s="247">
        <f>IFERROR(INDEX(YAtCData[YAtC/Rec],MATCH(YACWR74[[#This Row],[Name]],YAtCData[Player],0)),"")</f>
        <v>7.09</v>
      </c>
      <c r="I75" s="247">
        <f>IFERROR(INDEX(YACDATA[YAC],MATCH(YACWR74[[#This Row],[Name]],YACDATA[Player],0)),"")</f>
        <v>42</v>
      </c>
      <c r="J75" s="499">
        <f>IFERROR(INDEX(YACDATA[YAC per Reception],MATCH(YACWR74[[#This Row],[Name]],YACDATA[Player],0)),"")</f>
        <v>3.8</v>
      </c>
      <c r="K75" s="500"/>
      <c r="L75" s="104"/>
      <c r="M75" s="156"/>
      <c r="N75" s="156"/>
      <c r="O75" s="156"/>
      <c r="P75" s="156"/>
      <c r="Q75" s="156"/>
      <c r="R75" s="156"/>
      <c r="S75" s="156"/>
      <c r="T75" s="142"/>
      <c r="U75" s="156"/>
      <c r="V75" s="156"/>
      <c r="W75" s="156"/>
      <c r="X75" s="156"/>
      <c r="Y75" s="156"/>
      <c r="Z75" s="9"/>
      <c r="AA75" s="9"/>
      <c r="AB75" s="9"/>
    </row>
    <row r="76" spans="1:28" x14ac:dyDescent="0.3">
      <c r="A76" s="8">
        <v>60.699699345435953</v>
      </c>
      <c r="B76" s="14" t="s">
        <v>228</v>
      </c>
      <c r="C76" s="247" t="str">
        <f>IFERROR(INDEX(YAtCData[Team],MATCH(YACWR74[[#This Row],[Name]],YAtCData[Player],0)),"")</f>
        <v>NE</v>
      </c>
      <c r="D76" s="247" t="str">
        <f>IFERROR(INDEX(YAtCData[Pos],MATCH(YACWR74[[#This Row],[Name]],YAtCData[Player],0)),"")</f>
        <v>WR</v>
      </c>
      <c r="E76" s="247">
        <f>IFERROR(INDEX(YAtCData[Rec],MATCH(YACWR74[[#This Row],[Name]],YAtCData[Player],0)),"")</f>
        <v>9</v>
      </c>
      <c r="F76" s="247">
        <f>IFERROR(INDEX(YAtCData[Yards],MATCH(YACWR74[[#This Row],[Name]],YAtCData[Player],0)),"")</f>
        <v>119</v>
      </c>
      <c r="G76" s="247">
        <f>IFERROR(INDEX(YAtCData[YAtC],MATCH(YACWR74[[#This Row],[Name]],YAtCData[Player],0)),"")</f>
        <v>88</v>
      </c>
      <c r="H76" s="247">
        <f>IFERROR(INDEX(YAtCData[YAtC/Rec],MATCH(YACWR74[[#This Row],[Name]],YAtCData[Player],0)),"")</f>
        <v>9.7799999999999994</v>
      </c>
      <c r="I76" s="247">
        <f>IFERROR(INDEX(YACDATA[YAC],MATCH(YACWR74[[#This Row],[Name]],YACDATA[Player],0)),"")</f>
        <v>31</v>
      </c>
      <c r="J76" s="499">
        <f>IFERROR(INDEX(YACDATA[YAC per Reception],MATCH(YACWR74[[#This Row],[Name]],YACDATA[Player],0)),"")</f>
        <v>3.4</v>
      </c>
      <c r="K76" s="500"/>
      <c r="L76" s="104"/>
      <c r="M76" s="156"/>
      <c r="N76" s="156"/>
      <c r="O76" s="156"/>
      <c r="P76" s="156"/>
      <c r="Q76" s="156"/>
      <c r="R76" s="156"/>
      <c r="S76" s="156"/>
      <c r="T76" s="142"/>
      <c r="U76" s="156"/>
      <c r="V76" s="156"/>
      <c r="W76" s="156"/>
      <c r="X76" s="156"/>
      <c r="Y76" s="156"/>
      <c r="Z76" s="9"/>
      <c r="AA76" s="9"/>
      <c r="AB76" s="9"/>
    </row>
    <row r="77" spans="1:28" x14ac:dyDescent="0.3">
      <c r="A77" s="8">
        <v>61.61815625844266</v>
      </c>
      <c r="B77" s="14" t="s">
        <v>1350</v>
      </c>
      <c r="C77" s="247" t="str">
        <f>IFERROR(INDEX(YAtCData[Team],MATCH(YACWR74[[#This Row],[Name]],YAtCData[Player],0)),"")</f>
        <v>CAR</v>
      </c>
      <c r="D77" s="247" t="str">
        <f>IFERROR(INDEX(YAtCData[Pos],MATCH(YACWR74[[#This Row],[Name]],YAtCData[Player],0)),"")</f>
        <v>WR</v>
      </c>
      <c r="E77" s="247">
        <f>IFERROR(INDEX(YAtCData[Rec],MATCH(YACWR74[[#This Row],[Name]],YAtCData[Player],0)),"")</f>
        <v>6</v>
      </c>
      <c r="F77" s="247">
        <f>IFERROR(INDEX(YAtCData[Yards],MATCH(YACWR74[[#This Row],[Name]],YAtCData[Player],0)),"")</f>
        <v>118</v>
      </c>
      <c r="G77" s="247">
        <f>IFERROR(INDEX(YAtCData[YAtC],MATCH(YACWR74[[#This Row],[Name]],YAtCData[Player],0)),"")</f>
        <v>101</v>
      </c>
      <c r="H77" s="247">
        <f>IFERROR(INDEX(YAtCData[YAtC/Rec],MATCH(YACWR74[[#This Row],[Name]],YAtCData[Player],0)),"")</f>
        <v>16.829999999999998</v>
      </c>
      <c r="I77" s="247">
        <f>IFERROR(INDEX(YACDATA[YAC],MATCH(YACWR74[[#This Row],[Name]],YACDATA[Player],0)),"")</f>
        <v>17</v>
      </c>
      <c r="J77" s="499">
        <f>IFERROR(INDEX(YACDATA[YAC per Reception],MATCH(YACWR74[[#This Row],[Name]],YACDATA[Player],0)),"")</f>
        <v>2.8</v>
      </c>
      <c r="K77" s="500"/>
      <c r="L77" s="104"/>
      <c r="M77" s="156"/>
      <c r="N77" s="156"/>
      <c r="O77" s="156"/>
      <c r="P77" s="156"/>
      <c r="Q77" s="156"/>
      <c r="R77" s="156"/>
      <c r="S77" s="156"/>
      <c r="T77" s="142"/>
      <c r="U77" s="156"/>
      <c r="V77" s="156"/>
      <c r="W77" s="156"/>
      <c r="X77" s="156"/>
      <c r="Y77" s="156"/>
      <c r="Z77" s="9"/>
      <c r="AA77" s="9"/>
      <c r="AB77" s="9"/>
    </row>
    <row r="78" spans="1:28" x14ac:dyDescent="0.3">
      <c r="A78" s="8">
        <v>62.536613171449368</v>
      </c>
      <c r="B78" s="14" t="s">
        <v>306</v>
      </c>
      <c r="C78" s="247" t="str">
        <f>IFERROR(INDEX(YAtCData[Team],MATCH(YACWR74[[#This Row],[Name]],YAtCData[Player],0)),"")</f>
        <v>BUF</v>
      </c>
      <c r="D78" s="247" t="str">
        <f>IFERROR(INDEX(YAtCData[Pos],MATCH(YACWR74[[#This Row],[Name]],YAtCData[Player],0)),"")</f>
        <v>WR</v>
      </c>
      <c r="E78" s="247">
        <f>IFERROR(INDEX(YAtCData[Rec],MATCH(YACWR74[[#This Row],[Name]],YAtCData[Player],0)),"")</f>
        <v>3</v>
      </c>
      <c r="F78" s="247">
        <f>IFERROR(INDEX(YAtCData[Yards],MATCH(YACWR74[[#This Row],[Name]],YAtCData[Player],0)),"")</f>
        <v>118</v>
      </c>
      <c r="G78" s="247">
        <f>IFERROR(INDEX(YAtCData[YAtC],MATCH(YACWR74[[#This Row],[Name]],YAtCData[Player],0)),"")</f>
        <v>82</v>
      </c>
      <c r="H78" s="247">
        <f>IFERROR(INDEX(YAtCData[YAtC/Rec],MATCH(YACWR74[[#This Row],[Name]],YAtCData[Player],0)),"")</f>
        <v>27.33</v>
      </c>
      <c r="I78" s="247">
        <f>IFERROR(INDEX(YACDATA[YAC],MATCH(YACWR74[[#This Row],[Name]],YACDATA[Player],0)),"")</f>
        <v>36</v>
      </c>
      <c r="J78" s="499">
        <f>IFERROR(INDEX(YACDATA[YAC per Reception],MATCH(YACWR74[[#This Row],[Name]],YACDATA[Player],0)),"")</f>
        <v>12</v>
      </c>
      <c r="K78" s="500"/>
      <c r="L78" s="104"/>
      <c r="M78" s="156"/>
      <c r="N78" s="156"/>
      <c r="O78" s="156"/>
      <c r="P78" s="156"/>
      <c r="Q78" s="156"/>
      <c r="R78" s="156"/>
      <c r="S78" s="156"/>
      <c r="T78" s="142"/>
      <c r="U78" s="156"/>
      <c r="V78" s="156"/>
      <c r="W78" s="156"/>
      <c r="X78" s="156"/>
      <c r="Y78" s="156"/>
      <c r="Z78" s="9"/>
      <c r="AA78" s="9"/>
      <c r="AB78" s="9"/>
    </row>
    <row r="79" spans="1:28" x14ac:dyDescent="0.3">
      <c r="A79" s="8">
        <v>63.455070084456075</v>
      </c>
      <c r="B79" s="14" t="s">
        <v>224</v>
      </c>
      <c r="C79" s="247" t="str">
        <f>IFERROR(INDEX(YAtCData[Team],MATCH(YACWR74[[#This Row],[Name]],YAtCData[Player],0)),"")</f>
        <v>SEA</v>
      </c>
      <c r="D79" s="247" t="str">
        <f>IFERROR(INDEX(YAtCData[Pos],MATCH(YACWR74[[#This Row],[Name]],YAtCData[Player],0)),"")</f>
        <v>WR</v>
      </c>
      <c r="E79" s="247">
        <f>IFERROR(INDEX(YAtCData[Rec],MATCH(YACWR74[[#This Row],[Name]],YAtCData[Player],0)),"")</f>
        <v>7</v>
      </c>
      <c r="F79" s="247">
        <f>IFERROR(INDEX(YAtCData[Yards],MATCH(YACWR74[[#This Row],[Name]],YAtCData[Player],0)),"")</f>
        <v>116</v>
      </c>
      <c r="G79" s="247">
        <f>IFERROR(INDEX(YAtCData[YAtC],MATCH(YACWR74[[#This Row],[Name]],YAtCData[Player],0)),"")</f>
        <v>73</v>
      </c>
      <c r="H79" s="247">
        <f>IFERROR(INDEX(YAtCData[YAtC/Rec],MATCH(YACWR74[[#This Row],[Name]],YAtCData[Player],0)),"")</f>
        <v>10.43</v>
      </c>
      <c r="I79" s="247">
        <f>IFERROR(INDEX(YACDATA[YAC],MATCH(YACWR74[[#This Row],[Name]],YACDATA[Player],0)),"")</f>
        <v>43</v>
      </c>
      <c r="J79" s="499">
        <f>IFERROR(INDEX(YACDATA[YAC per Reception],MATCH(YACWR74[[#This Row],[Name]],YACDATA[Player],0)),"")</f>
        <v>6.1</v>
      </c>
      <c r="K79" s="500"/>
      <c r="L79" s="104"/>
      <c r="M79" s="156"/>
      <c r="N79" s="156"/>
      <c r="O79" s="156"/>
      <c r="P79" s="156"/>
      <c r="Q79" s="156"/>
      <c r="R79" s="156"/>
      <c r="S79" s="156"/>
      <c r="T79" s="142"/>
      <c r="U79" s="156"/>
      <c r="V79" s="156"/>
      <c r="W79" s="156"/>
      <c r="X79" s="156"/>
      <c r="Y79" s="156"/>
      <c r="Z79" s="9"/>
      <c r="AA79" s="9"/>
      <c r="AB79" s="9"/>
    </row>
    <row r="80" spans="1:28" x14ac:dyDescent="0.3">
      <c r="A80" s="8">
        <v>64.37352699746279</v>
      </c>
      <c r="B80" s="14" t="s">
        <v>294</v>
      </c>
      <c r="C80" s="247" t="str">
        <f>IFERROR(INDEX(YAtCData[Team],MATCH(YACWR74[[#This Row],[Name]],YAtCData[Player],0)),"")</f>
        <v>SF</v>
      </c>
      <c r="D80" s="247" t="str">
        <f>IFERROR(INDEX(YAtCData[Pos],MATCH(YACWR74[[#This Row],[Name]],YAtCData[Player],0)),"")</f>
        <v>WR</v>
      </c>
      <c r="E80" s="247">
        <f>IFERROR(INDEX(YAtCData[Rec],MATCH(YACWR74[[#This Row],[Name]],YAtCData[Player],0)),"")</f>
        <v>12</v>
      </c>
      <c r="F80" s="247">
        <f>IFERROR(INDEX(YAtCData[Yards],MATCH(YACWR74[[#This Row],[Name]],YAtCData[Player],0)),"")</f>
        <v>114</v>
      </c>
      <c r="G80" s="247">
        <f>IFERROR(INDEX(YAtCData[YAtC],MATCH(YACWR74[[#This Row],[Name]],YAtCData[Player],0)),"")</f>
        <v>80</v>
      </c>
      <c r="H80" s="247">
        <f>IFERROR(INDEX(YAtCData[YAtC/Rec],MATCH(YACWR74[[#This Row],[Name]],YAtCData[Player],0)),"")</f>
        <v>6.67</v>
      </c>
      <c r="I80" s="247">
        <f>IFERROR(INDEX(YACDATA[YAC],MATCH(YACWR74[[#This Row],[Name]],YACDATA[Player],0)),"")</f>
        <v>34</v>
      </c>
      <c r="J80" s="499">
        <f>IFERROR(INDEX(YACDATA[YAC per Reception],MATCH(YACWR74[[#This Row],[Name]],YACDATA[Player],0)),"")</f>
        <v>2.8</v>
      </c>
      <c r="K80" s="500"/>
      <c r="L80" s="104"/>
      <c r="M80" s="156"/>
      <c r="N80" s="156"/>
      <c r="O80" s="156"/>
      <c r="P80" s="156"/>
      <c r="Q80" s="156"/>
      <c r="R80" s="156"/>
      <c r="S80" s="156"/>
      <c r="T80" s="142"/>
      <c r="U80" s="156"/>
      <c r="V80" s="156"/>
      <c r="W80" s="156"/>
      <c r="X80" s="156"/>
      <c r="Y80" s="156"/>
      <c r="Z80" s="9"/>
      <c r="AA80" s="9"/>
      <c r="AB80" s="9"/>
    </row>
    <row r="81" spans="1:28" x14ac:dyDescent="0.3">
      <c r="A81" s="8">
        <v>65.291983910469483</v>
      </c>
      <c r="B81" s="14" t="s">
        <v>410</v>
      </c>
      <c r="C81" s="247" t="str">
        <f>IFERROR(INDEX(YAtCData[Team],MATCH(YACWR74[[#This Row],[Name]],YAtCData[Player],0)),"")</f>
        <v>DET</v>
      </c>
      <c r="D81" s="247" t="str">
        <f>IFERROR(INDEX(YAtCData[Pos],MATCH(YACWR74[[#This Row],[Name]],YAtCData[Player],0)),"")</f>
        <v>WR</v>
      </c>
      <c r="E81" s="247">
        <f>IFERROR(INDEX(YAtCData[Rec],MATCH(YACWR74[[#This Row],[Name]],YAtCData[Player],0)),"")</f>
        <v>11</v>
      </c>
      <c r="F81" s="247">
        <f>IFERROR(INDEX(YAtCData[Yards],MATCH(YACWR74[[#This Row],[Name]],YAtCData[Player],0)),"")</f>
        <v>105</v>
      </c>
      <c r="G81" s="247">
        <f>IFERROR(INDEX(YAtCData[YAtC],MATCH(YACWR74[[#This Row],[Name]],YAtCData[Player],0)),"")</f>
        <v>62</v>
      </c>
      <c r="H81" s="247">
        <f>IFERROR(INDEX(YAtCData[YAtC/Rec],MATCH(YACWR74[[#This Row],[Name]],YAtCData[Player],0)),"")</f>
        <v>5.64</v>
      </c>
      <c r="I81" s="247">
        <f>IFERROR(INDEX(YACDATA[YAC],MATCH(YACWR74[[#This Row],[Name]],YACDATA[Player],0)),"")</f>
        <v>43</v>
      </c>
      <c r="J81" s="499">
        <f>IFERROR(INDEX(YACDATA[YAC per Reception],MATCH(YACWR74[[#This Row],[Name]],YACDATA[Player],0)),"")</f>
        <v>3.9</v>
      </c>
      <c r="K81" s="500"/>
      <c r="L81" s="104"/>
      <c r="M81" s="156"/>
      <c r="N81" s="156"/>
      <c r="O81" s="156"/>
      <c r="P81" s="156"/>
      <c r="Q81" s="156"/>
      <c r="R81" s="156"/>
      <c r="S81" s="156"/>
      <c r="T81" s="142"/>
      <c r="U81" s="156"/>
      <c r="V81" s="156"/>
      <c r="W81" s="156"/>
      <c r="X81" s="156"/>
      <c r="Y81" s="156"/>
      <c r="Z81" s="9"/>
      <c r="AA81" s="9"/>
      <c r="AB81" s="9"/>
    </row>
    <row r="82" spans="1:28" x14ac:dyDescent="0.3">
      <c r="A82" s="8">
        <v>66.210440823476191</v>
      </c>
      <c r="B82" s="14" t="s">
        <v>243</v>
      </c>
      <c r="C82" s="247" t="str">
        <f>IFERROR(INDEX(YAtCData[Team],MATCH(YACWR74[[#This Row],[Name]],YAtCData[Player],0)),"")</f>
        <v>SF</v>
      </c>
      <c r="D82" s="247" t="str">
        <f>IFERROR(INDEX(YAtCData[Pos],MATCH(YACWR74[[#This Row],[Name]],YAtCData[Player],0)),"")</f>
        <v>WR</v>
      </c>
      <c r="E82" s="247">
        <f>IFERROR(INDEX(YAtCData[Rec],MATCH(YACWR74[[#This Row],[Name]],YAtCData[Player],0)),"")</f>
        <v>8</v>
      </c>
      <c r="F82" s="247">
        <f>IFERROR(INDEX(YAtCData[Yards],MATCH(YACWR74[[#This Row],[Name]],YAtCData[Player],0)),"")</f>
        <v>103</v>
      </c>
      <c r="G82" s="247">
        <f>IFERROR(INDEX(YAtCData[YAtC],MATCH(YACWR74[[#This Row],[Name]],YAtCData[Player],0)),"")</f>
        <v>87</v>
      </c>
      <c r="H82" s="247">
        <f>IFERROR(INDEX(YAtCData[YAtC/Rec],MATCH(YACWR74[[#This Row],[Name]],YAtCData[Player],0)),"")</f>
        <v>10.88</v>
      </c>
      <c r="I82" s="247">
        <f>IFERROR(INDEX(YACDATA[YAC],MATCH(YACWR74[[#This Row],[Name]],YACDATA[Player],0)),"")</f>
        <v>16</v>
      </c>
      <c r="J82" s="499">
        <f>IFERROR(INDEX(YACDATA[YAC per Reception],MATCH(YACWR74[[#This Row],[Name]],YACDATA[Player],0)),"")</f>
        <v>2</v>
      </c>
      <c r="K82" s="500"/>
      <c r="L82" s="104"/>
      <c r="M82" s="156"/>
      <c r="N82" s="156"/>
      <c r="O82" s="156"/>
      <c r="P82" s="156"/>
      <c r="Q82" s="156"/>
      <c r="R82" s="156"/>
      <c r="S82" s="156"/>
      <c r="T82" s="142"/>
      <c r="U82" s="156"/>
      <c r="V82" s="156"/>
      <c r="W82" s="156"/>
      <c r="X82" s="156"/>
      <c r="Y82" s="156"/>
      <c r="Z82" s="9"/>
      <c r="AA82" s="9"/>
      <c r="AB82" s="9"/>
    </row>
    <row r="83" spans="1:28" x14ac:dyDescent="0.3">
      <c r="A83" s="8">
        <v>67.128897736482898</v>
      </c>
      <c r="B83" s="14" t="s">
        <v>285</v>
      </c>
      <c r="C83" s="247" t="str">
        <f>IFERROR(INDEX(YAtCData[Team],MATCH(YACWR74[[#This Row],[Name]],YAtCData[Player],0)),"")</f>
        <v>KC</v>
      </c>
      <c r="D83" s="247" t="str">
        <f>IFERROR(INDEX(YAtCData[Pos],MATCH(YACWR74[[#This Row],[Name]],YAtCData[Player],0)),"")</f>
        <v>WR</v>
      </c>
      <c r="E83" s="247">
        <f>IFERROR(INDEX(YAtCData[Rec],MATCH(YACWR74[[#This Row],[Name]],YAtCData[Player],0)),"")</f>
        <v>9</v>
      </c>
      <c r="F83" s="247">
        <f>IFERROR(INDEX(YAtCData[Yards],MATCH(YACWR74[[#This Row],[Name]],YAtCData[Player],0)),"")</f>
        <v>102</v>
      </c>
      <c r="G83" s="247">
        <f>IFERROR(INDEX(YAtCData[YAtC],MATCH(YACWR74[[#This Row],[Name]],YAtCData[Player],0)),"")</f>
        <v>72</v>
      </c>
      <c r="H83" s="247">
        <f>IFERROR(INDEX(YAtCData[YAtC/Rec],MATCH(YACWR74[[#This Row],[Name]],YAtCData[Player],0)),"")</f>
        <v>8</v>
      </c>
      <c r="I83" s="247">
        <f>IFERROR(INDEX(YACDATA[YAC],MATCH(YACWR74[[#This Row],[Name]],YACDATA[Player],0)),"")</f>
        <v>30</v>
      </c>
      <c r="J83" s="499">
        <f>IFERROR(INDEX(YACDATA[YAC per Reception],MATCH(YACWR74[[#This Row],[Name]],YACDATA[Player],0)),"")</f>
        <v>3.3</v>
      </c>
      <c r="K83" s="500"/>
      <c r="L83" s="104"/>
      <c r="M83" s="156"/>
      <c r="N83" s="156"/>
      <c r="O83" s="156"/>
      <c r="P83" s="156"/>
      <c r="Q83" s="156"/>
      <c r="R83" s="156"/>
      <c r="S83" s="156"/>
      <c r="T83" s="142"/>
      <c r="U83" s="156"/>
      <c r="V83" s="156"/>
      <c r="W83" s="156"/>
      <c r="X83" s="156"/>
      <c r="Y83" s="156"/>
      <c r="Z83" s="9"/>
      <c r="AA83" s="9"/>
      <c r="AB83" s="9"/>
    </row>
    <row r="84" spans="1:28" x14ac:dyDescent="0.3">
      <c r="A84" s="8">
        <v>68.047354649489606</v>
      </c>
      <c r="B84" s="14" t="s">
        <v>1248</v>
      </c>
      <c r="C84" s="247" t="str">
        <f>IFERROR(INDEX(YAtCData[Team],MATCH(YACWR74[[#This Row],[Name]],YAtCData[Player],0)),"")</f>
        <v>PIT</v>
      </c>
      <c r="D84" s="247" t="str">
        <f>IFERROR(INDEX(YAtCData[Pos],MATCH(YACWR74[[#This Row],[Name]],YAtCData[Player],0)),"")</f>
        <v>WR</v>
      </c>
      <c r="E84" s="247">
        <f>IFERROR(INDEX(YAtCData[Rec],MATCH(YACWR74[[#This Row],[Name]],YAtCData[Player],0)),"")</f>
        <v>9</v>
      </c>
      <c r="F84" s="247">
        <f>IFERROR(INDEX(YAtCData[Yards],MATCH(YACWR74[[#This Row],[Name]],YAtCData[Player],0)),"")</f>
        <v>100</v>
      </c>
      <c r="G84" s="247">
        <f>IFERROR(INDEX(YAtCData[YAtC],MATCH(YACWR74[[#This Row],[Name]],YAtCData[Player],0)),"")</f>
        <v>55</v>
      </c>
      <c r="H84" s="247">
        <f>IFERROR(INDEX(YAtCData[YAtC/Rec],MATCH(YACWR74[[#This Row],[Name]],YAtCData[Player],0)),"")</f>
        <v>6.11</v>
      </c>
      <c r="I84" s="247">
        <f>IFERROR(INDEX(YACDATA[YAC],MATCH(YACWR74[[#This Row],[Name]],YACDATA[Player],0)),"")</f>
        <v>45</v>
      </c>
      <c r="J84" s="499">
        <f>IFERROR(INDEX(YACDATA[YAC per Reception],MATCH(YACWR74[[#This Row],[Name]],YACDATA[Player],0)),"")</f>
        <v>5</v>
      </c>
      <c r="K84" s="500"/>
      <c r="L84" s="104"/>
      <c r="M84" s="156"/>
      <c r="N84" s="156"/>
      <c r="O84" s="156"/>
      <c r="P84" s="156"/>
      <c r="Q84" s="156"/>
      <c r="R84" s="156"/>
      <c r="S84" s="156"/>
      <c r="T84" s="142"/>
      <c r="U84" s="156"/>
      <c r="V84" s="156"/>
      <c r="W84" s="156"/>
      <c r="X84" s="156"/>
      <c r="Y84" s="156"/>
      <c r="Z84" s="9"/>
      <c r="AA84" s="9"/>
      <c r="AB84" s="9"/>
    </row>
    <row r="85" spans="1:28" x14ac:dyDescent="0.3">
      <c r="A85" s="8">
        <v>68.965811562496313</v>
      </c>
      <c r="B85" s="14" t="s">
        <v>233</v>
      </c>
      <c r="C85" s="247" t="str">
        <f>IFERROR(INDEX(YAtCData[Team],MATCH(YACWR74[[#This Row],[Name]],YAtCData[Player],0)),"")</f>
        <v>TB</v>
      </c>
      <c r="D85" s="247" t="str">
        <f>IFERROR(INDEX(YAtCData[Pos],MATCH(YACWR74[[#This Row],[Name]],YAtCData[Player],0)),"")</f>
        <v>WR</v>
      </c>
      <c r="E85" s="247">
        <f>IFERROR(INDEX(YAtCData[Rec],MATCH(YACWR74[[#This Row],[Name]],YAtCData[Player],0)),"")</f>
        <v>9</v>
      </c>
      <c r="F85" s="247">
        <f>IFERROR(INDEX(YAtCData[Yards],MATCH(YACWR74[[#This Row],[Name]],YAtCData[Player],0)),"")</f>
        <v>99</v>
      </c>
      <c r="G85" s="247">
        <f>IFERROR(INDEX(YAtCData[YAtC],MATCH(YACWR74[[#This Row],[Name]],YAtCData[Player],0)),"")</f>
        <v>86</v>
      </c>
      <c r="H85" s="247">
        <f>IFERROR(INDEX(YAtCData[YAtC/Rec],MATCH(YACWR74[[#This Row],[Name]],YAtCData[Player],0)),"")</f>
        <v>9.56</v>
      </c>
      <c r="I85" s="247">
        <f>IFERROR(INDEX(YACDATA[YAC],MATCH(YACWR74[[#This Row],[Name]],YACDATA[Player],0)),"")</f>
        <v>13</v>
      </c>
      <c r="J85" s="499">
        <f>IFERROR(INDEX(YACDATA[YAC per Reception],MATCH(YACWR74[[#This Row],[Name]],YACDATA[Player],0)),"")</f>
        <v>1.4</v>
      </c>
      <c r="K85" s="500"/>
      <c r="L85" s="104"/>
      <c r="M85" s="156"/>
      <c r="N85" s="156"/>
      <c r="O85" s="156"/>
      <c r="P85" s="156"/>
      <c r="Q85" s="156"/>
      <c r="R85" s="156"/>
      <c r="S85" s="156"/>
      <c r="T85" s="142"/>
      <c r="U85" s="156"/>
      <c r="V85" s="156"/>
      <c r="W85" s="156"/>
      <c r="X85" s="156"/>
      <c r="Y85" s="156"/>
      <c r="Z85" s="9"/>
      <c r="AA85" s="9"/>
      <c r="AB85" s="9"/>
    </row>
    <row r="86" spans="1:28" x14ac:dyDescent="0.3">
      <c r="A86" s="8">
        <v>69.884268475503021</v>
      </c>
      <c r="B86" s="14" t="s">
        <v>242</v>
      </c>
      <c r="C86" s="247" t="str">
        <f>IFERROR(INDEX(YAtCData[Team],MATCH(YACWR74[[#This Row],[Name]],YAtCData[Player],0)),"")</f>
        <v>GB</v>
      </c>
      <c r="D86" s="247" t="str">
        <f>IFERROR(INDEX(YAtCData[Pos],MATCH(YACWR74[[#This Row],[Name]],YAtCData[Player],0)),"")</f>
        <v>WR</v>
      </c>
      <c r="E86" s="247">
        <f>IFERROR(INDEX(YAtCData[Rec],MATCH(YACWR74[[#This Row],[Name]],YAtCData[Player],0)),"")</f>
        <v>8</v>
      </c>
      <c r="F86" s="247">
        <f>IFERROR(INDEX(YAtCData[Yards],MATCH(YACWR74[[#This Row],[Name]],YAtCData[Player],0)),"")</f>
        <v>99</v>
      </c>
      <c r="G86" s="247">
        <f>IFERROR(INDEX(YAtCData[YAtC],MATCH(YACWR74[[#This Row],[Name]],YAtCData[Player],0)),"")</f>
        <v>77</v>
      </c>
      <c r="H86" s="247">
        <f>IFERROR(INDEX(YAtCData[YAtC/Rec],MATCH(YACWR74[[#This Row],[Name]],YAtCData[Player],0)),"")</f>
        <v>9.6300000000000008</v>
      </c>
      <c r="I86" s="247">
        <f>IFERROR(INDEX(YACDATA[YAC],MATCH(YACWR74[[#This Row],[Name]],YACDATA[Player],0)),"")</f>
        <v>22</v>
      </c>
      <c r="J86" s="499">
        <f>IFERROR(INDEX(YACDATA[YAC per Reception],MATCH(YACWR74[[#This Row],[Name]],YACDATA[Player],0)),"")</f>
        <v>2.8</v>
      </c>
      <c r="K86" s="500"/>
      <c r="L86" s="104"/>
      <c r="M86" s="156"/>
      <c r="N86" s="156"/>
      <c r="O86" s="156"/>
      <c r="P86" s="156"/>
      <c r="Q86" s="156"/>
      <c r="R86" s="156"/>
      <c r="S86" s="156"/>
      <c r="T86" s="142"/>
      <c r="U86" s="156"/>
      <c r="V86" s="156"/>
      <c r="W86" s="156"/>
      <c r="X86" s="156"/>
      <c r="Y86" s="156"/>
      <c r="Z86" s="9"/>
      <c r="AA86" s="9"/>
      <c r="AB86" s="9"/>
    </row>
    <row r="87" spans="1:28" x14ac:dyDescent="0.3">
      <c r="A87" s="8">
        <v>70.802725388509728</v>
      </c>
      <c r="B87" s="14" t="s">
        <v>239</v>
      </c>
      <c r="C87" s="247" t="str">
        <f>IFERROR(INDEX(YAtCData[Team],MATCH(YACWR74[[#This Row],[Name]],YAtCData[Player],0)),"")</f>
        <v>TEN</v>
      </c>
      <c r="D87" s="247" t="str">
        <f>IFERROR(INDEX(YAtCData[Pos],MATCH(YACWR74[[#This Row],[Name]],YAtCData[Player],0)),"")</f>
        <v>WR</v>
      </c>
      <c r="E87" s="247">
        <f>IFERROR(INDEX(YAtCData[Rec],MATCH(YACWR74[[#This Row],[Name]],YAtCData[Player],0)),"")</f>
        <v>10</v>
      </c>
      <c r="F87" s="247">
        <f>IFERROR(INDEX(YAtCData[Yards],MATCH(YACWR74[[#This Row],[Name]],YAtCData[Player],0)),"")</f>
        <v>98</v>
      </c>
      <c r="G87" s="247">
        <f>IFERROR(INDEX(YAtCData[YAtC],MATCH(YACWR74[[#This Row],[Name]],YAtCData[Player],0)),"")</f>
        <v>82</v>
      </c>
      <c r="H87" s="247">
        <f>IFERROR(INDEX(YAtCData[YAtC/Rec],MATCH(YACWR74[[#This Row],[Name]],YAtCData[Player],0)),"")</f>
        <v>8.1999999999999993</v>
      </c>
      <c r="I87" s="247">
        <f>IFERROR(INDEX(YACDATA[YAC],MATCH(YACWR74[[#This Row],[Name]],YACDATA[Player],0)),"")</f>
        <v>16</v>
      </c>
      <c r="J87" s="499">
        <f>IFERROR(INDEX(YACDATA[YAC per Reception],MATCH(YACWR74[[#This Row],[Name]],YACDATA[Player],0)),"")</f>
        <v>1.6</v>
      </c>
      <c r="K87" s="500"/>
      <c r="L87" s="104"/>
      <c r="M87" s="156"/>
      <c r="N87" s="156"/>
      <c r="O87" s="156"/>
      <c r="P87" s="156"/>
      <c r="Q87" s="156"/>
      <c r="R87" s="156"/>
      <c r="S87" s="156"/>
      <c r="T87" s="142"/>
      <c r="U87" s="156"/>
      <c r="V87" s="156"/>
      <c r="W87" s="156"/>
      <c r="X87" s="156"/>
      <c r="Y87" s="156"/>
      <c r="Z87" s="9"/>
      <c r="AA87" s="9"/>
      <c r="AB87" s="9"/>
    </row>
    <row r="88" spans="1:28" x14ac:dyDescent="0.3">
      <c r="A88" s="8">
        <v>71.721182301516436</v>
      </c>
      <c r="B88" s="14" t="s">
        <v>212</v>
      </c>
      <c r="C88" s="247" t="str">
        <f>IFERROR(INDEX(YAtCData[Team],MATCH(YACWR74[[#This Row],[Name]],YAtCData[Player],0)),"")</f>
        <v>DET</v>
      </c>
      <c r="D88" s="247" t="str">
        <f>IFERROR(INDEX(YAtCData[Pos],MATCH(YACWR74[[#This Row],[Name]],YAtCData[Player],0)),"")</f>
        <v>WR</v>
      </c>
      <c r="E88" s="247">
        <f>IFERROR(INDEX(YAtCData[Rec],MATCH(YACWR74[[#This Row],[Name]],YAtCData[Player],0)),"")</f>
        <v>13</v>
      </c>
      <c r="F88" s="247">
        <f>IFERROR(INDEX(YAtCData[Yards],MATCH(YACWR74[[#This Row],[Name]],YAtCData[Player],0)),"")</f>
        <v>94</v>
      </c>
      <c r="G88" s="247">
        <f>IFERROR(INDEX(YAtCData[YAtC],MATCH(YACWR74[[#This Row],[Name]],YAtCData[Player],0)),"")</f>
        <v>28</v>
      </c>
      <c r="H88" s="247">
        <f>IFERROR(INDEX(YAtCData[YAtC/Rec],MATCH(YACWR74[[#This Row],[Name]],YAtCData[Player],0)),"")</f>
        <v>2.15</v>
      </c>
      <c r="I88" s="247">
        <f>IFERROR(INDEX(YACDATA[YAC],MATCH(YACWR74[[#This Row],[Name]],YACDATA[Player],0)),"")</f>
        <v>66</v>
      </c>
      <c r="J88" s="499">
        <f>IFERROR(INDEX(YACDATA[YAC per Reception],MATCH(YACWR74[[#This Row],[Name]],YACDATA[Player],0)),"")</f>
        <v>5.0999999999999996</v>
      </c>
      <c r="K88" s="500"/>
      <c r="L88" s="104"/>
      <c r="M88" s="156"/>
      <c r="N88" s="156"/>
      <c r="O88" s="156"/>
      <c r="P88" s="156"/>
      <c r="Q88" s="156"/>
      <c r="R88" s="156"/>
      <c r="S88" s="156"/>
      <c r="T88" s="142"/>
      <c r="U88" s="156"/>
      <c r="V88" s="156"/>
      <c r="W88" s="156"/>
      <c r="X88" s="156"/>
      <c r="Y88" s="156"/>
      <c r="Z88" s="9"/>
      <c r="AA88" s="9"/>
      <c r="AB88" s="9"/>
    </row>
    <row r="89" spans="1:28" x14ac:dyDescent="0.3">
      <c r="A89" s="8">
        <v>72.639639214523143</v>
      </c>
      <c r="B89" s="14" t="s">
        <v>264</v>
      </c>
      <c r="C89" s="247" t="str">
        <f>IFERROR(INDEX(YAtCData[Team],MATCH(YACWR74[[#This Row],[Name]],YAtCData[Player],0)),"")</f>
        <v>NO</v>
      </c>
      <c r="D89" s="247" t="str">
        <f>IFERROR(INDEX(YAtCData[Pos],MATCH(YACWR74[[#This Row],[Name]],YAtCData[Player],0)),"")</f>
        <v>WR</v>
      </c>
      <c r="E89" s="247">
        <f>IFERROR(INDEX(YAtCData[Rec],MATCH(YACWR74[[#This Row],[Name]],YAtCData[Player],0)),"")</f>
        <v>9</v>
      </c>
      <c r="F89" s="247">
        <f>IFERROR(INDEX(YAtCData[Yards],MATCH(YACWR74[[#This Row],[Name]],YAtCData[Player],0)),"")</f>
        <v>93</v>
      </c>
      <c r="G89" s="247">
        <f>IFERROR(INDEX(YAtCData[YAtC],MATCH(YACWR74[[#This Row],[Name]],YAtCData[Player],0)),"")</f>
        <v>92</v>
      </c>
      <c r="H89" s="247">
        <f>IFERROR(INDEX(YAtCData[YAtC/Rec],MATCH(YACWR74[[#This Row],[Name]],YAtCData[Player],0)),"")</f>
        <v>10.220000000000001</v>
      </c>
      <c r="I89" s="247">
        <f>IFERROR(INDEX(YACDATA[YAC],MATCH(YACWR74[[#This Row],[Name]],YACDATA[Player],0)),"")</f>
        <v>1</v>
      </c>
      <c r="J89" s="499">
        <f>IFERROR(INDEX(YACDATA[YAC per Reception],MATCH(YACWR74[[#This Row],[Name]],YACDATA[Player],0)),"")</f>
        <v>0.1</v>
      </c>
      <c r="K89" s="500"/>
      <c r="L89" s="104"/>
      <c r="M89" s="156"/>
      <c r="N89" s="156"/>
      <c r="O89" s="156"/>
      <c r="P89" s="156"/>
      <c r="Q89" s="156"/>
      <c r="R89" s="156"/>
      <c r="S89" s="156"/>
      <c r="T89" s="142"/>
      <c r="U89" s="156"/>
      <c r="V89" s="156"/>
      <c r="W89" s="156"/>
      <c r="X89" s="156"/>
      <c r="Y89" s="156"/>
      <c r="Z89" s="9"/>
      <c r="AA89" s="9"/>
      <c r="AB89" s="9"/>
    </row>
    <row r="90" spans="1:28" x14ac:dyDescent="0.3">
      <c r="A90" s="8">
        <v>73.558096127529851</v>
      </c>
      <c r="B90" s="14" t="s">
        <v>265</v>
      </c>
      <c r="C90" s="247" t="str">
        <f>IFERROR(INDEX(YAtCData[Team],MATCH(YACWR74[[#This Row],[Name]],YAtCData[Player],0)),"")</f>
        <v>SF</v>
      </c>
      <c r="D90" s="247" t="str">
        <f>IFERROR(INDEX(YAtCData[Pos],MATCH(YACWR74[[#This Row],[Name]],YAtCData[Player],0)),"")</f>
        <v>WR</v>
      </c>
      <c r="E90" s="247">
        <f>IFERROR(INDEX(YAtCData[Rec],MATCH(YACWR74[[#This Row],[Name]],YAtCData[Player],0)),"")</f>
        <v>9</v>
      </c>
      <c r="F90" s="247">
        <f>IFERROR(INDEX(YAtCData[Yards],MATCH(YACWR74[[#This Row],[Name]],YAtCData[Player],0)),"")</f>
        <v>93</v>
      </c>
      <c r="G90" s="247">
        <f>IFERROR(INDEX(YAtCData[YAtC],MATCH(YACWR74[[#This Row],[Name]],YAtCData[Player],0)),"")</f>
        <v>58</v>
      </c>
      <c r="H90" s="247">
        <f>IFERROR(INDEX(YAtCData[YAtC/Rec],MATCH(YACWR74[[#This Row],[Name]],YAtCData[Player],0)),"")</f>
        <v>6.44</v>
      </c>
      <c r="I90" s="247">
        <f>IFERROR(INDEX(YACDATA[YAC],MATCH(YACWR74[[#This Row],[Name]],YACDATA[Player],0)),"")</f>
        <v>35</v>
      </c>
      <c r="J90" s="499">
        <f>IFERROR(INDEX(YACDATA[YAC per Reception],MATCH(YACWR74[[#This Row],[Name]],YACDATA[Player],0)),"")</f>
        <v>3.9</v>
      </c>
      <c r="K90" s="500"/>
      <c r="L90" s="104"/>
      <c r="M90" s="156"/>
      <c r="N90" s="156"/>
      <c r="O90" s="156"/>
      <c r="P90" s="156"/>
      <c r="Q90" s="156"/>
      <c r="R90" s="156"/>
      <c r="S90" s="156"/>
      <c r="T90" s="142"/>
      <c r="U90" s="156"/>
      <c r="V90" s="156"/>
      <c r="W90" s="156"/>
      <c r="X90" s="156"/>
      <c r="Y90" s="156"/>
      <c r="Z90" s="9"/>
      <c r="AA90" s="9"/>
      <c r="AB90" s="9"/>
    </row>
    <row r="91" spans="1:28" x14ac:dyDescent="0.3">
      <c r="A91" s="8">
        <v>74.476553040536558</v>
      </c>
      <c r="B91" s="14" t="s">
        <v>207</v>
      </c>
      <c r="C91" s="247" t="str">
        <f>IFERROR(INDEX(YAtCData[Team],MATCH(YACWR74[[#This Row],[Name]],YAtCData[Player],0)),"")</f>
        <v>ARI</v>
      </c>
      <c r="D91" s="247" t="str">
        <f>IFERROR(INDEX(YAtCData[Pos],MATCH(YACWR74[[#This Row],[Name]],YAtCData[Player],0)),"")</f>
        <v>WR</v>
      </c>
      <c r="E91" s="247">
        <f>IFERROR(INDEX(YAtCData[Rec],MATCH(YACWR74[[#This Row],[Name]],YAtCData[Player],0)),"")</f>
        <v>8</v>
      </c>
      <c r="F91" s="247">
        <f>IFERROR(INDEX(YAtCData[Yards],MATCH(YACWR74[[#This Row],[Name]],YAtCData[Player],0)),"")</f>
        <v>92</v>
      </c>
      <c r="G91" s="247">
        <f>IFERROR(INDEX(YAtCData[YAtC],MATCH(YACWR74[[#This Row],[Name]],YAtCData[Player],0)),"")</f>
        <v>81</v>
      </c>
      <c r="H91" s="247">
        <f>IFERROR(INDEX(YAtCData[YAtC/Rec],MATCH(YACWR74[[#This Row],[Name]],YAtCData[Player],0)),"")</f>
        <v>10.130000000000001</v>
      </c>
      <c r="I91" s="247">
        <f>IFERROR(INDEX(YACDATA[YAC],MATCH(YACWR74[[#This Row],[Name]],YACDATA[Player],0)),"")</f>
        <v>11</v>
      </c>
      <c r="J91" s="499">
        <f>IFERROR(INDEX(YACDATA[YAC per Reception],MATCH(YACWR74[[#This Row],[Name]],YACDATA[Player],0)),"")</f>
        <v>1.4</v>
      </c>
      <c r="K91" s="500"/>
      <c r="L91" s="104"/>
      <c r="M91" s="156"/>
      <c r="N91" s="156"/>
      <c r="O91" s="156"/>
      <c r="P91" s="156"/>
      <c r="Q91" s="156"/>
      <c r="R91" s="156"/>
      <c r="S91" s="156"/>
      <c r="T91" s="142"/>
      <c r="U91" s="156"/>
      <c r="V91" s="156"/>
      <c r="W91" s="156"/>
      <c r="X91" s="156"/>
      <c r="Y91" s="156"/>
      <c r="Z91" s="9"/>
      <c r="AA91" s="9"/>
      <c r="AB91" s="9"/>
    </row>
    <row r="92" spans="1:28" x14ac:dyDescent="0.3">
      <c r="A92" s="8">
        <v>75.395009953543266</v>
      </c>
      <c r="B92" s="14" t="s">
        <v>462</v>
      </c>
      <c r="C92" s="247" t="str">
        <f>IFERROR(INDEX(YAtCData[Team],MATCH(YACWR74[[#This Row],[Name]],YAtCData[Player],0)),"")</f>
        <v>BAL</v>
      </c>
      <c r="D92" s="247" t="str">
        <f>IFERROR(INDEX(YAtCData[Pos],MATCH(YACWR74[[#This Row],[Name]],YAtCData[Player],0)),"")</f>
        <v>WR</v>
      </c>
      <c r="E92" s="247">
        <f>IFERROR(INDEX(YAtCData[Rec],MATCH(YACWR74[[#This Row],[Name]],YAtCData[Player],0)),"")</f>
        <v>5</v>
      </c>
      <c r="F92" s="247">
        <f>IFERROR(INDEX(YAtCData[Yards],MATCH(YACWR74[[#This Row],[Name]],YAtCData[Player],0)),"")</f>
        <v>89</v>
      </c>
      <c r="G92" s="247">
        <f>IFERROR(INDEX(YAtCData[YAtC],MATCH(YACWR74[[#This Row],[Name]],YAtCData[Player],0)),"")</f>
        <v>79</v>
      </c>
      <c r="H92" s="247">
        <f>IFERROR(INDEX(YAtCData[YAtC/Rec],MATCH(YACWR74[[#This Row],[Name]],YAtCData[Player],0)),"")</f>
        <v>15.8</v>
      </c>
      <c r="I92" s="247">
        <f>IFERROR(INDEX(YACDATA[YAC],MATCH(YACWR74[[#This Row],[Name]],YACDATA[Player],0)),"")</f>
        <v>10</v>
      </c>
      <c r="J92" s="499">
        <f>IFERROR(INDEX(YACDATA[YAC per Reception],MATCH(YACWR74[[#This Row],[Name]],YACDATA[Player],0)),"")</f>
        <v>2</v>
      </c>
      <c r="K92" s="500"/>
      <c r="L92" s="104"/>
      <c r="M92" s="156"/>
      <c r="N92" s="156"/>
      <c r="O92" s="156"/>
      <c r="P92" s="156"/>
      <c r="Q92" s="156"/>
      <c r="R92" s="156"/>
      <c r="S92" s="156"/>
      <c r="T92" s="142"/>
      <c r="U92" s="156"/>
      <c r="V92" s="156"/>
      <c r="W92" s="156"/>
      <c r="X92" s="156"/>
      <c r="Y92" s="156"/>
      <c r="Z92" s="9"/>
      <c r="AA92" s="9"/>
      <c r="AB92" s="9"/>
    </row>
    <row r="93" spans="1:28" x14ac:dyDescent="0.3">
      <c r="A93" s="8">
        <v>76.313466866549973</v>
      </c>
      <c r="B93" s="14" t="s">
        <v>474</v>
      </c>
      <c r="C93" s="247" t="str">
        <f>IFERROR(INDEX(YAtCData[Team],MATCH(YACWR74[[#This Row],[Name]],YAtCData[Player],0)),"")</f>
        <v>BUF</v>
      </c>
      <c r="D93" s="247" t="str">
        <f>IFERROR(INDEX(YAtCData[Pos],MATCH(YACWR74[[#This Row],[Name]],YAtCData[Player],0)),"")</f>
        <v>WR</v>
      </c>
      <c r="E93" s="247">
        <f>IFERROR(INDEX(YAtCData[Rec],MATCH(YACWR74[[#This Row],[Name]],YAtCData[Player],0)),"")</f>
        <v>4</v>
      </c>
      <c r="F93" s="247">
        <f>IFERROR(INDEX(YAtCData[Yards],MATCH(YACWR74[[#This Row],[Name]],YAtCData[Player],0)),"")</f>
        <v>89</v>
      </c>
      <c r="G93" s="247">
        <f>IFERROR(INDEX(YAtCData[YAtC],MATCH(YACWR74[[#This Row],[Name]],YAtCData[Player],0)),"")</f>
        <v>56</v>
      </c>
      <c r="H93" s="247">
        <f>IFERROR(INDEX(YAtCData[YAtC/Rec],MATCH(YACWR74[[#This Row],[Name]],YAtCData[Player],0)),"")</f>
        <v>14</v>
      </c>
      <c r="I93" s="247">
        <f>IFERROR(INDEX(YACDATA[YAC],MATCH(YACWR74[[#This Row],[Name]],YACDATA[Player],0)),"")</f>
        <v>33</v>
      </c>
      <c r="J93" s="499">
        <f>IFERROR(INDEX(YACDATA[YAC per Reception],MATCH(YACWR74[[#This Row],[Name]],YACDATA[Player],0)),"")</f>
        <v>8.3000000000000007</v>
      </c>
      <c r="K93" s="500"/>
      <c r="L93" s="104"/>
      <c r="M93" s="156"/>
      <c r="N93" s="156"/>
      <c r="O93" s="156"/>
      <c r="P93" s="156"/>
      <c r="Q93" s="156"/>
      <c r="R93" s="156"/>
      <c r="S93" s="156"/>
      <c r="T93" s="142"/>
      <c r="U93" s="156"/>
      <c r="V93" s="156"/>
      <c r="W93" s="156"/>
      <c r="X93" s="156"/>
      <c r="Y93" s="156"/>
      <c r="Z93" s="9"/>
      <c r="AA93" s="9"/>
      <c r="AB93" s="9"/>
    </row>
    <row r="94" spans="1:28" x14ac:dyDescent="0.3">
      <c r="A94" s="8">
        <v>77.231923779556681</v>
      </c>
      <c r="B94" s="14" t="s">
        <v>301</v>
      </c>
      <c r="C94" s="247" t="str">
        <f>IFERROR(INDEX(YAtCData[Team],MATCH(YACWR74[[#This Row],[Name]],YAtCData[Player],0)),"")</f>
        <v>LA</v>
      </c>
      <c r="D94" s="247" t="str">
        <f>IFERROR(INDEX(YAtCData[Pos],MATCH(YACWR74[[#This Row],[Name]],YAtCData[Player],0)),"")</f>
        <v>WR</v>
      </c>
      <c r="E94" s="247">
        <f>IFERROR(INDEX(YAtCData[Rec],MATCH(YACWR74[[#This Row],[Name]],YAtCData[Player],0)),"")</f>
        <v>6</v>
      </c>
      <c r="F94" s="247">
        <f>IFERROR(INDEX(YAtCData[Yards],MATCH(YACWR74[[#This Row],[Name]],YAtCData[Player],0)),"")</f>
        <v>84</v>
      </c>
      <c r="G94" s="247">
        <f>IFERROR(INDEX(YAtCData[YAtC],MATCH(YACWR74[[#This Row],[Name]],YAtCData[Player],0)),"")</f>
        <v>72</v>
      </c>
      <c r="H94" s="247">
        <f>IFERROR(INDEX(YAtCData[YAtC/Rec],MATCH(YACWR74[[#This Row],[Name]],YAtCData[Player],0)),"")</f>
        <v>12</v>
      </c>
      <c r="I94" s="247">
        <f>IFERROR(INDEX(YACDATA[YAC],MATCH(YACWR74[[#This Row],[Name]],YACDATA[Player],0)),"")</f>
        <v>12</v>
      </c>
      <c r="J94" s="499">
        <f>IFERROR(INDEX(YACDATA[YAC per Reception],MATCH(YACWR74[[#This Row],[Name]],YACDATA[Player],0)),"")</f>
        <v>2</v>
      </c>
      <c r="K94" s="500"/>
      <c r="L94" s="104"/>
      <c r="M94" s="156"/>
      <c r="N94" s="156"/>
      <c r="O94" s="156"/>
      <c r="P94" s="156"/>
      <c r="Q94" s="156"/>
      <c r="R94" s="156"/>
      <c r="S94" s="156"/>
      <c r="T94" s="142"/>
      <c r="U94" s="156"/>
      <c r="V94" s="156"/>
      <c r="W94" s="156"/>
      <c r="X94" s="156"/>
      <c r="Y94" s="156"/>
      <c r="Z94" s="9"/>
      <c r="AA94" s="9"/>
      <c r="AB94" s="9"/>
    </row>
    <row r="95" spans="1:28" x14ac:dyDescent="0.3">
      <c r="A95" s="8">
        <v>78.150380692563388</v>
      </c>
      <c r="B95" s="14" t="s">
        <v>246</v>
      </c>
      <c r="C95" s="247" t="str">
        <f>IFERROR(INDEX(YAtCData[Team],MATCH(YACWR74[[#This Row],[Name]],YAtCData[Player],0)),"")</f>
        <v>CAR</v>
      </c>
      <c r="D95" s="247" t="str">
        <f>IFERROR(INDEX(YAtCData[Pos],MATCH(YACWR74[[#This Row],[Name]],YAtCData[Player],0)),"")</f>
        <v>WR</v>
      </c>
      <c r="E95" s="247">
        <f>IFERROR(INDEX(YAtCData[Rec],MATCH(YACWR74[[#This Row],[Name]],YAtCData[Player],0)),"")</f>
        <v>8</v>
      </c>
      <c r="F95" s="247">
        <f>IFERROR(INDEX(YAtCData[Yards],MATCH(YACWR74[[#This Row],[Name]],YAtCData[Player],0)),"")</f>
        <v>83</v>
      </c>
      <c r="G95" s="247">
        <f>IFERROR(INDEX(YAtCData[YAtC],MATCH(YACWR74[[#This Row],[Name]],YAtCData[Player],0)),"")</f>
        <v>47</v>
      </c>
      <c r="H95" s="247">
        <f>IFERROR(INDEX(YAtCData[YAtC/Rec],MATCH(YACWR74[[#This Row],[Name]],YAtCData[Player],0)),"")</f>
        <v>5.88</v>
      </c>
      <c r="I95" s="247">
        <f>IFERROR(INDEX(YACDATA[YAC],MATCH(YACWR74[[#This Row],[Name]],YACDATA[Player],0)),"")</f>
        <v>36</v>
      </c>
      <c r="J95" s="499">
        <f>IFERROR(INDEX(YACDATA[YAC per Reception],MATCH(YACWR74[[#This Row],[Name]],YACDATA[Player],0)),"")</f>
        <v>4.5</v>
      </c>
      <c r="K95" s="500"/>
      <c r="L95" s="104"/>
      <c r="M95" s="156"/>
      <c r="N95" s="156"/>
      <c r="O95" s="156"/>
      <c r="P95" s="156"/>
      <c r="Q95" s="156"/>
      <c r="R95" s="156"/>
      <c r="S95" s="156"/>
      <c r="T95" s="142"/>
      <c r="U95" s="156"/>
      <c r="V95" s="156"/>
      <c r="W95" s="156"/>
      <c r="X95" s="156"/>
      <c r="Y95" s="156"/>
      <c r="Z95" s="9"/>
      <c r="AA95" s="9"/>
      <c r="AB95" s="9"/>
    </row>
    <row r="96" spans="1:28" x14ac:dyDescent="0.3">
      <c r="A96" s="8">
        <v>79.068837605570096</v>
      </c>
      <c r="B96" s="14" t="s">
        <v>231</v>
      </c>
      <c r="C96" s="247" t="str">
        <f>IFERROR(INDEX(YAtCData[Team],MATCH(YACWR74[[#This Row],[Name]],YAtCData[Player],0)),"")</f>
        <v>BUF</v>
      </c>
      <c r="D96" s="247" t="str">
        <f>IFERROR(INDEX(YAtCData[Pos],MATCH(YACWR74[[#This Row],[Name]],YAtCData[Player],0)),"")</f>
        <v>WR</v>
      </c>
      <c r="E96" s="247">
        <f>IFERROR(INDEX(YAtCData[Rec],MATCH(YACWR74[[#This Row],[Name]],YAtCData[Player],0)),"")</f>
        <v>11</v>
      </c>
      <c r="F96" s="247">
        <f>IFERROR(INDEX(YAtCData[Yards],MATCH(YACWR74[[#This Row],[Name]],YAtCData[Player],0)),"")</f>
        <v>81</v>
      </c>
      <c r="G96" s="247">
        <f>IFERROR(INDEX(YAtCData[YAtC],MATCH(YACWR74[[#This Row],[Name]],YAtCData[Player],0)),"")</f>
        <v>69</v>
      </c>
      <c r="H96" s="247">
        <f>IFERROR(INDEX(YAtCData[YAtC/Rec],MATCH(YACWR74[[#This Row],[Name]],YAtCData[Player],0)),"")</f>
        <v>6.27</v>
      </c>
      <c r="I96" s="247">
        <f>IFERROR(INDEX(YACDATA[YAC],MATCH(YACWR74[[#This Row],[Name]],YACDATA[Player],0)),"")</f>
        <v>12</v>
      </c>
      <c r="J96" s="499">
        <f>IFERROR(INDEX(YACDATA[YAC per Reception],MATCH(YACWR74[[#This Row],[Name]],YACDATA[Player],0)),"")</f>
        <v>1.1000000000000001</v>
      </c>
      <c r="K96" s="500"/>
      <c r="L96" s="104"/>
      <c r="M96" s="156"/>
      <c r="N96" s="156"/>
      <c r="O96" s="156"/>
      <c r="P96" s="156"/>
      <c r="Q96" s="156"/>
      <c r="R96" s="156"/>
      <c r="S96" s="156"/>
      <c r="T96" s="142"/>
      <c r="U96" s="156"/>
      <c r="V96" s="156"/>
      <c r="W96" s="156"/>
      <c r="X96" s="156"/>
      <c r="Y96" s="156"/>
      <c r="Z96" s="9"/>
      <c r="AA96" s="9"/>
      <c r="AB96" s="9"/>
    </row>
    <row r="97" spans="1:28" x14ac:dyDescent="0.3">
      <c r="A97" s="8">
        <v>79.987294518576803</v>
      </c>
      <c r="B97" s="14" t="s">
        <v>225</v>
      </c>
      <c r="C97" s="247" t="str">
        <f>IFERROR(INDEX(YAtCData[Team],MATCH(YACWR74[[#This Row],[Name]],YAtCData[Player],0)),"")</f>
        <v>SEA</v>
      </c>
      <c r="D97" s="247" t="str">
        <f>IFERROR(INDEX(YAtCData[Pos],MATCH(YACWR74[[#This Row],[Name]],YAtCData[Player],0)),"")</f>
        <v>WR</v>
      </c>
      <c r="E97" s="247">
        <f>IFERROR(INDEX(YAtCData[Rec],MATCH(YACWR74[[#This Row],[Name]],YAtCData[Player],0)),"")</f>
        <v>9</v>
      </c>
      <c r="F97" s="247">
        <f>IFERROR(INDEX(YAtCData[Yards],MATCH(YACWR74[[#This Row],[Name]],YAtCData[Player],0)),"")</f>
        <v>79</v>
      </c>
      <c r="G97" s="247">
        <f>IFERROR(INDEX(YAtCData[YAtC],MATCH(YACWR74[[#This Row],[Name]],YAtCData[Player],0)),"")</f>
        <v>39</v>
      </c>
      <c r="H97" s="247">
        <f>IFERROR(INDEX(YAtCData[YAtC/Rec],MATCH(YACWR74[[#This Row],[Name]],YAtCData[Player],0)),"")</f>
        <v>4.33</v>
      </c>
      <c r="I97" s="247">
        <f>IFERROR(INDEX(YACDATA[YAC],MATCH(YACWR74[[#This Row],[Name]],YACDATA[Player],0)),"")</f>
        <v>40</v>
      </c>
      <c r="J97" s="499">
        <f>IFERROR(INDEX(YACDATA[YAC per Reception],MATCH(YACWR74[[#This Row],[Name]],YACDATA[Player],0)),"")</f>
        <v>4.4000000000000004</v>
      </c>
      <c r="K97" s="500"/>
      <c r="L97" s="104"/>
      <c r="M97" s="156"/>
      <c r="N97" s="156"/>
      <c r="O97" s="156"/>
      <c r="P97" s="156"/>
      <c r="Q97" s="156"/>
      <c r="R97" s="156"/>
      <c r="S97" s="156"/>
      <c r="T97" s="142"/>
      <c r="U97" s="156"/>
      <c r="V97" s="156"/>
      <c r="W97" s="156"/>
      <c r="X97" s="156"/>
      <c r="Y97" s="156"/>
      <c r="Z97" s="9"/>
      <c r="AA97" s="9"/>
      <c r="AB97" s="9"/>
    </row>
    <row r="98" spans="1:28" x14ac:dyDescent="0.3">
      <c r="A98" s="8">
        <v>80.905751431583511</v>
      </c>
      <c r="B98" s="14" t="s">
        <v>498</v>
      </c>
      <c r="C98" s="247" t="str">
        <f>IFERROR(INDEX(YAtCData[Team],MATCH(YACWR74[[#This Row],[Name]],YAtCData[Player],0)),"")</f>
        <v>NE</v>
      </c>
      <c r="D98" s="247" t="str">
        <f>IFERROR(INDEX(YAtCData[Pos],MATCH(YACWR74[[#This Row],[Name]],YAtCData[Player],0)),"")</f>
        <v>WR</v>
      </c>
      <c r="E98" s="247">
        <f>IFERROR(INDEX(YAtCData[Rec],MATCH(YACWR74[[#This Row],[Name]],YAtCData[Player],0)),"")</f>
        <v>4</v>
      </c>
      <c r="F98" s="247">
        <f>IFERROR(INDEX(YAtCData[Yards],MATCH(YACWR74[[#This Row],[Name]],YAtCData[Player],0)),"")</f>
        <v>75</v>
      </c>
      <c r="G98" s="247">
        <f>IFERROR(INDEX(YAtCData[YAtC],MATCH(YACWR74[[#This Row],[Name]],YAtCData[Player],0)),"")</f>
        <v>31</v>
      </c>
      <c r="H98" s="247">
        <f>IFERROR(INDEX(YAtCData[YAtC/Rec],MATCH(YACWR74[[#This Row],[Name]],YAtCData[Player],0)),"")</f>
        <v>7.75</v>
      </c>
      <c r="I98" s="247">
        <f>IFERROR(INDEX(YACDATA[YAC],MATCH(YACWR74[[#This Row],[Name]],YACDATA[Player],0)),"")</f>
        <v>44</v>
      </c>
      <c r="J98" s="499">
        <f>IFERROR(INDEX(YACDATA[YAC per Reception],MATCH(YACWR74[[#This Row],[Name]],YACDATA[Player],0)),"")</f>
        <v>11</v>
      </c>
      <c r="K98" s="500"/>
      <c r="L98" s="104"/>
      <c r="M98" s="156"/>
      <c r="N98" s="156"/>
      <c r="O98" s="156"/>
      <c r="P98" s="156"/>
      <c r="Q98" s="156"/>
      <c r="R98" s="156"/>
      <c r="S98" s="156"/>
      <c r="T98" s="142"/>
      <c r="U98" s="156"/>
      <c r="V98" s="156"/>
      <c r="W98" s="156"/>
      <c r="X98" s="156"/>
      <c r="Y98" s="156"/>
      <c r="Z98" s="9"/>
      <c r="AA98" s="9"/>
      <c r="AB98" s="9"/>
    </row>
    <row r="99" spans="1:28" x14ac:dyDescent="0.3">
      <c r="A99" s="8">
        <v>81.824208344590218</v>
      </c>
      <c r="B99" s="14" t="s">
        <v>223</v>
      </c>
      <c r="C99" s="247" t="str">
        <f>IFERROR(INDEX(YAtCData[Team],MATCH(YACWR74[[#This Row],[Name]],YAtCData[Player],0)),"")</f>
        <v>IND</v>
      </c>
      <c r="D99" s="247" t="str">
        <f>IFERROR(INDEX(YAtCData[Pos],MATCH(YACWR74[[#This Row],[Name]],YAtCData[Player],0)),"")</f>
        <v>WR</v>
      </c>
      <c r="E99" s="247">
        <f>IFERROR(INDEX(YAtCData[Rec],MATCH(YACWR74[[#This Row],[Name]],YAtCData[Player],0)),"")</f>
        <v>7</v>
      </c>
      <c r="F99" s="247">
        <f>IFERROR(INDEX(YAtCData[Yards],MATCH(YACWR74[[#This Row],[Name]],YAtCData[Player],0)),"")</f>
        <v>73</v>
      </c>
      <c r="G99" s="247">
        <f>IFERROR(INDEX(YAtCData[YAtC],MATCH(YACWR74[[#This Row],[Name]],YAtCData[Player],0)),"")</f>
        <v>67</v>
      </c>
      <c r="H99" s="247">
        <f>IFERROR(INDEX(YAtCData[YAtC/Rec],MATCH(YACWR74[[#This Row],[Name]],YAtCData[Player],0)),"")</f>
        <v>9.57</v>
      </c>
      <c r="I99" s="247">
        <f>IFERROR(INDEX(YACDATA[YAC],MATCH(YACWR74[[#This Row],[Name]],YACDATA[Player],0)),"")</f>
        <v>6</v>
      </c>
      <c r="J99" s="499">
        <f>IFERROR(INDEX(YACDATA[YAC per Reception],MATCH(YACWR74[[#This Row],[Name]],YACDATA[Player],0)),"")</f>
        <v>0.9</v>
      </c>
      <c r="K99" s="500"/>
      <c r="L99" s="104"/>
      <c r="M99" s="156"/>
      <c r="N99" s="156"/>
      <c r="O99" s="156"/>
      <c r="P99" s="156"/>
      <c r="Q99" s="156"/>
      <c r="R99" s="156"/>
      <c r="S99" s="156"/>
      <c r="T99" s="142"/>
      <c r="U99" s="156"/>
      <c r="V99" s="156"/>
      <c r="W99" s="156"/>
      <c r="X99" s="156"/>
      <c r="Y99" s="156"/>
      <c r="Z99" s="9"/>
      <c r="AA99" s="9"/>
      <c r="AB99" s="9"/>
    </row>
    <row r="100" spans="1:28" x14ac:dyDescent="0.3">
      <c r="A100" s="8">
        <v>82.742665257596926</v>
      </c>
      <c r="B100" s="14" t="s">
        <v>245</v>
      </c>
      <c r="C100" s="247" t="str">
        <f>IFERROR(INDEX(YAtCData[Team],MATCH(YACWR74[[#This Row],[Name]],YAtCData[Player],0)),"")</f>
        <v>OAK</v>
      </c>
      <c r="D100" s="247" t="str">
        <f>IFERROR(INDEX(YAtCData[Pos],MATCH(YACWR74[[#This Row],[Name]],YAtCData[Player],0)),"")</f>
        <v>WR</v>
      </c>
      <c r="E100" s="247">
        <f>IFERROR(INDEX(YAtCData[Rec],MATCH(YACWR74[[#This Row],[Name]],YAtCData[Player],0)),"")</f>
        <v>7</v>
      </c>
      <c r="F100" s="247">
        <f>IFERROR(INDEX(YAtCData[Yards],MATCH(YACWR74[[#This Row],[Name]],YAtCData[Player],0)),"")</f>
        <v>71</v>
      </c>
      <c r="G100" s="247">
        <f>IFERROR(INDEX(YAtCData[YAtC],MATCH(YACWR74[[#This Row],[Name]],YAtCData[Player],0)),"")</f>
        <v>21</v>
      </c>
      <c r="H100" s="247">
        <f>IFERROR(INDEX(YAtCData[YAtC/Rec],MATCH(YACWR74[[#This Row],[Name]],YAtCData[Player],0)),"")</f>
        <v>3</v>
      </c>
      <c r="I100" s="247">
        <f>IFERROR(INDEX(YACDATA[YAC],MATCH(YACWR74[[#This Row],[Name]],YACDATA[Player],0)),"")</f>
        <v>50</v>
      </c>
      <c r="J100" s="499">
        <f>IFERROR(INDEX(YACDATA[YAC per Reception],MATCH(YACWR74[[#This Row],[Name]],YACDATA[Player],0)),"")</f>
        <v>7.1</v>
      </c>
      <c r="K100" s="500"/>
      <c r="L100" s="104"/>
      <c r="M100" s="156"/>
      <c r="N100" s="156"/>
      <c r="O100" s="156"/>
      <c r="P100" s="156"/>
      <c r="Q100" s="156"/>
      <c r="R100" s="156"/>
      <c r="S100" s="156"/>
      <c r="T100" s="142"/>
      <c r="U100" s="156"/>
      <c r="V100" s="156"/>
      <c r="W100" s="156"/>
      <c r="X100" s="156"/>
      <c r="Y100" s="156"/>
      <c r="Z100" s="9"/>
      <c r="AA100" s="9"/>
      <c r="AB100" s="9"/>
    </row>
    <row r="101" spans="1:28" x14ac:dyDescent="0.3">
      <c r="A101" s="8">
        <v>83.661122170603619</v>
      </c>
      <c r="B101" s="14" t="s">
        <v>767</v>
      </c>
      <c r="C101" s="247" t="str">
        <f>IFERROR(INDEX(YAtCData[Team],MATCH(YACWR74[[#This Row],[Name]],YAtCData[Player],0)),"")</f>
        <v>WAS</v>
      </c>
      <c r="D101" s="247" t="str">
        <f>IFERROR(INDEX(YAtCData[Pos],MATCH(YACWR74[[#This Row],[Name]],YAtCData[Player],0)),"")</f>
        <v>WR</v>
      </c>
      <c r="E101" s="247">
        <f>IFERROR(INDEX(YAtCData[Rec],MATCH(YACWR74[[#This Row],[Name]],YAtCData[Player],0)),"")</f>
        <v>2</v>
      </c>
      <c r="F101" s="247">
        <f>IFERROR(INDEX(YAtCData[Yards],MATCH(YACWR74[[#This Row],[Name]],YAtCData[Player],0)),"")</f>
        <v>66</v>
      </c>
      <c r="G101" s="247">
        <f>IFERROR(INDEX(YAtCData[YAtC],MATCH(YACWR74[[#This Row],[Name]],YAtCData[Player],0)),"")</f>
        <v>52</v>
      </c>
      <c r="H101" s="247">
        <f>IFERROR(INDEX(YAtCData[YAtC/Rec],MATCH(YACWR74[[#This Row],[Name]],YAtCData[Player],0)),"")</f>
        <v>26</v>
      </c>
      <c r="I101" s="247">
        <f>IFERROR(INDEX(YACDATA[YAC],MATCH(YACWR74[[#This Row],[Name]],YACDATA[Player],0)),"")</f>
        <v>14</v>
      </c>
      <c r="J101" s="499">
        <f>IFERROR(INDEX(YACDATA[YAC per Reception],MATCH(YACWR74[[#This Row],[Name]],YACDATA[Player],0)),"")</f>
        <v>7</v>
      </c>
      <c r="K101" s="500"/>
      <c r="L101" s="104"/>
      <c r="M101" s="156"/>
      <c r="N101" s="156"/>
      <c r="O101" s="156"/>
      <c r="P101" s="156"/>
      <c r="Q101" s="156"/>
      <c r="R101" s="156"/>
      <c r="S101" s="156"/>
      <c r="T101" s="142"/>
      <c r="U101" s="156"/>
      <c r="V101" s="156"/>
      <c r="W101" s="156"/>
      <c r="X101" s="156"/>
      <c r="Y101" s="156"/>
      <c r="Z101" s="9"/>
      <c r="AA101" s="9"/>
      <c r="AB101" s="9"/>
    </row>
    <row r="102" spans="1:28" x14ac:dyDescent="0.3">
      <c r="A102" s="8">
        <v>84.579579083610327</v>
      </c>
      <c r="B102" s="14" t="s">
        <v>247</v>
      </c>
      <c r="C102" s="247" t="str">
        <f>IFERROR(INDEX(YAtCData[Team],MATCH(YACWR74[[#This Row],[Name]],YAtCData[Player],0)),"")</f>
        <v>PHI</v>
      </c>
      <c r="D102" s="247" t="str">
        <f>IFERROR(INDEX(YAtCData[Pos],MATCH(YACWR74[[#This Row],[Name]],YAtCData[Player],0)),"")</f>
        <v>WR</v>
      </c>
      <c r="E102" s="247">
        <f>IFERROR(INDEX(YAtCData[Rec],MATCH(YACWR74[[#This Row],[Name]],YAtCData[Player],0)),"")</f>
        <v>7</v>
      </c>
      <c r="F102" s="247">
        <f>IFERROR(INDEX(YAtCData[Yards],MATCH(YACWR74[[#This Row],[Name]],YAtCData[Player],0)),"")</f>
        <v>65</v>
      </c>
      <c r="G102" s="247">
        <f>IFERROR(INDEX(YAtCData[YAtC],MATCH(YACWR74[[#This Row],[Name]],YAtCData[Player],0)),"")</f>
        <v>40</v>
      </c>
      <c r="H102" s="247">
        <f>IFERROR(INDEX(YAtCData[YAtC/Rec],MATCH(YACWR74[[#This Row],[Name]],YAtCData[Player],0)),"")</f>
        <v>5.71</v>
      </c>
      <c r="I102" s="247">
        <f>IFERROR(INDEX(YACDATA[YAC],MATCH(YACWR74[[#This Row],[Name]],YACDATA[Player],0)),"")</f>
        <v>25</v>
      </c>
      <c r="J102" s="499">
        <f>IFERROR(INDEX(YACDATA[YAC per Reception],MATCH(YACWR74[[#This Row],[Name]],YACDATA[Player],0)),"")</f>
        <v>3.6</v>
      </c>
      <c r="K102" s="500"/>
      <c r="L102" s="104"/>
      <c r="M102" s="156"/>
      <c r="N102" s="156"/>
      <c r="O102" s="156"/>
      <c r="P102" s="156"/>
      <c r="Q102" s="156"/>
      <c r="R102" s="156"/>
      <c r="S102" s="156"/>
      <c r="T102" s="142"/>
      <c r="U102" s="156"/>
      <c r="V102" s="156"/>
      <c r="W102" s="156"/>
      <c r="X102" s="156"/>
      <c r="Y102" s="156"/>
      <c r="Z102" s="9"/>
      <c r="AA102" s="9"/>
      <c r="AB102" s="9"/>
    </row>
    <row r="103" spans="1:28" x14ac:dyDescent="0.3">
      <c r="A103" s="8">
        <v>85.498035996617034</v>
      </c>
      <c r="B103" s="14" t="s">
        <v>523</v>
      </c>
      <c r="C103" s="247" t="str">
        <f>IFERROR(INDEX(YAtCData[Team],MATCH(YACWR74[[#This Row],[Name]],YAtCData[Player],0)),"")</f>
        <v>NYJ</v>
      </c>
      <c r="D103" s="247" t="str">
        <f>IFERROR(INDEX(YAtCData[Pos],MATCH(YACWR74[[#This Row],[Name]],YAtCData[Player],0)),"")</f>
        <v>WR</v>
      </c>
      <c r="E103" s="247">
        <f>IFERROR(INDEX(YAtCData[Rec],MATCH(YACWR74[[#This Row],[Name]],YAtCData[Player],0)),"")</f>
        <v>5</v>
      </c>
      <c r="F103" s="247">
        <f>IFERROR(INDEX(YAtCData[Yards],MATCH(YACWR74[[#This Row],[Name]],YAtCData[Player],0)),"")</f>
        <v>64</v>
      </c>
      <c r="G103" s="247">
        <f>IFERROR(INDEX(YAtCData[YAtC],MATCH(YACWR74[[#This Row],[Name]],YAtCData[Player],0)),"")</f>
        <v>44</v>
      </c>
      <c r="H103" s="247">
        <f>IFERROR(INDEX(YAtCData[YAtC/Rec],MATCH(YACWR74[[#This Row],[Name]],YAtCData[Player],0)),"")</f>
        <v>8.8000000000000007</v>
      </c>
      <c r="I103" s="247">
        <f>IFERROR(INDEX(YACDATA[YAC],MATCH(YACWR74[[#This Row],[Name]],YACDATA[Player],0)),"")</f>
        <v>20</v>
      </c>
      <c r="J103" s="499">
        <f>IFERROR(INDEX(YACDATA[YAC per Reception],MATCH(YACWR74[[#This Row],[Name]],YACDATA[Player],0)),"")</f>
        <v>4</v>
      </c>
      <c r="K103" s="500"/>
      <c r="L103" s="104"/>
      <c r="M103" s="156"/>
      <c r="N103" s="156"/>
      <c r="O103" s="156"/>
      <c r="P103" s="156"/>
      <c r="Q103" s="156"/>
      <c r="R103" s="156"/>
      <c r="S103" s="156"/>
      <c r="T103" s="142"/>
      <c r="U103" s="156"/>
      <c r="V103" s="156"/>
      <c r="W103" s="156"/>
      <c r="X103" s="156"/>
      <c r="Y103" s="156"/>
      <c r="Z103" s="9"/>
      <c r="AA103" s="9"/>
      <c r="AB103" s="9"/>
    </row>
    <row r="104" spans="1:28" x14ac:dyDescent="0.3">
      <c r="A104" s="8">
        <v>86.416492909623742</v>
      </c>
      <c r="B104" s="14" t="s">
        <v>196</v>
      </c>
      <c r="C104" s="247" t="str">
        <f>IFERROR(INDEX(YAtCData[Team],MATCH(YACWR74[[#This Row],[Name]],YAtCData[Player],0)),"")</f>
        <v>BUF</v>
      </c>
      <c r="D104" s="247" t="str">
        <f>IFERROR(INDEX(YAtCData[Pos],MATCH(YACWR74[[#This Row],[Name]],YAtCData[Player],0)),"")</f>
        <v>WR</v>
      </c>
      <c r="E104" s="247">
        <f>IFERROR(INDEX(YAtCData[Rec],MATCH(YACWR74[[#This Row],[Name]],YAtCData[Player],0)),"")</f>
        <v>6</v>
      </c>
      <c r="F104" s="247">
        <f>IFERROR(INDEX(YAtCData[Yards],MATCH(YACWR74[[#This Row],[Name]],YAtCData[Player],0)),"")</f>
        <v>63</v>
      </c>
      <c r="G104" s="247">
        <f>IFERROR(INDEX(YAtCData[YAtC],MATCH(YACWR74[[#This Row],[Name]],YAtCData[Player],0)),"")</f>
        <v>60</v>
      </c>
      <c r="H104" s="247">
        <f>IFERROR(INDEX(YAtCData[YAtC/Rec],MATCH(YACWR74[[#This Row],[Name]],YAtCData[Player],0)),"")</f>
        <v>10</v>
      </c>
      <c r="I104" s="247">
        <f>IFERROR(INDEX(YACDATA[YAC],MATCH(YACWR74[[#This Row],[Name]],YACDATA[Player],0)),"")</f>
        <v>3</v>
      </c>
      <c r="J104" s="499">
        <f>IFERROR(INDEX(YACDATA[YAC per Reception],MATCH(YACWR74[[#This Row],[Name]],YACDATA[Player],0)),"")</f>
        <v>0.5</v>
      </c>
      <c r="K104" s="500"/>
      <c r="L104" s="104"/>
      <c r="M104" s="156"/>
      <c r="N104" s="156"/>
      <c r="O104" s="156"/>
      <c r="P104" s="156"/>
      <c r="Q104" s="156"/>
      <c r="R104" s="156"/>
      <c r="S104" s="156"/>
      <c r="T104" s="142"/>
      <c r="U104" s="156"/>
      <c r="V104" s="156"/>
      <c r="W104" s="156"/>
      <c r="X104" s="156"/>
      <c r="Y104" s="156"/>
      <c r="Z104" s="9"/>
      <c r="AA104" s="9"/>
      <c r="AB104" s="9"/>
    </row>
    <row r="105" spans="1:28" x14ac:dyDescent="0.3">
      <c r="A105" s="8">
        <v>87.334949822630449</v>
      </c>
      <c r="B105" s="14" t="s">
        <v>200</v>
      </c>
      <c r="C105" s="247" t="str">
        <f>IFERROR(INDEX(YAtCData[Team],MATCH(YACWR74[[#This Row],[Name]],YAtCData[Player],0)),"")</f>
        <v>SD</v>
      </c>
      <c r="D105" s="247" t="str">
        <f>IFERROR(INDEX(YAtCData[Pos],MATCH(YACWR74[[#This Row],[Name]],YAtCData[Player],0)),"")</f>
        <v>WR</v>
      </c>
      <c r="E105" s="247">
        <f>IFERROR(INDEX(YAtCData[Rec],MATCH(YACWR74[[#This Row],[Name]],YAtCData[Player],0)),"")</f>
        <v>6</v>
      </c>
      <c r="F105" s="247">
        <f>IFERROR(INDEX(YAtCData[Yards],MATCH(YACWR74[[#This Row],[Name]],YAtCData[Player],0)),"")</f>
        <v>63</v>
      </c>
      <c r="G105" s="247">
        <f>IFERROR(INDEX(YAtCData[YAtC],MATCH(YACWR74[[#This Row],[Name]],YAtCData[Player],0)),"")</f>
        <v>40</v>
      </c>
      <c r="H105" s="247">
        <f>IFERROR(INDEX(YAtCData[YAtC/Rec],MATCH(YACWR74[[#This Row],[Name]],YAtCData[Player],0)),"")</f>
        <v>6.67</v>
      </c>
      <c r="I105" s="247">
        <f>IFERROR(INDEX(YACDATA[YAC],MATCH(YACWR74[[#This Row],[Name]],YACDATA[Player],0)),"")</f>
        <v>23</v>
      </c>
      <c r="J105" s="499">
        <f>IFERROR(INDEX(YACDATA[YAC per Reception],MATCH(YACWR74[[#This Row],[Name]],YACDATA[Player],0)),"")</f>
        <v>3.8</v>
      </c>
      <c r="K105" s="500"/>
      <c r="L105" s="104"/>
      <c r="M105" s="156"/>
      <c r="N105" s="156"/>
      <c r="O105" s="156"/>
      <c r="P105" s="156"/>
      <c r="Q105" s="156"/>
      <c r="R105" s="156"/>
      <c r="S105" s="156"/>
      <c r="T105" s="142"/>
      <c r="U105" s="156"/>
      <c r="V105" s="156"/>
      <c r="W105" s="156"/>
      <c r="X105" s="156"/>
      <c r="Y105" s="156"/>
      <c r="Z105" s="9"/>
      <c r="AA105" s="9"/>
      <c r="AB105" s="9"/>
    </row>
    <row r="106" spans="1:28" x14ac:dyDescent="0.3">
      <c r="A106" s="8">
        <v>88.253406735637157</v>
      </c>
      <c r="B106" s="14" t="s">
        <v>271</v>
      </c>
      <c r="C106" s="247" t="str">
        <f>IFERROR(INDEX(YAtCData[Team],MATCH(YACWR74[[#This Row],[Name]],YAtCData[Player],0)),"")</f>
        <v>ATL</v>
      </c>
      <c r="D106" s="247" t="str">
        <f>IFERROR(INDEX(YAtCData[Pos],MATCH(YACWR74[[#This Row],[Name]],YAtCData[Player],0)),"")</f>
        <v>WR</v>
      </c>
      <c r="E106" s="247">
        <f>IFERROR(INDEX(YAtCData[Rec],MATCH(YACWR74[[#This Row],[Name]],YAtCData[Player],0)),"")</f>
        <v>4</v>
      </c>
      <c r="F106" s="247">
        <f>IFERROR(INDEX(YAtCData[Yards],MATCH(YACWR74[[#This Row],[Name]],YAtCData[Player],0)),"")</f>
        <v>52</v>
      </c>
      <c r="G106" s="247">
        <f>IFERROR(INDEX(YAtCData[YAtC],MATCH(YACWR74[[#This Row],[Name]],YAtCData[Player],0)),"")</f>
        <v>38</v>
      </c>
      <c r="H106" s="247">
        <f>IFERROR(INDEX(YAtCData[YAtC/Rec],MATCH(YACWR74[[#This Row],[Name]],YAtCData[Player],0)),"")</f>
        <v>9.5</v>
      </c>
      <c r="I106" s="247">
        <f>IFERROR(INDEX(YACDATA[YAC],MATCH(YACWR74[[#This Row],[Name]],YACDATA[Player],0)),"")</f>
        <v>14</v>
      </c>
      <c r="J106" s="499">
        <f>IFERROR(INDEX(YACDATA[YAC per Reception],MATCH(YACWR74[[#This Row],[Name]],YACDATA[Player],0)),"")</f>
        <v>3.5</v>
      </c>
      <c r="K106" s="500"/>
      <c r="L106" s="104"/>
      <c r="M106" s="156"/>
      <c r="N106" s="156"/>
      <c r="O106" s="156"/>
      <c r="P106" s="156"/>
      <c r="Q106" s="156"/>
      <c r="R106" s="156"/>
      <c r="S106" s="156"/>
      <c r="T106" s="142"/>
      <c r="U106" s="156"/>
      <c r="V106" s="156"/>
      <c r="W106" s="156"/>
      <c r="X106" s="156"/>
      <c r="Y106" s="156"/>
      <c r="Z106" s="9"/>
      <c r="AA106" s="9"/>
      <c r="AB106" s="9"/>
    </row>
    <row r="107" spans="1:28" x14ac:dyDescent="0.3">
      <c r="A107" s="8">
        <v>89.171863648643864</v>
      </c>
      <c r="B107" s="14" t="s">
        <v>267</v>
      </c>
      <c r="C107" s="247" t="str">
        <f>IFERROR(INDEX(YAtCData[Team],MATCH(YACWR74[[#This Row],[Name]],YAtCData[Player],0)),"")</f>
        <v>SEA</v>
      </c>
      <c r="D107" s="247" t="str">
        <f>IFERROR(INDEX(YAtCData[Pos],MATCH(YACWR74[[#This Row],[Name]],YAtCData[Player],0)),"")</f>
        <v>WR</v>
      </c>
      <c r="E107" s="247">
        <f>IFERROR(INDEX(YAtCData[Rec],MATCH(YACWR74[[#This Row],[Name]],YAtCData[Player],0)),"")</f>
        <v>4</v>
      </c>
      <c r="F107" s="247">
        <f>IFERROR(INDEX(YAtCData[Yards],MATCH(YACWR74[[#This Row],[Name]],YAtCData[Player],0)),"")</f>
        <v>46</v>
      </c>
      <c r="G107" s="247">
        <f>IFERROR(INDEX(YAtCData[YAtC],MATCH(YACWR74[[#This Row],[Name]],YAtCData[Player],0)),"")</f>
        <v>39</v>
      </c>
      <c r="H107" s="247">
        <f>IFERROR(INDEX(YAtCData[YAtC/Rec],MATCH(YACWR74[[#This Row],[Name]],YAtCData[Player],0)),"")</f>
        <v>9.75</v>
      </c>
      <c r="I107" s="247">
        <f>IFERROR(INDEX(YACDATA[YAC],MATCH(YACWR74[[#This Row],[Name]],YACDATA[Player],0)),"")</f>
        <v>7</v>
      </c>
      <c r="J107" s="499">
        <f>IFERROR(INDEX(YACDATA[YAC per Reception],MATCH(YACWR74[[#This Row],[Name]],YACDATA[Player],0)),"")</f>
        <v>1.8</v>
      </c>
      <c r="K107" s="500"/>
      <c r="L107" s="104"/>
      <c r="M107" s="156"/>
      <c r="N107" s="156"/>
      <c r="O107" s="156"/>
      <c r="P107" s="156"/>
      <c r="Q107" s="156"/>
      <c r="R107" s="156"/>
      <c r="S107" s="156"/>
      <c r="T107" s="142"/>
      <c r="U107" s="156"/>
      <c r="V107" s="156"/>
      <c r="W107" s="156"/>
      <c r="X107" s="156"/>
      <c r="Y107" s="156"/>
      <c r="Z107" s="9"/>
      <c r="AA107" s="9"/>
      <c r="AB107" s="9"/>
    </row>
    <row r="108" spans="1:28" x14ac:dyDescent="0.3">
      <c r="A108" s="8">
        <v>90.090320561650572</v>
      </c>
      <c r="B108" s="14" t="s">
        <v>249</v>
      </c>
      <c r="C108" s="247" t="str">
        <f>IFERROR(INDEX(YAtCData[Team],MATCH(YACWR74[[#This Row],[Name]],YAtCData[Player],0)),"")</f>
        <v>SD</v>
      </c>
      <c r="D108" s="247" t="str">
        <f>IFERROR(INDEX(YAtCData[Pos],MATCH(YACWR74[[#This Row],[Name]],YAtCData[Player],0)),"")</f>
        <v>WR</v>
      </c>
      <c r="E108" s="247">
        <f>IFERROR(INDEX(YAtCData[Rec],MATCH(YACWR74[[#This Row],[Name]],YAtCData[Player],0)),"")</f>
        <v>5</v>
      </c>
      <c r="F108" s="247">
        <f>IFERROR(INDEX(YAtCData[Yards],MATCH(YACWR74[[#This Row],[Name]],YAtCData[Player],0)),"")</f>
        <v>45</v>
      </c>
      <c r="G108" s="247">
        <f>IFERROR(INDEX(YAtCData[YAtC],MATCH(YACWR74[[#This Row],[Name]],YAtCData[Player],0)),"")</f>
        <v>31</v>
      </c>
      <c r="H108" s="247">
        <f>IFERROR(INDEX(YAtCData[YAtC/Rec],MATCH(YACWR74[[#This Row],[Name]],YAtCData[Player],0)),"")</f>
        <v>6.2</v>
      </c>
      <c r="I108" s="247">
        <f>IFERROR(INDEX(YACDATA[YAC],MATCH(YACWR74[[#This Row],[Name]],YACDATA[Player],0)),"")</f>
        <v>14</v>
      </c>
      <c r="J108" s="499">
        <f>IFERROR(INDEX(YACDATA[YAC per Reception],MATCH(YACWR74[[#This Row],[Name]],YACDATA[Player],0)),"")</f>
        <v>2.8</v>
      </c>
      <c r="K108" s="500"/>
      <c r="L108" s="104"/>
      <c r="M108" s="156"/>
      <c r="N108" s="156"/>
      <c r="O108" s="156"/>
      <c r="P108" s="156"/>
      <c r="Q108" s="156"/>
      <c r="R108" s="156"/>
      <c r="S108" s="156"/>
      <c r="T108" s="142"/>
      <c r="U108" s="156"/>
      <c r="V108" s="156"/>
      <c r="W108" s="156"/>
      <c r="X108" s="156"/>
      <c r="Y108" s="156"/>
      <c r="Z108" s="9"/>
      <c r="AA108" s="9"/>
      <c r="AB108" s="9"/>
    </row>
    <row r="109" spans="1:28" x14ac:dyDescent="0.3">
      <c r="A109" s="8">
        <v>91.008777474657279</v>
      </c>
      <c r="B109" s="14" t="s">
        <v>477</v>
      </c>
      <c r="C109" s="247" t="str">
        <f>IFERROR(INDEX(YAtCData[Team],MATCH(YACWR74[[#This Row],[Name]],YAtCData[Player],0)),"")</f>
        <v>ATL</v>
      </c>
      <c r="D109" s="247" t="str">
        <f>IFERROR(INDEX(YAtCData[Pos],MATCH(YACWR74[[#This Row],[Name]],YAtCData[Player],0)),"")</f>
        <v>WR</v>
      </c>
      <c r="E109" s="247">
        <f>IFERROR(INDEX(YAtCData[Rec],MATCH(YACWR74[[#This Row],[Name]],YAtCData[Player],0)),"")</f>
        <v>4</v>
      </c>
      <c r="F109" s="247">
        <f>IFERROR(INDEX(YAtCData[Yards],MATCH(YACWR74[[#This Row],[Name]],YAtCData[Player],0)),"")</f>
        <v>43</v>
      </c>
      <c r="G109" s="247">
        <f>IFERROR(INDEX(YAtCData[YAtC],MATCH(YACWR74[[#This Row],[Name]],YAtCData[Player],0)),"")</f>
        <v>39</v>
      </c>
      <c r="H109" s="247">
        <f>IFERROR(INDEX(YAtCData[YAtC/Rec],MATCH(YACWR74[[#This Row],[Name]],YAtCData[Player],0)),"")</f>
        <v>9.75</v>
      </c>
      <c r="I109" s="247">
        <f>IFERROR(INDEX(YACDATA[YAC],MATCH(YACWR74[[#This Row],[Name]],YACDATA[Player],0)),"")</f>
        <v>4</v>
      </c>
      <c r="J109" s="499">
        <f>IFERROR(INDEX(YACDATA[YAC per Reception],MATCH(YACWR74[[#This Row],[Name]],YACDATA[Player],0)),"")</f>
        <v>1</v>
      </c>
      <c r="K109" s="500"/>
      <c r="L109" s="104"/>
      <c r="M109" s="156"/>
      <c r="N109" s="156"/>
      <c r="O109" s="156"/>
      <c r="P109" s="156"/>
      <c r="Q109" s="156"/>
      <c r="R109" s="156"/>
      <c r="S109" s="156"/>
      <c r="T109" s="142"/>
      <c r="U109" s="156"/>
      <c r="V109" s="156"/>
      <c r="W109" s="156"/>
      <c r="X109" s="156"/>
      <c r="Y109" s="156"/>
      <c r="Z109" s="9"/>
      <c r="AA109" s="9"/>
      <c r="AB109" s="9"/>
    </row>
    <row r="110" spans="1:28" x14ac:dyDescent="0.3">
      <c r="A110" s="8">
        <v>91.927234387663987</v>
      </c>
      <c r="B110" s="14" t="s">
        <v>500</v>
      </c>
      <c r="C110" s="247" t="str">
        <f>IFERROR(INDEX(YAtCData[Team],MATCH(YACWR74[[#This Row],[Name]],YAtCData[Player],0)),"")</f>
        <v>NO</v>
      </c>
      <c r="D110" s="247" t="str">
        <f>IFERROR(INDEX(YAtCData[Pos],MATCH(YACWR74[[#This Row],[Name]],YAtCData[Player],0)),"")</f>
        <v>WR</v>
      </c>
      <c r="E110" s="247">
        <f>IFERROR(INDEX(YAtCData[Rec],MATCH(YACWR74[[#This Row],[Name]],YAtCData[Player],0)),"")</f>
        <v>4</v>
      </c>
      <c r="F110" s="247">
        <f>IFERROR(INDEX(YAtCData[Yards],MATCH(YACWR74[[#This Row],[Name]],YAtCData[Player],0)),"")</f>
        <v>42</v>
      </c>
      <c r="G110" s="247">
        <f>IFERROR(INDEX(YAtCData[YAtC],MATCH(YACWR74[[#This Row],[Name]],YAtCData[Player],0)),"")</f>
        <v>40</v>
      </c>
      <c r="H110" s="247">
        <f>IFERROR(INDEX(YAtCData[YAtC/Rec],MATCH(YACWR74[[#This Row],[Name]],YAtCData[Player],0)),"")</f>
        <v>10</v>
      </c>
      <c r="I110" s="247">
        <f>IFERROR(INDEX(YACDATA[YAC],MATCH(YACWR74[[#This Row],[Name]],YACDATA[Player],0)),"")</f>
        <v>2</v>
      </c>
      <c r="J110" s="499">
        <f>IFERROR(INDEX(YACDATA[YAC per Reception],MATCH(YACWR74[[#This Row],[Name]],YACDATA[Player],0)),"")</f>
        <v>0.5</v>
      </c>
      <c r="K110" s="500"/>
      <c r="L110" s="104"/>
      <c r="M110" s="156"/>
      <c r="N110" s="156"/>
      <c r="O110" s="156"/>
      <c r="P110" s="156"/>
      <c r="Q110" s="156"/>
      <c r="R110" s="156"/>
      <c r="S110" s="156"/>
      <c r="T110" s="142"/>
      <c r="U110" s="156"/>
      <c r="V110" s="156"/>
      <c r="W110" s="156"/>
      <c r="X110" s="156"/>
      <c r="Y110" s="156"/>
      <c r="Z110" s="9"/>
      <c r="AA110" s="9"/>
      <c r="AB110" s="9"/>
    </row>
    <row r="111" spans="1:28" x14ac:dyDescent="0.3">
      <c r="A111" s="8">
        <v>92.845691300670694</v>
      </c>
      <c r="B111" s="14" t="s">
        <v>257</v>
      </c>
      <c r="C111" s="247" t="str">
        <f>IFERROR(INDEX(YAtCData[Team],MATCH(YACWR74[[#This Row],[Name]],YAtCData[Player],0)),"")</f>
        <v>CLE</v>
      </c>
      <c r="D111" s="247" t="str">
        <f>IFERROR(INDEX(YAtCData[Pos],MATCH(YACWR74[[#This Row],[Name]],YAtCData[Player],0)),"")</f>
        <v>WR</v>
      </c>
      <c r="E111" s="247">
        <f>IFERROR(INDEX(YAtCData[Rec],MATCH(YACWR74[[#This Row],[Name]],YAtCData[Player],0)),"")</f>
        <v>5</v>
      </c>
      <c r="F111" s="247">
        <f>IFERROR(INDEX(YAtCData[Yards],MATCH(YACWR74[[#This Row],[Name]],YAtCData[Player],0)),"")</f>
        <v>42</v>
      </c>
      <c r="G111" s="247">
        <f>IFERROR(INDEX(YAtCData[YAtC],MATCH(YACWR74[[#This Row],[Name]],YAtCData[Player],0)),"")</f>
        <v>14</v>
      </c>
      <c r="H111" s="247">
        <f>IFERROR(INDEX(YAtCData[YAtC/Rec],MATCH(YACWR74[[#This Row],[Name]],YAtCData[Player],0)),"")</f>
        <v>2.8</v>
      </c>
      <c r="I111" s="247">
        <f>IFERROR(INDEX(YACDATA[YAC],MATCH(YACWR74[[#This Row],[Name]],YACDATA[Player],0)),"")</f>
        <v>28</v>
      </c>
      <c r="J111" s="499">
        <f>IFERROR(INDEX(YACDATA[YAC per Reception],MATCH(YACWR74[[#This Row],[Name]],YACDATA[Player],0)),"")</f>
        <v>5.6</v>
      </c>
      <c r="K111" s="500"/>
      <c r="L111" s="104"/>
      <c r="M111" s="156"/>
      <c r="N111" s="156"/>
      <c r="O111" s="156"/>
      <c r="P111" s="156"/>
      <c r="Q111" s="156"/>
      <c r="R111" s="156"/>
      <c r="S111" s="156"/>
      <c r="T111" s="142"/>
      <c r="U111" s="156"/>
      <c r="V111" s="156"/>
      <c r="W111" s="156"/>
      <c r="X111" s="156"/>
      <c r="Y111" s="156"/>
      <c r="Z111" s="9"/>
      <c r="AA111" s="9"/>
      <c r="AB111" s="9"/>
    </row>
    <row r="112" spans="1:28" x14ac:dyDescent="0.3">
      <c r="A112" s="8">
        <v>93.764148213677402</v>
      </c>
      <c r="B112" s="14" t="s">
        <v>250</v>
      </c>
      <c r="C112" s="247" t="str">
        <f>IFERROR(INDEX(YAtCData[Team],MATCH(YACWR74[[#This Row],[Name]],YAtCData[Player],0)),"")</f>
        <v>TEN</v>
      </c>
      <c r="D112" s="247" t="str">
        <f>IFERROR(INDEX(YAtCData[Pos],MATCH(YACWR74[[#This Row],[Name]],YAtCData[Player],0)),"")</f>
        <v>WR</v>
      </c>
      <c r="E112" s="247">
        <f>IFERROR(INDEX(YAtCData[Rec],MATCH(YACWR74[[#This Row],[Name]],YAtCData[Player],0)),"")</f>
        <v>4</v>
      </c>
      <c r="F112" s="247">
        <f>IFERROR(INDEX(YAtCData[Yards],MATCH(YACWR74[[#This Row],[Name]],YAtCData[Player],0)),"")</f>
        <v>41</v>
      </c>
      <c r="G112" s="247">
        <f>IFERROR(INDEX(YAtCData[YAtC],MATCH(YACWR74[[#This Row],[Name]],YAtCData[Player],0)),"")</f>
        <v>19</v>
      </c>
      <c r="H112" s="247">
        <f>IFERROR(INDEX(YAtCData[YAtC/Rec],MATCH(YACWR74[[#This Row],[Name]],YAtCData[Player],0)),"")</f>
        <v>4.75</v>
      </c>
      <c r="I112" s="247">
        <f>IFERROR(INDEX(YACDATA[YAC],MATCH(YACWR74[[#This Row],[Name]],YACDATA[Player],0)),"")</f>
        <v>22</v>
      </c>
      <c r="J112" s="499">
        <f>IFERROR(INDEX(YACDATA[YAC per Reception],MATCH(YACWR74[[#This Row],[Name]],YACDATA[Player],0)),"")</f>
        <v>5.5</v>
      </c>
      <c r="K112" s="500"/>
      <c r="L112" s="104"/>
      <c r="M112" s="156"/>
      <c r="N112" s="156"/>
      <c r="O112" s="156"/>
      <c r="P112" s="156"/>
      <c r="Q112" s="156"/>
      <c r="R112" s="156"/>
      <c r="S112" s="156"/>
      <c r="T112" s="142"/>
      <c r="U112" s="156"/>
      <c r="V112" s="156"/>
      <c r="W112" s="156"/>
      <c r="X112" s="156"/>
      <c r="Y112" s="156"/>
      <c r="Z112" s="9"/>
      <c r="AA112" s="9"/>
      <c r="AB112" s="9"/>
    </row>
    <row r="113" spans="1:28" x14ac:dyDescent="0.3">
      <c r="A113" s="8">
        <v>94.682605126684109</v>
      </c>
      <c r="B113" s="14" t="s">
        <v>514</v>
      </c>
      <c r="C113" s="247" t="str">
        <f>IFERROR(INDEX(YAtCData[Team],MATCH(YACWR74[[#This Row],[Name]],YAtCData[Player],0)),"")</f>
        <v>CLE</v>
      </c>
      <c r="D113" s="247" t="str">
        <f>IFERROR(INDEX(YAtCData[Pos],MATCH(YACWR74[[#This Row],[Name]],YAtCData[Player],0)),"")</f>
        <v>WR</v>
      </c>
      <c r="E113" s="247">
        <f>IFERROR(INDEX(YAtCData[Rec],MATCH(YACWR74[[#This Row],[Name]],YAtCData[Player],0)),"")</f>
        <v>3</v>
      </c>
      <c r="F113" s="247">
        <f>IFERROR(INDEX(YAtCData[Yards],MATCH(YACWR74[[#This Row],[Name]],YAtCData[Player],0)),"")</f>
        <v>40</v>
      </c>
      <c r="G113" s="247">
        <f>IFERROR(INDEX(YAtCData[YAtC],MATCH(YACWR74[[#This Row],[Name]],YAtCData[Player],0)),"")</f>
        <v>29</v>
      </c>
      <c r="H113" s="247">
        <f>IFERROR(INDEX(YAtCData[YAtC/Rec],MATCH(YACWR74[[#This Row],[Name]],YAtCData[Player],0)),"")</f>
        <v>9.67</v>
      </c>
      <c r="I113" s="247">
        <f>IFERROR(INDEX(YACDATA[YAC],MATCH(YACWR74[[#This Row],[Name]],YACDATA[Player],0)),"")</f>
        <v>11</v>
      </c>
      <c r="J113" s="499">
        <f>IFERROR(INDEX(YACDATA[YAC per Reception],MATCH(YACWR74[[#This Row],[Name]],YACDATA[Player],0)),"")</f>
        <v>3.7</v>
      </c>
      <c r="K113" s="500"/>
      <c r="L113" s="104"/>
      <c r="M113" s="156"/>
      <c r="N113" s="156"/>
      <c r="O113" s="156"/>
      <c r="P113" s="156"/>
      <c r="Q113" s="156"/>
      <c r="R113" s="156"/>
      <c r="S113" s="156"/>
      <c r="T113" s="142"/>
      <c r="U113" s="156"/>
      <c r="V113" s="156"/>
      <c r="W113" s="156"/>
      <c r="X113" s="156"/>
      <c r="Y113" s="156"/>
      <c r="Z113" s="9"/>
      <c r="AA113" s="9"/>
      <c r="AB113" s="9"/>
    </row>
    <row r="114" spans="1:28" x14ac:dyDescent="0.3">
      <c r="A114" s="8">
        <v>95.601062039690817</v>
      </c>
      <c r="B114" s="14" t="s">
        <v>408</v>
      </c>
      <c r="C114" s="247" t="str">
        <f>IFERROR(INDEX(YAtCData[Team],MATCH(YACWR74[[#This Row],[Name]],YAtCData[Player],0)),"")</f>
        <v>TEN</v>
      </c>
      <c r="D114" s="247" t="str">
        <f>IFERROR(INDEX(YAtCData[Pos],MATCH(YACWR74[[#This Row],[Name]],YAtCData[Player],0)),"")</f>
        <v>WR</v>
      </c>
      <c r="E114" s="247">
        <f>IFERROR(INDEX(YAtCData[Rec],MATCH(YACWR74[[#This Row],[Name]],YAtCData[Player],0)),"")</f>
        <v>4</v>
      </c>
      <c r="F114" s="247">
        <f>IFERROR(INDEX(YAtCData[Yards],MATCH(YACWR74[[#This Row],[Name]],YAtCData[Player],0)),"")</f>
        <v>39</v>
      </c>
      <c r="G114" s="247">
        <f>IFERROR(INDEX(YAtCData[YAtC],MATCH(YACWR74[[#This Row],[Name]],YAtCData[Player],0)),"")</f>
        <v>38</v>
      </c>
      <c r="H114" s="247">
        <f>IFERROR(INDEX(YAtCData[YAtC/Rec],MATCH(YACWR74[[#This Row],[Name]],YAtCData[Player],0)),"")</f>
        <v>9.5</v>
      </c>
      <c r="I114" s="247">
        <f>IFERROR(INDEX(YACDATA[YAC],MATCH(YACWR74[[#This Row],[Name]],YACDATA[Player],0)),"")</f>
        <v>1</v>
      </c>
      <c r="J114" s="499">
        <f>IFERROR(INDEX(YACDATA[YAC per Reception],MATCH(YACWR74[[#This Row],[Name]],YACDATA[Player],0)),"")</f>
        <v>0.3</v>
      </c>
      <c r="K114" s="500"/>
      <c r="L114" s="104"/>
      <c r="M114" s="156"/>
      <c r="N114" s="156"/>
      <c r="O114" s="156"/>
      <c r="P114" s="156"/>
      <c r="Q114" s="156"/>
      <c r="R114" s="156"/>
      <c r="S114" s="156"/>
      <c r="T114" s="142"/>
      <c r="U114" s="156"/>
      <c r="V114" s="156"/>
      <c r="W114" s="156"/>
      <c r="X114" s="156"/>
      <c r="Y114" s="156"/>
      <c r="Z114" s="9"/>
      <c r="AA114" s="9"/>
      <c r="AB114" s="9"/>
    </row>
    <row r="115" spans="1:28" x14ac:dyDescent="0.3">
      <c r="A115" s="8">
        <v>96.519518952697524</v>
      </c>
      <c r="B115" s="14" t="s">
        <v>284</v>
      </c>
      <c r="C115" s="247" t="str">
        <f>IFERROR(INDEX(YAtCData[Team],MATCH(YACWR74[[#This Row],[Name]],YAtCData[Player],0)),"")</f>
        <v>ATL</v>
      </c>
      <c r="D115" s="247" t="str">
        <f>IFERROR(INDEX(YAtCData[Pos],MATCH(YACWR74[[#This Row],[Name]],YAtCData[Player],0)),"")</f>
        <v>WR</v>
      </c>
      <c r="E115" s="247">
        <f>IFERROR(INDEX(YAtCData[Rec],MATCH(YACWR74[[#This Row],[Name]],YAtCData[Player],0)),"")</f>
        <v>4</v>
      </c>
      <c r="F115" s="247">
        <f>IFERROR(INDEX(YAtCData[Yards],MATCH(YACWR74[[#This Row],[Name]],YAtCData[Player],0)),"")</f>
        <v>34</v>
      </c>
      <c r="G115" s="247">
        <f>IFERROR(INDEX(YAtCData[YAtC],MATCH(YACWR74[[#This Row],[Name]],YAtCData[Player],0)),"")</f>
        <v>28</v>
      </c>
      <c r="H115" s="247">
        <f>IFERROR(INDEX(YAtCData[YAtC/Rec],MATCH(YACWR74[[#This Row],[Name]],YAtCData[Player],0)),"")</f>
        <v>7</v>
      </c>
      <c r="I115" s="247">
        <f>IFERROR(INDEX(YACDATA[YAC],MATCH(YACWR74[[#This Row],[Name]],YACDATA[Player],0)),"")</f>
        <v>6</v>
      </c>
      <c r="J115" s="499">
        <f>IFERROR(INDEX(YACDATA[YAC per Reception],MATCH(YACWR74[[#This Row],[Name]],YACDATA[Player],0)),"")</f>
        <v>1.5</v>
      </c>
      <c r="K115" s="500"/>
      <c r="L115" s="104"/>
      <c r="M115" s="156"/>
      <c r="N115" s="156"/>
      <c r="O115" s="156"/>
      <c r="P115" s="156"/>
      <c r="Q115" s="156"/>
      <c r="R115" s="156"/>
      <c r="S115" s="156"/>
      <c r="T115" s="142"/>
      <c r="U115" s="156"/>
      <c r="V115" s="156"/>
      <c r="W115" s="156"/>
      <c r="X115" s="156"/>
      <c r="Y115" s="156"/>
      <c r="Z115" s="9"/>
      <c r="AA115" s="9"/>
      <c r="AB115" s="9"/>
    </row>
    <row r="116" spans="1:28" x14ac:dyDescent="0.3">
      <c r="A116" s="8">
        <v>97.437975865704232</v>
      </c>
      <c r="B116" s="14" t="s">
        <v>501</v>
      </c>
      <c r="C116" s="247" t="str">
        <f>IFERROR(INDEX(YAtCData[Team],MATCH(YACWR74[[#This Row],[Name]],YAtCData[Player],0)),"")</f>
        <v>NYJ</v>
      </c>
      <c r="D116" s="247" t="str">
        <f>IFERROR(INDEX(YAtCData[Pos],MATCH(YACWR74[[#This Row],[Name]],YAtCData[Player],0)),"")</f>
        <v>WR</v>
      </c>
      <c r="E116" s="247">
        <f>IFERROR(INDEX(YAtCData[Rec],MATCH(YACWR74[[#This Row],[Name]],YAtCData[Player],0)),"")</f>
        <v>2</v>
      </c>
      <c r="F116" s="247">
        <f>IFERROR(INDEX(YAtCData[Yards],MATCH(YACWR74[[#This Row],[Name]],YAtCData[Player],0)),"")</f>
        <v>34</v>
      </c>
      <c r="G116" s="247">
        <f>IFERROR(INDEX(YAtCData[YAtC],MATCH(YACWR74[[#This Row],[Name]],YAtCData[Player],0)),"")</f>
        <v>26</v>
      </c>
      <c r="H116" s="247">
        <f>IFERROR(INDEX(YAtCData[YAtC/Rec],MATCH(YACWR74[[#This Row],[Name]],YAtCData[Player],0)),"")</f>
        <v>13</v>
      </c>
      <c r="I116" s="247">
        <f>IFERROR(INDEX(YACDATA[YAC],MATCH(YACWR74[[#This Row],[Name]],YACDATA[Player],0)),"")</f>
        <v>8</v>
      </c>
      <c r="J116" s="499">
        <f>IFERROR(INDEX(YACDATA[YAC per Reception],MATCH(YACWR74[[#This Row],[Name]],YACDATA[Player],0)),"")</f>
        <v>4</v>
      </c>
      <c r="K116" s="500"/>
      <c r="L116" s="104"/>
      <c r="M116" s="156"/>
      <c r="N116" s="156"/>
      <c r="O116" s="156"/>
      <c r="P116" s="156"/>
      <c r="Q116" s="156"/>
      <c r="R116" s="156"/>
      <c r="S116" s="156"/>
      <c r="T116" s="142"/>
      <c r="U116" s="156"/>
      <c r="V116" s="156"/>
      <c r="W116" s="156"/>
      <c r="X116" s="156"/>
      <c r="Y116" s="156"/>
      <c r="Z116" s="9"/>
      <c r="AA116" s="9"/>
      <c r="AB116" s="9"/>
    </row>
    <row r="117" spans="1:28" x14ac:dyDescent="0.3">
      <c r="A117" s="8">
        <v>98.356432778710939</v>
      </c>
      <c r="B117" s="14" t="s">
        <v>313</v>
      </c>
      <c r="C117" s="247" t="str">
        <f>IFERROR(INDEX(YAtCData[Team],MATCH(YACWR74[[#This Row],[Name]],YAtCData[Player],0)),"")</f>
        <v>SF</v>
      </c>
      <c r="D117" s="247" t="str">
        <f>IFERROR(INDEX(YAtCData[Pos],MATCH(YACWR74[[#This Row],[Name]],YAtCData[Player],0)),"")</f>
        <v>WR</v>
      </c>
      <c r="E117" s="247">
        <f>IFERROR(INDEX(YAtCData[Rec],MATCH(YACWR74[[#This Row],[Name]],YAtCData[Player],0)),"")</f>
        <v>2</v>
      </c>
      <c r="F117" s="247">
        <f>IFERROR(INDEX(YAtCData[Yards],MATCH(YACWR74[[#This Row],[Name]],YAtCData[Player],0)),"")</f>
        <v>32</v>
      </c>
      <c r="G117" s="247">
        <f>IFERROR(INDEX(YAtCData[YAtC],MATCH(YACWR74[[#This Row],[Name]],YAtCData[Player],0)),"")</f>
        <v>16</v>
      </c>
      <c r="H117" s="247">
        <f>IFERROR(INDEX(YAtCData[YAtC/Rec],MATCH(YACWR74[[#This Row],[Name]],YAtCData[Player],0)),"")</f>
        <v>8</v>
      </c>
      <c r="I117" s="247">
        <f>IFERROR(INDEX(YACDATA[YAC],MATCH(YACWR74[[#This Row],[Name]],YACDATA[Player],0)),"")</f>
        <v>16</v>
      </c>
      <c r="J117" s="499">
        <f>IFERROR(INDEX(YACDATA[YAC per Reception],MATCH(YACWR74[[#This Row],[Name]],YACDATA[Player],0)),"")</f>
        <v>8</v>
      </c>
      <c r="K117" s="500"/>
      <c r="L117" s="104"/>
      <c r="M117" s="156"/>
      <c r="N117" s="156"/>
      <c r="O117" s="156"/>
      <c r="P117" s="156"/>
      <c r="Q117" s="156"/>
      <c r="R117" s="156"/>
      <c r="S117" s="156"/>
      <c r="T117" s="142"/>
      <c r="U117" s="156"/>
      <c r="V117" s="156"/>
      <c r="W117" s="156"/>
      <c r="X117" s="156"/>
      <c r="Y117" s="156"/>
      <c r="Z117" s="9"/>
      <c r="AA117" s="9"/>
      <c r="AB117" s="9"/>
    </row>
    <row r="118" spans="1:28" x14ac:dyDescent="0.3">
      <c r="A118" s="8">
        <v>99.274889691717647</v>
      </c>
      <c r="B118" s="14" t="s">
        <v>254</v>
      </c>
      <c r="C118" s="247" t="str">
        <f>IFERROR(INDEX(YAtCData[Team],MATCH(YACWR74[[#This Row],[Name]],YAtCData[Player],0)),"")</f>
        <v>CAR</v>
      </c>
      <c r="D118" s="247" t="str">
        <f>IFERROR(INDEX(YAtCData[Pos],MATCH(YACWR74[[#This Row],[Name]],YAtCData[Player],0)),"")</f>
        <v>WR</v>
      </c>
      <c r="E118" s="247">
        <f>IFERROR(INDEX(YAtCData[Rec],MATCH(YACWR74[[#This Row],[Name]],YAtCData[Player],0)),"")</f>
        <v>3</v>
      </c>
      <c r="F118" s="247">
        <f>IFERROR(INDEX(YAtCData[Yards],MATCH(YACWR74[[#This Row],[Name]],YAtCData[Player],0)),"")</f>
        <v>28</v>
      </c>
      <c r="G118" s="247">
        <f>IFERROR(INDEX(YAtCData[YAtC],MATCH(YACWR74[[#This Row],[Name]],YAtCData[Player],0)),"")</f>
        <v>26</v>
      </c>
      <c r="H118" s="247">
        <f>IFERROR(INDEX(YAtCData[YAtC/Rec],MATCH(YACWR74[[#This Row],[Name]],YAtCData[Player],0)),"")</f>
        <v>8.67</v>
      </c>
      <c r="I118" s="247">
        <f>IFERROR(INDEX(YACDATA[YAC],MATCH(YACWR74[[#This Row],[Name]],YACDATA[Player],0)),"")</f>
        <v>2</v>
      </c>
      <c r="J118" s="499">
        <f>IFERROR(INDEX(YACDATA[YAC per Reception],MATCH(YACWR74[[#This Row],[Name]],YACDATA[Player],0)),"")</f>
        <v>0.7</v>
      </c>
      <c r="K118" s="500"/>
      <c r="L118" s="104"/>
      <c r="M118" s="156"/>
      <c r="N118" s="156"/>
      <c r="O118" s="156"/>
      <c r="P118" s="156"/>
      <c r="Q118" s="156"/>
      <c r="R118" s="156"/>
      <c r="S118" s="156"/>
      <c r="T118" s="142"/>
      <c r="U118" s="156"/>
      <c r="V118" s="156"/>
      <c r="W118" s="156"/>
      <c r="X118" s="156"/>
      <c r="Y118" s="156"/>
      <c r="Z118" s="9"/>
      <c r="AA118" s="9"/>
      <c r="AB118" s="9"/>
    </row>
    <row r="119" spans="1:28" x14ac:dyDescent="0.3">
      <c r="A119" s="8">
        <v>100.19334660472435</v>
      </c>
      <c r="B119" s="128" t="s">
        <v>485</v>
      </c>
      <c r="C119" s="247" t="str">
        <f>IFERROR(INDEX(YAtCData[Team],MATCH(YACWR74[[#This Row],[Name]],YAtCData[Player],0)),"")</f>
        <v>BUF</v>
      </c>
      <c r="D119" s="247" t="str">
        <f>IFERROR(INDEX(YAtCData[Pos],MATCH(YACWR74[[#This Row],[Name]],YAtCData[Player],0)),"")</f>
        <v>WR</v>
      </c>
      <c r="E119" s="247">
        <f>IFERROR(INDEX(YAtCData[Rec],MATCH(YACWR74[[#This Row],[Name]],YAtCData[Player],0)),"")</f>
        <v>3</v>
      </c>
      <c r="F119" s="247">
        <f>IFERROR(INDEX(YAtCData[Yards],MATCH(YACWR74[[#This Row],[Name]],YAtCData[Player],0)),"")</f>
        <v>28</v>
      </c>
      <c r="G119" s="247">
        <f>IFERROR(INDEX(YAtCData[YAtC],MATCH(YACWR74[[#This Row],[Name]],YAtCData[Player],0)),"")</f>
        <v>10</v>
      </c>
      <c r="H119" s="247">
        <f>IFERROR(INDEX(YAtCData[YAtC/Rec],MATCH(YACWR74[[#This Row],[Name]],YAtCData[Player],0)),"")</f>
        <v>3.33</v>
      </c>
      <c r="I119" s="247">
        <f>IFERROR(INDEX(YACDATA[YAC],MATCH(YACWR74[[#This Row],[Name]],YACDATA[Player],0)),"")</f>
        <v>18</v>
      </c>
      <c r="J119" s="499">
        <f>IFERROR(INDEX(YACDATA[YAC per Reception],MATCH(YACWR74[[#This Row],[Name]],YACDATA[Player],0)),"")</f>
        <v>6</v>
      </c>
      <c r="K119" s="500"/>
      <c r="L119" s="104"/>
      <c r="M119" s="156"/>
      <c r="N119" s="156"/>
      <c r="O119" s="156"/>
      <c r="P119" s="156"/>
      <c r="Q119" s="156"/>
      <c r="R119" s="156"/>
      <c r="S119" s="156"/>
      <c r="T119" s="142"/>
      <c r="U119" s="156"/>
      <c r="V119" s="156"/>
      <c r="W119" s="156"/>
      <c r="X119" s="156"/>
      <c r="Y119" s="156"/>
      <c r="Z119" s="9"/>
      <c r="AA119" s="9"/>
      <c r="AB119" s="9"/>
    </row>
    <row r="120" spans="1:28" x14ac:dyDescent="0.3">
      <c r="A120" s="8">
        <v>101.11180351773106</v>
      </c>
      <c r="B120" s="128" t="s">
        <v>481</v>
      </c>
      <c r="C120" s="247" t="str">
        <f>IFERROR(INDEX(YAtCData[Team],MATCH(YACWR74[[#This Row],[Name]],YAtCData[Player],0)),"")</f>
        <v>CIN</v>
      </c>
      <c r="D120" s="247" t="str">
        <f>IFERROR(INDEX(YAtCData[Pos],MATCH(YACWR74[[#This Row],[Name]],YAtCData[Player],0)),"")</f>
        <v>WR</v>
      </c>
      <c r="E120" s="247">
        <f>IFERROR(INDEX(YAtCData[Rec],MATCH(YACWR74[[#This Row],[Name]],YAtCData[Player],0)),"")</f>
        <v>3</v>
      </c>
      <c r="F120" s="247">
        <f>IFERROR(INDEX(YAtCData[Yards],MATCH(YACWR74[[#This Row],[Name]],YAtCData[Player],0)),"")</f>
        <v>27</v>
      </c>
      <c r="G120" s="247">
        <f>IFERROR(INDEX(YAtCData[YAtC],MATCH(YACWR74[[#This Row],[Name]],YAtCData[Player],0)),"")</f>
        <v>13</v>
      </c>
      <c r="H120" s="247">
        <f>IFERROR(INDEX(YAtCData[YAtC/Rec],MATCH(YACWR74[[#This Row],[Name]],YAtCData[Player],0)),"")</f>
        <v>4.33</v>
      </c>
      <c r="I120" s="247">
        <f>IFERROR(INDEX(YACDATA[YAC],MATCH(YACWR74[[#This Row],[Name]],YACDATA[Player],0)),"")</f>
        <v>14</v>
      </c>
      <c r="J120" s="499">
        <f>IFERROR(INDEX(YACDATA[YAC per Reception],MATCH(YACWR74[[#This Row],[Name]],YACDATA[Player],0)),"")</f>
        <v>4.7</v>
      </c>
      <c r="K120" s="500"/>
      <c r="L120" s="104"/>
      <c r="M120" s="156"/>
      <c r="N120" s="156"/>
      <c r="O120" s="156"/>
      <c r="P120" s="156"/>
      <c r="Q120" s="156"/>
      <c r="R120" s="156"/>
      <c r="S120" s="156"/>
      <c r="T120" s="142"/>
      <c r="U120" s="156"/>
      <c r="V120" s="156"/>
      <c r="W120" s="156"/>
      <c r="X120" s="156"/>
      <c r="Y120" s="156"/>
      <c r="Z120" s="9"/>
      <c r="AA120" s="9"/>
      <c r="AB120" s="9"/>
    </row>
    <row r="121" spans="1:28" x14ac:dyDescent="0.3">
      <c r="A121" s="8">
        <v>102.03026043073777</v>
      </c>
      <c r="B121" s="14" t="s">
        <v>296</v>
      </c>
      <c r="C121" s="247" t="str">
        <f>IFERROR(INDEX(YAtCData[Team],MATCH(YACWR74[[#This Row],[Name]],YAtCData[Player],0)),"")</f>
        <v>CHI</v>
      </c>
      <c r="D121" s="247" t="str">
        <f>IFERROR(INDEX(YAtCData[Pos],MATCH(YACWR74[[#This Row],[Name]],YAtCData[Player],0)),"")</f>
        <v>WR</v>
      </c>
      <c r="E121" s="247">
        <f>IFERROR(INDEX(YAtCData[Rec],MATCH(YACWR74[[#This Row],[Name]],YAtCData[Player],0)),"")</f>
        <v>2</v>
      </c>
      <c r="F121" s="247">
        <f>IFERROR(INDEX(YAtCData[Yards],MATCH(YACWR74[[#This Row],[Name]],YAtCData[Player],0)),"")</f>
        <v>24</v>
      </c>
      <c r="G121" s="247">
        <f>IFERROR(INDEX(YAtCData[YAtC],MATCH(YACWR74[[#This Row],[Name]],YAtCData[Player],0)),"")</f>
        <v>20</v>
      </c>
      <c r="H121" s="247">
        <f>IFERROR(INDEX(YAtCData[YAtC/Rec],MATCH(YACWR74[[#This Row],[Name]],YAtCData[Player],0)),"")</f>
        <v>10</v>
      </c>
      <c r="I121" s="247">
        <f>IFERROR(INDEX(YACDATA[YAC],MATCH(YACWR74[[#This Row],[Name]],YACDATA[Player],0)),"")</f>
        <v>4</v>
      </c>
      <c r="J121" s="499">
        <f>IFERROR(INDEX(YACDATA[YAC per Reception],MATCH(YACWR74[[#This Row],[Name]],YACDATA[Player],0)),"")</f>
        <v>2</v>
      </c>
      <c r="K121" s="500"/>
      <c r="L121" s="104"/>
      <c r="M121" s="156"/>
      <c r="N121" s="156"/>
      <c r="O121" s="156"/>
      <c r="P121" s="156"/>
      <c r="Q121" s="156"/>
      <c r="R121" s="156"/>
      <c r="S121" s="156"/>
      <c r="T121" s="142"/>
      <c r="U121" s="156"/>
      <c r="V121" s="156"/>
      <c r="W121" s="156"/>
      <c r="X121" s="156"/>
      <c r="Y121" s="156"/>
      <c r="Z121" s="9"/>
      <c r="AA121" s="9"/>
      <c r="AB121" s="9"/>
    </row>
    <row r="122" spans="1:28" x14ac:dyDescent="0.3">
      <c r="A122" s="8">
        <v>102.94871734374448</v>
      </c>
      <c r="B122" s="14" t="s">
        <v>497</v>
      </c>
      <c r="C122" s="247" t="str">
        <f>IFERROR(INDEX(YAtCData[Team],MATCH(YACWR74[[#This Row],[Name]],YAtCData[Player],0)),"")</f>
        <v>BAL</v>
      </c>
      <c r="D122" s="247" t="str">
        <f>IFERROR(INDEX(YAtCData[Pos],MATCH(YACWR74[[#This Row],[Name]],YAtCData[Player],0)),"")</f>
        <v>WR</v>
      </c>
      <c r="E122" s="247">
        <f>IFERROR(INDEX(YAtCData[Rec],MATCH(YACWR74[[#This Row],[Name]],YAtCData[Player],0)),"")</f>
        <v>3</v>
      </c>
      <c r="F122" s="247">
        <f>IFERROR(INDEX(YAtCData[Yards],MATCH(YACWR74[[#This Row],[Name]],YAtCData[Player],0)),"")</f>
        <v>24</v>
      </c>
      <c r="G122" s="247">
        <f>IFERROR(INDEX(YAtCData[YAtC],MATCH(YACWR74[[#This Row],[Name]],YAtCData[Player],0)),"")</f>
        <v>15</v>
      </c>
      <c r="H122" s="247">
        <f>IFERROR(INDEX(YAtCData[YAtC/Rec],MATCH(YACWR74[[#This Row],[Name]],YAtCData[Player],0)),"")</f>
        <v>5</v>
      </c>
      <c r="I122" s="247">
        <f>IFERROR(INDEX(YACDATA[YAC],MATCH(YACWR74[[#This Row],[Name]],YACDATA[Player],0)),"")</f>
        <v>9</v>
      </c>
      <c r="J122" s="499">
        <f>IFERROR(INDEX(YACDATA[YAC per Reception],MATCH(YACWR74[[#This Row],[Name]],YACDATA[Player],0)),"")</f>
        <v>3</v>
      </c>
      <c r="K122" s="500"/>
      <c r="L122" s="104"/>
      <c r="M122" s="156"/>
      <c r="N122" s="156"/>
      <c r="O122" s="156"/>
      <c r="P122" s="156"/>
      <c r="Q122" s="156"/>
      <c r="R122" s="156"/>
      <c r="S122" s="156"/>
      <c r="T122" s="142"/>
      <c r="U122" s="156"/>
      <c r="V122" s="156"/>
      <c r="W122" s="156"/>
      <c r="X122" s="156"/>
      <c r="Y122" s="156"/>
      <c r="Z122" s="9"/>
      <c r="AA122" s="9"/>
      <c r="AB122" s="9"/>
    </row>
    <row r="123" spans="1:28" x14ac:dyDescent="0.3">
      <c r="A123" s="8">
        <v>103.86717425675118</v>
      </c>
      <c r="B123" s="128" t="s">
        <v>286</v>
      </c>
      <c r="C123" s="247" t="str">
        <f>IFERROR(INDEX(YAtCData[Team],MATCH(YACWR74[[#This Row],[Name]],YAtCData[Player],0)),"")</f>
        <v>DEN</v>
      </c>
      <c r="D123" s="247" t="str">
        <f>IFERROR(INDEX(YAtCData[Pos],MATCH(YACWR74[[#This Row],[Name]],YAtCData[Player],0)),"")</f>
        <v>WR</v>
      </c>
      <c r="E123" s="247">
        <f>IFERROR(INDEX(YAtCData[Rec],MATCH(YACWR74[[#This Row],[Name]],YAtCData[Player],0)),"")</f>
        <v>3</v>
      </c>
      <c r="F123" s="247">
        <f>IFERROR(INDEX(YAtCData[Yards],MATCH(YACWR74[[#This Row],[Name]],YAtCData[Player],0)),"")</f>
        <v>24</v>
      </c>
      <c r="G123" s="247">
        <f>IFERROR(INDEX(YAtCData[YAtC],MATCH(YACWR74[[#This Row],[Name]],YAtCData[Player],0)),"")</f>
        <v>14</v>
      </c>
      <c r="H123" s="247">
        <f>IFERROR(INDEX(YAtCData[YAtC/Rec],MATCH(YACWR74[[#This Row],[Name]],YAtCData[Player],0)),"")</f>
        <v>4.67</v>
      </c>
      <c r="I123" s="247">
        <f>IFERROR(INDEX(YACDATA[YAC],MATCH(YACWR74[[#This Row],[Name]],YACDATA[Player],0)),"")</f>
        <v>10</v>
      </c>
      <c r="J123" s="499">
        <f>IFERROR(INDEX(YACDATA[YAC per Reception],MATCH(YACWR74[[#This Row],[Name]],YACDATA[Player],0)),"")</f>
        <v>3.3</v>
      </c>
      <c r="K123" s="500"/>
      <c r="M123" s="156"/>
      <c r="N123" s="156"/>
      <c r="O123" s="156"/>
      <c r="P123" s="156"/>
      <c r="Q123" s="156"/>
      <c r="R123" s="156"/>
      <c r="S123" s="156"/>
      <c r="T123" s="142"/>
      <c r="U123" s="156"/>
      <c r="V123" s="156"/>
      <c r="W123" s="156"/>
      <c r="X123" s="156"/>
      <c r="Y123" s="156"/>
      <c r="Z123" s="9"/>
      <c r="AA123" s="9"/>
      <c r="AB123" s="9"/>
    </row>
    <row r="124" spans="1:28" x14ac:dyDescent="0.3">
      <c r="A124" s="8">
        <v>104.78563116975789</v>
      </c>
      <c r="B124" s="14" t="s">
        <v>304</v>
      </c>
      <c r="C124" s="247" t="str">
        <f>IFERROR(INDEX(YAtCData[Team],MATCH(YACWR74[[#This Row],[Name]],YAtCData[Player],0)),"")</f>
        <v>DEN</v>
      </c>
      <c r="D124" s="247" t="str">
        <f>IFERROR(INDEX(YAtCData[Pos],MATCH(YACWR74[[#This Row],[Name]],YAtCData[Player],0)),"")</f>
        <v>WR</v>
      </c>
      <c r="E124" s="247">
        <f>IFERROR(INDEX(YAtCData[Rec],MATCH(YACWR74[[#This Row],[Name]],YAtCData[Player],0)),"")</f>
        <v>3</v>
      </c>
      <c r="F124" s="247">
        <f>IFERROR(INDEX(YAtCData[Yards],MATCH(YACWR74[[#This Row],[Name]],YAtCData[Player],0)),"")</f>
        <v>22</v>
      </c>
      <c r="G124" s="247">
        <f>IFERROR(INDEX(YAtCData[YAtC],MATCH(YACWR74[[#This Row],[Name]],YAtCData[Player],0)),"")</f>
        <v>22</v>
      </c>
      <c r="H124" s="247">
        <f>IFERROR(INDEX(YAtCData[YAtC/Rec],MATCH(YACWR74[[#This Row],[Name]],YAtCData[Player],0)),"")</f>
        <v>7.33</v>
      </c>
      <c r="I124" s="247" t="str">
        <f>IFERROR(INDEX(YACDATA[YAC],MATCH(YACWR74[[#This Row],[Name]],YACDATA[Player],0)),"")</f>
        <v/>
      </c>
      <c r="J124" s="499" t="str">
        <f>IFERROR(INDEX(YACDATA[YAC per Reception],MATCH(YACWR74[[#This Row],[Name]],YACDATA[Player],0)),"")</f>
        <v/>
      </c>
      <c r="K124" s="500"/>
      <c r="M124" s="156"/>
      <c r="N124" s="156"/>
      <c r="O124" s="156"/>
      <c r="P124" s="156"/>
      <c r="Q124" s="156"/>
      <c r="R124" s="156"/>
      <c r="S124" s="156"/>
      <c r="T124" s="142"/>
      <c r="U124" s="156"/>
      <c r="V124" s="156"/>
      <c r="W124" s="156"/>
      <c r="X124" s="156"/>
      <c r="Y124" s="156"/>
      <c r="Z124" s="9"/>
      <c r="AA124" s="9"/>
      <c r="AB124" s="9"/>
    </row>
    <row r="125" spans="1:28" x14ac:dyDescent="0.3">
      <c r="A125" s="8">
        <v>105.7040880827646</v>
      </c>
      <c r="B125" s="14" t="s">
        <v>312</v>
      </c>
      <c r="C125" s="247" t="str">
        <f>IFERROR(INDEX(YAtCData[Team],MATCH(YACWR74[[#This Row],[Name]],YAtCData[Player],0)),"")</f>
        <v>TB</v>
      </c>
      <c r="D125" s="247" t="str">
        <f>IFERROR(INDEX(YAtCData[Pos],MATCH(YACWR74[[#This Row],[Name]],YAtCData[Player],0)),"")</f>
        <v>WR</v>
      </c>
      <c r="E125" s="247">
        <f>IFERROR(INDEX(YAtCData[Rec],MATCH(YACWR74[[#This Row],[Name]],YAtCData[Player],0)),"")</f>
        <v>3</v>
      </c>
      <c r="F125" s="247">
        <f>IFERROR(INDEX(YAtCData[Yards],MATCH(YACWR74[[#This Row],[Name]],YAtCData[Player],0)),"")</f>
        <v>22</v>
      </c>
      <c r="G125" s="247">
        <f>IFERROR(INDEX(YAtCData[YAtC],MATCH(YACWR74[[#This Row],[Name]],YAtCData[Player],0)),"")</f>
        <v>14</v>
      </c>
      <c r="H125" s="247">
        <f>IFERROR(INDEX(YAtCData[YAtC/Rec],MATCH(YACWR74[[#This Row],[Name]],YAtCData[Player],0)),"")</f>
        <v>4.67</v>
      </c>
      <c r="I125" s="247">
        <f>IFERROR(INDEX(YACDATA[YAC],MATCH(YACWR74[[#This Row],[Name]],YACDATA[Player],0)),"")</f>
        <v>8</v>
      </c>
      <c r="J125" s="499">
        <f>IFERROR(INDEX(YACDATA[YAC per Reception],MATCH(YACWR74[[#This Row],[Name]],YACDATA[Player],0)),"")</f>
        <v>2.7</v>
      </c>
      <c r="K125" s="500"/>
      <c r="M125" s="156"/>
      <c r="N125" s="156"/>
      <c r="O125" s="156"/>
      <c r="P125" s="156"/>
      <c r="Q125" s="156"/>
      <c r="R125" s="156"/>
      <c r="S125" s="156"/>
      <c r="T125" s="142"/>
      <c r="U125" s="156"/>
      <c r="V125" s="156"/>
      <c r="W125" s="156"/>
      <c r="X125" s="156"/>
      <c r="Y125" s="156"/>
      <c r="Z125" s="9"/>
      <c r="AA125" s="9"/>
      <c r="AB125" s="9"/>
    </row>
    <row r="126" spans="1:28" x14ac:dyDescent="0.3">
      <c r="A126" s="8">
        <v>106.62254499577131</v>
      </c>
      <c r="B126" s="14" t="s">
        <v>506</v>
      </c>
      <c r="C126" s="247" t="str">
        <f>IFERROR(INDEX(YAtCData[Team],MATCH(YACWR74[[#This Row],[Name]],YAtCData[Player],0)),"")</f>
        <v>CIN</v>
      </c>
      <c r="D126" s="247" t="str">
        <f>IFERROR(INDEX(YAtCData[Pos],MATCH(YACWR74[[#This Row],[Name]],YAtCData[Player],0)),"")</f>
        <v>WR</v>
      </c>
      <c r="E126" s="247">
        <f>IFERROR(INDEX(YAtCData[Rec],MATCH(YACWR74[[#This Row],[Name]],YAtCData[Player],0)),"")</f>
        <v>1</v>
      </c>
      <c r="F126" s="247">
        <f>IFERROR(INDEX(YAtCData[Yards],MATCH(YACWR74[[#This Row],[Name]],YAtCData[Player],0)),"")</f>
        <v>20</v>
      </c>
      <c r="G126" s="247">
        <f>IFERROR(INDEX(YAtCData[YAtC],MATCH(YACWR74[[#This Row],[Name]],YAtCData[Player],0)),"")</f>
        <v>17</v>
      </c>
      <c r="H126" s="247">
        <f>IFERROR(INDEX(YAtCData[YAtC/Rec],MATCH(YACWR74[[#This Row],[Name]],YAtCData[Player],0)),"")</f>
        <v>17</v>
      </c>
      <c r="I126" s="247">
        <f>IFERROR(INDEX(YACDATA[YAC],MATCH(YACWR74[[#This Row],[Name]],YACDATA[Player],0)),"")</f>
        <v>3</v>
      </c>
      <c r="J126" s="499">
        <f>IFERROR(INDEX(YACDATA[YAC per Reception],MATCH(YACWR74[[#This Row],[Name]],YACDATA[Player],0)),"")</f>
        <v>3</v>
      </c>
      <c r="K126" s="500"/>
      <c r="M126" s="156"/>
      <c r="N126" s="156"/>
      <c r="O126" s="156"/>
      <c r="P126" s="156"/>
      <c r="Q126" s="156"/>
      <c r="R126" s="156"/>
      <c r="S126" s="156"/>
      <c r="T126" s="142"/>
      <c r="U126" s="156"/>
      <c r="V126" s="156"/>
      <c r="W126" s="156"/>
      <c r="X126" s="156"/>
      <c r="Y126" s="156"/>
      <c r="Z126" s="9"/>
      <c r="AA126" s="9"/>
      <c r="AB126" s="9"/>
    </row>
    <row r="127" spans="1:28" x14ac:dyDescent="0.3">
      <c r="A127" s="8">
        <v>107.541001908778</v>
      </c>
      <c r="B127" s="14" t="s">
        <v>1550</v>
      </c>
      <c r="C127" s="247" t="str">
        <f>IFERROR(INDEX(YAtCData[Team],MATCH(YACWR74[[#This Row],[Name]],YAtCData[Player],0)),"")</f>
        <v>DEN</v>
      </c>
      <c r="D127" s="247" t="str">
        <f>IFERROR(INDEX(YAtCData[Pos],MATCH(YACWR74[[#This Row],[Name]],YAtCData[Player],0)),"")</f>
        <v>WR</v>
      </c>
      <c r="E127" s="247">
        <f>IFERROR(INDEX(YAtCData[Rec],MATCH(YACWR74[[#This Row],[Name]],YAtCData[Player],0)),"")</f>
        <v>1</v>
      </c>
      <c r="F127" s="247">
        <f>IFERROR(INDEX(YAtCData[Yards],MATCH(YACWR74[[#This Row],[Name]],YAtCData[Player],0)),"")</f>
        <v>20</v>
      </c>
      <c r="G127" s="247">
        <f>IFERROR(INDEX(YAtCData[YAtC],MATCH(YACWR74[[#This Row],[Name]],YAtCData[Player],0)),"")</f>
        <v>17</v>
      </c>
      <c r="H127" s="247">
        <f>IFERROR(INDEX(YAtCData[YAtC/Rec],MATCH(YACWR74[[#This Row],[Name]],YAtCData[Player],0)),"")</f>
        <v>17</v>
      </c>
      <c r="I127" s="247">
        <f>IFERROR(INDEX(YACDATA[YAC],MATCH(YACWR74[[#This Row],[Name]],YACDATA[Player],0)),"")</f>
        <v>3</v>
      </c>
      <c r="J127" s="499">
        <f>IFERROR(INDEX(YACDATA[YAC per Reception],MATCH(YACWR74[[#This Row],[Name]],YACDATA[Player],0)),"")</f>
        <v>3</v>
      </c>
      <c r="K127" s="500"/>
      <c r="M127" s="156"/>
      <c r="N127" s="156"/>
      <c r="O127" s="156"/>
      <c r="P127" s="156"/>
      <c r="Q127" s="156"/>
      <c r="R127" s="156"/>
      <c r="S127" s="156"/>
      <c r="T127" s="142"/>
      <c r="U127" s="156"/>
      <c r="V127" s="156"/>
      <c r="W127" s="156"/>
      <c r="X127" s="156"/>
      <c r="Y127" s="156"/>
      <c r="Z127" s="9"/>
      <c r="AA127" s="9"/>
      <c r="AB127" s="9"/>
    </row>
    <row r="128" spans="1:28" x14ac:dyDescent="0.3">
      <c r="A128" s="8">
        <v>108.45945882178471</v>
      </c>
      <c r="B128" s="128" t="s">
        <v>221</v>
      </c>
      <c r="C128" s="247" t="str">
        <f>IFERROR(INDEX(YAtCData[Team],MATCH(YACWR74[[#This Row],[Name]],YAtCData[Player],0)),"")</f>
        <v>BAL</v>
      </c>
      <c r="D128" s="247" t="str">
        <f>IFERROR(INDEX(YAtCData[Pos],MATCH(YACWR74[[#This Row],[Name]],YAtCData[Player],0)),"")</f>
        <v>WR</v>
      </c>
      <c r="E128" s="247">
        <f>IFERROR(INDEX(YAtCData[Rec],MATCH(YACWR74[[#This Row],[Name]],YAtCData[Player],0)),"")</f>
        <v>3</v>
      </c>
      <c r="F128" s="247">
        <f>IFERROR(INDEX(YAtCData[Yards],MATCH(YACWR74[[#This Row],[Name]],YAtCData[Player],0)),"")</f>
        <v>19</v>
      </c>
      <c r="G128" s="247">
        <f>IFERROR(INDEX(YAtCData[YAtC],MATCH(YACWR74[[#This Row],[Name]],YAtCData[Player],0)),"")</f>
        <v>11</v>
      </c>
      <c r="H128" s="247">
        <f>IFERROR(INDEX(YAtCData[YAtC/Rec],MATCH(YACWR74[[#This Row],[Name]],YAtCData[Player],0)),"")</f>
        <v>3.67</v>
      </c>
      <c r="I128" s="247">
        <f>IFERROR(INDEX(YACDATA[YAC],MATCH(YACWR74[[#This Row],[Name]],YACDATA[Player],0)),"")</f>
        <v>8</v>
      </c>
      <c r="J128" s="499">
        <f>IFERROR(INDEX(YACDATA[YAC per Reception],MATCH(YACWR74[[#This Row],[Name]],YACDATA[Player],0)),"")</f>
        <v>2.7</v>
      </c>
      <c r="K128" s="500"/>
      <c r="M128" s="156"/>
      <c r="N128" s="156"/>
      <c r="O128" s="156"/>
      <c r="P128" s="156"/>
      <c r="Q128" s="156"/>
      <c r="R128" s="156"/>
      <c r="S128" s="156"/>
      <c r="T128" s="142"/>
      <c r="U128" s="156"/>
      <c r="V128" s="156"/>
      <c r="W128" s="156"/>
      <c r="X128" s="156"/>
      <c r="Y128" s="156"/>
      <c r="Z128" s="9"/>
      <c r="AA128" s="9"/>
      <c r="AB128" s="9"/>
    </row>
    <row r="129" spans="1:28" x14ac:dyDescent="0.3">
      <c r="A129" s="8">
        <v>109.37791573479142</v>
      </c>
      <c r="B129" s="501" t="s">
        <v>266</v>
      </c>
      <c r="C129" s="502" t="str">
        <f>IFERROR(INDEX(YAtCData[Team],MATCH(YACWR74[[#This Row],[Name]],YAtCData[Player],0)),"")</f>
        <v>DAL</v>
      </c>
      <c r="D129" s="502" t="str">
        <f>IFERROR(INDEX(YAtCData[Pos],MATCH(YACWR74[[#This Row],[Name]],YAtCData[Player],0)),"")</f>
        <v>WR</v>
      </c>
      <c r="E129" s="502">
        <f>IFERROR(INDEX(YAtCData[Rec],MATCH(YACWR74[[#This Row],[Name]],YAtCData[Player],0)),"")</f>
        <v>1</v>
      </c>
      <c r="F129" s="502">
        <f>IFERROR(INDEX(YAtCData[Yards],MATCH(YACWR74[[#This Row],[Name]],YAtCData[Player],0)),"")</f>
        <v>16</v>
      </c>
      <c r="G129" s="502">
        <f>IFERROR(INDEX(YAtCData[YAtC],MATCH(YACWR74[[#This Row],[Name]],YAtCData[Player],0)),"")</f>
        <v>13</v>
      </c>
      <c r="H129" s="502">
        <f>IFERROR(INDEX(YAtCData[YAtC/Rec],MATCH(YACWR74[[#This Row],[Name]],YAtCData[Player],0)),"")</f>
        <v>13</v>
      </c>
      <c r="I129" s="502">
        <f>IFERROR(INDEX(YACDATA[YAC],MATCH(YACWR74[[#This Row],[Name]],YACDATA[Player],0)),"")</f>
        <v>3</v>
      </c>
      <c r="J129" s="503">
        <f>IFERROR(INDEX(YACDATA[YAC per Reception],MATCH(YACWR74[[#This Row],[Name]],YACDATA[Player],0)),"")</f>
        <v>3</v>
      </c>
      <c r="K129" s="500"/>
      <c r="M129" s="156"/>
      <c r="N129" s="156"/>
      <c r="O129" s="156"/>
      <c r="P129" s="156"/>
      <c r="Q129" s="156"/>
      <c r="R129" s="156"/>
      <c r="S129" s="156"/>
      <c r="T129" s="142"/>
      <c r="U129" s="156"/>
      <c r="V129" s="156"/>
      <c r="W129" s="156"/>
      <c r="X129" s="156"/>
      <c r="Y129" s="156"/>
      <c r="Z129" s="9"/>
      <c r="AA129" s="9"/>
      <c r="AB129" s="9"/>
    </row>
    <row r="130" spans="1:28" x14ac:dyDescent="0.3">
      <c r="A130" s="8">
        <v>110.29637264779812</v>
      </c>
      <c r="B130" s="14" t="s">
        <v>268</v>
      </c>
      <c r="C130" s="247" t="str">
        <f>IFERROR(INDEX(YAtCData[Team],MATCH(YACWR74[[#This Row],[Name]],YAtCData[Player],0)),"")</f>
        <v>HOU</v>
      </c>
      <c r="D130" s="247" t="str">
        <f>IFERROR(INDEX(YAtCData[Pos],MATCH(YACWR74[[#This Row],[Name]],YAtCData[Player],0)),"")</f>
        <v>WR</v>
      </c>
      <c r="E130" s="247">
        <f>IFERROR(INDEX(YAtCData[Rec],MATCH(YACWR74[[#This Row],[Name]],YAtCData[Player],0)),"")</f>
        <v>1</v>
      </c>
      <c r="F130" s="247">
        <f>IFERROR(INDEX(YAtCData[Yards],MATCH(YACWR74[[#This Row],[Name]],YAtCData[Player],0)),"")</f>
        <v>15</v>
      </c>
      <c r="G130" s="247">
        <f>IFERROR(INDEX(YAtCData[YAtC],MATCH(YACWR74[[#This Row],[Name]],YAtCData[Player],0)),"")</f>
        <v>15</v>
      </c>
      <c r="H130" s="247">
        <f>IFERROR(INDEX(YAtCData[YAtC/Rec],MATCH(YACWR74[[#This Row],[Name]],YAtCData[Player],0)),"")</f>
        <v>15</v>
      </c>
      <c r="I130" s="247" t="str">
        <f>IFERROR(INDEX(YACDATA[YAC],MATCH(YACWR74[[#This Row],[Name]],YACDATA[Player],0)),"")</f>
        <v/>
      </c>
      <c r="J130" s="499" t="str">
        <f>IFERROR(INDEX(YACDATA[YAC per Reception],MATCH(YACWR74[[#This Row],[Name]],YACDATA[Player],0)),"")</f>
        <v/>
      </c>
      <c r="K130" s="500"/>
      <c r="M130" s="156"/>
      <c r="N130" s="156"/>
      <c r="O130" s="156"/>
      <c r="P130" s="156"/>
      <c r="Q130" s="156"/>
      <c r="R130" s="156"/>
      <c r="S130" s="156"/>
      <c r="T130" s="142"/>
      <c r="U130" s="156"/>
      <c r="V130" s="156"/>
      <c r="W130" s="156"/>
      <c r="X130" s="156"/>
      <c r="Y130" s="156"/>
      <c r="Z130" s="9"/>
      <c r="AA130" s="9"/>
      <c r="AB130" s="9"/>
    </row>
    <row r="131" spans="1:28" x14ac:dyDescent="0.3">
      <c r="A131" s="8">
        <v>111.21482956080483</v>
      </c>
      <c r="B131" s="16" t="s">
        <v>274</v>
      </c>
      <c r="C131" s="502" t="str">
        <f>IFERROR(INDEX(YAtCData[Team],MATCH(YACWR74[[#This Row],[Name]],YAtCData[Player],0)),"")</f>
        <v>OAK</v>
      </c>
      <c r="D131" s="502" t="str">
        <f>IFERROR(INDEX(YAtCData[Pos],MATCH(YACWR74[[#This Row],[Name]],YAtCData[Player],0)),"")</f>
        <v>WR</v>
      </c>
      <c r="E131" s="502">
        <f>IFERROR(INDEX(YAtCData[Rec],MATCH(YACWR74[[#This Row],[Name]],YAtCData[Player],0)),"")</f>
        <v>2</v>
      </c>
      <c r="F131" s="502">
        <f>IFERROR(INDEX(YAtCData[Yards],MATCH(YACWR74[[#This Row],[Name]],YAtCData[Player],0)),"")</f>
        <v>14</v>
      </c>
      <c r="G131" s="502">
        <f>IFERROR(INDEX(YAtCData[YAtC],MATCH(YACWR74[[#This Row],[Name]],YAtCData[Player],0)),"")</f>
        <v>15</v>
      </c>
      <c r="H131" s="502">
        <f>IFERROR(INDEX(YAtCData[YAtC/Rec],MATCH(YACWR74[[#This Row],[Name]],YAtCData[Player],0)),"")</f>
        <v>7.5</v>
      </c>
      <c r="I131" s="502" t="str">
        <f>IFERROR(INDEX(YACDATA[YAC],MATCH(YACWR74[[#This Row],[Name]],YACDATA[Player],0)),"")</f>
        <v/>
      </c>
      <c r="J131" s="503" t="str">
        <f>IFERROR(INDEX(YACDATA[YAC per Reception],MATCH(YACWR74[[#This Row],[Name]],YACDATA[Player],0)),"")</f>
        <v/>
      </c>
      <c r="K131" s="500"/>
      <c r="M131" s="156"/>
      <c r="N131" s="156"/>
      <c r="O131" s="156"/>
      <c r="P131" s="156"/>
      <c r="Q131" s="156"/>
      <c r="R131" s="156"/>
      <c r="S131" s="156"/>
      <c r="T131" s="142"/>
      <c r="U131" s="156"/>
      <c r="V131" s="156"/>
      <c r="W131" s="156"/>
      <c r="X131" s="156"/>
      <c r="Y131" s="156"/>
      <c r="Z131" s="9"/>
      <c r="AA131" s="9"/>
      <c r="AB131" s="9"/>
    </row>
    <row r="132" spans="1:28" x14ac:dyDescent="0.3">
      <c r="A132" s="8">
        <v>112.13328647381154</v>
      </c>
      <c r="B132" s="501" t="s">
        <v>471</v>
      </c>
      <c r="C132" s="502" t="str">
        <f>IFERROR(INDEX(YAtCData[Team],MATCH(YACWR74[[#This Row],[Name]],YAtCData[Player],0)),"")</f>
        <v>MIA</v>
      </c>
      <c r="D132" s="502" t="str">
        <f>IFERROR(INDEX(YAtCData[Pos],MATCH(YACWR74[[#This Row],[Name]],YAtCData[Player],0)),"")</f>
        <v>WR</v>
      </c>
      <c r="E132" s="502">
        <f>IFERROR(INDEX(YAtCData[Rec],MATCH(YACWR74[[#This Row],[Name]],YAtCData[Player],0)),"")</f>
        <v>2</v>
      </c>
      <c r="F132" s="502">
        <f>IFERROR(INDEX(YAtCData[Yards],MATCH(YACWR74[[#This Row],[Name]],YAtCData[Player],0)),"")</f>
        <v>14</v>
      </c>
      <c r="G132" s="502">
        <f>IFERROR(INDEX(YAtCData[YAtC],MATCH(YACWR74[[#This Row],[Name]],YAtCData[Player],0)),"")</f>
        <v>11</v>
      </c>
      <c r="H132" s="502">
        <f>IFERROR(INDEX(YAtCData[YAtC/Rec],MATCH(YACWR74[[#This Row],[Name]],YAtCData[Player],0)),"")</f>
        <v>5.5</v>
      </c>
      <c r="I132" s="502">
        <f>IFERROR(INDEX(YACDATA[YAC],MATCH(YACWR74[[#This Row],[Name]],YACDATA[Player],0)),"")</f>
        <v>3</v>
      </c>
      <c r="J132" s="503">
        <f>IFERROR(INDEX(YACDATA[YAC per Reception],MATCH(YACWR74[[#This Row],[Name]],YACDATA[Player],0)),"")</f>
        <v>1.5</v>
      </c>
      <c r="K132" s="500"/>
      <c r="M132" s="156"/>
      <c r="N132" s="156"/>
      <c r="O132" s="156"/>
      <c r="P132" s="156"/>
      <c r="Q132" s="156"/>
      <c r="R132" s="156"/>
      <c r="S132" s="156"/>
      <c r="T132" s="142"/>
      <c r="U132" s="156"/>
      <c r="V132" s="156"/>
      <c r="W132" s="156"/>
      <c r="X132" s="156"/>
      <c r="Y132" s="156"/>
      <c r="Z132" s="9"/>
      <c r="AA132" s="9"/>
      <c r="AB132" s="9"/>
    </row>
    <row r="133" spans="1:28" x14ac:dyDescent="0.3">
      <c r="A133" s="8">
        <v>113.05174338681825</v>
      </c>
      <c r="B133" s="501" t="s">
        <v>469</v>
      </c>
      <c r="C133" s="502" t="str">
        <f>IFERROR(INDEX(YAtCData[Team],MATCH(YACWR74[[#This Row],[Name]],YAtCData[Player],0)),"")</f>
        <v>ARI</v>
      </c>
      <c r="D133" s="502" t="str">
        <f>IFERROR(INDEX(YAtCData[Pos],MATCH(YACWR74[[#This Row],[Name]],YAtCData[Player],0)),"")</f>
        <v>WR</v>
      </c>
      <c r="E133" s="502">
        <f>IFERROR(INDEX(YAtCData[Rec],MATCH(YACWR74[[#This Row],[Name]],YAtCData[Player],0)),"")</f>
        <v>1</v>
      </c>
      <c r="F133" s="502">
        <f>IFERROR(INDEX(YAtCData[Yards],MATCH(YACWR74[[#This Row],[Name]],YAtCData[Player],0)),"")</f>
        <v>11</v>
      </c>
      <c r="G133" s="502">
        <f>IFERROR(INDEX(YAtCData[YAtC],MATCH(YACWR74[[#This Row],[Name]],YAtCData[Player],0)),"")</f>
        <v>9</v>
      </c>
      <c r="H133" s="502">
        <f>IFERROR(INDEX(YAtCData[YAtC/Rec],MATCH(YACWR74[[#This Row],[Name]],YAtCData[Player],0)),"")</f>
        <v>9</v>
      </c>
      <c r="I133" s="502">
        <f>IFERROR(INDEX(YACDATA[YAC],MATCH(YACWR74[[#This Row],[Name]],YACDATA[Player],0)),"")</f>
        <v>2</v>
      </c>
      <c r="J133" s="503">
        <f>IFERROR(INDEX(YACDATA[YAC per Reception],MATCH(YACWR74[[#This Row],[Name]],YACDATA[Player],0)),"")</f>
        <v>2</v>
      </c>
      <c r="K133" s="500"/>
      <c r="P133" s="156"/>
      <c r="Q133" s="156"/>
      <c r="R133" s="156"/>
      <c r="S133" s="156"/>
      <c r="T133" s="156"/>
      <c r="U133" s="156"/>
      <c r="V133" s="156"/>
      <c r="W133" s="156"/>
      <c r="X133" s="156"/>
      <c r="Y133" s="156"/>
      <c r="Z133" s="9"/>
      <c r="AA133" s="9"/>
      <c r="AB133" s="9"/>
    </row>
    <row r="134" spans="1:28" x14ac:dyDescent="0.3">
      <c r="K134" s="500"/>
      <c r="P134" s="156"/>
      <c r="Q134" s="156"/>
      <c r="R134" s="156"/>
      <c r="S134" s="156"/>
      <c r="T134" s="156"/>
      <c r="U134" s="156"/>
      <c r="V134" s="156"/>
      <c r="W134" s="142"/>
      <c r="X134" s="156"/>
      <c r="Y134" s="156"/>
      <c r="Z134" s="156"/>
      <c r="AA134" s="156"/>
      <c r="AB134" s="156"/>
    </row>
    <row r="135" spans="1:28" x14ac:dyDescent="0.3">
      <c r="K135" s="500"/>
      <c r="P135" s="156"/>
      <c r="Q135" s="156"/>
      <c r="R135" s="156"/>
      <c r="S135" s="156"/>
      <c r="T135" s="156"/>
      <c r="U135" s="156"/>
      <c r="V135" s="156"/>
      <c r="W135" s="142"/>
      <c r="X135" s="156"/>
      <c r="Y135" s="156"/>
      <c r="Z135" s="156"/>
      <c r="AA135" s="156"/>
      <c r="AB135" s="156"/>
    </row>
    <row r="136" spans="1:28" x14ac:dyDescent="0.3">
      <c r="K136" s="500"/>
      <c r="W136" s="142"/>
      <c r="X136" s="156"/>
      <c r="Y136" s="156"/>
      <c r="Z136" s="156"/>
      <c r="AA136" s="156"/>
      <c r="AB136" s="156"/>
    </row>
    <row r="137" spans="1:28" x14ac:dyDescent="0.3">
      <c r="K137" s="500"/>
    </row>
    <row r="138" spans="1:28" x14ac:dyDescent="0.3">
      <c r="K138" s="500"/>
    </row>
    <row r="139" spans="1:28" x14ac:dyDescent="0.3">
      <c r="K139" s="500"/>
    </row>
    <row r="140" spans="1:28" x14ac:dyDescent="0.3">
      <c r="K140" s="500"/>
    </row>
    <row r="141" spans="1:28" x14ac:dyDescent="0.3">
      <c r="K141" s="500"/>
    </row>
    <row r="142" spans="1:28" x14ac:dyDescent="0.3">
      <c r="K142" s="500"/>
    </row>
    <row r="143" spans="1:28" x14ac:dyDescent="0.3">
      <c r="K143" s="500"/>
    </row>
    <row r="144" spans="1:28" x14ac:dyDescent="0.3">
      <c r="K144" s="500"/>
    </row>
    <row r="145" spans="11:11" x14ac:dyDescent="0.3">
      <c r="K145" s="500"/>
    </row>
    <row r="146" spans="11:11" x14ac:dyDescent="0.3">
      <c r="K146" s="500"/>
    </row>
    <row r="147" spans="11:11" x14ac:dyDescent="0.3">
      <c r="K147" s="500"/>
    </row>
    <row r="148" spans="11:11" x14ac:dyDescent="0.3">
      <c r="K148" s="500"/>
    </row>
    <row r="149" spans="11:11" x14ac:dyDescent="0.3">
      <c r="K149" s="500"/>
    </row>
    <row r="150" spans="11:11" x14ac:dyDescent="0.3">
      <c r="K150" s="500"/>
    </row>
    <row r="151" spans="11:11" x14ac:dyDescent="0.3">
      <c r="K151" s="500"/>
    </row>
    <row r="152" spans="11:11" x14ac:dyDescent="0.3">
      <c r="K152" s="500"/>
    </row>
    <row r="153" spans="11:11" x14ac:dyDescent="0.3">
      <c r="K153" s="500"/>
    </row>
    <row r="154" spans="11:11" x14ac:dyDescent="0.3">
      <c r="K154" s="500"/>
    </row>
    <row r="155" spans="11:11" x14ac:dyDescent="0.3">
      <c r="K155" s="500"/>
    </row>
    <row r="156" spans="11:11" x14ac:dyDescent="0.3">
      <c r="K156" s="500"/>
    </row>
    <row r="157" spans="11:11" x14ac:dyDescent="0.3">
      <c r="K157" s="500"/>
    </row>
    <row r="158" spans="11:11" x14ac:dyDescent="0.3">
      <c r="K158" s="500"/>
    </row>
    <row r="159" spans="11:11" x14ac:dyDescent="0.3">
      <c r="K159" s="500"/>
    </row>
    <row r="160" spans="11:11" x14ac:dyDescent="0.3">
      <c r="K160" s="500"/>
    </row>
    <row r="161" spans="11:11" x14ac:dyDescent="0.3">
      <c r="K161" s="500"/>
    </row>
    <row r="162" spans="11:11" x14ac:dyDescent="0.3">
      <c r="K162" s="500"/>
    </row>
    <row r="163" spans="11:11" x14ac:dyDescent="0.3">
      <c r="K163" s="500"/>
    </row>
    <row r="164" spans="11:11" x14ac:dyDescent="0.3">
      <c r="K164" s="500"/>
    </row>
    <row r="165" spans="11:11" x14ac:dyDescent="0.3">
      <c r="K165" s="500"/>
    </row>
    <row r="166" spans="11:11" x14ac:dyDescent="0.3">
      <c r="K166" s="500"/>
    </row>
    <row r="167" spans="11:11" x14ac:dyDescent="0.3">
      <c r="K167" s="500"/>
    </row>
    <row r="168" spans="11:11" x14ac:dyDescent="0.3">
      <c r="K168" s="500"/>
    </row>
    <row r="169" spans="11:11" x14ac:dyDescent="0.3">
      <c r="K169" s="500"/>
    </row>
    <row r="170" spans="11:11" x14ac:dyDescent="0.3">
      <c r="K170" s="500"/>
    </row>
    <row r="171" spans="11:11" x14ac:dyDescent="0.3">
      <c r="K171" s="500"/>
    </row>
    <row r="172" spans="11:11" x14ac:dyDescent="0.3">
      <c r="K172" s="500"/>
    </row>
    <row r="173" spans="11:11" x14ac:dyDescent="0.3">
      <c r="K173" s="500"/>
    </row>
    <row r="174" spans="11:11" x14ac:dyDescent="0.3">
      <c r="K174" s="500"/>
    </row>
    <row r="175" spans="11:11" x14ac:dyDescent="0.3">
      <c r="K175" s="500"/>
    </row>
    <row r="176" spans="11:11" x14ac:dyDescent="0.3">
      <c r="K176" s="500"/>
    </row>
    <row r="177" spans="11:11" x14ac:dyDescent="0.3">
      <c r="K177" s="500"/>
    </row>
    <row r="178" spans="11:11" x14ac:dyDescent="0.3">
      <c r="K178" s="500"/>
    </row>
    <row r="179" spans="11:11" x14ac:dyDescent="0.3">
      <c r="K179" s="500"/>
    </row>
    <row r="180" spans="11:11" x14ac:dyDescent="0.3">
      <c r="K180" s="500"/>
    </row>
    <row r="181" spans="11:11" x14ac:dyDescent="0.3">
      <c r="K181" s="500"/>
    </row>
    <row r="182" spans="11:11" x14ac:dyDescent="0.3">
      <c r="K182" s="500"/>
    </row>
    <row r="183" spans="11:11" x14ac:dyDescent="0.3">
      <c r="K183" s="500"/>
    </row>
    <row r="184" spans="11:11" x14ac:dyDescent="0.3">
      <c r="K184" s="500"/>
    </row>
    <row r="185" spans="11:11" x14ac:dyDescent="0.3">
      <c r="K185" s="500"/>
    </row>
    <row r="186" spans="11:11" x14ac:dyDescent="0.3">
      <c r="K186" s="500"/>
    </row>
    <row r="187" spans="11:11" x14ac:dyDescent="0.3">
      <c r="K187" s="500"/>
    </row>
    <row r="188" spans="11:11" x14ac:dyDescent="0.3">
      <c r="K188" s="500"/>
    </row>
    <row r="189" spans="11:11" x14ac:dyDescent="0.3">
      <c r="K189" s="500"/>
    </row>
    <row r="190" spans="11:11" x14ac:dyDescent="0.3">
      <c r="K190" s="500"/>
    </row>
    <row r="191" spans="11:11" x14ac:dyDescent="0.3">
      <c r="K191" s="500"/>
    </row>
    <row r="192" spans="11:11" x14ac:dyDescent="0.3">
      <c r="K192" s="500"/>
    </row>
    <row r="193" spans="11:11" x14ac:dyDescent="0.3">
      <c r="K193" s="500"/>
    </row>
    <row r="194" spans="11:11" x14ac:dyDescent="0.3">
      <c r="K194" s="500"/>
    </row>
    <row r="195" spans="11:11" x14ac:dyDescent="0.3">
      <c r="K195" s="500"/>
    </row>
    <row r="196" spans="11:11" x14ac:dyDescent="0.3">
      <c r="K196" s="500"/>
    </row>
    <row r="197" spans="11:11" x14ac:dyDescent="0.3">
      <c r="K197" s="500"/>
    </row>
    <row r="198" spans="11:11" x14ac:dyDescent="0.3">
      <c r="K198" s="500"/>
    </row>
    <row r="199" spans="11:11" x14ac:dyDescent="0.3">
      <c r="K199" s="500"/>
    </row>
    <row r="200" spans="11:11" x14ac:dyDescent="0.3">
      <c r="K200" s="500"/>
    </row>
    <row r="201" spans="11:11" x14ac:dyDescent="0.3">
      <c r="K201" s="500"/>
    </row>
    <row r="202" spans="11:11" x14ac:dyDescent="0.3">
      <c r="K202" s="500"/>
    </row>
    <row r="203" spans="11:11" x14ac:dyDescent="0.3">
      <c r="K203" s="500"/>
    </row>
    <row r="204" spans="11:11" x14ac:dyDescent="0.3">
      <c r="K204" s="500"/>
    </row>
    <row r="205" spans="11:11" x14ac:dyDescent="0.3">
      <c r="K205" s="500"/>
    </row>
    <row r="206" spans="11:11" x14ac:dyDescent="0.3">
      <c r="K206" s="500"/>
    </row>
    <row r="207" spans="11:11" x14ac:dyDescent="0.3">
      <c r="K207" s="500"/>
    </row>
    <row r="208" spans="11:11" x14ac:dyDescent="0.3">
      <c r="K208" s="500"/>
    </row>
    <row r="209" spans="11:11" x14ac:dyDescent="0.3">
      <c r="K209" s="500"/>
    </row>
    <row r="210" spans="11:11" x14ac:dyDescent="0.3">
      <c r="K210" s="500"/>
    </row>
  </sheetData>
  <mergeCells count="7">
    <mergeCell ref="X9:AA9"/>
    <mergeCell ref="A9:C9"/>
    <mergeCell ref="G9:H9"/>
    <mergeCell ref="I9:J9"/>
    <mergeCell ref="M9:O9"/>
    <mergeCell ref="S9:T9"/>
    <mergeCell ref="U9:V9"/>
  </mergeCells>
  <conditionalFormatting sqref="M10">
    <cfRule type="colorScale" priority="17">
      <colorScale>
        <cfvo type="min"/>
        <cfvo type="percentile" val="50"/>
        <cfvo type="max"/>
        <color rgb="FF63BE7B"/>
        <color rgb="FFFFEB84"/>
        <color rgb="FFF8696B"/>
      </colorScale>
    </cfRule>
  </conditionalFormatting>
  <conditionalFormatting sqref="N10">
    <cfRule type="colorScale" priority="16">
      <colorScale>
        <cfvo type="min"/>
        <cfvo type="percentile" val="50"/>
        <cfvo type="max"/>
        <color rgb="FFF8696B"/>
        <color rgb="FFFFEB84"/>
        <color rgb="FF63BE7B"/>
      </colorScale>
    </cfRule>
  </conditionalFormatting>
  <conditionalFormatting sqref="M10">
    <cfRule type="colorScale" priority="15">
      <colorScale>
        <cfvo type="min"/>
        <cfvo type="percentile" val="50"/>
        <cfvo type="max"/>
        <color rgb="FFF8696B"/>
        <color rgb="FFFFEB84"/>
        <color rgb="FF63BE7B"/>
      </colorScale>
    </cfRule>
  </conditionalFormatting>
  <conditionalFormatting sqref="T68:T132 W134:W136">
    <cfRule type="colorScale" priority="14">
      <colorScale>
        <cfvo type="min"/>
        <cfvo type="percentile" val="50"/>
        <cfvo type="max"/>
        <color rgb="FFF8696B"/>
        <color rgb="FFFFEB84"/>
        <color rgb="FF63BE7B"/>
      </colorScale>
    </cfRule>
  </conditionalFormatting>
  <conditionalFormatting sqref="V68:V132 Y134:Y136">
    <cfRule type="colorScale" priority="13">
      <colorScale>
        <cfvo type="min"/>
        <cfvo type="percentile" val="50"/>
        <cfvo type="max"/>
        <color rgb="FFF8696B"/>
        <color rgb="FFFFEB84"/>
        <color rgb="FF63BE7B"/>
      </colorScale>
    </cfRule>
  </conditionalFormatting>
  <conditionalFormatting sqref="X11:X42">
    <cfRule type="colorScale" priority="12">
      <colorScale>
        <cfvo type="min"/>
        <cfvo type="percentile" val="50"/>
        <cfvo type="max"/>
        <color rgb="FF63BE7B"/>
        <color rgb="FFFFEB84"/>
        <color rgb="FFF8696B"/>
      </colorScale>
    </cfRule>
  </conditionalFormatting>
  <conditionalFormatting sqref="Z11:Z42">
    <cfRule type="colorScale" priority="11">
      <colorScale>
        <cfvo type="min"/>
        <cfvo type="percentile" val="50"/>
        <cfvo type="max"/>
        <color rgb="FFF8696B"/>
        <color rgb="FFFFEB84"/>
        <color rgb="FF63BE7B"/>
      </colorScale>
    </cfRule>
  </conditionalFormatting>
  <conditionalFormatting sqref="A10:A58">
    <cfRule type="colorScale" priority="18">
      <colorScale>
        <cfvo type="min"/>
        <cfvo type="percentile" val="50"/>
        <cfvo type="max"/>
        <color rgb="FF63BE7B"/>
        <color rgb="FFFFEB84"/>
        <color rgb="FFF8696B"/>
      </colorScale>
    </cfRule>
  </conditionalFormatting>
  <conditionalFormatting sqref="A1:A1048576">
    <cfRule type="colorScale" priority="10">
      <colorScale>
        <cfvo type="min"/>
        <cfvo type="percentile" val="50"/>
        <cfvo type="max"/>
        <color rgb="FF63BE7B"/>
        <color rgb="FFFFEB84"/>
        <color rgb="FFF8696B"/>
      </colorScale>
    </cfRule>
  </conditionalFormatting>
  <conditionalFormatting sqref="V133:V1048576 V1:V8 S9:S10 S68:S132">
    <cfRule type="dataBar" priority="9">
      <dataBar>
        <cfvo type="min"/>
        <cfvo type="max"/>
        <color rgb="FF63C384"/>
      </dataBar>
      <extLst>
        <ext xmlns:x14="http://schemas.microsoft.com/office/spreadsheetml/2009/9/main" uri="{B025F937-C7B1-47D3-B67F-A62EFF666E3E}">
          <x14:id>{3A53373C-A4AC-41B4-BF1F-23715F44EAA5}</x14:id>
        </ext>
      </extLst>
    </cfRule>
  </conditionalFormatting>
  <conditionalFormatting sqref="T133:T135 Q68:Q132">
    <cfRule type="colorScale" priority="19">
      <colorScale>
        <cfvo type="min"/>
        <cfvo type="percentile" val="50"/>
        <cfvo type="max"/>
        <color rgb="FFF8696B"/>
        <color rgb="FFFFEB84"/>
        <color rgb="FF63BE7B"/>
      </colorScale>
    </cfRule>
  </conditionalFormatting>
  <conditionalFormatting sqref="P133:P135 M68:M132">
    <cfRule type="colorScale" priority="20">
      <colorScale>
        <cfvo type="min"/>
        <cfvo type="percentile" val="50"/>
        <cfvo type="max"/>
        <color rgb="FFF8696B"/>
        <color rgb="FFFFEB84"/>
        <color rgb="FF63BE7B"/>
      </colorScale>
    </cfRule>
  </conditionalFormatting>
  <conditionalFormatting sqref="U133:U135 R68:R132">
    <cfRule type="colorScale" priority="21">
      <colorScale>
        <cfvo type="min"/>
        <cfvo type="percentile" val="50"/>
        <cfvo type="max"/>
        <color rgb="FFF8696B"/>
        <color rgb="FFFFEB84"/>
        <color rgb="FF63BE7B"/>
      </colorScale>
    </cfRule>
  </conditionalFormatting>
  <conditionalFormatting sqref="P133:P135 M68:M132">
    <cfRule type="colorScale" priority="22">
      <colorScale>
        <cfvo type="min"/>
        <cfvo type="percentile" val="50"/>
        <cfvo type="max"/>
        <color rgb="FF63BE7B"/>
        <color rgb="FFFFEB84"/>
        <color rgb="FFF8696B"/>
      </colorScale>
    </cfRule>
  </conditionalFormatting>
  <conditionalFormatting sqref="Z134:Z136 W69:W133">
    <cfRule type="colorScale" priority="23">
      <colorScale>
        <cfvo type="min"/>
        <cfvo type="percentile" val="50"/>
        <cfvo type="max"/>
        <color rgb="FFF8696B"/>
        <color rgb="FFFFEB84"/>
        <color rgb="FF63BE7B"/>
      </colorScale>
    </cfRule>
  </conditionalFormatting>
  <conditionalFormatting sqref="AA134:AA136 X69:X133">
    <cfRule type="colorScale" priority="24">
      <colorScale>
        <cfvo type="min"/>
        <cfvo type="percentile" val="50"/>
        <cfvo type="max"/>
        <color rgb="FFF8696B"/>
        <color rgb="FFFFEB84"/>
        <color rgb="FF63BE7B"/>
      </colorScale>
    </cfRule>
  </conditionalFormatting>
  <conditionalFormatting sqref="AB134:AB136 Y69:Y133">
    <cfRule type="colorScale" priority="25">
      <colorScale>
        <cfvo type="min"/>
        <cfvo type="percentile" val="50"/>
        <cfvo type="max"/>
        <color rgb="FFF8696B"/>
        <color rgb="FFFFEB84"/>
        <color rgb="FF63BE7B"/>
      </colorScale>
    </cfRule>
  </conditionalFormatting>
  <conditionalFormatting sqref="AA11:AA42">
    <cfRule type="colorScale" priority="8">
      <colorScale>
        <cfvo type="min"/>
        <cfvo type="percentile" val="50"/>
        <cfvo type="max"/>
        <color rgb="FFF8696B"/>
        <color rgb="FFFFEB84"/>
        <color rgb="FF63BE7B"/>
      </colorScale>
    </cfRule>
  </conditionalFormatting>
  <conditionalFormatting sqref="J10:K126 K127:K210">
    <cfRule type="colorScale" priority="26">
      <colorScale>
        <cfvo type="min"/>
        <cfvo type="percentile" val="50"/>
        <cfvo type="max"/>
        <color rgb="FFF8696B"/>
        <color rgb="FFFFEB84"/>
        <color rgb="FF63BE7B"/>
      </colorScale>
    </cfRule>
  </conditionalFormatting>
  <conditionalFormatting sqref="J11:K126 K127:K210">
    <cfRule type="colorScale" priority="7">
      <colorScale>
        <cfvo type="min"/>
        <cfvo type="percentile" val="50"/>
        <cfvo type="max"/>
        <color rgb="FFF8696B"/>
        <color rgb="FFFFEB84"/>
        <color rgb="FF63BE7B"/>
      </colorScale>
    </cfRule>
  </conditionalFormatting>
  <conditionalFormatting sqref="U68:U132 X1:X8 X134:X1048576 U9:U10">
    <cfRule type="dataBar" priority="27">
      <dataBar>
        <cfvo type="min"/>
        <cfvo type="max"/>
        <color rgb="FF638EC6"/>
      </dataBar>
      <extLst>
        <ext xmlns:x14="http://schemas.microsoft.com/office/spreadsheetml/2009/9/main" uri="{B025F937-C7B1-47D3-B67F-A62EFF666E3E}">
          <x14:id>{93F3E096-EB47-431E-BB6E-EB1F264D2AF7}</x14:id>
        </ext>
      </extLst>
    </cfRule>
  </conditionalFormatting>
  <conditionalFormatting sqref="M68:M72">
    <cfRule type="colorScale" priority="28">
      <colorScale>
        <cfvo type="min"/>
        <cfvo type="percentile" val="50"/>
        <cfvo type="max"/>
        <color rgb="FF63BE7B"/>
        <color rgb="FFFFEB84"/>
        <color rgb="FFF8696B"/>
      </colorScale>
    </cfRule>
  </conditionalFormatting>
  <conditionalFormatting sqref="N68:N72">
    <cfRule type="colorScale" priority="29">
      <colorScale>
        <cfvo type="min"/>
        <cfvo type="percentile" val="50"/>
        <cfvo type="max"/>
        <color rgb="FFF8696B"/>
        <color rgb="FFFFEB84"/>
        <color rgb="FF63BE7B"/>
      </colorScale>
    </cfRule>
  </conditionalFormatting>
  <conditionalFormatting sqref="I1:I9 I127:I1048576">
    <cfRule type="dataBar" priority="30">
      <dataBar>
        <cfvo type="min"/>
        <cfvo type="max"/>
        <color rgb="FF638EC6"/>
      </dataBar>
      <extLst>
        <ext xmlns:x14="http://schemas.microsoft.com/office/spreadsheetml/2009/9/main" uri="{B025F937-C7B1-47D3-B67F-A62EFF666E3E}">
          <x14:id>{CDB344E5-D409-4D10-8761-6A902DFC0B72}</x14:id>
        </ext>
      </extLst>
    </cfRule>
  </conditionalFormatting>
  <conditionalFormatting sqref="B10:B133">
    <cfRule type="colorScale" priority="31">
      <colorScale>
        <cfvo type="min"/>
        <cfvo type="percentile" val="50"/>
        <cfvo type="max"/>
        <color rgb="FFF8696B"/>
        <color rgb="FFFFEB84"/>
        <color rgb="FF63BE7B"/>
      </colorScale>
    </cfRule>
  </conditionalFormatting>
  <conditionalFormatting sqref="C11:D133">
    <cfRule type="colorScale" priority="32">
      <colorScale>
        <cfvo type="min"/>
        <cfvo type="percentile" val="50"/>
        <cfvo type="max"/>
        <color rgb="FFF8696B"/>
        <color rgb="FFFFEB84"/>
        <color rgb="FF63BE7B"/>
      </colorScale>
    </cfRule>
  </conditionalFormatting>
  <conditionalFormatting sqref="A10:A133">
    <cfRule type="colorScale" priority="33">
      <colorScale>
        <cfvo type="min"/>
        <cfvo type="percentile" val="50"/>
        <cfvo type="max"/>
        <color rgb="FFF8696B"/>
        <color rgb="FFFFEB84"/>
        <color rgb="FF63BE7B"/>
      </colorScale>
    </cfRule>
  </conditionalFormatting>
  <conditionalFormatting sqref="A11:A133">
    <cfRule type="colorScale" priority="6">
      <colorScale>
        <cfvo type="min"/>
        <cfvo type="percentile" val="50"/>
        <cfvo type="max"/>
        <color rgb="FF63BE7B"/>
        <color rgb="FFFFEB84"/>
        <color rgb="FFF8696B"/>
      </colorScale>
    </cfRule>
  </conditionalFormatting>
  <conditionalFormatting sqref="G1:G10 G127:G1048576 C11:D133">
    <cfRule type="dataBar" priority="34">
      <dataBar>
        <cfvo type="min"/>
        <cfvo type="max"/>
        <color rgb="FF63C384"/>
      </dataBar>
      <extLst>
        <ext xmlns:x14="http://schemas.microsoft.com/office/spreadsheetml/2009/9/main" uri="{B025F937-C7B1-47D3-B67F-A62EFF666E3E}">
          <x14:id>{0DB68144-1C0C-4874-99B7-6824BEAE0164}</x14:id>
        </ext>
      </extLst>
    </cfRule>
  </conditionalFormatting>
  <conditionalFormatting sqref="E11:E133">
    <cfRule type="colorScale" priority="5">
      <colorScale>
        <cfvo type="min"/>
        <cfvo type="percentile" val="50"/>
        <cfvo type="max"/>
        <color rgb="FFF8696B"/>
        <color rgb="FFFFEB84"/>
        <color rgb="FF63BE7B"/>
      </colorScale>
    </cfRule>
  </conditionalFormatting>
  <conditionalFormatting sqref="F11:F133">
    <cfRule type="colorScale" priority="35">
      <colorScale>
        <cfvo type="min"/>
        <cfvo type="percentile" val="50"/>
        <cfvo type="max"/>
        <color rgb="FFF8696B"/>
        <color rgb="FFFFEB84"/>
        <color rgb="FF63BE7B"/>
      </colorScale>
    </cfRule>
  </conditionalFormatting>
  <conditionalFormatting sqref="G11:G133">
    <cfRule type="dataBar" priority="4">
      <dataBar>
        <cfvo type="min"/>
        <cfvo type="max"/>
        <color rgb="FF63C384"/>
      </dataBar>
      <extLst>
        <ext xmlns:x14="http://schemas.microsoft.com/office/spreadsheetml/2009/9/main" uri="{B025F937-C7B1-47D3-B67F-A62EFF666E3E}">
          <x14:id>{402C565D-5C53-4C3B-B60D-580304B7B5F9}</x14:id>
        </ext>
      </extLst>
    </cfRule>
  </conditionalFormatting>
  <conditionalFormatting sqref="I10:I133">
    <cfRule type="dataBar" priority="36">
      <dataBar>
        <cfvo type="min"/>
        <cfvo type="max"/>
        <color rgb="FF638EC6"/>
      </dataBar>
      <extLst>
        <ext xmlns:x14="http://schemas.microsoft.com/office/spreadsheetml/2009/9/main" uri="{B025F937-C7B1-47D3-B67F-A62EFF666E3E}">
          <x14:id>{A4CAC78B-3A99-44C2-8238-39C26448F4CF}</x14:id>
        </ext>
      </extLst>
    </cfRule>
  </conditionalFormatting>
  <conditionalFormatting sqref="H10:H133">
    <cfRule type="colorScale" priority="37">
      <colorScale>
        <cfvo type="min"/>
        <cfvo type="percentile" val="50"/>
        <cfvo type="max"/>
        <color rgb="FFF8696B"/>
        <color rgb="FFFFEB84"/>
        <color rgb="FF63BE7B"/>
      </colorScale>
    </cfRule>
  </conditionalFormatting>
  <conditionalFormatting sqref="H11:H133">
    <cfRule type="colorScale" priority="2">
      <colorScale>
        <cfvo type="min"/>
        <cfvo type="percentile" val="50"/>
        <cfvo type="max"/>
        <color rgb="FFF8696B"/>
        <color rgb="FFFFEB84"/>
        <color rgb="FF63BE7B"/>
      </colorScale>
    </cfRule>
  </conditionalFormatting>
  <conditionalFormatting sqref="I11:I133">
    <cfRule type="dataBar" priority="3">
      <dataBar>
        <cfvo type="min"/>
        <cfvo type="max"/>
        <color rgb="FF638EC6"/>
      </dataBar>
      <extLst>
        <ext xmlns:x14="http://schemas.microsoft.com/office/spreadsheetml/2009/9/main" uri="{B025F937-C7B1-47D3-B67F-A62EFF666E3E}">
          <x14:id>{4E708FD3-DAB5-4970-AB60-C7F64BF2B55D}</x14:id>
        </ext>
      </extLst>
    </cfRule>
  </conditionalFormatting>
  <conditionalFormatting sqref="M11:M46">
    <cfRule type="colorScale" priority="38">
      <colorScale>
        <cfvo type="min"/>
        <cfvo type="percentile" val="50"/>
        <cfvo type="max"/>
        <color rgb="FF63BE7B"/>
        <color rgb="FFFFEB84"/>
        <color rgb="FFF8696B"/>
      </colorScale>
    </cfRule>
  </conditionalFormatting>
  <conditionalFormatting sqref="M11:M67">
    <cfRule type="colorScale" priority="39">
      <colorScale>
        <cfvo type="min"/>
        <cfvo type="percentile" val="50"/>
        <cfvo type="max"/>
        <color rgb="FF63BE7B"/>
        <color rgb="FFFFEB84"/>
        <color rgb="FFF8696B"/>
      </colorScale>
    </cfRule>
  </conditionalFormatting>
  <conditionalFormatting sqref="N11:N67">
    <cfRule type="colorScale" priority="40">
      <colorScale>
        <cfvo type="min"/>
        <cfvo type="percentile" val="50"/>
        <cfvo type="max"/>
        <color rgb="FFF8696B"/>
        <color rgb="FFFFEB84"/>
        <color rgb="FF63BE7B"/>
      </colorScale>
    </cfRule>
  </conditionalFormatting>
  <conditionalFormatting sqref="O11:P67">
    <cfRule type="colorScale" priority="41">
      <colorScale>
        <cfvo type="min"/>
        <cfvo type="percentile" val="50"/>
        <cfvo type="max"/>
        <color rgb="FFF8696B"/>
        <color rgb="FFFFEB84"/>
        <color rgb="FF63BE7B"/>
      </colorScale>
    </cfRule>
  </conditionalFormatting>
  <conditionalFormatting sqref="M11:M67">
    <cfRule type="colorScale" priority="42">
      <colorScale>
        <cfvo type="min"/>
        <cfvo type="percentile" val="50"/>
        <cfvo type="max"/>
        <color rgb="FFF8696B"/>
        <color rgb="FFFFEB84"/>
        <color rgb="FF63BE7B"/>
      </colorScale>
    </cfRule>
  </conditionalFormatting>
  <conditionalFormatting sqref="O11:P67">
    <cfRule type="dataBar" priority="43">
      <dataBar>
        <cfvo type="min"/>
        <cfvo type="max"/>
        <color rgb="FF63C384"/>
      </dataBar>
      <extLst>
        <ext xmlns:x14="http://schemas.microsoft.com/office/spreadsheetml/2009/9/main" uri="{B025F937-C7B1-47D3-B67F-A62EFF666E3E}">
          <x14:id>{6C808176-10E1-41CE-A946-19864B5DF4A1}</x14:id>
        </ext>
      </extLst>
    </cfRule>
  </conditionalFormatting>
  <conditionalFormatting sqref="Q11:Q67">
    <cfRule type="colorScale" priority="44">
      <colorScale>
        <cfvo type="min"/>
        <cfvo type="percentile" val="50"/>
        <cfvo type="max"/>
        <color rgb="FFF8696B"/>
        <color rgb="FFFFEB84"/>
        <color rgb="FF63BE7B"/>
      </colorScale>
    </cfRule>
  </conditionalFormatting>
  <conditionalFormatting sqref="R11:R67">
    <cfRule type="colorScale" priority="45">
      <colorScale>
        <cfvo type="min"/>
        <cfvo type="percentile" val="50"/>
        <cfvo type="max"/>
        <color rgb="FFF8696B"/>
        <color rgb="FFFFEB84"/>
        <color rgb="FF63BE7B"/>
      </colorScale>
    </cfRule>
  </conditionalFormatting>
  <conditionalFormatting sqref="S11:S67">
    <cfRule type="dataBar" priority="46">
      <dataBar>
        <cfvo type="min"/>
        <cfvo type="max"/>
        <color rgb="FF63C384"/>
      </dataBar>
      <extLst>
        <ext xmlns:x14="http://schemas.microsoft.com/office/spreadsheetml/2009/9/main" uri="{B025F937-C7B1-47D3-B67F-A62EFF666E3E}">
          <x14:id>{0A622C18-135F-4605-B312-53386861D5C8}</x14:id>
        </ext>
      </extLst>
    </cfRule>
  </conditionalFormatting>
  <conditionalFormatting sqref="V11:V67">
    <cfRule type="colorScale" priority="47">
      <colorScale>
        <cfvo type="min"/>
        <cfvo type="percentile" val="50"/>
        <cfvo type="max"/>
        <color rgb="FFF8696B"/>
        <color rgb="FFFFEB84"/>
        <color rgb="FF63BE7B"/>
      </colorScale>
    </cfRule>
  </conditionalFormatting>
  <conditionalFormatting sqref="U11:U67">
    <cfRule type="dataBar" priority="48">
      <dataBar>
        <cfvo type="min"/>
        <cfvo type="max"/>
        <color rgb="FF638EC6"/>
      </dataBar>
      <extLst>
        <ext xmlns:x14="http://schemas.microsoft.com/office/spreadsheetml/2009/9/main" uri="{B025F937-C7B1-47D3-B67F-A62EFF666E3E}">
          <x14:id>{16B08BBF-9AD7-4593-A6E1-AF965C41AA9F}</x14:id>
        </ext>
      </extLst>
    </cfRule>
  </conditionalFormatting>
  <conditionalFormatting sqref="T11:T67">
    <cfRule type="colorScale" priority="49">
      <colorScale>
        <cfvo type="min"/>
        <cfvo type="percentile" val="50"/>
        <cfvo type="max"/>
        <color rgb="FFF8696B"/>
        <color rgb="FFFFEB84"/>
        <color rgb="FF63BE7B"/>
      </colorScale>
    </cfRule>
  </conditionalFormatting>
  <conditionalFormatting sqref="J11:J133">
    <cfRule type="colorScale" priority="1">
      <colorScale>
        <cfvo type="min"/>
        <cfvo type="percentile" val="50"/>
        <cfvo type="max"/>
        <color rgb="FFF8696B"/>
        <color rgb="FFFFEB84"/>
        <color rgb="FF63BE7B"/>
      </colorScale>
    </cfRule>
  </conditionalFormatting>
  <pageMargins left="0.7" right="0.7" top="0.75" bottom="0.75" header="0.3" footer="0.3"/>
  <drawing r:id="rId1"/>
  <tableParts count="3">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3A53373C-A4AC-41B4-BF1F-23715F44EAA5}">
            <x14:dataBar minLength="0" maxLength="100" border="1" negativeBarBorderColorSameAsPositive="0">
              <x14:cfvo type="autoMin"/>
              <x14:cfvo type="autoMax"/>
              <x14:borderColor rgb="FF63C384"/>
              <x14:negativeFillColor rgb="FFFF0000"/>
              <x14:negativeBorderColor rgb="FFFF0000"/>
              <x14:axisColor rgb="FF000000"/>
            </x14:dataBar>
          </x14:cfRule>
          <xm:sqref>V133:V1048576 V1:V8 S9:S10 S68:S132</xm:sqref>
        </x14:conditionalFormatting>
        <x14:conditionalFormatting xmlns:xm="http://schemas.microsoft.com/office/excel/2006/main">
          <x14:cfRule type="dataBar" id="{93F3E096-EB47-431E-BB6E-EB1F264D2AF7}">
            <x14:dataBar minLength="0" maxLength="100" border="1" negativeBarBorderColorSameAsPositive="0">
              <x14:cfvo type="autoMin"/>
              <x14:cfvo type="autoMax"/>
              <x14:borderColor rgb="FF638EC6"/>
              <x14:negativeFillColor rgb="FFFF0000"/>
              <x14:negativeBorderColor rgb="FFFF0000"/>
              <x14:axisColor rgb="FF000000"/>
            </x14:dataBar>
          </x14:cfRule>
          <xm:sqref>U68:U132 X1:X8 X134:X1048576 U9:U10</xm:sqref>
        </x14:conditionalFormatting>
        <x14:conditionalFormatting xmlns:xm="http://schemas.microsoft.com/office/excel/2006/main">
          <x14:cfRule type="dataBar" id="{CDB344E5-D409-4D10-8761-6A902DFC0B72}">
            <x14:dataBar minLength="0" maxLength="100" border="1" negativeBarBorderColorSameAsPositive="0">
              <x14:cfvo type="autoMin"/>
              <x14:cfvo type="autoMax"/>
              <x14:borderColor rgb="FF638EC6"/>
              <x14:negativeFillColor rgb="FFFF0000"/>
              <x14:negativeBorderColor rgb="FFFF0000"/>
              <x14:axisColor rgb="FF000000"/>
            </x14:dataBar>
          </x14:cfRule>
          <xm:sqref>I1:I9 I127:I1048576</xm:sqref>
        </x14:conditionalFormatting>
        <x14:conditionalFormatting xmlns:xm="http://schemas.microsoft.com/office/excel/2006/main">
          <x14:cfRule type="dataBar" id="{0DB68144-1C0C-4874-99B7-6824BEAE0164}">
            <x14:dataBar minLength="0" maxLength="100" border="1" negativeBarBorderColorSameAsPositive="0">
              <x14:cfvo type="autoMin"/>
              <x14:cfvo type="autoMax"/>
              <x14:borderColor rgb="FF63C384"/>
              <x14:negativeFillColor rgb="FFFF0000"/>
              <x14:negativeBorderColor rgb="FFFF0000"/>
              <x14:axisColor rgb="FF000000"/>
            </x14:dataBar>
          </x14:cfRule>
          <xm:sqref>G1:G10 G127:G1048576 C11:D133</xm:sqref>
        </x14:conditionalFormatting>
        <x14:conditionalFormatting xmlns:xm="http://schemas.microsoft.com/office/excel/2006/main">
          <x14:cfRule type="dataBar" id="{402C565D-5C53-4C3B-B60D-580304B7B5F9}">
            <x14:dataBar minLength="0" maxLength="100" border="1" negativeBarBorderColorSameAsPositive="0">
              <x14:cfvo type="autoMin"/>
              <x14:cfvo type="autoMax"/>
              <x14:borderColor rgb="FF63C384"/>
              <x14:negativeFillColor rgb="FFFF0000"/>
              <x14:negativeBorderColor rgb="FFFF0000"/>
              <x14:axisColor rgb="FF000000"/>
            </x14:dataBar>
          </x14:cfRule>
          <xm:sqref>G11:G133</xm:sqref>
        </x14:conditionalFormatting>
        <x14:conditionalFormatting xmlns:xm="http://schemas.microsoft.com/office/excel/2006/main">
          <x14:cfRule type="dataBar" id="{A4CAC78B-3A99-44C2-8238-39C26448F4CF}">
            <x14:dataBar minLength="0" maxLength="100" border="1" negativeBarBorderColorSameAsPositive="0">
              <x14:cfvo type="autoMin"/>
              <x14:cfvo type="autoMax"/>
              <x14:borderColor rgb="FF638EC6"/>
              <x14:negativeFillColor rgb="FFFF0000"/>
              <x14:negativeBorderColor rgb="FFFF0000"/>
              <x14:axisColor rgb="FF000000"/>
            </x14:dataBar>
          </x14:cfRule>
          <xm:sqref>I10:I133</xm:sqref>
        </x14:conditionalFormatting>
        <x14:conditionalFormatting xmlns:xm="http://schemas.microsoft.com/office/excel/2006/main">
          <x14:cfRule type="dataBar" id="{4E708FD3-DAB5-4970-AB60-C7F64BF2B55D}">
            <x14:dataBar minLength="0" maxLength="100" border="1" negativeBarBorderColorSameAsPositive="0">
              <x14:cfvo type="autoMin"/>
              <x14:cfvo type="autoMax"/>
              <x14:borderColor rgb="FF638EC6"/>
              <x14:negativeFillColor rgb="FFFF0000"/>
              <x14:negativeBorderColor rgb="FFFF0000"/>
              <x14:axisColor rgb="FF000000"/>
            </x14:dataBar>
          </x14:cfRule>
          <xm:sqref>I11:I133</xm:sqref>
        </x14:conditionalFormatting>
        <x14:conditionalFormatting xmlns:xm="http://schemas.microsoft.com/office/excel/2006/main">
          <x14:cfRule type="dataBar" id="{6C808176-10E1-41CE-A946-19864B5DF4A1}">
            <x14:dataBar minLength="0" maxLength="100" border="1" negativeBarBorderColorSameAsPositive="0">
              <x14:cfvo type="autoMin"/>
              <x14:cfvo type="autoMax"/>
              <x14:borderColor rgb="FF63C384"/>
              <x14:negativeFillColor rgb="FFFF0000"/>
              <x14:negativeBorderColor rgb="FFFF0000"/>
              <x14:axisColor rgb="FF000000"/>
            </x14:dataBar>
          </x14:cfRule>
          <xm:sqref>O11:P67</xm:sqref>
        </x14:conditionalFormatting>
        <x14:conditionalFormatting xmlns:xm="http://schemas.microsoft.com/office/excel/2006/main">
          <x14:cfRule type="dataBar" id="{0A622C18-135F-4605-B312-53386861D5C8}">
            <x14:dataBar minLength="0" maxLength="100" border="1" negativeBarBorderColorSameAsPositive="0">
              <x14:cfvo type="autoMin"/>
              <x14:cfvo type="autoMax"/>
              <x14:borderColor rgb="FF63C384"/>
              <x14:negativeFillColor rgb="FFFF0000"/>
              <x14:negativeBorderColor rgb="FFFF0000"/>
              <x14:axisColor rgb="FF000000"/>
            </x14:dataBar>
          </x14:cfRule>
          <xm:sqref>S11:S67</xm:sqref>
        </x14:conditionalFormatting>
        <x14:conditionalFormatting xmlns:xm="http://schemas.microsoft.com/office/excel/2006/main">
          <x14:cfRule type="dataBar" id="{16B08BBF-9AD7-4593-A6E1-AF965C41AA9F}">
            <x14:dataBar minLength="0" maxLength="100" border="1" negativeBarBorderColorSameAsPositive="0">
              <x14:cfvo type="autoMin"/>
              <x14:cfvo type="autoMax"/>
              <x14:borderColor rgb="FF638EC6"/>
              <x14:negativeFillColor rgb="FFFF0000"/>
              <x14:negativeBorderColor rgb="FFFF0000"/>
              <x14:axisColor rgb="FF000000"/>
            </x14:dataBar>
          </x14:cfRule>
          <xm:sqref>U11:U67</xm:sqref>
        </x14:conditionalFormatting>
      </x14:conditionalFormattings>
    </ext>
    <ext xmlns:x15="http://schemas.microsoft.com/office/spreadsheetml/2010/11/main" uri="{3A4CF648-6AED-40f4-86FF-DC5316D8AED3}">
      <x14:slicerList xmlns:x14="http://schemas.microsoft.com/office/spreadsheetml/2009/9/main">
        <x14:slicer r:id="rId5"/>
      </x14:slicerList>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3"/>
  <sheetViews>
    <sheetView topLeftCell="A2" workbookViewId="0">
      <selection activeCell="L6" sqref="L6"/>
    </sheetView>
  </sheetViews>
  <sheetFormatPr defaultRowHeight="14.4" x14ac:dyDescent="0.3"/>
  <cols>
    <col min="1" max="1" width="8.88671875" style="135"/>
    <col min="2" max="2" width="19.77734375" style="135" bestFit="1" customWidth="1"/>
    <col min="3" max="8" width="8.88671875" style="135"/>
    <col min="9" max="10" width="10.5546875" style="135" customWidth="1"/>
    <col min="11" max="11" width="8.88671875" style="135"/>
    <col min="12" max="12" width="19.5546875" style="135" bestFit="1" customWidth="1"/>
    <col min="13" max="15" width="8.88671875" style="135"/>
    <col min="16" max="16" width="10.77734375" style="135" customWidth="1"/>
    <col min="17" max="17" width="8.88671875" style="135"/>
    <col min="18" max="18" width="17.88671875" style="135" customWidth="1"/>
    <col min="19" max="16384" width="8.88671875" style="135"/>
  </cols>
  <sheetData>
    <row r="1" spans="1:18" x14ac:dyDescent="0.3">
      <c r="A1" s="498" t="s">
        <v>2513</v>
      </c>
      <c r="K1" s="498" t="s">
        <v>2514</v>
      </c>
    </row>
    <row r="2" spans="1:18" x14ac:dyDescent="0.3">
      <c r="A2" s="135" t="s">
        <v>2595</v>
      </c>
      <c r="K2" s="135" t="s">
        <v>2515</v>
      </c>
    </row>
    <row r="3" spans="1:18" x14ac:dyDescent="0.3">
      <c r="A3" s="488" t="s">
        <v>863</v>
      </c>
      <c r="B3" s="488" t="s">
        <v>1</v>
      </c>
      <c r="C3" s="488" t="s">
        <v>387</v>
      </c>
      <c r="D3" s="488" t="s">
        <v>413</v>
      </c>
      <c r="E3" s="488" t="s">
        <v>389</v>
      </c>
      <c r="F3" s="488" t="s">
        <v>390</v>
      </c>
      <c r="G3" s="488" t="s">
        <v>1530</v>
      </c>
      <c r="H3" s="488" t="s">
        <v>1528</v>
      </c>
      <c r="I3" s="488" t="s">
        <v>1529</v>
      </c>
      <c r="J3" s="488"/>
      <c r="K3" s="135" t="s">
        <v>863</v>
      </c>
      <c r="L3" s="135" t="s">
        <v>1</v>
      </c>
      <c r="M3" s="135" t="s">
        <v>387</v>
      </c>
      <c r="N3" s="135" t="s">
        <v>413</v>
      </c>
      <c r="O3" s="135" t="s">
        <v>389</v>
      </c>
      <c r="P3" s="135" t="s">
        <v>2516</v>
      </c>
      <c r="Q3" s="135" t="s">
        <v>1530</v>
      </c>
      <c r="R3" s="135" t="s">
        <v>2517</v>
      </c>
    </row>
    <row r="4" spans="1:18" x14ac:dyDescent="0.3">
      <c r="A4" s="488">
        <v>1</v>
      </c>
      <c r="B4" s="488" t="s">
        <v>217</v>
      </c>
      <c r="C4" s="488" t="s">
        <v>401</v>
      </c>
      <c r="D4" s="488" t="s">
        <v>396</v>
      </c>
      <c r="E4" s="488">
        <v>21</v>
      </c>
      <c r="F4" s="488">
        <v>301</v>
      </c>
      <c r="G4" s="488">
        <v>33</v>
      </c>
      <c r="H4" s="488">
        <v>268</v>
      </c>
      <c r="I4" s="488">
        <v>12.76</v>
      </c>
      <c r="J4" s="488"/>
      <c r="K4" s="488">
        <v>1</v>
      </c>
      <c r="L4" s="488" t="s">
        <v>126</v>
      </c>
      <c r="M4" s="488" t="s">
        <v>39</v>
      </c>
      <c r="N4" s="488" t="s">
        <v>394</v>
      </c>
      <c r="O4" s="488">
        <v>10</v>
      </c>
      <c r="P4" s="488">
        <v>160</v>
      </c>
      <c r="Q4" s="488">
        <v>167</v>
      </c>
      <c r="R4" s="488">
        <v>16.7</v>
      </c>
    </row>
    <row r="5" spans="1:18" x14ac:dyDescent="0.3">
      <c r="A5" s="488">
        <v>2</v>
      </c>
      <c r="B5" s="488" t="s">
        <v>173</v>
      </c>
      <c r="C5" s="488" t="s">
        <v>26</v>
      </c>
      <c r="D5" s="488" t="s">
        <v>396</v>
      </c>
      <c r="E5" s="488">
        <v>18</v>
      </c>
      <c r="F5" s="488">
        <v>408</v>
      </c>
      <c r="G5" s="488">
        <v>151</v>
      </c>
      <c r="H5" s="488">
        <v>257</v>
      </c>
      <c r="I5" s="488">
        <v>14.28</v>
      </c>
      <c r="J5" s="488"/>
      <c r="K5" s="488">
        <v>2</v>
      </c>
      <c r="L5" s="488" t="s">
        <v>173</v>
      </c>
      <c r="M5" s="488" t="s">
        <v>26</v>
      </c>
      <c r="N5" s="488" t="s">
        <v>396</v>
      </c>
      <c r="O5" s="488">
        <v>18</v>
      </c>
      <c r="P5" s="488">
        <v>408</v>
      </c>
      <c r="Q5" s="488">
        <v>151</v>
      </c>
      <c r="R5" s="488">
        <v>8.4</v>
      </c>
    </row>
    <row r="6" spans="1:18" x14ac:dyDescent="0.3">
      <c r="A6" s="488">
        <v>3</v>
      </c>
      <c r="B6" s="488" t="s">
        <v>187</v>
      </c>
      <c r="C6" s="488" t="s">
        <v>20</v>
      </c>
      <c r="D6" s="488" t="s">
        <v>396</v>
      </c>
      <c r="E6" s="488">
        <v>24</v>
      </c>
      <c r="F6" s="488">
        <v>305</v>
      </c>
      <c r="G6" s="488">
        <v>65</v>
      </c>
      <c r="H6" s="488">
        <v>240</v>
      </c>
      <c r="I6" s="488">
        <v>10</v>
      </c>
      <c r="J6" s="488"/>
      <c r="K6" s="488">
        <v>3</v>
      </c>
      <c r="L6" s="488" t="s">
        <v>270</v>
      </c>
      <c r="M6" s="488" t="s">
        <v>401</v>
      </c>
      <c r="N6" s="488" t="s">
        <v>396</v>
      </c>
      <c r="O6" s="488">
        <v>18</v>
      </c>
      <c r="P6" s="488">
        <v>201</v>
      </c>
      <c r="Q6" s="488">
        <v>149</v>
      </c>
      <c r="R6" s="488">
        <v>8.3000000000000007</v>
      </c>
    </row>
    <row r="7" spans="1:18" x14ac:dyDescent="0.3">
      <c r="A7" s="488">
        <v>4</v>
      </c>
      <c r="B7" s="488" t="s">
        <v>218</v>
      </c>
      <c r="C7" s="488" t="s">
        <v>41</v>
      </c>
      <c r="D7" s="488" t="s">
        <v>396</v>
      </c>
      <c r="E7" s="488">
        <v>20</v>
      </c>
      <c r="F7" s="488">
        <v>325</v>
      </c>
      <c r="G7" s="488">
        <v>106</v>
      </c>
      <c r="H7" s="488">
        <v>219</v>
      </c>
      <c r="I7" s="488">
        <v>10.95</v>
      </c>
      <c r="J7" s="488"/>
      <c r="K7" s="488">
        <v>4</v>
      </c>
      <c r="L7" s="488" t="s">
        <v>205</v>
      </c>
      <c r="M7" s="488" t="s">
        <v>57</v>
      </c>
      <c r="N7" s="488" t="s">
        <v>396</v>
      </c>
      <c r="O7" s="488">
        <v>24</v>
      </c>
      <c r="P7" s="488">
        <v>314</v>
      </c>
      <c r="Q7" s="488">
        <v>148</v>
      </c>
      <c r="R7" s="488">
        <v>6.2</v>
      </c>
    </row>
    <row r="8" spans="1:18" x14ac:dyDescent="0.3">
      <c r="A8" s="488">
        <v>5</v>
      </c>
      <c r="B8" s="488" t="s">
        <v>208</v>
      </c>
      <c r="C8" s="488" t="s">
        <v>46</v>
      </c>
      <c r="D8" s="488" t="s">
        <v>396</v>
      </c>
      <c r="E8" s="488">
        <v>14</v>
      </c>
      <c r="F8" s="488">
        <v>271</v>
      </c>
      <c r="G8" s="488">
        <v>68</v>
      </c>
      <c r="H8" s="488">
        <v>203</v>
      </c>
      <c r="I8" s="488">
        <v>14.5</v>
      </c>
      <c r="J8" s="488"/>
      <c r="K8" s="488">
        <v>5</v>
      </c>
      <c r="L8" s="488" t="s">
        <v>505</v>
      </c>
      <c r="M8" s="488" t="s">
        <v>407</v>
      </c>
      <c r="N8" s="488" t="s">
        <v>396</v>
      </c>
      <c r="O8" s="488">
        <v>11</v>
      </c>
      <c r="P8" s="488">
        <v>201</v>
      </c>
      <c r="Q8" s="488">
        <v>146</v>
      </c>
      <c r="R8" s="488">
        <v>13.3</v>
      </c>
    </row>
    <row r="9" spans="1:18" x14ac:dyDescent="0.3">
      <c r="A9" s="488">
        <v>6</v>
      </c>
      <c r="B9" s="488" t="s">
        <v>189</v>
      </c>
      <c r="C9" s="488" t="s">
        <v>43</v>
      </c>
      <c r="D9" s="488" t="s">
        <v>396</v>
      </c>
      <c r="E9" s="488">
        <v>16</v>
      </c>
      <c r="F9" s="488">
        <v>223</v>
      </c>
      <c r="G9" s="488">
        <v>23</v>
      </c>
      <c r="H9" s="488">
        <v>200</v>
      </c>
      <c r="I9" s="488">
        <v>12.5</v>
      </c>
      <c r="J9" s="488"/>
      <c r="K9" s="488">
        <v>6</v>
      </c>
      <c r="L9" s="488" t="s">
        <v>113</v>
      </c>
      <c r="M9" s="488" t="s">
        <v>28</v>
      </c>
      <c r="N9" s="488" t="s">
        <v>394</v>
      </c>
      <c r="O9" s="488">
        <v>16</v>
      </c>
      <c r="P9" s="488">
        <v>141</v>
      </c>
      <c r="Q9" s="488">
        <v>134</v>
      </c>
      <c r="R9" s="488">
        <v>8.4</v>
      </c>
    </row>
    <row r="10" spans="1:18" x14ac:dyDescent="0.3">
      <c r="A10" s="488">
        <v>7</v>
      </c>
      <c r="B10" s="488" t="s">
        <v>213</v>
      </c>
      <c r="C10" s="488" t="s">
        <v>16</v>
      </c>
      <c r="D10" s="488" t="s">
        <v>396</v>
      </c>
      <c r="E10" s="488">
        <v>18</v>
      </c>
      <c r="F10" s="488">
        <v>294</v>
      </c>
      <c r="G10" s="488">
        <v>100</v>
      </c>
      <c r="H10" s="488">
        <v>194</v>
      </c>
      <c r="I10" s="488">
        <v>10.78</v>
      </c>
      <c r="J10" s="488"/>
      <c r="K10" s="488">
        <v>7</v>
      </c>
      <c r="L10" s="488" t="s">
        <v>98</v>
      </c>
      <c r="M10" s="488" t="s">
        <v>24</v>
      </c>
      <c r="N10" s="488" t="s">
        <v>394</v>
      </c>
      <c r="O10" s="488">
        <v>10</v>
      </c>
      <c r="P10" s="488">
        <v>169</v>
      </c>
      <c r="Q10" s="488">
        <v>134</v>
      </c>
      <c r="R10" s="488">
        <v>13.4</v>
      </c>
    </row>
    <row r="11" spans="1:18" x14ac:dyDescent="0.3">
      <c r="A11" s="488">
        <v>8</v>
      </c>
      <c r="B11" s="488" t="s">
        <v>191</v>
      </c>
      <c r="C11" s="488" t="s">
        <v>37</v>
      </c>
      <c r="D11" s="488" t="s">
        <v>396</v>
      </c>
      <c r="E11" s="488">
        <v>19</v>
      </c>
      <c r="F11" s="488">
        <v>280</v>
      </c>
      <c r="G11" s="488">
        <v>90</v>
      </c>
      <c r="H11" s="488">
        <v>190</v>
      </c>
      <c r="I11" s="488">
        <v>10</v>
      </c>
      <c r="J11" s="488"/>
      <c r="K11" s="488">
        <v>8</v>
      </c>
      <c r="L11" s="488" t="s">
        <v>129</v>
      </c>
      <c r="M11" s="488" t="s">
        <v>26</v>
      </c>
      <c r="N11" s="488" t="s">
        <v>394</v>
      </c>
      <c r="O11" s="488">
        <v>16</v>
      </c>
      <c r="P11" s="488">
        <v>130</v>
      </c>
      <c r="Q11" s="488">
        <v>128</v>
      </c>
      <c r="R11" s="488">
        <v>8</v>
      </c>
    </row>
    <row r="12" spans="1:18" x14ac:dyDescent="0.3">
      <c r="A12" s="488">
        <v>9</v>
      </c>
      <c r="B12" s="488" t="s">
        <v>195</v>
      </c>
      <c r="C12" s="488" t="s">
        <v>28</v>
      </c>
      <c r="D12" s="488" t="s">
        <v>396</v>
      </c>
      <c r="E12" s="488">
        <v>22</v>
      </c>
      <c r="F12" s="488">
        <v>295</v>
      </c>
      <c r="G12" s="488">
        <v>110</v>
      </c>
      <c r="H12" s="488">
        <v>185</v>
      </c>
      <c r="I12" s="488">
        <v>8.41</v>
      </c>
      <c r="J12" s="488"/>
      <c r="K12" s="488">
        <v>9</v>
      </c>
      <c r="L12" s="488" t="s">
        <v>135</v>
      </c>
      <c r="M12" s="488" t="s">
        <v>50</v>
      </c>
      <c r="N12" s="488" t="s">
        <v>394</v>
      </c>
      <c r="O12" s="488">
        <v>10</v>
      </c>
      <c r="P12" s="488">
        <v>167</v>
      </c>
      <c r="Q12" s="488">
        <v>127</v>
      </c>
      <c r="R12" s="488">
        <v>12.7</v>
      </c>
    </row>
    <row r="13" spans="1:18" x14ac:dyDescent="0.3">
      <c r="A13" s="488">
        <v>10</v>
      </c>
      <c r="B13" s="488" t="s">
        <v>192</v>
      </c>
      <c r="C13" s="488" t="s">
        <v>7</v>
      </c>
      <c r="D13" s="488" t="s">
        <v>396</v>
      </c>
      <c r="E13" s="488">
        <v>20</v>
      </c>
      <c r="F13" s="488">
        <v>276</v>
      </c>
      <c r="G13" s="488">
        <v>93</v>
      </c>
      <c r="H13" s="488">
        <v>183</v>
      </c>
      <c r="I13" s="488">
        <v>9.15</v>
      </c>
      <c r="J13" s="488"/>
      <c r="K13" s="488">
        <v>10</v>
      </c>
      <c r="L13" s="488" t="s">
        <v>210</v>
      </c>
      <c r="M13" s="488" t="s">
        <v>4</v>
      </c>
      <c r="N13" s="488" t="s">
        <v>396</v>
      </c>
      <c r="O13" s="488">
        <v>15</v>
      </c>
      <c r="P13" s="488">
        <v>270</v>
      </c>
      <c r="Q13" s="488">
        <v>117</v>
      </c>
      <c r="R13" s="488">
        <v>7.8</v>
      </c>
    </row>
    <row r="14" spans="1:18" x14ac:dyDescent="0.3">
      <c r="A14" s="488">
        <v>11</v>
      </c>
      <c r="B14" s="488" t="s">
        <v>2510</v>
      </c>
      <c r="C14" s="488" t="s">
        <v>14</v>
      </c>
      <c r="D14" s="488" t="s">
        <v>396</v>
      </c>
      <c r="E14" s="488">
        <v>14</v>
      </c>
      <c r="F14" s="488">
        <v>244</v>
      </c>
      <c r="G14" s="488">
        <v>70</v>
      </c>
      <c r="H14" s="488">
        <v>174</v>
      </c>
      <c r="I14" s="488">
        <v>12.43</v>
      </c>
      <c r="J14" s="488"/>
      <c r="K14" s="488">
        <v>11</v>
      </c>
      <c r="L14" s="488" t="s">
        <v>195</v>
      </c>
      <c r="M14" s="488" t="s">
        <v>28</v>
      </c>
      <c r="N14" s="488" t="s">
        <v>396</v>
      </c>
      <c r="O14" s="488">
        <v>22</v>
      </c>
      <c r="P14" s="488">
        <v>295</v>
      </c>
      <c r="Q14" s="488">
        <v>110</v>
      </c>
      <c r="R14" s="488">
        <v>5</v>
      </c>
    </row>
    <row r="15" spans="1:18" x14ac:dyDescent="0.3">
      <c r="A15" s="488">
        <v>12</v>
      </c>
      <c r="B15" s="488" t="s">
        <v>454</v>
      </c>
      <c r="C15" s="488" t="s">
        <v>37</v>
      </c>
      <c r="D15" s="488" t="s">
        <v>396</v>
      </c>
      <c r="E15" s="488">
        <v>16</v>
      </c>
      <c r="F15" s="488">
        <v>233</v>
      </c>
      <c r="G15" s="488">
        <v>60</v>
      </c>
      <c r="H15" s="488">
        <v>173</v>
      </c>
      <c r="I15" s="488">
        <v>10.81</v>
      </c>
      <c r="J15" s="488"/>
      <c r="K15" s="488">
        <v>12</v>
      </c>
      <c r="L15" s="488" t="s">
        <v>323</v>
      </c>
      <c r="M15" s="488" t="s">
        <v>397</v>
      </c>
      <c r="N15" s="488" t="s">
        <v>399</v>
      </c>
      <c r="O15" s="488">
        <v>17</v>
      </c>
      <c r="P15" s="488">
        <v>197</v>
      </c>
      <c r="Q15" s="488">
        <v>109</v>
      </c>
      <c r="R15" s="488">
        <v>6.4</v>
      </c>
    </row>
    <row r="16" spans="1:18" x14ac:dyDescent="0.3">
      <c r="A16" s="488">
        <v>13</v>
      </c>
      <c r="B16" s="488" t="s">
        <v>463</v>
      </c>
      <c r="C16" s="488" t="s">
        <v>43</v>
      </c>
      <c r="D16" s="488" t="s">
        <v>396</v>
      </c>
      <c r="E16" s="488">
        <v>12</v>
      </c>
      <c r="F16" s="488">
        <v>242</v>
      </c>
      <c r="G16" s="488">
        <v>72</v>
      </c>
      <c r="H16" s="488">
        <v>170</v>
      </c>
      <c r="I16" s="488">
        <v>14.17</v>
      </c>
      <c r="J16" s="488"/>
      <c r="K16" s="488">
        <v>13</v>
      </c>
      <c r="L16" s="488" t="s">
        <v>319</v>
      </c>
      <c r="M16" s="488" t="s">
        <v>22</v>
      </c>
      <c r="N16" s="488" t="s">
        <v>399</v>
      </c>
      <c r="O16" s="488">
        <v>18</v>
      </c>
      <c r="P16" s="488">
        <v>259</v>
      </c>
      <c r="Q16" s="488">
        <v>108</v>
      </c>
      <c r="R16" s="488">
        <v>6</v>
      </c>
    </row>
    <row r="17" spans="1:18" x14ac:dyDescent="0.3">
      <c r="A17" s="488">
        <v>14</v>
      </c>
      <c r="B17" s="488" t="s">
        <v>193</v>
      </c>
      <c r="C17" s="488" t="s">
        <v>24</v>
      </c>
      <c r="D17" s="488" t="s">
        <v>396</v>
      </c>
      <c r="E17" s="488">
        <v>20</v>
      </c>
      <c r="F17" s="488">
        <v>218</v>
      </c>
      <c r="G17" s="488">
        <v>49</v>
      </c>
      <c r="H17" s="488">
        <v>169</v>
      </c>
      <c r="I17" s="488">
        <v>8.4499999999999993</v>
      </c>
      <c r="J17" s="488"/>
      <c r="K17" s="488">
        <v>14</v>
      </c>
      <c r="L17" s="488" t="s">
        <v>336</v>
      </c>
      <c r="M17" s="488" t="s">
        <v>402</v>
      </c>
      <c r="N17" s="488" t="s">
        <v>399</v>
      </c>
      <c r="O17" s="488">
        <v>10</v>
      </c>
      <c r="P17" s="488">
        <v>138</v>
      </c>
      <c r="Q17" s="488">
        <v>107</v>
      </c>
      <c r="R17" s="488">
        <v>10.7</v>
      </c>
    </row>
    <row r="18" spans="1:18" x14ac:dyDescent="0.3">
      <c r="A18" s="488">
        <v>15</v>
      </c>
      <c r="B18" s="488" t="s">
        <v>205</v>
      </c>
      <c r="C18" s="488" t="s">
        <v>57</v>
      </c>
      <c r="D18" s="488" t="s">
        <v>396</v>
      </c>
      <c r="E18" s="488">
        <v>24</v>
      </c>
      <c r="F18" s="488">
        <v>314</v>
      </c>
      <c r="G18" s="488">
        <v>148</v>
      </c>
      <c r="H18" s="488">
        <v>166</v>
      </c>
      <c r="I18" s="488">
        <v>6.92</v>
      </c>
      <c r="J18" s="488"/>
      <c r="K18" s="488">
        <v>15</v>
      </c>
      <c r="L18" s="488" t="s">
        <v>128</v>
      </c>
      <c r="M18" s="488" t="s">
        <v>30</v>
      </c>
      <c r="N18" s="488" t="s">
        <v>394</v>
      </c>
      <c r="O18" s="488">
        <v>17</v>
      </c>
      <c r="P18" s="488">
        <v>132</v>
      </c>
      <c r="Q18" s="488">
        <v>107</v>
      </c>
      <c r="R18" s="488">
        <v>6.3</v>
      </c>
    </row>
    <row r="19" spans="1:18" x14ac:dyDescent="0.3">
      <c r="A19" s="488">
        <v>16</v>
      </c>
      <c r="B19" s="488" t="s">
        <v>197</v>
      </c>
      <c r="C19" s="488" t="s">
        <v>34</v>
      </c>
      <c r="D19" s="488" t="s">
        <v>396</v>
      </c>
      <c r="E19" s="488">
        <v>9</v>
      </c>
      <c r="F19" s="488">
        <v>194</v>
      </c>
      <c r="G19" s="488">
        <v>30</v>
      </c>
      <c r="H19" s="488">
        <v>164</v>
      </c>
      <c r="I19" s="488">
        <v>18.22</v>
      </c>
      <c r="J19" s="488"/>
      <c r="K19" s="488">
        <v>16</v>
      </c>
      <c r="L19" s="488" t="s">
        <v>218</v>
      </c>
      <c r="M19" s="488" t="s">
        <v>41</v>
      </c>
      <c r="N19" s="488" t="s">
        <v>396</v>
      </c>
      <c r="O19" s="488">
        <v>20</v>
      </c>
      <c r="P19" s="488">
        <v>325</v>
      </c>
      <c r="Q19" s="488">
        <v>106</v>
      </c>
      <c r="R19" s="488">
        <v>5.3</v>
      </c>
    </row>
    <row r="20" spans="1:18" x14ac:dyDescent="0.3">
      <c r="A20" s="488">
        <v>17</v>
      </c>
      <c r="B20" s="488" t="s">
        <v>315</v>
      </c>
      <c r="C20" s="488" t="s">
        <v>20</v>
      </c>
      <c r="D20" s="488" t="s">
        <v>396</v>
      </c>
      <c r="E20" s="488">
        <v>7</v>
      </c>
      <c r="F20" s="488">
        <v>203</v>
      </c>
      <c r="G20" s="488">
        <v>43</v>
      </c>
      <c r="H20" s="488">
        <v>160</v>
      </c>
      <c r="I20" s="488">
        <v>22.86</v>
      </c>
      <c r="J20" s="488"/>
      <c r="K20" s="488">
        <v>17</v>
      </c>
      <c r="L20" s="488" t="s">
        <v>125</v>
      </c>
      <c r="M20" s="488" t="s">
        <v>397</v>
      </c>
      <c r="N20" s="488" t="s">
        <v>394</v>
      </c>
      <c r="O20" s="488">
        <v>10</v>
      </c>
      <c r="P20" s="488">
        <v>185</v>
      </c>
      <c r="Q20" s="488">
        <v>104</v>
      </c>
      <c r="R20" s="488">
        <v>10.4</v>
      </c>
    </row>
    <row r="21" spans="1:18" x14ac:dyDescent="0.3">
      <c r="A21" s="488">
        <v>18</v>
      </c>
      <c r="B21" s="488" t="s">
        <v>433</v>
      </c>
      <c r="C21" s="488" t="s">
        <v>14</v>
      </c>
      <c r="D21" s="488" t="s">
        <v>396</v>
      </c>
      <c r="E21" s="488">
        <v>7</v>
      </c>
      <c r="F21" s="488">
        <v>173</v>
      </c>
      <c r="G21" s="488">
        <v>13</v>
      </c>
      <c r="H21" s="488">
        <v>160</v>
      </c>
      <c r="I21" s="488">
        <v>22.86</v>
      </c>
      <c r="J21" s="488"/>
      <c r="K21" s="488">
        <v>18</v>
      </c>
      <c r="L21" s="488" t="s">
        <v>199</v>
      </c>
      <c r="M21" s="488" t="s">
        <v>70</v>
      </c>
      <c r="N21" s="488" t="s">
        <v>396</v>
      </c>
      <c r="O21" s="488">
        <v>15</v>
      </c>
      <c r="P21" s="488">
        <v>238</v>
      </c>
      <c r="Q21" s="488">
        <v>104</v>
      </c>
      <c r="R21" s="488">
        <v>6.9</v>
      </c>
    </row>
    <row r="22" spans="1:18" x14ac:dyDescent="0.3">
      <c r="A22" s="488">
        <v>19</v>
      </c>
      <c r="B22" s="488" t="s">
        <v>241</v>
      </c>
      <c r="C22" s="488" t="s">
        <v>407</v>
      </c>
      <c r="D22" s="488" t="s">
        <v>396</v>
      </c>
      <c r="E22" s="488">
        <v>17</v>
      </c>
      <c r="F22" s="488">
        <v>229</v>
      </c>
      <c r="G22" s="488">
        <v>71</v>
      </c>
      <c r="H22" s="488">
        <v>158</v>
      </c>
      <c r="I22" s="488">
        <v>9.2899999999999991</v>
      </c>
      <c r="J22" s="488"/>
      <c r="K22" s="488">
        <v>19</v>
      </c>
      <c r="L22" s="488" t="s">
        <v>114</v>
      </c>
      <c r="M22" s="488" t="s">
        <v>401</v>
      </c>
      <c r="N22" s="488" t="s">
        <v>394</v>
      </c>
      <c r="O22" s="488">
        <v>12</v>
      </c>
      <c r="P22" s="488">
        <v>105</v>
      </c>
      <c r="Q22" s="488">
        <v>103</v>
      </c>
      <c r="R22" s="488">
        <v>8.6</v>
      </c>
    </row>
    <row r="23" spans="1:18" x14ac:dyDescent="0.3">
      <c r="A23" s="488">
        <v>20</v>
      </c>
      <c r="B23" s="488" t="s">
        <v>204</v>
      </c>
      <c r="C23" s="488" t="s">
        <v>4</v>
      </c>
      <c r="D23" s="488" t="s">
        <v>396</v>
      </c>
      <c r="E23" s="488">
        <v>19</v>
      </c>
      <c r="F23" s="488">
        <v>220</v>
      </c>
      <c r="G23" s="488">
        <v>63</v>
      </c>
      <c r="H23" s="488">
        <v>157</v>
      </c>
      <c r="I23" s="488">
        <v>8.26</v>
      </c>
      <c r="J23" s="488"/>
      <c r="K23" s="488">
        <v>20</v>
      </c>
      <c r="L23" s="488" t="s">
        <v>213</v>
      </c>
      <c r="M23" s="488" t="s">
        <v>16</v>
      </c>
      <c r="N23" s="488" t="s">
        <v>396</v>
      </c>
      <c r="O23" s="488">
        <v>18</v>
      </c>
      <c r="P23" s="488">
        <v>294</v>
      </c>
      <c r="Q23" s="488">
        <v>100</v>
      </c>
      <c r="R23" s="488">
        <v>5.6</v>
      </c>
    </row>
    <row r="24" spans="1:18" x14ac:dyDescent="0.3">
      <c r="A24" s="488">
        <v>21</v>
      </c>
      <c r="B24" s="488" t="s">
        <v>768</v>
      </c>
      <c r="C24" s="488" t="s">
        <v>22</v>
      </c>
      <c r="D24" s="488" t="s">
        <v>396</v>
      </c>
      <c r="E24" s="488">
        <v>13</v>
      </c>
      <c r="F24" s="488">
        <v>199</v>
      </c>
      <c r="G24" s="488">
        <v>44</v>
      </c>
      <c r="H24" s="488">
        <v>155</v>
      </c>
      <c r="I24" s="488">
        <v>11.92</v>
      </c>
      <c r="J24" s="488"/>
      <c r="K24" s="488">
        <v>21</v>
      </c>
      <c r="L24" s="488" t="s">
        <v>206</v>
      </c>
      <c r="M24" s="488" t="s">
        <v>404</v>
      </c>
      <c r="N24" s="488" t="s">
        <v>396</v>
      </c>
      <c r="O24" s="488">
        <v>15</v>
      </c>
      <c r="P24" s="488">
        <v>224</v>
      </c>
      <c r="Q24" s="488">
        <v>99</v>
      </c>
      <c r="R24" s="488">
        <v>6.6</v>
      </c>
    </row>
    <row r="25" spans="1:18" x14ac:dyDescent="0.3">
      <c r="A25" s="488">
        <v>22</v>
      </c>
      <c r="B25" s="488" t="s">
        <v>226</v>
      </c>
      <c r="C25" s="488" t="s">
        <v>18</v>
      </c>
      <c r="D25" s="488" t="s">
        <v>396</v>
      </c>
      <c r="E25" s="488">
        <v>14</v>
      </c>
      <c r="F25" s="488">
        <v>238</v>
      </c>
      <c r="G25" s="488">
        <v>83</v>
      </c>
      <c r="H25" s="488">
        <v>155</v>
      </c>
      <c r="I25" s="488">
        <v>11.07</v>
      </c>
      <c r="J25" s="488"/>
      <c r="K25" s="488">
        <v>22</v>
      </c>
      <c r="L25" s="488" t="s">
        <v>278</v>
      </c>
      <c r="M25" s="488" t="s">
        <v>12</v>
      </c>
      <c r="N25" s="488" t="s">
        <v>396</v>
      </c>
      <c r="O25" s="488">
        <v>12</v>
      </c>
      <c r="P25" s="488">
        <v>141</v>
      </c>
      <c r="Q25" s="488">
        <v>99</v>
      </c>
      <c r="R25" s="488">
        <v>8.3000000000000007</v>
      </c>
    </row>
    <row r="26" spans="1:18" x14ac:dyDescent="0.3">
      <c r="A26" s="488">
        <v>23</v>
      </c>
      <c r="B26" s="488" t="s">
        <v>210</v>
      </c>
      <c r="C26" s="488" t="s">
        <v>4</v>
      </c>
      <c r="D26" s="488" t="s">
        <v>396</v>
      </c>
      <c r="E26" s="488">
        <v>15</v>
      </c>
      <c r="F26" s="488">
        <v>270</v>
      </c>
      <c r="G26" s="488">
        <v>117</v>
      </c>
      <c r="H26" s="488">
        <v>153</v>
      </c>
      <c r="I26" s="488">
        <v>10.199999999999999</v>
      </c>
      <c r="J26" s="488"/>
      <c r="K26" s="488">
        <v>23</v>
      </c>
      <c r="L26" s="488" t="s">
        <v>238</v>
      </c>
      <c r="M26" s="488" t="s">
        <v>18</v>
      </c>
      <c r="N26" s="488" t="s">
        <v>396</v>
      </c>
      <c r="O26" s="488">
        <v>16</v>
      </c>
      <c r="P26" s="488">
        <v>175</v>
      </c>
      <c r="Q26" s="488">
        <v>98</v>
      </c>
      <c r="R26" s="488">
        <v>6.1</v>
      </c>
    </row>
    <row r="27" spans="1:18" x14ac:dyDescent="0.3">
      <c r="A27" s="488">
        <v>24</v>
      </c>
      <c r="B27" s="488" t="s">
        <v>227</v>
      </c>
      <c r="C27" s="488" t="s">
        <v>404</v>
      </c>
      <c r="D27" s="488" t="s">
        <v>396</v>
      </c>
      <c r="E27" s="488">
        <v>14</v>
      </c>
      <c r="F27" s="488">
        <v>226</v>
      </c>
      <c r="G27" s="488">
        <v>74</v>
      </c>
      <c r="H27" s="488">
        <v>152</v>
      </c>
      <c r="I27" s="488">
        <v>10.86</v>
      </c>
      <c r="J27" s="488"/>
      <c r="K27" s="488">
        <v>24</v>
      </c>
      <c r="L27" s="488" t="s">
        <v>115</v>
      </c>
      <c r="M27" s="488" t="s">
        <v>34</v>
      </c>
      <c r="N27" s="488" t="s">
        <v>394</v>
      </c>
      <c r="O27" s="488">
        <v>9</v>
      </c>
      <c r="P27" s="488">
        <v>67</v>
      </c>
      <c r="Q27" s="488">
        <v>95</v>
      </c>
      <c r="R27" s="488">
        <v>10.6</v>
      </c>
    </row>
    <row r="28" spans="1:18" x14ac:dyDescent="0.3">
      <c r="A28" s="488">
        <v>25</v>
      </c>
      <c r="B28" s="488" t="s">
        <v>319</v>
      </c>
      <c r="C28" s="488" t="s">
        <v>22</v>
      </c>
      <c r="D28" s="488" t="s">
        <v>399</v>
      </c>
      <c r="E28" s="488">
        <v>18</v>
      </c>
      <c r="F28" s="488">
        <v>259</v>
      </c>
      <c r="G28" s="488">
        <v>108</v>
      </c>
      <c r="H28" s="488">
        <v>151</v>
      </c>
      <c r="I28" s="488">
        <v>8.39</v>
      </c>
      <c r="J28" s="488"/>
      <c r="K28" s="488">
        <v>25</v>
      </c>
      <c r="L28" s="488" t="s">
        <v>192</v>
      </c>
      <c r="M28" s="488" t="s">
        <v>7</v>
      </c>
      <c r="N28" s="488" t="s">
        <v>396</v>
      </c>
      <c r="O28" s="488">
        <v>20</v>
      </c>
      <c r="P28" s="488">
        <v>276</v>
      </c>
      <c r="Q28" s="488">
        <v>93</v>
      </c>
      <c r="R28" s="488">
        <v>4.7</v>
      </c>
    </row>
    <row r="29" spans="1:18" x14ac:dyDescent="0.3">
      <c r="A29" s="488">
        <v>26</v>
      </c>
      <c r="B29" s="488" t="s">
        <v>203</v>
      </c>
      <c r="C29" s="488" t="s">
        <v>70</v>
      </c>
      <c r="D29" s="488" t="s">
        <v>396</v>
      </c>
      <c r="E29" s="488">
        <v>17</v>
      </c>
      <c r="F29" s="488">
        <v>205</v>
      </c>
      <c r="G29" s="488">
        <v>58</v>
      </c>
      <c r="H29" s="488">
        <v>147</v>
      </c>
      <c r="I29" s="488">
        <v>8.65</v>
      </c>
      <c r="J29" s="488"/>
      <c r="K29" s="488">
        <v>26</v>
      </c>
      <c r="L29" s="488" t="s">
        <v>198</v>
      </c>
      <c r="M29" s="488" t="s">
        <v>402</v>
      </c>
      <c r="N29" s="488" t="s">
        <v>396</v>
      </c>
      <c r="O29" s="488">
        <v>18</v>
      </c>
      <c r="P29" s="488">
        <v>180</v>
      </c>
      <c r="Q29" s="488">
        <v>92</v>
      </c>
      <c r="R29" s="488">
        <v>5.0999999999999996</v>
      </c>
    </row>
    <row r="30" spans="1:18" x14ac:dyDescent="0.3">
      <c r="A30" s="488">
        <v>27</v>
      </c>
      <c r="B30" s="488" t="s">
        <v>211</v>
      </c>
      <c r="C30" s="488" t="s">
        <v>39</v>
      </c>
      <c r="D30" s="488" t="s">
        <v>396</v>
      </c>
      <c r="E30" s="488">
        <v>15</v>
      </c>
      <c r="F30" s="488">
        <v>204</v>
      </c>
      <c r="G30" s="488">
        <v>64</v>
      </c>
      <c r="H30" s="488">
        <v>140</v>
      </c>
      <c r="I30" s="488">
        <v>9.33</v>
      </c>
      <c r="J30" s="488"/>
      <c r="K30" s="488">
        <v>27</v>
      </c>
      <c r="L30" s="488" t="s">
        <v>191</v>
      </c>
      <c r="M30" s="488" t="s">
        <v>37</v>
      </c>
      <c r="N30" s="488" t="s">
        <v>396</v>
      </c>
      <c r="O30" s="488">
        <v>19</v>
      </c>
      <c r="P30" s="488">
        <v>280</v>
      </c>
      <c r="Q30" s="488">
        <v>90</v>
      </c>
      <c r="R30" s="488">
        <v>4.7</v>
      </c>
    </row>
    <row r="31" spans="1:18" x14ac:dyDescent="0.3">
      <c r="A31" s="488">
        <v>28</v>
      </c>
      <c r="B31" s="488" t="s">
        <v>194</v>
      </c>
      <c r="C31" s="488" t="s">
        <v>12</v>
      </c>
      <c r="D31" s="488" t="s">
        <v>396</v>
      </c>
      <c r="E31" s="488">
        <v>16</v>
      </c>
      <c r="F31" s="488">
        <v>183</v>
      </c>
      <c r="G31" s="488">
        <v>43</v>
      </c>
      <c r="H31" s="488">
        <v>140</v>
      </c>
      <c r="I31" s="488">
        <v>8.75</v>
      </c>
      <c r="J31" s="488"/>
      <c r="K31" s="488">
        <v>28</v>
      </c>
      <c r="L31" s="488" t="s">
        <v>88</v>
      </c>
      <c r="M31" s="488" t="s">
        <v>20</v>
      </c>
      <c r="N31" s="488" t="s">
        <v>394</v>
      </c>
      <c r="O31" s="488">
        <v>14</v>
      </c>
      <c r="P31" s="488">
        <v>89</v>
      </c>
      <c r="Q31" s="488">
        <v>89</v>
      </c>
      <c r="R31" s="488">
        <v>6.4</v>
      </c>
    </row>
    <row r="32" spans="1:18" x14ac:dyDescent="0.3">
      <c r="A32" s="488">
        <v>29</v>
      </c>
      <c r="B32" s="488" t="s">
        <v>237</v>
      </c>
      <c r="C32" s="488" t="s">
        <v>409</v>
      </c>
      <c r="D32" s="488" t="s">
        <v>396</v>
      </c>
      <c r="E32" s="488">
        <v>14</v>
      </c>
      <c r="F32" s="488">
        <v>199</v>
      </c>
      <c r="G32" s="488">
        <v>61</v>
      </c>
      <c r="H32" s="488">
        <v>138</v>
      </c>
      <c r="I32" s="488">
        <v>9.86</v>
      </c>
      <c r="J32" s="488"/>
      <c r="K32" s="488">
        <v>29</v>
      </c>
      <c r="L32" s="488" t="s">
        <v>466</v>
      </c>
      <c r="M32" s="488" t="s">
        <v>16</v>
      </c>
      <c r="N32" s="488" t="s">
        <v>394</v>
      </c>
      <c r="O32" s="488">
        <v>10</v>
      </c>
      <c r="P32" s="488">
        <v>84</v>
      </c>
      <c r="Q32" s="488">
        <v>88</v>
      </c>
      <c r="R32" s="488">
        <v>8.8000000000000007</v>
      </c>
    </row>
    <row r="33" spans="1:18" x14ac:dyDescent="0.3">
      <c r="A33" s="488">
        <v>30</v>
      </c>
      <c r="B33" s="488" t="s">
        <v>240</v>
      </c>
      <c r="C33" s="488" t="s">
        <v>52</v>
      </c>
      <c r="D33" s="488" t="s">
        <v>396</v>
      </c>
      <c r="E33" s="488">
        <v>20</v>
      </c>
      <c r="F33" s="488">
        <v>213</v>
      </c>
      <c r="G33" s="488">
        <v>78</v>
      </c>
      <c r="H33" s="488">
        <v>135</v>
      </c>
      <c r="I33" s="488">
        <v>6.75</v>
      </c>
      <c r="J33" s="488"/>
      <c r="K33" s="488">
        <v>30</v>
      </c>
      <c r="L33" s="488" t="s">
        <v>226</v>
      </c>
      <c r="M33" s="488" t="s">
        <v>18</v>
      </c>
      <c r="N33" s="488" t="s">
        <v>396</v>
      </c>
      <c r="O33" s="488">
        <v>14</v>
      </c>
      <c r="P33" s="488">
        <v>238</v>
      </c>
      <c r="Q33" s="488">
        <v>83</v>
      </c>
      <c r="R33" s="488">
        <v>5.9</v>
      </c>
    </row>
    <row r="34" spans="1:18" x14ac:dyDescent="0.3">
      <c r="A34" s="488">
        <v>31</v>
      </c>
      <c r="B34" s="488" t="s">
        <v>427</v>
      </c>
      <c r="C34" s="488" t="s">
        <v>395</v>
      </c>
      <c r="D34" s="488" t="s">
        <v>396</v>
      </c>
      <c r="E34" s="488">
        <v>17</v>
      </c>
      <c r="F34" s="488">
        <v>206</v>
      </c>
      <c r="G34" s="488">
        <v>72</v>
      </c>
      <c r="H34" s="488">
        <v>134</v>
      </c>
      <c r="I34" s="488">
        <v>7.88</v>
      </c>
      <c r="J34" s="488"/>
      <c r="K34" s="488">
        <v>31</v>
      </c>
      <c r="L34" s="488" t="s">
        <v>2518</v>
      </c>
      <c r="M34" s="488" t="s">
        <v>14</v>
      </c>
      <c r="N34" s="488" t="s">
        <v>394</v>
      </c>
      <c r="O34" s="488">
        <v>12</v>
      </c>
      <c r="P34" s="488">
        <v>84</v>
      </c>
      <c r="Q34" s="488">
        <v>83</v>
      </c>
      <c r="R34" s="488">
        <v>6.9</v>
      </c>
    </row>
    <row r="35" spans="1:18" x14ac:dyDescent="0.3">
      <c r="A35" s="488">
        <v>32</v>
      </c>
      <c r="B35" s="488" t="s">
        <v>199</v>
      </c>
      <c r="C35" s="488" t="s">
        <v>70</v>
      </c>
      <c r="D35" s="488" t="s">
        <v>396</v>
      </c>
      <c r="E35" s="488">
        <v>15</v>
      </c>
      <c r="F35" s="488">
        <v>238</v>
      </c>
      <c r="G35" s="488">
        <v>104</v>
      </c>
      <c r="H35" s="488">
        <v>134</v>
      </c>
      <c r="I35" s="488">
        <v>8.93</v>
      </c>
      <c r="J35" s="488"/>
      <c r="K35" s="488">
        <v>32</v>
      </c>
      <c r="L35" s="488" t="s">
        <v>532</v>
      </c>
      <c r="M35" s="488" t="s">
        <v>32</v>
      </c>
      <c r="N35" s="488" t="s">
        <v>399</v>
      </c>
      <c r="O35" s="488">
        <v>18</v>
      </c>
      <c r="P35" s="488">
        <v>183</v>
      </c>
      <c r="Q35" s="488">
        <v>81</v>
      </c>
      <c r="R35" s="488">
        <v>4.5</v>
      </c>
    </row>
    <row r="36" spans="1:18" x14ac:dyDescent="0.3">
      <c r="A36" s="488">
        <v>33</v>
      </c>
      <c r="B36" s="488" t="s">
        <v>308</v>
      </c>
      <c r="C36" s="488" t="s">
        <v>404</v>
      </c>
      <c r="D36" s="488" t="s">
        <v>399</v>
      </c>
      <c r="E36" s="488">
        <v>10</v>
      </c>
      <c r="F36" s="488">
        <v>144</v>
      </c>
      <c r="G36" s="488">
        <v>10</v>
      </c>
      <c r="H36" s="488">
        <v>134</v>
      </c>
      <c r="I36" s="488">
        <v>13.4</v>
      </c>
      <c r="J36" s="488"/>
      <c r="K36" s="488">
        <v>33</v>
      </c>
      <c r="L36" s="488" t="s">
        <v>127</v>
      </c>
      <c r="M36" s="488" t="s">
        <v>37</v>
      </c>
      <c r="N36" s="488" t="s">
        <v>394</v>
      </c>
      <c r="O36" s="488">
        <v>8</v>
      </c>
      <c r="P36" s="488">
        <v>75</v>
      </c>
      <c r="Q36" s="488">
        <v>81</v>
      </c>
      <c r="R36" s="488">
        <v>10.1</v>
      </c>
    </row>
    <row r="37" spans="1:18" x14ac:dyDescent="0.3">
      <c r="A37" s="488">
        <v>34</v>
      </c>
      <c r="B37" s="488" t="s">
        <v>328</v>
      </c>
      <c r="C37" s="488" t="s">
        <v>7</v>
      </c>
      <c r="D37" s="488" t="s">
        <v>399</v>
      </c>
      <c r="E37" s="488">
        <v>10</v>
      </c>
      <c r="F37" s="488">
        <v>153</v>
      </c>
      <c r="G37" s="488">
        <v>25</v>
      </c>
      <c r="H37" s="488">
        <v>128</v>
      </c>
      <c r="I37" s="488">
        <v>12.8</v>
      </c>
      <c r="J37" s="488"/>
      <c r="K37" s="488">
        <v>34</v>
      </c>
      <c r="L37" s="488" t="s">
        <v>106</v>
      </c>
      <c r="M37" s="488" t="s">
        <v>70</v>
      </c>
      <c r="N37" s="488" t="s">
        <v>394</v>
      </c>
      <c r="O37" s="488">
        <v>8</v>
      </c>
      <c r="P37" s="488">
        <v>70</v>
      </c>
      <c r="Q37" s="488">
        <v>81</v>
      </c>
      <c r="R37" s="488">
        <v>10.1</v>
      </c>
    </row>
    <row r="38" spans="1:18" x14ac:dyDescent="0.3">
      <c r="A38" s="488">
        <v>35</v>
      </c>
      <c r="B38" s="488" t="s">
        <v>201</v>
      </c>
      <c r="C38" s="488" t="s">
        <v>397</v>
      </c>
      <c r="D38" s="488" t="s">
        <v>396</v>
      </c>
      <c r="E38" s="488">
        <v>15</v>
      </c>
      <c r="F38" s="488">
        <v>166</v>
      </c>
      <c r="G38" s="488">
        <v>38</v>
      </c>
      <c r="H38" s="488">
        <v>128</v>
      </c>
      <c r="I38" s="488">
        <v>8.5299999999999994</v>
      </c>
      <c r="J38" s="488"/>
      <c r="K38" s="488">
        <v>35</v>
      </c>
      <c r="L38" s="488" t="s">
        <v>329</v>
      </c>
      <c r="M38" s="488" t="s">
        <v>52</v>
      </c>
      <c r="N38" s="488" t="s">
        <v>399</v>
      </c>
      <c r="O38" s="488">
        <v>14</v>
      </c>
      <c r="P38" s="488">
        <v>142</v>
      </c>
      <c r="Q38" s="488">
        <v>80</v>
      </c>
      <c r="R38" s="488">
        <v>5.7</v>
      </c>
    </row>
    <row r="39" spans="1:18" x14ac:dyDescent="0.3">
      <c r="A39" s="488">
        <v>36</v>
      </c>
      <c r="B39" s="488" t="s">
        <v>283</v>
      </c>
      <c r="C39" s="488" t="s">
        <v>16</v>
      </c>
      <c r="D39" s="488" t="s">
        <v>396</v>
      </c>
      <c r="E39" s="488">
        <v>8</v>
      </c>
      <c r="F39" s="488">
        <v>151</v>
      </c>
      <c r="G39" s="488">
        <v>24</v>
      </c>
      <c r="H39" s="488">
        <v>127</v>
      </c>
      <c r="I39" s="488">
        <v>15.88</v>
      </c>
      <c r="J39" s="488"/>
      <c r="K39" s="488">
        <v>36</v>
      </c>
      <c r="L39" s="488" t="s">
        <v>456</v>
      </c>
      <c r="M39" s="488" t="s">
        <v>37</v>
      </c>
      <c r="N39" s="488" t="s">
        <v>396</v>
      </c>
      <c r="O39" s="488">
        <v>11</v>
      </c>
      <c r="P39" s="488">
        <v>195</v>
      </c>
      <c r="Q39" s="488">
        <v>80</v>
      </c>
      <c r="R39" s="488">
        <v>7.3</v>
      </c>
    </row>
    <row r="40" spans="1:18" x14ac:dyDescent="0.3">
      <c r="A40" s="488">
        <v>37</v>
      </c>
      <c r="B40" s="488" t="s">
        <v>519</v>
      </c>
      <c r="C40" s="488" t="s">
        <v>30</v>
      </c>
      <c r="D40" s="488" t="s">
        <v>396</v>
      </c>
      <c r="E40" s="488">
        <v>14</v>
      </c>
      <c r="F40" s="488">
        <v>157</v>
      </c>
      <c r="G40" s="488">
        <v>30</v>
      </c>
      <c r="H40" s="488">
        <v>127</v>
      </c>
      <c r="I40" s="488">
        <v>9.07</v>
      </c>
      <c r="J40" s="488"/>
      <c r="K40" s="488">
        <v>37</v>
      </c>
      <c r="L40" s="488" t="s">
        <v>162</v>
      </c>
      <c r="M40" s="488" t="s">
        <v>22</v>
      </c>
      <c r="N40" s="488" t="s">
        <v>394</v>
      </c>
      <c r="O40" s="488">
        <v>9</v>
      </c>
      <c r="P40" s="488">
        <v>69</v>
      </c>
      <c r="Q40" s="488">
        <v>80</v>
      </c>
      <c r="R40" s="488">
        <v>8.9</v>
      </c>
    </row>
    <row r="41" spans="1:18" x14ac:dyDescent="0.3">
      <c r="A41" s="488">
        <v>38</v>
      </c>
      <c r="B41" s="488" t="s">
        <v>457</v>
      </c>
      <c r="C41" s="488" t="s">
        <v>404</v>
      </c>
      <c r="D41" s="488" t="s">
        <v>396</v>
      </c>
      <c r="E41" s="488">
        <v>17</v>
      </c>
      <c r="F41" s="488">
        <v>185</v>
      </c>
      <c r="G41" s="488">
        <v>58</v>
      </c>
      <c r="H41" s="488">
        <v>127</v>
      </c>
      <c r="I41" s="488">
        <v>7.47</v>
      </c>
      <c r="J41" s="488"/>
      <c r="K41" s="488">
        <v>38</v>
      </c>
      <c r="L41" s="488" t="s">
        <v>240</v>
      </c>
      <c r="M41" s="488" t="s">
        <v>52</v>
      </c>
      <c r="N41" s="488" t="s">
        <v>396</v>
      </c>
      <c r="O41" s="488">
        <v>20</v>
      </c>
      <c r="P41" s="488">
        <v>213</v>
      </c>
      <c r="Q41" s="488">
        <v>78</v>
      </c>
      <c r="R41" s="488">
        <v>3.9</v>
      </c>
    </row>
    <row r="42" spans="1:18" x14ac:dyDescent="0.3">
      <c r="A42" s="488">
        <v>39</v>
      </c>
      <c r="B42" s="488" t="s">
        <v>234</v>
      </c>
      <c r="C42" s="488" t="s">
        <v>52</v>
      </c>
      <c r="D42" s="488" t="s">
        <v>396</v>
      </c>
      <c r="E42" s="488">
        <v>11</v>
      </c>
      <c r="F42" s="488">
        <v>150</v>
      </c>
      <c r="G42" s="488">
        <v>24</v>
      </c>
      <c r="H42" s="488">
        <v>126</v>
      </c>
      <c r="I42" s="488">
        <v>11.45</v>
      </c>
      <c r="J42" s="488"/>
      <c r="K42" s="488">
        <v>39</v>
      </c>
      <c r="L42" s="488" t="s">
        <v>137</v>
      </c>
      <c r="M42" s="488" t="s">
        <v>402</v>
      </c>
      <c r="N42" s="488" t="s">
        <v>394</v>
      </c>
      <c r="O42" s="488">
        <v>8</v>
      </c>
      <c r="P42" s="488">
        <v>52</v>
      </c>
      <c r="Q42" s="488">
        <v>75</v>
      </c>
      <c r="R42" s="488">
        <v>9.4</v>
      </c>
    </row>
    <row r="43" spans="1:18" x14ac:dyDescent="0.3">
      <c r="A43" s="488">
        <v>40</v>
      </c>
      <c r="B43" s="488" t="s">
        <v>206</v>
      </c>
      <c r="C43" s="488" t="s">
        <v>404</v>
      </c>
      <c r="D43" s="488" t="s">
        <v>396</v>
      </c>
      <c r="E43" s="488">
        <v>15</v>
      </c>
      <c r="F43" s="488">
        <v>224</v>
      </c>
      <c r="G43" s="488">
        <v>99</v>
      </c>
      <c r="H43" s="488">
        <v>125</v>
      </c>
      <c r="I43" s="488">
        <v>8.33</v>
      </c>
      <c r="J43" s="488"/>
      <c r="K43" s="488">
        <v>40</v>
      </c>
      <c r="L43" s="488" t="s">
        <v>227</v>
      </c>
      <c r="M43" s="488" t="s">
        <v>404</v>
      </c>
      <c r="N43" s="488" t="s">
        <v>396</v>
      </c>
      <c r="O43" s="488">
        <v>14</v>
      </c>
      <c r="P43" s="488">
        <v>226</v>
      </c>
      <c r="Q43" s="488">
        <v>74</v>
      </c>
      <c r="R43" s="488">
        <v>5.3</v>
      </c>
    </row>
    <row r="44" spans="1:18" x14ac:dyDescent="0.3">
      <c r="A44" s="488">
        <v>41</v>
      </c>
      <c r="B44" s="488" t="s">
        <v>215</v>
      </c>
      <c r="C44" s="488" t="s">
        <v>18</v>
      </c>
      <c r="D44" s="488" t="s">
        <v>399</v>
      </c>
      <c r="E44" s="488">
        <v>16</v>
      </c>
      <c r="F44" s="488">
        <v>190</v>
      </c>
      <c r="G44" s="488">
        <v>65</v>
      </c>
      <c r="H44" s="488">
        <v>125</v>
      </c>
      <c r="I44" s="488">
        <v>7.81</v>
      </c>
      <c r="J44" s="488"/>
      <c r="K44" s="488">
        <v>41</v>
      </c>
      <c r="L44" s="488" t="s">
        <v>188</v>
      </c>
      <c r="M44" s="488" t="s">
        <v>50</v>
      </c>
      <c r="N44" s="488" t="s">
        <v>396</v>
      </c>
      <c r="O44" s="488">
        <v>10</v>
      </c>
      <c r="P44" s="488">
        <v>188</v>
      </c>
      <c r="Q44" s="488">
        <v>74</v>
      </c>
      <c r="R44" s="488">
        <v>7.4</v>
      </c>
    </row>
    <row r="45" spans="1:18" x14ac:dyDescent="0.3">
      <c r="A45" s="488">
        <v>42</v>
      </c>
      <c r="B45" s="488" t="s">
        <v>331</v>
      </c>
      <c r="C45" s="488" t="s">
        <v>41</v>
      </c>
      <c r="D45" s="488" t="s">
        <v>399</v>
      </c>
      <c r="E45" s="488">
        <v>14</v>
      </c>
      <c r="F45" s="488">
        <v>166</v>
      </c>
      <c r="G45" s="488">
        <v>42</v>
      </c>
      <c r="H45" s="488">
        <v>124</v>
      </c>
      <c r="I45" s="488">
        <v>8.86</v>
      </c>
      <c r="J45" s="488"/>
      <c r="K45" s="488">
        <v>42</v>
      </c>
      <c r="L45" s="488" t="s">
        <v>463</v>
      </c>
      <c r="M45" s="488" t="s">
        <v>43</v>
      </c>
      <c r="N45" s="488" t="s">
        <v>396</v>
      </c>
      <c r="O45" s="488">
        <v>12</v>
      </c>
      <c r="P45" s="488">
        <v>242</v>
      </c>
      <c r="Q45" s="488">
        <v>72</v>
      </c>
      <c r="R45" s="488">
        <v>6</v>
      </c>
    </row>
    <row r="46" spans="1:18" x14ac:dyDescent="0.3">
      <c r="A46" s="488">
        <v>43</v>
      </c>
      <c r="B46" s="488" t="s">
        <v>275</v>
      </c>
      <c r="C46" s="488" t="s">
        <v>32</v>
      </c>
      <c r="D46" s="488" t="s">
        <v>396</v>
      </c>
      <c r="E46" s="488">
        <v>10</v>
      </c>
      <c r="F46" s="488">
        <v>166</v>
      </c>
      <c r="G46" s="488">
        <v>42</v>
      </c>
      <c r="H46" s="488">
        <v>124</v>
      </c>
      <c r="I46" s="488">
        <v>12.4</v>
      </c>
      <c r="J46" s="488"/>
      <c r="K46" s="488">
        <v>43</v>
      </c>
      <c r="L46" s="488" t="s">
        <v>427</v>
      </c>
      <c r="M46" s="488" t="s">
        <v>395</v>
      </c>
      <c r="N46" s="488" t="s">
        <v>396</v>
      </c>
      <c r="O46" s="488">
        <v>17</v>
      </c>
      <c r="P46" s="488">
        <v>206</v>
      </c>
      <c r="Q46" s="488">
        <v>72</v>
      </c>
      <c r="R46" s="488">
        <v>4.2</v>
      </c>
    </row>
    <row r="47" spans="1:18" x14ac:dyDescent="0.3">
      <c r="A47" s="488">
        <v>44</v>
      </c>
      <c r="B47" s="488" t="s">
        <v>262</v>
      </c>
      <c r="C47" s="488" t="s">
        <v>57</v>
      </c>
      <c r="D47" s="488" t="s">
        <v>396</v>
      </c>
      <c r="E47" s="488">
        <v>11</v>
      </c>
      <c r="F47" s="488">
        <v>157</v>
      </c>
      <c r="G47" s="488">
        <v>37</v>
      </c>
      <c r="H47" s="488">
        <v>120</v>
      </c>
      <c r="I47" s="488">
        <v>10.91</v>
      </c>
      <c r="J47" s="488"/>
      <c r="K47" s="488">
        <v>44</v>
      </c>
      <c r="L47" s="488" t="s">
        <v>241</v>
      </c>
      <c r="M47" s="488" t="s">
        <v>407</v>
      </c>
      <c r="N47" s="488" t="s">
        <v>396</v>
      </c>
      <c r="O47" s="488">
        <v>17</v>
      </c>
      <c r="P47" s="488">
        <v>229</v>
      </c>
      <c r="Q47" s="488">
        <v>71</v>
      </c>
      <c r="R47" s="488">
        <v>4.2</v>
      </c>
    </row>
    <row r="48" spans="1:18" x14ac:dyDescent="0.3">
      <c r="A48" s="488">
        <v>45</v>
      </c>
      <c r="B48" s="488" t="s">
        <v>202</v>
      </c>
      <c r="C48" s="488" t="s">
        <v>12</v>
      </c>
      <c r="D48" s="488" t="s">
        <v>396</v>
      </c>
      <c r="E48" s="488">
        <v>13</v>
      </c>
      <c r="F48" s="488">
        <v>179</v>
      </c>
      <c r="G48" s="488">
        <v>61</v>
      </c>
      <c r="H48" s="488">
        <v>118</v>
      </c>
      <c r="I48" s="488">
        <v>9.08</v>
      </c>
      <c r="J48" s="488"/>
      <c r="K48" s="488">
        <v>45</v>
      </c>
      <c r="L48" s="488" t="s">
        <v>260</v>
      </c>
      <c r="M48" s="488" t="s">
        <v>28</v>
      </c>
      <c r="N48" s="488" t="s">
        <v>396</v>
      </c>
      <c r="O48" s="488">
        <v>9</v>
      </c>
      <c r="P48" s="488">
        <v>164</v>
      </c>
      <c r="Q48" s="488">
        <v>71</v>
      </c>
      <c r="R48" s="488">
        <v>7.9</v>
      </c>
    </row>
    <row r="49" spans="1:18" x14ac:dyDescent="0.3">
      <c r="A49" s="488">
        <v>46</v>
      </c>
      <c r="B49" s="488" t="s">
        <v>219</v>
      </c>
      <c r="C49" s="488" t="s">
        <v>24</v>
      </c>
      <c r="D49" s="488" t="s">
        <v>396</v>
      </c>
      <c r="E49" s="488">
        <v>9</v>
      </c>
      <c r="F49" s="488">
        <v>134</v>
      </c>
      <c r="G49" s="488">
        <v>16</v>
      </c>
      <c r="H49" s="488">
        <v>118</v>
      </c>
      <c r="I49" s="488">
        <v>13.11</v>
      </c>
      <c r="J49" s="488"/>
      <c r="K49" s="488">
        <v>46</v>
      </c>
      <c r="L49" s="488" t="s">
        <v>2510</v>
      </c>
      <c r="M49" s="488" t="s">
        <v>14</v>
      </c>
      <c r="N49" s="488" t="s">
        <v>396</v>
      </c>
      <c r="O49" s="488">
        <v>14</v>
      </c>
      <c r="P49" s="488">
        <v>244</v>
      </c>
      <c r="Q49" s="488">
        <v>70</v>
      </c>
      <c r="R49" s="488">
        <v>5</v>
      </c>
    </row>
    <row r="50" spans="1:18" x14ac:dyDescent="0.3">
      <c r="A50" s="488">
        <v>47</v>
      </c>
      <c r="B50" s="488" t="s">
        <v>332</v>
      </c>
      <c r="C50" s="488" t="s">
        <v>26</v>
      </c>
      <c r="D50" s="488" t="s">
        <v>399</v>
      </c>
      <c r="E50" s="488">
        <v>14</v>
      </c>
      <c r="F50" s="488">
        <v>168</v>
      </c>
      <c r="G50" s="488">
        <v>53</v>
      </c>
      <c r="H50" s="488">
        <v>115</v>
      </c>
      <c r="I50" s="488">
        <v>8.2100000000000009</v>
      </c>
      <c r="J50" s="488"/>
      <c r="K50" s="488">
        <v>47</v>
      </c>
      <c r="L50" s="488" t="s">
        <v>361</v>
      </c>
      <c r="M50" s="488" t="s">
        <v>12</v>
      </c>
      <c r="N50" s="488" t="s">
        <v>399</v>
      </c>
      <c r="O50" s="488">
        <v>7</v>
      </c>
      <c r="P50" s="488">
        <v>85</v>
      </c>
      <c r="Q50" s="488">
        <v>70</v>
      </c>
      <c r="R50" s="488">
        <v>10</v>
      </c>
    </row>
    <row r="51" spans="1:18" x14ac:dyDescent="0.3">
      <c r="A51" s="488">
        <v>48</v>
      </c>
      <c r="B51" s="488" t="s">
        <v>456</v>
      </c>
      <c r="C51" s="488" t="s">
        <v>37</v>
      </c>
      <c r="D51" s="488" t="s">
        <v>396</v>
      </c>
      <c r="E51" s="488">
        <v>11</v>
      </c>
      <c r="F51" s="488">
        <v>195</v>
      </c>
      <c r="G51" s="488">
        <v>80</v>
      </c>
      <c r="H51" s="488">
        <v>115</v>
      </c>
      <c r="I51" s="488">
        <v>10.45</v>
      </c>
      <c r="J51" s="488"/>
      <c r="K51" s="488">
        <v>48</v>
      </c>
      <c r="L51" s="488" t="s">
        <v>119</v>
      </c>
      <c r="M51" s="488" t="s">
        <v>407</v>
      </c>
      <c r="N51" s="488" t="s">
        <v>394</v>
      </c>
      <c r="O51" s="488">
        <v>7</v>
      </c>
      <c r="P51" s="488">
        <v>61</v>
      </c>
      <c r="Q51" s="488">
        <v>69</v>
      </c>
      <c r="R51" s="488">
        <v>9.9</v>
      </c>
    </row>
    <row r="52" spans="1:18" x14ac:dyDescent="0.3">
      <c r="A52" s="488">
        <v>49</v>
      </c>
      <c r="B52" s="488" t="s">
        <v>269</v>
      </c>
      <c r="C52" s="488" t="s">
        <v>34</v>
      </c>
      <c r="D52" s="488" t="s">
        <v>396</v>
      </c>
      <c r="E52" s="488">
        <v>17</v>
      </c>
      <c r="F52" s="488">
        <v>183</v>
      </c>
      <c r="G52" s="488">
        <v>69</v>
      </c>
      <c r="H52" s="488">
        <v>114</v>
      </c>
      <c r="I52" s="488">
        <v>6.71</v>
      </c>
      <c r="J52" s="488"/>
      <c r="K52" s="488">
        <v>49</v>
      </c>
      <c r="L52" s="488" t="s">
        <v>269</v>
      </c>
      <c r="M52" s="488" t="s">
        <v>34</v>
      </c>
      <c r="N52" s="488" t="s">
        <v>396</v>
      </c>
      <c r="O52" s="488">
        <v>17</v>
      </c>
      <c r="P52" s="488">
        <v>183</v>
      </c>
      <c r="Q52" s="488">
        <v>69</v>
      </c>
      <c r="R52" s="488">
        <v>4.0999999999999996</v>
      </c>
    </row>
    <row r="53" spans="1:18" x14ac:dyDescent="0.3">
      <c r="A53" s="488">
        <v>50</v>
      </c>
      <c r="B53" s="488" t="s">
        <v>188</v>
      </c>
      <c r="C53" s="488" t="s">
        <v>50</v>
      </c>
      <c r="D53" s="488" t="s">
        <v>396</v>
      </c>
      <c r="E53" s="488">
        <v>10</v>
      </c>
      <c r="F53" s="488">
        <v>188</v>
      </c>
      <c r="G53" s="488">
        <v>74</v>
      </c>
      <c r="H53" s="488">
        <v>114</v>
      </c>
      <c r="I53" s="488">
        <v>11.4</v>
      </c>
      <c r="J53" s="488"/>
      <c r="K53" s="488">
        <v>50</v>
      </c>
      <c r="L53" s="488" t="s">
        <v>208</v>
      </c>
      <c r="M53" s="488" t="s">
        <v>46</v>
      </c>
      <c r="N53" s="488" t="s">
        <v>396</v>
      </c>
      <c r="O53" s="488">
        <v>14</v>
      </c>
      <c r="P53" s="488">
        <v>271</v>
      </c>
      <c r="Q53" s="488">
        <v>68</v>
      </c>
      <c r="R53" s="488">
        <v>4.9000000000000004</v>
      </c>
    </row>
    <row r="54" spans="1:18" x14ac:dyDescent="0.3">
      <c r="A54" s="488">
        <v>51</v>
      </c>
      <c r="B54" s="488" t="s">
        <v>1660</v>
      </c>
      <c r="C54" s="488" t="s">
        <v>32</v>
      </c>
      <c r="D54" s="488" t="s">
        <v>396</v>
      </c>
      <c r="E54" s="488">
        <v>16</v>
      </c>
      <c r="F54" s="488">
        <v>170</v>
      </c>
      <c r="G54" s="488">
        <v>57</v>
      </c>
      <c r="H54" s="488">
        <v>113</v>
      </c>
      <c r="I54" s="488">
        <v>7.06</v>
      </c>
      <c r="J54" s="488"/>
      <c r="K54" s="488">
        <v>51</v>
      </c>
      <c r="L54" s="488" t="s">
        <v>216</v>
      </c>
      <c r="M54" s="488" t="s">
        <v>395</v>
      </c>
      <c r="N54" s="488" t="s">
        <v>396</v>
      </c>
      <c r="O54" s="488">
        <v>12</v>
      </c>
      <c r="P54" s="488">
        <v>132</v>
      </c>
      <c r="Q54" s="488">
        <v>66</v>
      </c>
      <c r="R54" s="488">
        <v>5.5</v>
      </c>
    </row>
    <row r="55" spans="1:18" x14ac:dyDescent="0.3">
      <c r="A55" s="488">
        <v>52</v>
      </c>
      <c r="B55" s="488" t="s">
        <v>292</v>
      </c>
      <c r="C55" s="488" t="s">
        <v>41</v>
      </c>
      <c r="D55" s="488" t="s">
        <v>396</v>
      </c>
      <c r="E55" s="488">
        <v>11</v>
      </c>
      <c r="F55" s="488">
        <v>124</v>
      </c>
      <c r="G55" s="488">
        <v>15</v>
      </c>
      <c r="H55" s="488">
        <v>109</v>
      </c>
      <c r="I55" s="488">
        <v>9.91</v>
      </c>
      <c r="J55" s="488"/>
      <c r="K55" s="488">
        <v>52</v>
      </c>
      <c r="L55" s="488" t="s">
        <v>212</v>
      </c>
      <c r="M55" s="488" t="s">
        <v>26</v>
      </c>
      <c r="N55" s="488" t="s">
        <v>396</v>
      </c>
      <c r="O55" s="488">
        <v>13</v>
      </c>
      <c r="P55" s="488">
        <v>94</v>
      </c>
      <c r="Q55" s="488">
        <v>66</v>
      </c>
      <c r="R55" s="488">
        <v>5.0999999999999996</v>
      </c>
    </row>
    <row r="56" spans="1:18" x14ac:dyDescent="0.3">
      <c r="A56" s="488">
        <v>53</v>
      </c>
      <c r="B56" s="488" t="s">
        <v>190</v>
      </c>
      <c r="C56" s="488" t="s">
        <v>34</v>
      </c>
      <c r="D56" s="488" t="s">
        <v>396</v>
      </c>
      <c r="E56" s="488">
        <v>12</v>
      </c>
      <c r="F56" s="488">
        <v>160</v>
      </c>
      <c r="G56" s="488">
        <v>52</v>
      </c>
      <c r="H56" s="488">
        <v>108</v>
      </c>
      <c r="I56" s="488">
        <v>9</v>
      </c>
      <c r="J56" s="488"/>
      <c r="K56" s="488">
        <v>53</v>
      </c>
      <c r="L56" s="488" t="s">
        <v>215</v>
      </c>
      <c r="M56" s="488" t="s">
        <v>18</v>
      </c>
      <c r="N56" s="488" t="s">
        <v>399</v>
      </c>
      <c r="O56" s="488">
        <v>16</v>
      </c>
      <c r="P56" s="488">
        <v>190</v>
      </c>
      <c r="Q56" s="488">
        <v>65</v>
      </c>
      <c r="R56" s="488">
        <v>4.0999999999999996</v>
      </c>
    </row>
    <row r="57" spans="1:18" x14ac:dyDescent="0.3">
      <c r="A57" s="488">
        <v>54</v>
      </c>
      <c r="B57" s="488" t="s">
        <v>258</v>
      </c>
      <c r="C57" s="488" t="s">
        <v>57</v>
      </c>
      <c r="D57" s="488" t="s">
        <v>396</v>
      </c>
      <c r="E57" s="488">
        <v>8</v>
      </c>
      <c r="F57" s="488">
        <v>131</v>
      </c>
      <c r="G57" s="488">
        <v>26</v>
      </c>
      <c r="H57" s="488">
        <v>105</v>
      </c>
      <c r="I57" s="488">
        <v>13.13</v>
      </c>
      <c r="J57" s="488"/>
      <c r="K57" s="488">
        <v>54</v>
      </c>
      <c r="L57" s="488" t="s">
        <v>187</v>
      </c>
      <c r="M57" s="488" t="s">
        <v>20</v>
      </c>
      <c r="N57" s="488" t="s">
        <v>396</v>
      </c>
      <c r="O57" s="488">
        <v>24</v>
      </c>
      <c r="P57" s="488">
        <v>305</v>
      </c>
      <c r="Q57" s="488">
        <v>65</v>
      </c>
      <c r="R57" s="488">
        <v>2.7</v>
      </c>
    </row>
    <row r="58" spans="1:18" x14ac:dyDescent="0.3">
      <c r="A58" s="488">
        <v>55</v>
      </c>
      <c r="B58" s="488" t="s">
        <v>532</v>
      </c>
      <c r="C58" s="488" t="s">
        <v>32</v>
      </c>
      <c r="D58" s="488" t="s">
        <v>399</v>
      </c>
      <c r="E58" s="488">
        <v>18</v>
      </c>
      <c r="F58" s="488">
        <v>183</v>
      </c>
      <c r="G58" s="488">
        <v>81</v>
      </c>
      <c r="H58" s="488">
        <v>102</v>
      </c>
      <c r="I58" s="488">
        <v>5.67</v>
      </c>
      <c r="J58" s="488"/>
      <c r="K58" s="488">
        <v>55</v>
      </c>
      <c r="L58" s="488" t="s">
        <v>338</v>
      </c>
      <c r="M58" s="488" t="s">
        <v>398</v>
      </c>
      <c r="N58" s="488" t="s">
        <v>399</v>
      </c>
      <c r="O58" s="488">
        <v>5</v>
      </c>
      <c r="P58" s="488">
        <v>93</v>
      </c>
      <c r="Q58" s="488">
        <v>65</v>
      </c>
      <c r="R58" s="488">
        <v>13</v>
      </c>
    </row>
    <row r="59" spans="1:18" x14ac:dyDescent="0.3">
      <c r="A59" s="488">
        <v>56</v>
      </c>
      <c r="B59" s="488" t="s">
        <v>1350</v>
      </c>
      <c r="C59" s="488" t="s">
        <v>22</v>
      </c>
      <c r="D59" s="488" t="s">
        <v>396</v>
      </c>
      <c r="E59" s="488">
        <v>6</v>
      </c>
      <c r="F59" s="488">
        <v>118</v>
      </c>
      <c r="G59" s="488">
        <v>17</v>
      </c>
      <c r="H59" s="488">
        <v>101</v>
      </c>
      <c r="I59" s="488">
        <v>16.829999999999998</v>
      </c>
      <c r="J59" s="488"/>
      <c r="K59" s="488">
        <v>56</v>
      </c>
      <c r="L59" s="488" t="s">
        <v>211</v>
      </c>
      <c r="M59" s="488" t="s">
        <v>39</v>
      </c>
      <c r="N59" s="488" t="s">
        <v>396</v>
      </c>
      <c r="O59" s="488">
        <v>15</v>
      </c>
      <c r="P59" s="488">
        <v>204</v>
      </c>
      <c r="Q59" s="488">
        <v>64</v>
      </c>
      <c r="R59" s="488">
        <v>4.3</v>
      </c>
    </row>
    <row r="60" spans="1:18" x14ac:dyDescent="0.3">
      <c r="A60" s="488">
        <v>57</v>
      </c>
      <c r="B60" s="488" t="s">
        <v>291</v>
      </c>
      <c r="C60" s="488" t="s">
        <v>24</v>
      </c>
      <c r="D60" s="488" t="s">
        <v>396</v>
      </c>
      <c r="E60" s="488">
        <v>6</v>
      </c>
      <c r="F60" s="488">
        <v>145</v>
      </c>
      <c r="G60" s="488">
        <v>46</v>
      </c>
      <c r="H60" s="488">
        <v>99</v>
      </c>
      <c r="I60" s="488">
        <v>16.5</v>
      </c>
      <c r="J60" s="488"/>
      <c r="K60" s="488">
        <v>57</v>
      </c>
      <c r="L60" s="488" t="s">
        <v>204</v>
      </c>
      <c r="M60" s="488" t="s">
        <v>4</v>
      </c>
      <c r="N60" s="488" t="s">
        <v>396</v>
      </c>
      <c r="O60" s="488">
        <v>19</v>
      </c>
      <c r="P60" s="488">
        <v>220</v>
      </c>
      <c r="Q60" s="488">
        <v>63</v>
      </c>
      <c r="R60" s="488">
        <v>3.3</v>
      </c>
    </row>
    <row r="61" spans="1:18" x14ac:dyDescent="0.3">
      <c r="A61" s="488">
        <v>58</v>
      </c>
      <c r="B61" s="488" t="s">
        <v>220</v>
      </c>
      <c r="C61" s="488" t="s">
        <v>18</v>
      </c>
      <c r="D61" s="488" t="s">
        <v>396</v>
      </c>
      <c r="E61" s="488">
        <v>13</v>
      </c>
      <c r="F61" s="488">
        <v>135</v>
      </c>
      <c r="G61" s="488">
        <v>38</v>
      </c>
      <c r="H61" s="488">
        <v>97</v>
      </c>
      <c r="I61" s="488">
        <v>7.46</v>
      </c>
      <c r="J61" s="488"/>
      <c r="K61" s="488">
        <v>58</v>
      </c>
      <c r="L61" s="488" t="s">
        <v>276</v>
      </c>
      <c r="M61" s="488" t="s">
        <v>402</v>
      </c>
      <c r="N61" s="488" t="s">
        <v>396</v>
      </c>
      <c r="O61" s="488">
        <v>8</v>
      </c>
      <c r="P61" s="488">
        <v>122</v>
      </c>
      <c r="Q61" s="488">
        <v>63</v>
      </c>
      <c r="R61" s="488">
        <v>7.9</v>
      </c>
    </row>
    <row r="62" spans="1:18" x14ac:dyDescent="0.3">
      <c r="A62" s="488">
        <v>59</v>
      </c>
      <c r="B62" s="488" t="s">
        <v>432</v>
      </c>
      <c r="C62" s="488" t="s">
        <v>46</v>
      </c>
      <c r="D62" s="488" t="s">
        <v>396</v>
      </c>
      <c r="E62" s="488">
        <v>13</v>
      </c>
      <c r="F62" s="488">
        <v>132</v>
      </c>
      <c r="G62" s="488">
        <v>36</v>
      </c>
      <c r="H62" s="488">
        <v>96</v>
      </c>
      <c r="I62" s="488">
        <v>7.38</v>
      </c>
      <c r="J62" s="488"/>
      <c r="K62" s="488">
        <v>59</v>
      </c>
      <c r="L62" s="488" t="s">
        <v>335</v>
      </c>
      <c r="M62" s="488" t="s">
        <v>50</v>
      </c>
      <c r="N62" s="488" t="s">
        <v>399</v>
      </c>
      <c r="O62" s="488">
        <v>14</v>
      </c>
      <c r="P62" s="488">
        <v>154</v>
      </c>
      <c r="Q62" s="488">
        <v>62</v>
      </c>
      <c r="R62" s="488">
        <v>4.4000000000000004</v>
      </c>
    </row>
    <row r="63" spans="1:18" x14ac:dyDescent="0.3">
      <c r="A63" s="488">
        <v>60</v>
      </c>
      <c r="B63" s="488" t="s">
        <v>260</v>
      </c>
      <c r="C63" s="488" t="s">
        <v>28</v>
      </c>
      <c r="D63" s="488" t="s">
        <v>396</v>
      </c>
      <c r="E63" s="488">
        <v>9</v>
      </c>
      <c r="F63" s="488">
        <v>164</v>
      </c>
      <c r="G63" s="488">
        <v>71</v>
      </c>
      <c r="H63" s="488">
        <v>93</v>
      </c>
      <c r="I63" s="488">
        <v>10.33</v>
      </c>
      <c r="J63" s="488"/>
      <c r="K63" s="488">
        <v>60</v>
      </c>
      <c r="L63" s="488" t="s">
        <v>214</v>
      </c>
      <c r="M63" s="488" t="s">
        <v>409</v>
      </c>
      <c r="N63" s="488" t="s">
        <v>396</v>
      </c>
      <c r="O63" s="488">
        <v>14</v>
      </c>
      <c r="P63" s="488">
        <v>145</v>
      </c>
      <c r="Q63" s="488">
        <v>62</v>
      </c>
      <c r="R63" s="488">
        <v>4.4000000000000004</v>
      </c>
    </row>
    <row r="64" spans="1:18" x14ac:dyDescent="0.3">
      <c r="A64" s="488">
        <v>61</v>
      </c>
      <c r="B64" s="488" t="s">
        <v>264</v>
      </c>
      <c r="C64" s="488" t="s">
        <v>404</v>
      </c>
      <c r="D64" s="488" t="s">
        <v>396</v>
      </c>
      <c r="E64" s="488">
        <v>9</v>
      </c>
      <c r="F64" s="488">
        <v>93</v>
      </c>
      <c r="G64" s="488">
        <v>1</v>
      </c>
      <c r="H64" s="488">
        <v>92</v>
      </c>
      <c r="I64" s="488">
        <v>10.220000000000001</v>
      </c>
      <c r="J64" s="488"/>
      <c r="K64" s="488">
        <v>61</v>
      </c>
      <c r="L64" s="488" t="s">
        <v>237</v>
      </c>
      <c r="M64" s="488" t="s">
        <v>409</v>
      </c>
      <c r="N64" s="488" t="s">
        <v>396</v>
      </c>
      <c r="O64" s="488">
        <v>14</v>
      </c>
      <c r="P64" s="488">
        <v>199</v>
      </c>
      <c r="Q64" s="488">
        <v>61</v>
      </c>
      <c r="R64" s="488">
        <v>4.4000000000000004</v>
      </c>
    </row>
    <row r="65" spans="1:18" x14ac:dyDescent="0.3">
      <c r="A65" s="488">
        <v>62</v>
      </c>
      <c r="B65" s="488" t="s">
        <v>335</v>
      </c>
      <c r="C65" s="488" t="s">
        <v>50</v>
      </c>
      <c r="D65" s="488" t="s">
        <v>399</v>
      </c>
      <c r="E65" s="488">
        <v>14</v>
      </c>
      <c r="F65" s="488">
        <v>154</v>
      </c>
      <c r="G65" s="488">
        <v>62</v>
      </c>
      <c r="H65" s="488">
        <v>92</v>
      </c>
      <c r="I65" s="488">
        <v>6.57</v>
      </c>
      <c r="J65" s="488"/>
      <c r="K65" s="488">
        <v>62</v>
      </c>
      <c r="L65" s="488" t="s">
        <v>202</v>
      </c>
      <c r="M65" s="488" t="s">
        <v>12</v>
      </c>
      <c r="N65" s="488" t="s">
        <v>396</v>
      </c>
      <c r="O65" s="488">
        <v>13</v>
      </c>
      <c r="P65" s="488">
        <v>179</v>
      </c>
      <c r="Q65" s="488">
        <v>61</v>
      </c>
      <c r="R65" s="488">
        <v>4.7</v>
      </c>
    </row>
    <row r="66" spans="1:18" x14ac:dyDescent="0.3">
      <c r="A66" s="488">
        <v>63</v>
      </c>
      <c r="B66" s="488" t="s">
        <v>326</v>
      </c>
      <c r="C66" s="488" t="s">
        <v>12</v>
      </c>
      <c r="D66" s="488" t="s">
        <v>399</v>
      </c>
      <c r="E66" s="488">
        <v>11</v>
      </c>
      <c r="F66" s="488">
        <v>148</v>
      </c>
      <c r="G66" s="488">
        <v>59</v>
      </c>
      <c r="H66" s="488">
        <v>89</v>
      </c>
      <c r="I66" s="488">
        <v>8.09</v>
      </c>
      <c r="J66" s="488"/>
      <c r="K66" s="488">
        <v>63</v>
      </c>
      <c r="L66" s="488" t="s">
        <v>454</v>
      </c>
      <c r="M66" s="488" t="s">
        <v>37</v>
      </c>
      <c r="N66" s="488" t="s">
        <v>396</v>
      </c>
      <c r="O66" s="488">
        <v>16</v>
      </c>
      <c r="P66" s="488">
        <v>233</v>
      </c>
      <c r="Q66" s="488">
        <v>60</v>
      </c>
      <c r="R66" s="488">
        <v>3.8</v>
      </c>
    </row>
    <row r="67" spans="1:18" x14ac:dyDescent="0.3">
      <c r="A67" s="488">
        <v>64</v>
      </c>
      <c r="B67" s="488" t="s">
        <v>228</v>
      </c>
      <c r="C67" s="488" t="s">
        <v>402</v>
      </c>
      <c r="D67" s="488" t="s">
        <v>396</v>
      </c>
      <c r="E67" s="488">
        <v>9</v>
      </c>
      <c r="F67" s="488">
        <v>119</v>
      </c>
      <c r="G67" s="488">
        <v>31</v>
      </c>
      <c r="H67" s="488">
        <v>88</v>
      </c>
      <c r="I67" s="488">
        <v>9.7799999999999994</v>
      </c>
      <c r="J67" s="488"/>
      <c r="K67" s="488">
        <v>64</v>
      </c>
      <c r="L67" s="488" t="s">
        <v>430</v>
      </c>
      <c r="M67" s="488" t="s">
        <v>57</v>
      </c>
      <c r="N67" s="488" t="s">
        <v>394</v>
      </c>
      <c r="O67" s="488">
        <v>3</v>
      </c>
      <c r="P67" s="488">
        <v>62</v>
      </c>
      <c r="Q67" s="488">
        <v>60</v>
      </c>
      <c r="R67" s="488">
        <v>20</v>
      </c>
    </row>
    <row r="68" spans="1:18" x14ac:dyDescent="0.3">
      <c r="A68" s="488">
        <v>65</v>
      </c>
      <c r="B68" s="488" t="s">
        <v>323</v>
      </c>
      <c r="C68" s="488" t="s">
        <v>397</v>
      </c>
      <c r="D68" s="488" t="s">
        <v>399</v>
      </c>
      <c r="E68" s="488">
        <v>17</v>
      </c>
      <c r="F68" s="488">
        <v>197</v>
      </c>
      <c r="G68" s="488">
        <v>109</v>
      </c>
      <c r="H68" s="488">
        <v>88</v>
      </c>
      <c r="I68" s="488">
        <v>5.18</v>
      </c>
      <c r="J68" s="488"/>
      <c r="K68" s="488">
        <v>65</v>
      </c>
      <c r="L68" s="488" t="s">
        <v>326</v>
      </c>
      <c r="M68" s="488" t="s">
        <v>12</v>
      </c>
      <c r="N68" s="488" t="s">
        <v>399</v>
      </c>
      <c r="O68" s="488">
        <v>11</v>
      </c>
      <c r="P68" s="488">
        <v>148</v>
      </c>
      <c r="Q68" s="488">
        <v>59</v>
      </c>
      <c r="R68" s="488">
        <v>5.4</v>
      </c>
    </row>
    <row r="69" spans="1:18" x14ac:dyDescent="0.3">
      <c r="A69" s="488">
        <v>66</v>
      </c>
      <c r="B69" s="488" t="s">
        <v>198</v>
      </c>
      <c r="C69" s="488" t="s">
        <v>402</v>
      </c>
      <c r="D69" s="488" t="s">
        <v>396</v>
      </c>
      <c r="E69" s="488">
        <v>18</v>
      </c>
      <c r="F69" s="488">
        <v>180</v>
      </c>
      <c r="G69" s="488">
        <v>92</v>
      </c>
      <c r="H69" s="488">
        <v>88</v>
      </c>
      <c r="I69" s="488">
        <v>4.8899999999999997</v>
      </c>
      <c r="J69" s="488"/>
      <c r="K69" s="488">
        <v>66</v>
      </c>
      <c r="L69" s="488" t="s">
        <v>110</v>
      </c>
      <c r="M69" s="488" t="s">
        <v>26</v>
      </c>
      <c r="N69" s="488" t="s">
        <v>394</v>
      </c>
      <c r="O69" s="488">
        <v>5</v>
      </c>
      <c r="P69" s="488">
        <v>57</v>
      </c>
      <c r="Q69" s="488">
        <v>59</v>
      </c>
      <c r="R69" s="488">
        <v>11.8</v>
      </c>
    </row>
    <row r="70" spans="1:18" x14ac:dyDescent="0.3">
      <c r="A70" s="488">
        <v>67</v>
      </c>
      <c r="B70" s="488" t="s">
        <v>243</v>
      </c>
      <c r="C70" s="488" t="s">
        <v>398</v>
      </c>
      <c r="D70" s="488" t="s">
        <v>396</v>
      </c>
      <c r="E70" s="488">
        <v>8</v>
      </c>
      <c r="F70" s="488">
        <v>103</v>
      </c>
      <c r="G70" s="488">
        <v>16</v>
      </c>
      <c r="H70" s="488">
        <v>87</v>
      </c>
      <c r="I70" s="488">
        <v>10.88</v>
      </c>
      <c r="J70" s="488"/>
      <c r="K70" s="488">
        <v>67</v>
      </c>
      <c r="L70" s="488" t="s">
        <v>92</v>
      </c>
      <c r="M70" s="488" t="s">
        <v>12</v>
      </c>
      <c r="N70" s="488" t="s">
        <v>394</v>
      </c>
      <c r="O70" s="488">
        <v>14</v>
      </c>
      <c r="P70" s="488">
        <v>51</v>
      </c>
      <c r="Q70" s="488">
        <v>59</v>
      </c>
      <c r="R70" s="488">
        <v>4.2</v>
      </c>
    </row>
    <row r="71" spans="1:18" x14ac:dyDescent="0.3">
      <c r="A71" s="488">
        <v>68</v>
      </c>
      <c r="B71" s="488" t="s">
        <v>233</v>
      </c>
      <c r="C71" s="488" t="s">
        <v>401</v>
      </c>
      <c r="D71" s="488" t="s">
        <v>396</v>
      </c>
      <c r="E71" s="488">
        <v>9</v>
      </c>
      <c r="F71" s="488">
        <v>99</v>
      </c>
      <c r="G71" s="488">
        <v>13</v>
      </c>
      <c r="H71" s="488">
        <v>86</v>
      </c>
      <c r="I71" s="488">
        <v>9.56</v>
      </c>
      <c r="J71" s="488"/>
      <c r="K71" s="488">
        <v>68</v>
      </c>
      <c r="L71" s="488" t="s">
        <v>93</v>
      </c>
      <c r="M71" s="488" t="s">
        <v>10</v>
      </c>
      <c r="N71" s="488" t="s">
        <v>394</v>
      </c>
      <c r="O71" s="488">
        <v>11</v>
      </c>
      <c r="P71" s="488">
        <v>49</v>
      </c>
      <c r="Q71" s="488">
        <v>59</v>
      </c>
      <c r="R71" s="488">
        <v>5.4</v>
      </c>
    </row>
    <row r="72" spans="1:18" x14ac:dyDescent="0.3">
      <c r="A72" s="488">
        <v>69</v>
      </c>
      <c r="B72" s="488" t="s">
        <v>357</v>
      </c>
      <c r="C72" s="488" t="s">
        <v>16</v>
      </c>
      <c r="D72" s="488" t="s">
        <v>399</v>
      </c>
      <c r="E72" s="488">
        <v>9</v>
      </c>
      <c r="F72" s="488">
        <v>113</v>
      </c>
      <c r="G72" s="488">
        <v>29</v>
      </c>
      <c r="H72" s="488">
        <v>84</v>
      </c>
      <c r="I72" s="488">
        <v>9.33</v>
      </c>
      <c r="J72" s="488"/>
      <c r="K72" s="488">
        <v>69</v>
      </c>
      <c r="L72" s="488" t="s">
        <v>457</v>
      </c>
      <c r="M72" s="488" t="s">
        <v>404</v>
      </c>
      <c r="N72" s="488" t="s">
        <v>396</v>
      </c>
      <c r="O72" s="488">
        <v>17</v>
      </c>
      <c r="P72" s="488">
        <v>185</v>
      </c>
      <c r="Q72" s="488">
        <v>58</v>
      </c>
      <c r="R72" s="488">
        <v>3.4</v>
      </c>
    </row>
    <row r="73" spans="1:18" x14ac:dyDescent="0.3">
      <c r="A73" s="488">
        <v>70</v>
      </c>
      <c r="B73" s="488" t="s">
        <v>214</v>
      </c>
      <c r="C73" s="488" t="s">
        <v>409</v>
      </c>
      <c r="D73" s="488" t="s">
        <v>396</v>
      </c>
      <c r="E73" s="488">
        <v>14</v>
      </c>
      <c r="F73" s="488">
        <v>145</v>
      </c>
      <c r="G73" s="488">
        <v>62</v>
      </c>
      <c r="H73" s="488">
        <v>83</v>
      </c>
      <c r="I73" s="488">
        <v>5.93</v>
      </c>
      <c r="J73" s="488"/>
      <c r="K73" s="488">
        <v>70</v>
      </c>
      <c r="L73" s="488" t="s">
        <v>203</v>
      </c>
      <c r="M73" s="488" t="s">
        <v>70</v>
      </c>
      <c r="N73" s="488" t="s">
        <v>396</v>
      </c>
      <c r="O73" s="488">
        <v>17</v>
      </c>
      <c r="P73" s="488">
        <v>205</v>
      </c>
      <c r="Q73" s="488">
        <v>58</v>
      </c>
      <c r="R73" s="488">
        <v>3.4</v>
      </c>
    </row>
    <row r="74" spans="1:18" x14ac:dyDescent="0.3">
      <c r="A74" s="488">
        <v>71</v>
      </c>
      <c r="B74" s="488" t="s">
        <v>239</v>
      </c>
      <c r="C74" s="488" t="s">
        <v>30</v>
      </c>
      <c r="D74" s="488" t="s">
        <v>396</v>
      </c>
      <c r="E74" s="488">
        <v>10</v>
      </c>
      <c r="F74" s="488">
        <v>98</v>
      </c>
      <c r="G74" s="488">
        <v>16</v>
      </c>
      <c r="H74" s="488">
        <v>82</v>
      </c>
      <c r="I74" s="488">
        <v>8.1999999999999993</v>
      </c>
      <c r="J74" s="488"/>
      <c r="K74" s="488">
        <v>71</v>
      </c>
      <c r="L74" s="488" t="s">
        <v>1660</v>
      </c>
      <c r="M74" s="488" t="s">
        <v>32</v>
      </c>
      <c r="N74" s="488" t="s">
        <v>396</v>
      </c>
      <c r="O74" s="488">
        <v>16</v>
      </c>
      <c r="P74" s="488">
        <v>170</v>
      </c>
      <c r="Q74" s="488">
        <v>57</v>
      </c>
      <c r="R74" s="488">
        <v>3.6</v>
      </c>
    </row>
    <row r="75" spans="1:18" x14ac:dyDescent="0.3">
      <c r="A75" s="488">
        <v>72</v>
      </c>
      <c r="B75" s="488" t="s">
        <v>465</v>
      </c>
      <c r="C75" s="488" t="s">
        <v>28</v>
      </c>
      <c r="D75" s="488" t="s">
        <v>396</v>
      </c>
      <c r="E75" s="488">
        <v>11</v>
      </c>
      <c r="F75" s="488">
        <v>120</v>
      </c>
      <c r="G75" s="488">
        <v>38</v>
      </c>
      <c r="H75" s="488">
        <v>82</v>
      </c>
      <c r="I75" s="488">
        <v>7.45</v>
      </c>
      <c r="J75" s="488"/>
      <c r="K75" s="488">
        <v>72</v>
      </c>
      <c r="L75" s="488" t="s">
        <v>368</v>
      </c>
      <c r="M75" s="488" t="s">
        <v>16</v>
      </c>
      <c r="N75" s="488" t="s">
        <v>399</v>
      </c>
      <c r="O75" s="488">
        <v>13</v>
      </c>
      <c r="P75" s="488">
        <v>137</v>
      </c>
      <c r="Q75" s="488">
        <v>56</v>
      </c>
      <c r="R75" s="488">
        <v>4.3</v>
      </c>
    </row>
    <row r="76" spans="1:18" x14ac:dyDescent="0.3">
      <c r="A76" s="488">
        <v>73</v>
      </c>
      <c r="B76" s="488" t="s">
        <v>306</v>
      </c>
      <c r="C76" s="488" t="s">
        <v>10</v>
      </c>
      <c r="D76" s="488" t="s">
        <v>396</v>
      </c>
      <c r="E76" s="488">
        <v>3</v>
      </c>
      <c r="F76" s="488">
        <v>118</v>
      </c>
      <c r="G76" s="488">
        <v>36</v>
      </c>
      <c r="H76" s="488">
        <v>82</v>
      </c>
      <c r="I76" s="488">
        <v>27.33</v>
      </c>
      <c r="J76" s="488"/>
      <c r="K76" s="488">
        <v>73</v>
      </c>
      <c r="L76" s="488" t="s">
        <v>464</v>
      </c>
      <c r="M76" s="488" t="s">
        <v>46</v>
      </c>
      <c r="N76" s="488" t="s">
        <v>394</v>
      </c>
      <c r="O76" s="488">
        <v>6</v>
      </c>
      <c r="P76" s="488">
        <v>56</v>
      </c>
      <c r="Q76" s="488">
        <v>56</v>
      </c>
      <c r="R76" s="488">
        <v>9.3000000000000007</v>
      </c>
    </row>
    <row r="77" spans="1:18" x14ac:dyDescent="0.3">
      <c r="A77" s="488">
        <v>74</v>
      </c>
      <c r="B77" s="488" t="s">
        <v>125</v>
      </c>
      <c r="C77" s="488" t="s">
        <v>397</v>
      </c>
      <c r="D77" s="488" t="s">
        <v>394</v>
      </c>
      <c r="E77" s="488">
        <v>10</v>
      </c>
      <c r="F77" s="488">
        <v>185</v>
      </c>
      <c r="G77" s="488">
        <v>104</v>
      </c>
      <c r="H77" s="488">
        <v>81</v>
      </c>
      <c r="I77" s="488">
        <v>8.1</v>
      </c>
      <c r="J77" s="488"/>
      <c r="K77" s="488">
        <v>74</v>
      </c>
      <c r="L77" s="488" t="s">
        <v>334</v>
      </c>
      <c r="M77" s="488" t="s">
        <v>46</v>
      </c>
      <c r="N77" s="488" t="s">
        <v>399</v>
      </c>
      <c r="O77" s="488">
        <v>15</v>
      </c>
      <c r="P77" s="488">
        <v>125</v>
      </c>
      <c r="Q77" s="488">
        <v>56</v>
      </c>
      <c r="R77" s="488">
        <v>3.7</v>
      </c>
    </row>
    <row r="78" spans="1:18" x14ac:dyDescent="0.3">
      <c r="A78" s="488">
        <v>75</v>
      </c>
      <c r="B78" s="488" t="s">
        <v>368</v>
      </c>
      <c r="C78" s="488" t="s">
        <v>16</v>
      </c>
      <c r="D78" s="488" t="s">
        <v>399</v>
      </c>
      <c r="E78" s="488">
        <v>13</v>
      </c>
      <c r="F78" s="488">
        <v>137</v>
      </c>
      <c r="G78" s="488">
        <v>56</v>
      </c>
      <c r="H78" s="488">
        <v>81</v>
      </c>
      <c r="I78" s="488">
        <v>6.23</v>
      </c>
      <c r="J78" s="488"/>
      <c r="K78" s="488">
        <v>75</v>
      </c>
      <c r="L78" s="488" t="s">
        <v>256</v>
      </c>
      <c r="M78" s="488" t="s">
        <v>46</v>
      </c>
      <c r="N78" s="488" t="s">
        <v>396</v>
      </c>
      <c r="O78" s="488">
        <v>11</v>
      </c>
      <c r="P78" s="488">
        <v>130</v>
      </c>
      <c r="Q78" s="488">
        <v>55</v>
      </c>
      <c r="R78" s="488">
        <v>5</v>
      </c>
    </row>
    <row r="79" spans="1:18" x14ac:dyDescent="0.3">
      <c r="A79" s="488">
        <v>76</v>
      </c>
      <c r="B79" s="488" t="s">
        <v>207</v>
      </c>
      <c r="C79" s="488" t="s">
        <v>24</v>
      </c>
      <c r="D79" s="488" t="s">
        <v>396</v>
      </c>
      <c r="E79" s="488">
        <v>8</v>
      </c>
      <c r="F79" s="488">
        <v>92</v>
      </c>
      <c r="G79" s="488">
        <v>11</v>
      </c>
      <c r="H79" s="488">
        <v>81</v>
      </c>
      <c r="I79" s="488">
        <v>10.130000000000001</v>
      </c>
      <c r="J79" s="488"/>
      <c r="K79" s="488">
        <v>76</v>
      </c>
      <c r="L79" s="488" t="s">
        <v>277</v>
      </c>
      <c r="M79" s="488" t="s">
        <v>50</v>
      </c>
      <c r="N79" s="488" t="s">
        <v>396</v>
      </c>
      <c r="O79" s="488">
        <v>11</v>
      </c>
      <c r="P79" s="488">
        <v>130</v>
      </c>
      <c r="Q79" s="488">
        <v>55</v>
      </c>
      <c r="R79" s="488">
        <v>5</v>
      </c>
    </row>
    <row r="80" spans="1:18" x14ac:dyDescent="0.3">
      <c r="A80" s="488">
        <v>77</v>
      </c>
      <c r="B80" s="488" t="s">
        <v>230</v>
      </c>
      <c r="C80" s="488" t="s">
        <v>52</v>
      </c>
      <c r="D80" s="488" t="s">
        <v>396</v>
      </c>
      <c r="E80" s="488">
        <v>7</v>
      </c>
      <c r="F80" s="488">
        <v>122</v>
      </c>
      <c r="G80" s="488">
        <v>42</v>
      </c>
      <c r="H80" s="488">
        <v>80</v>
      </c>
      <c r="I80" s="488">
        <v>11.43</v>
      </c>
      <c r="J80" s="488"/>
      <c r="K80" s="488">
        <v>77</v>
      </c>
      <c r="L80" s="488" t="s">
        <v>320</v>
      </c>
      <c r="M80" s="488" t="s">
        <v>30</v>
      </c>
      <c r="N80" s="488" t="s">
        <v>399</v>
      </c>
      <c r="O80" s="488">
        <v>9</v>
      </c>
      <c r="P80" s="488">
        <v>125</v>
      </c>
      <c r="Q80" s="488">
        <v>53</v>
      </c>
      <c r="R80" s="488">
        <v>5.9</v>
      </c>
    </row>
    <row r="81" spans="1:18" x14ac:dyDescent="0.3">
      <c r="A81" s="488">
        <v>78</v>
      </c>
      <c r="B81" s="488" t="s">
        <v>294</v>
      </c>
      <c r="C81" s="488" t="s">
        <v>398</v>
      </c>
      <c r="D81" s="488" t="s">
        <v>396</v>
      </c>
      <c r="E81" s="488">
        <v>12</v>
      </c>
      <c r="F81" s="488">
        <v>114</v>
      </c>
      <c r="G81" s="488">
        <v>34</v>
      </c>
      <c r="H81" s="488">
        <v>80</v>
      </c>
      <c r="I81" s="488">
        <v>6.67</v>
      </c>
      <c r="J81" s="488"/>
      <c r="K81" s="488">
        <v>78</v>
      </c>
      <c r="L81" s="488" t="s">
        <v>332</v>
      </c>
      <c r="M81" s="488" t="s">
        <v>26</v>
      </c>
      <c r="N81" s="488" t="s">
        <v>399</v>
      </c>
      <c r="O81" s="488">
        <v>14</v>
      </c>
      <c r="P81" s="488">
        <v>168</v>
      </c>
      <c r="Q81" s="488">
        <v>53</v>
      </c>
      <c r="R81" s="488">
        <v>3.8</v>
      </c>
    </row>
    <row r="82" spans="1:18" x14ac:dyDescent="0.3">
      <c r="A82" s="488">
        <v>79</v>
      </c>
      <c r="B82" s="488" t="s">
        <v>462</v>
      </c>
      <c r="C82" s="488" t="s">
        <v>32</v>
      </c>
      <c r="D82" s="488" t="s">
        <v>396</v>
      </c>
      <c r="E82" s="488">
        <v>5</v>
      </c>
      <c r="F82" s="488">
        <v>89</v>
      </c>
      <c r="G82" s="488">
        <v>10</v>
      </c>
      <c r="H82" s="488">
        <v>79</v>
      </c>
      <c r="I82" s="488">
        <v>15.8</v>
      </c>
      <c r="J82" s="488"/>
      <c r="K82" s="488">
        <v>79</v>
      </c>
      <c r="L82" s="488" t="s">
        <v>190</v>
      </c>
      <c r="M82" s="488" t="s">
        <v>34</v>
      </c>
      <c r="N82" s="488" t="s">
        <v>396</v>
      </c>
      <c r="O82" s="488">
        <v>12</v>
      </c>
      <c r="P82" s="488">
        <v>160</v>
      </c>
      <c r="Q82" s="488">
        <v>52</v>
      </c>
      <c r="R82" s="488">
        <v>4.3</v>
      </c>
    </row>
    <row r="83" spans="1:18" x14ac:dyDescent="0.3">
      <c r="A83" s="488">
        <v>80</v>
      </c>
      <c r="B83" s="488" t="s">
        <v>272</v>
      </c>
      <c r="C83" s="488" t="s">
        <v>39</v>
      </c>
      <c r="D83" s="488" t="s">
        <v>396</v>
      </c>
      <c r="E83" s="488">
        <v>11</v>
      </c>
      <c r="F83" s="488">
        <v>120</v>
      </c>
      <c r="G83" s="488">
        <v>42</v>
      </c>
      <c r="H83" s="488">
        <v>78</v>
      </c>
      <c r="I83" s="488">
        <v>7.09</v>
      </c>
      <c r="J83" s="488"/>
      <c r="K83" s="488">
        <v>80</v>
      </c>
      <c r="L83" s="488" t="s">
        <v>458</v>
      </c>
      <c r="M83" s="488" t="s">
        <v>30</v>
      </c>
      <c r="N83" s="488" t="s">
        <v>394</v>
      </c>
      <c r="O83" s="488">
        <v>3</v>
      </c>
      <c r="P83" s="488">
        <v>50</v>
      </c>
      <c r="Q83" s="488">
        <v>51</v>
      </c>
      <c r="R83" s="488">
        <v>17</v>
      </c>
    </row>
    <row r="84" spans="1:18" x14ac:dyDescent="0.3">
      <c r="A84" s="488">
        <v>81</v>
      </c>
      <c r="B84" s="488" t="s">
        <v>242</v>
      </c>
      <c r="C84" s="488" t="s">
        <v>395</v>
      </c>
      <c r="D84" s="488" t="s">
        <v>396</v>
      </c>
      <c r="E84" s="488">
        <v>8</v>
      </c>
      <c r="F84" s="488">
        <v>99</v>
      </c>
      <c r="G84" s="488">
        <v>22</v>
      </c>
      <c r="H84" s="488">
        <v>77</v>
      </c>
      <c r="I84" s="488">
        <v>9.6300000000000008</v>
      </c>
      <c r="J84" s="488"/>
      <c r="K84" s="488">
        <v>81</v>
      </c>
      <c r="L84" s="488" t="s">
        <v>89</v>
      </c>
      <c r="M84" s="488" t="s">
        <v>404</v>
      </c>
      <c r="N84" s="488" t="s">
        <v>394</v>
      </c>
      <c r="O84" s="488">
        <v>10</v>
      </c>
      <c r="P84" s="488">
        <v>76</v>
      </c>
      <c r="Q84" s="488">
        <v>50</v>
      </c>
      <c r="R84" s="488">
        <v>5</v>
      </c>
    </row>
    <row r="85" spans="1:18" x14ac:dyDescent="0.3">
      <c r="A85" s="488">
        <v>82</v>
      </c>
      <c r="B85" s="488" t="s">
        <v>238</v>
      </c>
      <c r="C85" s="488" t="s">
        <v>18</v>
      </c>
      <c r="D85" s="488" t="s">
        <v>396</v>
      </c>
      <c r="E85" s="488">
        <v>16</v>
      </c>
      <c r="F85" s="488">
        <v>175</v>
      </c>
      <c r="G85" s="488">
        <v>98</v>
      </c>
      <c r="H85" s="488">
        <v>77</v>
      </c>
      <c r="I85" s="488">
        <v>4.8099999999999996</v>
      </c>
      <c r="J85" s="488"/>
      <c r="K85" s="488">
        <v>82</v>
      </c>
      <c r="L85" s="488" t="s">
        <v>82</v>
      </c>
      <c r="M85" s="488" t="s">
        <v>4</v>
      </c>
      <c r="N85" s="488" t="s">
        <v>394</v>
      </c>
      <c r="O85" s="488">
        <v>8</v>
      </c>
      <c r="P85" s="488">
        <v>58</v>
      </c>
      <c r="Q85" s="488">
        <v>50</v>
      </c>
      <c r="R85" s="488">
        <v>6.3</v>
      </c>
    </row>
    <row r="86" spans="1:18" x14ac:dyDescent="0.3">
      <c r="A86" s="488">
        <v>83</v>
      </c>
      <c r="B86" s="488" t="s">
        <v>256</v>
      </c>
      <c r="C86" s="488" t="s">
        <v>46</v>
      </c>
      <c r="D86" s="488" t="s">
        <v>396</v>
      </c>
      <c r="E86" s="488">
        <v>11</v>
      </c>
      <c r="F86" s="488">
        <v>130</v>
      </c>
      <c r="G86" s="488">
        <v>55</v>
      </c>
      <c r="H86" s="488">
        <v>75</v>
      </c>
      <c r="I86" s="488">
        <v>6.82</v>
      </c>
      <c r="J86" s="488"/>
      <c r="K86" s="488">
        <v>83</v>
      </c>
      <c r="L86" s="488" t="s">
        <v>97</v>
      </c>
      <c r="M86" s="488" t="s">
        <v>397</v>
      </c>
      <c r="N86" s="488" t="s">
        <v>394</v>
      </c>
      <c r="O86" s="488">
        <v>10</v>
      </c>
      <c r="P86" s="488">
        <v>34</v>
      </c>
      <c r="Q86" s="488">
        <v>50</v>
      </c>
      <c r="R86" s="488">
        <v>5</v>
      </c>
    </row>
    <row r="87" spans="1:18" x14ac:dyDescent="0.3">
      <c r="A87" s="488">
        <v>84</v>
      </c>
      <c r="B87" s="488" t="s">
        <v>277</v>
      </c>
      <c r="C87" s="488" t="s">
        <v>50</v>
      </c>
      <c r="D87" s="488" t="s">
        <v>396</v>
      </c>
      <c r="E87" s="488">
        <v>11</v>
      </c>
      <c r="F87" s="488">
        <v>130</v>
      </c>
      <c r="G87" s="488">
        <v>55</v>
      </c>
      <c r="H87" s="488">
        <v>75</v>
      </c>
      <c r="I87" s="488">
        <v>6.82</v>
      </c>
      <c r="J87" s="488"/>
      <c r="K87" s="488">
        <v>84</v>
      </c>
      <c r="L87" s="488" t="s">
        <v>245</v>
      </c>
      <c r="M87" s="488" t="s">
        <v>4</v>
      </c>
      <c r="N87" s="488" t="s">
        <v>396</v>
      </c>
      <c r="O87" s="488">
        <v>7</v>
      </c>
      <c r="P87" s="488">
        <v>71</v>
      </c>
      <c r="Q87" s="488">
        <v>50</v>
      </c>
      <c r="R87" s="488">
        <v>7.1</v>
      </c>
    </row>
    <row r="88" spans="1:18" x14ac:dyDescent="0.3">
      <c r="A88" s="488">
        <v>85</v>
      </c>
      <c r="B88" s="488" t="s">
        <v>224</v>
      </c>
      <c r="C88" s="488" t="s">
        <v>7</v>
      </c>
      <c r="D88" s="488" t="s">
        <v>396</v>
      </c>
      <c r="E88" s="488">
        <v>7</v>
      </c>
      <c r="F88" s="488">
        <v>116</v>
      </c>
      <c r="G88" s="488">
        <v>43</v>
      </c>
      <c r="H88" s="488">
        <v>73</v>
      </c>
      <c r="I88" s="488">
        <v>10.43</v>
      </c>
      <c r="J88" s="488"/>
      <c r="K88" s="488">
        <v>85</v>
      </c>
      <c r="L88" s="488" t="s">
        <v>193</v>
      </c>
      <c r="M88" s="488" t="s">
        <v>24</v>
      </c>
      <c r="N88" s="488" t="s">
        <v>396</v>
      </c>
      <c r="O88" s="488">
        <v>20</v>
      </c>
      <c r="P88" s="488">
        <v>218</v>
      </c>
      <c r="Q88" s="488">
        <v>49</v>
      </c>
      <c r="R88" s="488">
        <v>2.5</v>
      </c>
    </row>
    <row r="89" spans="1:18" x14ac:dyDescent="0.3">
      <c r="A89" s="488">
        <v>86</v>
      </c>
      <c r="B89" s="488" t="s">
        <v>301</v>
      </c>
      <c r="C89" s="488" t="s">
        <v>409</v>
      </c>
      <c r="D89" s="488" t="s">
        <v>396</v>
      </c>
      <c r="E89" s="488">
        <v>6</v>
      </c>
      <c r="F89" s="488">
        <v>84</v>
      </c>
      <c r="G89" s="488">
        <v>12</v>
      </c>
      <c r="H89" s="488">
        <v>72</v>
      </c>
      <c r="I89" s="488">
        <v>12</v>
      </c>
      <c r="J89" s="488"/>
      <c r="K89" s="488">
        <v>86</v>
      </c>
      <c r="L89" s="488" t="s">
        <v>344</v>
      </c>
      <c r="M89" s="488" t="s">
        <v>4</v>
      </c>
      <c r="N89" s="488" t="s">
        <v>399</v>
      </c>
      <c r="O89" s="488">
        <v>11</v>
      </c>
      <c r="P89" s="488">
        <v>102</v>
      </c>
      <c r="Q89" s="488">
        <v>48</v>
      </c>
      <c r="R89" s="488">
        <v>4.4000000000000004</v>
      </c>
    </row>
    <row r="90" spans="1:18" x14ac:dyDescent="0.3">
      <c r="A90" s="488">
        <v>87</v>
      </c>
      <c r="B90" s="488" t="s">
        <v>285</v>
      </c>
      <c r="C90" s="488" t="s">
        <v>397</v>
      </c>
      <c r="D90" s="488" t="s">
        <v>396</v>
      </c>
      <c r="E90" s="488">
        <v>9</v>
      </c>
      <c r="F90" s="488">
        <v>102</v>
      </c>
      <c r="G90" s="488">
        <v>30</v>
      </c>
      <c r="H90" s="488">
        <v>72</v>
      </c>
      <c r="I90" s="488">
        <v>8</v>
      </c>
      <c r="J90" s="488"/>
      <c r="K90" s="488">
        <v>87</v>
      </c>
      <c r="L90" s="488" t="s">
        <v>141</v>
      </c>
      <c r="M90" s="488" t="s">
        <v>18</v>
      </c>
      <c r="N90" s="488" t="s">
        <v>394</v>
      </c>
      <c r="O90" s="488">
        <v>6</v>
      </c>
      <c r="P90" s="488">
        <v>66</v>
      </c>
      <c r="Q90" s="488">
        <v>48</v>
      </c>
      <c r="R90" s="488">
        <v>8</v>
      </c>
    </row>
    <row r="91" spans="1:18" x14ac:dyDescent="0.3">
      <c r="A91" s="488">
        <v>88</v>
      </c>
      <c r="B91" s="488" t="s">
        <v>320</v>
      </c>
      <c r="C91" s="488" t="s">
        <v>30</v>
      </c>
      <c r="D91" s="488" t="s">
        <v>399</v>
      </c>
      <c r="E91" s="488">
        <v>9</v>
      </c>
      <c r="F91" s="488">
        <v>125</v>
      </c>
      <c r="G91" s="488">
        <v>53</v>
      </c>
      <c r="H91" s="488">
        <v>72</v>
      </c>
      <c r="I91" s="488">
        <v>8</v>
      </c>
      <c r="J91" s="488"/>
      <c r="K91" s="488">
        <v>88</v>
      </c>
      <c r="L91" s="488" t="s">
        <v>529</v>
      </c>
      <c r="M91" s="488" t="s">
        <v>397</v>
      </c>
      <c r="N91" s="488" t="s">
        <v>396</v>
      </c>
      <c r="O91" s="488">
        <v>6</v>
      </c>
      <c r="P91" s="488">
        <v>43</v>
      </c>
      <c r="Q91" s="488">
        <v>47</v>
      </c>
      <c r="R91" s="488">
        <v>7.8</v>
      </c>
    </row>
    <row r="92" spans="1:18" x14ac:dyDescent="0.3">
      <c r="A92" s="488">
        <v>89</v>
      </c>
      <c r="B92" s="488" t="s">
        <v>558</v>
      </c>
      <c r="C92" s="488" t="s">
        <v>50</v>
      </c>
      <c r="D92" s="488" t="s">
        <v>399</v>
      </c>
      <c r="E92" s="488">
        <v>4</v>
      </c>
      <c r="F92" s="488">
        <v>98</v>
      </c>
      <c r="G92" s="488">
        <v>28</v>
      </c>
      <c r="H92" s="488">
        <v>70</v>
      </c>
      <c r="I92" s="488">
        <v>17.5</v>
      </c>
      <c r="J92" s="488"/>
      <c r="K92" s="488">
        <v>89</v>
      </c>
      <c r="L92" s="488" t="s">
        <v>559</v>
      </c>
      <c r="M92" s="488" t="s">
        <v>407</v>
      </c>
      <c r="N92" s="488" t="s">
        <v>399</v>
      </c>
      <c r="O92" s="488">
        <v>6</v>
      </c>
      <c r="P92" s="488">
        <v>96</v>
      </c>
      <c r="Q92" s="488">
        <v>47</v>
      </c>
      <c r="R92" s="488">
        <v>7.8</v>
      </c>
    </row>
    <row r="93" spans="1:18" x14ac:dyDescent="0.3">
      <c r="A93" s="488">
        <v>90</v>
      </c>
      <c r="B93" s="488" t="s">
        <v>334</v>
      </c>
      <c r="C93" s="488" t="s">
        <v>46</v>
      </c>
      <c r="D93" s="488" t="s">
        <v>399</v>
      </c>
      <c r="E93" s="488">
        <v>15</v>
      </c>
      <c r="F93" s="488">
        <v>125</v>
      </c>
      <c r="G93" s="488">
        <v>56</v>
      </c>
      <c r="H93" s="488">
        <v>69</v>
      </c>
      <c r="I93" s="488">
        <v>4.5999999999999996</v>
      </c>
      <c r="J93" s="488"/>
      <c r="K93" s="488">
        <v>90</v>
      </c>
      <c r="L93" s="488" t="s">
        <v>167</v>
      </c>
      <c r="M93" s="488" t="s">
        <v>57</v>
      </c>
      <c r="N93" s="488" t="s">
        <v>394</v>
      </c>
      <c r="O93" s="488">
        <v>4</v>
      </c>
      <c r="P93" s="488">
        <v>39</v>
      </c>
      <c r="Q93" s="488">
        <v>47</v>
      </c>
      <c r="R93" s="488">
        <v>11.8</v>
      </c>
    </row>
    <row r="94" spans="1:18" x14ac:dyDescent="0.3">
      <c r="A94" s="488">
        <v>91</v>
      </c>
      <c r="B94" s="488" t="s">
        <v>231</v>
      </c>
      <c r="C94" s="488" t="s">
        <v>10</v>
      </c>
      <c r="D94" s="488" t="s">
        <v>396</v>
      </c>
      <c r="E94" s="488">
        <v>11</v>
      </c>
      <c r="F94" s="488">
        <v>81</v>
      </c>
      <c r="G94" s="488">
        <v>12</v>
      </c>
      <c r="H94" s="488">
        <v>69</v>
      </c>
      <c r="I94" s="488">
        <v>6.27</v>
      </c>
      <c r="J94" s="488"/>
      <c r="K94" s="488">
        <v>91</v>
      </c>
      <c r="L94" s="488" t="s">
        <v>291</v>
      </c>
      <c r="M94" s="488" t="s">
        <v>24</v>
      </c>
      <c r="N94" s="488" t="s">
        <v>396</v>
      </c>
      <c r="O94" s="488">
        <v>6</v>
      </c>
      <c r="P94" s="488">
        <v>145</v>
      </c>
      <c r="Q94" s="488">
        <v>46</v>
      </c>
      <c r="R94" s="488">
        <v>7.7</v>
      </c>
    </row>
    <row r="95" spans="1:18" x14ac:dyDescent="0.3">
      <c r="A95" s="488">
        <v>92</v>
      </c>
      <c r="B95" s="488" t="s">
        <v>223</v>
      </c>
      <c r="C95" s="488" t="s">
        <v>16</v>
      </c>
      <c r="D95" s="488" t="s">
        <v>396</v>
      </c>
      <c r="E95" s="488">
        <v>7</v>
      </c>
      <c r="F95" s="488">
        <v>73</v>
      </c>
      <c r="G95" s="488">
        <v>6</v>
      </c>
      <c r="H95" s="488">
        <v>67</v>
      </c>
      <c r="I95" s="488">
        <v>9.57</v>
      </c>
      <c r="J95" s="488"/>
      <c r="K95" s="488">
        <v>92</v>
      </c>
      <c r="L95" s="488" t="s">
        <v>1248</v>
      </c>
      <c r="M95" s="488" t="s">
        <v>20</v>
      </c>
      <c r="N95" s="488" t="s">
        <v>396</v>
      </c>
      <c r="O95" s="488">
        <v>9</v>
      </c>
      <c r="P95" s="488">
        <v>100</v>
      </c>
      <c r="Q95" s="488">
        <v>45</v>
      </c>
      <c r="R95" s="488">
        <v>5</v>
      </c>
    </row>
    <row r="96" spans="1:18" x14ac:dyDescent="0.3">
      <c r="A96" s="488">
        <v>93</v>
      </c>
      <c r="B96" s="488" t="s">
        <v>216</v>
      </c>
      <c r="C96" s="488" t="s">
        <v>395</v>
      </c>
      <c r="D96" s="488" t="s">
        <v>396</v>
      </c>
      <c r="E96" s="488">
        <v>12</v>
      </c>
      <c r="F96" s="488">
        <v>132</v>
      </c>
      <c r="G96" s="488">
        <v>66</v>
      </c>
      <c r="H96" s="488">
        <v>66</v>
      </c>
      <c r="I96" s="488">
        <v>5.5</v>
      </c>
      <c r="J96" s="488"/>
      <c r="K96" s="488">
        <v>93</v>
      </c>
      <c r="L96" s="488" t="s">
        <v>349</v>
      </c>
      <c r="M96" s="488" t="s">
        <v>18</v>
      </c>
      <c r="N96" s="488" t="s">
        <v>399</v>
      </c>
      <c r="O96" s="488">
        <v>6</v>
      </c>
      <c r="P96" s="488">
        <v>71</v>
      </c>
      <c r="Q96" s="488">
        <v>44</v>
      </c>
      <c r="R96" s="488">
        <v>7.3</v>
      </c>
    </row>
    <row r="97" spans="1:18" x14ac:dyDescent="0.3">
      <c r="A97" s="488">
        <v>94</v>
      </c>
      <c r="B97" s="488" t="s">
        <v>340</v>
      </c>
      <c r="C97" s="488" t="s">
        <v>401</v>
      </c>
      <c r="D97" s="488" t="s">
        <v>399</v>
      </c>
      <c r="E97" s="488">
        <v>11</v>
      </c>
      <c r="F97" s="488">
        <v>92</v>
      </c>
      <c r="G97" s="488">
        <v>27</v>
      </c>
      <c r="H97" s="488">
        <v>65</v>
      </c>
      <c r="I97" s="488">
        <v>5.91</v>
      </c>
      <c r="J97" s="488"/>
      <c r="K97" s="488">
        <v>94</v>
      </c>
      <c r="L97" s="488" t="s">
        <v>768</v>
      </c>
      <c r="M97" s="488" t="s">
        <v>22</v>
      </c>
      <c r="N97" s="488" t="s">
        <v>396</v>
      </c>
      <c r="O97" s="488">
        <v>13</v>
      </c>
      <c r="P97" s="488">
        <v>199</v>
      </c>
      <c r="Q97" s="488">
        <v>44</v>
      </c>
      <c r="R97" s="488">
        <v>3.4</v>
      </c>
    </row>
    <row r="98" spans="1:18" x14ac:dyDescent="0.3">
      <c r="A98" s="488">
        <v>95</v>
      </c>
      <c r="B98" s="488" t="s">
        <v>322</v>
      </c>
      <c r="C98" s="488" t="s">
        <v>14</v>
      </c>
      <c r="D98" s="488" t="s">
        <v>399</v>
      </c>
      <c r="E98" s="488">
        <v>9</v>
      </c>
      <c r="F98" s="488">
        <v>103</v>
      </c>
      <c r="G98" s="488">
        <v>38</v>
      </c>
      <c r="H98" s="488">
        <v>65</v>
      </c>
      <c r="I98" s="488">
        <v>7.22</v>
      </c>
      <c r="J98" s="488"/>
      <c r="K98" s="488">
        <v>95</v>
      </c>
      <c r="L98" s="488" t="s">
        <v>498</v>
      </c>
      <c r="M98" s="488" t="s">
        <v>402</v>
      </c>
      <c r="N98" s="488" t="s">
        <v>396</v>
      </c>
      <c r="O98" s="488">
        <v>4</v>
      </c>
      <c r="P98" s="488">
        <v>75</v>
      </c>
      <c r="Q98" s="488">
        <v>44</v>
      </c>
      <c r="R98" s="488">
        <v>11</v>
      </c>
    </row>
    <row r="99" spans="1:18" x14ac:dyDescent="0.3">
      <c r="A99" s="488">
        <v>96</v>
      </c>
      <c r="B99" s="488" t="s">
        <v>329</v>
      </c>
      <c r="C99" s="488" t="s">
        <v>52</v>
      </c>
      <c r="D99" s="488" t="s">
        <v>399</v>
      </c>
      <c r="E99" s="488">
        <v>14</v>
      </c>
      <c r="F99" s="488">
        <v>142</v>
      </c>
      <c r="G99" s="488">
        <v>80</v>
      </c>
      <c r="H99" s="488">
        <v>62</v>
      </c>
      <c r="I99" s="488">
        <v>4.43</v>
      </c>
      <c r="J99" s="488"/>
      <c r="K99" s="488">
        <v>96</v>
      </c>
      <c r="L99" s="488" t="s">
        <v>410</v>
      </c>
      <c r="M99" s="488" t="s">
        <v>26</v>
      </c>
      <c r="N99" s="488" t="s">
        <v>396</v>
      </c>
      <c r="O99" s="488">
        <v>11</v>
      </c>
      <c r="P99" s="488">
        <v>105</v>
      </c>
      <c r="Q99" s="488">
        <v>43</v>
      </c>
      <c r="R99" s="488">
        <v>3.9</v>
      </c>
    </row>
    <row r="100" spans="1:18" x14ac:dyDescent="0.3">
      <c r="A100" s="488">
        <v>97</v>
      </c>
      <c r="B100" s="488" t="s">
        <v>410</v>
      </c>
      <c r="C100" s="488" t="s">
        <v>26</v>
      </c>
      <c r="D100" s="488" t="s">
        <v>396</v>
      </c>
      <c r="E100" s="488">
        <v>11</v>
      </c>
      <c r="F100" s="488">
        <v>105</v>
      </c>
      <c r="G100" s="488">
        <v>43</v>
      </c>
      <c r="H100" s="488">
        <v>62</v>
      </c>
      <c r="I100" s="488">
        <v>5.64</v>
      </c>
      <c r="J100" s="488"/>
      <c r="K100" s="488">
        <v>97</v>
      </c>
      <c r="L100" s="488" t="s">
        <v>194</v>
      </c>
      <c r="M100" s="488" t="s">
        <v>12</v>
      </c>
      <c r="N100" s="488" t="s">
        <v>396</v>
      </c>
      <c r="O100" s="488">
        <v>16</v>
      </c>
      <c r="P100" s="488">
        <v>183</v>
      </c>
      <c r="Q100" s="488">
        <v>43</v>
      </c>
      <c r="R100" s="488">
        <v>2.7</v>
      </c>
    </row>
    <row r="101" spans="1:18" x14ac:dyDescent="0.3">
      <c r="A101" s="488">
        <v>98</v>
      </c>
      <c r="B101" s="488" t="s">
        <v>196</v>
      </c>
      <c r="C101" s="488" t="s">
        <v>10</v>
      </c>
      <c r="D101" s="488" t="s">
        <v>396</v>
      </c>
      <c r="E101" s="488">
        <v>6</v>
      </c>
      <c r="F101" s="488">
        <v>63</v>
      </c>
      <c r="G101" s="488">
        <v>3</v>
      </c>
      <c r="H101" s="488">
        <v>60</v>
      </c>
      <c r="I101" s="488">
        <v>10</v>
      </c>
      <c r="J101" s="488"/>
      <c r="K101" s="488">
        <v>98</v>
      </c>
      <c r="L101" s="488" t="s">
        <v>383</v>
      </c>
      <c r="M101" s="488" t="s">
        <v>28</v>
      </c>
      <c r="N101" s="488" t="s">
        <v>399</v>
      </c>
      <c r="O101" s="488">
        <v>7</v>
      </c>
      <c r="P101" s="488">
        <v>99</v>
      </c>
      <c r="Q101" s="488">
        <v>43</v>
      </c>
      <c r="R101" s="488">
        <v>6.1</v>
      </c>
    </row>
    <row r="102" spans="1:18" x14ac:dyDescent="0.3">
      <c r="A102" s="488">
        <v>99</v>
      </c>
      <c r="B102" s="488" t="s">
        <v>276</v>
      </c>
      <c r="C102" s="488" t="s">
        <v>402</v>
      </c>
      <c r="D102" s="488" t="s">
        <v>396</v>
      </c>
      <c r="E102" s="488">
        <v>8</v>
      </c>
      <c r="F102" s="488">
        <v>122</v>
      </c>
      <c r="G102" s="488">
        <v>63</v>
      </c>
      <c r="H102" s="488">
        <v>59</v>
      </c>
      <c r="I102" s="488">
        <v>7.38</v>
      </c>
      <c r="J102" s="488"/>
      <c r="K102" s="488">
        <v>99</v>
      </c>
      <c r="L102" s="488" t="s">
        <v>315</v>
      </c>
      <c r="M102" s="488" t="s">
        <v>20</v>
      </c>
      <c r="N102" s="488" t="s">
        <v>396</v>
      </c>
      <c r="O102" s="488">
        <v>7</v>
      </c>
      <c r="P102" s="488">
        <v>203</v>
      </c>
      <c r="Q102" s="488">
        <v>43</v>
      </c>
      <c r="R102" s="488">
        <v>6.1</v>
      </c>
    </row>
    <row r="103" spans="1:18" x14ac:dyDescent="0.3">
      <c r="A103" s="488">
        <v>100</v>
      </c>
      <c r="B103" s="488" t="s">
        <v>265</v>
      </c>
      <c r="C103" s="488" t="s">
        <v>398</v>
      </c>
      <c r="D103" s="488" t="s">
        <v>396</v>
      </c>
      <c r="E103" s="488">
        <v>9</v>
      </c>
      <c r="F103" s="488">
        <v>93</v>
      </c>
      <c r="G103" s="488">
        <v>35</v>
      </c>
      <c r="H103" s="488">
        <v>58</v>
      </c>
      <c r="I103" s="488">
        <v>6.44</v>
      </c>
      <c r="J103" s="488"/>
      <c r="K103" s="488">
        <v>100</v>
      </c>
      <c r="L103" s="488" t="s">
        <v>224</v>
      </c>
      <c r="M103" s="488" t="s">
        <v>7</v>
      </c>
      <c r="N103" s="488" t="s">
        <v>396</v>
      </c>
      <c r="O103" s="488">
        <v>7</v>
      </c>
      <c r="P103" s="488">
        <v>116</v>
      </c>
      <c r="Q103" s="488">
        <v>43</v>
      </c>
      <c r="R103" s="488">
        <v>6.1</v>
      </c>
    </row>
    <row r="104" spans="1:18" x14ac:dyDescent="0.3">
      <c r="A104" s="488">
        <v>101</v>
      </c>
      <c r="B104" s="488" t="s">
        <v>474</v>
      </c>
      <c r="C104" s="488" t="s">
        <v>10</v>
      </c>
      <c r="D104" s="488" t="s">
        <v>396</v>
      </c>
      <c r="E104" s="488">
        <v>4</v>
      </c>
      <c r="F104" s="488">
        <v>89</v>
      </c>
      <c r="G104" s="488">
        <v>33</v>
      </c>
      <c r="H104" s="488">
        <v>56</v>
      </c>
      <c r="I104" s="488">
        <v>14</v>
      </c>
      <c r="J104" s="488"/>
      <c r="K104" s="488">
        <v>101</v>
      </c>
      <c r="L104" s="488" t="s">
        <v>272</v>
      </c>
      <c r="M104" s="488" t="s">
        <v>39</v>
      </c>
      <c r="N104" s="488" t="s">
        <v>396</v>
      </c>
      <c r="O104" s="488">
        <v>11</v>
      </c>
      <c r="P104" s="488">
        <v>120</v>
      </c>
      <c r="Q104" s="488">
        <v>42</v>
      </c>
      <c r="R104" s="488">
        <v>3.8</v>
      </c>
    </row>
    <row r="105" spans="1:18" x14ac:dyDescent="0.3">
      <c r="A105" s="488">
        <v>102</v>
      </c>
      <c r="B105" s="488" t="s">
        <v>383</v>
      </c>
      <c r="C105" s="488" t="s">
        <v>28</v>
      </c>
      <c r="D105" s="488" t="s">
        <v>399</v>
      </c>
      <c r="E105" s="488">
        <v>7</v>
      </c>
      <c r="F105" s="488">
        <v>99</v>
      </c>
      <c r="G105" s="488">
        <v>43</v>
      </c>
      <c r="H105" s="488">
        <v>56</v>
      </c>
      <c r="I105" s="488">
        <v>8</v>
      </c>
      <c r="J105" s="488"/>
      <c r="K105" s="488">
        <v>102</v>
      </c>
      <c r="L105" s="488" t="s">
        <v>331</v>
      </c>
      <c r="M105" s="488" t="s">
        <v>41</v>
      </c>
      <c r="N105" s="488" t="s">
        <v>399</v>
      </c>
      <c r="O105" s="488">
        <v>14</v>
      </c>
      <c r="P105" s="488">
        <v>166</v>
      </c>
      <c r="Q105" s="488">
        <v>42</v>
      </c>
      <c r="R105" s="488">
        <v>3</v>
      </c>
    </row>
    <row r="106" spans="1:18" x14ac:dyDescent="0.3">
      <c r="A106" s="488">
        <v>103</v>
      </c>
      <c r="B106" s="488" t="s">
        <v>1248</v>
      </c>
      <c r="C106" s="488" t="s">
        <v>20</v>
      </c>
      <c r="D106" s="488" t="s">
        <v>396</v>
      </c>
      <c r="E106" s="488">
        <v>9</v>
      </c>
      <c r="F106" s="488">
        <v>100</v>
      </c>
      <c r="G106" s="488">
        <v>45</v>
      </c>
      <c r="H106" s="488">
        <v>55</v>
      </c>
      <c r="I106" s="488">
        <v>6.11</v>
      </c>
      <c r="J106" s="488"/>
      <c r="K106" s="488">
        <v>103</v>
      </c>
      <c r="L106" s="488" t="s">
        <v>275</v>
      </c>
      <c r="M106" s="488" t="s">
        <v>32</v>
      </c>
      <c r="N106" s="488" t="s">
        <v>396</v>
      </c>
      <c r="O106" s="488">
        <v>10</v>
      </c>
      <c r="P106" s="488">
        <v>166</v>
      </c>
      <c r="Q106" s="488">
        <v>42</v>
      </c>
      <c r="R106" s="488">
        <v>4.2</v>
      </c>
    </row>
    <row r="107" spans="1:18" x14ac:dyDescent="0.3">
      <c r="A107" s="488">
        <v>104</v>
      </c>
      <c r="B107" s="488" t="s">
        <v>505</v>
      </c>
      <c r="C107" s="488" t="s">
        <v>407</v>
      </c>
      <c r="D107" s="488" t="s">
        <v>396</v>
      </c>
      <c r="E107" s="488">
        <v>11</v>
      </c>
      <c r="F107" s="488">
        <v>201</v>
      </c>
      <c r="G107" s="488">
        <v>146</v>
      </c>
      <c r="H107" s="488">
        <v>55</v>
      </c>
      <c r="I107" s="488">
        <v>5</v>
      </c>
      <c r="J107" s="488"/>
      <c r="K107" s="488">
        <v>104</v>
      </c>
      <c r="L107" s="488" t="s">
        <v>230</v>
      </c>
      <c r="M107" s="488" t="s">
        <v>52</v>
      </c>
      <c r="N107" s="488" t="s">
        <v>396</v>
      </c>
      <c r="O107" s="488">
        <v>7</v>
      </c>
      <c r="P107" s="488">
        <v>122</v>
      </c>
      <c r="Q107" s="488">
        <v>42</v>
      </c>
      <c r="R107" s="488">
        <v>6</v>
      </c>
    </row>
    <row r="108" spans="1:18" x14ac:dyDescent="0.3">
      <c r="A108" s="488">
        <v>105</v>
      </c>
      <c r="B108" s="488" t="s">
        <v>83</v>
      </c>
      <c r="C108" s="488" t="s">
        <v>409</v>
      </c>
      <c r="D108" s="488" t="s">
        <v>394</v>
      </c>
      <c r="E108" s="488">
        <v>3</v>
      </c>
      <c r="F108" s="488">
        <v>9</v>
      </c>
      <c r="G108" s="488">
        <v>-45</v>
      </c>
      <c r="H108" s="488">
        <v>54</v>
      </c>
      <c r="I108" s="488">
        <v>18</v>
      </c>
      <c r="J108" s="488"/>
      <c r="K108" s="488">
        <v>105</v>
      </c>
      <c r="L108" s="488" t="s">
        <v>102</v>
      </c>
      <c r="M108" s="488" t="s">
        <v>28</v>
      </c>
      <c r="N108" s="488" t="s">
        <v>394</v>
      </c>
      <c r="O108" s="488">
        <v>3</v>
      </c>
      <c r="P108" s="488">
        <v>37</v>
      </c>
      <c r="Q108" s="488">
        <v>40</v>
      </c>
      <c r="R108" s="488">
        <v>13.3</v>
      </c>
    </row>
    <row r="109" spans="1:18" x14ac:dyDescent="0.3">
      <c r="A109" s="488">
        <v>106</v>
      </c>
      <c r="B109" s="488" t="s">
        <v>344</v>
      </c>
      <c r="C109" s="488" t="s">
        <v>4</v>
      </c>
      <c r="D109" s="488" t="s">
        <v>399</v>
      </c>
      <c r="E109" s="488">
        <v>11</v>
      </c>
      <c r="F109" s="488">
        <v>102</v>
      </c>
      <c r="G109" s="488">
        <v>48</v>
      </c>
      <c r="H109" s="488">
        <v>54</v>
      </c>
      <c r="I109" s="488">
        <v>4.91</v>
      </c>
      <c r="J109" s="488"/>
      <c r="K109" s="488">
        <v>106</v>
      </c>
      <c r="L109" s="488" t="s">
        <v>225</v>
      </c>
      <c r="M109" s="488" t="s">
        <v>7</v>
      </c>
      <c r="N109" s="488" t="s">
        <v>396</v>
      </c>
      <c r="O109" s="488">
        <v>9</v>
      </c>
      <c r="P109" s="488">
        <v>79</v>
      </c>
      <c r="Q109" s="488">
        <v>40</v>
      </c>
      <c r="R109" s="488">
        <v>4.4000000000000004</v>
      </c>
    </row>
    <row r="110" spans="1:18" x14ac:dyDescent="0.3">
      <c r="A110" s="488">
        <v>107</v>
      </c>
      <c r="B110" s="488" t="s">
        <v>270</v>
      </c>
      <c r="C110" s="488" t="s">
        <v>401</v>
      </c>
      <c r="D110" s="488" t="s">
        <v>396</v>
      </c>
      <c r="E110" s="488">
        <v>18</v>
      </c>
      <c r="F110" s="488">
        <v>201</v>
      </c>
      <c r="G110" s="488">
        <v>149</v>
      </c>
      <c r="H110" s="488">
        <v>52</v>
      </c>
      <c r="I110" s="488">
        <v>2.89</v>
      </c>
      <c r="J110" s="488"/>
      <c r="K110" s="488">
        <v>107</v>
      </c>
      <c r="L110" s="488" t="s">
        <v>342</v>
      </c>
      <c r="M110" s="488" t="s">
        <v>24</v>
      </c>
      <c r="N110" s="488" t="s">
        <v>399</v>
      </c>
      <c r="O110" s="488">
        <v>6</v>
      </c>
      <c r="P110" s="488">
        <v>46</v>
      </c>
      <c r="Q110" s="488">
        <v>38</v>
      </c>
      <c r="R110" s="488">
        <v>6.3</v>
      </c>
    </row>
    <row r="111" spans="1:18" x14ac:dyDescent="0.3">
      <c r="A111" s="488">
        <v>108</v>
      </c>
      <c r="B111" s="488" t="s">
        <v>767</v>
      </c>
      <c r="C111" s="488" t="s">
        <v>18</v>
      </c>
      <c r="D111" s="488" t="s">
        <v>396</v>
      </c>
      <c r="E111" s="488">
        <v>2</v>
      </c>
      <c r="F111" s="488">
        <v>66</v>
      </c>
      <c r="G111" s="488">
        <v>14</v>
      </c>
      <c r="H111" s="488">
        <v>52</v>
      </c>
      <c r="I111" s="488">
        <v>26</v>
      </c>
      <c r="J111" s="488"/>
      <c r="K111" s="488">
        <v>108</v>
      </c>
      <c r="L111" s="488" t="s">
        <v>377</v>
      </c>
      <c r="M111" s="488" t="s">
        <v>39</v>
      </c>
      <c r="N111" s="488" t="s">
        <v>399</v>
      </c>
      <c r="O111" s="488">
        <v>7</v>
      </c>
      <c r="P111" s="488">
        <v>68</v>
      </c>
      <c r="Q111" s="488">
        <v>38</v>
      </c>
      <c r="R111" s="488">
        <v>5.4</v>
      </c>
    </row>
    <row r="112" spans="1:18" x14ac:dyDescent="0.3">
      <c r="A112" s="488">
        <v>109</v>
      </c>
      <c r="B112" s="488" t="s">
        <v>354</v>
      </c>
      <c r="C112" s="488" t="s">
        <v>20</v>
      </c>
      <c r="D112" s="488" t="s">
        <v>399</v>
      </c>
      <c r="E112" s="488">
        <v>10</v>
      </c>
      <c r="F112" s="488">
        <v>70</v>
      </c>
      <c r="G112" s="488">
        <v>20</v>
      </c>
      <c r="H112" s="488">
        <v>50</v>
      </c>
      <c r="I112" s="488">
        <v>5</v>
      </c>
      <c r="J112" s="488"/>
      <c r="K112" s="488">
        <v>109</v>
      </c>
      <c r="L112" s="488" t="s">
        <v>220</v>
      </c>
      <c r="M112" s="488" t="s">
        <v>18</v>
      </c>
      <c r="N112" s="488" t="s">
        <v>396</v>
      </c>
      <c r="O112" s="488">
        <v>13</v>
      </c>
      <c r="P112" s="488">
        <v>135</v>
      </c>
      <c r="Q112" s="488">
        <v>38</v>
      </c>
      <c r="R112" s="488">
        <v>2.9</v>
      </c>
    </row>
    <row r="113" spans="1:18" x14ac:dyDescent="0.3">
      <c r="A113" s="488">
        <v>110</v>
      </c>
      <c r="B113" s="488" t="s">
        <v>559</v>
      </c>
      <c r="C113" s="488" t="s">
        <v>407</v>
      </c>
      <c r="D113" s="488" t="s">
        <v>399</v>
      </c>
      <c r="E113" s="488">
        <v>6</v>
      </c>
      <c r="F113" s="488">
        <v>96</v>
      </c>
      <c r="G113" s="488">
        <v>47</v>
      </c>
      <c r="H113" s="488">
        <v>49</v>
      </c>
      <c r="I113" s="488">
        <v>8.17</v>
      </c>
      <c r="J113" s="488"/>
      <c r="K113" s="488">
        <v>110</v>
      </c>
      <c r="L113" s="488" t="s">
        <v>465</v>
      </c>
      <c r="M113" s="488" t="s">
        <v>28</v>
      </c>
      <c r="N113" s="488" t="s">
        <v>396</v>
      </c>
      <c r="O113" s="488">
        <v>11</v>
      </c>
      <c r="P113" s="488">
        <v>120</v>
      </c>
      <c r="Q113" s="488">
        <v>38</v>
      </c>
      <c r="R113" s="488">
        <v>3.5</v>
      </c>
    </row>
    <row r="114" spans="1:18" x14ac:dyDescent="0.3">
      <c r="A114" s="488">
        <v>111</v>
      </c>
      <c r="B114" s="488" t="s">
        <v>263</v>
      </c>
      <c r="C114" s="488" t="s">
        <v>409</v>
      </c>
      <c r="D114" s="488" t="s">
        <v>399</v>
      </c>
      <c r="E114" s="488">
        <v>6</v>
      </c>
      <c r="F114" s="488">
        <v>76</v>
      </c>
      <c r="G114" s="488">
        <v>28</v>
      </c>
      <c r="H114" s="488">
        <v>48</v>
      </c>
      <c r="I114" s="488">
        <v>8</v>
      </c>
      <c r="J114" s="488"/>
      <c r="K114" s="488">
        <v>111</v>
      </c>
      <c r="L114" s="488" t="s">
        <v>322</v>
      </c>
      <c r="M114" s="488" t="s">
        <v>14</v>
      </c>
      <c r="N114" s="488" t="s">
        <v>399</v>
      </c>
      <c r="O114" s="488">
        <v>9</v>
      </c>
      <c r="P114" s="488">
        <v>103</v>
      </c>
      <c r="Q114" s="488">
        <v>38</v>
      </c>
      <c r="R114" s="488">
        <v>4.2</v>
      </c>
    </row>
    <row r="115" spans="1:18" x14ac:dyDescent="0.3">
      <c r="A115" s="488">
        <v>112</v>
      </c>
      <c r="B115" s="488" t="s">
        <v>84</v>
      </c>
      <c r="C115" s="488" t="s">
        <v>50</v>
      </c>
      <c r="D115" s="488" t="s">
        <v>394</v>
      </c>
      <c r="E115" s="488">
        <v>9</v>
      </c>
      <c r="F115" s="488">
        <v>75</v>
      </c>
      <c r="G115" s="488">
        <v>27</v>
      </c>
      <c r="H115" s="488">
        <v>48</v>
      </c>
      <c r="I115" s="488">
        <v>5.33</v>
      </c>
      <c r="J115" s="488"/>
      <c r="K115" s="488">
        <v>112</v>
      </c>
      <c r="L115" s="488" t="s">
        <v>100</v>
      </c>
      <c r="M115" s="488" t="s">
        <v>7</v>
      </c>
      <c r="N115" s="488" t="s">
        <v>394</v>
      </c>
      <c r="O115" s="488">
        <v>6</v>
      </c>
      <c r="P115" s="488">
        <v>41</v>
      </c>
      <c r="Q115" s="488">
        <v>38</v>
      </c>
      <c r="R115" s="488">
        <v>6.3</v>
      </c>
    </row>
    <row r="116" spans="1:18" x14ac:dyDescent="0.3">
      <c r="A116" s="488">
        <v>113</v>
      </c>
      <c r="B116" s="488" t="s">
        <v>324</v>
      </c>
      <c r="C116" s="488" t="s">
        <v>401</v>
      </c>
      <c r="D116" s="488" t="s">
        <v>399</v>
      </c>
      <c r="E116" s="488">
        <v>3</v>
      </c>
      <c r="F116" s="488">
        <v>44</v>
      </c>
      <c r="G116" s="488">
        <v>-4</v>
      </c>
      <c r="H116" s="488">
        <v>48</v>
      </c>
      <c r="I116" s="488">
        <v>16</v>
      </c>
      <c r="J116" s="488"/>
      <c r="K116" s="488">
        <v>113</v>
      </c>
      <c r="L116" s="488" t="s">
        <v>201</v>
      </c>
      <c r="M116" s="488" t="s">
        <v>397</v>
      </c>
      <c r="N116" s="488" t="s">
        <v>396</v>
      </c>
      <c r="O116" s="488">
        <v>15</v>
      </c>
      <c r="P116" s="488">
        <v>166</v>
      </c>
      <c r="Q116" s="488">
        <v>38</v>
      </c>
      <c r="R116" s="488">
        <v>2.5</v>
      </c>
    </row>
    <row r="117" spans="1:18" x14ac:dyDescent="0.3">
      <c r="A117" s="488">
        <v>114</v>
      </c>
      <c r="B117" s="488" t="s">
        <v>246</v>
      </c>
      <c r="C117" s="488" t="s">
        <v>22</v>
      </c>
      <c r="D117" s="488" t="s">
        <v>396</v>
      </c>
      <c r="E117" s="488">
        <v>8</v>
      </c>
      <c r="F117" s="488">
        <v>83</v>
      </c>
      <c r="G117" s="488">
        <v>36</v>
      </c>
      <c r="H117" s="488">
        <v>47</v>
      </c>
      <c r="I117" s="488">
        <v>5.88</v>
      </c>
      <c r="J117" s="488"/>
      <c r="K117" s="488">
        <v>114</v>
      </c>
      <c r="L117" s="488" t="s">
        <v>87</v>
      </c>
      <c r="M117" s="488" t="s">
        <v>16</v>
      </c>
      <c r="N117" s="488" t="s">
        <v>394</v>
      </c>
      <c r="O117" s="488">
        <v>8</v>
      </c>
      <c r="P117" s="488">
        <v>39</v>
      </c>
      <c r="Q117" s="488">
        <v>37</v>
      </c>
      <c r="R117" s="488">
        <v>4.5999999999999996</v>
      </c>
    </row>
    <row r="118" spans="1:18" x14ac:dyDescent="0.3">
      <c r="A118" s="488">
        <v>115</v>
      </c>
      <c r="B118" s="488" t="s">
        <v>337</v>
      </c>
      <c r="C118" s="488" t="s">
        <v>43</v>
      </c>
      <c r="D118" s="488" t="s">
        <v>399</v>
      </c>
      <c r="E118" s="488">
        <v>11</v>
      </c>
      <c r="F118" s="488">
        <v>74</v>
      </c>
      <c r="G118" s="488">
        <v>28</v>
      </c>
      <c r="H118" s="488">
        <v>46</v>
      </c>
      <c r="I118" s="488">
        <v>4.18</v>
      </c>
      <c r="J118" s="488"/>
      <c r="K118" s="488">
        <v>115</v>
      </c>
      <c r="L118" s="488" t="s">
        <v>262</v>
      </c>
      <c r="M118" s="488" t="s">
        <v>57</v>
      </c>
      <c r="N118" s="488" t="s">
        <v>396</v>
      </c>
      <c r="O118" s="488">
        <v>11</v>
      </c>
      <c r="P118" s="488">
        <v>157</v>
      </c>
      <c r="Q118" s="488">
        <v>37</v>
      </c>
      <c r="R118" s="488">
        <v>3.4</v>
      </c>
    </row>
    <row r="119" spans="1:18" x14ac:dyDescent="0.3">
      <c r="A119" s="488">
        <v>116</v>
      </c>
      <c r="B119" s="488" t="s">
        <v>366</v>
      </c>
      <c r="C119" s="488" t="s">
        <v>70</v>
      </c>
      <c r="D119" s="488" t="s">
        <v>399</v>
      </c>
      <c r="E119" s="488">
        <v>7</v>
      </c>
      <c r="F119" s="488">
        <v>74</v>
      </c>
      <c r="G119" s="488">
        <v>30</v>
      </c>
      <c r="H119" s="488">
        <v>44</v>
      </c>
      <c r="I119" s="488">
        <v>6.29</v>
      </c>
      <c r="J119" s="488"/>
      <c r="K119" s="488">
        <v>116</v>
      </c>
      <c r="L119" s="488" t="s">
        <v>306</v>
      </c>
      <c r="M119" s="488" t="s">
        <v>10</v>
      </c>
      <c r="N119" s="488" t="s">
        <v>396</v>
      </c>
      <c r="O119" s="488">
        <v>3</v>
      </c>
      <c r="P119" s="488">
        <v>118</v>
      </c>
      <c r="Q119" s="488">
        <v>36</v>
      </c>
      <c r="R119" s="488">
        <v>12</v>
      </c>
    </row>
    <row r="120" spans="1:18" x14ac:dyDescent="0.3">
      <c r="A120" s="488">
        <v>117</v>
      </c>
      <c r="B120" s="488" t="s">
        <v>531</v>
      </c>
      <c r="C120" s="488" t="s">
        <v>30</v>
      </c>
      <c r="D120" s="488" t="s">
        <v>399</v>
      </c>
      <c r="E120" s="488">
        <v>3</v>
      </c>
      <c r="F120" s="488">
        <v>59</v>
      </c>
      <c r="G120" s="488">
        <v>15</v>
      </c>
      <c r="H120" s="488">
        <v>44</v>
      </c>
      <c r="I120" s="488">
        <v>14.67</v>
      </c>
      <c r="J120" s="488"/>
      <c r="K120" s="488">
        <v>117</v>
      </c>
      <c r="L120" s="488" t="s">
        <v>386</v>
      </c>
      <c r="M120" s="488" t="s">
        <v>52</v>
      </c>
      <c r="N120" s="488" t="s">
        <v>399</v>
      </c>
      <c r="O120" s="488">
        <v>3</v>
      </c>
      <c r="P120" s="488">
        <v>50</v>
      </c>
      <c r="Q120" s="488">
        <v>36</v>
      </c>
      <c r="R120" s="488">
        <v>12</v>
      </c>
    </row>
    <row r="121" spans="1:18" x14ac:dyDescent="0.3">
      <c r="A121" s="488">
        <v>118</v>
      </c>
      <c r="B121" s="488" t="s">
        <v>523</v>
      </c>
      <c r="C121" s="488" t="s">
        <v>34</v>
      </c>
      <c r="D121" s="488" t="s">
        <v>396</v>
      </c>
      <c r="E121" s="488">
        <v>5</v>
      </c>
      <c r="F121" s="488">
        <v>64</v>
      </c>
      <c r="G121" s="488">
        <v>20</v>
      </c>
      <c r="H121" s="488">
        <v>44</v>
      </c>
      <c r="I121" s="488">
        <v>8.8000000000000007</v>
      </c>
      <c r="J121" s="488"/>
      <c r="K121" s="488">
        <v>118</v>
      </c>
      <c r="L121" s="488" t="s">
        <v>432</v>
      </c>
      <c r="M121" s="488" t="s">
        <v>46</v>
      </c>
      <c r="N121" s="488" t="s">
        <v>396</v>
      </c>
      <c r="O121" s="488">
        <v>13</v>
      </c>
      <c r="P121" s="488">
        <v>132</v>
      </c>
      <c r="Q121" s="488">
        <v>36</v>
      </c>
      <c r="R121" s="488">
        <v>2.8</v>
      </c>
    </row>
    <row r="122" spans="1:18" x14ac:dyDescent="0.3">
      <c r="A122" s="488">
        <v>119</v>
      </c>
      <c r="B122" s="488" t="s">
        <v>278</v>
      </c>
      <c r="C122" s="488" t="s">
        <v>12</v>
      </c>
      <c r="D122" s="488" t="s">
        <v>396</v>
      </c>
      <c r="E122" s="488">
        <v>12</v>
      </c>
      <c r="F122" s="488">
        <v>141</v>
      </c>
      <c r="G122" s="488">
        <v>99</v>
      </c>
      <c r="H122" s="488">
        <v>42</v>
      </c>
      <c r="I122" s="488">
        <v>3.5</v>
      </c>
      <c r="J122" s="488"/>
      <c r="K122" s="488">
        <v>119</v>
      </c>
      <c r="L122" s="488" t="s">
        <v>134</v>
      </c>
      <c r="M122" s="488" t="s">
        <v>52</v>
      </c>
      <c r="N122" s="488" t="s">
        <v>394</v>
      </c>
      <c r="O122" s="488">
        <v>3</v>
      </c>
      <c r="P122" s="488">
        <v>42</v>
      </c>
      <c r="Q122" s="488">
        <v>36</v>
      </c>
      <c r="R122" s="488">
        <v>12</v>
      </c>
    </row>
    <row r="123" spans="1:18" x14ac:dyDescent="0.3">
      <c r="A123" s="488">
        <v>120</v>
      </c>
      <c r="B123" s="488" t="s">
        <v>152</v>
      </c>
      <c r="C123" s="488" t="s">
        <v>404</v>
      </c>
      <c r="D123" s="488" t="s">
        <v>394</v>
      </c>
      <c r="E123" s="488">
        <v>11</v>
      </c>
      <c r="F123" s="488">
        <v>63</v>
      </c>
      <c r="G123" s="488">
        <v>22</v>
      </c>
      <c r="H123" s="488">
        <v>41</v>
      </c>
      <c r="I123" s="488">
        <v>3.73</v>
      </c>
      <c r="J123" s="488"/>
      <c r="K123" s="488">
        <v>120</v>
      </c>
      <c r="L123" s="488" t="s">
        <v>343</v>
      </c>
      <c r="M123" s="488" t="s">
        <v>39</v>
      </c>
      <c r="N123" s="488" t="s">
        <v>399</v>
      </c>
      <c r="O123" s="488">
        <v>4</v>
      </c>
      <c r="P123" s="488">
        <v>72</v>
      </c>
      <c r="Q123" s="488">
        <v>36</v>
      </c>
      <c r="R123" s="488">
        <v>9</v>
      </c>
    </row>
    <row r="124" spans="1:18" x14ac:dyDescent="0.3">
      <c r="A124" s="488">
        <v>121</v>
      </c>
      <c r="B124" s="488" t="s">
        <v>345</v>
      </c>
      <c r="C124" s="488" t="s">
        <v>398</v>
      </c>
      <c r="D124" s="488" t="s">
        <v>399</v>
      </c>
      <c r="E124" s="488">
        <v>5</v>
      </c>
      <c r="F124" s="488">
        <v>52</v>
      </c>
      <c r="G124" s="488">
        <v>12</v>
      </c>
      <c r="H124" s="488">
        <v>40</v>
      </c>
      <c r="I124" s="488">
        <v>8</v>
      </c>
      <c r="J124" s="488"/>
      <c r="K124" s="488">
        <v>121</v>
      </c>
      <c r="L124" s="488" t="s">
        <v>246</v>
      </c>
      <c r="M124" s="488" t="s">
        <v>22</v>
      </c>
      <c r="N124" s="488" t="s">
        <v>396</v>
      </c>
      <c r="O124" s="488">
        <v>8</v>
      </c>
      <c r="P124" s="488">
        <v>83</v>
      </c>
      <c r="Q124" s="488">
        <v>36</v>
      </c>
      <c r="R124" s="488">
        <v>4.5</v>
      </c>
    </row>
    <row r="125" spans="1:18" x14ac:dyDescent="0.3">
      <c r="A125" s="488">
        <v>122</v>
      </c>
      <c r="B125" s="488" t="s">
        <v>135</v>
      </c>
      <c r="C125" s="488" t="s">
        <v>50</v>
      </c>
      <c r="D125" s="488" t="s">
        <v>394</v>
      </c>
      <c r="E125" s="488">
        <v>10</v>
      </c>
      <c r="F125" s="488">
        <v>167</v>
      </c>
      <c r="G125" s="488">
        <v>127</v>
      </c>
      <c r="H125" s="488">
        <v>40</v>
      </c>
      <c r="I125" s="488">
        <v>4</v>
      </c>
      <c r="J125" s="488"/>
      <c r="K125" s="488">
        <v>122</v>
      </c>
      <c r="L125" s="488" t="s">
        <v>265</v>
      </c>
      <c r="M125" s="488" t="s">
        <v>398</v>
      </c>
      <c r="N125" s="488" t="s">
        <v>396</v>
      </c>
      <c r="O125" s="488">
        <v>9</v>
      </c>
      <c r="P125" s="488">
        <v>93</v>
      </c>
      <c r="Q125" s="488">
        <v>35</v>
      </c>
      <c r="R125" s="488">
        <v>3.9</v>
      </c>
    </row>
    <row r="126" spans="1:18" x14ac:dyDescent="0.3">
      <c r="A126" s="488">
        <v>123</v>
      </c>
      <c r="B126" s="488" t="s">
        <v>500</v>
      </c>
      <c r="C126" s="488" t="s">
        <v>404</v>
      </c>
      <c r="D126" s="488" t="s">
        <v>396</v>
      </c>
      <c r="E126" s="488">
        <v>4</v>
      </c>
      <c r="F126" s="488">
        <v>42</v>
      </c>
      <c r="G126" s="488">
        <v>2</v>
      </c>
      <c r="H126" s="488">
        <v>40</v>
      </c>
      <c r="I126" s="488">
        <v>10</v>
      </c>
      <c r="J126" s="488"/>
      <c r="K126" s="488">
        <v>123</v>
      </c>
      <c r="L126" s="488" t="s">
        <v>99</v>
      </c>
      <c r="M126" s="488" t="s">
        <v>32</v>
      </c>
      <c r="N126" s="488" t="s">
        <v>394</v>
      </c>
      <c r="O126" s="488">
        <v>11</v>
      </c>
      <c r="P126" s="488">
        <v>36</v>
      </c>
      <c r="Q126" s="488">
        <v>35</v>
      </c>
      <c r="R126" s="488">
        <v>3.2</v>
      </c>
    </row>
    <row r="127" spans="1:18" x14ac:dyDescent="0.3">
      <c r="A127" s="488">
        <v>124</v>
      </c>
      <c r="B127" s="488" t="s">
        <v>200</v>
      </c>
      <c r="C127" s="488" t="s">
        <v>407</v>
      </c>
      <c r="D127" s="488" t="s">
        <v>396</v>
      </c>
      <c r="E127" s="488">
        <v>6</v>
      </c>
      <c r="F127" s="488">
        <v>63</v>
      </c>
      <c r="G127" s="488">
        <v>23</v>
      </c>
      <c r="H127" s="488">
        <v>40</v>
      </c>
      <c r="I127" s="488">
        <v>6.67</v>
      </c>
      <c r="J127" s="488"/>
      <c r="K127" s="488">
        <v>124</v>
      </c>
      <c r="L127" s="488" t="s">
        <v>105</v>
      </c>
      <c r="M127" s="488" t="s">
        <v>395</v>
      </c>
      <c r="N127" s="488" t="s">
        <v>394</v>
      </c>
      <c r="O127" s="488">
        <v>3</v>
      </c>
      <c r="P127" s="488">
        <v>31</v>
      </c>
      <c r="Q127" s="488">
        <v>35</v>
      </c>
      <c r="R127" s="488">
        <v>11.7</v>
      </c>
    </row>
    <row r="128" spans="1:18" x14ac:dyDescent="0.3">
      <c r="A128" s="488">
        <v>125</v>
      </c>
      <c r="B128" s="488" t="s">
        <v>362</v>
      </c>
      <c r="C128" s="488" t="s">
        <v>57</v>
      </c>
      <c r="D128" s="488" t="s">
        <v>399</v>
      </c>
      <c r="E128" s="488">
        <v>5</v>
      </c>
      <c r="F128" s="488">
        <v>67</v>
      </c>
      <c r="G128" s="488">
        <v>27</v>
      </c>
      <c r="H128" s="488">
        <v>40</v>
      </c>
      <c r="I128" s="488">
        <v>8</v>
      </c>
      <c r="J128" s="488"/>
      <c r="K128" s="488">
        <v>125</v>
      </c>
      <c r="L128" s="488" t="s">
        <v>294</v>
      </c>
      <c r="M128" s="488" t="s">
        <v>398</v>
      </c>
      <c r="N128" s="488" t="s">
        <v>396</v>
      </c>
      <c r="O128" s="488">
        <v>12</v>
      </c>
      <c r="P128" s="488">
        <v>114</v>
      </c>
      <c r="Q128" s="488">
        <v>34</v>
      </c>
      <c r="R128" s="488">
        <v>2.8</v>
      </c>
    </row>
    <row r="129" spans="1:18" x14ac:dyDescent="0.3">
      <c r="A129" s="488">
        <v>126</v>
      </c>
      <c r="B129" s="488" t="s">
        <v>247</v>
      </c>
      <c r="C129" s="488" t="s">
        <v>39</v>
      </c>
      <c r="D129" s="488" t="s">
        <v>396</v>
      </c>
      <c r="E129" s="488">
        <v>7</v>
      </c>
      <c r="F129" s="488">
        <v>65</v>
      </c>
      <c r="G129" s="488">
        <v>25</v>
      </c>
      <c r="H129" s="488">
        <v>40</v>
      </c>
      <c r="I129" s="488">
        <v>5.71</v>
      </c>
      <c r="J129" s="488"/>
      <c r="K129" s="488">
        <v>126</v>
      </c>
      <c r="L129" s="488" t="s">
        <v>145</v>
      </c>
      <c r="M129" s="488" t="s">
        <v>7</v>
      </c>
      <c r="N129" s="488" t="s">
        <v>394</v>
      </c>
      <c r="O129" s="488">
        <v>7</v>
      </c>
      <c r="P129" s="488">
        <v>36</v>
      </c>
      <c r="Q129" s="488">
        <v>34</v>
      </c>
      <c r="R129" s="488">
        <v>4.9000000000000004</v>
      </c>
    </row>
    <row r="130" spans="1:18" x14ac:dyDescent="0.3">
      <c r="A130" s="488">
        <v>127</v>
      </c>
      <c r="B130" s="488" t="s">
        <v>267</v>
      </c>
      <c r="C130" s="488" t="s">
        <v>7</v>
      </c>
      <c r="D130" s="488" t="s">
        <v>396</v>
      </c>
      <c r="E130" s="488">
        <v>4</v>
      </c>
      <c r="F130" s="488">
        <v>46</v>
      </c>
      <c r="G130" s="488">
        <v>7</v>
      </c>
      <c r="H130" s="488">
        <v>39</v>
      </c>
      <c r="I130" s="488">
        <v>9.75</v>
      </c>
      <c r="J130" s="488"/>
      <c r="K130" s="488">
        <v>127</v>
      </c>
      <c r="L130" s="488" t="s">
        <v>124</v>
      </c>
      <c r="M130" s="488" t="s">
        <v>34</v>
      </c>
      <c r="N130" s="488" t="s">
        <v>394</v>
      </c>
      <c r="O130" s="488">
        <v>9</v>
      </c>
      <c r="P130" s="488">
        <v>49</v>
      </c>
      <c r="Q130" s="488">
        <v>33</v>
      </c>
      <c r="R130" s="488">
        <v>3.7</v>
      </c>
    </row>
    <row r="131" spans="1:18" x14ac:dyDescent="0.3">
      <c r="A131" s="488">
        <v>128</v>
      </c>
      <c r="B131" s="488" t="s">
        <v>477</v>
      </c>
      <c r="C131" s="488" t="s">
        <v>50</v>
      </c>
      <c r="D131" s="488" t="s">
        <v>396</v>
      </c>
      <c r="E131" s="488">
        <v>4</v>
      </c>
      <c r="F131" s="488">
        <v>43</v>
      </c>
      <c r="G131" s="488">
        <v>4</v>
      </c>
      <c r="H131" s="488">
        <v>39</v>
      </c>
      <c r="I131" s="488">
        <v>9.75</v>
      </c>
      <c r="J131" s="488"/>
      <c r="K131" s="488">
        <v>128</v>
      </c>
      <c r="L131" s="488" t="s">
        <v>104</v>
      </c>
      <c r="M131" s="488" t="s">
        <v>398</v>
      </c>
      <c r="N131" s="488" t="s">
        <v>394</v>
      </c>
      <c r="O131" s="488">
        <v>6</v>
      </c>
      <c r="P131" s="488">
        <v>25</v>
      </c>
      <c r="Q131" s="488">
        <v>33</v>
      </c>
      <c r="R131" s="488">
        <v>5.5</v>
      </c>
    </row>
    <row r="132" spans="1:18" x14ac:dyDescent="0.3">
      <c r="A132" s="488">
        <v>129</v>
      </c>
      <c r="B132" s="488" t="s">
        <v>225</v>
      </c>
      <c r="C132" s="488" t="s">
        <v>7</v>
      </c>
      <c r="D132" s="488" t="s">
        <v>396</v>
      </c>
      <c r="E132" s="488">
        <v>9</v>
      </c>
      <c r="F132" s="488">
        <v>79</v>
      </c>
      <c r="G132" s="488">
        <v>40</v>
      </c>
      <c r="H132" s="488">
        <v>39</v>
      </c>
      <c r="I132" s="488">
        <v>4.33</v>
      </c>
      <c r="J132" s="488"/>
      <c r="K132" s="488">
        <v>129</v>
      </c>
      <c r="L132" s="488" t="s">
        <v>474</v>
      </c>
      <c r="M132" s="488" t="s">
        <v>10</v>
      </c>
      <c r="N132" s="488" t="s">
        <v>396</v>
      </c>
      <c r="O132" s="488">
        <v>4</v>
      </c>
      <c r="P132" s="488">
        <v>89</v>
      </c>
      <c r="Q132" s="488">
        <v>33</v>
      </c>
      <c r="R132" s="488">
        <v>8.3000000000000007</v>
      </c>
    </row>
    <row r="133" spans="1:18" x14ac:dyDescent="0.3">
      <c r="A133" s="488">
        <v>130</v>
      </c>
      <c r="B133" s="488" t="s">
        <v>271</v>
      </c>
      <c r="C133" s="488" t="s">
        <v>50</v>
      </c>
      <c r="D133" s="488" t="s">
        <v>396</v>
      </c>
      <c r="E133" s="488">
        <v>4</v>
      </c>
      <c r="F133" s="488">
        <v>52</v>
      </c>
      <c r="G133" s="488">
        <v>14</v>
      </c>
      <c r="H133" s="488">
        <v>38</v>
      </c>
      <c r="I133" s="488">
        <v>9.5</v>
      </c>
      <c r="J133" s="488"/>
      <c r="K133" s="488">
        <v>130</v>
      </c>
      <c r="L133" s="488" t="s">
        <v>217</v>
      </c>
      <c r="M133" s="488" t="s">
        <v>401</v>
      </c>
      <c r="N133" s="488" t="s">
        <v>396</v>
      </c>
      <c r="O133" s="488">
        <v>21</v>
      </c>
      <c r="P133" s="488">
        <v>301</v>
      </c>
      <c r="Q133" s="488">
        <v>33</v>
      </c>
      <c r="R133" s="488">
        <v>1.6</v>
      </c>
    </row>
    <row r="134" spans="1:18" x14ac:dyDescent="0.3">
      <c r="A134" s="488">
        <v>131</v>
      </c>
      <c r="B134" s="488" t="s">
        <v>408</v>
      </c>
      <c r="C134" s="488" t="s">
        <v>30</v>
      </c>
      <c r="D134" s="488" t="s">
        <v>396</v>
      </c>
      <c r="E134" s="488">
        <v>4</v>
      </c>
      <c r="F134" s="488">
        <v>39</v>
      </c>
      <c r="G134" s="488">
        <v>1</v>
      </c>
      <c r="H134" s="488">
        <v>38</v>
      </c>
      <c r="I134" s="488">
        <v>9.5</v>
      </c>
      <c r="J134" s="488"/>
      <c r="K134" s="488">
        <v>131</v>
      </c>
      <c r="L134" s="488" t="s">
        <v>367</v>
      </c>
      <c r="M134" s="488" t="s">
        <v>4</v>
      </c>
      <c r="N134" s="488" t="s">
        <v>399</v>
      </c>
      <c r="O134" s="488">
        <v>5</v>
      </c>
      <c r="P134" s="488">
        <v>28</v>
      </c>
      <c r="Q134" s="488">
        <v>31</v>
      </c>
      <c r="R134" s="488">
        <v>6.2</v>
      </c>
    </row>
    <row r="135" spans="1:18" x14ac:dyDescent="0.3">
      <c r="A135" s="488">
        <v>132</v>
      </c>
      <c r="B135" s="488" t="s">
        <v>333</v>
      </c>
      <c r="C135" s="488" t="s">
        <v>10</v>
      </c>
      <c r="D135" s="488" t="s">
        <v>399</v>
      </c>
      <c r="E135" s="488">
        <v>7</v>
      </c>
      <c r="F135" s="488">
        <v>67</v>
      </c>
      <c r="G135" s="488">
        <v>29</v>
      </c>
      <c r="H135" s="488">
        <v>38</v>
      </c>
      <c r="I135" s="488">
        <v>5.43</v>
      </c>
      <c r="J135" s="488"/>
      <c r="K135" s="488">
        <v>132</v>
      </c>
      <c r="L135" s="488" t="s">
        <v>228</v>
      </c>
      <c r="M135" s="488" t="s">
        <v>402</v>
      </c>
      <c r="N135" s="488" t="s">
        <v>396</v>
      </c>
      <c r="O135" s="488">
        <v>9</v>
      </c>
      <c r="P135" s="488">
        <v>119</v>
      </c>
      <c r="Q135" s="488">
        <v>31</v>
      </c>
      <c r="R135" s="488">
        <v>3.4</v>
      </c>
    </row>
    <row r="136" spans="1:18" x14ac:dyDescent="0.3">
      <c r="A136" s="488">
        <v>133</v>
      </c>
      <c r="B136" s="488" t="s">
        <v>232</v>
      </c>
      <c r="C136" s="488" t="s">
        <v>39</v>
      </c>
      <c r="D136" s="488" t="s">
        <v>399</v>
      </c>
      <c r="E136" s="488">
        <v>6</v>
      </c>
      <c r="F136" s="488">
        <v>58</v>
      </c>
      <c r="G136" s="488">
        <v>20</v>
      </c>
      <c r="H136" s="488">
        <v>38</v>
      </c>
      <c r="I136" s="488">
        <v>6.33</v>
      </c>
      <c r="J136" s="488"/>
      <c r="K136" s="488">
        <v>133</v>
      </c>
      <c r="L136" s="488" t="s">
        <v>95</v>
      </c>
      <c r="M136" s="488" t="s">
        <v>14</v>
      </c>
      <c r="N136" s="488" t="s">
        <v>394</v>
      </c>
      <c r="O136" s="488">
        <v>3</v>
      </c>
      <c r="P136" s="488">
        <v>31</v>
      </c>
      <c r="Q136" s="488">
        <v>31</v>
      </c>
      <c r="R136" s="488">
        <v>10.3</v>
      </c>
    </row>
    <row r="137" spans="1:18" x14ac:dyDescent="0.3">
      <c r="A137" s="488">
        <v>134</v>
      </c>
      <c r="B137" s="488" t="s">
        <v>339</v>
      </c>
      <c r="C137" s="488" t="s">
        <v>37</v>
      </c>
      <c r="D137" s="488" t="s">
        <v>399</v>
      </c>
      <c r="E137" s="488">
        <v>8</v>
      </c>
      <c r="F137" s="488">
        <v>50</v>
      </c>
      <c r="G137" s="488">
        <v>12</v>
      </c>
      <c r="H137" s="488">
        <v>38</v>
      </c>
      <c r="I137" s="488">
        <v>4.75</v>
      </c>
      <c r="J137" s="488"/>
      <c r="K137" s="488">
        <v>134</v>
      </c>
      <c r="L137" s="488" t="s">
        <v>519</v>
      </c>
      <c r="M137" s="488" t="s">
        <v>30</v>
      </c>
      <c r="N137" s="488" t="s">
        <v>396</v>
      </c>
      <c r="O137" s="488">
        <v>14</v>
      </c>
      <c r="P137" s="488">
        <v>157</v>
      </c>
      <c r="Q137" s="488">
        <v>30</v>
      </c>
      <c r="R137" s="488">
        <v>2.1</v>
      </c>
    </row>
    <row r="138" spans="1:18" x14ac:dyDescent="0.3">
      <c r="A138" s="488">
        <v>135</v>
      </c>
      <c r="B138" s="488" t="s">
        <v>343</v>
      </c>
      <c r="C138" s="488" t="s">
        <v>39</v>
      </c>
      <c r="D138" s="488" t="s">
        <v>399</v>
      </c>
      <c r="E138" s="488">
        <v>4</v>
      </c>
      <c r="F138" s="488">
        <v>72</v>
      </c>
      <c r="G138" s="488">
        <v>36</v>
      </c>
      <c r="H138" s="488">
        <v>36</v>
      </c>
      <c r="I138" s="488">
        <v>9</v>
      </c>
      <c r="J138" s="488"/>
      <c r="K138" s="488">
        <v>135</v>
      </c>
      <c r="L138" s="488" t="s">
        <v>285</v>
      </c>
      <c r="M138" s="488" t="s">
        <v>397</v>
      </c>
      <c r="N138" s="488" t="s">
        <v>396</v>
      </c>
      <c r="O138" s="488">
        <v>9</v>
      </c>
      <c r="P138" s="488">
        <v>102</v>
      </c>
      <c r="Q138" s="488">
        <v>30</v>
      </c>
      <c r="R138" s="488">
        <v>3.3</v>
      </c>
    </row>
    <row r="139" spans="1:18" x14ac:dyDescent="0.3">
      <c r="A139" s="488">
        <v>136</v>
      </c>
      <c r="B139" s="488" t="s">
        <v>98</v>
      </c>
      <c r="C139" s="488" t="s">
        <v>24</v>
      </c>
      <c r="D139" s="488" t="s">
        <v>394</v>
      </c>
      <c r="E139" s="488">
        <v>10</v>
      </c>
      <c r="F139" s="488">
        <v>169</v>
      </c>
      <c r="G139" s="488">
        <v>134</v>
      </c>
      <c r="H139" s="488">
        <v>35</v>
      </c>
      <c r="I139" s="488">
        <v>3.5</v>
      </c>
      <c r="J139" s="488"/>
      <c r="K139" s="488">
        <v>136</v>
      </c>
      <c r="L139" s="488" t="s">
        <v>197</v>
      </c>
      <c r="M139" s="488" t="s">
        <v>34</v>
      </c>
      <c r="N139" s="488" t="s">
        <v>396</v>
      </c>
      <c r="O139" s="488">
        <v>9</v>
      </c>
      <c r="P139" s="488">
        <v>194</v>
      </c>
      <c r="Q139" s="488">
        <v>30</v>
      </c>
      <c r="R139" s="488">
        <v>3.3</v>
      </c>
    </row>
    <row r="140" spans="1:18" x14ac:dyDescent="0.3">
      <c r="A140" s="488">
        <v>137</v>
      </c>
      <c r="B140" s="488" t="s">
        <v>327</v>
      </c>
      <c r="C140" s="488" t="s">
        <v>395</v>
      </c>
      <c r="D140" s="488" t="s">
        <v>399</v>
      </c>
      <c r="E140" s="488">
        <v>5</v>
      </c>
      <c r="F140" s="488">
        <v>56</v>
      </c>
      <c r="G140" s="488">
        <v>22</v>
      </c>
      <c r="H140" s="488">
        <v>34</v>
      </c>
      <c r="I140" s="488">
        <v>6.8</v>
      </c>
      <c r="J140" s="488"/>
      <c r="K140" s="488">
        <v>137</v>
      </c>
      <c r="L140" s="488" t="s">
        <v>366</v>
      </c>
      <c r="M140" s="488" t="s">
        <v>70</v>
      </c>
      <c r="N140" s="488" t="s">
        <v>399</v>
      </c>
      <c r="O140" s="488">
        <v>7</v>
      </c>
      <c r="P140" s="488">
        <v>74</v>
      </c>
      <c r="Q140" s="488">
        <v>30</v>
      </c>
      <c r="R140" s="488">
        <v>4.3</v>
      </c>
    </row>
    <row r="141" spans="1:18" x14ac:dyDescent="0.3">
      <c r="A141" s="488">
        <v>138</v>
      </c>
      <c r="B141" s="488" t="s">
        <v>352</v>
      </c>
      <c r="C141" s="488" t="s">
        <v>24</v>
      </c>
      <c r="D141" s="488" t="s">
        <v>399</v>
      </c>
      <c r="E141" s="488">
        <v>4</v>
      </c>
      <c r="F141" s="488">
        <v>41</v>
      </c>
      <c r="G141" s="488">
        <v>7</v>
      </c>
      <c r="H141" s="488">
        <v>34</v>
      </c>
      <c r="I141" s="488">
        <v>8.5</v>
      </c>
      <c r="J141" s="488"/>
      <c r="K141" s="488">
        <v>138</v>
      </c>
      <c r="L141" s="488" t="s">
        <v>333</v>
      </c>
      <c r="M141" s="488" t="s">
        <v>10</v>
      </c>
      <c r="N141" s="488" t="s">
        <v>399</v>
      </c>
      <c r="O141" s="488">
        <v>7</v>
      </c>
      <c r="P141" s="488">
        <v>67</v>
      </c>
      <c r="Q141" s="488">
        <v>29</v>
      </c>
      <c r="R141" s="488">
        <v>4.0999999999999996</v>
      </c>
    </row>
    <row r="142" spans="1:18" x14ac:dyDescent="0.3">
      <c r="A142" s="488">
        <v>139</v>
      </c>
      <c r="B142" s="488" t="s">
        <v>249</v>
      </c>
      <c r="C142" s="488" t="s">
        <v>407</v>
      </c>
      <c r="D142" s="488" t="s">
        <v>396</v>
      </c>
      <c r="E142" s="488">
        <v>5</v>
      </c>
      <c r="F142" s="488">
        <v>45</v>
      </c>
      <c r="G142" s="488">
        <v>14</v>
      </c>
      <c r="H142" s="488">
        <v>31</v>
      </c>
      <c r="I142" s="488">
        <v>6.2</v>
      </c>
      <c r="J142" s="488"/>
      <c r="K142" s="488">
        <v>139</v>
      </c>
      <c r="L142" s="488" t="s">
        <v>341</v>
      </c>
      <c r="M142" s="488" t="s">
        <v>57</v>
      </c>
      <c r="N142" s="488" t="s">
        <v>399</v>
      </c>
      <c r="O142" s="488">
        <v>8</v>
      </c>
      <c r="P142" s="488">
        <v>60</v>
      </c>
      <c r="Q142" s="488">
        <v>29</v>
      </c>
      <c r="R142" s="488">
        <v>3.6</v>
      </c>
    </row>
    <row r="143" spans="1:18" x14ac:dyDescent="0.3">
      <c r="A143" s="488">
        <v>140</v>
      </c>
      <c r="B143" s="488" t="s">
        <v>341</v>
      </c>
      <c r="C143" s="488" t="s">
        <v>57</v>
      </c>
      <c r="D143" s="488" t="s">
        <v>399</v>
      </c>
      <c r="E143" s="488">
        <v>8</v>
      </c>
      <c r="F143" s="488">
        <v>60</v>
      </c>
      <c r="G143" s="488">
        <v>29</v>
      </c>
      <c r="H143" s="488">
        <v>31</v>
      </c>
      <c r="I143" s="488">
        <v>3.88</v>
      </c>
      <c r="J143" s="488"/>
      <c r="K143" s="488">
        <v>140</v>
      </c>
      <c r="L143" s="488" t="s">
        <v>357</v>
      </c>
      <c r="M143" s="488" t="s">
        <v>16</v>
      </c>
      <c r="N143" s="488" t="s">
        <v>399</v>
      </c>
      <c r="O143" s="488">
        <v>9</v>
      </c>
      <c r="P143" s="488">
        <v>113</v>
      </c>
      <c r="Q143" s="488">
        <v>29</v>
      </c>
      <c r="R143" s="488">
        <v>3.2</v>
      </c>
    </row>
    <row r="144" spans="1:18" x14ac:dyDescent="0.3">
      <c r="A144" s="488">
        <v>141</v>
      </c>
      <c r="B144" s="488" t="s">
        <v>336</v>
      </c>
      <c r="C144" s="488" t="s">
        <v>402</v>
      </c>
      <c r="D144" s="488" t="s">
        <v>399</v>
      </c>
      <c r="E144" s="488">
        <v>10</v>
      </c>
      <c r="F144" s="488">
        <v>138</v>
      </c>
      <c r="G144" s="488">
        <v>107</v>
      </c>
      <c r="H144" s="488">
        <v>31</v>
      </c>
      <c r="I144" s="488">
        <v>3.1</v>
      </c>
      <c r="J144" s="488"/>
      <c r="K144" s="488">
        <v>141</v>
      </c>
      <c r="L144" s="488" t="s">
        <v>107</v>
      </c>
      <c r="M144" s="488" t="s">
        <v>407</v>
      </c>
      <c r="N144" s="488" t="s">
        <v>394</v>
      </c>
      <c r="O144" s="488">
        <v>6</v>
      </c>
      <c r="P144" s="488">
        <v>35</v>
      </c>
      <c r="Q144" s="488">
        <v>28</v>
      </c>
      <c r="R144" s="488">
        <v>4.7</v>
      </c>
    </row>
    <row r="145" spans="1:18" x14ac:dyDescent="0.3">
      <c r="A145" s="488">
        <v>142</v>
      </c>
      <c r="B145" s="488" t="s">
        <v>498</v>
      </c>
      <c r="C145" s="488" t="s">
        <v>402</v>
      </c>
      <c r="D145" s="488" t="s">
        <v>396</v>
      </c>
      <c r="E145" s="488">
        <v>4</v>
      </c>
      <c r="F145" s="488">
        <v>75</v>
      </c>
      <c r="G145" s="488">
        <v>44</v>
      </c>
      <c r="H145" s="488">
        <v>31</v>
      </c>
      <c r="I145" s="488">
        <v>7.75</v>
      </c>
      <c r="J145" s="488"/>
      <c r="K145" s="488">
        <v>142</v>
      </c>
      <c r="L145" s="488" t="s">
        <v>257</v>
      </c>
      <c r="M145" s="488" t="s">
        <v>14</v>
      </c>
      <c r="N145" s="488" t="s">
        <v>396</v>
      </c>
      <c r="O145" s="488">
        <v>5</v>
      </c>
      <c r="P145" s="488">
        <v>42</v>
      </c>
      <c r="Q145" s="488">
        <v>28</v>
      </c>
      <c r="R145" s="488">
        <v>5.6</v>
      </c>
    </row>
    <row r="146" spans="1:18" x14ac:dyDescent="0.3">
      <c r="A146" s="488">
        <v>143</v>
      </c>
      <c r="B146" s="488" t="s">
        <v>377</v>
      </c>
      <c r="C146" s="488" t="s">
        <v>39</v>
      </c>
      <c r="D146" s="488" t="s">
        <v>399</v>
      </c>
      <c r="E146" s="488">
        <v>7</v>
      </c>
      <c r="F146" s="488">
        <v>68</v>
      </c>
      <c r="G146" s="488">
        <v>38</v>
      </c>
      <c r="H146" s="488">
        <v>30</v>
      </c>
      <c r="I146" s="488">
        <v>4.29</v>
      </c>
      <c r="J146" s="488"/>
      <c r="K146" s="488">
        <v>143</v>
      </c>
      <c r="L146" s="488" t="s">
        <v>181</v>
      </c>
      <c r="M146" s="488" t="s">
        <v>37</v>
      </c>
      <c r="N146" s="488" t="s">
        <v>394</v>
      </c>
      <c r="O146" s="488">
        <v>1</v>
      </c>
      <c r="P146" s="488">
        <v>24</v>
      </c>
      <c r="Q146" s="488">
        <v>28</v>
      </c>
      <c r="R146" s="488">
        <v>28</v>
      </c>
    </row>
    <row r="147" spans="1:18" x14ac:dyDescent="0.3">
      <c r="A147" s="488">
        <v>144</v>
      </c>
      <c r="B147" s="488" t="s">
        <v>514</v>
      </c>
      <c r="C147" s="488" t="s">
        <v>14</v>
      </c>
      <c r="D147" s="488" t="s">
        <v>396</v>
      </c>
      <c r="E147" s="488">
        <v>3</v>
      </c>
      <c r="F147" s="488">
        <v>40</v>
      </c>
      <c r="G147" s="488">
        <v>11</v>
      </c>
      <c r="H147" s="488">
        <v>29</v>
      </c>
      <c r="I147" s="488">
        <v>9.67</v>
      </c>
      <c r="J147" s="488"/>
      <c r="K147" s="488">
        <v>144</v>
      </c>
      <c r="L147" s="488" t="s">
        <v>263</v>
      </c>
      <c r="M147" s="488" t="s">
        <v>409</v>
      </c>
      <c r="N147" s="488" t="s">
        <v>399</v>
      </c>
      <c r="O147" s="488">
        <v>6</v>
      </c>
      <c r="P147" s="488">
        <v>76</v>
      </c>
      <c r="Q147" s="488">
        <v>28</v>
      </c>
      <c r="R147" s="488">
        <v>4.7</v>
      </c>
    </row>
    <row r="148" spans="1:18" x14ac:dyDescent="0.3">
      <c r="A148" s="488">
        <v>145</v>
      </c>
      <c r="B148" s="488" t="s">
        <v>244</v>
      </c>
      <c r="C148" s="488" t="s">
        <v>37</v>
      </c>
      <c r="D148" s="488" t="s">
        <v>399</v>
      </c>
      <c r="E148" s="488">
        <v>8</v>
      </c>
      <c r="F148" s="488">
        <v>40</v>
      </c>
      <c r="G148" s="488">
        <v>12</v>
      </c>
      <c r="H148" s="488">
        <v>28</v>
      </c>
      <c r="I148" s="488">
        <v>3.5</v>
      </c>
      <c r="J148" s="488"/>
      <c r="K148" s="488">
        <v>145</v>
      </c>
      <c r="L148" s="488" t="s">
        <v>142</v>
      </c>
      <c r="M148" s="488" t="s">
        <v>43</v>
      </c>
      <c r="N148" s="488" t="s">
        <v>394</v>
      </c>
      <c r="O148" s="488">
        <v>5</v>
      </c>
      <c r="P148" s="488">
        <v>28</v>
      </c>
      <c r="Q148" s="488">
        <v>28</v>
      </c>
      <c r="R148" s="488">
        <v>5.6</v>
      </c>
    </row>
    <row r="149" spans="1:18" x14ac:dyDescent="0.3">
      <c r="A149" s="488">
        <v>146</v>
      </c>
      <c r="B149" s="488" t="s">
        <v>212</v>
      </c>
      <c r="C149" s="488" t="s">
        <v>26</v>
      </c>
      <c r="D149" s="488" t="s">
        <v>396</v>
      </c>
      <c r="E149" s="488">
        <v>13</v>
      </c>
      <c r="F149" s="488">
        <v>94</v>
      </c>
      <c r="G149" s="488">
        <v>66</v>
      </c>
      <c r="H149" s="488">
        <v>28</v>
      </c>
      <c r="I149" s="488">
        <v>2.15</v>
      </c>
      <c r="J149" s="488"/>
      <c r="K149" s="488">
        <v>146</v>
      </c>
      <c r="L149" s="488" t="s">
        <v>558</v>
      </c>
      <c r="M149" s="488" t="s">
        <v>50</v>
      </c>
      <c r="N149" s="488" t="s">
        <v>399</v>
      </c>
      <c r="O149" s="488">
        <v>4</v>
      </c>
      <c r="P149" s="488">
        <v>98</v>
      </c>
      <c r="Q149" s="488">
        <v>28</v>
      </c>
      <c r="R149" s="488">
        <v>7</v>
      </c>
    </row>
    <row r="150" spans="1:18" x14ac:dyDescent="0.3">
      <c r="A150" s="488">
        <v>147</v>
      </c>
      <c r="B150" s="488" t="s">
        <v>338</v>
      </c>
      <c r="C150" s="488" t="s">
        <v>398</v>
      </c>
      <c r="D150" s="488" t="s">
        <v>399</v>
      </c>
      <c r="E150" s="488">
        <v>5</v>
      </c>
      <c r="F150" s="488">
        <v>93</v>
      </c>
      <c r="G150" s="488">
        <v>65</v>
      </c>
      <c r="H150" s="488">
        <v>28</v>
      </c>
      <c r="I150" s="488">
        <v>5.6</v>
      </c>
      <c r="J150" s="488"/>
      <c r="K150" s="488">
        <v>147</v>
      </c>
      <c r="L150" s="488" t="s">
        <v>337</v>
      </c>
      <c r="M150" s="488" t="s">
        <v>43</v>
      </c>
      <c r="N150" s="488" t="s">
        <v>399</v>
      </c>
      <c r="O150" s="488">
        <v>11</v>
      </c>
      <c r="P150" s="488">
        <v>74</v>
      </c>
      <c r="Q150" s="488">
        <v>28</v>
      </c>
      <c r="R150" s="488">
        <v>2.5</v>
      </c>
    </row>
    <row r="151" spans="1:18" x14ac:dyDescent="0.3">
      <c r="A151" s="488">
        <v>148</v>
      </c>
      <c r="B151" s="488" t="s">
        <v>284</v>
      </c>
      <c r="C151" s="488" t="s">
        <v>50</v>
      </c>
      <c r="D151" s="488" t="s">
        <v>396</v>
      </c>
      <c r="E151" s="488">
        <v>4</v>
      </c>
      <c r="F151" s="488">
        <v>34</v>
      </c>
      <c r="G151" s="488">
        <v>6</v>
      </c>
      <c r="H151" s="488">
        <v>28</v>
      </c>
      <c r="I151" s="488">
        <v>7</v>
      </c>
      <c r="J151" s="488"/>
      <c r="K151" s="488">
        <v>148</v>
      </c>
      <c r="L151" s="488" t="s">
        <v>259</v>
      </c>
      <c r="M151" s="488" t="s">
        <v>39</v>
      </c>
      <c r="N151" s="488" t="s">
        <v>396</v>
      </c>
      <c r="O151" s="488">
        <v>5</v>
      </c>
      <c r="P151" s="488">
        <v>19</v>
      </c>
      <c r="Q151" s="488">
        <v>27</v>
      </c>
      <c r="R151" s="488">
        <v>5.4</v>
      </c>
    </row>
    <row r="152" spans="1:18" x14ac:dyDescent="0.3">
      <c r="A152" s="488">
        <v>149</v>
      </c>
      <c r="B152" s="488" t="s">
        <v>2519</v>
      </c>
      <c r="C152" s="488" t="s">
        <v>18</v>
      </c>
      <c r="D152" s="488" t="s">
        <v>2520</v>
      </c>
      <c r="E152" s="488">
        <v>1</v>
      </c>
      <c r="F152" s="488">
        <v>31</v>
      </c>
      <c r="G152" s="488">
        <v>3</v>
      </c>
      <c r="H152" s="488">
        <v>28</v>
      </c>
      <c r="I152" s="488">
        <v>28</v>
      </c>
      <c r="J152" s="488"/>
      <c r="K152" s="488">
        <v>149</v>
      </c>
      <c r="L152" s="488" t="s">
        <v>340</v>
      </c>
      <c r="M152" s="488" t="s">
        <v>401</v>
      </c>
      <c r="N152" s="488" t="s">
        <v>399</v>
      </c>
      <c r="O152" s="488">
        <v>11</v>
      </c>
      <c r="P152" s="488">
        <v>92</v>
      </c>
      <c r="Q152" s="488">
        <v>27</v>
      </c>
      <c r="R152" s="488">
        <v>2.5</v>
      </c>
    </row>
    <row r="153" spans="1:18" x14ac:dyDescent="0.3">
      <c r="A153" s="488">
        <v>150</v>
      </c>
      <c r="B153" s="488" t="s">
        <v>349</v>
      </c>
      <c r="C153" s="488" t="s">
        <v>18</v>
      </c>
      <c r="D153" s="488" t="s">
        <v>399</v>
      </c>
      <c r="E153" s="488">
        <v>6</v>
      </c>
      <c r="F153" s="488">
        <v>71</v>
      </c>
      <c r="G153" s="488">
        <v>44</v>
      </c>
      <c r="H153" s="488">
        <v>27</v>
      </c>
      <c r="I153" s="488">
        <v>4.5</v>
      </c>
      <c r="J153" s="488"/>
      <c r="K153" s="488">
        <v>150</v>
      </c>
      <c r="L153" s="488" t="s">
        <v>428</v>
      </c>
      <c r="M153" s="488" t="s">
        <v>52</v>
      </c>
      <c r="N153" s="488" t="s">
        <v>394</v>
      </c>
      <c r="O153" s="488">
        <v>5</v>
      </c>
      <c r="P153" s="488">
        <v>25</v>
      </c>
      <c r="Q153" s="488">
        <v>27</v>
      </c>
      <c r="R153" s="488">
        <v>5.4</v>
      </c>
    </row>
    <row r="154" spans="1:18" x14ac:dyDescent="0.3">
      <c r="A154" s="488">
        <v>151</v>
      </c>
      <c r="B154" s="488" t="s">
        <v>348</v>
      </c>
      <c r="C154" s="488" t="s">
        <v>395</v>
      </c>
      <c r="D154" s="488" t="s">
        <v>399</v>
      </c>
      <c r="E154" s="488">
        <v>6</v>
      </c>
      <c r="F154" s="488">
        <v>53</v>
      </c>
      <c r="G154" s="488">
        <v>26</v>
      </c>
      <c r="H154" s="488">
        <v>27</v>
      </c>
      <c r="I154" s="488">
        <v>4.5</v>
      </c>
      <c r="J154" s="488"/>
      <c r="K154" s="488">
        <v>151</v>
      </c>
      <c r="L154" s="488" t="s">
        <v>166</v>
      </c>
      <c r="M154" s="488" t="s">
        <v>4</v>
      </c>
      <c r="N154" s="488" t="s">
        <v>394</v>
      </c>
      <c r="O154" s="488">
        <v>2</v>
      </c>
      <c r="P154" s="488">
        <v>17</v>
      </c>
      <c r="Q154" s="488">
        <v>27</v>
      </c>
      <c r="R154" s="488">
        <v>13.5</v>
      </c>
    </row>
    <row r="155" spans="1:18" x14ac:dyDescent="0.3">
      <c r="A155" s="488">
        <v>152</v>
      </c>
      <c r="B155" s="488" t="s">
        <v>501</v>
      </c>
      <c r="C155" s="488" t="s">
        <v>34</v>
      </c>
      <c r="D155" s="488" t="s">
        <v>396</v>
      </c>
      <c r="E155" s="488">
        <v>2</v>
      </c>
      <c r="F155" s="488">
        <v>34</v>
      </c>
      <c r="G155" s="488">
        <v>8</v>
      </c>
      <c r="H155" s="488">
        <v>26</v>
      </c>
      <c r="I155" s="488">
        <v>13</v>
      </c>
      <c r="J155" s="488"/>
      <c r="K155" s="488">
        <v>152</v>
      </c>
      <c r="L155" s="488" t="s">
        <v>84</v>
      </c>
      <c r="M155" s="488" t="s">
        <v>50</v>
      </c>
      <c r="N155" s="488" t="s">
        <v>394</v>
      </c>
      <c r="O155" s="488">
        <v>9</v>
      </c>
      <c r="P155" s="488">
        <v>75</v>
      </c>
      <c r="Q155" s="488">
        <v>27</v>
      </c>
      <c r="R155" s="488">
        <v>3</v>
      </c>
    </row>
    <row r="156" spans="1:18" x14ac:dyDescent="0.3">
      <c r="A156" s="488">
        <v>153</v>
      </c>
      <c r="B156" s="488" t="s">
        <v>122</v>
      </c>
      <c r="C156" s="488" t="s">
        <v>43</v>
      </c>
      <c r="D156" s="488" t="s">
        <v>394</v>
      </c>
      <c r="E156" s="488">
        <v>10</v>
      </c>
      <c r="F156" s="488">
        <v>52</v>
      </c>
      <c r="G156" s="488">
        <v>26</v>
      </c>
      <c r="H156" s="488">
        <v>26</v>
      </c>
      <c r="I156" s="488">
        <v>2.6</v>
      </c>
      <c r="J156" s="488"/>
      <c r="K156" s="488">
        <v>153</v>
      </c>
      <c r="L156" s="488" t="s">
        <v>362</v>
      </c>
      <c r="M156" s="488" t="s">
        <v>57</v>
      </c>
      <c r="N156" s="488" t="s">
        <v>399</v>
      </c>
      <c r="O156" s="488">
        <v>5</v>
      </c>
      <c r="P156" s="488">
        <v>67</v>
      </c>
      <c r="Q156" s="488">
        <v>27</v>
      </c>
      <c r="R156" s="488">
        <v>5.4</v>
      </c>
    </row>
    <row r="157" spans="1:18" x14ac:dyDescent="0.3">
      <c r="A157" s="488">
        <v>154</v>
      </c>
      <c r="B157" s="488" t="s">
        <v>254</v>
      </c>
      <c r="C157" s="488" t="s">
        <v>22</v>
      </c>
      <c r="D157" s="488" t="s">
        <v>396</v>
      </c>
      <c r="E157" s="488">
        <v>3</v>
      </c>
      <c r="F157" s="488">
        <v>28</v>
      </c>
      <c r="G157" s="488">
        <v>2</v>
      </c>
      <c r="H157" s="488">
        <v>26</v>
      </c>
      <c r="I157" s="488">
        <v>8.67</v>
      </c>
      <c r="J157" s="488"/>
      <c r="K157" s="488">
        <v>154</v>
      </c>
      <c r="L157" s="488" t="s">
        <v>149</v>
      </c>
      <c r="M157" s="488" t="s">
        <v>32</v>
      </c>
      <c r="N157" s="488" t="s">
        <v>394</v>
      </c>
      <c r="O157" s="488">
        <v>4</v>
      </c>
      <c r="P157" s="488">
        <v>29</v>
      </c>
      <c r="Q157" s="488">
        <v>26</v>
      </c>
      <c r="R157" s="488">
        <v>6.5</v>
      </c>
    </row>
    <row r="158" spans="1:18" x14ac:dyDescent="0.3">
      <c r="A158" s="488">
        <v>155</v>
      </c>
      <c r="B158" s="488" t="s">
        <v>89</v>
      </c>
      <c r="C158" s="488" t="s">
        <v>404</v>
      </c>
      <c r="D158" s="488" t="s">
        <v>394</v>
      </c>
      <c r="E158" s="488">
        <v>10</v>
      </c>
      <c r="F158" s="488">
        <v>76</v>
      </c>
      <c r="G158" s="488">
        <v>50</v>
      </c>
      <c r="H158" s="488">
        <v>26</v>
      </c>
      <c r="I158" s="488">
        <v>2.6</v>
      </c>
      <c r="J158" s="488"/>
      <c r="K158" s="488">
        <v>155</v>
      </c>
      <c r="L158" s="488" t="s">
        <v>258</v>
      </c>
      <c r="M158" s="488" t="s">
        <v>57</v>
      </c>
      <c r="N158" s="488" t="s">
        <v>396</v>
      </c>
      <c r="O158" s="488">
        <v>8</v>
      </c>
      <c r="P158" s="488">
        <v>131</v>
      </c>
      <c r="Q158" s="488">
        <v>26</v>
      </c>
      <c r="R158" s="488">
        <v>3.3</v>
      </c>
    </row>
    <row r="159" spans="1:18" x14ac:dyDescent="0.3">
      <c r="A159" s="488">
        <v>156</v>
      </c>
      <c r="B159" s="488" t="s">
        <v>128</v>
      </c>
      <c r="C159" s="488" t="s">
        <v>30</v>
      </c>
      <c r="D159" s="488" t="s">
        <v>394</v>
      </c>
      <c r="E159" s="488">
        <v>17</v>
      </c>
      <c r="F159" s="488">
        <v>132</v>
      </c>
      <c r="G159" s="488">
        <v>107</v>
      </c>
      <c r="H159" s="488">
        <v>25</v>
      </c>
      <c r="I159" s="488">
        <v>1.47</v>
      </c>
      <c r="J159" s="488"/>
      <c r="K159" s="488">
        <v>156</v>
      </c>
      <c r="L159" s="488" t="s">
        <v>96</v>
      </c>
      <c r="M159" s="488" t="s">
        <v>395</v>
      </c>
      <c r="N159" s="488" t="s">
        <v>394</v>
      </c>
      <c r="O159" s="488">
        <v>2</v>
      </c>
      <c r="P159" s="488">
        <v>19</v>
      </c>
      <c r="Q159" s="488">
        <v>26</v>
      </c>
      <c r="R159" s="488">
        <v>13</v>
      </c>
    </row>
    <row r="160" spans="1:18" x14ac:dyDescent="0.3">
      <c r="A160" s="488">
        <v>157</v>
      </c>
      <c r="B160" s="488" t="s">
        <v>551</v>
      </c>
      <c r="C160" s="488" t="s">
        <v>43</v>
      </c>
      <c r="D160" s="488" t="s">
        <v>399</v>
      </c>
      <c r="E160" s="488">
        <v>5</v>
      </c>
      <c r="F160" s="488">
        <v>40</v>
      </c>
      <c r="G160" s="488">
        <v>18</v>
      </c>
      <c r="H160" s="488">
        <v>22</v>
      </c>
      <c r="I160" s="488">
        <v>4.4000000000000004</v>
      </c>
      <c r="J160" s="488"/>
      <c r="K160" s="488">
        <v>157</v>
      </c>
      <c r="L160" s="488" t="s">
        <v>122</v>
      </c>
      <c r="M160" s="488" t="s">
        <v>43</v>
      </c>
      <c r="N160" s="488" t="s">
        <v>394</v>
      </c>
      <c r="O160" s="488">
        <v>10</v>
      </c>
      <c r="P160" s="488">
        <v>52</v>
      </c>
      <c r="Q160" s="488">
        <v>26</v>
      </c>
      <c r="R160" s="488">
        <v>2.6</v>
      </c>
    </row>
    <row r="161" spans="1:18" x14ac:dyDescent="0.3">
      <c r="A161" s="488">
        <v>158</v>
      </c>
      <c r="B161" s="488" t="s">
        <v>351</v>
      </c>
      <c r="C161" s="488" t="s">
        <v>7</v>
      </c>
      <c r="D161" s="488" t="s">
        <v>399</v>
      </c>
      <c r="E161" s="488">
        <v>5</v>
      </c>
      <c r="F161" s="488">
        <v>41</v>
      </c>
      <c r="G161" s="488">
        <v>19</v>
      </c>
      <c r="H161" s="488">
        <v>22</v>
      </c>
      <c r="I161" s="488">
        <v>4.4000000000000004</v>
      </c>
      <c r="J161" s="488"/>
      <c r="K161" s="488">
        <v>158</v>
      </c>
      <c r="L161" s="488" t="s">
        <v>348</v>
      </c>
      <c r="M161" s="488" t="s">
        <v>395</v>
      </c>
      <c r="N161" s="488" t="s">
        <v>399</v>
      </c>
      <c r="O161" s="488">
        <v>6</v>
      </c>
      <c r="P161" s="488">
        <v>53</v>
      </c>
      <c r="Q161" s="488">
        <v>26</v>
      </c>
      <c r="R161" s="488">
        <v>4.3</v>
      </c>
    </row>
    <row r="162" spans="1:18" x14ac:dyDescent="0.3">
      <c r="A162" s="488">
        <v>159</v>
      </c>
      <c r="B162" s="488" t="s">
        <v>1253</v>
      </c>
      <c r="C162" s="488" t="s">
        <v>70</v>
      </c>
      <c r="D162" s="488" t="s">
        <v>399</v>
      </c>
      <c r="E162" s="488">
        <v>1</v>
      </c>
      <c r="F162" s="488">
        <v>29</v>
      </c>
      <c r="G162" s="488">
        <v>7</v>
      </c>
      <c r="H162" s="488">
        <v>22</v>
      </c>
      <c r="I162" s="488">
        <v>22</v>
      </c>
      <c r="J162" s="488"/>
      <c r="K162" s="488">
        <v>159</v>
      </c>
      <c r="L162" s="488" t="s">
        <v>247</v>
      </c>
      <c r="M162" s="488" t="s">
        <v>39</v>
      </c>
      <c r="N162" s="488" t="s">
        <v>396</v>
      </c>
      <c r="O162" s="488">
        <v>7</v>
      </c>
      <c r="P162" s="488">
        <v>65</v>
      </c>
      <c r="Q162" s="488">
        <v>25</v>
      </c>
      <c r="R162" s="488">
        <v>3.6</v>
      </c>
    </row>
    <row r="163" spans="1:18" x14ac:dyDescent="0.3">
      <c r="A163" s="488">
        <v>160</v>
      </c>
      <c r="B163" s="488" t="s">
        <v>304</v>
      </c>
      <c r="C163" s="488" t="s">
        <v>70</v>
      </c>
      <c r="D163" s="488" t="s">
        <v>396</v>
      </c>
      <c r="E163" s="488">
        <v>3</v>
      </c>
      <c r="F163" s="488">
        <v>22</v>
      </c>
      <c r="G163" s="488">
        <v>0</v>
      </c>
      <c r="H163" s="488">
        <v>22</v>
      </c>
      <c r="I163" s="488">
        <v>7.33</v>
      </c>
      <c r="J163" s="488"/>
      <c r="K163" s="488">
        <v>160</v>
      </c>
      <c r="L163" s="488" t="s">
        <v>328</v>
      </c>
      <c r="M163" s="488" t="s">
        <v>7</v>
      </c>
      <c r="N163" s="488" t="s">
        <v>399</v>
      </c>
      <c r="O163" s="488">
        <v>10</v>
      </c>
      <c r="P163" s="488">
        <v>153</v>
      </c>
      <c r="Q163" s="488">
        <v>25</v>
      </c>
      <c r="R163" s="488">
        <v>2.5</v>
      </c>
    </row>
    <row r="164" spans="1:18" x14ac:dyDescent="0.3">
      <c r="A164" s="488">
        <v>161</v>
      </c>
      <c r="B164" s="488" t="s">
        <v>245</v>
      </c>
      <c r="C164" s="488" t="s">
        <v>4</v>
      </c>
      <c r="D164" s="488" t="s">
        <v>396</v>
      </c>
      <c r="E164" s="488">
        <v>7</v>
      </c>
      <c r="F164" s="488">
        <v>71</v>
      </c>
      <c r="G164" s="488">
        <v>50</v>
      </c>
      <c r="H164" s="488">
        <v>21</v>
      </c>
      <c r="I164" s="488">
        <v>3</v>
      </c>
      <c r="J164" s="488"/>
      <c r="K164" s="488">
        <v>161</v>
      </c>
      <c r="L164" s="488" t="s">
        <v>109</v>
      </c>
      <c r="M164" s="488" t="s">
        <v>46</v>
      </c>
      <c r="N164" s="488" t="s">
        <v>394</v>
      </c>
      <c r="O164" s="488">
        <v>5</v>
      </c>
      <c r="P164" s="488">
        <v>27</v>
      </c>
      <c r="Q164" s="488">
        <v>25</v>
      </c>
      <c r="R164" s="488">
        <v>5</v>
      </c>
    </row>
    <row r="165" spans="1:18" x14ac:dyDescent="0.3">
      <c r="A165" s="488">
        <v>162</v>
      </c>
      <c r="B165" s="488" t="s">
        <v>296</v>
      </c>
      <c r="C165" s="488" t="s">
        <v>46</v>
      </c>
      <c r="D165" s="488" t="s">
        <v>396</v>
      </c>
      <c r="E165" s="488">
        <v>2</v>
      </c>
      <c r="F165" s="488">
        <v>24</v>
      </c>
      <c r="G165" s="488">
        <v>4</v>
      </c>
      <c r="H165" s="488">
        <v>20</v>
      </c>
      <c r="I165" s="488">
        <v>10</v>
      </c>
      <c r="J165" s="488"/>
      <c r="K165" s="488">
        <v>162</v>
      </c>
      <c r="L165" s="488" t="s">
        <v>283</v>
      </c>
      <c r="M165" s="488" t="s">
        <v>16</v>
      </c>
      <c r="N165" s="488" t="s">
        <v>396</v>
      </c>
      <c r="O165" s="488">
        <v>8</v>
      </c>
      <c r="P165" s="488">
        <v>151</v>
      </c>
      <c r="Q165" s="488">
        <v>24</v>
      </c>
      <c r="R165" s="488">
        <v>3</v>
      </c>
    </row>
    <row r="166" spans="1:18" x14ac:dyDescent="0.3">
      <c r="A166" s="488">
        <v>163</v>
      </c>
      <c r="B166" s="488" t="s">
        <v>353</v>
      </c>
      <c r="C166" s="488" t="s">
        <v>22</v>
      </c>
      <c r="D166" s="488" t="s">
        <v>399</v>
      </c>
      <c r="E166" s="488">
        <v>1</v>
      </c>
      <c r="F166" s="488">
        <v>23</v>
      </c>
      <c r="G166" s="488">
        <v>3</v>
      </c>
      <c r="H166" s="488">
        <v>20</v>
      </c>
      <c r="I166" s="488">
        <v>20</v>
      </c>
      <c r="J166" s="488"/>
      <c r="K166" s="488">
        <v>163</v>
      </c>
      <c r="L166" s="488" t="s">
        <v>130</v>
      </c>
      <c r="M166" s="488" t="s">
        <v>24</v>
      </c>
      <c r="N166" s="488" t="s">
        <v>394</v>
      </c>
      <c r="O166" s="488">
        <v>3</v>
      </c>
      <c r="P166" s="488">
        <v>17</v>
      </c>
      <c r="Q166" s="488">
        <v>24</v>
      </c>
      <c r="R166" s="488">
        <v>8</v>
      </c>
    </row>
    <row r="167" spans="1:18" x14ac:dyDescent="0.3">
      <c r="A167" s="488">
        <v>164</v>
      </c>
      <c r="B167" s="488" t="s">
        <v>1560</v>
      </c>
      <c r="C167" s="488" t="s">
        <v>20</v>
      </c>
      <c r="D167" s="488" t="s">
        <v>399</v>
      </c>
      <c r="E167" s="488">
        <v>2</v>
      </c>
      <c r="F167" s="488">
        <v>26</v>
      </c>
      <c r="G167" s="488">
        <v>7</v>
      </c>
      <c r="H167" s="488">
        <v>19</v>
      </c>
      <c r="I167" s="488">
        <v>9.5</v>
      </c>
      <c r="J167" s="488"/>
      <c r="K167" s="488">
        <v>164</v>
      </c>
      <c r="L167" s="488" t="s">
        <v>234</v>
      </c>
      <c r="M167" s="488" t="s">
        <v>52</v>
      </c>
      <c r="N167" s="488" t="s">
        <v>396</v>
      </c>
      <c r="O167" s="488">
        <v>11</v>
      </c>
      <c r="P167" s="488">
        <v>150</v>
      </c>
      <c r="Q167" s="488">
        <v>24</v>
      </c>
      <c r="R167" s="488">
        <v>2.2000000000000002</v>
      </c>
    </row>
    <row r="168" spans="1:18" x14ac:dyDescent="0.3">
      <c r="A168" s="488">
        <v>165</v>
      </c>
      <c r="B168" s="488" t="s">
        <v>250</v>
      </c>
      <c r="C168" s="488" t="s">
        <v>30</v>
      </c>
      <c r="D168" s="488" t="s">
        <v>396</v>
      </c>
      <c r="E168" s="488">
        <v>4</v>
      </c>
      <c r="F168" s="488">
        <v>41</v>
      </c>
      <c r="G168" s="488">
        <v>22</v>
      </c>
      <c r="H168" s="488">
        <v>19</v>
      </c>
      <c r="I168" s="488">
        <v>4.75</v>
      </c>
      <c r="J168" s="488"/>
      <c r="K168" s="488">
        <v>165</v>
      </c>
      <c r="L168" s="488" t="s">
        <v>86</v>
      </c>
      <c r="M168" s="488" t="s">
        <v>401</v>
      </c>
      <c r="N168" s="488" t="s">
        <v>394</v>
      </c>
      <c r="O168" s="488">
        <v>5</v>
      </c>
      <c r="P168" s="488">
        <v>34</v>
      </c>
      <c r="Q168" s="488">
        <v>24</v>
      </c>
      <c r="R168" s="488">
        <v>4.8</v>
      </c>
    </row>
    <row r="169" spans="1:18" x14ac:dyDescent="0.3">
      <c r="A169" s="488">
        <v>166</v>
      </c>
      <c r="B169" s="488" t="s">
        <v>330</v>
      </c>
      <c r="C169" s="488" t="s">
        <v>32</v>
      </c>
      <c r="D169" s="488" t="s">
        <v>399</v>
      </c>
      <c r="E169" s="488">
        <v>2</v>
      </c>
      <c r="F169" s="488">
        <v>27</v>
      </c>
      <c r="G169" s="488">
        <v>9</v>
      </c>
      <c r="H169" s="488">
        <v>18</v>
      </c>
      <c r="I169" s="488">
        <v>9</v>
      </c>
      <c r="J169" s="488"/>
      <c r="K169" s="488">
        <v>166</v>
      </c>
      <c r="L169" s="488" t="s">
        <v>189</v>
      </c>
      <c r="M169" s="488" t="s">
        <v>43</v>
      </c>
      <c r="N169" s="488" t="s">
        <v>396</v>
      </c>
      <c r="O169" s="488">
        <v>16</v>
      </c>
      <c r="P169" s="488">
        <v>223</v>
      </c>
      <c r="Q169" s="488">
        <v>23</v>
      </c>
      <c r="R169" s="488">
        <v>1.4</v>
      </c>
    </row>
    <row r="170" spans="1:18" x14ac:dyDescent="0.3">
      <c r="A170" s="488">
        <v>167</v>
      </c>
      <c r="B170" s="488" t="s">
        <v>374</v>
      </c>
      <c r="C170" s="488" t="s">
        <v>397</v>
      </c>
      <c r="D170" s="488" t="s">
        <v>399</v>
      </c>
      <c r="E170" s="488">
        <v>4</v>
      </c>
      <c r="F170" s="488">
        <v>34</v>
      </c>
      <c r="G170" s="488">
        <v>16</v>
      </c>
      <c r="H170" s="488">
        <v>18</v>
      </c>
      <c r="I170" s="488">
        <v>4.5</v>
      </c>
      <c r="J170" s="488"/>
      <c r="K170" s="488">
        <v>167</v>
      </c>
      <c r="L170" s="488" t="s">
        <v>512</v>
      </c>
      <c r="M170" s="488" t="s">
        <v>4</v>
      </c>
      <c r="N170" s="488" t="s">
        <v>394</v>
      </c>
      <c r="O170" s="488">
        <v>4</v>
      </c>
      <c r="P170" s="488">
        <v>34</v>
      </c>
      <c r="Q170" s="488">
        <v>23</v>
      </c>
      <c r="R170" s="488">
        <v>5.8</v>
      </c>
    </row>
    <row r="171" spans="1:18" x14ac:dyDescent="0.3">
      <c r="A171" s="488">
        <v>168</v>
      </c>
      <c r="B171" s="488" t="s">
        <v>141</v>
      </c>
      <c r="C171" s="488" t="s">
        <v>18</v>
      </c>
      <c r="D171" s="488" t="s">
        <v>394</v>
      </c>
      <c r="E171" s="488">
        <v>6</v>
      </c>
      <c r="F171" s="488">
        <v>66</v>
      </c>
      <c r="G171" s="488">
        <v>48</v>
      </c>
      <c r="H171" s="488">
        <v>18</v>
      </c>
      <c r="I171" s="488">
        <v>3</v>
      </c>
      <c r="J171" s="488"/>
      <c r="K171" s="488">
        <v>168</v>
      </c>
      <c r="L171" s="488" t="s">
        <v>406</v>
      </c>
      <c r="M171" s="488" t="s">
        <v>14</v>
      </c>
      <c r="N171" s="488" t="s">
        <v>394</v>
      </c>
      <c r="O171" s="488">
        <v>3</v>
      </c>
      <c r="P171" s="488">
        <v>12</v>
      </c>
      <c r="Q171" s="488">
        <v>23</v>
      </c>
      <c r="R171" s="488">
        <v>7.7</v>
      </c>
    </row>
    <row r="172" spans="1:18" x14ac:dyDescent="0.3">
      <c r="A172" s="488">
        <v>169</v>
      </c>
      <c r="B172" s="488" t="s">
        <v>506</v>
      </c>
      <c r="C172" s="488" t="s">
        <v>28</v>
      </c>
      <c r="D172" s="488" t="s">
        <v>396</v>
      </c>
      <c r="E172" s="488">
        <v>1</v>
      </c>
      <c r="F172" s="488">
        <v>20</v>
      </c>
      <c r="G172" s="488">
        <v>3</v>
      </c>
      <c r="H172" s="488">
        <v>17</v>
      </c>
      <c r="I172" s="488">
        <v>17</v>
      </c>
      <c r="J172" s="488"/>
      <c r="K172" s="488">
        <v>169</v>
      </c>
      <c r="L172" s="488" t="s">
        <v>325</v>
      </c>
      <c r="M172" s="488" t="s">
        <v>407</v>
      </c>
      <c r="N172" s="488" t="s">
        <v>399</v>
      </c>
      <c r="O172" s="488">
        <v>6</v>
      </c>
      <c r="P172" s="488">
        <v>35</v>
      </c>
      <c r="Q172" s="488">
        <v>23</v>
      </c>
      <c r="R172" s="488">
        <v>3.8</v>
      </c>
    </row>
    <row r="173" spans="1:18" x14ac:dyDescent="0.3">
      <c r="A173" s="488">
        <v>170</v>
      </c>
      <c r="B173" s="488" t="s">
        <v>1550</v>
      </c>
      <c r="C173" s="488" t="s">
        <v>70</v>
      </c>
      <c r="D173" s="488" t="s">
        <v>396</v>
      </c>
      <c r="E173" s="488">
        <v>1</v>
      </c>
      <c r="F173" s="488">
        <v>20</v>
      </c>
      <c r="G173" s="488">
        <v>3</v>
      </c>
      <c r="H173" s="488">
        <v>17</v>
      </c>
      <c r="I173" s="488">
        <v>17</v>
      </c>
      <c r="J173" s="488"/>
      <c r="K173" s="488">
        <v>170</v>
      </c>
      <c r="L173" s="488" t="s">
        <v>161</v>
      </c>
      <c r="M173" s="488" t="s">
        <v>41</v>
      </c>
      <c r="N173" s="488" t="s">
        <v>394</v>
      </c>
      <c r="O173" s="488">
        <v>2</v>
      </c>
      <c r="P173" s="488">
        <v>15</v>
      </c>
      <c r="Q173" s="488">
        <v>23</v>
      </c>
      <c r="R173" s="488">
        <v>11.5</v>
      </c>
    </row>
    <row r="174" spans="1:18" x14ac:dyDescent="0.3">
      <c r="A174" s="488">
        <v>171</v>
      </c>
      <c r="B174" s="488" t="s">
        <v>313</v>
      </c>
      <c r="C174" s="488" t="s">
        <v>398</v>
      </c>
      <c r="D174" s="488" t="s">
        <v>396</v>
      </c>
      <c r="E174" s="488">
        <v>2</v>
      </c>
      <c r="F174" s="488">
        <v>32</v>
      </c>
      <c r="G174" s="488">
        <v>16</v>
      </c>
      <c r="H174" s="488">
        <v>16</v>
      </c>
      <c r="I174" s="488">
        <v>8</v>
      </c>
      <c r="J174" s="488"/>
      <c r="K174" s="488">
        <v>171</v>
      </c>
      <c r="L174" s="488" t="s">
        <v>138</v>
      </c>
      <c r="M174" s="488" t="s">
        <v>22</v>
      </c>
      <c r="N174" s="488" t="s">
        <v>394</v>
      </c>
      <c r="O174" s="488">
        <v>3</v>
      </c>
      <c r="P174" s="488">
        <v>15</v>
      </c>
      <c r="Q174" s="488">
        <v>23</v>
      </c>
      <c r="R174" s="488">
        <v>7.7</v>
      </c>
    </row>
    <row r="175" spans="1:18" x14ac:dyDescent="0.3">
      <c r="A175" s="488">
        <v>172</v>
      </c>
      <c r="B175" s="488" t="s">
        <v>124</v>
      </c>
      <c r="C175" s="488" t="s">
        <v>34</v>
      </c>
      <c r="D175" s="488" t="s">
        <v>394</v>
      </c>
      <c r="E175" s="488">
        <v>9</v>
      </c>
      <c r="F175" s="488">
        <v>49</v>
      </c>
      <c r="G175" s="488">
        <v>33</v>
      </c>
      <c r="H175" s="488">
        <v>16</v>
      </c>
      <c r="I175" s="488">
        <v>1.78</v>
      </c>
      <c r="J175" s="488"/>
      <c r="K175" s="488">
        <v>172</v>
      </c>
      <c r="L175" s="488" t="s">
        <v>200</v>
      </c>
      <c r="M175" s="488" t="s">
        <v>407</v>
      </c>
      <c r="N175" s="488" t="s">
        <v>396</v>
      </c>
      <c r="O175" s="488">
        <v>6</v>
      </c>
      <c r="P175" s="488">
        <v>63</v>
      </c>
      <c r="Q175" s="488">
        <v>23</v>
      </c>
      <c r="R175" s="488">
        <v>3.8</v>
      </c>
    </row>
    <row r="176" spans="1:18" x14ac:dyDescent="0.3">
      <c r="A176" s="488">
        <v>173</v>
      </c>
      <c r="B176" s="488" t="s">
        <v>361</v>
      </c>
      <c r="C176" s="488" t="s">
        <v>12</v>
      </c>
      <c r="D176" s="488" t="s">
        <v>399</v>
      </c>
      <c r="E176" s="488">
        <v>7</v>
      </c>
      <c r="F176" s="488">
        <v>85</v>
      </c>
      <c r="G176" s="488">
        <v>70</v>
      </c>
      <c r="H176" s="488">
        <v>15</v>
      </c>
      <c r="I176" s="488">
        <v>2.14</v>
      </c>
      <c r="J176" s="488"/>
      <c r="K176" s="488">
        <v>173</v>
      </c>
      <c r="L176" s="488" t="s">
        <v>242</v>
      </c>
      <c r="M176" s="488" t="s">
        <v>395</v>
      </c>
      <c r="N176" s="488" t="s">
        <v>396</v>
      </c>
      <c r="O176" s="488">
        <v>8</v>
      </c>
      <c r="P176" s="488">
        <v>99</v>
      </c>
      <c r="Q176" s="488">
        <v>22</v>
      </c>
      <c r="R176" s="488">
        <v>2.8</v>
      </c>
    </row>
    <row r="177" spans="1:18" x14ac:dyDescent="0.3">
      <c r="A177" s="488">
        <v>174</v>
      </c>
      <c r="B177" s="488" t="s">
        <v>274</v>
      </c>
      <c r="C177" s="488" t="s">
        <v>4</v>
      </c>
      <c r="D177" s="488" t="s">
        <v>396</v>
      </c>
      <c r="E177" s="488">
        <v>2</v>
      </c>
      <c r="F177" s="488">
        <v>14</v>
      </c>
      <c r="G177" s="488">
        <v>-1</v>
      </c>
      <c r="H177" s="488">
        <v>15</v>
      </c>
      <c r="I177" s="488">
        <v>7.5</v>
      </c>
      <c r="J177" s="488"/>
      <c r="K177" s="488">
        <v>174</v>
      </c>
      <c r="L177" s="488" t="s">
        <v>152</v>
      </c>
      <c r="M177" s="488" t="s">
        <v>404</v>
      </c>
      <c r="N177" s="488" t="s">
        <v>394</v>
      </c>
      <c r="O177" s="488">
        <v>11</v>
      </c>
      <c r="P177" s="488">
        <v>63</v>
      </c>
      <c r="Q177" s="488">
        <v>22</v>
      </c>
      <c r="R177" s="488">
        <v>2</v>
      </c>
    </row>
    <row r="178" spans="1:18" x14ac:dyDescent="0.3">
      <c r="A178" s="488">
        <v>175</v>
      </c>
      <c r="B178" s="488" t="s">
        <v>497</v>
      </c>
      <c r="C178" s="488" t="s">
        <v>32</v>
      </c>
      <c r="D178" s="488" t="s">
        <v>396</v>
      </c>
      <c r="E178" s="488">
        <v>3</v>
      </c>
      <c r="F178" s="488">
        <v>24</v>
      </c>
      <c r="G178" s="488">
        <v>9</v>
      </c>
      <c r="H178" s="488">
        <v>15</v>
      </c>
      <c r="I178" s="488">
        <v>5</v>
      </c>
      <c r="J178" s="488"/>
      <c r="K178" s="488">
        <v>175</v>
      </c>
      <c r="L178" s="488" t="s">
        <v>151</v>
      </c>
      <c r="M178" s="488" t="s">
        <v>409</v>
      </c>
      <c r="N178" s="488" t="s">
        <v>394</v>
      </c>
      <c r="O178" s="488">
        <v>3</v>
      </c>
      <c r="P178" s="488">
        <v>24</v>
      </c>
      <c r="Q178" s="488">
        <v>22</v>
      </c>
      <c r="R178" s="488">
        <v>7.3</v>
      </c>
    </row>
    <row r="179" spans="1:18" x14ac:dyDescent="0.3">
      <c r="A179" s="488">
        <v>176</v>
      </c>
      <c r="B179" s="488" t="s">
        <v>268</v>
      </c>
      <c r="C179" s="488" t="s">
        <v>43</v>
      </c>
      <c r="D179" s="488" t="s">
        <v>396</v>
      </c>
      <c r="E179" s="488">
        <v>1</v>
      </c>
      <c r="F179" s="488">
        <v>15</v>
      </c>
      <c r="G179" s="488">
        <v>0</v>
      </c>
      <c r="H179" s="488">
        <v>15</v>
      </c>
      <c r="I179" s="488">
        <v>15</v>
      </c>
      <c r="J179" s="488"/>
      <c r="K179" s="488">
        <v>176</v>
      </c>
      <c r="L179" s="488" t="s">
        <v>516</v>
      </c>
      <c r="M179" s="488" t="s">
        <v>57</v>
      </c>
      <c r="N179" s="488" t="s">
        <v>394</v>
      </c>
      <c r="O179" s="488">
        <v>4</v>
      </c>
      <c r="P179" s="488">
        <v>17</v>
      </c>
      <c r="Q179" s="488">
        <v>22</v>
      </c>
      <c r="R179" s="488">
        <v>5.5</v>
      </c>
    </row>
    <row r="180" spans="1:18" x14ac:dyDescent="0.3">
      <c r="A180" s="488">
        <v>177</v>
      </c>
      <c r="B180" s="488" t="s">
        <v>364</v>
      </c>
      <c r="C180" s="488" t="s">
        <v>28</v>
      </c>
      <c r="D180" s="488" t="s">
        <v>399</v>
      </c>
      <c r="E180" s="488">
        <v>3</v>
      </c>
      <c r="F180" s="488">
        <v>35</v>
      </c>
      <c r="G180" s="488">
        <v>20</v>
      </c>
      <c r="H180" s="488">
        <v>15</v>
      </c>
      <c r="I180" s="488">
        <v>5</v>
      </c>
      <c r="J180" s="488"/>
      <c r="K180" s="488">
        <v>177</v>
      </c>
      <c r="L180" s="488" t="s">
        <v>327</v>
      </c>
      <c r="M180" s="488" t="s">
        <v>395</v>
      </c>
      <c r="N180" s="488" t="s">
        <v>399</v>
      </c>
      <c r="O180" s="488">
        <v>5</v>
      </c>
      <c r="P180" s="488">
        <v>56</v>
      </c>
      <c r="Q180" s="488">
        <v>22</v>
      </c>
      <c r="R180" s="488">
        <v>4.4000000000000004</v>
      </c>
    </row>
    <row r="181" spans="1:18" x14ac:dyDescent="0.3">
      <c r="A181" s="488">
        <v>178</v>
      </c>
      <c r="B181" s="488" t="s">
        <v>257</v>
      </c>
      <c r="C181" s="488" t="s">
        <v>14</v>
      </c>
      <c r="D181" s="488" t="s">
        <v>396</v>
      </c>
      <c r="E181" s="488">
        <v>5</v>
      </c>
      <c r="F181" s="488">
        <v>42</v>
      </c>
      <c r="G181" s="488">
        <v>28</v>
      </c>
      <c r="H181" s="488">
        <v>14</v>
      </c>
      <c r="I181" s="488">
        <v>2.8</v>
      </c>
      <c r="J181" s="488"/>
      <c r="K181" s="488">
        <v>178</v>
      </c>
      <c r="L181" s="488" t="s">
        <v>139</v>
      </c>
      <c r="M181" s="488" t="s">
        <v>57</v>
      </c>
      <c r="N181" s="488" t="s">
        <v>394</v>
      </c>
      <c r="O181" s="488">
        <v>4</v>
      </c>
      <c r="P181" s="488">
        <v>31</v>
      </c>
      <c r="Q181" s="488">
        <v>22</v>
      </c>
      <c r="R181" s="488">
        <v>5.5</v>
      </c>
    </row>
    <row r="182" spans="1:18" x14ac:dyDescent="0.3">
      <c r="A182" s="488">
        <v>179</v>
      </c>
      <c r="B182" s="488" t="s">
        <v>312</v>
      </c>
      <c r="C182" s="488" t="s">
        <v>401</v>
      </c>
      <c r="D182" s="488" t="s">
        <v>396</v>
      </c>
      <c r="E182" s="488">
        <v>3</v>
      </c>
      <c r="F182" s="488">
        <v>22</v>
      </c>
      <c r="G182" s="488">
        <v>8</v>
      </c>
      <c r="H182" s="488">
        <v>14</v>
      </c>
      <c r="I182" s="488">
        <v>4.67</v>
      </c>
      <c r="J182" s="488"/>
      <c r="K182" s="488">
        <v>179</v>
      </c>
      <c r="L182" s="488" t="s">
        <v>250</v>
      </c>
      <c r="M182" s="488" t="s">
        <v>30</v>
      </c>
      <c r="N182" s="488" t="s">
        <v>396</v>
      </c>
      <c r="O182" s="488">
        <v>4</v>
      </c>
      <c r="P182" s="488">
        <v>41</v>
      </c>
      <c r="Q182" s="488">
        <v>22</v>
      </c>
      <c r="R182" s="488">
        <v>5.5</v>
      </c>
    </row>
    <row r="183" spans="1:18" x14ac:dyDescent="0.3">
      <c r="A183" s="488">
        <v>180</v>
      </c>
      <c r="B183" s="488" t="s">
        <v>386</v>
      </c>
      <c r="C183" s="488" t="s">
        <v>52</v>
      </c>
      <c r="D183" s="488" t="s">
        <v>399</v>
      </c>
      <c r="E183" s="488">
        <v>3</v>
      </c>
      <c r="F183" s="488">
        <v>50</v>
      </c>
      <c r="G183" s="488">
        <v>36</v>
      </c>
      <c r="H183" s="488">
        <v>14</v>
      </c>
      <c r="I183" s="488">
        <v>4.67</v>
      </c>
      <c r="J183" s="488"/>
      <c r="K183" s="488">
        <v>180</v>
      </c>
      <c r="L183" s="488" t="s">
        <v>121</v>
      </c>
      <c r="M183" s="488" t="s">
        <v>18</v>
      </c>
      <c r="N183" s="488" t="s">
        <v>394</v>
      </c>
      <c r="O183" s="488">
        <v>4</v>
      </c>
      <c r="P183" s="488">
        <v>27</v>
      </c>
      <c r="Q183" s="488">
        <v>21</v>
      </c>
      <c r="R183" s="488">
        <v>5.3</v>
      </c>
    </row>
    <row r="184" spans="1:18" x14ac:dyDescent="0.3">
      <c r="A184" s="488">
        <v>181</v>
      </c>
      <c r="B184" s="488" t="s">
        <v>764</v>
      </c>
      <c r="C184" s="488" t="s">
        <v>70</v>
      </c>
      <c r="D184" s="488" t="s">
        <v>394</v>
      </c>
      <c r="E184" s="488">
        <v>2</v>
      </c>
      <c r="F184" s="488">
        <v>22</v>
      </c>
      <c r="G184" s="488">
        <v>8</v>
      </c>
      <c r="H184" s="488">
        <v>14</v>
      </c>
      <c r="I184" s="488">
        <v>7</v>
      </c>
      <c r="J184" s="488"/>
      <c r="K184" s="488">
        <v>181</v>
      </c>
      <c r="L184" s="488" t="s">
        <v>360</v>
      </c>
      <c r="M184" s="488" t="s">
        <v>41</v>
      </c>
      <c r="N184" s="488" t="s">
        <v>399</v>
      </c>
      <c r="O184" s="488">
        <v>1</v>
      </c>
      <c r="P184" s="488">
        <v>18</v>
      </c>
      <c r="Q184" s="488">
        <v>20</v>
      </c>
      <c r="R184" s="488">
        <v>20</v>
      </c>
    </row>
    <row r="185" spans="1:18" x14ac:dyDescent="0.3">
      <c r="A185" s="488">
        <v>182</v>
      </c>
      <c r="B185" s="488" t="s">
        <v>155</v>
      </c>
      <c r="C185" s="488" t="s">
        <v>32</v>
      </c>
      <c r="D185" s="488" t="s">
        <v>394</v>
      </c>
      <c r="E185" s="488">
        <v>4</v>
      </c>
      <c r="F185" s="488">
        <v>31</v>
      </c>
      <c r="G185" s="488">
        <v>17</v>
      </c>
      <c r="H185" s="488">
        <v>14</v>
      </c>
      <c r="I185" s="488">
        <v>3.5</v>
      </c>
      <c r="J185" s="488"/>
      <c r="K185" s="488">
        <v>182</v>
      </c>
      <c r="L185" s="488" t="s">
        <v>523</v>
      </c>
      <c r="M185" s="488" t="s">
        <v>34</v>
      </c>
      <c r="N185" s="488" t="s">
        <v>396</v>
      </c>
      <c r="O185" s="488">
        <v>5</v>
      </c>
      <c r="P185" s="488">
        <v>64</v>
      </c>
      <c r="Q185" s="488">
        <v>20</v>
      </c>
      <c r="R185" s="488">
        <v>4</v>
      </c>
    </row>
    <row r="186" spans="1:18" x14ac:dyDescent="0.3">
      <c r="A186" s="488">
        <v>183</v>
      </c>
      <c r="B186" s="488" t="s">
        <v>286</v>
      </c>
      <c r="C186" s="488" t="s">
        <v>70</v>
      </c>
      <c r="D186" s="488" t="s">
        <v>396</v>
      </c>
      <c r="E186" s="488">
        <v>3</v>
      </c>
      <c r="F186" s="488">
        <v>24</v>
      </c>
      <c r="G186" s="488">
        <v>10</v>
      </c>
      <c r="H186" s="488">
        <v>14</v>
      </c>
      <c r="I186" s="488">
        <v>4.67</v>
      </c>
      <c r="J186" s="488"/>
      <c r="K186" s="488">
        <v>183</v>
      </c>
      <c r="L186" s="488" t="s">
        <v>232</v>
      </c>
      <c r="M186" s="488" t="s">
        <v>39</v>
      </c>
      <c r="N186" s="488" t="s">
        <v>399</v>
      </c>
      <c r="O186" s="488">
        <v>6</v>
      </c>
      <c r="P186" s="488">
        <v>58</v>
      </c>
      <c r="Q186" s="488">
        <v>20</v>
      </c>
      <c r="R186" s="488">
        <v>3.3</v>
      </c>
    </row>
    <row r="187" spans="1:18" x14ac:dyDescent="0.3">
      <c r="A187" s="488">
        <v>184</v>
      </c>
      <c r="B187" s="488" t="s">
        <v>481</v>
      </c>
      <c r="C187" s="488" t="s">
        <v>28</v>
      </c>
      <c r="D187" s="488" t="s">
        <v>396</v>
      </c>
      <c r="E187" s="488">
        <v>3</v>
      </c>
      <c r="F187" s="488">
        <v>27</v>
      </c>
      <c r="G187" s="488">
        <v>14</v>
      </c>
      <c r="H187" s="488">
        <v>13</v>
      </c>
      <c r="I187" s="488">
        <v>4.33</v>
      </c>
      <c r="J187" s="488"/>
      <c r="K187" s="488">
        <v>184</v>
      </c>
      <c r="L187" s="488" t="s">
        <v>354</v>
      </c>
      <c r="M187" s="488" t="s">
        <v>20</v>
      </c>
      <c r="N187" s="488" t="s">
        <v>399</v>
      </c>
      <c r="O187" s="488">
        <v>10</v>
      </c>
      <c r="P187" s="488">
        <v>70</v>
      </c>
      <c r="Q187" s="488">
        <v>20</v>
      </c>
      <c r="R187" s="488">
        <v>2</v>
      </c>
    </row>
    <row r="188" spans="1:18" x14ac:dyDescent="0.3">
      <c r="A188" s="488">
        <v>185</v>
      </c>
      <c r="B188" s="488" t="s">
        <v>266</v>
      </c>
      <c r="C188" s="488" t="s">
        <v>52</v>
      </c>
      <c r="D188" s="488" t="s">
        <v>396</v>
      </c>
      <c r="E188" s="488">
        <v>1</v>
      </c>
      <c r="F188" s="488">
        <v>16</v>
      </c>
      <c r="G188" s="488">
        <v>3</v>
      </c>
      <c r="H188" s="488">
        <v>13</v>
      </c>
      <c r="I188" s="488">
        <v>13</v>
      </c>
      <c r="J188" s="488"/>
      <c r="K188" s="488">
        <v>185</v>
      </c>
      <c r="L188" s="488" t="s">
        <v>364</v>
      </c>
      <c r="M188" s="488" t="s">
        <v>28</v>
      </c>
      <c r="N188" s="488" t="s">
        <v>399</v>
      </c>
      <c r="O188" s="488">
        <v>3</v>
      </c>
      <c r="P188" s="488">
        <v>35</v>
      </c>
      <c r="Q188" s="488">
        <v>20</v>
      </c>
      <c r="R188" s="488">
        <v>6.7</v>
      </c>
    </row>
    <row r="189" spans="1:18" x14ac:dyDescent="0.3">
      <c r="A189" s="488">
        <v>186</v>
      </c>
      <c r="B189" s="488" t="s">
        <v>369</v>
      </c>
      <c r="C189" s="488" t="s">
        <v>10</v>
      </c>
      <c r="D189" s="488" t="s">
        <v>399</v>
      </c>
      <c r="E189" s="488">
        <v>1</v>
      </c>
      <c r="F189" s="488">
        <v>28</v>
      </c>
      <c r="G189" s="488">
        <v>15</v>
      </c>
      <c r="H189" s="488">
        <v>13</v>
      </c>
      <c r="I189" s="488">
        <v>13</v>
      </c>
      <c r="J189" s="488"/>
      <c r="K189" s="488">
        <v>186</v>
      </c>
      <c r="L189" s="488" t="s">
        <v>154</v>
      </c>
      <c r="M189" s="488" t="s">
        <v>4</v>
      </c>
      <c r="N189" s="488" t="s">
        <v>394</v>
      </c>
      <c r="O189" s="488">
        <v>2</v>
      </c>
      <c r="P189" s="488">
        <v>28</v>
      </c>
      <c r="Q189" s="488">
        <v>19</v>
      </c>
      <c r="R189" s="488">
        <v>9.5</v>
      </c>
    </row>
    <row r="190" spans="1:18" x14ac:dyDescent="0.3">
      <c r="A190" s="488">
        <v>187</v>
      </c>
      <c r="B190" s="488" t="s">
        <v>325</v>
      </c>
      <c r="C190" s="488" t="s">
        <v>407</v>
      </c>
      <c r="D190" s="488" t="s">
        <v>399</v>
      </c>
      <c r="E190" s="488">
        <v>6</v>
      </c>
      <c r="F190" s="488">
        <v>35</v>
      </c>
      <c r="G190" s="488">
        <v>23</v>
      </c>
      <c r="H190" s="488">
        <v>12</v>
      </c>
      <c r="I190" s="488">
        <v>2</v>
      </c>
      <c r="J190" s="488"/>
      <c r="K190" s="488">
        <v>187</v>
      </c>
      <c r="L190" s="488" t="s">
        <v>351</v>
      </c>
      <c r="M190" s="488" t="s">
        <v>7</v>
      </c>
      <c r="N190" s="488" t="s">
        <v>399</v>
      </c>
      <c r="O190" s="488">
        <v>5</v>
      </c>
      <c r="P190" s="488">
        <v>41</v>
      </c>
      <c r="Q190" s="488">
        <v>19</v>
      </c>
      <c r="R190" s="488">
        <v>3.8</v>
      </c>
    </row>
    <row r="191" spans="1:18" x14ac:dyDescent="0.3">
      <c r="A191" s="488">
        <v>188</v>
      </c>
      <c r="B191" s="488" t="s">
        <v>1518</v>
      </c>
      <c r="C191" s="488" t="s">
        <v>70</v>
      </c>
      <c r="D191" s="488" t="s">
        <v>399</v>
      </c>
      <c r="E191" s="488">
        <v>2</v>
      </c>
      <c r="F191" s="488">
        <v>9</v>
      </c>
      <c r="G191" s="488">
        <v>-3</v>
      </c>
      <c r="H191" s="488">
        <v>12</v>
      </c>
      <c r="I191" s="488">
        <v>6</v>
      </c>
      <c r="J191" s="488"/>
      <c r="K191" s="488">
        <v>188</v>
      </c>
      <c r="L191" s="488" t="s">
        <v>551</v>
      </c>
      <c r="M191" s="488" t="s">
        <v>43</v>
      </c>
      <c r="N191" s="488" t="s">
        <v>399</v>
      </c>
      <c r="O191" s="488">
        <v>5</v>
      </c>
      <c r="P191" s="488">
        <v>40</v>
      </c>
      <c r="Q191" s="488">
        <v>18</v>
      </c>
      <c r="R191" s="488">
        <v>3.6</v>
      </c>
    </row>
    <row r="192" spans="1:18" x14ac:dyDescent="0.3">
      <c r="A192" s="488">
        <v>189</v>
      </c>
      <c r="B192" s="488" t="s">
        <v>471</v>
      </c>
      <c r="C192" s="488" t="s">
        <v>57</v>
      </c>
      <c r="D192" s="488" t="s">
        <v>396</v>
      </c>
      <c r="E192" s="488">
        <v>2</v>
      </c>
      <c r="F192" s="488">
        <v>14</v>
      </c>
      <c r="G192" s="488">
        <v>3</v>
      </c>
      <c r="H192" s="488">
        <v>11</v>
      </c>
      <c r="I192" s="488">
        <v>5.5</v>
      </c>
      <c r="J192" s="488"/>
      <c r="K192" s="488">
        <v>189</v>
      </c>
      <c r="L192" s="488" t="s">
        <v>153</v>
      </c>
      <c r="M192" s="488" t="s">
        <v>37</v>
      </c>
      <c r="N192" s="488" t="s">
        <v>394</v>
      </c>
      <c r="O192" s="488">
        <v>2</v>
      </c>
      <c r="P192" s="488">
        <v>12</v>
      </c>
      <c r="Q192" s="488">
        <v>18</v>
      </c>
      <c r="R192" s="488">
        <v>9</v>
      </c>
    </row>
    <row r="193" spans="1:18" x14ac:dyDescent="0.3">
      <c r="A193" s="488">
        <v>190</v>
      </c>
      <c r="B193" s="488" t="s">
        <v>221</v>
      </c>
      <c r="C193" s="488" t="s">
        <v>32</v>
      </c>
      <c r="D193" s="488" t="s">
        <v>396</v>
      </c>
      <c r="E193" s="488">
        <v>3</v>
      </c>
      <c r="F193" s="488">
        <v>19</v>
      </c>
      <c r="G193" s="488">
        <v>8</v>
      </c>
      <c r="H193" s="488">
        <v>11</v>
      </c>
      <c r="I193" s="488">
        <v>3.67</v>
      </c>
      <c r="J193" s="488"/>
      <c r="K193" s="488">
        <v>190</v>
      </c>
      <c r="L193" s="488" t="s">
        <v>485</v>
      </c>
      <c r="M193" s="488" t="s">
        <v>10</v>
      </c>
      <c r="N193" s="488" t="s">
        <v>396</v>
      </c>
      <c r="O193" s="488">
        <v>3</v>
      </c>
      <c r="P193" s="488">
        <v>28</v>
      </c>
      <c r="Q193" s="488">
        <v>18</v>
      </c>
      <c r="R193" s="488">
        <v>6</v>
      </c>
    </row>
    <row r="194" spans="1:18" x14ac:dyDescent="0.3">
      <c r="A194" s="488">
        <v>191</v>
      </c>
      <c r="B194" s="488" t="s">
        <v>512</v>
      </c>
      <c r="C194" s="488" t="s">
        <v>4</v>
      </c>
      <c r="D194" s="488" t="s">
        <v>394</v>
      </c>
      <c r="E194" s="488">
        <v>4</v>
      </c>
      <c r="F194" s="488">
        <v>34</v>
      </c>
      <c r="G194" s="488">
        <v>23</v>
      </c>
      <c r="H194" s="488">
        <v>11</v>
      </c>
      <c r="I194" s="488">
        <v>2.75</v>
      </c>
      <c r="J194" s="488"/>
      <c r="K194" s="488">
        <v>191</v>
      </c>
      <c r="L194" s="488" t="s">
        <v>472</v>
      </c>
      <c r="M194" s="488" t="s">
        <v>7</v>
      </c>
      <c r="N194" s="488" t="s">
        <v>394</v>
      </c>
      <c r="O194" s="488">
        <v>2</v>
      </c>
      <c r="P194" s="488">
        <v>19</v>
      </c>
      <c r="Q194" s="488">
        <v>17</v>
      </c>
      <c r="R194" s="488">
        <v>8.5</v>
      </c>
    </row>
    <row r="195" spans="1:18" x14ac:dyDescent="0.3">
      <c r="A195" s="488">
        <v>192</v>
      </c>
      <c r="B195" s="488" t="s">
        <v>485</v>
      </c>
      <c r="C195" s="488" t="s">
        <v>10</v>
      </c>
      <c r="D195" s="488" t="s">
        <v>396</v>
      </c>
      <c r="E195" s="488">
        <v>3</v>
      </c>
      <c r="F195" s="488">
        <v>28</v>
      </c>
      <c r="G195" s="488">
        <v>18</v>
      </c>
      <c r="H195" s="488">
        <v>10</v>
      </c>
      <c r="I195" s="488">
        <v>3.33</v>
      </c>
      <c r="J195" s="488"/>
      <c r="K195" s="488">
        <v>192</v>
      </c>
      <c r="L195" s="488" t="s">
        <v>248</v>
      </c>
      <c r="M195" s="488" t="s">
        <v>397</v>
      </c>
      <c r="N195" s="488" t="s">
        <v>396</v>
      </c>
      <c r="O195" s="488">
        <v>5</v>
      </c>
      <c r="P195" s="488">
        <v>12</v>
      </c>
      <c r="Q195" s="488">
        <v>17</v>
      </c>
      <c r="R195" s="488">
        <v>3.4</v>
      </c>
    </row>
    <row r="196" spans="1:18" x14ac:dyDescent="0.3">
      <c r="A196" s="488">
        <v>193</v>
      </c>
      <c r="B196" s="488" t="s">
        <v>86</v>
      </c>
      <c r="C196" s="488" t="s">
        <v>401</v>
      </c>
      <c r="D196" s="488" t="s">
        <v>394</v>
      </c>
      <c r="E196" s="488">
        <v>5</v>
      </c>
      <c r="F196" s="488">
        <v>34</v>
      </c>
      <c r="G196" s="488">
        <v>24</v>
      </c>
      <c r="H196" s="488">
        <v>10</v>
      </c>
      <c r="I196" s="488">
        <v>2</v>
      </c>
      <c r="J196" s="488"/>
      <c r="K196" s="488">
        <v>193</v>
      </c>
      <c r="L196" s="488" t="s">
        <v>461</v>
      </c>
      <c r="M196" s="488" t="s">
        <v>4</v>
      </c>
      <c r="N196" s="488" t="s">
        <v>394</v>
      </c>
      <c r="O196" s="488">
        <v>3</v>
      </c>
      <c r="P196" s="488">
        <v>21</v>
      </c>
      <c r="Q196" s="488">
        <v>17</v>
      </c>
      <c r="R196" s="488">
        <v>5.7</v>
      </c>
    </row>
    <row r="197" spans="1:18" x14ac:dyDescent="0.3">
      <c r="A197" s="488">
        <v>194</v>
      </c>
      <c r="B197" s="488" t="s">
        <v>429</v>
      </c>
      <c r="C197" s="488" t="s">
        <v>402</v>
      </c>
      <c r="D197" s="488" t="s">
        <v>405</v>
      </c>
      <c r="E197" s="488">
        <v>1</v>
      </c>
      <c r="F197" s="488">
        <v>3</v>
      </c>
      <c r="G197" s="488">
        <v>-7</v>
      </c>
      <c r="H197" s="488">
        <v>10</v>
      </c>
      <c r="I197" s="488">
        <v>10</v>
      </c>
      <c r="J197" s="488"/>
      <c r="K197" s="488">
        <v>194</v>
      </c>
      <c r="L197" s="488" t="s">
        <v>155</v>
      </c>
      <c r="M197" s="488" t="s">
        <v>32</v>
      </c>
      <c r="N197" s="488" t="s">
        <v>394</v>
      </c>
      <c r="O197" s="488">
        <v>4</v>
      </c>
      <c r="P197" s="488">
        <v>31</v>
      </c>
      <c r="Q197" s="488">
        <v>17</v>
      </c>
      <c r="R197" s="488">
        <v>4.3</v>
      </c>
    </row>
    <row r="198" spans="1:18" x14ac:dyDescent="0.3">
      <c r="A198" s="488">
        <v>195</v>
      </c>
      <c r="B198" s="488" t="s">
        <v>358</v>
      </c>
      <c r="C198" s="488" t="s">
        <v>401</v>
      </c>
      <c r="D198" s="488" t="s">
        <v>399</v>
      </c>
      <c r="E198" s="488">
        <v>2</v>
      </c>
      <c r="F198" s="488">
        <v>11</v>
      </c>
      <c r="G198" s="488">
        <v>2</v>
      </c>
      <c r="H198" s="488">
        <v>9</v>
      </c>
      <c r="I198" s="488">
        <v>4.5</v>
      </c>
      <c r="J198" s="488"/>
      <c r="K198" s="488">
        <v>195</v>
      </c>
      <c r="L198" s="488" t="s">
        <v>1350</v>
      </c>
      <c r="M198" s="488" t="s">
        <v>22</v>
      </c>
      <c r="N198" s="488" t="s">
        <v>396</v>
      </c>
      <c r="O198" s="488">
        <v>6</v>
      </c>
      <c r="P198" s="488">
        <v>118</v>
      </c>
      <c r="Q198" s="488">
        <v>17</v>
      </c>
      <c r="R198" s="488">
        <v>2.8</v>
      </c>
    </row>
    <row r="199" spans="1:18" x14ac:dyDescent="0.3">
      <c r="A199" s="488">
        <v>196</v>
      </c>
      <c r="B199" s="488" t="s">
        <v>154</v>
      </c>
      <c r="C199" s="488" t="s">
        <v>4</v>
      </c>
      <c r="D199" s="488" t="s">
        <v>394</v>
      </c>
      <c r="E199" s="488">
        <v>2</v>
      </c>
      <c r="F199" s="488">
        <v>28</v>
      </c>
      <c r="G199" s="488">
        <v>19</v>
      </c>
      <c r="H199" s="488">
        <v>9</v>
      </c>
      <c r="I199" s="488">
        <v>4.5</v>
      </c>
      <c r="J199" s="488"/>
      <c r="K199" s="488">
        <v>196</v>
      </c>
      <c r="L199" s="488" t="s">
        <v>1556</v>
      </c>
      <c r="M199" s="488" t="s">
        <v>70</v>
      </c>
      <c r="N199" s="488" t="s">
        <v>394</v>
      </c>
      <c r="O199" s="488">
        <v>2</v>
      </c>
      <c r="P199" s="488">
        <v>24</v>
      </c>
      <c r="Q199" s="488">
        <v>17</v>
      </c>
      <c r="R199" s="488">
        <v>8.5</v>
      </c>
    </row>
    <row r="200" spans="1:18" x14ac:dyDescent="0.3">
      <c r="A200" s="488">
        <v>197</v>
      </c>
      <c r="B200" s="488" t="s">
        <v>469</v>
      </c>
      <c r="C200" s="488" t="s">
        <v>24</v>
      </c>
      <c r="D200" s="488" t="s">
        <v>396</v>
      </c>
      <c r="E200" s="488">
        <v>1</v>
      </c>
      <c r="F200" s="488">
        <v>11</v>
      </c>
      <c r="G200" s="488">
        <v>2</v>
      </c>
      <c r="H200" s="488">
        <v>9</v>
      </c>
      <c r="I200" s="488">
        <v>9</v>
      </c>
      <c r="J200" s="488"/>
      <c r="K200" s="488">
        <v>197</v>
      </c>
      <c r="L200" s="488" t="s">
        <v>243</v>
      </c>
      <c r="M200" s="488" t="s">
        <v>398</v>
      </c>
      <c r="N200" s="488" t="s">
        <v>396</v>
      </c>
      <c r="O200" s="488">
        <v>8</v>
      </c>
      <c r="P200" s="488">
        <v>103</v>
      </c>
      <c r="Q200" s="488">
        <v>16</v>
      </c>
      <c r="R200" s="488">
        <v>2</v>
      </c>
    </row>
    <row r="201" spans="1:18" x14ac:dyDescent="0.3">
      <c r="A201" s="488">
        <v>198</v>
      </c>
      <c r="B201" s="488" t="s">
        <v>557</v>
      </c>
      <c r="C201" s="488" t="s">
        <v>26</v>
      </c>
      <c r="D201" s="488" t="s">
        <v>399</v>
      </c>
      <c r="E201" s="488">
        <v>2</v>
      </c>
      <c r="F201" s="488">
        <v>18</v>
      </c>
      <c r="G201" s="488">
        <v>9</v>
      </c>
      <c r="H201" s="488">
        <v>9</v>
      </c>
      <c r="I201" s="488">
        <v>4.5</v>
      </c>
      <c r="J201" s="488"/>
      <c r="K201" s="488">
        <v>198</v>
      </c>
      <c r="L201" s="488" t="s">
        <v>313</v>
      </c>
      <c r="M201" s="488" t="s">
        <v>398</v>
      </c>
      <c r="N201" s="488" t="s">
        <v>396</v>
      </c>
      <c r="O201" s="488">
        <v>2</v>
      </c>
      <c r="P201" s="488">
        <v>32</v>
      </c>
      <c r="Q201" s="488">
        <v>16</v>
      </c>
      <c r="R201" s="488">
        <v>8</v>
      </c>
    </row>
    <row r="202" spans="1:18" x14ac:dyDescent="0.3">
      <c r="A202" s="488">
        <v>199</v>
      </c>
      <c r="B202" s="488" t="s">
        <v>139</v>
      </c>
      <c r="C202" s="488" t="s">
        <v>57</v>
      </c>
      <c r="D202" s="488" t="s">
        <v>394</v>
      </c>
      <c r="E202" s="488">
        <v>4</v>
      </c>
      <c r="F202" s="488">
        <v>31</v>
      </c>
      <c r="G202" s="488">
        <v>22</v>
      </c>
      <c r="H202" s="488">
        <v>9</v>
      </c>
      <c r="I202" s="488">
        <v>2.25</v>
      </c>
      <c r="J202" s="488"/>
      <c r="K202" s="488">
        <v>199</v>
      </c>
      <c r="L202" s="488" t="s">
        <v>219</v>
      </c>
      <c r="M202" s="488" t="s">
        <v>24</v>
      </c>
      <c r="N202" s="488" t="s">
        <v>396</v>
      </c>
      <c r="O202" s="488">
        <v>9</v>
      </c>
      <c r="P202" s="488">
        <v>134</v>
      </c>
      <c r="Q202" s="488">
        <v>16</v>
      </c>
      <c r="R202" s="488">
        <v>1.8</v>
      </c>
    </row>
    <row r="203" spans="1:18" x14ac:dyDescent="0.3">
      <c r="A203" s="488">
        <v>200</v>
      </c>
      <c r="B203" s="488" t="s">
        <v>123</v>
      </c>
      <c r="C203" s="488" t="s">
        <v>12</v>
      </c>
      <c r="D203" s="488" t="s">
        <v>394</v>
      </c>
      <c r="E203" s="488">
        <v>1</v>
      </c>
      <c r="F203" s="488">
        <v>9</v>
      </c>
      <c r="G203" s="488">
        <v>1</v>
      </c>
      <c r="H203" s="488">
        <v>8</v>
      </c>
      <c r="I203" s="488">
        <v>8</v>
      </c>
      <c r="J203" s="488"/>
      <c r="K203" s="488">
        <v>200</v>
      </c>
      <c r="L203" s="488" t="s">
        <v>374</v>
      </c>
      <c r="M203" s="488" t="s">
        <v>397</v>
      </c>
      <c r="N203" s="488" t="s">
        <v>399</v>
      </c>
      <c r="O203" s="488">
        <v>4</v>
      </c>
      <c r="P203" s="488">
        <v>34</v>
      </c>
      <c r="Q203" s="488">
        <v>16</v>
      </c>
      <c r="R203" s="488">
        <v>4</v>
      </c>
    </row>
    <row r="204" spans="1:18" x14ac:dyDescent="0.3">
      <c r="K204" s="488">
        <v>201</v>
      </c>
      <c r="L204" s="488" t="s">
        <v>94</v>
      </c>
      <c r="M204" s="488" t="s">
        <v>37</v>
      </c>
      <c r="N204" s="488" t="s">
        <v>394</v>
      </c>
      <c r="O204" s="488">
        <v>3</v>
      </c>
      <c r="P204" s="488">
        <v>16</v>
      </c>
      <c r="Q204" s="488">
        <v>16</v>
      </c>
      <c r="R204" s="488">
        <v>5.3</v>
      </c>
    </row>
    <row r="205" spans="1:18" x14ac:dyDescent="0.3">
      <c r="K205" s="488">
        <v>202</v>
      </c>
      <c r="L205" s="488" t="s">
        <v>239</v>
      </c>
      <c r="M205" s="488" t="s">
        <v>30</v>
      </c>
      <c r="N205" s="488" t="s">
        <v>396</v>
      </c>
      <c r="O205" s="488">
        <v>10</v>
      </c>
      <c r="P205" s="488">
        <v>98</v>
      </c>
      <c r="Q205" s="488">
        <v>16</v>
      </c>
      <c r="R205" s="488">
        <v>1.6</v>
      </c>
    </row>
    <row r="206" spans="1:18" x14ac:dyDescent="0.3">
      <c r="K206" s="488">
        <v>203</v>
      </c>
      <c r="L206" s="488" t="s">
        <v>150</v>
      </c>
      <c r="M206" s="488" t="s">
        <v>22</v>
      </c>
      <c r="N206" s="488" t="s">
        <v>394</v>
      </c>
      <c r="O206" s="488">
        <v>1</v>
      </c>
      <c r="P206" s="488">
        <v>11</v>
      </c>
      <c r="Q206" s="488">
        <v>15</v>
      </c>
      <c r="R206" s="488">
        <v>15</v>
      </c>
    </row>
    <row r="207" spans="1:18" x14ac:dyDescent="0.3">
      <c r="K207" s="488">
        <v>204</v>
      </c>
      <c r="L207" s="488" t="s">
        <v>292</v>
      </c>
      <c r="M207" s="488" t="s">
        <v>41</v>
      </c>
      <c r="N207" s="488" t="s">
        <v>396</v>
      </c>
      <c r="O207" s="488">
        <v>11</v>
      </c>
      <c r="P207" s="488">
        <v>124</v>
      </c>
      <c r="Q207" s="488">
        <v>15</v>
      </c>
      <c r="R207" s="488">
        <v>1.4</v>
      </c>
    </row>
    <row r="208" spans="1:18" x14ac:dyDescent="0.3">
      <c r="K208" s="488">
        <v>205</v>
      </c>
      <c r="L208" s="488" t="s">
        <v>369</v>
      </c>
      <c r="M208" s="488" t="s">
        <v>10</v>
      </c>
      <c r="N208" s="488" t="s">
        <v>399</v>
      </c>
      <c r="O208" s="488">
        <v>1</v>
      </c>
      <c r="P208" s="488">
        <v>28</v>
      </c>
      <c r="Q208" s="488">
        <v>15</v>
      </c>
      <c r="R208" s="488">
        <v>15</v>
      </c>
    </row>
    <row r="209" spans="11:18" x14ac:dyDescent="0.3">
      <c r="K209" s="488">
        <v>206</v>
      </c>
      <c r="L209" s="488" t="s">
        <v>531</v>
      </c>
      <c r="M209" s="488" t="s">
        <v>30</v>
      </c>
      <c r="N209" s="488" t="s">
        <v>399</v>
      </c>
      <c r="O209" s="488">
        <v>3</v>
      </c>
      <c r="P209" s="488">
        <v>59</v>
      </c>
      <c r="Q209" s="488">
        <v>15</v>
      </c>
      <c r="R209" s="488">
        <v>5</v>
      </c>
    </row>
    <row r="210" spans="11:18" x14ac:dyDescent="0.3">
      <c r="K210" s="488">
        <v>207</v>
      </c>
      <c r="L210" s="488" t="s">
        <v>376</v>
      </c>
      <c r="M210" s="488" t="s">
        <v>50</v>
      </c>
      <c r="N210" s="488" t="s">
        <v>399</v>
      </c>
      <c r="O210" s="488">
        <v>2</v>
      </c>
      <c r="P210" s="488">
        <v>21</v>
      </c>
      <c r="Q210" s="488">
        <v>14</v>
      </c>
      <c r="R210" s="488">
        <v>7</v>
      </c>
    </row>
    <row r="211" spans="11:18" x14ac:dyDescent="0.3">
      <c r="K211" s="488">
        <v>208</v>
      </c>
      <c r="L211" s="488" t="s">
        <v>249</v>
      </c>
      <c r="M211" s="488" t="s">
        <v>407</v>
      </c>
      <c r="N211" s="488" t="s">
        <v>396</v>
      </c>
      <c r="O211" s="488">
        <v>5</v>
      </c>
      <c r="P211" s="488">
        <v>45</v>
      </c>
      <c r="Q211" s="488">
        <v>14</v>
      </c>
      <c r="R211" s="488">
        <v>2.8</v>
      </c>
    </row>
    <row r="212" spans="11:18" x14ac:dyDescent="0.3">
      <c r="K212" s="488">
        <v>209</v>
      </c>
      <c r="L212" s="488" t="s">
        <v>271</v>
      </c>
      <c r="M212" s="488" t="s">
        <v>50</v>
      </c>
      <c r="N212" s="488" t="s">
        <v>396</v>
      </c>
      <c r="O212" s="488">
        <v>4</v>
      </c>
      <c r="P212" s="488">
        <v>52</v>
      </c>
      <c r="Q212" s="488">
        <v>14</v>
      </c>
      <c r="R212" s="488">
        <v>3.5</v>
      </c>
    </row>
    <row r="213" spans="11:18" x14ac:dyDescent="0.3">
      <c r="K213" s="488">
        <v>210</v>
      </c>
      <c r="L213" s="488" t="s">
        <v>481</v>
      </c>
      <c r="M213" s="488" t="s">
        <v>28</v>
      </c>
      <c r="N213" s="488" t="s">
        <v>396</v>
      </c>
      <c r="O213" s="488">
        <v>3</v>
      </c>
      <c r="P213" s="488">
        <v>27</v>
      </c>
      <c r="Q213" s="488">
        <v>14</v>
      </c>
      <c r="R213" s="488">
        <v>4.7</v>
      </c>
    </row>
    <row r="214" spans="11:18" x14ac:dyDescent="0.3">
      <c r="K214" s="488">
        <v>211</v>
      </c>
      <c r="L214" s="488" t="s">
        <v>767</v>
      </c>
      <c r="M214" s="488" t="s">
        <v>18</v>
      </c>
      <c r="N214" s="488" t="s">
        <v>396</v>
      </c>
      <c r="O214" s="488">
        <v>2</v>
      </c>
      <c r="P214" s="488">
        <v>66</v>
      </c>
      <c r="Q214" s="488">
        <v>14</v>
      </c>
      <c r="R214" s="488">
        <v>7</v>
      </c>
    </row>
    <row r="215" spans="11:18" x14ac:dyDescent="0.3">
      <c r="K215" s="488">
        <v>212</v>
      </c>
      <c r="L215" s="488" t="s">
        <v>177</v>
      </c>
      <c r="M215" s="488" t="s">
        <v>12</v>
      </c>
      <c r="N215" s="488" t="s">
        <v>394</v>
      </c>
      <c r="O215" s="488">
        <v>1</v>
      </c>
      <c r="P215" s="488">
        <v>15</v>
      </c>
      <c r="Q215" s="488">
        <v>14</v>
      </c>
      <c r="R215" s="488">
        <v>14</v>
      </c>
    </row>
    <row r="216" spans="11:18" x14ac:dyDescent="0.3">
      <c r="K216" s="488">
        <v>213</v>
      </c>
      <c r="L216" s="488" t="s">
        <v>1254</v>
      </c>
      <c r="M216" s="488" t="s">
        <v>18</v>
      </c>
      <c r="N216" s="488" t="s">
        <v>399</v>
      </c>
      <c r="O216" s="488">
        <v>1</v>
      </c>
      <c r="P216" s="488">
        <v>16</v>
      </c>
      <c r="Q216" s="488">
        <v>14</v>
      </c>
      <c r="R216" s="488">
        <v>14</v>
      </c>
    </row>
    <row r="217" spans="11:18" x14ac:dyDescent="0.3">
      <c r="K217" s="488">
        <v>214</v>
      </c>
      <c r="L217" s="488" t="s">
        <v>293</v>
      </c>
      <c r="M217" s="488" t="s">
        <v>41</v>
      </c>
      <c r="N217" s="488" t="s">
        <v>396</v>
      </c>
      <c r="O217" s="488">
        <v>3</v>
      </c>
      <c r="P217" s="488">
        <v>20</v>
      </c>
      <c r="Q217" s="488">
        <v>13</v>
      </c>
      <c r="R217" s="488">
        <v>4.3</v>
      </c>
    </row>
    <row r="218" spans="11:18" x14ac:dyDescent="0.3">
      <c r="K218" s="488">
        <v>215</v>
      </c>
      <c r="L218" s="488" t="s">
        <v>460</v>
      </c>
      <c r="M218" s="488" t="s">
        <v>7</v>
      </c>
      <c r="N218" s="488" t="s">
        <v>394</v>
      </c>
      <c r="O218" s="488">
        <v>1</v>
      </c>
      <c r="P218" s="488">
        <v>13</v>
      </c>
      <c r="Q218" s="488">
        <v>13</v>
      </c>
      <c r="R218" s="488">
        <v>13</v>
      </c>
    </row>
    <row r="219" spans="11:18" x14ac:dyDescent="0.3">
      <c r="K219" s="488">
        <v>216</v>
      </c>
      <c r="L219" s="488" t="s">
        <v>118</v>
      </c>
      <c r="M219" s="488" t="s">
        <v>10</v>
      </c>
      <c r="N219" s="488" t="s">
        <v>394</v>
      </c>
      <c r="O219" s="488">
        <v>2</v>
      </c>
      <c r="P219" s="488">
        <v>14</v>
      </c>
      <c r="Q219" s="488">
        <v>13</v>
      </c>
      <c r="R219" s="488">
        <v>6.5</v>
      </c>
    </row>
    <row r="220" spans="11:18" x14ac:dyDescent="0.3">
      <c r="K220" s="488">
        <v>217</v>
      </c>
      <c r="L220" s="488" t="s">
        <v>233</v>
      </c>
      <c r="M220" s="488" t="s">
        <v>401</v>
      </c>
      <c r="N220" s="488" t="s">
        <v>396</v>
      </c>
      <c r="O220" s="488">
        <v>9</v>
      </c>
      <c r="P220" s="488">
        <v>99</v>
      </c>
      <c r="Q220" s="488">
        <v>13</v>
      </c>
      <c r="R220" s="488">
        <v>1.4</v>
      </c>
    </row>
    <row r="221" spans="11:18" x14ac:dyDescent="0.3">
      <c r="K221" s="488">
        <v>218</v>
      </c>
      <c r="L221" s="488" t="s">
        <v>433</v>
      </c>
      <c r="M221" s="488" t="s">
        <v>14</v>
      </c>
      <c r="N221" s="488" t="s">
        <v>396</v>
      </c>
      <c r="O221" s="488">
        <v>7</v>
      </c>
      <c r="P221" s="488">
        <v>173</v>
      </c>
      <c r="Q221" s="488">
        <v>13</v>
      </c>
      <c r="R221" s="488">
        <v>1.9</v>
      </c>
    </row>
    <row r="222" spans="11:18" x14ac:dyDescent="0.3">
      <c r="K222" s="488">
        <v>219</v>
      </c>
      <c r="L222" s="488" t="s">
        <v>156</v>
      </c>
      <c r="M222" s="488" t="s">
        <v>16</v>
      </c>
      <c r="N222" s="488" t="s">
        <v>394</v>
      </c>
      <c r="O222" s="488">
        <v>2</v>
      </c>
      <c r="P222" s="488">
        <v>15</v>
      </c>
      <c r="Q222" s="488">
        <v>13</v>
      </c>
      <c r="R222" s="488">
        <v>6.5</v>
      </c>
    </row>
    <row r="223" spans="11:18" x14ac:dyDescent="0.3">
      <c r="K223" s="488">
        <v>220</v>
      </c>
      <c r="L223" s="488" t="s">
        <v>85</v>
      </c>
      <c r="M223" s="488" t="s">
        <v>41</v>
      </c>
      <c r="N223" s="488" t="s">
        <v>394</v>
      </c>
      <c r="O223" s="488">
        <v>2</v>
      </c>
      <c r="P223" s="488">
        <v>7</v>
      </c>
      <c r="Q223" s="488">
        <v>12</v>
      </c>
      <c r="R223" s="488">
        <v>6</v>
      </c>
    </row>
    <row r="224" spans="11:18" x14ac:dyDescent="0.3">
      <c r="K224" s="488">
        <v>221</v>
      </c>
      <c r="L224" s="488" t="s">
        <v>131</v>
      </c>
      <c r="M224" s="488" t="s">
        <v>398</v>
      </c>
      <c r="N224" s="488" t="s">
        <v>394</v>
      </c>
      <c r="O224" s="488">
        <v>3</v>
      </c>
      <c r="P224" s="488">
        <v>20</v>
      </c>
      <c r="Q224" s="488">
        <v>12</v>
      </c>
      <c r="R224" s="488">
        <v>4</v>
      </c>
    </row>
    <row r="225" spans="11:18" x14ac:dyDescent="0.3">
      <c r="K225" s="488">
        <v>222</v>
      </c>
      <c r="L225" s="488" t="s">
        <v>301</v>
      </c>
      <c r="M225" s="488" t="s">
        <v>409</v>
      </c>
      <c r="N225" s="488" t="s">
        <v>396</v>
      </c>
      <c r="O225" s="488">
        <v>6</v>
      </c>
      <c r="P225" s="488">
        <v>84</v>
      </c>
      <c r="Q225" s="488">
        <v>12</v>
      </c>
      <c r="R225" s="488">
        <v>2</v>
      </c>
    </row>
    <row r="226" spans="11:18" x14ac:dyDescent="0.3">
      <c r="K226" s="488">
        <v>223</v>
      </c>
      <c r="L226" s="488" t="s">
        <v>345</v>
      </c>
      <c r="M226" s="488" t="s">
        <v>398</v>
      </c>
      <c r="N226" s="488" t="s">
        <v>399</v>
      </c>
      <c r="O226" s="488">
        <v>5</v>
      </c>
      <c r="P226" s="488">
        <v>52</v>
      </c>
      <c r="Q226" s="488">
        <v>12</v>
      </c>
      <c r="R226" s="488">
        <v>2.4</v>
      </c>
    </row>
    <row r="227" spans="11:18" x14ac:dyDescent="0.3">
      <c r="K227" s="488">
        <v>224</v>
      </c>
      <c r="L227" s="488" t="s">
        <v>231</v>
      </c>
      <c r="M227" s="488" t="s">
        <v>10</v>
      </c>
      <c r="N227" s="488" t="s">
        <v>396</v>
      </c>
      <c r="O227" s="488">
        <v>11</v>
      </c>
      <c r="P227" s="488">
        <v>81</v>
      </c>
      <c r="Q227" s="488">
        <v>12</v>
      </c>
      <c r="R227" s="488">
        <v>1.1000000000000001</v>
      </c>
    </row>
    <row r="228" spans="11:18" x14ac:dyDescent="0.3">
      <c r="K228" s="488">
        <v>225</v>
      </c>
      <c r="L228" s="488" t="s">
        <v>172</v>
      </c>
      <c r="M228" s="488" t="s">
        <v>30</v>
      </c>
      <c r="N228" s="488" t="s">
        <v>394</v>
      </c>
      <c r="O228" s="488">
        <v>1</v>
      </c>
      <c r="P228" s="488">
        <v>14</v>
      </c>
      <c r="Q228" s="488">
        <v>12</v>
      </c>
      <c r="R228" s="488">
        <v>12</v>
      </c>
    </row>
    <row r="229" spans="11:18" x14ac:dyDescent="0.3">
      <c r="K229" s="488">
        <v>226</v>
      </c>
      <c r="L229" s="488" t="s">
        <v>159</v>
      </c>
      <c r="M229" s="488" t="s">
        <v>20</v>
      </c>
      <c r="N229" s="488" t="s">
        <v>394</v>
      </c>
      <c r="O229" s="488">
        <v>1</v>
      </c>
      <c r="P229" s="488">
        <v>9</v>
      </c>
      <c r="Q229" s="488">
        <v>12</v>
      </c>
      <c r="R229" s="488">
        <v>12</v>
      </c>
    </row>
    <row r="230" spans="11:18" x14ac:dyDescent="0.3">
      <c r="K230" s="488">
        <v>227</v>
      </c>
      <c r="L230" s="488" t="s">
        <v>339</v>
      </c>
      <c r="M230" s="488" t="s">
        <v>37</v>
      </c>
      <c r="N230" s="488" t="s">
        <v>399</v>
      </c>
      <c r="O230" s="488">
        <v>8</v>
      </c>
      <c r="P230" s="488">
        <v>50</v>
      </c>
      <c r="Q230" s="488">
        <v>12</v>
      </c>
      <c r="R230" s="488">
        <v>1.5</v>
      </c>
    </row>
    <row r="231" spans="11:18" x14ac:dyDescent="0.3">
      <c r="K231" s="488">
        <v>228</v>
      </c>
      <c r="L231" s="488" t="s">
        <v>244</v>
      </c>
      <c r="M231" s="488" t="s">
        <v>37</v>
      </c>
      <c r="N231" s="488" t="s">
        <v>399</v>
      </c>
      <c r="O231" s="488">
        <v>8</v>
      </c>
      <c r="P231" s="488">
        <v>40</v>
      </c>
      <c r="Q231" s="488">
        <v>12</v>
      </c>
      <c r="R231" s="488">
        <v>1.5</v>
      </c>
    </row>
    <row r="232" spans="11:18" x14ac:dyDescent="0.3">
      <c r="K232" s="488">
        <v>229</v>
      </c>
      <c r="L232" s="488" t="s">
        <v>549</v>
      </c>
      <c r="M232" s="488" t="s">
        <v>397</v>
      </c>
      <c r="N232" s="488" t="s">
        <v>399</v>
      </c>
      <c r="O232" s="488">
        <v>2</v>
      </c>
      <c r="P232" s="488">
        <v>10</v>
      </c>
      <c r="Q232" s="488">
        <v>11</v>
      </c>
      <c r="R232" s="488">
        <v>5.5</v>
      </c>
    </row>
    <row r="233" spans="11:18" x14ac:dyDescent="0.3">
      <c r="K233" s="488">
        <v>230</v>
      </c>
      <c r="L233" s="488" t="s">
        <v>1523</v>
      </c>
      <c r="M233" s="488" t="s">
        <v>70</v>
      </c>
      <c r="N233" s="488" t="s">
        <v>394</v>
      </c>
      <c r="O233" s="488">
        <v>1</v>
      </c>
      <c r="P233" s="488">
        <v>6</v>
      </c>
      <c r="Q233" s="488">
        <v>11</v>
      </c>
      <c r="R233" s="488">
        <v>11</v>
      </c>
    </row>
    <row r="234" spans="11:18" x14ac:dyDescent="0.3">
      <c r="K234" s="488">
        <v>231</v>
      </c>
      <c r="L234" s="488" t="s">
        <v>207</v>
      </c>
      <c r="M234" s="488" t="s">
        <v>24</v>
      </c>
      <c r="N234" s="488" t="s">
        <v>396</v>
      </c>
      <c r="O234" s="488">
        <v>8</v>
      </c>
      <c r="P234" s="488">
        <v>92</v>
      </c>
      <c r="Q234" s="488">
        <v>11</v>
      </c>
      <c r="R234" s="488">
        <v>1.4</v>
      </c>
    </row>
    <row r="235" spans="11:18" x14ac:dyDescent="0.3">
      <c r="K235" s="488">
        <v>232</v>
      </c>
      <c r="L235" s="488" t="s">
        <v>514</v>
      </c>
      <c r="M235" s="488" t="s">
        <v>14</v>
      </c>
      <c r="N235" s="488" t="s">
        <v>396</v>
      </c>
      <c r="O235" s="488">
        <v>3</v>
      </c>
      <c r="P235" s="488">
        <v>40</v>
      </c>
      <c r="Q235" s="488">
        <v>11</v>
      </c>
      <c r="R235" s="488">
        <v>3.7</v>
      </c>
    </row>
    <row r="236" spans="11:18" x14ac:dyDescent="0.3">
      <c r="K236" s="488">
        <v>233</v>
      </c>
      <c r="L236" s="488" t="s">
        <v>273</v>
      </c>
      <c r="M236" s="488" t="s">
        <v>20</v>
      </c>
      <c r="N236" s="488" t="s">
        <v>396</v>
      </c>
      <c r="O236" s="488">
        <v>1</v>
      </c>
      <c r="P236" s="488">
        <v>7</v>
      </c>
      <c r="Q236" s="488">
        <v>10</v>
      </c>
      <c r="R236" s="488">
        <v>10</v>
      </c>
    </row>
    <row r="237" spans="11:18" x14ac:dyDescent="0.3">
      <c r="K237" s="488">
        <v>234</v>
      </c>
      <c r="L237" s="488" t="s">
        <v>133</v>
      </c>
      <c r="M237" s="488" t="s">
        <v>12</v>
      </c>
      <c r="N237" s="488" t="s">
        <v>394</v>
      </c>
      <c r="O237" s="488">
        <v>1</v>
      </c>
      <c r="P237" s="488">
        <v>7</v>
      </c>
      <c r="Q237" s="488">
        <v>10</v>
      </c>
      <c r="R237" s="488">
        <v>10</v>
      </c>
    </row>
    <row r="238" spans="11:18" x14ac:dyDescent="0.3">
      <c r="K238" s="488">
        <v>235</v>
      </c>
      <c r="L238" s="488" t="s">
        <v>132</v>
      </c>
      <c r="M238" s="488" t="s">
        <v>407</v>
      </c>
      <c r="N238" s="488" t="s">
        <v>394</v>
      </c>
      <c r="O238" s="488">
        <v>2</v>
      </c>
      <c r="P238" s="488">
        <v>9</v>
      </c>
      <c r="Q238" s="488">
        <v>10</v>
      </c>
      <c r="R238" s="488">
        <v>5</v>
      </c>
    </row>
    <row r="239" spans="11:18" x14ac:dyDescent="0.3">
      <c r="K239" s="488">
        <v>236</v>
      </c>
      <c r="L239" s="488" t="s">
        <v>462</v>
      </c>
      <c r="M239" s="488" t="s">
        <v>32</v>
      </c>
      <c r="N239" s="488" t="s">
        <v>396</v>
      </c>
      <c r="O239" s="488">
        <v>5</v>
      </c>
      <c r="P239" s="488">
        <v>89</v>
      </c>
      <c r="Q239" s="488">
        <v>10</v>
      </c>
      <c r="R239" s="488">
        <v>2</v>
      </c>
    </row>
    <row r="240" spans="11:18" x14ac:dyDescent="0.3">
      <c r="K240" s="488">
        <v>237</v>
      </c>
      <c r="L240" s="488" t="s">
        <v>535</v>
      </c>
      <c r="M240" s="488" t="s">
        <v>407</v>
      </c>
      <c r="N240" s="488" t="s">
        <v>399</v>
      </c>
      <c r="O240" s="488">
        <v>1</v>
      </c>
      <c r="P240" s="488">
        <v>13</v>
      </c>
      <c r="Q240" s="488">
        <v>10</v>
      </c>
      <c r="R240" s="488">
        <v>10</v>
      </c>
    </row>
    <row r="241" spans="11:18" x14ac:dyDescent="0.3">
      <c r="K241" s="488">
        <v>238</v>
      </c>
      <c r="L241" s="488" t="s">
        <v>308</v>
      </c>
      <c r="M241" s="488" t="s">
        <v>404</v>
      </c>
      <c r="N241" s="488" t="s">
        <v>399</v>
      </c>
      <c r="O241" s="488">
        <v>10</v>
      </c>
      <c r="P241" s="488">
        <v>144</v>
      </c>
      <c r="Q241" s="488">
        <v>10</v>
      </c>
      <c r="R241" s="488">
        <v>1</v>
      </c>
    </row>
    <row r="242" spans="11:18" x14ac:dyDescent="0.3">
      <c r="K242" s="488">
        <v>239</v>
      </c>
      <c r="L242" s="488" t="s">
        <v>286</v>
      </c>
      <c r="M242" s="488" t="s">
        <v>70</v>
      </c>
      <c r="N242" s="488" t="s">
        <v>396</v>
      </c>
      <c r="O242" s="488">
        <v>3</v>
      </c>
      <c r="P242" s="488">
        <v>24</v>
      </c>
      <c r="Q242" s="488">
        <v>10</v>
      </c>
      <c r="R242" s="488">
        <v>3.3</v>
      </c>
    </row>
    <row r="243" spans="11:18" x14ac:dyDescent="0.3">
      <c r="K243" s="488">
        <v>240</v>
      </c>
      <c r="L243" s="488" t="s">
        <v>280</v>
      </c>
      <c r="M243" s="488" t="s">
        <v>12</v>
      </c>
      <c r="N243" s="488" t="s">
        <v>396</v>
      </c>
      <c r="O243" s="488">
        <v>2</v>
      </c>
      <c r="P243" s="488">
        <v>16</v>
      </c>
      <c r="Q243" s="488">
        <v>9</v>
      </c>
      <c r="R243" s="488">
        <v>4.5</v>
      </c>
    </row>
    <row r="244" spans="11:18" x14ac:dyDescent="0.3">
      <c r="K244" s="488">
        <v>241</v>
      </c>
      <c r="L244" s="488" t="s">
        <v>497</v>
      </c>
      <c r="M244" s="488" t="s">
        <v>32</v>
      </c>
      <c r="N244" s="488" t="s">
        <v>396</v>
      </c>
      <c r="O244" s="488">
        <v>3</v>
      </c>
      <c r="P244" s="488">
        <v>24</v>
      </c>
      <c r="Q244" s="488">
        <v>9</v>
      </c>
      <c r="R244" s="488">
        <v>3</v>
      </c>
    </row>
    <row r="245" spans="11:18" x14ac:dyDescent="0.3">
      <c r="K245" s="488">
        <v>242</v>
      </c>
      <c r="L245" s="488" t="s">
        <v>557</v>
      </c>
      <c r="M245" s="488" t="s">
        <v>26</v>
      </c>
      <c r="N245" s="488" t="s">
        <v>399</v>
      </c>
      <c r="O245" s="488">
        <v>2</v>
      </c>
      <c r="P245" s="488">
        <v>18</v>
      </c>
      <c r="Q245" s="488">
        <v>9</v>
      </c>
      <c r="R245" s="488">
        <v>4.5</v>
      </c>
    </row>
    <row r="246" spans="11:18" x14ac:dyDescent="0.3">
      <c r="K246" s="488">
        <v>243</v>
      </c>
      <c r="L246" s="488" t="s">
        <v>330</v>
      </c>
      <c r="M246" s="488" t="s">
        <v>32</v>
      </c>
      <c r="N246" s="488" t="s">
        <v>399</v>
      </c>
      <c r="O246" s="488">
        <v>2</v>
      </c>
      <c r="P246" s="488">
        <v>27</v>
      </c>
      <c r="Q246" s="488">
        <v>9</v>
      </c>
      <c r="R246" s="488">
        <v>4.5</v>
      </c>
    </row>
    <row r="247" spans="11:18" x14ac:dyDescent="0.3">
      <c r="K247" s="488">
        <v>244</v>
      </c>
      <c r="L247" s="488" t="s">
        <v>1743</v>
      </c>
      <c r="M247" s="488" t="s">
        <v>52</v>
      </c>
      <c r="N247" s="488" t="s">
        <v>394</v>
      </c>
      <c r="O247" s="488">
        <v>1</v>
      </c>
      <c r="P247" s="488">
        <v>5</v>
      </c>
      <c r="Q247" s="488">
        <v>8</v>
      </c>
      <c r="R247" s="488">
        <v>8</v>
      </c>
    </row>
    <row r="248" spans="11:18" x14ac:dyDescent="0.3">
      <c r="K248" s="488">
        <v>245</v>
      </c>
      <c r="L248" s="488" t="s">
        <v>221</v>
      </c>
      <c r="M248" s="488" t="s">
        <v>32</v>
      </c>
      <c r="N248" s="488" t="s">
        <v>396</v>
      </c>
      <c r="O248" s="488">
        <v>3</v>
      </c>
      <c r="P248" s="488">
        <v>19</v>
      </c>
      <c r="Q248" s="488">
        <v>8</v>
      </c>
      <c r="R248" s="488">
        <v>2.7</v>
      </c>
    </row>
    <row r="249" spans="11:18" x14ac:dyDescent="0.3">
      <c r="K249" s="488">
        <v>246</v>
      </c>
      <c r="L249" s="488" t="s">
        <v>501</v>
      </c>
      <c r="M249" s="488" t="s">
        <v>34</v>
      </c>
      <c r="N249" s="488" t="s">
        <v>396</v>
      </c>
      <c r="O249" s="488">
        <v>2</v>
      </c>
      <c r="P249" s="488">
        <v>34</v>
      </c>
      <c r="Q249" s="488">
        <v>8</v>
      </c>
      <c r="R249" s="488">
        <v>4</v>
      </c>
    </row>
    <row r="250" spans="11:18" x14ac:dyDescent="0.3">
      <c r="K250" s="488">
        <v>247</v>
      </c>
      <c r="L250" s="488" t="s">
        <v>312</v>
      </c>
      <c r="M250" s="488" t="s">
        <v>401</v>
      </c>
      <c r="N250" s="488" t="s">
        <v>396</v>
      </c>
      <c r="O250" s="488">
        <v>3</v>
      </c>
      <c r="P250" s="488">
        <v>22</v>
      </c>
      <c r="Q250" s="488">
        <v>8</v>
      </c>
      <c r="R250" s="488">
        <v>2.7</v>
      </c>
    </row>
    <row r="251" spans="11:18" x14ac:dyDescent="0.3">
      <c r="K251" s="488">
        <v>248</v>
      </c>
      <c r="L251" s="488" t="s">
        <v>298</v>
      </c>
      <c r="M251" s="488" t="s">
        <v>409</v>
      </c>
      <c r="N251" s="488" t="s">
        <v>396</v>
      </c>
      <c r="O251" s="488">
        <v>1</v>
      </c>
      <c r="P251" s="488">
        <v>12</v>
      </c>
      <c r="Q251" s="488">
        <v>8</v>
      </c>
      <c r="R251" s="488">
        <v>8</v>
      </c>
    </row>
    <row r="252" spans="11:18" x14ac:dyDescent="0.3">
      <c r="K252" s="488">
        <v>249</v>
      </c>
      <c r="L252" s="488" t="s">
        <v>764</v>
      </c>
      <c r="M252" s="488" t="s">
        <v>70</v>
      </c>
      <c r="N252" s="488" t="s">
        <v>394</v>
      </c>
      <c r="O252" s="488">
        <v>2</v>
      </c>
      <c r="P252" s="488">
        <v>22</v>
      </c>
      <c r="Q252" s="488">
        <v>8</v>
      </c>
      <c r="R252" s="488">
        <v>4</v>
      </c>
    </row>
    <row r="253" spans="11:18" x14ac:dyDescent="0.3">
      <c r="K253" s="488">
        <v>250</v>
      </c>
      <c r="L253" s="488" t="s">
        <v>90</v>
      </c>
      <c r="M253" s="488" t="s">
        <v>22</v>
      </c>
      <c r="N253" s="488" t="s">
        <v>394</v>
      </c>
      <c r="O253" s="488">
        <v>2</v>
      </c>
      <c r="P253" s="488">
        <v>7</v>
      </c>
      <c r="Q253" s="488">
        <v>8</v>
      </c>
      <c r="R253" s="488">
        <v>4</v>
      </c>
    </row>
    <row r="254" spans="11:18" x14ac:dyDescent="0.3">
      <c r="K254" s="488">
        <v>251</v>
      </c>
      <c r="L254" s="488" t="s">
        <v>310</v>
      </c>
      <c r="M254" s="488" t="s">
        <v>395</v>
      </c>
      <c r="N254" s="488" t="s">
        <v>399</v>
      </c>
      <c r="O254" s="488">
        <v>1</v>
      </c>
      <c r="P254" s="488">
        <v>13</v>
      </c>
      <c r="Q254" s="488">
        <v>8</v>
      </c>
      <c r="R254" s="488">
        <v>8</v>
      </c>
    </row>
    <row r="255" spans="11:18" x14ac:dyDescent="0.3">
      <c r="K255" s="488">
        <v>252</v>
      </c>
      <c r="L255" s="488" t="s">
        <v>316</v>
      </c>
      <c r="M255" s="488" t="s">
        <v>41</v>
      </c>
      <c r="N255" s="488" t="s">
        <v>396</v>
      </c>
      <c r="O255" s="488">
        <v>2</v>
      </c>
      <c r="P255" s="488">
        <v>14</v>
      </c>
      <c r="Q255" s="488">
        <v>8</v>
      </c>
      <c r="R255" s="488">
        <v>4</v>
      </c>
    </row>
    <row r="256" spans="11:18" x14ac:dyDescent="0.3">
      <c r="K256" s="488">
        <v>253</v>
      </c>
      <c r="L256" s="488" t="s">
        <v>468</v>
      </c>
      <c r="M256" s="488" t="s">
        <v>401</v>
      </c>
      <c r="N256" s="488" t="s">
        <v>396</v>
      </c>
      <c r="O256" s="488">
        <v>1</v>
      </c>
      <c r="P256" s="488">
        <v>12</v>
      </c>
      <c r="Q256" s="488">
        <v>8</v>
      </c>
      <c r="R256" s="488">
        <v>8</v>
      </c>
    </row>
    <row r="257" spans="11:18" x14ac:dyDescent="0.3">
      <c r="K257" s="488">
        <v>254</v>
      </c>
      <c r="L257" s="488" t="s">
        <v>160</v>
      </c>
      <c r="M257" s="488" t="s">
        <v>398</v>
      </c>
      <c r="N257" s="488" t="s">
        <v>394</v>
      </c>
      <c r="O257" s="488">
        <v>1</v>
      </c>
      <c r="P257" s="488">
        <v>10</v>
      </c>
      <c r="Q257" s="488">
        <v>7</v>
      </c>
      <c r="R257" s="488">
        <v>7</v>
      </c>
    </row>
    <row r="258" spans="11:18" x14ac:dyDescent="0.3">
      <c r="K258" s="488">
        <v>255</v>
      </c>
      <c r="L258" s="488" t="s">
        <v>143</v>
      </c>
      <c r="M258" s="488" t="s">
        <v>41</v>
      </c>
      <c r="N258" s="488" t="s">
        <v>394</v>
      </c>
      <c r="O258" s="488">
        <v>3</v>
      </c>
      <c r="P258" s="488">
        <v>4</v>
      </c>
      <c r="Q258" s="488">
        <v>7</v>
      </c>
      <c r="R258" s="488">
        <v>2.2999999999999998</v>
      </c>
    </row>
    <row r="259" spans="11:18" x14ac:dyDescent="0.3">
      <c r="K259" s="488">
        <v>256</v>
      </c>
      <c r="L259" s="488" t="s">
        <v>1253</v>
      </c>
      <c r="M259" s="488" t="s">
        <v>70</v>
      </c>
      <c r="N259" s="488" t="s">
        <v>399</v>
      </c>
      <c r="O259" s="488">
        <v>1</v>
      </c>
      <c r="P259" s="488">
        <v>29</v>
      </c>
      <c r="Q259" s="488">
        <v>7</v>
      </c>
      <c r="R259" s="488">
        <v>7</v>
      </c>
    </row>
    <row r="260" spans="11:18" x14ac:dyDescent="0.3">
      <c r="K260" s="488">
        <v>257</v>
      </c>
      <c r="L260" s="488" t="s">
        <v>1560</v>
      </c>
      <c r="M260" s="488" t="s">
        <v>20</v>
      </c>
      <c r="N260" s="488" t="s">
        <v>399</v>
      </c>
      <c r="O260" s="488">
        <v>2</v>
      </c>
      <c r="P260" s="488">
        <v>26</v>
      </c>
      <c r="Q260" s="488">
        <v>7</v>
      </c>
      <c r="R260" s="488">
        <v>3.5</v>
      </c>
    </row>
    <row r="261" spans="11:18" x14ac:dyDescent="0.3">
      <c r="K261" s="488">
        <v>258</v>
      </c>
      <c r="L261" s="488" t="s">
        <v>290</v>
      </c>
      <c r="M261" s="488" t="s">
        <v>70</v>
      </c>
      <c r="N261" s="488" t="s">
        <v>396</v>
      </c>
      <c r="O261" s="488">
        <v>1</v>
      </c>
      <c r="P261" s="488">
        <v>13</v>
      </c>
      <c r="Q261" s="488">
        <v>7</v>
      </c>
      <c r="R261" s="488">
        <v>7</v>
      </c>
    </row>
    <row r="262" spans="11:18" x14ac:dyDescent="0.3">
      <c r="K262" s="488">
        <v>259</v>
      </c>
      <c r="L262" s="488" t="s">
        <v>352</v>
      </c>
      <c r="M262" s="488" t="s">
        <v>24</v>
      </c>
      <c r="N262" s="488" t="s">
        <v>399</v>
      </c>
      <c r="O262" s="488">
        <v>4</v>
      </c>
      <c r="P262" s="488">
        <v>41</v>
      </c>
      <c r="Q262" s="488">
        <v>7</v>
      </c>
      <c r="R262" s="488">
        <v>1.8</v>
      </c>
    </row>
    <row r="263" spans="11:18" x14ac:dyDescent="0.3">
      <c r="K263" s="488">
        <v>260</v>
      </c>
      <c r="L263" s="488" t="s">
        <v>267</v>
      </c>
      <c r="M263" s="488" t="s">
        <v>7</v>
      </c>
      <c r="N263" s="488" t="s">
        <v>396</v>
      </c>
      <c r="O263" s="488">
        <v>4</v>
      </c>
      <c r="P263" s="488">
        <v>46</v>
      </c>
      <c r="Q263" s="488">
        <v>7</v>
      </c>
      <c r="R263" s="488">
        <v>1.8</v>
      </c>
    </row>
    <row r="264" spans="11:18" x14ac:dyDescent="0.3">
      <c r="K264" s="488">
        <v>261</v>
      </c>
      <c r="L264" s="488" t="s">
        <v>171</v>
      </c>
      <c r="M264" s="488" t="s">
        <v>401</v>
      </c>
      <c r="N264" s="488" t="s">
        <v>394</v>
      </c>
      <c r="O264" s="488">
        <v>1</v>
      </c>
      <c r="P264" s="488">
        <v>8</v>
      </c>
      <c r="Q264" s="488">
        <v>6</v>
      </c>
      <c r="R264" s="488">
        <v>6</v>
      </c>
    </row>
    <row r="265" spans="11:18" x14ac:dyDescent="0.3">
      <c r="K265" s="488">
        <v>262</v>
      </c>
      <c r="L265" s="488" t="s">
        <v>169</v>
      </c>
      <c r="M265" s="488" t="s">
        <v>50</v>
      </c>
      <c r="N265" s="488" t="s">
        <v>394</v>
      </c>
      <c r="O265" s="488">
        <v>1</v>
      </c>
      <c r="P265" s="488">
        <v>8</v>
      </c>
      <c r="Q265" s="488">
        <v>6</v>
      </c>
      <c r="R265" s="488">
        <v>6</v>
      </c>
    </row>
    <row r="266" spans="11:18" x14ac:dyDescent="0.3">
      <c r="K266" s="488">
        <v>263</v>
      </c>
      <c r="L266" s="488" t="s">
        <v>526</v>
      </c>
      <c r="M266" s="488" t="s">
        <v>4</v>
      </c>
      <c r="N266" s="488" t="s">
        <v>396</v>
      </c>
      <c r="O266" s="488">
        <v>1</v>
      </c>
      <c r="P266" s="488">
        <v>4</v>
      </c>
      <c r="Q266" s="488">
        <v>6</v>
      </c>
      <c r="R266" s="488">
        <v>6</v>
      </c>
    </row>
    <row r="267" spans="11:18" x14ac:dyDescent="0.3">
      <c r="K267" s="488">
        <v>264</v>
      </c>
      <c r="L267" s="488" t="s">
        <v>98</v>
      </c>
      <c r="M267" s="488" t="s">
        <v>20</v>
      </c>
      <c r="N267" s="488" t="s">
        <v>399</v>
      </c>
      <c r="O267" s="488">
        <v>1</v>
      </c>
      <c r="P267" s="488">
        <v>5</v>
      </c>
      <c r="Q267" s="488">
        <v>6</v>
      </c>
      <c r="R267" s="488">
        <v>6</v>
      </c>
    </row>
    <row r="268" spans="11:18" x14ac:dyDescent="0.3">
      <c r="K268" s="488">
        <v>265</v>
      </c>
      <c r="L268" s="488" t="s">
        <v>284</v>
      </c>
      <c r="M268" s="488" t="s">
        <v>50</v>
      </c>
      <c r="N268" s="488" t="s">
        <v>396</v>
      </c>
      <c r="O268" s="488">
        <v>4</v>
      </c>
      <c r="P268" s="488">
        <v>34</v>
      </c>
      <c r="Q268" s="488">
        <v>6</v>
      </c>
      <c r="R268" s="488">
        <v>1.5</v>
      </c>
    </row>
    <row r="269" spans="11:18" x14ac:dyDescent="0.3">
      <c r="K269" s="488">
        <v>266</v>
      </c>
      <c r="L269" s="488" t="s">
        <v>223</v>
      </c>
      <c r="M269" s="488" t="s">
        <v>16</v>
      </c>
      <c r="N269" s="488" t="s">
        <v>396</v>
      </c>
      <c r="O269" s="488">
        <v>7</v>
      </c>
      <c r="P269" s="488">
        <v>73</v>
      </c>
      <c r="Q269" s="488">
        <v>6</v>
      </c>
      <c r="R269" s="488">
        <v>0.9</v>
      </c>
    </row>
    <row r="270" spans="11:18" x14ac:dyDescent="0.3">
      <c r="K270" s="488">
        <v>267</v>
      </c>
      <c r="L270" s="488" t="s">
        <v>508</v>
      </c>
      <c r="M270" s="488" t="s">
        <v>402</v>
      </c>
      <c r="N270" s="488" t="s">
        <v>394</v>
      </c>
      <c r="O270" s="488">
        <v>1</v>
      </c>
      <c r="P270" s="488">
        <v>2</v>
      </c>
      <c r="Q270" s="488">
        <v>6</v>
      </c>
      <c r="R270" s="488">
        <v>6</v>
      </c>
    </row>
    <row r="271" spans="11:18" x14ac:dyDescent="0.3">
      <c r="K271" s="488">
        <v>268</v>
      </c>
      <c r="L271" s="488" t="s">
        <v>296</v>
      </c>
      <c r="M271" s="488" t="s">
        <v>46</v>
      </c>
      <c r="N271" s="488" t="s">
        <v>396</v>
      </c>
      <c r="O271" s="488">
        <v>2</v>
      </c>
      <c r="P271" s="488">
        <v>24</v>
      </c>
      <c r="Q271" s="488">
        <v>4</v>
      </c>
      <c r="R271" s="488">
        <v>2</v>
      </c>
    </row>
    <row r="272" spans="11:18" x14ac:dyDescent="0.3">
      <c r="K272" s="488">
        <v>269</v>
      </c>
      <c r="L272" s="488" t="s">
        <v>111</v>
      </c>
      <c r="M272" s="488" t="s">
        <v>39</v>
      </c>
      <c r="N272" s="488" t="s">
        <v>394</v>
      </c>
      <c r="O272" s="488">
        <v>1</v>
      </c>
      <c r="P272" s="488">
        <v>3</v>
      </c>
      <c r="Q272" s="488">
        <v>4</v>
      </c>
      <c r="R272" s="488">
        <v>4</v>
      </c>
    </row>
    <row r="273" spans="11:18" x14ac:dyDescent="0.3">
      <c r="K273" s="488">
        <v>270</v>
      </c>
      <c r="L273" s="488" t="s">
        <v>359</v>
      </c>
      <c r="M273" s="488" t="s">
        <v>43</v>
      </c>
      <c r="N273" s="488" t="s">
        <v>399</v>
      </c>
      <c r="O273" s="488">
        <v>2</v>
      </c>
      <c r="P273" s="488">
        <v>7</v>
      </c>
      <c r="Q273" s="488">
        <v>4</v>
      </c>
      <c r="R273" s="488">
        <v>2</v>
      </c>
    </row>
    <row r="274" spans="11:18" x14ac:dyDescent="0.3">
      <c r="K274" s="488">
        <v>271</v>
      </c>
      <c r="L274" s="488" t="s">
        <v>168</v>
      </c>
      <c r="M274" s="488" t="s">
        <v>404</v>
      </c>
      <c r="N274" s="488" t="s">
        <v>394</v>
      </c>
      <c r="O274" s="488">
        <v>2</v>
      </c>
      <c r="P274" s="488">
        <v>8</v>
      </c>
      <c r="Q274" s="488">
        <v>4</v>
      </c>
      <c r="R274" s="488">
        <v>2</v>
      </c>
    </row>
    <row r="275" spans="11:18" x14ac:dyDescent="0.3">
      <c r="K275" s="488">
        <v>272</v>
      </c>
      <c r="L275" s="488" t="s">
        <v>1246</v>
      </c>
      <c r="M275" s="488" t="s">
        <v>409</v>
      </c>
      <c r="N275" s="488" t="s">
        <v>394</v>
      </c>
      <c r="O275" s="488">
        <v>1</v>
      </c>
      <c r="P275" s="488">
        <v>8</v>
      </c>
      <c r="Q275" s="488">
        <v>4</v>
      </c>
      <c r="R275" s="488">
        <v>4</v>
      </c>
    </row>
    <row r="276" spans="11:18" x14ac:dyDescent="0.3">
      <c r="K276" s="488">
        <v>273</v>
      </c>
      <c r="L276" s="488" t="s">
        <v>477</v>
      </c>
      <c r="M276" s="488" t="s">
        <v>50</v>
      </c>
      <c r="N276" s="488" t="s">
        <v>396</v>
      </c>
      <c r="O276" s="488">
        <v>4</v>
      </c>
      <c r="P276" s="488">
        <v>43</v>
      </c>
      <c r="Q276" s="488">
        <v>4</v>
      </c>
      <c r="R276" s="488">
        <v>1</v>
      </c>
    </row>
    <row r="277" spans="11:18" x14ac:dyDescent="0.3">
      <c r="K277" s="488">
        <v>274</v>
      </c>
      <c r="L277" s="488" t="s">
        <v>380</v>
      </c>
      <c r="M277" s="488" t="s">
        <v>30</v>
      </c>
      <c r="N277" s="488" t="s">
        <v>399</v>
      </c>
      <c r="O277" s="488">
        <v>1</v>
      </c>
      <c r="P277" s="488">
        <v>7</v>
      </c>
      <c r="Q277" s="488">
        <v>4</v>
      </c>
      <c r="R277" s="488">
        <v>4</v>
      </c>
    </row>
    <row r="278" spans="11:18" x14ac:dyDescent="0.3">
      <c r="K278" s="488">
        <v>275</v>
      </c>
      <c r="L278" s="488" t="s">
        <v>506</v>
      </c>
      <c r="M278" s="488" t="s">
        <v>28</v>
      </c>
      <c r="N278" s="488" t="s">
        <v>396</v>
      </c>
      <c r="O278" s="488">
        <v>1</v>
      </c>
      <c r="P278" s="488">
        <v>20</v>
      </c>
      <c r="Q278" s="488">
        <v>3</v>
      </c>
      <c r="R278" s="488">
        <v>3</v>
      </c>
    </row>
    <row r="279" spans="11:18" x14ac:dyDescent="0.3">
      <c r="K279" s="488">
        <v>276</v>
      </c>
      <c r="L279" s="488" t="s">
        <v>2519</v>
      </c>
      <c r="M279" s="488" t="s">
        <v>18</v>
      </c>
      <c r="N279" s="488" t="s">
        <v>2520</v>
      </c>
      <c r="O279" s="488">
        <v>1</v>
      </c>
      <c r="P279" s="488">
        <v>31</v>
      </c>
      <c r="Q279" s="488">
        <v>3</v>
      </c>
      <c r="R279" s="488">
        <v>3</v>
      </c>
    </row>
    <row r="280" spans="11:18" x14ac:dyDescent="0.3">
      <c r="K280" s="488">
        <v>277</v>
      </c>
      <c r="L280" s="488" t="s">
        <v>196</v>
      </c>
      <c r="M280" s="488" t="s">
        <v>10</v>
      </c>
      <c r="N280" s="488" t="s">
        <v>396</v>
      </c>
      <c r="O280" s="488">
        <v>6</v>
      </c>
      <c r="P280" s="488">
        <v>63</v>
      </c>
      <c r="Q280" s="488">
        <v>3</v>
      </c>
      <c r="R280" s="488">
        <v>0.5</v>
      </c>
    </row>
    <row r="281" spans="11:18" x14ac:dyDescent="0.3">
      <c r="K281" s="488">
        <v>278</v>
      </c>
      <c r="L281" s="488" t="s">
        <v>471</v>
      </c>
      <c r="M281" s="488" t="s">
        <v>57</v>
      </c>
      <c r="N281" s="488" t="s">
        <v>396</v>
      </c>
      <c r="O281" s="488">
        <v>2</v>
      </c>
      <c r="P281" s="488">
        <v>14</v>
      </c>
      <c r="Q281" s="488">
        <v>3</v>
      </c>
      <c r="R281" s="488">
        <v>1.5</v>
      </c>
    </row>
    <row r="282" spans="11:18" x14ac:dyDescent="0.3">
      <c r="K282" s="488">
        <v>279</v>
      </c>
      <c r="L282" s="488" t="s">
        <v>1550</v>
      </c>
      <c r="M282" s="488" t="s">
        <v>70</v>
      </c>
      <c r="N282" s="488" t="s">
        <v>396</v>
      </c>
      <c r="O282" s="488">
        <v>1</v>
      </c>
      <c r="P282" s="488">
        <v>20</v>
      </c>
      <c r="Q282" s="488">
        <v>3</v>
      </c>
      <c r="R282" s="488">
        <v>3</v>
      </c>
    </row>
    <row r="283" spans="11:18" x14ac:dyDescent="0.3">
      <c r="K283" s="488">
        <v>280</v>
      </c>
      <c r="L283" s="488" t="s">
        <v>117</v>
      </c>
      <c r="M283" s="488" t="s">
        <v>404</v>
      </c>
      <c r="N283" s="488" t="s">
        <v>394</v>
      </c>
      <c r="O283" s="488">
        <v>1</v>
      </c>
      <c r="P283" s="488">
        <v>1</v>
      </c>
      <c r="Q283" s="488">
        <v>3</v>
      </c>
      <c r="R283" s="488">
        <v>3</v>
      </c>
    </row>
    <row r="284" spans="11:18" x14ac:dyDescent="0.3">
      <c r="K284" s="488">
        <v>281</v>
      </c>
      <c r="L284" s="488" t="s">
        <v>353</v>
      </c>
      <c r="M284" s="488" t="s">
        <v>22</v>
      </c>
      <c r="N284" s="488" t="s">
        <v>399</v>
      </c>
      <c r="O284" s="488">
        <v>1</v>
      </c>
      <c r="P284" s="488">
        <v>23</v>
      </c>
      <c r="Q284" s="488">
        <v>3</v>
      </c>
      <c r="R284" s="488">
        <v>3</v>
      </c>
    </row>
    <row r="285" spans="11:18" x14ac:dyDescent="0.3">
      <c r="K285" s="488">
        <v>282</v>
      </c>
      <c r="L285" s="488" t="s">
        <v>266</v>
      </c>
      <c r="M285" s="488" t="s">
        <v>52</v>
      </c>
      <c r="N285" s="488" t="s">
        <v>396</v>
      </c>
      <c r="O285" s="488">
        <v>1</v>
      </c>
      <c r="P285" s="488">
        <v>16</v>
      </c>
      <c r="Q285" s="488">
        <v>3</v>
      </c>
      <c r="R285" s="488">
        <v>3</v>
      </c>
    </row>
    <row r="286" spans="11:18" x14ac:dyDescent="0.3">
      <c r="K286" s="488">
        <v>283</v>
      </c>
      <c r="L286" s="488" t="s">
        <v>490</v>
      </c>
      <c r="M286" s="488" t="s">
        <v>43</v>
      </c>
      <c r="N286" s="488" t="s">
        <v>396</v>
      </c>
      <c r="O286" s="488">
        <v>2</v>
      </c>
      <c r="P286" s="488">
        <v>9</v>
      </c>
      <c r="Q286" s="488">
        <v>3</v>
      </c>
      <c r="R286" s="488">
        <v>1.5</v>
      </c>
    </row>
    <row r="287" spans="11:18" x14ac:dyDescent="0.3">
      <c r="K287" s="488">
        <v>284</v>
      </c>
      <c r="L287" s="488" t="s">
        <v>305</v>
      </c>
      <c r="M287" s="488" t="s">
        <v>26</v>
      </c>
      <c r="N287" s="488" t="s">
        <v>396</v>
      </c>
      <c r="O287" s="488">
        <v>1</v>
      </c>
      <c r="P287" s="488">
        <v>8</v>
      </c>
      <c r="Q287" s="488">
        <v>3</v>
      </c>
      <c r="R287" s="488">
        <v>3</v>
      </c>
    </row>
    <row r="288" spans="11:18" x14ac:dyDescent="0.3">
      <c r="K288" s="488">
        <v>285</v>
      </c>
      <c r="L288" s="488" t="s">
        <v>356</v>
      </c>
      <c r="M288" s="488" t="s">
        <v>398</v>
      </c>
      <c r="N288" s="488" t="s">
        <v>399</v>
      </c>
      <c r="O288" s="488">
        <v>1</v>
      </c>
      <c r="P288" s="488">
        <v>6</v>
      </c>
      <c r="Q288" s="488">
        <v>2</v>
      </c>
      <c r="R288" s="488">
        <v>2</v>
      </c>
    </row>
    <row r="289" spans="11:18" x14ac:dyDescent="0.3">
      <c r="K289" s="488">
        <v>286</v>
      </c>
      <c r="L289" s="488" t="s">
        <v>476</v>
      </c>
      <c r="M289" s="488" t="s">
        <v>12</v>
      </c>
      <c r="N289" s="488" t="s">
        <v>396</v>
      </c>
      <c r="O289" s="488">
        <v>1</v>
      </c>
      <c r="P289" s="488">
        <v>9</v>
      </c>
      <c r="Q289" s="488">
        <v>2</v>
      </c>
      <c r="R289" s="488">
        <v>2</v>
      </c>
    </row>
    <row r="290" spans="11:18" x14ac:dyDescent="0.3">
      <c r="K290" s="488">
        <v>287</v>
      </c>
      <c r="L290" s="488" t="s">
        <v>520</v>
      </c>
      <c r="M290" s="488" t="s">
        <v>26</v>
      </c>
      <c r="N290" s="488" t="s">
        <v>394</v>
      </c>
      <c r="O290" s="488">
        <v>1</v>
      </c>
      <c r="P290" s="488">
        <v>-3</v>
      </c>
      <c r="Q290" s="488">
        <v>2</v>
      </c>
      <c r="R290" s="488">
        <v>2</v>
      </c>
    </row>
    <row r="291" spans="11:18" x14ac:dyDescent="0.3">
      <c r="K291" s="488">
        <v>288</v>
      </c>
      <c r="L291" s="488" t="s">
        <v>289</v>
      </c>
      <c r="M291" s="488" t="s">
        <v>395</v>
      </c>
      <c r="N291" s="488" t="s">
        <v>396</v>
      </c>
      <c r="O291" s="488">
        <v>1</v>
      </c>
      <c r="P291" s="488">
        <v>8</v>
      </c>
      <c r="Q291" s="488">
        <v>2</v>
      </c>
      <c r="R291" s="488">
        <v>2</v>
      </c>
    </row>
    <row r="292" spans="11:18" x14ac:dyDescent="0.3">
      <c r="K292" s="488">
        <v>289</v>
      </c>
      <c r="L292" s="488" t="s">
        <v>254</v>
      </c>
      <c r="M292" s="488" t="s">
        <v>22</v>
      </c>
      <c r="N292" s="488" t="s">
        <v>396</v>
      </c>
      <c r="O292" s="488">
        <v>3</v>
      </c>
      <c r="P292" s="488">
        <v>28</v>
      </c>
      <c r="Q292" s="488">
        <v>2</v>
      </c>
      <c r="R292" s="488">
        <v>0.7</v>
      </c>
    </row>
    <row r="293" spans="11:18" x14ac:dyDescent="0.3">
      <c r="K293" s="488">
        <v>290</v>
      </c>
      <c r="L293" s="488" t="s">
        <v>489</v>
      </c>
      <c r="M293" s="488" t="s">
        <v>16</v>
      </c>
      <c r="N293" s="488" t="s">
        <v>396</v>
      </c>
      <c r="O293" s="488">
        <v>1</v>
      </c>
      <c r="P293" s="488">
        <v>7</v>
      </c>
      <c r="Q293" s="488">
        <v>2</v>
      </c>
      <c r="R293" s="488">
        <v>2</v>
      </c>
    </row>
    <row r="294" spans="11:18" x14ac:dyDescent="0.3">
      <c r="K294" s="488">
        <v>291</v>
      </c>
      <c r="L294" s="488" t="s">
        <v>500</v>
      </c>
      <c r="M294" s="488" t="s">
        <v>404</v>
      </c>
      <c r="N294" s="488" t="s">
        <v>396</v>
      </c>
      <c r="O294" s="488">
        <v>4</v>
      </c>
      <c r="P294" s="488">
        <v>42</v>
      </c>
      <c r="Q294" s="488">
        <v>2</v>
      </c>
      <c r="R294" s="488">
        <v>0.5</v>
      </c>
    </row>
    <row r="295" spans="11:18" x14ac:dyDescent="0.3">
      <c r="K295" s="488">
        <v>292</v>
      </c>
      <c r="L295" s="488" t="s">
        <v>358</v>
      </c>
      <c r="M295" s="488" t="s">
        <v>401</v>
      </c>
      <c r="N295" s="488" t="s">
        <v>399</v>
      </c>
      <c r="O295" s="488">
        <v>2</v>
      </c>
      <c r="P295" s="488">
        <v>11</v>
      </c>
      <c r="Q295" s="488">
        <v>2</v>
      </c>
      <c r="R295" s="488">
        <v>1</v>
      </c>
    </row>
    <row r="296" spans="11:18" x14ac:dyDescent="0.3">
      <c r="K296" s="488">
        <v>293</v>
      </c>
      <c r="L296" s="488" t="s">
        <v>469</v>
      </c>
      <c r="M296" s="488" t="s">
        <v>24</v>
      </c>
      <c r="N296" s="488" t="s">
        <v>396</v>
      </c>
      <c r="O296" s="488">
        <v>1</v>
      </c>
      <c r="P296" s="488">
        <v>11</v>
      </c>
      <c r="Q296" s="488">
        <v>2</v>
      </c>
      <c r="R296" s="488">
        <v>2</v>
      </c>
    </row>
    <row r="297" spans="11:18" x14ac:dyDescent="0.3">
      <c r="K297" s="488">
        <v>294</v>
      </c>
      <c r="L297" s="488" t="s">
        <v>408</v>
      </c>
      <c r="M297" s="488" t="s">
        <v>30</v>
      </c>
      <c r="N297" s="488" t="s">
        <v>396</v>
      </c>
      <c r="O297" s="488">
        <v>4</v>
      </c>
      <c r="P297" s="488">
        <v>39</v>
      </c>
      <c r="Q297" s="488">
        <v>1</v>
      </c>
      <c r="R297" s="488">
        <v>0.3</v>
      </c>
    </row>
    <row r="298" spans="11:18" x14ac:dyDescent="0.3">
      <c r="K298" s="488">
        <v>295</v>
      </c>
      <c r="L298" s="488" t="s">
        <v>496</v>
      </c>
      <c r="M298" s="488" t="s">
        <v>407</v>
      </c>
      <c r="N298" s="488" t="s">
        <v>394</v>
      </c>
      <c r="O298" s="488">
        <v>1</v>
      </c>
      <c r="P298" s="488">
        <v>6</v>
      </c>
      <c r="Q298" s="488">
        <v>1</v>
      </c>
      <c r="R298" s="488">
        <v>1</v>
      </c>
    </row>
    <row r="299" spans="11:18" x14ac:dyDescent="0.3">
      <c r="K299" s="488">
        <v>296</v>
      </c>
      <c r="L299" s="488" t="s">
        <v>769</v>
      </c>
      <c r="M299" s="488" t="s">
        <v>409</v>
      </c>
      <c r="N299" s="488" t="s">
        <v>399</v>
      </c>
      <c r="O299" s="488">
        <v>1</v>
      </c>
      <c r="P299" s="488">
        <v>2</v>
      </c>
      <c r="Q299" s="488">
        <v>1</v>
      </c>
      <c r="R299" s="488">
        <v>1</v>
      </c>
    </row>
    <row r="300" spans="11:18" x14ac:dyDescent="0.3">
      <c r="K300" s="488">
        <v>297</v>
      </c>
      <c r="L300" s="488" t="s">
        <v>371</v>
      </c>
      <c r="M300" s="488" t="s">
        <v>24</v>
      </c>
      <c r="N300" s="488" t="s">
        <v>399</v>
      </c>
      <c r="O300" s="488">
        <v>1</v>
      </c>
      <c r="P300" s="488">
        <v>0</v>
      </c>
      <c r="Q300" s="488">
        <v>1</v>
      </c>
      <c r="R300" s="488">
        <v>1</v>
      </c>
    </row>
    <row r="301" spans="11:18" x14ac:dyDescent="0.3">
      <c r="K301" s="488">
        <v>298</v>
      </c>
      <c r="L301" s="488" t="s">
        <v>264</v>
      </c>
      <c r="M301" s="488" t="s">
        <v>404</v>
      </c>
      <c r="N301" s="488" t="s">
        <v>396</v>
      </c>
      <c r="O301" s="488">
        <v>9</v>
      </c>
      <c r="P301" s="488">
        <v>93</v>
      </c>
      <c r="Q301" s="488">
        <v>1</v>
      </c>
      <c r="R301" s="488">
        <v>0.1</v>
      </c>
    </row>
    <row r="302" spans="11:18" x14ac:dyDescent="0.3">
      <c r="K302" s="488">
        <v>299</v>
      </c>
      <c r="L302" s="488" t="s">
        <v>346</v>
      </c>
      <c r="M302" s="488" t="s">
        <v>30</v>
      </c>
      <c r="N302" s="488" t="s">
        <v>399</v>
      </c>
      <c r="O302" s="488">
        <v>1</v>
      </c>
      <c r="P302" s="488">
        <v>1</v>
      </c>
      <c r="Q302" s="488">
        <v>1</v>
      </c>
      <c r="R302" s="488">
        <v>1</v>
      </c>
    </row>
    <row r="303" spans="11:18" x14ac:dyDescent="0.3">
      <c r="K303" s="488">
        <v>300</v>
      </c>
      <c r="L303" s="488" t="s">
        <v>123</v>
      </c>
      <c r="M303" s="488" t="s">
        <v>12</v>
      </c>
      <c r="N303" s="488" t="s">
        <v>394</v>
      </c>
      <c r="O303" s="488">
        <v>1</v>
      </c>
      <c r="P303" s="488">
        <v>9</v>
      </c>
      <c r="Q303" s="488">
        <v>1</v>
      </c>
      <c r="R303" s="488">
        <v>1</v>
      </c>
    </row>
  </sheetData>
  <pageMargins left="0.7" right="0.7" top="0.75" bottom="0.75" header="0.3" footer="0.3"/>
  <tableParts count="2">
    <tablePart r:id="rId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Z267"/>
  <sheetViews>
    <sheetView zoomScale="85" zoomScaleNormal="85" workbookViewId="0">
      <selection activeCell="A2" sqref="A2"/>
    </sheetView>
  </sheetViews>
  <sheetFormatPr defaultRowHeight="14.4" x14ac:dyDescent="0.3"/>
  <cols>
    <col min="1" max="1" width="20.88671875" bestFit="1" customWidth="1"/>
    <col min="2" max="2" width="21.21875" bestFit="1" customWidth="1"/>
    <col min="3" max="3" width="11" bestFit="1" customWidth="1"/>
    <col min="4" max="4" width="9.77734375" style="6" bestFit="1" customWidth="1"/>
    <col min="5" max="5" width="10.21875" style="6" bestFit="1" customWidth="1"/>
    <col min="6" max="6" width="9.77734375" style="6" bestFit="1" customWidth="1"/>
    <col min="7" max="7" width="11.109375" style="6" bestFit="1" customWidth="1"/>
    <col min="8" max="8" width="9.77734375" style="6" bestFit="1" customWidth="1"/>
    <col min="9" max="9" width="10" style="6" bestFit="1" customWidth="1"/>
    <col min="10" max="11" width="9.77734375" style="6" bestFit="1" customWidth="1"/>
    <col min="12" max="12" width="20.88671875" style="6" bestFit="1" customWidth="1"/>
    <col min="13" max="13" width="10.77734375" style="6" bestFit="1" customWidth="1"/>
    <col min="14" max="14" width="10.77734375" style="6" customWidth="1"/>
    <col min="15" max="17" width="10.77734375" style="6" bestFit="1" customWidth="1"/>
    <col min="18" max="18" width="20.88671875" style="6" bestFit="1" customWidth="1"/>
    <col min="19" max="20" width="11" style="6" bestFit="1" customWidth="1"/>
    <col min="21" max="21" width="13.21875" style="6" bestFit="1" customWidth="1"/>
    <col min="22" max="22" width="14.21875" style="6" bestFit="1" customWidth="1"/>
    <col min="23" max="23" width="10" style="6" bestFit="1" customWidth="1"/>
    <col min="24" max="24" width="10.21875" style="6" bestFit="1" customWidth="1"/>
    <col min="25" max="25" width="9.5546875" bestFit="1" customWidth="1"/>
    <col min="26" max="26" width="20.88671875" style="62" bestFit="1" customWidth="1"/>
    <col min="27" max="27" width="8.21875" bestFit="1" customWidth="1"/>
    <col min="28" max="28" width="9.109375" bestFit="1" customWidth="1"/>
    <col min="29" max="29" width="9.77734375" bestFit="1" customWidth="1"/>
    <col min="30" max="30" width="5.88671875" bestFit="1" customWidth="1"/>
    <col min="31" max="31" width="20.88671875" bestFit="1" customWidth="1"/>
    <col min="32" max="32" width="6.21875" bestFit="1" customWidth="1"/>
    <col min="33" max="33" width="6.77734375" bestFit="1" customWidth="1"/>
    <col min="34" max="34" width="6.5546875" bestFit="1" customWidth="1"/>
    <col min="35" max="35" width="5.88671875" bestFit="1" customWidth="1"/>
    <col min="36" max="36" width="5.44140625" bestFit="1" customWidth="1"/>
    <col min="37" max="37" width="5.88671875" bestFit="1" customWidth="1"/>
  </cols>
  <sheetData>
    <row r="1" spans="1:46" s="9" customFormat="1" x14ac:dyDescent="0.3">
      <c r="A1" s="269"/>
      <c r="B1" s="270"/>
      <c r="D1" s="40"/>
      <c r="E1" s="40"/>
      <c r="F1" s="40"/>
      <c r="G1" s="40"/>
      <c r="H1" s="40"/>
      <c r="I1" s="40"/>
      <c r="J1" s="40"/>
      <c r="K1" s="40"/>
      <c r="L1" s="40"/>
      <c r="M1" s="40"/>
      <c r="N1" s="40"/>
      <c r="O1" s="40"/>
      <c r="P1" s="40"/>
      <c r="Q1" s="40"/>
      <c r="R1" s="40"/>
      <c r="S1" s="40"/>
      <c r="T1" s="40"/>
      <c r="U1" s="40"/>
      <c r="V1" s="40"/>
      <c r="W1" s="40"/>
      <c r="Y1" s="146"/>
    </row>
    <row r="2" spans="1:46" s="9" customFormat="1" x14ac:dyDescent="0.3">
      <c r="A2" s="271"/>
      <c r="B2" s="272"/>
      <c r="D2" s="40"/>
      <c r="E2" s="40"/>
      <c r="F2" s="40"/>
      <c r="G2" s="40"/>
      <c r="H2" s="40"/>
      <c r="I2" s="40"/>
      <c r="J2" s="40"/>
      <c r="K2" s="40"/>
      <c r="L2" s="40"/>
      <c r="M2" s="40"/>
      <c r="N2" s="40"/>
      <c r="O2" s="40"/>
      <c r="P2" s="40"/>
      <c r="Q2" s="40"/>
      <c r="R2" s="40"/>
      <c r="S2" s="40"/>
      <c r="T2" s="40"/>
      <c r="U2" s="40"/>
      <c r="V2" s="40"/>
      <c r="W2" s="40"/>
      <c r="Y2" s="146"/>
    </row>
    <row r="3" spans="1:46" s="9" customFormat="1" x14ac:dyDescent="0.3">
      <c r="A3" s="271"/>
      <c r="B3" s="272"/>
      <c r="D3" s="40"/>
      <c r="E3" s="40"/>
      <c r="F3" s="40"/>
      <c r="G3" s="40"/>
      <c r="H3" s="40"/>
      <c r="I3" s="40"/>
      <c r="J3" s="40"/>
      <c r="K3" s="40"/>
      <c r="L3" s="40"/>
      <c r="M3" s="40"/>
      <c r="N3" s="40"/>
      <c r="O3" s="40"/>
      <c r="P3" s="40"/>
      <c r="Q3" s="40"/>
      <c r="R3" s="40"/>
      <c r="S3" s="40"/>
      <c r="T3" s="40"/>
      <c r="U3" s="40"/>
      <c r="V3" s="40"/>
      <c r="W3" s="40"/>
      <c r="Y3" s="146"/>
    </row>
    <row r="4" spans="1:46" s="9" customFormat="1" x14ac:dyDescent="0.3">
      <c r="A4" s="271"/>
      <c r="B4" s="272"/>
      <c r="D4" s="40"/>
      <c r="E4" s="40"/>
      <c r="F4" s="40"/>
      <c r="G4" s="40"/>
      <c r="H4" s="40"/>
      <c r="I4" s="40"/>
      <c r="J4" s="40"/>
      <c r="K4" s="40"/>
      <c r="L4" s="40"/>
      <c r="M4" s="40"/>
      <c r="N4" s="40"/>
      <c r="O4" s="40"/>
      <c r="P4" s="40"/>
      <c r="Q4" s="40"/>
      <c r="R4" s="40"/>
      <c r="S4" s="40"/>
      <c r="T4" s="40"/>
      <c r="U4" s="40"/>
      <c r="V4" s="40"/>
      <c r="W4" s="40"/>
      <c r="Y4" s="146"/>
    </row>
    <row r="5" spans="1:46" s="9" customFormat="1" x14ac:dyDescent="0.3">
      <c r="A5" s="534" t="s">
        <v>414</v>
      </c>
      <c r="B5" s="536"/>
      <c r="C5" s="235"/>
      <c r="D5" s="40"/>
      <c r="E5" s="40"/>
      <c r="F5" s="40"/>
      <c r="G5" s="40"/>
      <c r="H5" s="40"/>
      <c r="I5" s="40"/>
      <c r="J5" s="40"/>
      <c r="K5" s="40"/>
      <c r="L5" s="40"/>
      <c r="M5" s="40"/>
      <c r="N5" s="40"/>
      <c r="O5" s="40"/>
      <c r="P5" s="40"/>
      <c r="Q5" s="40"/>
      <c r="R5" s="40"/>
      <c r="S5" s="40"/>
      <c r="T5" s="40"/>
      <c r="U5" s="40"/>
      <c r="V5" s="40"/>
      <c r="W5" s="40"/>
      <c r="Y5" s="146"/>
    </row>
    <row r="6" spans="1:46" s="9" customFormat="1" x14ac:dyDescent="0.3">
      <c r="A6" s="271"/>
      <c r="B6" s="272"/>
      <c r="D6" s="40"/>
      <c r="E6" s="40"/>
      <c r="F6" s="40"/>
      <c r="G6" s="40"/>
      <c r="H6" s="40"/>
      <c r="I6" s="40"/>
      <c r="J6" s="40"/>
      <c r="K6" s="40"/>
      <c r="L6" s="40"/>
      <c r="M6" s="40"/>
      <c r="N6" s="40"/>
      <c r="O6" s="40"/>
      <c r="P6" s="40"/>
      <c r="Q6" s="40"/>
      <c r="R6" s="40"/>
      <c r="S6" s="40"/>
      <c r="T6" s="40"/>
      <c r="U6" s="40"/>
      <c r="V6" s="40"/>
      <c r="W6" s="40"/>
      <c r="Y6" s="146"/>
    </row>
    <row r="7" spans="1:46" s="9" customFormat="1" x14ac:dyDescent="0.3">
      <c r="A7" s="607" t="s">
        <v>1594</v>
      </c>
      <c r="B7" s="608"/>
      <c r="C7" s="156"/>
      <c r="D7" s="156"/>
      <c r="E7" s="181"/>
      <c r="F7" s="40"/>
      <c r="G7" s="40"/>
      <c r="H7" s="40"/>
      <c r="I7" s="40"/>
      <c r="J7" s="40"/>
      <c r="K7" s="40"/>
      <c r="L7" s="40"/>
      <c r="M7" s="40"/>
      <c r="N7" s="40"/>
      <c r="O7" s="40"/>
      <c r="P7" s="40"/>
      <c r="Q7" s="40"/>
      <c r="R7" s="40"/>
      <c r="S7" s="40"/>
      <c r="T7" s="40"/>
      <c r="U7" s="40"/>
      <c r="V7" s="40"/>
      <c r="W7" s="40"/>
      <c r="X7" s="40"/>
      <c r="Z7" s="146"/>
    </row>
    <row r="8" spans="1:46" ht="15" thickBot="1" x14ac:dyDescent="0.35">
      <c r="A8" s="531">
        <v>42624</v>
      </c>
      <c r="B8" s="533"/>
      <c r="C8" s="250"/>
      <c r="D8" s="236"/>
      <c r="E8" s="105"/>
      <c r="F8" s="9"/>
      <c r="G8" s="9"/>
      <c r="H8" s="9"/>
      <c r="I8" s="9"/>
      <c r="J8" s="9"/>
      <c r="K8" s="9"/>
      <c r="L8" s="613" t="s">
        <v>813</v>
      </c>
      <c r="M8" s="613"/>
      <c r="N8" s="613"/>
      <c r="O8" s="614" t="s">
        <v>814</v>
      </c>
      <c r="P8" s="614"/>
      <c r="Q8" s="614"/>
      <c r="R8" s="253"/>
      <c r="S8" s="615" t="s">
        <v>815</v>
      </c>
      <c r="T8" s="615"/>
      <c r="U8" s="615"/>
      <c r="V8" s="615"/>
      <c r="W8" s="616" t="s">
        <v>816</v>
      </c>
      <c r="X8" s="616"/>
      <c r="Y8" s="616"/>
      <c r="Z8" s="257"/>
      <c r="AA8" s="617" t="s">
        <v>817</v>
      </c>
      <c r="AB8" s="617"/>
      <c r="AC8" s="617"/>
      <c r="AD8" s="617"/>
      <c r="AE8" s="256"/>
      <c r="AF8" s="609" t="s">
        <v>818</v>
      </c>
      <c r="AG8" s="609"/>
      <c r="AH8" s="609"/>
      <c r="AI8" s="609"/>
      <c r="AJ8" s="255"/>
      <c r="AK8" s="258"/>
      <c r="AL8" s="105"/>
      <c r="AM8" s="255"/>
      <c r="AN8" s="9"/>
      <c r="AO8" s="9"/>
      <c r="AP8" s="9"/>
      <c r="AQ8" s="9"/>
      <c r="AR8" s="9"/>
      <c r="AS8" s="9"/>
      <c r="AT8" s="9"/>
    </row>
    <row r="9" spans="1:46" x14ac:dyDescent="0.3">
      <c r="A9" s="51" t="s">
        <v>387</v>
      </c>
      <c r="B9" s="52" t="s">
        <v>819</v>
      </c>
      <c r="C9" s="53" t="s">
        <v>820</v>
      </c>
      <c r="D9" s="233" t="s">
        <v>405</v>
      </c>
      <c r="E9" s="53" t="s">
        <v>821</v>
      </c>
      <c r="F9" s="55" t="s">
        <v>394</v>
      </c>
      <c r="G9" s="54" t="s">
        <v>822</v>
      </c>
      <c r="H9" s="56" t="s">
        <v>396</v>
      </c>
      <c r="I9" s="54" t="s">
        <v>823</v>
      </c>
      <c r="J9" s="57" t="s">
        <v>399</v>
      </c>
      <c r="K9" s="40"/>
      <c r="L9" s="4" t="s">
        <v>387</v>
      </c>
      <c r="M9" t="s">
        <v>608</v>
      </c>
      <c r="N9" t="s">
        <v>419</v>
      </c>
      <c r="O9" t="s">
        <v>824</v>
      </c>
      <c r="P9" t="s">
        <v>391</v>
      </c>
      <c r="Q9" t="s">
        <v>756</v>
      </c>
      <c r="R9" s="4" t="s">
        <v>387</v>
      </c>
      <c r="S9" t="s">
        <v>419</v>
      </c>
      <c r="T9" t="s">
        <v>824</v>
      </c>
      <c r="U9" t="s">
        <v>391</v>
      </c>
      <c r="V9" t="s">
        <v>825</v>
      </c>
      <c r="W9" t="s">
        <v>389</v>
      </c>
      <c r="X9" t="s">
        <v>826</v>
      </c>
      <c r="Y9" t="s">
        <v>393</v>
      </c>
      <c r="Z9" s="4" t="s">
        <v>387</v>
      </c>
      <c r="AA9" t="s">
        <v>825</v>
      </c>
      <c r="AB9" t="s">
        <v>389</v>
      </c>
      <c r="AC9" t="s">
        <v>824</v>
      </c>
      <c r="AD9" t="s">
        <v>391</v>
      </c>
      <c r="AE9" t="s">
        <v>387</v>
      </c>
      <c r="AF9" t="s">
        <v>825</v>
      </c>
      <c r="AG9" t="s">
        <v>389</v>
      </c>
      <c r="AH9" t="s">
        <v>824</v>
      </c>
      <c r="AI9" t="s">
        <v>391</v>
      </c>
      <c r="AJ9" s="9"/>
      <c r="AK9" s="9"/>
      <c r="AL9" s="9"/>
      <c r="AM9" s="9"/>
      <c r="AN9" s="9"/>
      <c r="AO9" s="9"/>
      <c r="AP9" s="9"/>
      <c r="AQ9" s="9"/>
      <c r="AR9" s="9"/>
      <c r="AS9" s="9"/>
      <c r="AT9" s="9"/>
    </row>
    <row r="10" spans="1:46" x14ac:dyDescent="0.3">
      <c r="A10" s="48" t="s">
        <v>827</v>
      </c>
      <c r="B10" s="58">
        <v>1</v>
      </c>
      <c r="C10" s="59">
        <v>1</v>
      </c>
      <c r="D10" s="60">
        <v>24</v>
      </c>
      <c r="E10" s="59">
        <v>3</v>
      </c>
      <c r="F10" s="60">
        <v>22.7</v>
      </c>
      <c r="G10" s="59">
        <v>8</v>
      </c>
      <c r="H10" s="60">
        <v>26.2</v>
      </c>
      <c r="I10" s="59">
        <v>1</v>
      </c>
      <c r="J10" s="60">
        <v>12.2</v>
      </c>
      <c r="K10" s="40"/>
      <c r="L10" s="254" t="s">
        <v>827</v>
      </c>
      <c r="M10" s="59">
        <v>372</v>
      </c>
      <c r="N10" s="59">
        <v>544</v>
      </c>
      <c r="O10" s="61">
        <v>4755</v>
      </c>
      <c r="P10" s="59">
        <v>45</v>
      </c>
      <c r="Q10" s="59">
        <v>9</v>
      </c>
      <c r="R10" s="254" t="s">
        <v>828</v>
      </c>
      <c r="S10" s="59">
        <v>359</v>
      </c>
      <c r="T10" s="59">
        <v>1454</v>
      </c>
      <c r="U10" s="59">
        <v>16</v>
      </c>
      <c r="V10" s="59">
        <v>141</v>
      </c>
      <c r="W10" s="59">
        <v>118</v>
      </c>
      <c r="X10" s="59">
        <v>944</v>
      </c>
      <c r="Y10" s="59">
        <v>3</v>
      </c>
      <c r="Z10" s="254" t="s">
        <v>827</v>
      </c>
      <c r="AA10" s="59">
        <v>290</v>
      </c>
      <c r="AB10" s="59">
        <v>182</v>
      </c>
      <c r="AC10" s="59">
        <v>2527</v>
      </c>
      <c r="AD10" s="59">
        <v>27</v>
      </c>
      <c r="AE10" s="48" t="s">
        <v>827</v>
      </c>
      <c r="AF10" s="59">
        <v>128</v>
      </c>
      <c r="AG10" s="59">
        <v>96</v>
      </c>
      <c r="AH10" s="59">
        <v>1290</v>
      </c>
      <c r="AI10" s="59">
        <v>11</v>
      </c>
      <c r="AJ10" s="9"/>
      <c r="AK10" s="9"/>
      <c r="AL10" s="9"/>
      <c r="AM10" s="9"/>
      <c r="AN10" s="9"/>
      <c r="AO10" s="9"/>
      <c r="AP10" s="9"/>
      <c r="AQ10" s="9"/>
      <c r="AR10" s="9"/>
      <c r="AS10" s="9"/>
      <c r="AT10" s="9"/>
    </row>
    <row r="11" spans="1:46" x14ac:dyDescent="0.3">
      <c r="A11" s="48" t="s">
        <v>829</v>
      </c>
      <c r="B11" s="58">
        <v>2</v>
      </c>
      <c r="C11" s="59">
        <v>2</v>
      </c>
      <c r="D11" s="60">
        <v>20.399999999999999</v>
      </c>
      <c r="E11" s="59">
        <v>8</v>
      </c>
      <c r="F11" s="60">
        <v>21.1</v>
      </c>
      <c r="G11" s="59">
        <v>15</v>
      </c>
      <c r="H11" s="60">
        <v>24.2</v>
      </c>
      <c r="I11" s="59">
        <v>2</v>
      </c>
      <c r="J11" s="60">
        <v>11.4</v>
      </c>
      <c r="K11" s="40"/>
      <c r="L11" s="254" t="s">
        <v>830</v>
      </c>
      <c r="M11" s="59">
        <v>393</v>
      </c>
      <c r="N11" s="59">
        <v>632</v>
      </c>
      <c r="O11" s="61">
        <v>4480</v>
      </c>
      <c r="P11" s="59">
        <v>36</v>
      </c>
      <c r="Q11" s="59">
        <v>15</v>
      </c>
      <c r="R11" s="254" t="s">
        <v>831</v>
      </c>
      <c r="S11" s="59">
        <v>309</v>
      </c>
      <c r="T11" s="59">
        <v>1169</v>
      </c>
      <c r="U11" s="59">
        <v>9</v>
      </c>
      <c r="V11" s="59">
        <v>151</v>
      </c>
      <c r="W11" s="59">
        <v>108</v>
      </c>
      <c r="X11" s="59">
        <v>780</v>
      </c>
      <c r="Y11" s="59">
        <v>3</v>
      </c>
      <c r="Z11" s="254" t="s">
        <v>832</v>
      </c>
      <c r="AA11" s="59">
        <v>341</v>
      </c>
      <c r="AB11" s="59">
        <v>211</v>
      </c>
      <c r="AC11" s="59">
        <v>2647</v>
      </c>
      <c r="AD11" s="59">
        <v>26</v>
      </c>
      <c r="AE11" s="48" t="s">
        <v>829</v>
      </c>
      <c r="AF11" s="59">
        <v>128</v>
      </c>
      <c r="AG11" s="59">
        <v>92</v>
      </c>
      <c r="AH11" s="59">
        <v>1199</v>
      </c>
      <c r="AI11" s="59">
        <v>9</v>
      </c>
      <c r="AJ11" s="9"/>
      <c r="AK11" s="9"/>
      <c r="AL11" s="9"/>
      <c r="AM11" s="9"/>
      <c r="AN11" s="9"/>
      <c r="AO11" s="9"/>
      <c r="AP11" s="9"/>
      <c r="AQ11" s="9"/>
      <c r="AR11" s="9"/>
      <c r="AS11" s="9"/>
      <c r="AT11" s="9"/>
    </row>
    <row r="12" spans="1:46" x14ac:dyDescent="0.3">
      <c r="A12" s="48" t="s">
        <v>830</v>
      </c>
      <c r="B12" s="58">
        <v>3</v>
      </c>
      <c r="C12" s="59">
        <v>3</v>
      </c>
      <c r="D12" s="60">
        <v>20.3</v>
      </c>
      <c r="E12" s="59">
        <v>5</v>
      </c>
      <c r="F12" s="60">
        <v>21.7</v>
      </c>
      <c r="G12" s="59">
        <v>2</v>
      </c>
      <c r="H12" s="60">
        <v>27.6</v>
      </c>
      <c r="I12" s="59">
        <v>23</v>
      </c>
      <c r="J12" s="60">
        <v>6.9</v>
      </c>
      <c r="K12" s="40"/>
      <c r="L12" s="254" t="s">
        <v>833</v>
      </c>
      <c r="M12" s="59">
        <v>322</v>
      </c>
      <c r="N12" s="59">
        <v>511</v>
      </c>
      <c r="O12" s="61">
        <v>4169</v>
      </c>
      <c r="P12" s="59">
        <v>34</v>
      </c>
      <c r="Q12" s="59">
        <v>11</v>
      </c>
      <c r="R12" s="254" t="s">
        <v>834</v>
      </c>
      <c r="S12" s="59">
        <v>383</v>
      </c>
      <c r="T12" s="59">
        <v>1402</v>
      </c>
      <c r="U12" s="59">
        <v>13</v>
      </c>
      <c r="V12" s="59">
        <v>135</v>
      </c>
      <c r="W12" s="59">
        <v>105</v>
      </c>
      <c r="X12" s="59">
        <v>897</v>
      </c>
      <c r="Y12" s="59">
        <v>5</v>
      </c>
      <c r="Z12" s="254" t="s">
        <v>830</v>
      </c>
      <c r="AA12" s="59">
        <v>377</v>
      </c>
      <c r="AB12" s="59">
        <v>224</v>
      </c>
      <c r="AC12" s="59">
        <v>2753</v>
      </c>
      <c r="AD12" s="59">
        <v>24</v>
      </c>
      <c r="AE12" s="48" t="s">
        <v>835</v>
      </c>
      <c r="AF12" s="59">
        <v>131</v>
      </c>
      <c r="AG12" s="59">
        <v>80</v>
      </c>
      <c r="AH12" s="59">
        <v>910</v>
      </c>
      <c r="AI12" s="59">
        <v>11</v>
      </c>
      <c r="AJ12" s="9"/>
      <c r="AK12" s="9"/>
      <c r="AL12" s="9"/>
      <c r="AM12" s="9"/>
      <c r="AN12" s="9"/>
      <c r="AO12" s="9"/>
      <c r="AP12" s="9"/>
      <c r="AQ12" s="9"/>
      <c r="AR12" s="9"/>
      <c r="AS12" s="9"/>
      <c r="AT12" s="9"/>
    </row>
    <row r="13" spans="1:46" x14ac:dyDescent="0.3">
      <c r="A13" s="48" t="s">
        <v>834</v>
      </c>
      <c r="B13" s="58">
        <v>4</v>
      </c>
      <c r="C13" s="59">
        <v>6</v>
      </c>
      <c r="D13" s="60">
        <v>19.600000000000001</v>
      </c>
      <c r="E13" s="59">
        <v>9</v>
      </c>
      <c r="F13" s="60">
        <v>20.9</v>
      </c>
      <c r="G13" s="59">
        <v>17</v>
      </c>
      <c r="H13" s="60">
        <v>22.4</v>
      </c>
      <c r="I13" s="59">
        <v>6</v>
      </c>
      <c r="J13" s="60">
        <v>9.3000000000000007</v>
      </c>
      <c r="K13" s="40"/>
      <c r="L13" s="254" t="s">
        <v>836</v>
      </c>
      <c r="M13" s="59">
        <v>318</v>
      </c>
      <c r="N13" s="59">
        <v>501</v>
      </c>
      <c r="O13" s="61">
        <v>3945</v>
      </c>
      <c r="P13" s="59">
        <v>34</v>
      </c>
      <c r="Q13" s="59">
        <v>11</v>
      </c>
      <c r="R13" s="254" t="s">
        <v>837</v>
      </c>
      <c r="S13" s="59">
        <v>381</v>
      </c>
      <c r="T13" s="59">
        <v>1511</v>
      </c>
      <c r="U13" s="59">
        <v>6</v>
      </c>
      <c r="V13" s="59">
        <v>143</v>
      </c>
      <c r="W13" s="59">
        <v>104</v>
      </c>
      <c r="X13" s="59">
        <v>976</v>
      </c>
      <c r="Y13" s="59">
        <v>3</v>
      </c>
      <c r="Z13" s="254" t="s">
        <v>838</v>
      </c>
      <c r="AA13" s="59">
        <v>320</v>
      </c>
      <c r="AB13" s="59">
        <v>185</v>
      </c>
      <c r="AC13" s="59">
        <v>2818</v>
      </c>
      <c r="AD13" s="59">
        <v>23</v>
      </c>
      <c r="AE13" s="48" t="s">
        <v>839</v>
      </c>
      <c r="AF13" s="59">
        <v>112</v>
      </c>
      <c r="AG13" s="59">
        <v>78</v>
      </c>
      <c r="AH13" s="59">
        <v>838</v>
      </c>
      <c r="AI13" s="59">
        <v>12</v>
      </c>
      <c r="AJ13" s="9"/>
      <c r="AK13" s="9"/>
      <c r="AL13" s="9"/>
      <c r="AM13" s="9"/>
      <c r="AN13" s="9"/>
      <c r="AO13" s="9"/>
      <c r="AP13" s="9"/>
      <c r="AQ13" s="9"/>
      <c r="AR13" s="9"/>
      <c r="AS13" s="9"/>
      <c r="AT13" s="9"/>
    </row>
    <row r="14" spans="1:46" x14ac:dyDescent="0.3">
      <c r="A14" s="48" t="s">
        <v>840</v>
      </c>
      <c r="B14" s="58">
        <v>5</v>
      </c>
      <c r="C14" s="59">
        <v>11</v>
      </c>
      <c r="D14" s="60">
        <v>18</v>
      </c>
      <c r="E14" s="59">
        <v>13</v>
      </c>
      <c r="F14" s="60">
        <v>18.600000000000001</v>
      </c>
      <c r="G14" s="59">
        <v>9</v>
      </c>
      <c r="H14" s="60">
        <v>25.7</v>
      </c>
      <c r="I14" s="59">
        <v>9</v>
      </c>
      <c r="J14" s="60">
        <v>8.6</v>
      </c>
      <c r="K14" s="40"/>
      <c r="L14" s="254" t="s">
        <v>841</v>
      </c>
      <c r="M14" s="59">
        <v>322</v>
      </c>
      <c r="N14" s="59">
        <v>511</v>
      </c>
      <c r="O14" s="61">
        <v>3830</v>
      </c>
      <c r="P14" s="59">
        <v>31</v>
      </c>
      <c r="Q14" s="59">
        <v>8</v>
      </c>
      <c r="R14" s="254" t="s">
        <v>842</v>
      </c>
      <c r="S14" s="59">
        <v>295</v>
      </c>
      <c r="T14" s="59">
        <v>1241</v>
      </c>
      <c r="U14" s="59">
        <v>6</v>
      </c>
      <c r="V14" s="59">
        <v>131</v>
      </c>
      <c r="W14" s="59">
        <v>102</v>
      </c>
      <c r="X14" s="59">
        <v>790</v>
      </c>
      <c r="Y14" s="59">
        <v>5</v>
      </c>
      <c r="Z14" s="254" t="s">
        <v>833</v>
      </c>
      <c r="AA14" s="59">
        <v>329</v>
      </c>
      <c r="AB14" s="59">
        <v>199</v>
      </c>
      <c r="AC14" s="59">
        <v>2963</v>
      </c>
      <c r="AD14" s="59">
        <v>22</v>
      </c>
      <c r="AE14" s="48" t="s">
        <v>828</v>
      </c>
      <c r="AF14" s="59">
        <v>148</v>
      </c>
      <c r="AG14" s="59">
        <v>95</v>
      </c>
      <c r="AH14" s="59">
        <v>1014</v>
      </c>
      <c r="AI14" s="59">
        <v>9</v>
      </c>
      <c r="AJ14" s="9"/>
      <c r="AK14" s="9"/>
      <c r="AL14" s="9"/>
      <c r="AM14" s="9"/>
      <c r="AN14" s="9"/>
      <c r="AO14" s="9"/>
      <c r="AP14" s="9"/>
      <c r="AQ14" s="9"/>
      <c r="AR14" s="9"/>
      <c r="AS14" s="9"/>
      <c r="AT14" s="9"/>
    </row>
    <row r="15" spans="1:46" x14ac:dyDescent="0.3">
      <c r="A15" s="48" t="s">
        <v>833</v>
      </c>
      <c r="B15" s="58">
        <v>6</v>
      </c>
      <c r="C15" s="59">
        <v>5</v>
      </c>
      <c r="D15" s="60">
        <v>19.7</v>
      </c>
      <c r="E15" s="59">
        <v>18</v>
      </c>
      <c r="F15" s="60">
        <v>17.7</v>
      </c>
      <c r="G15" s="59">
        <v>1</v>
      </c>
      <c r="H15" s="60">
        <v>27.9</v>
      </c>
      <c r="I15" s="59">
        <v>19</v>
      </c>
      <c r="J15" s="60">
        <v>7.3</v>
      </c>
      <c r="K15" s="40"/>
      <c r="L15" s="254" t="s">
        <v>843</v>
      </c>
      <c r="M15" s="59">
        <v>350</v>
      </c>
      <c r="N15" s="59">
        <v>542</v>
      </c>
      <c r="O15" s="61">
        <v>4225</v>
      </c>
      <c r="P15" s="59">
        <v>31</v>
      </c>
      <c r="Q15" s="59">
        <v>13</v>
      </c>
      <c r="R15" s="254" t="s">
        <v>844</v>
      </c>
      <c r="S15" s="59">
        <v>431</v>
      </c>
      <c r="T15" s="59">
        <v>1792</v>
      </c>
      <c r="U15" s="59">
        <v>18</v>
      </c>
      <c r="V15" s="59">
        <v>121</v>
      </c>
      <c r="W15" s="59">
        <v>101</v>
      </c>
      <c r="X15" s="59">
        <v>756</v>
      </c>
      <c r="Y15" s="59">
        <v>3</v>
      </c>
      <c r="Z15" s="254" t="s">
        <v>845</v>
      </c>
      <c r="AA15" s="59">
        <v>299</v>
      </c>
      <c r="AB15" s="59">
        <v>205</v>
      </c>
      <c r="AC15" s="59">
        <v>2642</v>
      </c>
      <c r="AD15" s="59">
        <v>22</v>
      </c>
      <c r="AE15" s="48" t="s">
        <v>834</v>
      </c>
      <c r="AF15" s="59">
        <v>121</v>
      </c>
      <c r="AG15" s="59">
        <v>81</v>
      </c>
      <c r="AH15" s="59">
        <v>965</v>
      </c>
      <c r="AI15" s="59">
        <v>9</v>
      </c>
      <c r="AJ15" s="9"/>
      <c r="AK15" s="9"/>
      <c r="AL15" s="9"/>
      <c r="AM15" s="9"/>
      <c r="AN15" s="9"/>
      <c r="AO15" s="9"/>
      <c r="AP15" s="9"/>
      <c r="AQ15" s="9"/>
      <c r="AR15" s="9"/>
      <c r="AS15" s="9"/>
      <c r="AT15" s="9"/>
    </row>
    <row r="16" spans="1:46" x14ac:dyDescent="0.3">
      <c r="A16" s="48" t="s">
        <v>838</v>
      </c>
      <c r="B16" s="58">
        <v>7</v>
      </c>
      <c r="C16" s="59">
        <v>9</v>
      </c>
      <c r="D16" s="60">
        <v>18.100000000000001</v>
      </c>
      <c r="E16" s="59">
        <v>15</v>
      </c>
      <c r="F16" s="60">
        <v>18.100000000000001</v>
      </c>
      <c r="G16" s="59">
        <v>4</v>
      </c>
      <c r="H16" s="60">
        <v>26.8</v>
      </c>
      <c r="I16" s="59">
        <v>18</v>
      </c>
      <c r="J16" s="60">
        <v>7.4</v>
      </c>
      <c r="K16" s="40"/>
      <c r="L16" s="254" t="s">
        <v>829</v>
      </c>
      <c r="M16" s="59">
        <v>423</v>
      </c>
      <c r="N16" s="59">
        <v>638</v>
      </c>
      <c r="O16" s="61">
        <v>4920</v>
      </c>
      <c r="P16" s="59">
        <v>31</v>
      </c>
      <c r="Q16" s="59">
        <v>15</v>
      </c>
      <c r="R16" s="254" t="s">
        <v>835</v>
      </c>
      <c r="S16" s="59">
        <v>354</v>
      </c>
      <c r="T16" s="59">
        <v>1392</v>
      </c>
      <c r="U16" s="59">
        <v>10</v>
      </c>
      <c r="V16" s="59">
        <v>127</v>
      </c>
      <c r="W16" s="59">
        <v>99</v>
      </c>
      <c r="X16" s="59">
        <v>749</v>
      </c>
      <c r="Y16" s="59">
        <v>4</v>
      </c>
      <c r="Z16" s="254" t="s">
        <v>836</v>
      </c>
      <c r="AA16" s="59">
        <v>306</v>
      </c>
      <c r="AB16" s="59">
        <v>185</v>
      </c>
      <c r="AC16" s="59">
        <v>2625</v>
      </c>
      <c r="AD16" s="59">
        <v>21</v>
      </c>
      <c r="AE16" s="48" t="s">
        <v>836</v>
      </c>
      <c r="AF16" s="59">
        <v>109</v>
      </c>
      <c r="AG16" s="59">
        <v>76</v>
      </c>
      <c r="AH16" s="59">
        <v>807</v>
      </c>
      <c r="AI16" s="59">
        <v>11</v>
      </c>
      <c r="AJ16" s="9"/>
      <c r="AK16" s="9"/>
      <c r="AL16" s="9"/>
      <c r="AM16" s="9"/>
      <c r="AN16" s="9"/>
      <c r="AO16" s="9"/>
      <c r="AP16" s="9"/>
      <c r="AQ16" s="9"/>
      <c r="AR16" s="9"/>
      <c r="AS16" s="9"/>
      <c r="AT16" s="9"/>
    </row>
    <row r="17" spans="1:46" x14ac:dyDescent="0.3">
      <c r="A17" s="48" t="s">
        <v>839</v>
      </c>
      <c r="B17" s="58">
        <v>8</v>
      </c>
      <c r="C17" s="59">
        <v>13</v>
      </c>
      <c r="D17" s="60">
        <v>17.899999999999999</v>
      </c>
      <c r="E17" s="59">
        <v>12</v>
      </c>
      <c r="F17" s="60">
        <v>18.899999999999999</v>
      </c>
      <c r="G17" s="59">
        <v>18</v>
      </c>
      <c r="H17" s="60">
        <v>22.3</v>
      </c>
      <c r="I17" s="59">
        <v>4</v>
      </c>
      <c r="J17" s="60">
        <v>9.6999999999999993</v>
      </c>
      <c r="K17" s="40"/>
      <c r="L17" s="254" t="s">
        <v>845</v>
      </c>
      <c r="M17" s="59">
        <v>378</v>
      </c>
      <c r="N17" s="59">
        <v>541</v>
      </c>
      <c r="O17" s="61">
        <v>4072</v>
      </c>
      <c r="P17" s="59">
        <v>31</v>
      </c>
      <c r="Q17" s="59">
        <v>11</v>
      </c>
      <c r="R17" s="254" t="s">
        <v>846</v>
      </c>
      <c r="S17" s="59">
        <v>391</v>
      </c>
      <c r="T17" s="59">
        <v>1684</v>
      </c>
      <c r="U17" s="59">
        <v>13</v>
      </c>
      <c r="V17" s="59">
        <v>120</v>
      </c>
      <c r="W17" s="59">
        <v>95</v>
      </c>
      <c r="X17" s="59">
        <v>836</v>
      </c>
      <c r="Y17" s="59">
        <v>3</v>
      </c>
      <c r="Z17" s="254" t="s">
        <v>840</v>
      </c>
      <c r="AA17" s="59">
        <v>354</v>
      </c>
      <c r="AB17" s="59">
        <v>198</v>
      </c>
      <c r="AC17" s="59">
        <v>2830</v>
      </c>
      <c r="AD17" s="59">
        <v>20</v>
      </c>
      <c r="AE17" s="48" t="s">
        <v>847</v>
      </c>
      <c r="AF17" s="59">
        <v>110</v>
      </c>
      <c r="AG17" s="59">
        <v>75</v>
      </c>
      <c r="AH17" s="59">
        <v>873</v>
      </c>
      <c r="AI17" s="59">
        <v>8</v>
      </c>
      <c r="AJ17" s="9"/>
      <c r="AK17" s="9"/>
      <c r="AL17" s="9"/>
      <c r="AM17" s="9"/>
      <c r="AN17" s="9"/>
      <c r="AO17" s="9"/>
      <c r="AP17" s="9"/>
      <c r="AQ17" s="9"/>
      <c r="AR17" s="9"/>
      <c r="AS17" s="9"/>
      <c r="AT17" s="9"/>
    </row>
    <row r="18" spans="1:46" x14ac:dyDescent="0.3">
      <c r="A18" s="48" t="s">
        <v>845</v>
      </c>
      <c r="B18" s="58">
        <v>9</v>
      </c>
      <c r="C18" s="59">
        <v>4</v>
      </c>
      <c r="D18" s="60">
        <v>20.2</v>
      </c>
      <c r="E18" s="59">
        <v>16</v>
      </c>
      <c r="F18" s="60">
        <v>17.8</v>
      </c>
      <c r="G18" s="59">
        <v>6</v>
      </c>
      <c r="H18" s="60">
        <v>26.6</v>
      </c>
      <c r="I18" s="59">
        <v>24</v>
      </c>
      <c r="J18" s="60">
        <v>6.9</v>
      </c>
      <c r="K18" s="40"/>
      <c r="L18" s="254" t="s">
        <v>832</v>
      </c>
      <c r="M18" s="59">
        <v>350</v>
      </c>
      <c r="N18" s="59">
        <v>545</v>
      </c>
      <c r="O18" s="61">
        <v>3957</v>
      </c>
      <c r="P18" s="59">
        <v>30</v>
      </c>
      <c r="Q18" s="59">
        <v>6</v>
      </c>
      <c r="R18" s="254" t="s">
        <v>827</v>
      </c>
      <c r="S18" s="59">
        <v>365</v>
      </c>
      <c r="T18" s="59">
        <v>1836</v>
      </c>
      <c r="U18" s="59">
        <v>10</v>
      </c>
      <c r="V18" s="59">
        <v>123</v>
      </c>
      <c r="W18" s="59">
        <v>94</v>
      </c>
      <c r="X18" s="59">
        <v>938</v>
      </c>
      <c r="Y18" s="59">
        <v>7</v>
      </c>
      <c r="Z18" s="254" t="s">
        <v>848</v>
      </c>
      <c r="AA18" s="59">
        <v>398</v>
      </c>
      <c r="AB18" s="59">
        <v>222</v>
      </c>
      <c r="AC18" s="59">
        <v>2819</v>
      </c>
      <c r="AD18" s="59">
        <v>19</v>
      </c>
      <c r="AE18" s="48" t="s">
        <v>840</v>
      </c>
      <c r="AF18" s="59">
        <v>125</v>
      </c>
      <c r="AG18" s="59">
        <v>84</v>
      </c>
      <c r="AH18" s="59">
        <v>976</v>
      </c>
      <c r="AI18" s="59">
        <v>6</v>
      </c>
      <c r="AJ18" s="9"/>
      <c r="AK18" s="9"/>
      <c r="AL18" s="9"/>
      <c r="AM18" s="9"/>
      <c r="AN18" s="9"/>
      <c r="AO18" s="9"/>
      <c r="AP18" s="9"/>
      <c r="AQ18" s="9"/>
      <c r="AR18" s="9"/>
      <c r="AS18" s="9"/>
      <c r="AT18" s="9"/>
    </row>
    <row r="19" spans="1:46" x14ac:dyDescent="0.3">
      <c r="A19" s="48" t="s">
        <v>835</v>
      </c>
      <c r="B19" s="58">
        <v>10</v>
      </c>
      <c r="C19" s="59">
        <v>12</v>
      </c>
      <c r="D19" s="60">
        <v>18</v>
      </c>
      <c r="E19" s="59">
        <v>14</v>
      </c>
      <c r="F19" s="60">
        <v>18.100000000000001</v>
      </c>
      <c r="G19" s="59">
        <v>23</v>
      </c>
      <c r="H19" s="60">
        <v>20.5</v>
      </c>
      <c r="I19" s="59">
        <v>3</v>
      </c>
      <c r="J19" s="60">
        <v>10.3</v>
      </c>
      <c r="K19" s="40"/>
      <c r="L19" s="254" t="s">
        <v>848</v>
      </c>
      <c r="M19" s="59">
        <v>346</v>
      </c>
      <c r="N19" s="59">
        <v>601</v>
      </c>
      <c r="O19" s="61">
        <v>4088</v>
      </c>
      <c r="P19" s="59">
        <v>30</v>
      </c>
      <c r="Q19" s="59">
        <v>17</v>
      </c>
      <c r="R19" s="254" t="s">
        <v>830</v>
      </c>
      <c r="S19" s="59">
        <v>412</v>
      </c>
      <c r="T19" s="59">
        <v>1899</v>
      </c>
      <c r="U19" s="59">
        <v>7</v>
      </c>
      <c r="V19" s="59">
        <v>138</v>
      </c>
      <c r="W19" s="59">
        <v>93</v>
      </c>
      <c r="X19" s="59">
        <v>918</v>
      </c>
      <c r="Y19" s="59">
        <v>6</v>
      </c>
      <c r="Z19" s="254" t="s">
        <v>841</v>
      </c>
      <c r="AA19" s="59">
        <v>284</v>
      </c>
      <c r="AB19" s="59">
        <v>166</v>
      </c>
      <c r="AC19" s="59">
        <v>2189</v>
      </c>
      <c r="AD19" s="59">
        <v>19</v>
      </c>
      <c r="AE19" s="48" t="s">
        <v>849</v>
      </c>
      <c r="AF19" s="59">
        <v>136</v>
      </c>
      <c r="AG19" s="59">
        <v>85</v>
      </c>
      <c r="AH19" s="59">
        <v>883</v>
      </c>
      <c r="AI19" s="59">
        <v>8</v>
      </c>
      <c r="AJ19" s="9"/>
      <c r="AK19" s="9"/>
      <c r="AL19" s="9"/>
      <c r="AM19" s="9"/>
      <c r="AN19" s="9"/>
      <c r="AO19" s="9"/>
      <c r="AP19" s="9"/>
      <c r="AQ19" s="9"/>
      <c r="AR19" s="9"/>
      <c r="AS19" s="9"/>
      <c r="AT19" s="9"/>
    </row>
    <row r="20" spans="1:46" x14ac:dyDescent="0.3">
      <c r="A20" s="48" t="s">
        <v>836</v>
      </c>
      <c r="B20" s="58">
        <v>11</v>
      </c>
      <c r="C20" s="59">
        <v>7</v>
      </c>
      <c r="D20" s="60">
        <v>19.5</v>
      </c>
      <c r="E20" s="59">
        <v>27</v>
      </c>
      <c r="F20" s="60">
        <v>15.5</v>
      </c>
      <c r="G20" s="59">
        <v>14</v>
      </c>
      <c r="H20" s="60">
        <v>24.5</v>
      </c>
      <c r="I20" s="59">
        <v>7</v>
      </c>
      <c r="J20" s="60">
        <v>9.1999999999999993</v>
      </c>
      <c r="K20" s="40"/>
      <c r="L20" s="254" t="s">
        <v>838</v>
      </c>
      <c r="M20" s="59">
        <v>354</v>
      </c>
      <c r="N20" s="59">
        <v>566</v>
      </c>
      <c r="O20" s="61">
        <v>4392</v>
      </c>
      <c r="P20" s="59">
        <v>30</v>
      </c>
      <c r="Q20" s="59">
        <v>11</v>
      </c>
      <c r="R20" s="254" t="s">
        <v>829</v>
      </c>
      <c r="S20" s="59">
        <v>385</v>
      </c>
      <c r="T20" s="59">
        <v>1677</v>
      </c>
      <c r="U20" s="59">
        <v>13</v>
      </c>
      <c r="V20" s="59">
        <v>125</v>
      </c>
      <c r="W20" s="59">
        <v>92</v>
      </c>
      <c r="X20" s="59">
        <v>773</v>
      </c>
      <c r="Y20" s="59">
        <v>4</v>
      </c>
      <c r="Z20" s="254" t="s">
        <v>850</v>
      </c>
      <c r="AA20" s="59">
        <v>373</v>
      </c>
      <c r="AB20" s="59">
        <v>212</v>
      </c>
      <c r="AC20" s="59">
        <v>2844</v>
      </c>
      <c r="AD20" s="59">
        <v>19</v>
      </c>
      <c r="AE20" s="48" t="s">
        <v>851</v>
      </c>
      <c r="AF20" s="59">
        <v>139</v>
      </c>
      <c r="AG20" s="59">
        <v>79</v>
      </c>
      <c r="AH20" s="59">
        <v>914</v>
      </c>
      <c r="AI20" s="59">
        <v>7</v>
      </c>
      <c r="AJ20" s="9"/>
      <c r="AK20" s="9"/>
      <c r="AL20" s="9"/>
      <c r="AM20" s="9"/>
      <c r="AN20" s="9"/>
      <c r="AO20" s="9"/>
      <c r="AP20" s="9"/>
      <c r="AQ20" s="9"/>
      <c r="AR20" s="9"/>
      <c r="AS20" s="9"/>
      <c r="AT20" s="9"/>
    </row>
    <row r="21" spans="1:46" x14ac:dyDescent="0.3">
      <c r="A21" s="48" t="s">
        <v>849</v>
      </c>
      <c r="B21" s="58">
        <v>12</v>
      </c>
      <c r="C21" s="59">
        <v>14</v>
      </c>
      <c r="D21" s="60">
        <v>17.899999999999999</v>
      </c>
      <c r="E21" s="59">
        <v>30</v>
      </c>
      <c r="F21" s="60">
        <v>13.6</v>
      </c>
      <c r="G21" s="59">
        <v>3</v>
      </c>
      <c r="H21" s="60">
        <v>26.8</v>
      </c>
      <c r="I21" s="59">
        <v>10</v>
      </c>
      <c r="J21" s="60">
        <v>8.5</v>
      </c>
      <c r="K21" s="40"/>
      <c r="L21" s="254" t="s">
        <v>834</v>
      </c>
      <c r="M21" s="59">
        <v>390</v>
      </c>
      <c r="N21" s="59">
        <v>601</v>
      </c>
      <c r="O21" s="61">
        <v>4528</v>
      </c>
      <c r="P21" s="59">
        <v>29</v>
      </c>
      <c r="Q21" s="59">
        <v>9</v>
      </c>
      <c r="R21" s="254" t="s">
        <v>852</v>
      </c>
      <c r="S21" s="59">
        <v>353</v>
      </c>
      <c r="T21" s="59">
        <v>1387</v>
      </c>
      <c r="U21" s="59">
        <v>7</v>
      </c>
      <c r="V21" s="59">
        <v>118</v>
      </c>
      <c r="W21" s="59">
        <v>92</v>
      </c>
      <c r="X21" s="59">
        <v>637</v>
      </c>
      <c r="Y21" s="59">
        <v>1</v>
      </c>
      <c r="Z21" s="254" t="s">
        <v>843</v>
      </c>
      <c r="AA21" s="59">
        <v>305</v>
      </c>
      <c r="AB21" s="59">
        <v>190</v>
      </c>
      <c r="AC21" s="59">
        <v>2625</v>
      </c>
      <c r="AD21" s="59">
        <v>19</v>
      </c>
      <c r="AE21" s="48" t="s">
        <v>853</v>
      </c>
      <c r="AF21" s="59">
        <v>104</v>
      </c>
      <c r="AG21" s="59">
        <v>75</v>
      </c>
      <c r="AH21" s="59">
        <v>851</v>
      </c>
      <c r="AI21" s="59">
        <v>8</v>
      </c>
      <c r="AJ21" s="9"/>
      <c r="AK21" s="9"/>
      <c r="AL21" s="9"/>
      <c r="AM21" s="9"/>
      <c r="AN21" s="9"/>
      <c r="AO21" s="9"/>
      <c r="AP21" s="9"/>
      <c r="AQ21" s="9"/>
      <c r="AR21" s="9"/>
      <c r="AS21" s="9"/>
      <c r="AT21" s="9"/>
    </row>
    <row r="22" spans="1:46" x14ac:dyDescent="0.3">
      <c r="A22" s="48" t="s">
        <v>841</v>
      </c>
      <c r="B22" s="58">
        <v>13</v>
      </c>
      <c r="C22" s="59">
        <v>8</v>
      </c>
      <c r="D22" s="60">
        <v>19.3</v>
      </c>
      <c r="E22" s="59">
        <v>10</v>
      </c>
      <c r="F22" s="60">
        <v>19.2</v>
      </c>
      <c r="G22" s="59">
        <v>24</v>
      </c>
      <c r="H22" s="60">
        <v>20</v>
      </c>
      <c r="I22" s="59">
        <v>16</v>
      </c>
      <c r="J22" s="60">
        <v>7.6</v>
      </c>
      <c r="K22" s="40"/>
      <c r="L22" s="254" t="s">
        <v>849</v>
      </c>
      <c r="M22" s="59">
        <v>401</v>
      </c>
      <c r="N22" s="59">
        <v>623</v>
      </c>
      <c r="O22" s="61">
        <v>4664</v>
      </c>
      <c r="P22" s="59">
        <v>29</v>
      </c>
      <c r="Q22" s="59">
        <v>17</v>
      </c>
      <c r="R22" s="254" t="s">
        <v>843</v>
      </c>
      <c r="S22" s="59">
        <v>450</v>
      </c>
      <c r="T22" s="59">
        <v>1837</v>
      </c>
      <c r="U22" s="59">
        <v>13</v>
      </c>
      <c r="V22" s="59">
        <v>126</v>
      </c>
      <c r="W22" s="59">
        <v>89</v>
      </c>
      <c r="X22" s="59">
        <v>778</v>
      </c>
      <c r="Y22" s="59">
        <v>8</v>
      </c>
      <c r="Z22" s="254" t="s">
        <v>849</v>
      </c>
      <c r="AA22" s="59">
        <v>364</v>
      </c>
      <c r="AB22" s="59">
        <v>233</v>
      </c>
      <c r="AC22" s="59">
        <v>3015</v>
      </c>
      <c r="AD22" s="59">
        <v>19</v>
      </c>
      <c r="AE22" s="48" t="s">
        <v>854</v>
      </c>
      <c r="AF22" s="59">
        <v>137</v>
      </c>
      <c r="AG22" s="59">
        <v>89</v>
      </c>
      <c r="AH22" s="59">
        <v>929</v>
      </c>
      <c r="AI22" s="59">
        <v>6</v>
      </c>
      <c r="AJ22" s="9"/>
      <c r="AK22" s="9"/>
      <c r="AL22" s="9"/>
      <c r="AM22" s="9"/>
      <c r="AN22" s="9"/>
      <c r="AO22" s="9"/>
      <c r="AP22" s="9"/>
      <c r="AQ22" s="9"/>
      <c r="AR22" s="9"/>
      <c r="AS22" s="9"/>
      <c r="AT22" s="9"/>
    </row>
    <row r="23" spans="1:46" x14ac:dyDescent="0.3">
      <c r="A23" s="48" t="s">
        <v>843</v>
      </c>
      <c r="B23" s="58">
        <v>14</v>
      </c>
      <c r="C23" s="59">
        <v>16</v>
      </c>
      <c r="D23" s="60">
        <v>17.2</v>
      </c>
      <c r="E23" s="59">
        <v>2</v>
      </c>
      <c r="F23" s="60">
        <v>23.4</v>
      </c>
      <c r="G23" s="59">
        <v>13</v>
      </c>
      <c r="H23" s="60">
        <v>24.6</v>
      </c>
      <c r="I23" s="59">
        <v>27</v>
      </c>
      <c r="J23" s="60">
        <v>6.6</v>
      </c>
      <c r="K23" s="40"/>
      <c r="L23" s="254" t="s">
        <v>840</v>
      </c>
      <c r="M23" s="59">
        <v>340</v>
      </c>
      <c r="N23" s="59">
        <v>566</v>
      </c>
      <c r="O23" s="61">
        <v>4170</v>
      </c>
      <c r="P23" s="59">
        <v>28</v>
      </c>
      <c r="Q23" s="59">
        <v>17</v>
      </c>
      <c r="R23" s="254" t="s">
        <v>847</v>
      </c>
      <c r="S23" s="59">
        <v>296</v>
      </c>
      <c r="T23" s="59">
        <v>1042</v>
      </c>
      <c r="U23" s="59">
        <v>5</v>
      </c>
      <c r="V23" s="59">
        <v>128</v>
      </c>
      <c r="W23" s="59">
        <v>87</v>
      </c>
      <c r="X23" s="59">
        <v>623</v>
      </c>
      <c r="Y23" s="59">
        <v>0</v>
      </c>
      <c r="Z23" s="254" t="s">
        <v>829</v>
      </c>
      <c r="AA23" s="59">
        <v>381</v>
      </c>
      <c r="AB23" s="59">
        <v>239</v>
      </c>
      <c r="AC23" s="59">
        <v>2948</v>
      </c>
      <c r="AD23" s="59">
        <v>18</v>
      </c>
      <c r="AE23" s="48" t="s">
        <v>837</v>
      </c>
      <c r="AF23" s="59">
        <v>118</v>
      </c>
      <c r="AG23" s="59">
        <v>85</v>
      </c>
      <c r="AH23" s="59">
        <v>933</v>
      </c>
      <c r="AI23" s="59">
        <v>6</v>
      </c>
      <c r="AJ23" s="9"/>
      <c r="AK23" s="9"/>
      <c r="AL23" s="9"/>
      <c r="AM23" s="9"/>
      <c r="AN23" s="9"/>
      <c r="AO23" s="9"/>
      <c r="AP23" s="9"/>
      <c r="AQ23" s="9"/>
      <c r="AR23" s="9"/>
      <c r="AS23" s="9"/>
      <c r="AT23" s="9"/>
    </row>
    <row r="24" spans="1:46" x14ac:dyDescent="0.3">
      <c r="A24" s="48" t="s">
        <v>844</v>
      </c>
      <c r="B24" s="58">
        <v>15</v>
      </c>
      <c r="C24" s="59">
        <v>19</v>
      </c>
      <c r="D24" s="60">
        <v>16.7</v>
      </c>
      <c r="E24" s="59">
        <v>1</v>
      </c>
      <c r="F24" s="60">
        <v>23.5</v>
      </c>
      <c r="G24" s="59">
        <v>16</v>
      </c>
      <c r="H24" s="60">
        <v>23.7</v>
      </c>
      <c r="I24" s="59">
        <v>22</v>
      </c>
      <c r="J24" s="60">
        <v>6.9</v>
      </c>
      <c r="K24" s="40"/>
      <c r="L24" s="254" t="s">
        <v>839</v>
      </c>
      <c r="M24" s="59">
        <v>360</v>
      </c>
      <c r="N24" s="59">
        <v>528</v>
      </c>
      <c r="O24" s="61">
        <v>4065</v>
      </c>
      <c r="P24" s="59">
        <v>27</v>
      </c>
      <c r="Q24" s="59">
        <v>9</v>
      </c>
      <c r="R24" s="254" t="s">
        <v>838</v>
      </c>
      <c r="S24" s="59">
        <v>349</v>
      </c>
      <c r="T24" s="59">
        <v>1639</v>
      </c>
      <c r="U24" s="59">
        <v>9</v>
      </c>
      <c r="V24" s="59">
        <v>121</v>
      </c>
      <c r="W24" s="59">
        <v>85</v>
      </c>
      <c r="X24" s="59">
        <v>617</v>
      </c>
      <c r="Y24" s="59">
        <v>3</v>
      </c>
      <c r="Z24" s="254" t="s">
        <v>855</v>
      </c>
      <c r="AA24" s="59">
        <v>339</v>
      </c>
      <c r="AB24" s="59">
        <v>200</v>
      </c>
      <c r="AC24" s="59">
        <v>2473</v>
      </c>
      <c r="AD24" s="59">
        <v>17</v>
      </c>
      <c r="AE24" s="48" t="s">
        <v>856</v>
      </c>
      <c r="AF24" s="59">
        <v>138</v>
      </c>
      <c r="AG24" s="59">
        <v>75</v>
      </c>
      <c r="AH24" s="59">
        <v>810</v>
      </c>
      <c r="AI24" s="59">
        <v>7</v>
      </c>
      <c r="AJ24" s="9"/>
      <c r="AK24" s="9"/>
      <c r="AL24" s="9"/>
      <c r="AM24" s="9"/>
      <c r="AN24" s="9"/>
      <c r="AO24" s="9"/>
      <c r="AP24" s="9"/>
      <c r="AQ24" s="9"/>
      <c r="AR24" s="9"/>
      <c r="AS24" s="9"/>
      <c r="AT24" s="9"/>
    </row>
    <row r="25" spans="1:46" x14ac:dyDescent="0.3">
      <c r="A25" s="48" t="s">
        <v>848</v>
      </c>
      <c r="B25" s="58">
        <v>16</v>
      </c>
      <c r="C25" s="59">
        <v>18</v>
      </c>
      <c r="D25" s="60">
        <v>17.100000000000001</v>
      </c>
      <c r="E25" s="59">
        <v>17</v>
      </c>
      <c r="F25" s="60">
        <v>17.8</v>
      </c>
      <c r="G25" s="59">
        <v>12</v>
      </c>
      <c r="H25" s="60">
        <v>24.8</v>
      </c>
      <c r="I25" s="59">
        <v>20</v>
      </c>
      <c r="J25" s="60">
        <v>7.1</v>
      </c>
      <c r="K25" s="40"/>
      <c r="L25" s="254" t="s">
        <v>850</v>
      </c>
      <c r="M25" s="59">
        <v>349</v>
      </c>
      <c r="N25" s="59">
        <v>607</v>
      </c>
      <c r="O25" s="61">
        <v>3988</v>
      </c>
      <c r="P25" s="59">
        <v>25</v>
      </c>
      <c r="Q25" s="59">
        <v>22</v>
      </c>
      <c r="R25" s="254" t="s">
        <v>849</v>
      </c>
      <c r="S25" s="59">
        <v>325</v>
      </c>
      <c r="T25" s="59">
        <v>1234</v>
      </c>
      <c r="U25" s="59">
        <v>4</v>
      </c>
      <c r="V25" s="59">
        <v>119</v>
      </c>
      <c r="W25" s="59">
        <v>84</v>
      </c>
      <c r="X25" s="59">
        <v>763</v>
      </c>
      <c r="Y25" s="59">
        <v>2</v>
      </c>
      <c r="Z25" s="254" t="s">
        <v>857</v>
      </c>
      <c r="AA25" s="59">
        <v>373</v>
      </c>
      <c r="AB25" s="59">
        <v>193</v>
      </c>
      <c r="AC25" s="59">
        <v>2585</v>
      </c>
      <c r="AD25" s="59">
        <v>17</v>
      </c>
      <c r="AE25" s="48" t="s">
        <v>841</v>
      </c>
      <c r="AF25" s="59">
        <v>106</v>
      </c>
      <c r="AG25" s="59">
        <v>76</v>
      </c>
      <c r="AH25" s="59">
        <v>841</v>
      </c>
      <c r="AI25" s="59">
        <v>6</v>
      </c>
      <c r="AJ25" s="9"/>
      <c r="AK25" s="9"/>
      <c r="AL25" s="9"/>
      <c r="AM25" s="9"/>
      <c r="AN25" s="9"/>
      <c r="AO25" s="9"/>
      <c r="AP25" s="9"/>
      <c r="AQ25" s="9"/>
      <c r="AR25" s="9"/>
      <c r="AS25" s="9"/>
      <c r="AT25" s="9"/>
    </row>
    <row r="26" spans="1:46" x14ac:dyDescent="0.3">
      <c r="A26" s="48" t="s">
        <v>853</v>
      </c>
      <c r="B26" s="58">
        <v>17</v>
      </c>
      <c r="C26" s="59">
        <v>22</v>
      </c>
      <c r="D26" s="60">
        <v>15.9</v>
      </c>
      <c r="E26" s="59">
        <v>4</v>
      </c>
      <c r="F26" s="60">
        <v>21.9</v>
      </c>
      <c r="G26" s="59">
        <v>29</v>
      </c>
      <c r="H26" s="60">
        <v>19.2</v>
      </c>
      <c r="I26" s="59">
        <v>12</v>
      </c>
      <c r="J26" s="60">
        <v>8.3000000000000007</v>
      </c>
      <c r="K26" s="40"/>
      <c r="L26" s="254" t="s">
        <v>835</v>
      </c>
      <c r="M26" s="59">
        <v>403</v>
      </c>
      <c r="N26" s="59">
        <v>640</v>
      </c>
      <c r="O26" s="61">
        <v>4348</v>
      </c>
      <c r="P26" s="59">
        <v>25</v>
      </c>
      <c r="Q26" s="59">
        <v>14</v>
      </c>
      <c r="R26" s="254" t="s">
        <v>851</v>
      </c>
      <c r="S26" s="59">
        <v>355</v>
      </c>
      <c r="T26" s="59">
        <v>1097</v>
      </c>
      <c r="U26" s="59">
        <v>9</v>
      </c>
      <c r="V26" s="59">
        <v>123</v>
      </c>
      <c r="W26" s="59">
        <v>83</v>
      </c>
      <c r="X26" s="59">
        <v>619</v>
      </c>
      <c r="Y26" s="59">
        <v>5</v>
      </c>
      <c r="Z26" s="254" t="s">
        <v>858</v>
      </c>
      <c r="AA26" s="59">
        <v>323</v>
      </c>
      <c r="AB26" s="59">
        <v>181</v>
      </c>
      <c r="AC26" s="59">
        <v>2215</v>
      </c>
      <c r="AD26" s="59">
        <v>16</v>
      </c>
      <c r="AE26" s="48" t="s">
        <v>855</v>
      </c>
      <c r="AF26" s="59">
        <v>114</v>
      </c>
      <c r="AG26" s="59">
        <v>82</v>
      </c>
      <c r="AH26" s="59">
        <v>878</v>
      </c>
      <c r="AI26" s="59">
        <v>5</v>
      </c>
      <c r="AJ26" s="9"/>
      <c r="AK26" s="9"/>
      <c r="AL26" s="9"/>
      <c r="AM26" s="9"/>
      <c r="AN26" s="9"/>
      <c r="AO26" s="9"/>
      <c r="AP26" s="9"/>
      <c r="AQ26" s="9"/>
      <c r="AR26" s="9"/>
      <c r="AS26" s="9"/>
      <c r="AT26" s="9"/>
    </row>
    <row r="27" spans="1:46" x14ac:dyDescent="0.3">
      <c r="A27" s="48" t="s">
        <v>828</v>
      </c>
      <c r="B27" s="58">
        <v>18</v>
      </c>
      <c r="C27" s="59">
        <v>26</v>
      </c>
      <c r="D27" s="60">
        <v>15.3</v>
      </c>
      <c r="E27" s="59">
        <v>7</v>
      </c>
      <c r="F27" s="60">
        <v>21.1</v>
      </c>
      <c r="G27" s="59">
        <v>31</v>
      </c>
      <c r="H27" s="60">
        <v>15.9</v>
      </c>
      <c r="I27" s="59">
        <v>5</v>
      </c>
      <c r="J27" s="60">
        <v>9.6</v>
      </c>
      <c r="K27" s="40"/>
      <c r="L27" s="254" t="s">
        <v>854</v>
      </c>
      <c r="M27" s="59">
        <v>343</v>
      </c>
      <c r="N27" s="59">
        <v>573</v>
      </c>
      <c r="O27" s="61">
        <v>3957</v>
      </c>
      <c r="P27" s="59">
        <v>24</v>
      </c>
      <c r="Q27" s="59">
        <v>19</v>
      </c>
      <c r="R27" s="254" t="s">
        <v>857</v>
      </c>
      <c r="S27" s="59">
        <v>308</v>
      </c>
      <c r="T27" s="59">
        <v>1031</v>
      </c>
      <c r="U27" s="59">
        <v>2</v>
      </c>
      <c r="V27" s="59">
        <v>113</v>
      </c>
      <c r="W27" s="59">
        <v>82</v>
      </c>
      <c r="X27" s="59">
        <v>669</v>
      </c>
      <c r="Y27" s="59">
        <v>5</v>
      </c>
      <c r="Z27" s="254" t="s">
        <v>852</v>
      </c>
      <c r="AA27" s="59">
        <v>369</v>
      </c>
      <c r="AB27" s="59">
        <v>209</v>
      </c>
      <c r="AC27" s="59">
        <v>2983</v>
      </c>
      <c r="AD27" s="59">
        <v>16</v>
      </c>
      <c r="AE27" s="48" t="s">
        <v>838</v>
      </c>
      <c r="AF27" s="59">
        <v>123</v>
      </c>
      <c r="AG27" s="59">
        <v>84</v>
      </c>
      <c r="AH27" s="59">
        <v>957</v>
      </c>
      <c r="AI27" s="59">
        <v>4</v>
      </c>
      <c r="AJ27" s="9"/>
      <c r="AK27" s="9"/>
      <c r="AL27" s="9"/>
      <c r="AM27" s="9"/>
      <c r="AN27" s="9"/>
      <c r="AO27" s="9"/>
      <c r="AP27" s="9"/>
      <c r="AQ27" s="9"/>
      <c r="AR27" s="9"/>
      <c r="AS27" s="9"/>
      <c r="AT27" s="9"/>
    </row>
    <row r="28" spans="1:46" x14ac:dyDescent="0.3">
      <c r="A28" s="48" t="s">
        <v>832</v>
      </c>
      <c r="B28" s="58">
        <v>19</v>
      </c>
      <c r="C28" s="59">
        <v>10</v>
      </c>
      <c r="D28" s="60">
        <v>18.100000000000001</v>
      </c>
      <c r="E28" s="59">
        <v>25</v>
      </c>
      <c r="F28" s="60">
        <v>15.7</v>
      </c>
      <c r="G28" s="59">
        <v>5</v>
      </c>
      <c r="H28" s="60">
        <v>26.7</v>
      </c>
      <c r="I28" s="59">
        <v>30</v>
      </c>
      <c r="J28" s="60">
        <v>5.8</v>
      </c>
      <c r="K28" s="40"/>
      <c r="L28" s="254" t="s">
        <v>858</v>
      </c>
      <c r="M28" s="59">
        <v>326</v>
      </c>
      <c r="N28" s="59">
        <v>553</v>
      </c>
      <c r="O28" s="61">
        <v>3677</v>
      </c>
      <c r="P28" s="59">
        <v>24</v>
      </c>
      <c r="Q28" s="59">
        <v>14</v>
      </c>
      <c r="R28" s="254" t="s">
        <v>845</v>
      </c>
      <c r="S28" s="59">
        <v>411</v>
      </c>
      <c r="T28" s="59">
        <v>1448</v>
      </c>
      <c r="U28" s="59">
        <v>8</v>
      </c>
      <c r="V28" s="59">
        <v>104</v>
      </c>
      <c r="W28" s="59">
        <v>82</v>
      </c>
      <c r="X28" s="59">
        <v>577</v>
      </c>
      <c r="Y28" s="59">
        <v>5</v>
      </c>
      <c r="Z28" s="254" t="s">
        <v>834</v>
      </c>
      <c r="AA28" s="59">
        <v>340</v>
      </c>
      <c r="AB28" s="59">
        <v>204</v>
      </c>
      <c r="AC28" s="59">
        <v>2666</v>
      </c>
      <c r="AD28" s="59">
        <v>15</v>
      </c>
      <c r="AE28" s="48" t="s">
        <v>833</v>
      </c>
      <c r="AF28" s="59">
        <v>88</v>
      </c>
      <c r="AG28" s="59">
        <v>61</v>
      </c>
      <c r="AH28" s="59">
        <v>588</v>
      </c>
      <c r="AI28" s="59">
        <v>10</v>
      </c>
      <c r="AJ28" s="9"/>
      <c r="AK28" s="9"/>
      <c r="AL28" s="9"/>
      <c r="AM28" s="9"/>
      <c r="AN28" s="9"/>
      <c r="AO28" s="9"/>
      <c r="AP28" s="9"/>
      <c r="AQ28" s="9"/>
      <c r="AR28" s="9"/>
      <c r="AS28" s="9"/>
      <c r="AT28" s="9"/>
    </row>
    <row r="29" spans="1:46" x14ac:dyDescent="0.3">
      <c r="A29" s="48" t="s">
        <v>852</v>
      </c>
      <c r="B29" s="58">
        <v>20</v>
      </c>
      <c r="C29" s="59">
        <v>15</v>
      </c>
      <c r="D29" s="60">
        <v>17.399999999999999</v>
      </c>
      <c r="E29" s="59">
        <v>21</v>
      </c>
      <c r="F29" s="60">
        <v>16.5</v>
      </c>
      <c r="G29" s="59">
        <v>7</v>
      </c>
      <c r="H29" s="60">
        <v>26.4</v>
      </c>
      <c r="I29" s="59">
        <v>29</v>
      </c>
      <c r="J29" s="60">
        <v>6.4</v>
      </c>
      <c r="K29" s="40"/>
      <c r="L29" s="254" t="s">
        <v>855</v>
      </c>
      <c r="M29" s="59">
        <v>359</v>
      </c>
      <c r="N29" s="59">
        <v>561</v>
      </c>
      <c r="O29" s="61">
        <v>4042</v>
      </c>
      <c r="P29" s="59">
        <v>24</v>
      </c>
      <c r="Q29" s="59">
        <v>13</v>
      </c>
      <c r="R29" s="254" t="s">
        <v>841</v>
      </c>
      <c r="S29" s="59">
        <v>366</v>
      </c>
      <c r="T29" s="59">
        <v>1558</v>
      </c>
      <c r="U29" s="59">
        <v>6</v>
      </c>
      <c r="V29" s="59">
        <v>112</v>
      </c>
      <c r="W29" s="59">
        <v>80</v>
      </c>
      <c r="X29" s="59">
        <v>800</v>
      </c>
      <c r="Y29" s="59">
        <v>6</v>
      </c>
      <c r="Z29" s="254" t="s">
        <v>854</v>
      </c>
      <c r="AA29" s="59">
        <v>320</v>
      </c>
      <c r="AB29" s="59">
        <v>174</v>
      </c>
      <c r="AC29" s="59">
        <v>2245</v>
      </c>
      <c r="AD29" s="59">
        <v>14</v>
      </c>
      <c r="AE29" s="48" t="s">
        <v>848</v>
      </c>
      <c r="AF29" s="59">
        <v>115</v>
      </c>
      <c r="AG29" s="59">
        <v>65</v>
      </c>
      <c r="AH29" s="59">
        <v>697</v>
      </c>
      <c r="AI29" s="59">
        <v>7</v>
      </c>
      <c r="AJ29" s="9"/>
      <c r="AK29" s="9"/>
      <c r="AL29" s="9"/>
      <c r="AM29" s="9"/>
      <c r="AN29" s="9"/>
      <c r="AO29" s="9"/>
      <c r="AP29" s="9"/>
      <c r="AQ29" s="9"/>
      <c r="AR29" s="9"/>
      <c r="AS29" s="9"/>
      <c r="AT29" s="9"/>
    </row>
    <row r="30" spans="1:46" x14ac:dyDescent="0.3">
      <c r="A30" s="48" t="s">
        <v>859</v>
      </c>
      <c r="B30" s="58">
        <v>21</v>
      </c>
      <c r="C30" s="59">
        <v>23</v>
      </c>
      <c r="D30" s="60">
        <v>15.6</v>
      </c>
      <c r="E30" s="59">
        <v>11</v>
      </c>
      <c r="F30" s="60">
        <v>19</v>
      </c>
      <c r="G30" s="59">
        <v>28</v>
      </c>
      <c r="H30" s="60">
        <v>19.2</v>
      </c>
      <c r="I30" s="59">
        <v>13</v>
      </c>
      <c r="J30" s="60">
        <v>8.1</v>
      </c>
      <c r="K30" s="40"/>
      <c r="L30" s="254" t="s">
        <v>852</v>
      </c>
      <c r="M30" s="59">
        <v>361</v>
      </c>
      <c r="N30" s="59">
        <v>596</v>
      </c>
      <c r="O30" s="61">
        <v>4210</v>
      </c>
      <c r="P30" s="59">
        <v>24</v>
      </c>
      <c r="Q30" s="59">
        <v>12</v>
      </c>
      <c r="R30" s="254" t="s">
        <v>854</v>
      </c>
      <c r="S30" s="59">
        <v>303</v>
      </c>
      <c r="T30" s="59">
        <v>1125</v>
      </c>
      <c r="U30" s="59">
        <v>8</v>
      </c>
      <c r="V30" s="59">
        <v>104</v>
      </c>
      <c r="W30" s="59">
        <v>80</v>
      </c>
      <c r="X30" s="59">
        <v>783</v>
      </c>
      <c r="Y30" s="59">
        <v>4</v>
      </c>
      <c r="Z30" s="254" t="s">
        <v>839</v>
      </c>
      <c r="AA30" s="59">
        <v>319</v>
      </c>
      <c r="AB30" s="59">
        <v>216</v>
      </c>
      <c r="AC30" s="59">
        <v>2677</v>
      </c>
      <c r="AD30" s="59">
        <v>14</v>
      </c>
      <c r="AE30" s="48" t="s">
        <v>858</v>
      </c>
      <c r="AF30" s="59">
        <v>120</v>
      </c>
      <c r="AG30" s="59">
        <v>70</v>
      </c>
      <c r="AH30" s="59">
        <v>810</v>
      </c>
      <c r="AI30" s="59">
        <v>5</v>
      </c>
      <c r="AJ30" s="9"/>
      <c r="AK30" s="9"/>
      <c r="AL30" s="9"/>
      <c r="AM30" s="9"/>
      <c r="AN30" s="9"/>
      <c r="AO30" s="9"/>
      <c r="AP30" s="9"/>
      <c r="AQ30" s="9"/>
      <c r="AR30" s="9"/>
      <c r="AS30" s="9"/>
      <c r="AT30" s="9"/>
    </row>
    <row r="31" spans="1:46" x14ac:dyDescent="0.3">
      <c r="A31" s="48" t="s">
        <v>856</v>
      </c>
      <c r="B31" s="58">
        <v>22</v>
      </c>
      <c r="C31" s="59">
        <v>25</v>
      </c>
      <c r="D31" s="60">
        <v>15.5</v>
      </c>
      <c r="E31" s="59">
        <v>19</v>
      </c>
      <c r="F31" s="60">
        <v>16.899999999999999</v>
      </c>
      <c r="G31" s="59">
        <v>21</v>
      </c>
      <c r="H31" s="60">
        <v>20.5</v>
      </c>
      <c r="I31" s="59">
        <v>15</v>
      </c>
      <c r="J31" s="60">
        <v>7.8</v>
      </c>
      <c r="K31" s="40"/>
      <c r="L31" s="254" t="s">
        <v>857</v>
      </c>
      <c r="M31" s="59">
        <v>341</v>
      </c>
      <c r="N31" s="59">
        <v>598</v>
      </c>
      <c r="O31" s="61">
        <v>3979</v>
      </c>
      <c r="P31" s="59">
        <v>23</v>
      </c>
      <c r="Q31" s="59">
        <v>18</v>
      </c>
      <c r="R31" s="254" t="s">
        <v>853</v>
      </c>
      <c r="S31" s="59">
        <v>358</v>
      </c>
      <c r="T31" s="59">
        <v>1780</v>
      </c>
      <c r="U31" s="59">
        <v>14</v>
      </c>
      <c r="V31" s="59">
        <v>97</v>
      </c>
      <c r="W31" s="59">
        <v>77</v>
      </c>
      <c r="X31" s="59">
        <v>743</v>
      </c>
      <c r="Y31" s="59">
        <v>3</v>
      </c>
      <c r="Z31" s="254" t="s">
        <v>844</v>
      </c>
      <c r="AA31" s="59">
        <v>318</v>
      </c>
      <c r="AB31" s="59">
        <v>198</v>
      </c>
      <c r="AC31" s="59">
        <v>2838</v>
      </c>
      <c r="AD31" s="59">
        <v>13</v>
      </c>
      <c r="AE31" s="48" t="s">
        <v>830</v>
      </c>
      <c r="AF31" s="59">
        <v>107</v>
      </c>
      <c r="AG31" s="59">
        <v>73</v>
      </c>
      <c r="AH31" s="59">
        <v>799</v>
      </c>
      <c r="AI31" s="59">
        <v>6</v>
      </c>
      <c r="AJ31" s="9"/>
      <c r="AK31" s="9"/>
      <c r="AL31" s="9"/>
      <c r="AM31" s="9"/>
      <c r="AN31" s="9"/>
      <c r="AO31" s="9"/>
      <c r="AP31" s="9"/>
      <c r="AQ31" s="9"/>
      <c r="AR31" s="9"/>
      <c r="AS31" s="9"/>
      <c r="AT31" s="9"/>
    </row>
    <row r="32" spans="1:46" x14ac:dyDescent="0.3">
      <c r="A32" s="48" t="s">
        <v>855</v>
      </c>
      <c r="B32" s="58">
        <v>23</v>
      </c>
      <c r="C32" s="59">
        <v>20</v>
      </c>
      <c r="D32" s="60">
        <v>16.100000000000001</v>
      </c>
      <c r="E32" s="59">
        <v>26</v>
      </c>
      <c r="F32" s="60">
        <v>15.6</v>
      </c>
      <c r="G32" s="59">
        <v>19</v>
      </c>
      <c r="H32" s="60">
        <v>22.2</v>
      </c>
      <c r="I32" s="59">
        <v>17</v>
      </c>
      <c r="J32" s="60">
        <v>7.4</v>
      </c>
      <c r="K32" s="40"/>
      <c r="L32" s="254" t="s">
        <v>853</v>
      </c>
      <c r="M32" s="59">
        <v>328</v>
      </c>
      <c r="N32" s="59">
        <v>510</v>
      </c>
      <c r="O32" s="61">
        <v>4008</v>
      </c>
      <c r="P32" s="59">
        <v>22</v>
      </c>
      <c r="Q32" s="59">
        <v>11</v>
      </c>
      <c r="R32" s="254" t="s">
        <v>855</v>
      </c>
      <c r="S32" s="59">
        <v>354</v>
      </c>
      <c r="T32" s="59">
        <v>1501</v>
      </c>
      <c r="U32" s="59">
        <v>5</v>
      </c>
      <c r="V32" s="59">
        <v>100</v>
      </c>
      <c r="W32" s="59">
        <v>76</v>
      </c>
      <c r="X32" s="59">
        <v>681</v>
      </c>
      <c r="Y32" s="59">
        <v>2</v>
      </c>
      <c r="Z32" s="254" t="s">
        <v>831</v>
      </c>
      <c r="AA32" s="59">
        <v>358</v>
      </c>
      <c r="AB32" s="59">
        <v>203</v>
      </c>
      <c r="AC32" s="59">
        <v>2500</v>
      </c>
      <c r="AD32" s="59">
        <v>12</v>
      </c>
      <c r="AE32" s="48" t="s">
        <v>831</v>
      </c>
      <c r="AF32" s="59">
        <v>130</v>
      </c>
      <c r="AG32" s="59">
        <v>79</v>
      </c>
      <c r="AH32" s="59">
        <v>774</v>
      </c>
      <c r="AI32" s="59">
        <v>6</v>
      </c>
      <c r="AJ32" s="9"/>
      <c r="AK32" s="9"/>
      <c r="AL32" s="9"/>
      <c r="AM32" s="9"/>
      <c r="AN32" s="9"/>
      <c r="AO32" s="9"/>
      <c r="AP32" s="9"/>
      <c r="AQ32" s="9"/>
      <c r="AR32" s="9"/>
      <c r="AS32" s="9"/>
      <c r="AT32" s="9"/>
    </row>
    <row r="33" spans="1:51" x14ac:dyDescent="0.3">
      <c r="A33" s="48" t="s">
        <v>846</v>
      </c>
      <c r="B33" s="58">
        <v>24</v>
      </c>
      <c r="C33" s="59">
        <v>21</v>
      </c>
      <c r="D33" s="60">
        <v>16</v>
      </c>
      <c r="E33" s="59">
        <v>6</v>
      </c>
      <c r="F33" s="60">
        <v>21.4</v>
      </c>
      <c r="G33" s="59">
        <v>26</v>
      </c>
      <c r="H33" s="60">
        <v>19.8</v>
      </c>
      <c r="I33" s="59">
        <v>31</v>
      </c>
      <c r="J33" s="60">
        <v>5.5</v>
      </c>
      <c r="K33" s="40"/>
      <c r="L33" s="254" t="s">
        <v>831</v>
      </c>
      <c r="M33" s="59">
        <v>390</v>
      </c>
      <c r="N33" s="59">
        <v>650</v>
      </c>
      <c r="O33" s="61">
        <v>4054</v>
      </c>
      <c r="P33" s="59">
        <v>21</v>
      </c>
      <c r="Q33" s="59">
        <v>24</v>
      </c>
      <c r="R33" s="254" t="s">
        <v>858</v>
      </c>
      <c r="S33" s="59">
        <v>330</v>
      </c>
      <c r="T33" s="59">
        <v>1380</v>
      </c>
      <c r="U33" s="59">
        <v>7</v>
      </c>
      <c r="V33" s="59">
        <v>101</v>
      </c>
      <c r="W33" s="59">
        <v>74</v>
      </c>
      <c r="X33" s="59">
        <v>657</v>
      </c>
      <c r="Y33" s="59">
        <v>3</v>
      </c>
      <c r="Z33" s="254" t="s">
        <v>842</v>
      </c>
      <c r="AA33" s="59">
        <v>356</v>
      </c>
      <c r="AB33" s="59">
        <v>213</v>
      </c>
      <c r="AC33" s="59">
        <v>2467</v>
      </c>
      <c r="AD33" s="59">
        <v>12</v>
      </c>
      <c r="AE33" s="48" t="s">
        <v>845</v>
      </c>
      <c r="AF33" s="59">
        <v>131</v>
      </c>
      <c r="AG33" s="59">
        <v>91</v>
      </c>
      <c r="AH33" s="59">
        <v>853</v>
      </c>
      <c r="AI33" s="59">
        <v>4</v>
      </c>
      <c r="AJ33" s="9"/>
      <c r="AK33" s="9"/>
      <c r="AL33" s="9"/>
      <c r="AM33" s="9"/>
      <c r="AN33" s="9"/>
      <c r="AO33" s="9"/>
      <c r="AP33" s="9"/>
      <c r="AQ33" s="9"/>
      <c r="AR33" s="9"/>
      <c r="AS33" s="9"/>
      <c r="AT33" s="9"/>
    </row>
    <row r="34" spans="1:51" x14ac:dyDescent="0.3">
      <c r="A34" s="48" t="s">
        <v>857</v>
      </c>
      <c r="B34" s="58">
        <v>25</v>
      </c>
      <c r="C34" s="59">
        <v>17</v>
      </c>
      <c r="D34" s="60">
        <v>17.100000000000001</v>
      </c>
      <c r="E34" s="59">
        <v>31</v>
      </c>
      <c r="F34" s="60">
        <v>13.2</v>
      </c>
      <c r="G34" s="59">
        <v>11</v>
      </c>
      <c r="H34" s="60">
        <v>25.1</v>
      </c>
      <c r="I34" s="59">
        <v>26</v>
      </c>
      <c r="J34" s="60">
        <v>6.8</v>
      </c>
      <c r="K34" s="40"/>
      <c r="L34" s="254" t="s">
        <v>844</v>
      </c>
      <c r="M34" s="59">
        <v>375</v>
      </c>
      <c r="N34" s="59">
        <v>548</v>
      </c>
      <c r="O34" s="61">
        <v>4375</v>
      </c>
      <c r="P34" s="59">
        <v>21</v>
      </c>
      <c r="Q34" s="59">
        <v>9</v>
      </c>
      <c r="R34" s="254" t="s">
        <v>840</v>
      </c>
      <c r="S34" s="59">
        <v>391</v>
      </c>
      <c r="T34" s="59">
        <v>1625</v>
      </c>
      <c r="U34" s="59">
        <v>12</v>
      </c>
      <c r="V34" s="59">
        <v>98</v>
      </c>
      <c r="W34" s="59">
        <v>72</v>
      </c>
      <c r="X34" s="59">
        <v>559</v>
      </c>
      <c r="Y34" s="59">
        <v>3</v>
      </c>
      <c r="Z34" s="254" t="s">
        <v>846</v>
      </c>
      <c r="AA34" s="59">
        <v>296</v>
      </c>
      <c r="AB34" s="59">
        <v>183</v>
      </c>
      <c r="AC34" s="59">
        <v>2494</v>
      </c>
      <c r="AD34" s="59">
        <v>12</v>
      </c>
      <c r="AE34" s="48" t="s">
        <v>844</v>
      </c>
      <c r="AF34" s="59">
        <v>102</v>
      </c>
      <c r="AG34" s="59">
        <v>74</v>
      </c>
      <c r="AH34" s="59">
        <v>748</v>
      </c>
      <c r="AI34" s="59">
        <v>5</v>
      </c>
      <c r="AJ34" s="9"/>
      <c r="AK34" s="9"/>
      <c r="AL34" s="9"/>
      <c r="AM34" s="9"/>
      <c r="AN34" s="9"/>
      <c r="AO34" s="9"/>
      <c r="AP34" s="9"/>
      <c r="AQ34" s="9"/>
      <c r="AR34" s="9"/>
      <c r="AS34" s="9"/>
      <c r="AT34" s="9"/>
    </row>
    <row r="35" spans="1:51" x14ac:dyDescent="0.3">
      <c r="A35" s="48" t="s">
        <v>854</v>
      </c>
      <c r="B35" s="58">
        <v>26</v>
      </c>
      <c r="C35" s="59">
        <v>27</v>
      </c>
      <c r="D35" s="60">
        <v>15.1</v>
      </c>
      <c r="E35" s="59">
        <v>28</v>
      </c>
      <c r="F35" s="60">
        <v>14.9</v>
      </c>
      <c r="G35" s="59">
        <v>25</v>
      </c>
      <c r="H35" s="60">
        <v>19.899999999999999</v>
      </c>
      <c r="I35" s="59">
        <v>14</v>
      </c>
      <c r="J35" s="60">
        <v>7.9</v>
      </c>
      <c r="K35" s="40"/>
      <c r="L35" s="254" t="s">
        <v>837</v>
      </c>
      <c r="M35" s="59">
        <v>399</v>
      </c>
      <c r="N35" s="59">
        <v>597</v>
      </c>
      <c r="O35" s="61">
        <v>4301</v>
      </c>
      <c r="P35" s="59">
        <v>21</v>
      </c>
      <c r="Q35" s="59">
        <v>13</v>
      </c>
      <c r="R35" s="254" t="s">
        <v>832</v>
      </c>
      <c r="S35" s="59">
        <v>362</v>
      </c>
      <c r="T35" s="59">
        <v>1438</v>
      </c>
      <c r="U35" s="59">
        <v>8</v>
      </c>
      <c r="V35" s="59">
        <v>96</v>
      </c>
      <c r="W35" s="59">
        <v>72</v>
      </c>
      <c r="X35" s="59">
        <v>572</v>
      </c>
      <c r="Y35" s="59">
        <v>1</v>
      </c>
      <c r="Z35" s="254" t="s">
        <v>856</v>
      </c>
      <c r="AA35" s="59">
        <v>306</v>
      </c>
      <c r="AB35" s="59">
        <v>179</v>
      </c>
      <c r="AC35" s="59">
        <v>2499</v>
      </c>
      <c r="AD35" s="59">
        <v>12</v>
      </c>
      <c r="AE35" s="48" t="s">
        <v>843</v>
      </c>
      <c r="AF35" s="59">
        <v>109</v>
      </c>
      <c r="AG35" s="59">
        <v>70</v>
      </c>
      <c r="AH35" s="59">
        <v>819</v>
      </c>
      <c r="AI35" s="59">
        <v>4</v>
      </c>
      <c r="AJ35" s="9"/>
      <c r="AK35" s="9"/>
      <c r="AL35" s="9"/>
      <c r="AM35" s="9"/>
      <c r="AN35" s="9"/>
      <c r="AO35" s="9"/>
      <c r="AP35" s="9"/>
      <c r="AQ35" s="9"/>
      <c r="AR35" s="9"/>
      <c r="AS35" s="9"/>
      <c r="AT35" s="9"/>
    </row>
    <row r="36" spans="1:51" x14ac:dyDescent="0.3">
      <c r="A36" s="48" t="s">
        <v>858</v>
      </c>
      <c r="B36" s="58">
        <v>27</v>
      </c>
      <c r="C36" s="59">
        <v>24</v>
      </c>
      <c r="D36" s="60">
        <v>15.5</v>
      </c>
      <c r="E36" s="59">
        <v>24</v>
      </c>
      <c r="F36" s="60">
        <v>15.8</v>
      </c>
      <c r="G36" s="59">
        <v>27</v>
      </c>
      <c r="H36" s="60">
        <v>19.5</v>
      </c>
      <c r="I36" s="59">
        <v>21</v>
      </c>
      <c r="J36" s="60">
        <v>7</v>
      </c>
      <c r="K36" s="40"/>
      <c r="L36" s="254" t="s">
        <v>856</v>
      </c>
      <c r="M36" s="59">
        <v>320</v>
      </c>
      <c r="N36" s="59">
        <v>550</v>
      </c>
      <c r="O36" s="61">
        <v>3878</v>
      </c>
      <c r="P36" s="59">
        <v>20</v>
      </c>
      <c r="Q36" s="59">
        <v>16</v>
      </c>
      <c r="R36" s="254" t="s">
        <v>850</v>
      </c>
      <c r="S36" s="59">
        <v>327</v>
      </c>
      <c r="T36" s="59">
        <v>1245</v>
      </c>
      <c r="U36" s="59">
        <v>7</v>
      </c>
      <c r="V36" s="59">
        <v>106</v>
      </c>
      <c r="W36" s="59">
        <v>71</v>
      </c>
      <c r="X36" s="59">
        <v>503</v>
      </c>
      <c r="Y36" s="59">
        <v>4</v>
      </c>
      <c r="Z36" s="254" t="s">
        <v>837</v>
      </c>
      <c r="AA36" s="59">
        <v>325</v>
      </c>
      <c r="AB36" s="59">
        <v>208</v>
      </c>
      <c r="AC36" s="59">
        <v>2377</v>
      </c>
      <c r="AD36" s="59">
        <v>12</v>
      </c>
      <c r="AE36" s="48" t="s">
        <v>842</v>
      </c>
      <c r="AF36" s="59">
        <v>147</v>
      </c>
      <c r="AG36" s="59">
        <v>100</v>
      </c>
      <c r="AH36" s="59">
        <v>1007</v>
      </c>
      <c r="AI36" s="59">
        <v>1</v>
      </c>
      <c r="AJ36" s="9"/>
      <c r="AK36" s="9"/>
      <c r="AL36" s="9"/>
      <c r="AM36" s="9"/>
      <c r="AN36" s="9"/>
      <c r="AO36" s="9"/>
      <c r="AP36" s="9"/>
      <c r="AQ36" s="9"/>
      <c r="AR36" s="9"/>
      <c r="AS36" s="9"/>
      <c r="AT36" s="9"/>
    </row>
    <row r="37" spans="1:51" x14ac:dyDescent="0.3">
      <c r="A37" s="48" t="s">
        <v>831</v>
      </c>
      <c r="B37" s="58">
        <v>28</v>
      </c>
      <c r="C37" s="59">
        <v>29</v>
      </c>
      <c r="D37" s="60">
        <v>14.3</v>
      </c>
      <c r="E37" s="59">
        <v>23</v>
      </c>
      <c r="F37" s="60">
        <v>15.9</v>
      </c>
      <c r="G37" s="59">
        <v>20</v>
      </c>
      <c r="H37" s="60">
        <v>20.5</v>
      </c>
      <c r="I37" s="59">
        <v>25</v>
      </c>
      <c r="J37" s="60">
        <v>6.8</v>
      </c>
      <c r="K37" s="40"/>
      <c r="L37" s="254" t="s">
        <v>828</v>
      </c>
      <c r="M37" s="59">
        <v>370</v>
      </c>
      <c r="N37" s="59">
        <v>560</v>
      </c>
      <c r="O37" s="61">
        <v>3999</v>
      </c>
      <c r="P37" s="59">
        <v>19</v>
      </c>
      <c r="Q37" s="59">
        <v>15</v>
      </c>
      <c r="R37" s="254" t="s">
        <v>839</v>
      </c>
      <c r="S37" s="59">
        <v>369</v>
      </c>
      <c r="T37" s="59">
        <v>1504</v>
      </c>
      <c r="U37" s="59">
        <v>14</v>
      </c>
      <c r="V37" s="59">
        <v>93</v>
      </c>
      <c r="W37" s="59">
        <v>66</v>
      </c>
      <c r="X37" s="59">
        <v>550</v>
      </c>
      <c r="Y37" s="59">
        <v>1</v>
      </c>
      <c r="Z37" s="254" t="s">
        <v>853</v>
      </c>
      <c r="AA37" s="59">
        <v>294</v>
      </c>
      <c r="AB37" s="59">
        <v>175</v>
      </c>
      <c r="AC37" s="59">
        <v>2383</v>
      </c>
      <c r="AD37" s="59">
        <v>11</v>
      </c>
      <c r="AE37" s="48" t="s">
        <v>852</v>
      </c>
      <c r="AF37" s="59">
        <v>103</v>
      </c>
      <c r="AG37" s="59">
        <v>59</v>
      </c>
      <c r="AH37" s="59">
        <v>574</v>
      </c>
      <c r="AI37" s="59">
        <v>7</v>
      </c>
      <c r="AJ37" s="9"/>
      <c r="AK37" s="9"/>
      <c r="AL37" s="9"/>
      <c r="AM37" s="9"/>
      <c r="AN37" s="9"/>
      <c r="AO37" s="9"/>
      <c r="AP37" s="9"/>
      <c r="AQ37" s="9"/>
      <c r="AR37" s="9"/>
      <c r="AS37" s="9"/>
      <c r="AT37" s="9"/>
    </row>
    <row r="38" spans="1:51" x14ac:dyDescent="0.3">
      <c r="A38" s="48" t="s">
        <v>851</v>
      </c>
      <c r="B38" s="58">
        <v>29</v>
      </c>
      <c r="C38" s="59">
        <v>32</v>
      </c>
      <c r="D38" s="60">
        <v>12.3</v>
      </c>
      <c r="E38" s="59">
        <v>22</v>
      </c>
      <c r="F38" s="60">
        <v>21.4</v>
      </c>
      <c r="G38" s="59">
        <v>32</v>
      </c>
      <c r="H38" s="60">
        <v>14.9</v>
      </c>
      <c r="I38" s="59">
        <v>11</v>
      </c>
      <c r="J38" s="60">
        <v>8.4</v>
      </c>
      <c r="K38" s="40"/>
      <c r="L38" s="254" t="s">
        <v>846</v>
      </c>
      <c r="M38" s="59">
        <v>330</v>
      </c>
      <c r="N38" s="59">
        <v>506</v>
      </c>
      <c r="O38" s="61">
        <v>3865</v>
      </c>
      <c r="P38" s="59">
        <v>19</v>
      </c>
      <c r="Q38" s="59">
        <v>8</v>
      </c>
      <c r="R38" s="254" t="s">
        <v>856</v>
      </c>
      <c r="S38" s="59">
        <v>338</v>
      </c>
      <c r="T38" s="59">
        <v>1392</v>
      </c>
      <c r="U38" s="59">
        <v>12</v>
      </c>
      <c r="V38" s="59">
        <v>94</v>
      </c>
      <c r="W38" s="59">
        <v>65</v>
      </c>
      <c r="X38" s="59">
        <v>564</v>
      </c>
      <c r="Y38" s="59">
        <v>1</v>
      </c>
      <c r="Z38" s="254" t="s">
        <v>835</v>
      </c>
      <c r="AA38" s="59">
        <v>373</v>
      </c>
      <c r="AB38" s="59">
        <v>225</v>
      </c>
      <c r="AC38" s="59">
        <v>2692</v>
      </c>
      <c r="AD38" s="59">
        <v>10</v>
      </c>
      <c r="AE38" s="48" t="s">
        <v>832</v>
      </c>
      <c r="AF38" s="59">
        <v>103</v>
      </c>
      <c r="AG38" s="59">
        <v>67</v>
      </c>
      <c r="AH38" s="59">
        <v>741</v>
      </c>
      <c r="AI38" s="59">
        <v>3</v>
      </c>
      <c r="AJ38" s="9"/>
      <c r="AK38" s="9"/>
      <c r="AL38" s="9"/>
      <c r="AM38" s="9"/>
      <c r="AN38" s="9"/>
      <c r="AO38" s="9"/>
      <c r="AP38" s="9"/>
      <c r="AQ38" s="9"/>
      <c r="AR38" s="9"/>
      <c r="AS38" s="9"/>
      <c r="AT38" s="9"/>
    </row>
    <row r="39" spans="1:51" x14ac:dyDescent="0.3">
      <c r="A39" s="48" t="s">
        <v>850</v>
      </c>
      <c r="B39" s="58">
        <v>30</v>
      </c>
      <c r="C39" s="59">
        <v>28</v>
      </c>
      <c r="D39" s="60">
        <v>14.8</v>
      </c>
      <c r="E39" s="59">
        <v>29</v>
      </c>
      <c r="F39" s="60">
        <v>14.5</v>
      </c>
      <c r="G39" s="59">
        <v>10</v>
      </c>
      <c r="H39" s="60">
        <v>25.1</v>
      </c>
      <c r="I39" s="59">
        <v>32</v>
      </c>
      <c r="J39" s="60">
        <v>5.2</v>
      </c>
      <c r="K39" s="40"/>
      <c r="L39" s="254" t="s">
        <v>851</v>
      </c>
      <c r="M39" s="59">
        <v>344</v>
      </c>
      <c r="N39" s="59">
        <v>573</v>
      </c>
      <c r="O39" s="61">
        <v>3544</v>
      </c>
      <c r="P39" s="59">
        <v>19</v>
      </c>
      <c r="Q39" s="59">
        <v>14</v>
      </c>
      <c r="R39" s="254" t="s">
        <v>833</v>
      </c>
      <c r="S39" s="59">
        <v>402</v>
      </c>
      <c r="T39" s="59">
        <v>1841</v>
      </c>
      <c r="U39" s="59">
        <v>7</v>
      </c>
      <c r="V39" s="59">
        <v>86</v>
      </c>
      <c r="W39" s="59">
        <v>62</v>
      </c>
      <c r="X39" s="59">
        <v>618</v>
      </c>
      <c r="Y39" s="59">
        <v>2</v>
      </c>
      <c r="Z39" s="254" t="s">
        <v>828</v>
      </c>
      <c r="AA39" s="59">
        <v>267</v>
      </c>
      <c r="AB39" s="59">
        <v>157</v>
      </c>
      <c r="AC39" s="59">
        <v>2041</v>
      </c>
      <c r="AD39" s="59">
        <v>7</v>
      </c>
      <c r="AE39" s="48" t="s">
        <v>857</v>
      </c>
      <c r="AF39" s="59">
        <v>106</v>
      </c>
      <c r="AG39" s="59">
        <v>67</v>
      </c>
      <c r="AH39" s="59">
        <v>746</v>
      </c>
      <c r="AI39" s="59">
        <v>2</v>
      </c>
      <c r="AJ39" s="9"/>
      <c r="AK39" s="9"/>
      <c r="AL39" s="9"/>
      <c r="AM39" s="9"/>
      <c r="AN39" s="9"/>
      <c r="AO39" s="9"/>
      <c r="AP39" s="9"/>
      <c r="AQ39" s="9"/>
      <c r="AR39" s="9"/>
      <c r="AS39" s="9"/>
      <c r="AT39" s="9"/>
    </row>
    <row r="40" spans="1:51" x14ac:dyDescent="0.3">
      <c r="A40" s="48" t="s">
        <v>842</v>
      </c>
      <c r="B40" s="58">
        <v>31</v>
      </c>
      <c r="C40" s="59">
        <v>30</v>
      </c>
      <c r="D40" s="60">
        <v>13.5</v>
      </c>
      <c r="E40" s="59">
        <v>20</v>
      </c>
      <c r="F40" s="60">
        <v>16.7</v>
      </c>
      <c r="G40" s="59">
        <v>22</v>
      </c>
      <c r="H40" s="60">
        <v>20.5</v>
      </c>
      <c r="I40" s="59">
        <v>28</v>
      </c>
      <c r="J40" s="60">
        <v>6.6</v>
      </c>
      <c r="K40" s="40"/>
      <c r="L40" s="254" t="s">
        <v>842</v>
      </c>
      <c r="M40" s="59">
        <v>415</v>
      </c>
      <c r="N40" s="59">
        <v>646</v>
      </c>
      <c r="O40" s="61">
        <v>4264</v>
      </c>
      <c r="P40" s="59">
        <v>18</v>
      </c>
      <c r="Q40" s="59">
        <v>21</v>
      </c>
      <c r="R40" s="254" t="s">
        <v>848</v>
      </c>
      <c r="S40" s="59">
        <v>334</v>
      </c>
      <c r="T40" s="59">
        <v>1515</v>
      </c>
      <c r="U40" s="59">
        <v>9</v>
      </c>
      <c r="V40" s="59">
        <v>79</v>
      </c>
      <c r="W40" s="59">
        <v>59</v>
      </c>
      <c r="X40" s="59">
        <v>572</v>
      </c>
      <c r="Y40" s="59">
        <v>4</v>
      </c>
      <c r="Z40" s="254" t="s">
        <v>851</v>
      </c>
      <c r="AA40" s="59">
        <v>293</v>
      </c>
      <c r="AB40" s="59">
        <v>172</v>
      </c>
      <c r="AC40" s="59">
        <v>1963</v>
      </c>
      <c r="AD40" s="59">
        <v>7</v>
      </c>
      <c r="AE40" s="48" t="s">
        <v>846</v>
      </c>
      <c r="AF40" s="59">
        <v>81</v>
      </c>
      <c r="AG40" s="59">
        <v>52</v>
      </c>
      <c r="AH40" s="59">
        <v>535</v>
      </c>
      <c r="AI40" s="59">
        <v>4</v>
      </c>
      <c r="AJ40" s="9"/>
      <c r="AK40" s="9"/>
      <c r="AL40" s="9"/>
      <c r="AM40" s="9"/>
      <c r="AN40" s="9"/>
      <c r="AO40" s="9"/>
      <c r="AP40" s="9"/>
      <c r="AQ40" s="9"/>
      <c r="AR40" s="9"/>
      <c r="AS40" s="9"/>
      <c r="AT40" s="9"/>
    </row>
    <row r="41" spans="1:51" x14ac:dyDescent="0.3">
      <c r="A41" s="48" t="s">
        <v>847</v>
      </c>
      <c r="B41" s="58">
        <v>32</v>
      </c>
      <c r="C41" s="59">
        <v>31</v>
      </c>
      <c r="D41" s="60">
        <v>12.9</v>
      </c>
      <c r="E41" s="59">
        <v>32</v>
      </c>
      <c r="F41" s="60">
        <v>11.8</v>
      </c>
      <c r="G41" s="59">
        <v>30</v>
      </c>
      <c r="H41" s="60">
        <v>16.600000000000001</v>
      </c>
      <c r="I41" s="59">
        <v>8</v>
      </c>
      <c r="J41" s="60">
        <v>8.6999999999999993</v>
      </c>
      <c r="K41" s="40"/>
      <c r="L41" s="254" t="s">
        <v>847</v>
      </c>
      <c r="M41" s="59">
        <v>333</v>
      </c>
      <c r="N41" s="59">
        <v>547</v>
      </c>
      <c r="O41" s="61">
        <v>3619</v>
      </c>
      <c r="P41" s="59">
        <v>14</v>
      </c>
      <c r="Q41" s="59">
        <v>14</v>
      </c>
      <c r="R41" s="254" t="s">
        <v>836</v>
      </c>
      <c r="S41" s="59">
        <v>388</v>
      </c>
      <c r="T41" s="59">
        <v>1516</v>
      </c>
      <c r="U41" s="59">
        <v>6</v>
      </c>
      <c r="V41" s="59">
        <v>83</v>
      </c>
      <c r="W41" s="59">
        <v>56</v>
      </c>
      <c r="X41" s="59">
        <v>497</v>
      </c>
      <c r="Y41" s="59">
        <v>2</v>
      </c>
      <c r="Z41" s="254" t="s">
        <v>847</v>
      </c>
      <c r="AA41" s="59">
        <v>300</v>
      </c>
      <c r="AB41" s="59">
        <v>171</v>
      </c>
      <c r="AC41" s="59">
        <v>2123</v>
      </c>
      <c r="AD41" s="59">
        <v>6</v>
      </c>
      <c r="AE41" s="48" t="s">
        <v>850</v>
      </c>
      <c r="AF41" s="59">
        <v>119</v>
      </c>
      <c r="AG41" s="59">
        <v>66</v>
      </c>
      <c r="AH41" s="59">
        <v>641</v>
      </c>
      <c r="AI41" s="59">
        <v>2</v>
      </c>
      <c r="AJ41" s="9"/>
      <c r="AK41" s="9"/>
      <c r="AL41" s="9"/>
      <c r="AM41" s="9"/>
      <c r="AN41" s="9"/>
      <c r="AO41" s="9"/>
      <c r="AP41" s="9"/>
      <c r="AQ41" s="9"/>
      <c r="AR41" s="9"/>
      <c r="AS41" s="9"/>
      <c r="AT41" s="9"/>
    </row>
    <row r="42" spans="1:51" x14ac:dyDescent="0.3">
      <c r="A42" s="9"/>
      <c r="B42" s="9"/>
      <c r="C42" s="9"/>
      <c r="D42" s="40"/>
      <c r="E42" s="40"/>
      <c r="F42" s="40"/>
      <c r="G42" s="40"/>
      <c r="H42" s="40"/>
      <c r="I42" s="40"/>
      <c r="J42" s="40"/>
      <c r="K42" s="40"/>
      <c r="L42" s="40"/>
      <c r="M42" s="40"/>
      <c r="N42" s="40"/>
      <c r="O42" s="40"/>
      <c r="P42" s="40"/>
      <c r="Q42" s="40"/>
      <c r="R42" s="40"/>
      <c r="S42" s="40"/>
      <c r="T42" s="40"/>
      <c r="U42" s="40"/>
      <c r="V42" s="40"/>
      <c r="W42" s="40"/>
      <c r="X42" s="40"/>
      <c r="Y42" s="9"/>
      <c r="Z42" s="146"/>
      <c r="AA42" s="9"/>
      <c r="AB42" s="9"/>
      <c r="AC42" s="9"/>
      <c r="AD42" s="9"/>
      <c r="AE42" s="9"/>
      <c r="AF42" s="9"/>
      <c r="AG42" s="9"/>
      <c r="AH42" s="9"/>
      <c r="AI42" s="9"/>
      <c r="AJ42" s="9"/>
      <c r="AK42" s="9"/>
      <c r="AL42" s="9"/>
      <c r="AM42" s="9"/>
      <c r="AN42" s="9"/>
      <c r="AO42" s="9"/>
      <c r="AP42" s="9"/>
      <c r="AQ42" s="9"/>
      <c r="AR42" s="9"/>
      <c r="AS42" s="9"/>
      <c r="AT42" s="9"/>
      <c r="AU42" s="9"/>
      <c r="AV42" s="9"/>
      <c r="AW42" s="9"/>
      <c r="AX42" s="9"/>
      <c r="AY42" s="9"/>
    </row>
    <row r="43" spans="1:51" ht="15" thickBot="1" x14ac:dyDescent="0.35">
      <c r="A43" s="9"/>
      <c r="B43" s="9"/>
      <c r="C43" s="9"/>
      <c r="D43" s="40"/>
      <c r="E43" s="40"/>
      <c r="F43" s="40"/>
      <c r="G43" s="40"/>
      <c r="H43" s="40"/>
      <c r="I43" s="40"/>
      <c r="J43" s="40"/>
      <c r="K43" s="40"/>
      <c r="L43" s="40"/>
      <c r="M43" s="40"/>
      <c r="N43" s="40"/>
      <c r="O43" s="40"/>
      <c r="P43" s="40"/>
      <c r="Q43" s="40"/>
      <c r="R43" s="40"/>
      <c r="S43" s="40"/>
      <c r="T43" s="40"/>
      <c r="U43" s="40"/>
      <c r="V43" s="40"/>
      <c r="W43" s="40"/>
      <c r="X43" s="40"/>
      <c r="Y43" s="9"/>
      <c r="Z43" s="146"/>
      <c r="AA43" s="9"/>
      <c r="AB43" s="9"/>
      <c r="AC43" s="9"/>
      <c r="AD43" s="9"/>
      <c r="AE43" s="9"/>
      <c r="AF43" s="9"/>
      <c r="AG43" s="9"/>
      <c r="AH43" s="9"/>
      <c r="AI43" s="9"/>
      <c r="AJ43" s="9"/>
      <c r="AK43" s="9"/>
      <c r="AL43" s="9"/>
      <c r="AM43" s="9"/>
      <c r="AN43" s="9"/>
      <c r="AO43" s="9"/>
      <c r="AP43" s="9"/>
      <c r="AQ43" s="9"/>
      <c r="AR43" s="9"/>
      <c r="AS43" s="9"/>
      <c r="AT43" s="9"/>
      <c r="AU43" s="9"/>
      <c r="AV43" s="9"/>
      <c r="AW43" s="9"/>
      <c r="AX43" s="9"/>
      <c r="AY43" s="9"/>
    </row>
    <row r="44" spans="1:51" ht="16.2" thickBot="1" x14ac:dyDescent="0.35">
      <c r="A44" s="611" t="s">
        <v>860</v>
      </c>
      <c r="B44" s="612"/>
      <c r="C44" s="612"/>
      <c r="D44" s="604" t="s">
        <v>861</v>
      </c>
      <c r="E44" s="605"/>
      <c r="F44" s="605"/>
      <c r="G44" s="605"/>
      <c r="H44" s="605"/>
      <c r="I44" s="605"/>
      <c r="J44" s="605"/>
      <c r="K44" s="605"/>
      <c r="L44" s="605"/>
      <c r="M44" s="605"/>
      <c r="N44" s="605"/>
      <c r="O44" s="606"/>
      <c r="P44" s="251"/>
      <c r="Q44" s="40"/>
      <c r="R44" s="40"/>
      <c r="S44" s="40"/>
      <c r="T44" s="40"/>
      <c r="U44" s="40"/>
      <c r="V44" s="40"/>
      <c r="W44" s="40"/>
      <c r="X44" s="40"/>
      <c r="Y44" s="610" t="s">
        <v>862</v>
      </c>
      <c r="Z44" s="610"/>
      <c r="AA44" s="610"/>
      <c r="AB44" s="610"/>
      <c r="AC44" s="610"/>
      <c r="AD44" s="259"/>
      <c r="AE44" s="252"/>
      <c r="AF44" s="9"/>
      <c r="AG44" s="9"/>
      <c r="AH44" s="9"/>
      <c r="AI44" s="9"/>
      <c r="AJ44" s="9"/>
      <c r="AK44" s="9"/>
      <c r="AL44" s="9"/>
      <c r="AM44" s="9"/>
      <c r="AN44" s="9"/>
      <c r="AO44" s="9"/>
      <c r="AP44" s="9"/>
      <c r="AQ44" s="9"/>
      <c r="AR44" s="9"/>
      <c r="AS44" s="9"/>
      <c r="AT44" s="9"/>
    </row>
    <row r="45" spans="1:51" s="63" customFormat="1" ht="15" thickBot="1" x14ac:dyDescent="0.35">
      <c r="A45" s="63" t="s">
        <v>863</v>
      </c>
      <c r="B45" s="63" t="s">
        <v>415</v>
      </c>
      <c r="C45" s="63" t="s">
        <v>387</v>
      </c>
      <c r="D45" s="63" t="s">
        <v>864</v>
      </c>
      <c r="E45" s="63" t="s">
        <v>865</v>
      </c>
      <c r="F45" s="63" t="s">
        <v>866</v>
      </c>
      <c r="G45" s="63" t="s">
        <v>867</v>
      </c>
      <c r="H45" s="63" t="s">
        <v>868</v>
      </c>
      <c r="I45" s="63" t="s">
        <v>869</v>
      </c>
      <c r="J45" s="63" t="s">
        <v>870</v>
      </c>
      <c r="K45" s="63" t="s">
        <v>871</v>
      </c>
      <c r="L45" s="63" t="s">
        <v>872</v>
      </c>
      <c r="M45" s="63" t="s">
        <v>873</v>
      </c>
      <c r="N45" s="63" t="s">
        <v>874</v>
      </c>
      <c r="O45" s="63" t="s">
        <v>875</v>
      </c>
      <c r="P45" s="63" t="s">
        <v>876</v>
      </c>
      <c r="Q45" s="63" t="s">
        <v>877</v>
      </c>
      <c r="R45" s="63" t="s">
        <v>878</v>
      </c>
      <c r="S45" s="63" t="s">
        <v>879</v>
      </c>
      <c r="T45" s="63" t="s">
        <v>880</v>
      </c>
      <c r="U45" s="64" t="s">
        <v>881</v>
      </c>
      <c r="V45" s="64" t="s">
        <v>882</v>
      </c>
      <c r="W45" s="64" t="s">
        <v>883</v>
      </c>
      <c r="X45" s="252"/>
      <c r="Y45" s="62" t="s">
        <v>863</v>
      </c>
      <c r="Z45" t="s">
        <v>387</v>
      </c>
      <c r="AA45" t="s">
        <v>884</v>
      </c>
      <c r="AB45" t="s">
        <v>885</v>
      </c>
      <c r="AC45" t="s">
        <v>886</v>
      </c>
      <c r="AD45" s="9"/>
      <c r="AE45" s="252"/>
      <c r="AF45" s="252"/>
      <c r="AG45" s="252"/>
      <c r="AH45" s="252"/>
      <c r="AI45" s="252"/>
      <c r="AJ45" s="252"/>
      <c r="AK45" s="252"/>
      <c r="AL45" s="252"/>
      <c r="AM45" s="252"/>
      <c r="AN45" s="252"/>
      <c r="AO45" s="252"/>
      <c r="AP45" s="252"/>
      <c r="AQ45" s="252"/>
      <c r="AR45" s="252"/>
      <c r="AS45" s="252"/>
      <c r="AT45" s="252"/>
    </row>
    <row r="46" spans="1:51" x14ac:dyDescent="0.3">
      <c r="A46" s="4">
        <v>1</v>
      </c>
      <c r="B46" s="4" t="s">
        <v>444</v>
      </c>
      <c r="C46" s="4" t="s">
        <v>887</v>
      </c>
      <c r="D46" s="28">
        <v>20.399999999999999</v>
      </c>
      <c r="E46" s="28">
        <v>18.100000000000001</v>
      </c>
      <c r="F46" s="28">
        <v>19.3</v>
      </c>
      <c r="G46" s="28">
        <v>16.7</v>
      </c>
      <c r="H46" s="28">
        <v>13.5</v>
      </c>
      <c r="I46" s="28">
        <v>15.5</v>
      </c>
      <c r="J46" s="28" t="s">
        <v>888</v>
      </c>
      <c r="K46" s="28">
        <v>20.3</v>
      </c>
      <c r="L46" s="28">
        <v>19.7</v>
      </c>
      <c r="M46" s="28">
        <v>17.899999999999999</v>
      </c>
      <c r="N46" s="28">
        <v>18.100000000000001</v>
      </c>
      <c r="O46" s="28">
        <v>18.100000000000001</v>
      </c>
      <c r="P46" s="28">
        <v>16.100000000000001</v>
      </c>
      <c r="Q46" s="28">
        <v>20.399999999999999</v>
      </c>
      <c r="R46" s="28">
        <v>20.2</v>
      </c>
      <c r="S46" s="28">
        <v>17.899999999999999</v>
      </c>
      <c r="T46" s="28">
        <v>20.3</v>
      </c>
      <c r="U46" s="65">
        <f>AVERAGE(Table20[[#This Row],[1]:[8]])</f>
        <v>17.685714285714287</v>
      </c>
      <c r="V46" s="66">
        <f>AVERAGE(Table20[[#This Row],[9]:[17]])</f>
        <v>18.744444444444447</v>
      </c>
      <c r="W46" s="67">
        <f>AVERAGE(Table20[[#This Row],[1]:[17]])</f>
        <v>18.28125</v>
      </c>
      <c r="X46" s="40"/>
      <c r="Y46" s="7">
        <v>1</v>
      </c>
      <c r="Z46" s="4" t="s">
        <v>851</v>
      </c>
      <c r="AA46" s="4">
        <v>52</v>
      </c>
      <c r="AB46" s="4">
        <v>573</v>
      </c>
      <c r="AC46" s="4">
        <v>8.3000000000000007</v>
      </c>
      <c r="AD46" s="9"/>
      <c r="AE46" s="9"/>
      <c r="AF46" s="9"/>
      <c r="AG46" s="9"/>
      <c r="AH46" s="9"/>
      <c r="AI46" s="9"/>
      <c r="AJ46" s="9"/>
      <c r="AK46" s="9"/>
      <c r="AL46" s="9"/>
      <c r="AM46" s="9"/>
      <c r="AN46" s="9"/>
      <c r="AO46" s="9"/>
      <c r="AP46" s="9"/>
      <c r="AQ46" s="9"/>
      <c r="AR46" s="9"/>
      <c r="AS46" s="9"/>
      <c r="AT46" s="9"/>
    </row>
    <row r="47" spans="1:51" x14ac:dyDescent="0.3">
      <c r="A47" s="4">
        <v>2</v>
      </c>
      <c r="B47" s="4" t="s">
        <v>889</v>
      </c>
      <c r="C47" s="4" t="s">
        <v>890</v>
      </c>
      <c r="D47" s="28">
        <v>18</v>
      </c>
      <c r="E47" s="28">
        <v>19.5</v>
      </c>
      <c r="F47" s="28">
        <v>15.5</v>
      </c>
      <c r="G47" s="28">
        <v>19.3</v>
      </c>
      <c r="H47" s="28">
        <v>20.3</v>
      </c>
      <c r="I47" s="28">
        <v>15.6</v>
      </c>
      <c r="J47" s="28">
        <v>18.100000000000001</v>
      </c>
      <c r="K47" s="28">
        <v>15.5</v>
      </c>
      <c r="L47" s="28">
        <v>16.100000000000001</v>
      </c>
      <c r="M47" s="28" t="s">
        <v>888</v>
      </c>
      <c r="N47" s="28">
        <v>19.600000000000001</v>
      </c>
      <c r="O47" s="28">
        <v>16.100000000000001</v>
      </c>
      <c r="P47" s="28">
        <v>24</v>
      </c>
      <c r="Q47" s="28">
        <v>19.3</v>
      </c>
      <c r="R47" s="28">
        <v>20.399999999999999</v>
      </c>
      <c r="S47" s="28">
        <v>16</v>
      </c>
      <c r="T47" s="28">
        <v>15.5</v>
      </c>
      <c r="U47" s="68">
        <f>AVERAGE(Table20[[#This Row],[1]:[8]])</f>
        <v>17.724999999999998</v>
      </c>
      <c r="V47" s="69">
        <f>AVERAGE(Table20[[#This Row],[9]:[17]])</f>
        <v>18.375</v>
      </c>
      <c r="W47" s="70">
        <f>AVERAGE(Table20[[#This Row],[1]:[17]])</f>
        <v>18.049999999999997</v>
      </c>
      <c r="X47" s="40"/>
      <c r="Y47" s="7">
        <v>2</v>
      </c>
      <c r="Z47" s="4" t="s">
        <v>852</v>
      </c>
      <c r="AA47" s="4">
        <v>49</v>
      </c>
      <c r="AB47" s="4">
        <v>596</v>
      </c>
      <c r="AC47" s="4">
        <v>7.6</v>
      </c>
      <c r="AD47" s="9"/>
      <c r="AE47" s="9"/>
      <c r="AF47" s="9"/>
      <c r="AG47" s="9"/>
      <c r="AH47" s="9"/>
      <c r="AI47" s="9"/>
      <c r="AJ47" s="9"/>
      <c r="AK47" s="9"/>
      <c r="AL47" s="9"/>
      <c r="AM47" s="9"/>
      <c r="AN47" s="9"/>
      <c r="AO47" s="9"/>
      <c r="AP47" s="9"/>
      <c r="AQ47" s="9"/>
      <c r="AR47" s="9"/>
      <c r="AS47" s="9"/>
      <c r="AT47" s="9"/>
    </row>
    <row r="48" spans="1:51" x14ac:dyDescent="0.3">
      <c r="A48" s="4">
        <v>3</v>
      </c>
      <c r="B48" s="4" t="s">
        <v>891</v>
      </c>
      <c r="C48" s="4" t="s">
        <v>892</v>
      </c>
      <c r="D48" s="28">
        <v>16</v>
      </c>
      <c r="E48" s="28">
        <v>24</v>
      </c>
      <c r="F48" s="28">
        <v>18.100000000000001</v>
      </c>
      <c r="G48" s="28">
        <v>16.100000000000001</v>
      </c>
      <c r="H48" s="28">
        <v>15.5</v>
      </c>
      <c r="I48" s="28">
        <v>18.100000000000001</v>
      </c>
      <c r="J48" s="28">
        <v>15.6</v>
      </c>
      <c r="K48" s="28" t="s">
        <v>888</v>
      </c>
      <c r="L48" s="28">
        <v>20.3</v>
      </c>
      <c r="M48" s="28">
        <v>13.5</v>
      </c>
      <c r="N48" s="28">
        <v>19.3</v>
      </c>
      <c r="O48" s="28">
        <v>19.7</v>
      </c>
      <c r="P48" s="28">
        <v>17.899999999999999</v>
      </c>
      <c r="Q48" s="28">
        <v>16</v>
      </c>
      <c r="R48" s="28">
        <v>17.899999999999999</v>
      </c>
      <c r="S48" s="28">
        <v>20.3</v>
      </c>
      <c r="T48" s="28">
        <v>18.100000000000001</v>
      </c>
      <c r="U48" s="68">
        <f>AVERAGE(Table20[[#This Row],[1]:[8]])</f>
        <v>17.62857142857143</v>
      </c>
      <c r="V48" s="69">
        <f>AVERAGE(Table20[[#This Row],[9]:[17]])</f>
        <v>18.111111111111111</v>
      </c>
      <c r="W48" s="70">
        <f>AVERAGE(Table20[[#This Row],[1]:[17]])</f>
        <v>17.900000000000002</v>
      </c>
      <c r="X48" s="40"/>
      <c r="Y48" s="7">
        <v>3</v>
      </c>
      <c r="Z48" s="4" t="s">
        <v>858</v>
      </c>
      <c r="AA48" s="4">
        <v>45</v>
      </c>
      <c r="AB48" s="4">
        <v>553</v>
      </c>
      <c r="AC48" s="4">
        <v>7.5</v>
      </c>
      <c r="AD48" s="9"/>
      <c r="AE48" s="9"/>
      <c r="AF48" s="9"/>
      <c r="AG48" s="9"/>
      <c r="AH48" s="9"/>
      <c r="AI48" s="9"/>
      <c r="AJ48" s="9"/>
      <c r="AK48" s="9"/>
      <c r="AL48" s="9"/>
      <c r="AM48" s="9"/>
      <c r="AN48" s="9"/>
      <c r="AO48" s="9"/>
      <c r="AP48" s="9"/>
      <c r="AQ48" s="9"/>
      <c r="AR48" s="9"/>
      <c r="AS48" s="9"/>
      <c r="AT48" s="9"/>
    </row>
    <row r="49" spans="1:46" x14ac:dyDescent="0.3">
      <c r="A49" s="4">
        <v>4</v>
      </c>
      <c r="B49" s="4" t="s">
        <v>893</v>
      </c>
      <c r="C49" s="4" t="s">
        <v>894</v>
      </c>
      <c r="D49" s="28">
        <v>17.100000000000001</v>
      </c>
      <c r="E49" s="28">
        <v>19.7</v>
      </c>
      <c r="F49" s="28">
        <v>19.600000000000001</v>
      </c>
      <c r="G49" s="28">
        <v>18</v>
      </c>
      <c r="H49" s="28">
        <v>18.100000000000001</v>
      </c>
      <c r="I49" s="28">
        <v>20.399999999999999</v>
      </c>
      <c r="J49" s="28">
        <v>17.100000000000001</v>
      </c>
      <c r="K49" s="28" t="s">
        <v>888</v>
      </c>
      <c r="L49" s="28">
        <v>17.899999999999999</v>
      </c>
      <c r="M49" s="28">
        <v>19.7</v>
      </c>
      <c r="N49" s="28">
        <v>16</v>
      </c>
      <c r="O49" s="28">
        <v>13.5</v>
      </c>
      <c r="P49" s="28">
        <v>17.2</v>
      </c>
      <c r="Q49" s="28">
        <v>17.399999999999999</v>
      </c>
      <c r="R49" s="28">
        <v>20.3</v>
      </c>
      <c r="S49" s="28">
        <v>17.899999999999999</v>
      </c>
      <c r="T49" s="28">
        <v>13.5</v>
      </c>
      <c r="U49" s="68">
        <f>AVERAGE(Table20[[#This Row],[1]:[8]])</f>
        <v>18.571428571428573</v>
      </c>
      <c r="V49" s="69">
        <f>AVERAGE(Table20[[#This Row],[9]:[17]])</f>
        <v>17.044444444444441</v>
      </c>
      <c r="W49" s="70">
        <f>AVERAGE(Table20[[#This Row],[1]:[17]])</f>
        <v>17.712499999999999</v>
      </c>
      <c r="X49" s="40"/>
      <c r="Y49" s="7">
        <v>4</v>
      </c>
      <c r="Z49" s="4" t="s">
        <v>839</v>
      </c>
      <c r="AA49" s="4">
        <v>43</v>
      </c>
      <c r="AB49" s="4">
        <v>528</v>
      </c>
      <c r="AC49" s="4">
        <v>7.5</v>
      </c>
      <c r="AD49" s="9"/>
      <c r="AE49" s="9"/>
      <c r="AF49" s="9"/>
      <c r="AG49" s="9"/>
      <c r="AH49" s="9"/>
      <c r="AI49" s="9"/>
      <c r="AJ49" s="9"/>
      <c r="AK49" s="9"/>
      <c r="AL49" s="9"/>
      <c r="AM49" s="9"/>
      <c r="AN49" s="9"/>
      <c r="AO49" s="9"/>
      <c r="AP49" s="9"/>
      <c r="AQ49" s="9"/>
      <c r="AR49" s="9"/>
      <c r="AS49" s="9"/>
      <c r="AT49" s="9"/>
    </row>
    <row r="50" spans="1:46" x14ac:dyDescent="0.3">
      <c r="A50" s="4">
        <v>5</v>
      </c>
      <c r="B50" s="4" t="s">
        <v>895</v>
      </c>
      <c r="C50" s="4" t="s">
        <v>896</v>
      </c>
      <c r="D50" s="28">
        <v>15.5</v>
      </c>
      <c r="E50" s="28">
        <v>20.3</v>
      </c>
      <c r="F50" s="28">
        <v>16</v>
      </c>
      <c r="G50" s="28">
        <v>17.899999999999999</v>
      </c>
      <c r="H50" s="28">
        <v>18</v>
      </c>
      <c r="I50" s="28">
        <v>19.600000000000001</v>
      </c>
      <c r="J50" s="28">
        <v>15.5</v>
      </c>
      <c r="K50" s="28">
        <v>16.100000000000001</v>
      </c>
      <c r="L50" s="28" t="s">
        <v>888</v>
      </c>
      <c r="M50" s="28">
        <v>20.2</v>
      </c>
      <c r="N50" s="28">
        <v>20.399999999999999</v>
      </c>
      <c r="O50" s="28">
        <v>19.5</v>
      </c>
      <c r="P50" s="28">
        <v>16.7</v>
      </c>
      <c r="Q50" s="28">
        <v>17.899999999999999</v>
      </c>
      <c r="R50" s="28">
        <v>15.5</v>
      </c>
      <c r="S50" s="28">
        <v>18.100000000000001</v>
      </c>
      <c r="T50" s="28">
        <v>16.100000000000001</v>
      </c>
      <c r="U50" s="68">
        <f>AVERAGE(Table20[[#This Row],[1]:[8]])</f>
        <v>17.362499999999997</v>
      </c>
      <c r="V50" s="69">
        <f>AVERAGE(Table20[[#This Row],[9]:[17]])</f>
        <v>18.049999999999997</v>
      </c>
      <c r="W50" s="70">
        <f>AVERAGE(Table20[[#This Row],[1]:[17]])</f>
        <v>17.706250000000001</v>
      </c>
      <c r="X50" s="40"/>
      <c r="Y50" s="7">
        <v>5</v>
      </c>
      <c r="Z50" s="4" t="s">
        <v>856</v>
      </c>
      <c r="AA50" s="4">
        <v>43</v>
      </c>
      <c r="AB50" s="4">
        <v>551</v>
      </c>
      <c r="AC50" s="4">
        <v>7.2</v>
      </c>
      <c r="AD50" s="9"/>
      <c r="AE50" s="9"/>
      <c r="AF50" s="9"/>
      <c r="AG50" s="9"/>
      <c r="AH50" s="9"/>
      <c r="AI50" s="9"/>
      <c r="AJ50" s="9"/>
      <c r="AK50" s="9"/>
      <c r="AL50" s="9"/>
      <c r="AM50" s="9"/>
      <c r="AN50" s="9"/>
      <c r="AO50" s="9"/>
      <c r="AP50" s="9"/>
      <c r="AQ50" s="9"/>
      <c r="AR50" s="9"/>
      <c r="AS50" s="9"/>
      <c r="AT50" s="9"/>
    </row>
    <row r="51" spans="1:46" x14ac:dyDescent="0.3">
      <c r="A51" s="4">
        <v>6</v>
      </c>
      <c r="B51" s="4" t="s">
        <v>897</v>
      </c>
      <c r="C51" s="4" t="s">
        <v>898</v>
      </c>
      <c r="D51" s="28">
        <v>17.100000000000001</v>
      </c>
      <c r="E51" s="28">
        <v>17.899999999999999</v>
      </c>
      <c r="F51" s="28">
        <v>12.3</v>
      </c>
      <c r="G51" s="28">
        <v>17.2</v>
      </c>
      <c r="H51" s="28">
        <v>16</v>
      </c>
      <c r="I51" s="28">
        <v>17.399999999999999</v>
      </c>
      <c r="J51" s="28">
        <v>19.7</v>
      </c>
      <c r="K51" s="28">
        <v>18.100000000000001</v>
      </c>
      <c r="L51" s="28" t="s">
        <v>888</v>
      </c>
      <c r="M51" s="28">
        <v>20.399999999999999</v>
      </c>
      <c r="N51" s="28">
        <v>17.100000000000001</v>
      </c>
      <c r="O51" s="28">
        <v>18.100000000000001</v>
      </c>
      <c r="P51" s="28">
        <v>20.3</v>
      </c>
      <c r="Q51" s="28">
        <v>19.7</v>
      </c>
      <c r="R51" s="28">
        <v>17.899999999999999</v>
      </c>
      <c r="S51" s="28">
        <v>15.5</v>
      </c>
      <c r="T51" s="28">
        <v>18.100000000000001</v>
      </c>
      <c r="U51" s="68">
        <f>AVERAGE(Table20[[#This Row],[1]:[8]])</f>
        <v>16.962500000000002</v>
      </c>
      <c r="V51" s="69">
        <f>AVERAGE(Table20[[#This Row],[9]:[17]])</f>
        <v>18.387499999999999</v>
      </c>
      <c r="W51" s="70">
        <f>AVERAGE(Table20[[#This Row],[1]:[17]])</f>
        <v>17.675000000000004</v>
      </c>
      <c r="X51" s="40"/>
      <c r="Y51" s="7">
        <v>6</v>
      </c>
      <c r="Z51" s="4" t="s">
        <v>850</v>
      </c>
      <c r="AA51" s="4">
        <v>47</v>
      </c>
      <c r="AB51" s="4">
        <v>607</v>
      </c>
      <c r="AC51" s="4">
        <v>7.2</v>
      </c>
      <c r="AD51" s="9"/>
      <c r="AE51" s="9"/>
      <c r="AF51" s="9"/>
      <c r="AG51" s="9"/>
      <c r="AH51" s="9"/>
      <c r="AI51" s="9"/>
      <c r="AJ51" s="9"/>
      <c r="AK51" s="9"/>
      <c r="AL51" s="9"/>
      <c r="AM51" s="9"/>
      <c r="AN51" s="9"/>
      <c r="AO51" s="9"/>
      <c r="AP51" s="9"/>
      <c r="AQ51" s="9"/>
      <c r="AR51" s="9"/>
      <c r="AS51" s="9"/>
      <c r="AT51" s="9"/>
    </row>
    <row r="52" spans="1:46" x14ac:dyDescent="0.3">
      <c r="A52" s="4">
        <v>7</v>
      </c>
      <c r="B52" s="4" t="s">
        <v>899</v>
      </c>
      <c r="C52" s="4" t="s">
        <v>900</v>
      </c>
      <c r="D52" s="28">
        <v>19.600000000000001</v>
      </c>
      <c r="E52" s="28">
        <v>16.100000000000001</v>
      </c>
      <c r="F52" s="28">
        <v>17.899999999999999</v>
      </c>
      <c r="G52" s="28" t="s">
        <v>888</v>
      </c>
      <c r="H52" s="28">
        <v>20.399999999999999</v>
      </c>
      <c r="I52" s="28">
        <v>16</v>
      </c>
      <c r="J52" s="28">
        <v>19.3</v>
      </c>
      <c r="K52" s="28">
        <v>15.3</v>
      </c>
      <c r="L52" s="28">
        <v>18</v>
      </c>
      <c r="M52" s="28">
        <v>19.5</v>
      </c>
      <c r="N52" s="28">
        <v>18.100000000000001</v>
      </c>
      <c r="O52" s="28">
        <v>20.3</v>
      </c>
      <c r="P52" s="28">
        <v>15.5</v>
      </c>
      <c r="Q52" s="28">
        <v>12.9</v>
      </c>
      <c r="R52" s="28">
        <v>19.3</v>
      </c>
      <c r="S52" s="28">
        <v>16.100000000000001</v>
      </c>
      <c r="T52" s="28">
        <v>17.899999999999999</v>
      </c>
      <c r="U52" s="68">
        <f>AVERAGE(Table20[[#This Row],[1]:[8]])</f>
        <v>17.8</v>
      </c>
      <c r="V52" s="69">
        <f>AVERAGE(Table20[[#This Row],[9]:[17]])</f>
        <v>17.511111111111113</v>
      </c>
      <c r="W52" s="70">
        <f>AVERAGE(Table20[[#This Row],[1]:[17]])</f>
        <v>17.637499999999999</v>
      </c>
      <c r="X52" s="40"/>
      <c r="Y52" s="7">
        <v>7</v>
      </c>
      <c r="Z52" s="4" t="s">
        <v>836</v>
      </c>
      <c r="AA52" s="4">
        <v>39</v>
      </c>
      <c r="AB52" s="4">
        <v>502</v>
      </c>
      <c r="AC52" s="4">
        <v>7.2</v>
      </c>
      <c r="AD52" s="9"/>
      <c r="AE52" s="9"/>
      <c r="AF52" s="9"/>
      <c r="AG52" s="9"/>
      <c r="AH52" s="9"/>
      <c r="AI52" s="9"/>
      <c r="AJ52" s="9"/>
      <c r="AK52" s="9"/>
      <c r="AL52" s="9"/>
      <c r="AM52" s="9"/>
      <c r="AN52" s="9"/>
      <c r="AO52" s="9"/>
      <c r="AP52" s="9"/>
      <c r="AQ52" s="9"/>
      <c r="AR52" s="9"/>
      <c r="AS52" s="9"/>
      <c r="AT52" s="9"/>
    </row>
    <row r="53" spans="1:46" x14ac:dyDescent="0.3">
      <c r="A53" s="4">
        <v>8</v>
      </c>
      <c r="B53" s="4" t="s">
        <v>901</v>
      </c>
      <c r="C53" s="4" t="s">
        <v>902</v>
      </c>
      <c r="D53" s="28">
        <v>19.5</v>
      </c>
      <c r="E53" s="28">
        <v>15.5</v>
      </c>
      <c r="F53" s="28">
        <v>14.3</v>
      </c>
      <c r="G53" s="28">
        <v>20.399999999999999</v>
      </c>
      <c r="H53" s="28">
        <v>15.5</v>
      </c>
      <c r="I53" s="28" t="s">
        <v>888</v>
      </c>
      <c r="J53" s="28">
        <v>20.3</v>
      </c>
      <c r="K53" s="28">
        <v>19.3</v>
      </c>
      <c r="L53" s="28">
        <v>17.899999999999999</v>
      </c>
      <c r="M53" s="28">
        <v>18.100000000000001</v>
      </c>
      <c r="N53" s="28">
        <v>15.1</v>
      </c>
      <c r="O53" s="28">
        <v>17.899999999999999</v>
      </c>
      <c r="P53" s="28">
        <v>16</v>
      </c>
      <c r="Q53" s="28">
        <v>19.600000000000001</v>
      </c>
      <c r="R53" s="28">
        <v>18</v>
      </c>
      <c r="S53" s="28">
        <v>15.5</v>
      </c>
      <c r="T53" s="28">
        <v>19.3</v>
      </c>
      <c r="U53" s="68">
        <f>AVERAGE(Table20[[#This Row],[1]:[8]])</f>
        <v>17.828571428571426</v>
      </c>
      <c r="V53" s="69">
        <f>AVERAGE(Table20[[#This Row],[9]:[17]])</f>
        <v>17.488888888888891</v>
      </c>
      <c r="W53" s="70">
        <f>AVERAGE(Table20[[#This Row],[1]:[17]])</f>
        <v>17.637499999999999</v>
      </c>
      <c r="X53" s="40"/>
      <c r="Y53" s="7">
        <v>8</v>
      </c>
      <c r="Z53" s="4" t="s">
        <v>855</v>
      </c>
      <c r="AA53" s="4">
        <v>43</v>
      </c>
      <c r="AB53" s="4">
        <v>561</v>
      </c>
      <c r="AC53" s="4">
        <v>7.1</v>
      </c>
      <c r="AD53" s="9"/>
      <c r="AE53" s="9"/>
      <c r="AF53" s="9"/>
      <c r="AG53" s="9"/>
      <c r="AH53" s="9"/>
      <c r="AI53" s="9"/>
      <c r="AJ53" s="9"/>
      <c r="AK53" s="9"/>
      <c r="AL53" s="9"/>
      <c r="AM53" s="9"/>
      <c r="AN53" s="9"/>
      <c r="AO53" s="9"/>
      <c r="AP53" s="9"/>
      <c r="AQ53" s="9"/>
      <c r="AR53" s="9"/>
      <c r="AS53" s="9"/>
      <c r="AT53" s="9"/>
    </row>
    <row r="54" spans="1:46" x14ac:dyDescent="0.3">
      <c r="A54" s="4">
        <v>9</v>
      </c>
      <c r="B54" s="4" t="s">
        <v>903</v>
      </c>
      <c r="C54" s="4" t="s">
        <v>904</v>
      </c>
      <c r="D54" s="28">
        <v>17.899999999999999</v>
      </c>
      <c r="E54" s="28">
        <v>16</v>
      </c>
      <c r="F54" s="28">
        <v>20.399999999999999</v>
      </c>
      <c r="G54" s="28">
        <v>19.7</v>
      </c>
      <c r="H54" s="28">
        <v>18.100000000000001</v>
      </c>
      <c r="I54" s="28">
        <v>20.3</v>
      </c>
      <c r="J54" s="28">
        <v>17.899999999999999</v>
      </c>
      <c r="K54" s="28">
        <v>13.5</v>
      </c>
      <c r="L54" s="28" t="s">
        <v>888</v>
      </c>
      <c r="M54" s="28">
        <v>16.100000000000001</v>
      </c>
      <c r="N54" s="28">
        <v>15.5</v>
      </c>
      <c r="O54" s="28">
        <v>16</v>
      </c>
      <c r="P54" s="28">
        <v>15.1</v>
      </c>
      <c r="Q54" s="28">
        <v>20.3</v>
      </c>
      <c r="R54" s="28">
        <v>14.3</v>
      </c>
      <c r="S54" s="28">
        <v>19.3</v>
      </c>
      <c r="T54" s="28">
        <v>20.399999999999999</v>
      </c>
      <c r="U54" s="68">
        <f>AVERAGE(Table20[[#This Row],[1]:[8]])</f>
        <v>17.974999999999998</v>
      </c>
      <c r="V54" s="69">
        <f>AVERAGE(Table20[[#This Row],[9]:[17]])</f>
        <v>17.125</v>
      </c>
      <c r="W54" s="70">
        <f>AVERAGE(Table20[[#This Row],[1]:[17]])</f>
        <v>17.549999999999997</v>
      </c>
      <c r="X54" s="40"/>
      <c r="Y54" s="7">
        <v>9</v>
      </c>
      <c r="Z54" s="4" t="s">
        <v>849</v>
      </c>
      <c r="AA54" s="4">
        <v>48</v>
      </c>
      <c r="AB54" s="4">
        <v>625</v>
      </c>
      <c r="AC54" s="4">
        <v>7.1</v>
      </c>
      <c r="AD54" s="9"/>
      <c r="AE54" s="9"/>
      <c r="AF54" s="9"/>
      <c r="AG54" s="9"/>
      <c r="AH54" s="9"/>
      <c r="AI54" s="9"/>
      <c r="AJ54" s="9"/>
      <c r="AK54" s="9"/>
      <c r="AL54" s="9"/>
      <c r="AM54" s="9"/>
      <c r="AN54" s="9"/>
      <c r="AO54" s="9"/>
      <c r="AP54" s="9"/>
      <c r="AQ54" s="9"/>
      <c r="AR54" s="9"/>
      <c r="AS54" s="9"/>
      <c r="AT54" s="9"/>
    </row>
    <row r="55" spans="1:46" x14ac:dyDescent="0.3">
      <c r="A55" s="4">
        <v>10</v>
      </c>
      <c r="B55" s="4" t="s">
        <v>905</v>
      </c>
      <c r="C55" s="4" t="s">
        <v>906</v>
      </c>
      <c r="D55" s="28">
        <v>18.100000000000001</v>
      </c>
      <c r="E55" s="28">
        <v>13.5</v>
      </c>
      <c r="F55" s="28">
        <v>20.3</v>
      </c>
      <c r="G55" s="28">
        <v>14.8</v>
      </c>
      <c r="H55" s="28">
        <v>17.100000000000001</v>
      </c>
      <c r="I55" s="28">
        <v>17.2</v>
      </c>
      <c r="J55" s="28">
        <v>17.399999999999999</v>
      </c>
      <c r="K55" s="28" t="s">
        <v>888</v>
      </c>
      <c r="L55" s="28">
        <v>18.100000000000001</v>
      </c>
      <c r="M55" s="28">
        <v>16</v>
      </c>
      <c r="N55" s="28">
        <v>19.7</v>
      </c>
      <c r="O55" s="28">
        <v>18</v>
      </c>
      <c r="P55" s="28">
        <v>20.399999999999999</v>
      </c>
      <c r="Q55" s="28">
        <v>17.100000000000001</v>
      </c>
      <c r="R55" s="28">
        <v>13.5</v>
      </c>
      <c r="S55" s="28">
        <v>18.100000000000001</v>
      </c>
      <c r="T55" s="28">
        <v>19.7</v>
      </c>
      <c r="U55" s="68">
        <f>AVERAGE(Table20[[#This Row],[1]:[8]])</f>
        <v>16.914285714285715</v>
      </c>
      <c r="V55" s="69">
        <f>AVERAGE(Table20[[#This Row],[9]:[17]])</f>
        <v>17.844444444444441</v>
      </c>
      <c r="W55" s="70">
        <f>AVERAGE(Table20[[#This Row],[1]:[17]])</f>
        <v>17.4375</v>
      </c>
      <c r="X55" s="40"/>
      <c r="Y55" s="7">
        <v>10</v>
      </c>
      <c r="Z55" s="4" t="s">
        <v>845</v>
      </c>
      <c r="AA55" s="4">
        <v>38</v>
      </c>
      <c r="AB55" s="4">
        <v>540</v>
      </c>
      <c r="AC55" s="4">
        <v>6.6</v>
      </c>
      <c r="AD55" s="9"/>
      <c r="AE55" s="9"/>
      <c r="AF55" s="9"/>
      <c r="AG55" s="9"/>
      <c r="AH55" s="9"/>
      <c r="AI55" s="9"/>
      <c r="AJ55" s="9"/>
      <c r="AK55" s="9"/>
      <c r="AL55" s="9"/>
      <c r="AM55" s="9"/>
      <c r="AN55" s="9"/>
      <c r="AO55" s="9"/>
      <c r="AP55" s="9"/>
      <c r="AQ55" s="9"/>
      <c r="AR55" s="9"/>
      <c r="AS55" s="9"/>
      <c r="AT55" s="9"/>
    </row>
    <row r="56" spans="1:46" x14ac:dyDescent="0.3">
      <c r="A56" s="4">
        <v>11</v>
      </c>
      <c r="B56" s="4" t="s">
        <v>907</v>
      </c>
      <c r="C56" s="4" t="s">
        <v>908</v>
      </c>
      <c r="D56" s="28">
        <v>20.3</v>
      </c>
      <c r="E56" s="28">
        <v>18.100000000000001</v>
      </c>
      <c r="F56" s="28">
        <v>17.2</v>
      </c>
      <c r="G56" s="28">
        <v>18.100000000000001</v>
      </c>
      <c r="H56" s="28">
        <v>17.399999999999999</v>
      </c>
      <c r="I56" s="28">
        <v>19.5</v>
      </c>
      <c r="J56" s="28">
        <v>13.5</v>
      </c>
      <c r="K56" s="28">
        <v>17.100000000000001</v>
      </c>
      <c r="L56" s="28">
        <v>16</v>
      </c>
      <c r="M56" s="28">
        <v>18.100000000000001</v>
      </c>
      <c r="N56" s="28">
        <v>17.899999999999999</v>
      </c>
      <c r="O56" s="28">
        <v>20.399999999999999</v>
      </c>
      <c r="P56" s="28" t="s">
        <v>888</v>
      </c>
      <c r="Q56" s="28">
        <v>13.5</v>
      </c>
      <c r="R56" s="28">
        <v>17.100000000000001</v>
      </c>
      <c r="S56" s="28">
        <v>15.9</v>
      </c>
      <c r="T56" s="28">
        <v>17.899999999999999</v>
      </c>
      <c r="U56" s="68">
        <f>AVERAGE(Table20[[#This Row],[1]:[8]])</f>
        <v>17.650000000000002</v>
      </c>
      <c r="V56" s="69">
        <f>AVERAGE(Table20[[#This Row],[9]:[17]])</f>
        <v>17.100000000000001</v>
      </c>
      <c r="W56" s="70">
        <f>AVERAGE(Table20[[#This Row],[1]:[17]])</f>
        <v>17.375</v>
      </c>
      <c r="X56" s="40"/>
      <c r="Y56" s="7">
        <v>11</v>
      </c>
      <c r="Z56" s="4" t="s">
        <v>837</v>
      </c>
      <c r="AA56" s="4">
        <v>41</v>
      </c>
      <c r="AB56" s="4">
        <v>597</v>
      </c>
      <c r="AC56" s="4">
        <v>6.4</v>
      </c>
      <c r="AD56" s="9"/>
      <c r="AE56" s="9"/>
      <c r="AF56" s="9"/>
      <c r="AG56" s="9"/>
      <c r="AH56" s="9"/>
      <c r="AI56" s="9"/>
      <c r="AJ56" s="9"/>
      <c r="AK56" s="9"/>
      <c r="AL56" s="9"/>
      <c r="AM56" s="9"/>
      <c r="AN56" s="9"/>
      <c r="AO56" s="9"/>
      <c r="AP56" s="9"/>
      <c r="AQ56" s="9"/>
      <c r="AR56" s="9"/>
      <c r="AS56" s="9"/>
      <c r="AT56" s="9"/>
    </row>
    <row r="57" spans="1:46" x14ac:dyDescent="0.3">
      <c r="A57" s="4">
        <v>12</v>
      </c>
      <c r="B57" s="4" t="s">
        <v>909</v>
      </c>
      <c r="C57" s="4" t="s">
        <v>910</v>
      </c>
      <c r="D57" s="28">
        <v>19.7</v>
      </c>
      <c r="E57" s="28">
        <v>19.3</v>
      </c>
      <c r="F57" s="28">
        <v>17.899999999999999</v>
      </c>
      <c r="G57" s="28" t="s">
        <v>888</v>
      </c>
      <c r="H57" s="28">
        <v>17.899999999999999</v>
      </c>
      <c r="I57" s="28">
        <v>18.100000000000001</v>
      </c>
      <c r="J57" s="28">
        <v>16.100000000000001</v>
      </c>
      <c r="K57" s="28">
        <v>16</v>
      </c>
      <c r="L57" s="28">
        <v>20.399999999999999</v>
      </c>
      <c r="M57" s="28">
        <v>15.3</v>
      </c>
      <c r="N57" s="28">
        <v>12.9</v>
      </c>
      <c r="O57" s="28">
        <v>15.5</v>
      </c>
      <c r="P57" s="28">
        <v>13.5</v>
      </c>
      <c r="Q57" s="28">
        <v>18.100000000000001</v>
      </c>
      <c r="R57" s="28">
        <v>18.100000000000001</v>
      </c>
      <c r="S57" s="28">
        <v>20.399999999999999</v>
      </c>
      <c r="T57" s="28">
        <v>16</v>
      </c>
      <c r="U57" s="68">
        <f>AVERAGE(Table20[[#This Row],[1]:[8]])</f>
        <v>17.857142857142858</v>
      </c>
      <c r="V57" s="69">
        <f>AVERAGE(Table20[[#This Row],[9]:[17]])</f>
        <v>16.688888888888886</v>
      </c>
      <c r="W57" s="70">
        <f>AVERAGE(Table20[[#This Row],[1]:[17]])</f>
        <v>17.2</v>
      </c>
      <c r="X57" s="40"/>
      <c r="Y57" s="7">
        <v>12</v>
      </c>
      <c r="Z57" s="4" t="s">
        <v>832</v>
      </c>
      <c r="AA57" s="4">
        <v>37</v>
      </c>
      <c r="AB57" s="4">
        <v>545</v>
      </c>
      <c r="AC57" s="4">
        <v>6.4</v>
      </c>
      <c r="AD57" s="9"/>
      <c r="AE57" s="9"/>
      <c r="AF57" s="9"/>
      <c r="AG57" s="9"/>
      <c r="AH57" s="9"/>
      <c r="AI57" s="9"/>
      <c r="AJ57" s="9"/>
      <c r="AK57" s="9"/>
      <c r="AL57" s="9"/>
      <c r="AM57" s="9"/>
      <c r="AN57" s="9"/>
      <c r="AO57" s="9"/>
      <c r="AP57" s="9"/>
      <c r="AQ57" s="9"/>
      <c r="AR57" s="9"/>
      <c r="AS57" s="9"/>
      <c r="AT57" s="9"/>
    </row>
    <row r="58" spans="1:46" x14ac:dyDescent="0.3">
      <c r="A58" s="4">
        <v>13</v>
      </c>
      <c r="B58" s="4" t="s">
        <v>911</v>
      </c>
      <c r="C58" s="4" t="s">
        <v>912</v>
      </c>
      <c r="D58" s="28">
        <v>19.3</v>
      </c>
      <c r="E58" s="28">
        <v>14.8</v>
      </c>
      <c r="F58" s="28">
        <v>17.399999999999999</v>
      </c>
      <c r="G58" s="28">
        <v>19.5</v>
      </c>
      <c r="H58" s="28">
        <v>16.100000000000001</v>
      </c>
      <c r="I58" s="28">
        <v>18</v>
      </c>
      <c r="J58" s="28">
        <v>12.3</v>
      </c>
      <c r="K58" s="28">
        <v>17.899999999999999</v>
      </c>
      <c r="L58" s="28" t="s">
        <v>888</v>
      </c>
      <c r="M58" s="28">
        <v>19.600000000000001</v>
      </c>
      <c r="N58" s="28">
        <v>18</v>
      </c>
      <c r="O58" s="28">
        <v>15.9</v>
      </c>
      <c r="P58" s="28">
        <v>15.5</v>
      </c>
      <c r="Q58" s="28">
        <v>18</v>
      </c>
      <c r="R58" s="28">
        <v>19.600000000000001</v>
      </c>
      <c r="S58" s="28">
        <v>13.5</v>
      </c>
      <c r="T58" s="28">
        <v>19.5</v>
      </c>
      <c r="U58" s="68">
        <f>AVERAGE(Table20[[#This Row],[1]:[8]])</f>
        <v>16.912499999999998</v>
      </c>
      <c r="V58" s="69">
        <f>AVERAGE(Table20[[#This Row],[9]:[17]])</f>
        <v>17.45</v>
      </c>
      <c r="W58" s="70">
        <f>AVERAGE(Table20[[#This Row],[1]:[17]])</f>
        <v>17.181249999999999</v>
      </c>
      <c r="X58" s="40"/>
      <c r="Y58" s="7">
        <v>13</v>
      </c>
      <c r="Z58" s="4" t="s">
        <v>841</v>
      </c>
      <c r="AA58" s="4">
        <v>35</v>
      </c>
      <c r="AB58" s="4">
        <v>512</v>
      </c>
      <c r="AC58" s="4">
        <v>6.4</v>
      </c>
      <c r="AD58" s="9"/>
      <c r="AE58" s="9"/>
      <c r="AF58" s="9"/>
      <c r="AG58" s="9"/>
      <c r="AH58" s="9"/>
      <c r="AI58" s="9"/>
      <c r="AJ58" s="9"/>
      <c r="AK58" s="9"/>
      <c r="AL58" s="9"/>
      <c r="AM58" s="9"/>
      <c r="AN58" s="9"/>
      <c r="AO58" s="9"/>
      <c r="AP58" s="9"/>
      <c r="AQ58" s="9"/>
      <c r="AR58" s="9"/>
      <c r="AS58" s="9"/>
      <c r="AT58" s="9"/>
    </row>
    <row r="59" spans="1:46" x14ac:dyDescent="0.3">
      <c r="A59" s="4">
        <v>14</v>
      </c>
      <c r="B59" s="4" t="s">
        <v>913</v>
      </c>
      <c r="C59" s="4" t="s">
        <v>914</v>
      </c>
      <c r="D59" s="28">
        <v>14.3</v>
      </c>
      <c r="E59" s="28">
        <v>18</v>
      </c>
      <c r="F59" s="28">
        <v>13.5</v>
      </c>
      <c r="G59" s="28">
        <v>20.2</v>
      </c>
      <c r="H59" s="28">
        <v>15.3</v>
      </c>
      <c r="I59" s="28">
        <v>15.9</v>
      </c>
      <c r="J59" s="28">
        <v>15.5</v>
      </c>
      <c r="K59" s="28">
        <v>15.9</v>
      </c>
      <c r="L59" s="28">
        <v>18</v>
      </c>
      <c r="M59" s="28">
        <v>24</v>
      </c>
      <c r="N59" s="28" t="s">
        <v>888</v>
      </c>
      <c r="O59" s="28">
        <v>14.8</v>
      </c>
      <c r="P59" s="28">
        <v>19.600000000000001</v>
      </c>
      <c r="Q59" s="28">
        <v>19.5</v>
      </c>
      <c r="R59" s="28">
        <v>17.399999999999999</v>
      </c>
      <c r="S59" s="28">
        <v>14.8</v>
      </c>
      <c r="T59" s="28">
        <v>18</v>
      </c>
      <c r="U59" s="68">
        <f>AVERAGE(Table20[[#This Row],[1]:[8]])</f>
        <v>16.074999999999999</v>
      </c>
      <c r="V59" s="69">
        <f>AVERAGE(Table20[[#This Row],[9]:[17]])</f>
        <v>18.262500000000003</v>
      </c>
      <c r="W59" s="70">
        <f>AVERAGE(Table20[[#This Row],[1]:[17]])</f>
        <v>17.168749999999999</v>
      </c>
      <c r="X59" s="40"/>
      <c r="Y59" s="7">
        <v>14</v>
      </c>
      <c r="Z59" s="4" t="s">
        <v>838</v>
      </c>
      <c r="AA59" s="4">
        <v>38</v>
      </c>
      <c r="AB59" s="4">
        <v>566</v>
      </c>
      <c r="AC59" s="4">
        <v>6.3</v>
      </c>
      <c r="AD59" s="9"/>
      <c r="AE59" s="9"/>
      <c r="AF59" s="9"/>
      <c r="AG59" s="9"/>
      <c r="AH59" s="9"/>
      <c r="AI59" s="9"/>
      <c r="AJ59" s="9"/>
      <c r="AK59" s="9"/>
      <c r="AL59" s="9"/>
      <c r="AM59" s="9"/>
      <c r="AN59" s="9"/>
      <c r="AO59" s="9"/>
      <c r="AP59" s="9"/>
      <c r="AQ59" s="9"/>
      <c r="AR59" s="9"/>
      <c r="AS59" s="9"/>
      <c r="AT59" s="9"/>
    </row>
    <row r="60" spans="1:46" x14ac:dyDescent="0.3">
      <c r="A60" s="4">
        <v>16</v>
      </c>
      <c r="B60" s="4" t="s">
        <v>915</v>
      </c>
      <c r="C60" s="4" t="s">
        <v>916</v>
      </c>
      <c r="D60" s="28">
        <v>12.3</v>
      </c>
      <c r="E60" s="28">
        <v>16.7</v>
      </c>
      <c r="F60" s="28">
        <v>16.100000000000001</v>
      </c>
      <c r="G60" s="28">
        <v>15.3</v>
      </c>
      <c r="H60" s="28">
        <v>20.2</v>
      </c>
      <c r="I60" s="28">
        <v>24</v>
      </c>
      <c r="J60" s="28" t="s">
        <v>888</v>
      </c>
      <c r="K60" s="28">
        <v>15.1</v>
      </c>
      <c r="L60" s="28">
        <v>15.6</v>
      </c>
      <c r="M60" s="28">
        <v>14.8</v>
      </c>
      <c r="N60" s="28">
        <v>24</v>
      </c>
      <c r="O60" s="28">
        <v>18</v>
      </c>
      <c r="P60" s="28">
        <v>12.9</v>
      </c>
      <c r="Q60" s="28">
        <v>15.9</v>
      </c>
      <c r="R60" s="28">
        <v>18.100000000000001</v>
      </c>
      <c r="S60" s="28">
        <v>15.3</v>
      </c>
      <c r="T60" s="28">
        <v>20.2</v>
      </c>
      <c r="U60" s="68">
        <f>AVERAGE(Table20[[#This Row],[1]:[8]])</f>
        <v>17.100000000000001</v>
      </c>
      <c r="V60" s="69">
        <f>AVERAGE(Table20[[#This Row],[9]:[17]])</f>
        <v>17.200000000000003</v>
      </c>
      <c r="W60" s="70">
        <f>AVERAGE(Table20[[#This Row],[1]:[17]])</f>
        <v>17.156250000000004</v>
      </c>
      <c r="X60" s="40"/>
      <c r="Y60" s="7">
        <v>15</v>
      </c>
      <c r="Z60" s="4" t="s">
        <v>847</v>
      </c>
      <c r="AA60" s="4">
        <v>37</v>
      </c>
      <c r="AB60" s="4">
        <v>548</v>
      </c>
      <c r="AC60" s="4">
        <v>6.3</v>
      </c>
      <c r="AD60" s="9"/>
      <c r="AE60" s="9"/>
      <c r="AF60" s="9"/>
      <c r="AG60" s="9"/>
      <c r="AH60" s="9"/>
      <c r="AI60" s="9"/>
      <c r="AJ60" s="9"/>
      <c r="AK60" s="9"/>
      <c r="AL60" s="9"/>
      <c r="AM60" s="9"/>
      <c r="AN60" s="9"/>
      <c r="AO60" s="9"/>
      <c r="AP60" s="9"/>
      <c r="AQ60" s="9"/>
      <c r="AR60" s="9"/>
      <c r="AS60" s="9"/>
      <c r="AT60" s="9"/>
    </row>
    <row r="61" spans="1:46" x14ac:dyDescent="0.3">
      <c r="A61" s="4">
        <v>17</v>
      </c>
      <c r="B61" s="4" t="s">
        <v>917</v>
      </c>
      <c r="C61" s="4" t="s">
        <v>918</v>
      </c>
      <c r="D61" s="28">
        <v>20.2</v>
      </c>
      <c r="E61" s="28">
        <v>18</v>
      </c>
      <c r="F61" s="28">
        <v>24</v>
      </c>
      <c r="G61" s="28">
        <v>14.3</v>
      </c>
      <c r="H61" s="28">
        <v>12.3</v>
      </c>
      <c r="I61" s="28">
        <v>12.9</v>
      </c>
      <c r="J61" s="28">
        <v>15.9</v>
      </c>
      <c r="K61" s="28">
        <v>15.5</v>
      </c>
      <c r="L61" s="28">
        <v>20.2</v>
      </c>
      <c r="M61" s="28">
        <v>20.3</v>
      </c>
      <c r="N61" s="28" t="s">
        <v>888</v>
      </c>
      <c r="O61" s="28">
        <v>15.1</v>
      </c>
      <c r="P61" s="28">
        <v>14.8</v>
      </c>
      <c r="Q61" s="28">
        <v>15.6</v>
      </c>
      <c r="R61" s="28">
        <v>16.7</v>
      </c>
      <c r="S61" s="28">
        <v>14.3</v>
      </c>
      <c r="T61" s="28">
        <v>24</v>
      </c>
      <c r="U61" s="68">
        <f>AVERAGE(Table20[[#This Row],[1]:[8]])</f>
        <v>16.637500000000003</v>
      </c>
      <c r="V61" s="69">
        <f>AVERAGE(Table20[[#This Row],[9]:[17]])</f>
        <v>17.625</v>
      </c>
      <c r="W61" s="70">
        <f>AVERAGE(Table20[[#This Row],[1]:[17]])</f>
        <v>17.131250000000001</v>
      </c>
      <c r="X61" s="40"/>
      <c r="Y61" s="7">
        <v>16</v>
      </c>
      <c r="Z61" s="4" t="s">
        <v>831</v>
      </c>
      <c r="AA61" s="4">
        <v>44</v>
      </c>
      <c r="AB61" s="4">
        <v>650</v>
      </c>
      <c r="AC61" s="4">
        <v>6.3</v>
      </c>
      <c r="AD61" s="9"/>
      <c r="AE61" s="9"/>
      <c r="AF61" s="9"/>
      <c r="AG61" s="9"/>
      <c r="AH61" s="9"/>
      <c r="AI61" s="9"/>
      <c r="AJ61" s="9"/>
      <c r="AK61" s="9"/>
      <c r="AL61" s="9"/>
      <c r="AM61" s="9"/>
      <c r="AN61" s="9"/>
      <c r="AO61" s="9"/>
      <c r="AP61" s="9"/>
      <c r="AQ61" s="9"/>
      <c r="AR61" s="9"/>
      <c r="AS61" s="9"/>
      <c r="AT61" s="9"/>
    </row>
    <row r="62" spans="1:46" x14ac:dyDescent="0.3">
      <c r="A62" s="4">
        <v>18</v>
      </c>
      <c r="B62" s="4" t="s">
        <v>919</v>
      </c>
      <c r="C62" s="4" t="s">
        <v>920</v>
      </c>
      <c r="D62" s="28">
        <v>17.899999999999999</v>
      </c>
      <c r="E62" s="28">
        <v>12.3</v>
      </c>
      <c r="F62" s="28">
        <v>15.9</v>
      </c>
      <c r="G62" s="28">
        <v>19.600000000000001</v>
      </c>
      <c r="H62" s="28">
        <v>19.3</v>
      </c>
      <c r="I62" s="28">
        <v>15.5</v>
      </c>
      <c r="J62" s="28">
        <v>19.5</v>
      </c>
      <c r="K62" s="28">
        <v>14.8</v>
      </c>
      <c r="L62" s="28">
        <v>15.5</v>
      </c>
      <c r="M62" s="28" t="s">
        <v>888</v>
      </c>
      <c r="N62" s="28">
        <v>19.5</v>
      </c>
      <c r="O62" s="28">
        <v>17.899999999999999</v>
      </c>
      <c r="P62" s="28">
        <v>17.100000000000001</v>
      </c>
      <c r="Q62" s="28">
        <v>15.5</v>
      </c>
      <c r="R62" s="28">
        <v>16.100000000000001</v>
      </c>
      <c r="S62" s="28">
        <v>18</v>
      </c>
      <c r="T62" s="28">
        <v>19.600000000000001</v>
      </c>
      <c r="U62" s="68">
        <f>AVERAGE(Table20[[#This Row],[1]:[8]])</f>
        <v>16.850000000000001</v>
      </c>
      <c r="V62" s="69">
        <f>AVERAGE(Table20[[#This Row],[9]:[17]])</f>
        <v>17.399999999999999</v>
      </c>
      <c r="W62" s="70">
        <f>AVERAGE(Table20[[#This Row],[1]:[17]])</f>
        <v>17.125</v>
      </c>
      <c r="X62" s="40"/>
      <c r="Y62" s="7">
        <v>17</v>
      </c>
      <c r="Z62" s="4" t="s">
        <v>857</v>
      </c>
      <c r="AA62" s="4">
        <v>39</v>
      </c>
      <c r="AB62" s="4">
        <v>601</v>
      </c>
      <c r="AC62" s="4">
        <v>6.1</v>
      </c>
      <c r="AD62" s="9"/>
      <c r="AE62" s="9"/>
      <c r="AF62" s="9"/>
      <c r="AG62" s="9"/>
      <c r="AH62" s="9"/>
      <c r="AI62" s="9"/>
      <c r="AJ62" s="9"/>
      <c r="AK62" s="9"/>
      <c r="AL62" s="9"/>
      <c r="AM62" s="9"/>
      <c r="AN62" s="9"/>
      <c r="AO62" s="9"/>
      <c r="AP62" s="9"/>
      <c r="AQ62" s="9"/>
      <c r="AR62" s="9"/>
      <c r="AS62" s="9"/>
      <c r="AT62" s="9"/>
    </row>
    <row r="63" spans="1:46" x14ac:dyDescent="0.3">
      <c r="A63" s="4">
        <v>19</v>
      </c>
      <c r="B63" s="4" t="s">
        <v>921</v>
      </c>
      <c r="C63" s="4" t="s">
        <v>922</v>
      </c>
      <c r="D63" s="28">
        <v>15.9</v>
      </c>
      <c r="E63" s="28">
        <v>15.5</v>
      </c>
      <c r="F63" s="28">
        <v>17.100000000000001</v>
      </c>
      <c r="G63" s="28">
        <v>17.899999999999999</v>
      </c>
      <c r="H63" s="28" t="s">
        <v>888</v>
      </c>
      <c r="I63" s="28">
        <v>18</v>
      </c>
      <c r="J63" s="28">
        <v>24</v>
      </c>
      <c r="K63" s="28">
        <v>18</v>
      </c>
      <c r="L63" s="28">
        <v>19.600000000000001</v>
      </c>
      <c r="M63" s="28">
        <v>14.3</v>
      </c>
      <c r="N63" s="28">
        <v>20.2</v>
      </c>
      <c r="O63" s="28">
        <v>12.3</v>
      </c>
      <c r="P63" s="28">
        <v>15.3</v>
      </c>
      <c r="Q63" s="28">
        <v>18</v>
      </c>
      <c r="R63" s="28">
        <v>19.5</v>
      </c>
      <c r="S63" s="28">
        <v>12.3</v>
      </c>
      <c r="T63" s="28">
        <v>15.9</v>
      </c>
      <c r="U63" s="68">
        <f>AVERAGE(Table20[[#This Row],[1]:[8]])</f>
        <v>18.057142857142857</v>
      </c>
      <c r="V63" s="69">
        <f>AVERAGE(Table20[[#This Row],[9]:[17]])</f>
        <v>16.37777777777778</v>
      </c>
      <c r="W63" s="70">
        <f>AVERAGE(Table20[[#This Row],[1]:[17]])</f>
        <v>17.112500000000001</v>
      </c>
      <c r="X63" s="40"/>
      <c r="Y63" s="7">
        <v>18</v>
      </c>
      <c r="Z63" s="4" t="s">
        <v>842</v>
      </c>
      <c r="AA63" s="4">
        <v>42</v>
      </c>
      <c r="AB63" s="4">
        <v>646</v>
      </c>
      <c r="AC63" s="4">
        <v>6.1</v>
      </c>
      <c r="AD63" s="9"/>
      <c r="AE63" s="9"/>
      <c r="AF63" s="9"/>
      <c r="AG63" s="9"/>
      <c r="AH63" s="9"/>
      <c r="AI63" s="9"/>
      <c r="AJ63" s="9"/>
      <c r="AK63" s="9"/>
      <c r="AL63" s="9"/>
      <c r="AM63" s="9"/>
      <c r="AN63" s="9"/>
      <c r="AO63" s="9"/>
      <c r="AP63" s="9"/>
      <c r="AQ63" s="9"/>
      <c r="AR63" s="9"/>
      <c r="AS63" s="9"/>
      <c r="AT63" s="9"/>
    </row>
    <row r="64" spans="1:46" x14ac:dyDescent="0.3">
      <c r="A64" s="4">
        <v>20</v>
      </c>
      <c r="B64" s="4" t="s">
        <v>923</v>
      </c>
      <c r="C64" s="4" t="s">
        <v>924</v>
      </c>
      <c r="D64" s="28">
        <v>14.8</v>
      </c>
      <c r="E64" s="28">
        <v>19.600000000000001</v>
      </c>
      <c r="F64" s="28">
        <v>18</v>
      </c>
      <c r="G64" s="28">
        <v>24</v>
      </c>
      <c r="H64" s="28">
        <v>18</v>
      </c>
      <c r="I64" s="28">
        <v>12.3</v>
      </c>
      <c r="J64" s="28">
        <v>15.3</v>
      </c>
      <c r="K64" s="28">
        <v>12.3</v>
      </c>
      <c r="L64" s="28">
        <v>19.5</v>
      </c>
      <c r="M64" s="28">
        <v>17.2</v>
      </c>
      <c r="N64" s="28" t="s">
        <v>888</v>
      </c>
      <c r="O64" s="28">
        <v>15.5</v>
      </c>
      <c r="P64" s="28">
        <v>20.2</v>
      </c>
      <c r="Q64" s="28">
        <v>14.3</v>
      </c>
      <c r="R64" s="28">
        <v>18</v>
      </c>
      <c r="S64" s="28">
        <v>19.7</v>
      </c>
      <c r="T64" s="28">
        <v>14.8</v>
      </c>
      <c r="U64" s="68">
        <f>AVERAGE(Table20[[#This Row],[1]:[8]])</f>
        <v>16.787500000000001</v>
      </c>
      <c r="V64" s="69">
        <f>AVERAGE(Table20[[#This Row],[9]:[17]])</f>
        <v>17.400000000000002</v>
      </c>
      <c r="W64" s="70">
        <f>AVERAGE(Table20[[#This Row],[1]:[17]])</f>
        <v>17.09375</v>
      </c>
      <c r="X64" s="40"/>
      <c r="Y64" s="7">
        <v>19</v>
      </c>
      <c r="Z64" s="4" t="s">
        <v>853</v>
      </c>
      <c r="AA64" s="4">
        <v>32</v>
      </c>
      <c r="AB64" s="4">
        <v>510</v>
      </c>
      <c r="AC64" s="4">
        <v>5.9</v>
      </c>
      <c r="AD64" s="9"/>
      <c r="AE64" s="9"/>
      <c r="AF64" s="9"/>
      <c r="AG64" s="9"/>
      <c r="AH64" s="9"/>
      <c r="AI64" s="9"/>
      <c r="AJ64" s="9"/>
      <c r="AK64" s="9"/>
      <c r="AL64" s="9"/>
      <c r="AM64" s="9"/>
      <c r="AN64" s="9"/>
      <c r="AO64" s="9"/>
      <c r="AP64" s="9"/>
      <c r="AQ64" s="9"/>
      <c r="AR64" s="9"/>
      <c r="AS64" s="9"/>
      <c r="AT64" s="9"/>
    </row>
    <row r="65" spans="1:52" x14ac:dyDescent="0.3">
      <c r="A65" s="4">
        <v>21</v>
      </c>
      <c r="B65" s="4" t="s">
        <v>925</v>
      </c>
      <c r="C65" s="4" t="s">
        <v>926</v>
      </c>
      <c r="D65" s="28">
        <v>17.2</v>
      </c>
      <c r="E65" s="28">
        <v>15.6</v>
      </c>
      <c r="F65" s="28">
        <v>16.7</v>
      </c>
      <c r="G65" s="28">
        <v>17.100000000000001</v>
      </c>
      <c r="H65" s="28" t="s">
        <v>888</v>
      </c>
      <c r="I65" s="28">
        <v>15.3</v>
      </c>
      <c r="J65" s="28">
        <v>15.1</v>
      </c>
      <c r="K65" s="28">
        <v>24</v>
      </c>
      <c r="L65" s="28">
        <v>17.100000000000001</v>
      </c>
      <c r="M65" s="28">
        <v>17.399999999999999</v>
      </c>
      <c r="N65" s="28">
        <v>20.3</v>
      </c>
      <c r="O65" s="28">
        <v>20.2</v>
      </c>
      <c r="P65" s="28">
        <v>14.3</v>
      </c>
      <c r="Q65" s="28">
        <v>15.5</v>
      </c>
      <c r="R65" s="28">
        <v>15.6</v>
      </c>
      <c r="S65" s="28">
        <v>15.1</v>
      </c>
      <c r="T65" s="28">
        <v>16.7</v>
      </c>
      <c r="U65" s="68">
        <f>AVERAGE(Table20[[#This Row],[1]:[8]])</f>
        <v>17.285714285714285</v>
      </c>
      <c r="V65" s="69">
        <f>AVERAGE(Table20[[#This Row],[9]:[17]])</f>
        <v>16.911111111111111</v>
      </c>
      <c r="W65" s="70">
        <f>AVERAGE(Table20[[#This Row],[1]:[17]])</f>
        <v>17.074999999999999</v>
      </c>
      <c r="X65" s="40"/>
      <c r="Y65" s="7">
        <v>20</v>
      </c>
      <c r="Z65" s="4" t="s">
        <v>854</v>
      </c>
      <c r="AA65" s="4">
        <v>36</v>
      </c>
      <c r="AB65" s="4">
        <v>573</v>
      </c>
      <c r="AC65" s="4">
        <v>5.9</v>
      </c>
      <c r="AD65" s="9"/>
      <c r="AE65" s="9"/>
      <c r="AF65" s="9"/>
      <c r="AG65" s="9"/>
      <c r="AH65" s="9"/>
      <c r="AI65" s="9"/>
      <c r="AJ65" s="9"/>
      <c r="AK65" s="9"/>
      <c r="AL65" s="9"/>
      <c r="AM65" s="9"/>
      <c r="AN65" s="9"/>
      <c r="AO65" s="9"/>
      <c r="AP65" s="9"/>
      <c r="AQ65" s="9"/>
      <c r="AR65" s="9"/>
      <c r="AS65" s="9"/>
      <c r="AT65" s="9"/>
    </row>
    <row r="66" spans="1:52" x14ac:dyDescent="0.3">
      <c r="A66" s="4">
        <v>22</v>
      </c>
      <c r="B66" s="4" t="s">
        <v>927</v>
      </c>
      <c r="C66" s="4" t="s">
        <v>928</v>
      </c>
      <c r="D66" s="28">
        <v>16.100000000000001</v>
      </c>
      <c r="E66" s="28">
        <v>17.899999999999999</v>
      </c>
      <c r="F66" s="28">
        <v>18</v>
      </c>
      <c r="G66" s="28">
        <v>15.5</v>
      </c>
      <c r="H66" s="28">
        <v>17.2</v>
      </c>
      <c r="I66" s="28">
        <v>19.7</v>
      </c>
      <c r="J66" s="28">
        <v>18</v>
      </c>
      <c r="K66" s="28">
        <v>19.600000000000001</v>
      </c>
      <c r="L66" s="28">
        <v>15.9</v>
      </c>
      <c r="M66" s="28">
        <v>15.5</v>
      </c>
      <c r="N66" s="28">
        <v>18</v>
      </c>
      <c r="O66" s="28">
        <v>19.3</v>
      </c>
      <c r="P66" s="28" t="s">
        <v>888</v>
      </c>
      <c r="Q66" s="28">
        <v>12.3</v>
      </c>
      <c r="R66" s="28">
        <v>14.8</v>
      </c>
      <c r="S66" s="28">
        <v>19.600000000000001</v>
      </c>
      <c r="T66" s="28">
        <v>15.5</v>
      </c>
      <c r="U66" s="68">
        <f>AVERAGE(Table20[[#This Row],[1]:[8]])</f>
        <v>17.75</v>
      </c>
      <c r="V66" s="69">
        <f>AVERAGE(Table20[[#This Row],[9]:[17]])</f>
        <v>16.362500000000001</v>
      </c>
      <c r="W66" s="70">
        <f>AVERAGE(Table20[[#This Row],[1]:[17]])</f>
        <v>17.056250000000002</v>
      </c>
      <c r="X66" s="40"/>
      <c r="Y66" s="7">
        <v>21</v>
      </c>
      <c r="Z66" s="4" t="s">
        <v>846</v>
      </c>
      <c r="AA66" s="4">
        <v>31</v>
      </c>
      <c r="AB66" s="4">
        <v>506</v>
      </c>
      <c r="AC66" s="4">
        <v>5.8</v>
      </c>
      <c r="AD66" s="9"/>
      <c r="AE66" s="9"/>
      <c r="AF66" s="9"/>
      <c r="AG66" s="9"/>
      <c r="AH66" s="9"/>
      <c r="AI66" s="9"/>
      <c r="AJ66" s="9"/>
      <c r="AK66" s="9"/>
      <c r="AL66" s="9"/>
      <c r="AM66" s="9"/>
      <c r="AN66" s="9"/>
      <c r="AO66" s="9"/>
      <c r="AP66" s="9"/>
      <c r="AQ66" s="9"/>
      <c r="AR66" s="9"/>
      <c r="AS66" s="9"/>
      <c r="AT66" s="9"/>
    </row>
    <row r="67" spans="1:52" x14ac:dyDescent="0.3">
      <c r="A67" s="4">
        <v>23</v>
      </c>
      <c r="B67" s="4" t="s">
        <v>929</v>
      </c>
      <c r="C67" s="4" t="s">
        <v>930</v>
      </c>
      <c r="D67" s="28">
        <v>15.5</v>
      </c>
      <c r="E67" s="28">
        <v>15.9</v>
      </c>
      <c r="F67" s="28">
        <v>18.100000000000001</v>
      </c>
      <c r="G67" s="28">
        <v>18</v>
      </c>
      <c r="H67" s="28" t="s">
        <v>888</v>
      </c>
      <c r="I67" s="28">
        <v>19.3</v>
      </c>
      <c r="J67" s="28">
        <v>18</v>
      </c>
      <c r="K67" s="28">
        <v>19.5</v>
      </c>
      <c r="L67" s="28">
        <v>14.8</v>
      </c>
      <c r="M67" s="28">
        <v>15.5</v>
      </c>
      <c r="N67" s="28">
        <v>17.899999999999999</v>
      </c>
      <c r="O67" s="28">
        <v>17.100000000000001</v>
      </c>
      <c r="P67" s="28">
        <v>12.3</v>
      </c>
      <c r="Q67" s="28">
        <v>16.100000000000001</v>
      </c>
      <c r="R67" s="28">
        <v>15.5</v>
      </c>
      <c r="S67" s="28">
        <v>19.5</v>
      </c>
      <c r="T67" s="28">
        <v>18</v>
      </c>
      <c r="U67" s="68">
        <f>AVERAGE(Table20[[#This Row],[1]:[8]])</f>
        <v>17.757142857142856</v>
      </c>
      <c r="V67" s="69">
        <f>AVERAGE(Table20[[#This Row],[9]:[17]])</f>
        <v>16.3</v>
      </c>
      <c r="W67" s="70">
        <f>AVERAGE(Table20[[#This Row],[1]:[17]])</f>
        <v>16.9375</v>
      </c>
      <c r="X67" s="40"/>
      <c r="Y67" s="7">
        <v>22</v>
      </c>
      <c r="Z67" s="4" t="s">
        <v>834</v>
      </c>
      <c r="AA67" s="4">
        <v>36</v>
      </c>
      <c r="AB67" s="4">
        <v>602</v>
      </c>
      <c r="AC67" s="4">
        <v>5.6</v>
      </c>
      <c r="AD67" s="9"/>
      <c r="AE67" s="9"/>
      <c r="AF67" s="9"/>
      <c r="AG67" s="9"/>
      <c r="AH67" s="9"/>
      <c r="AI67" s="9"/>
      <c r="AJ67" s="9"/>
      <c r="AK67" s="9"/>
      <c r="AL67" s="9"/>
      <c r="AM67" s="9"/>
      <c r="AN67" s="9"/>
      <c r="AO67" s="9"/>
      <c r="AP67" s="9"/>
      <c r="AQ67" s="9"/>
      <c r="AR67" s="9"/>
      <c r="AS67" s="9"/>
      <c r="AT67" s="9"/>
    </row>
    <row r="68" spans="1:52" x14ac:dyDescent="0.3">
      <c r="A68" s="4">
        <v>24</v>
      </c>
      <c r="B68" s="4" t="s">
        <v>931</v>
      </c>
      <c r="C68" s="4" t="s">
        <v>932</v>
      </c>
      <c r="D68" s="28">
        <v>18.100000000000001</v>
      </c>
      <c r="E68" s="28">
        <v>17.100000000000001</v>
      </c>
      <c r="F68" s="28">
        <v>15.1</v>
      </c>
      <c r="G68" s="28">
        <v>17.399999999999999</v>
      </c>
      <c r="H68" s="28">
        <v>15.6</v>
      </c>
      <c r="I68" s="28">
        <v>16.7</v>
      </c>
      <c r="J68" s="28">
        <v>17.2</v>
      </c>
      <c r="K68" s="28">
        <v>17.399999999999999</v>
      </c>
      <c r="L68" s="28">
        <v>12.9</v>
      </c>
      <c r="M68" s="28" t="s">
        <v>888</v>
      </c>
      <c r="N68" s="28">
        <v>13.5</v>
      </c>
      <c r="O68" s="28">
        <v>19.600000000000001</v>
      </c>
      <c r="P68" s="28">
        <v>18</v>
      </c>
      <c r="Q68" s="28">
        <v>17.899999999999999</v>
      </c>
      <c r="R68" s="28">
        <v>19.7</v>
      </c>
      <c r="S68" s="28">
        <v>17.2</v>
      </c>
      <c r="T68" s="28">
        <v>17.100000000000001</v>
      </c>
      <c r="U68" s="68">
        <f>AVERAGE(Table20[[#This Row],[1]:[8]])</f>
        <v>16.824999999999999</v>
      </c>
      <c r="V68" s="69">
        <f>AVERAGE(Table20[[#This Row],[9]:[17]])</f>
        <v>16.987500000000001</v>
      </c>
      <c r="W68" s="70">
        <f>AVERAGE(Table20[[#This Row],[1]:[17]])</f>
        <v>16.90625</v>
      </c>
      <c r="X68" s="40"/>
      <c r="Y68" s="7">
        <v>23</v>
      </c>
      <c r="Z68" s="4" t="s">
        <v>835</v>
      </c>
      <c r="AA68" s="4">
        <v>38</v>
      </c>
      <c r="AB68" s="4">
        <v>641</v>
      </c>
      <c r="AC68" s="4">
        <v>5.6</v>
      </c>
      <c r="AD68" s="9"/>
      <c r="AE68" s="9"/>
      <c r="AF68" s="9"/>
      <c r="AG68" s="9"/>
      <c r="AH68" s="9"/>
      <c r="AI68" s="9"/>
      <c r="AJ68" s="9"/>
      <c r="AK68" s="9"/>
      <c r="AL68" s="9"/>
      <c r="AM68" s="9"/>
      <c r="AN68" s="9"/>
      <c r="AO68" s="9"/>
      <c r="AP68" s="9"/>
      <c r="AQ68" s="9"/>
      <c r="AR68" s="9"/>
      <c r="AS68" s="9"/>
      <c r="AT68" s="9"/>
    </row>
    <row r="69" spans="1:52" x14ac:dyDescent="0.3">
      <c r="A69" s="4">
        <v>25</v>
      </c>
      <c r="B69" s="4" t="s">
        <v>933</v>
      </c>
      <c r="C69" s="4" t="s">
        <v>934</v>
      </c>
      <c r="D69" s="28">
        <v>16.7</v>
      </c>
      <c r="E69" s="28">
        <v>12.9</v>
      </c>
      <c r="F69" s="28">
        <v>20.2</v>
      </c>
      <c r="G69" s="28">
        <v>15.1</v>
      </c>
      <c r="H69" s="28">
        <v>17.100000000000001</v>
      </c>
      <c r="I69" s="28">
        <v>17.899999999999999</v>
      </c>
      <c r="J69" s="28">
        <v>20.399999999999999</v>
      </c>
      <c r="K69" s="28" t="s">
        <v>888</v>
      </c>
      <c r="L69" s="28">
        <v>14.3</v>
      </c>
      <c r="M69" s="28">
        <v>17.100000000000001</v>
      </c>
      <c r="N69" s="28">
        <v>17.2</v>
      </c>
      <c r="O69" s="28">
        <v>24</v>
      </c>
      <c r="P69" s="28">
        <v>17.399999999999999</v>
      </c>
      <c r="Q69" s="28">
        <v>15.3</v>
      </c>
      <c r="R69" s="28">
        <v>12.9</v>
      </c>
      <c r="S69" s="28">
        <v>16.7</v>
      </c>
      <c r="T69" s="28">
        <v>15.1</v>
      </c>
      <c r="U69" s="68">
        <f>AVERAGE(Table20[[#This Row],[1]:[8]])</f>
        <v>17.185714285714287</v>
      </c>
      <c r="V69" s="69">
        <f>AVERAGE(Table20[[#This Row],[9]:[17]])</f>
        <v>16.666666666666668</v>
      </c>
      <c r="W69" s="70">
        <f>AVERAGE(Table20[[#This Row],[1]:[17]])</f>
        <v>16.893750000000001</v>
      </c>
      <c r="X69" s="40"/>
      <c r="Y69" s="7">
        <v>24</v>
      </c>
      <c r="Z69" s="4" t="s">
        <v>840</v>
      </c>
      <c r="AA69" s="4">
        <v>35</v>
      </c>
      <c r="AB69" s="4">
        <v>585</v>
      </c>
      <c r="AC69" s="4">
        <v>5.6</v>
      </c>
      <c r="AD69" s="9"/>
      <c r="AE69" s="9"/>
      <c r="AF69" s="9"/>
      <c r="AG69" s="9"/>
      <c r="AH69" s="9"/>
      <c r="AI69" s="9"/>
      <c r="AJ69" s="9"/>
      <c r="AK69" s="9"/>
      <c r="AL69" s="9"/>
      <c r="AM69" s="9"/>
      <c r="AN69" s="9"/>
      <c r="AO69" s="9"/>
      <c r="AP69" s="9"/>
      <c r="AQ69" s="9"/>
      <c r="AR69" s="9"/>
      <c r="AS69" s="9"/>
      <c r="AT69" s="9"/>
    </row>
    <row r="70" spans="1:52" x14ac:dyDescent="0.3">
      <c r="A70" s="4">
        <v>26</v>
      </c>
      <c r="B70" s="4" t="s">
        <v>935</v>
      </c>
      <c r="C70" s="4" t="s">
        <v>936</v>
      </c>
      <c r="D70" s="28">
        <v>12.9</v>
      </c>
      <c r="E70" s="28">
        <v>17.399999999999999</v>
      </c>
      <c r="F70" s="28">
        <v>19.7</v>
      </c>
      <c r="G70" s="28">
        <v>13.5</v>
      </c>
      <c r="H70" s="28">
        <v>19.5</v>
      </c>
      <c r="I70" s="28">
        <v>17.899999999999999</v>
      </c>
      <c r="J70" s="28">
        <v>17.100000000000001</v>
      </c>
      <c r="K70" s="28" t="s">
        <v>888</v>
      </c>
      <c r="L70" s="28">
        <v>17.100000000000001</v>
      </c>
      <c r="M70" s="28">
        <v>15.9</v>
      </c>
      <c r="N70" s="28">
        <v>15.6</v>
      </c>
      <c r="O70" s="28">
        <v>16.7</v>
      </c>
      <c r="P70" s="28">
        <v>18.100000000000001</v>
      </c>
      <c r="Q70" s="28">
        <v>15.1</v>
      </c>
      <c r="R70" s="28">
        <v>17.100000000000001</v>
      </c>
      <c r="S70" s="28">
        <v>17.100000000000001</v>
      </c>
      <c r="T70" s="28">
        <v>17.399999999999999</v>
      </c>
      <c r="U70" s="68">
        <f>AVERAGE(Table20[[#This Row],[1]:[8]])</f>
        <v>16.857142857142858</v>
      </c>
      <c r="V70" s="69">
        <f>AVERAGE(Table20[[#This Row],[9]:[17]])</f>
        <v>16.677777777777777</v>
      </c>
      <c r="W70" s="70">
        <f>AVERAGE(Table20[[#This Row],[1]:[17]])</f>
        <v>16.756249999999998</v>
      </c>
      <c r="X70" s="40"/>
      <c r="Y70" s="7">
        <v>25</v>
      </c>
      <c r="Z70" s="4" t="s">
        <v>830</v>
      </c>
      <c r="AA70" s="4">
        <v>37</v>
      </c>
      <c r="AB70" s="4">
        <v>633</v>
      </c>
      <c r="AC70" s="4">
        <v>5.5</v>
      </c>
      <c r="AD70" s="9"/>
      <c r="AE70" s="9"/>
      <c r="AF70" s="9"/>
      <c r="AG70" s="9"/>
      <c r="AH70" s="9"/>
      <c r="AI70" s="9"/>
      <c r="AJ70" s="9"/>
      <c r="AK70" s="9"/>
      <c r="AL70" s="9"/>
      <c r="AM70" s="9"/>
      <c r="AN70" s="9"/>
      <c r="AO70" s="9"/>
      <c r="AP70" s="9"/>
      <c r="AQ70" s="9"/>
      <c r="AR70" s="9"/>
      <c r="AS70" s="9"/>
      <c r="AT70" s="9"/>
    </row>
    <row r="71" spans="1:52" x14ac:dyDescent="0.3">
      <c r="A71" s="4">
        <v>27</v>
      </c>
      <c r="B71" s="4" t="s">
        <v>937</v>
      </c>
      <c r="C71" s="4" t="s">
        <v>938</v>
      </c>
      <c r="D71" s="28">
        <v>24</v>
      </c>
      <c r="E71" s="28">
        <v>15.3</v>
      </c>
      <c r="F71" s="28">
        <v>19.5</v>
      </c>
      <c r="G71" s="28">
        <v>18.100000000000001</v>
      </c>
      <c r="H71" s="28">
        <v>15.9</v>
      </c>
      <c r="I71" s="28">
        <v>14.8</v>
      </c>
      <c r="J71" s="28">
        <v>19.600000000000001</v>
      </c>
      <c r="K71" s="28">
        <v>20.2</v>
      </c>
      <c r="L71" s="28">
        <v>12.3</v>
      </c>
      <c r="M71" s="28" t="s">
        <v>888</v>
      </c>
      <c r="N71" s="28">
        <v>15.5</v>
      </c>
      <c r="O71" s="28">
        <v>14.3</v>
      </c>
      <c r="P71" s="28">
        <v>17.100000000000001</v>
      </c>
      <c r="Q71" s="28">
        <v>14.8</v>
      </c>
      <c r="R71" s="28">
        <v>15.9</v>
      </c>
      <c r="S71" s="28">
        <v>18</v>
      </c>
      <c r="T71" s="28">
        <v>12.3</v>
      </c>
      <c r="U71" s="68">
        <f>AVERAGE(Table20[[#This Row],[1]:[8]])</f>
        <v>18.425000000000001</v>
      </c>
      <c r="V71" s="69">
        <f>AVERAGE(Table20[[#This Row],[9]:[17]])</f>
        <v>15.025</v>
      </c>
      <c r="W71" s="70">
        <f>AVERAGE(Table20[[#This Row],[1]:[17]])</f>
        <v>16.725000000000001</v>
      </c>
      <c r="X71" s="40"/>
      <c r="Y71" s="7">
        <v>26</v>
      </c>
      <c r="Z71" s="4" t="s">
        <v>843</v>
      </c>
      <c r="AA71" s="4">
        <v>31</v>
      </c>
      <c r="AB71" s="4">
        <v>542</v>
      </c>
      <c r="AC71" s="4">
        <v>5.4</v>
      </c>
      <c r="AD71" s="9"/>
      <c r="AE71" s="9"/>
      <c r="AF71" s="9"/>
      <c r="AG71" s="9"/>
      <c r="AH71" s="9"/>
      <c r="AI71" s="9"/>
      <c r="AJ71" s="9"/>
      <c r="AK71" s="9"/>
      <c r="AL71" s="9"/>
      <c r="AM71" s="9"/>
      <c r="AN71" s="9"/>
      <c r="AO71" s="9"/>
      <c r="AP71" s="9"/>
      <c r="AQ71" s="9"/>
      <c r="AR71" s="9"/>
      <c r="AS71" s="9"/>
      <c r="AT71" s="9"/>
    </row>
    <row r="72" spans="1:52" x14ac:dyDescent="0.3">
      <c r="A72" s="4">
        <v>28</v>
      </c>
      <c r="B72" s="4" t="s">
        <v>939</v>
      </c>
      <c r="C72" s="4" t="s">
        <v>940</v>
      </c>
      <c r="D72" s="28">
        <v>17.399999999999999</v>
      </c>
      <c r="E72" s="28">
        <v>20.2</v>
      </c>
      <c r="F72" s="28">
        <v>17.100000000000001</v>
      </c>
      <c r="G72" s="28">
        <v>15.6</v>
      </c>
      <c r="H72" s="28">
        <v>16.7</v>
      </c>
      <c r="I72" s="28">
        <v>17.100000000000001</v>
      </c>
      <c r="J72" s="28">
        <v>12.9</v>
      </c>
      <c r="K72" s="28">
        <v>14.3</v>
      </c>
      <c r="L72" s="28" t="s">
        <v>888</v>
      </c>
      <c r="M72" s="28">
        <v>16.7</v>
      </c>
      <c r="N72" s="28">
        <v>16.100000000000001</v>
      </c>
      <c r="O72" s="28">
        <v>15.3</v>
      </c>
      <c r="P72" s="28">
        <v>18.100000000000001</v>
      </c>
      <c r="Q72" s="28">
        <v>17.2</v>
      </c>
      <c r="R72" s="28">
        <v>24</v>
      </c>
      <c r="S72" s="28">
        <v>12.9</v>
      </c>
      <c r="T72" s="28">
        <v>15.6</v>
      </c>
      <c r="U72" s="68">
        <f>AVERAGE(Table20[[#This Row],[1]:[8]])</f>
        <v>16.412500000000001</v>
      </c>
      <c r="V72" s="69">
        <f>AVERAGE(Table20[[#This Row],[9]:[17]])</f>
        <v>16.987500000000001</v>
      </c>
      <c r="W72" s="70">
        <f>AVERAGE(Table20[[#This Row],[1]:[17]])</f>
        <v>16.7</v>
      </c>
      <c r="X72" s="40"/>
      <c r="Y72" s="7">
        <v>27</v>
      </c>
      <c r="Z72" s="4" t="s">
        <v>833</v>
      </c>
      <c r="AA72" s="4">
        <v>29</v>
      </c>
      <c r="AB72" s="4">
        <v>511</v>
      </c>
      <c r="AC72" s="4">
        <v>5.4</v>
      </c>
      <c r="AD72" s="9"/>
      <c r="AE72" s="9"/>
      <c r="AF72" s="9"/>
      <c r="AG72" s="9"/>
      <c r="AH72" s="9"/>
      <c r="AI72" s="9"/>
      <c r="AJ72" s="9"/>
      <c r="AK72" s="9"/>
      <c r="AL72" s="9"/>
      <c r="AM72" s="9"/>
      <c r="AN72" s="9"/>
      <c r="AO72" s="9"/>
      <c r="AP72" s="9"/>
      <c r="AQ72" s="9"/>
      <c r="AR72" s="9"/>
      <c r="AS72" s="9"/>
      <c r="AT72" s="9"/>
    </row>
    <row r="73" spans="1:52" x14ac:dyDescent="0.3">
      <c r="A73" s="4">
        <v>29</v>
      </c>
      <c r="B73" s="4" t="s">
        <v>411</v>
      </c>
      <c r="C73" s="4" t="s">
        <v>941</v>
      </c>
      <c r="D73" s="28">
        <v>13.5</v>
      </c>
      <c r="E73" s="28">
        <v>17.100000000000001</v>
      </c>
      <c r="F73" s="28">
        <v>14.8</v>
      </c>
      <c r="G73" s="28">
        <v>12.9</v>
      </c>
      <c r="H73" s="28">
        <v>17.899999999999999</v>
      </c>
      <c r="I73" s="28">
        <v>15.1</v>
      </c>
      <c r="J73" s="28">
        <v>18.100000000000001</v>
      </c>
      <c r="K73" s="28">
        <v>19.7</v>
      </c>
      <c r="L73" s="28">
        <v>17.2</v>
      </c>
      <c r="M73" s="28">
        <v>15.6</v>
      </c>
      <c r="N73" s="28" t="s">
        <v>888</v>
      </c>
      <c r="O73" s="28">
        <v>17.399999999999999</v>
      </c>
      <c r="P73" s="28">
        <v>18</v>
      </c>
      <c r="Q73" s="28">
        <v>16.7</v>
      </c>
      <c r="R73" s="28">
        <v>17.2</v>
      </c>
      <c r="S73" s="28">
        <v>17.399999999999999</v>
      </c>
      <c r="T73" s="28">
        <v>17.100000000000001</v>
      </c>
      <c r="U73" s="68">
        <f>AVERAGE(Table20[[#This Row],[1]:[8]])</f>
        <v>16.137499999999999</v>
      </c>
      <c r="V73" s="69">
        <f>AVERAGE(Table20[[#This Row],[9]:[17]])</f>
        <v>17.074999999999999</v>
      </c>
      <c r="W73" s="70">
        <f>AVERAGE(Table20[[#This Row],[1]:[17]])</f>
        <v>16.606249999999999</v>
      </c>
      <c r="X73" s="40"/>
      <c r="Y73" s="7">
        <v>28</v>
      </c>
      <c r="Z73" s="4" t="s">
        <v>827</v>
      </c>
      <c r="AA73" s="4">
        <v>31</v>
      </c>
      <c r="AB73" s="4">
        <v>544</v>
      </c>
      <c r="AC73" s="4">
        <v>5.4</v>
      </c>
      <c r="AD73" s="9"/>
      <c r="AE73" s="9"/>
      <c r="AF73" s="9"/>
      <c r="AG73" s="9"/>
      <c r="AH73" s="9"/>
      <c r="AI73" s="9"/>
      <c r="AJ73" s="9"/>
      <c r="AK73" s="9"/>
      <c r="AL73" s="9"/>
      <c r="AM73" s="9"/>
      <c r="AN73" s="9"/>
      <c r="AO73" s="9"/>
      <c r="AP73" s="9"/>
      <c r="AQ73" s="9"/>
      <c r="AR73" s="9"/>
      <c r="AS73" s="9"/>
      <c r="AT73" s="9"/>
    </row>
    <row r="74" spans="1:52" x14ac:dyDescent="0.3">
      <c r="A74" s="4">
        <v>30</v>
      </c>
      <c r="B74" s="4" t="s">
        <v>942</v>
      </c>
      <c r="C74" s="4" t="s">
        <v>943</v>
      </c>
      <c r="D74" s="28">
        <v>15.6</v>
      </c>
      <c r="E74" s="28">
        <v>14.3</v>
      </c>
      <c r="F74" s="28">
        <v>12.9</v>
      </c>
      <c r="G74" s="28">
        <v>16</v>
      </c>
      <c r="H74" s="28">
        <v>15.1</v>
      </c>
      <c r="I74" s="28">
        <v>17.100000000000001</v>
      </c>
      <c r="J74" s="28">
        <v>20.2</v>
      </c>
      <c r="K74" s="28" t="s">
        <v>888</v>
      </c>
      <c r="L74" s="28">
        <v>24</v>
      </c>
      <c r="M74" s="28">
        <v>15.1</v>
      </c>
      <c r="N74" s="28">
        <v>17.399999999999999</v>
      </c>
      <c r="O74" s="28">
        <v>17.2</v>
      </c>
      <c r="P74" s="28">
        <v>19.3</v>
      </c>
      <c r="Q74" s="28">
        <v>17.100000000000001</v>
      </c>
      <c r="R74" s="28">
        <v>15.3</v>
      </c>
      <c r="S74" s="28">
        <v>15.6</v>
      </c>
      <c r="T74" s="28">
        <v>12.9</v>
      </c>
      <c r="U74" s="68">
        <f>AVERAGE(Table20[[#This Row],[1]:[8]])</f>
        <v>15.885714285714286</v>
      </c>
      <c r="V74" s="69">
        <f>AVERAGE(Table20[[#This Row],[9]:[17]])</f>
        <v>17.100000000000001</v>
      </c>
      <c r="W74" s="70">
        <f>AVERAGE(Table20[[#This Row],[1]:[17]])</f>
        <v>16.568749999999998</v>
      </c>
      <c r="X74" s="40"/>
      <c r="Y74" s="7">
        <v>29</v>
      </c>
      <c r="Z74" s="4" t="s">
        <v>844</v>
      </c>
      <c r="AA74" s="4">
        <v>28</v>
      </c>
      <c r="AB74" s="4">
        <v>549</v>
      </c>
      <c r="AC74" s="4">
        <v>4.9000000000000004</v>
      </c>
      <c r="AD74" s="9"/>
      <c r="AE74" s="9"/>
      <c r="AF74" s="9"/>
      <c r="AG74" s="9"/>
      <c r="AH74" s="9"/>
      <c r="AI74" s="9"/>
      <c r="AJ74" s="9"/>
      <c r="AK74" s="9"/>
      <c r="AL74" s="9"/>
      <c r="AM74" s="9"/>
      <c r="AN74" s="9"/>
      <c r="AO74" s="9"/>
      <c r="AP74" s="9"/>
      <c r="AQ74" s="9"/>
      <c r="AR74" s="9"/>
      <c r="AS74" s="9"/>
      <c r="AT74" s="9"/>
    </row>
    <row r="75" spans="1:52" x14ac:dyDescent="0.3">
      <c r="A75" s="4">
        <v>32</v>
      </c>
      <c r="B75" s="4" t="s">
        <v>944</v>
      </c>
      <c r="C75" s="4" t="s">
        <v>945</v>
      </c>
      <c r="D75" s="28">
        <v>15.3</v>
      </c>
      <c r="E75" s="28">
        <v>15.1</v>
      </c>
      <c r="F75" s="28">
        <v>15.6</v>
      </c>
      <c r="G75" s="28">
        <v>12.3</v>
      </c>
      <c r="H75" s="28">
        <v>14.3</v>
      </c>
      <c r="I75" s="28" t="s">
        <v>888</v>
      </c>
      <c r="J75" s="28">
        <v>16.7</v>
      </c>
      <c r="K75" s="28">
        <v>18</v>
      </c>
      <c r="L75" s="28">
        <v>15.3</v>
      </c>
      <c r="M75" s="28">
        <v>19.3</v>
      </c>
      <c r="N75" s="28">
        <v>14.8</v>
      </c>
      <c r="O75" s="28">
        <v>12.9</v>
      </c>
      <c r="P75" s="28">
        <v>15.9</v>
      </c>
      <c r="Q75" s="28">
        <v>24</v>
      </c>
      <c r="R75" s="28">
        <v>16</v>
      </c>
      <c r="S75" s="28">
        <v>24</v>
      </c>
      <c r="T75" s="28">
        <v>14.3</v>
      </c>
      <c r="U75" s="68">
        <f>AVERAGE(Table20[[#This Row],[1]:[8]])</f>
        <v>15.328571428571427</v>
      </c>
      <c r="V75" s="69">
        <f>AVERAGE(Table20[[#This Row],[9]:[17]])</f>
        <v>17.388888888888889</v>
      </c>
      <c r="W75" s="70">
        <f>AVERAGE(Table20[[#This Row],[1]:[17]])</f>
        <v>16.487500000000001</v>
      </c>
      <c r="X75" s="40"/>
      <c r="Y75" s="7">
        <v>30</v>
      </c>
      <c r="Z75" s="4" t="s">
        <v>829</v>
      </c>
      <c r="AA75" s="4">
        <v>23</v>
      </c>
      <c r="AB75" s="4">
        <v>638</v>
      </c>
      <c r="AC75" s="4">
        <v>3.5</v>
      </c>
      <c r="AD75" s="9"/>
      <c r="AE75" s="9"/>
      <c r="AF75" s="9"/>
      <c r="AG75" s="9"/>
      <c r="AH75" s="9"/>
      <c r="AI75" s="9"/>
      <c r="AJ75" s="9"/>
      <c r="AK75" s="9"/>
      <c r="AL75" s="9"/>
      <c r="AM75" s="9"/>
      <c r="AN75" s="9"/>
      <c r="AO75" s="9"/>
      <c r="AP75" s="9"/>
      <c r="AQ75" s="9"/>
      <c r="AR75" s="9"/>
      <c r="AS75" s="9"/>
      <c r="AT75" s="9"/>
    </row>
    <row r="76" spans="1:52" x14ac:dyDescent="0.3">
      <c r="A76" s="4">
        <v>33</v>
      </c>
      <c r="B76" s="4" t="s">
        <v>946</v>
      </c>
      <c r="C76" s="4" t="s">
        <v>947</v>
      </c>
      <c r="D76" s="28">
        <v>15.1</v>
      </c>
      <c r="E76" s="28">
        <v>17.2</v>
      </c>
      <c r="F76" s="28">
        <v>15.5</v>
      </c>
      <c r="G76" s="28">
        <v>17.100000000000001</v>
      </c>
      <c r="H76" s="28">
        <v>19.7</v>
      </c>
      <c r="I76" s="28">
        <v>13.5</v>
      </c>
      <c r="J76" s="28">
        <v>17.899999999999999</v>
      </c>
      <c r="K76" s="28">
        <v>17.100000000000001</v>
      </c>
      <c r="L76" s="28" t="s">
        <v>888</v>
      </c>
      <c r="M76" s="28">
        <v>12.9</v>
      </c>
      <c r="N76" s="28">
        <v>16.7</v>
      </c>
      <c r="O76" s="28">
        <v>17.100000000000001</v>
      </c>
      <c r="P76" s="28">
        <v>15.6</v>
      </c>
      <c r="Q76" s="28">
        <v>18.100000000000001</v>
      </c>
      <c r="R76" s="28">
        <v>12.3</v>
      </c>
      <c r="S76" s="28">
        <v>17.100000000000001</v>
      </c>
      <c r="T76" s="28">
        <v>17.2</v>
      </c>
      <c r="U76" s="68">
        <f>AVERAGE(Table20[[#This Row],[1]:[8]])</f>
        <v>16.637499999999999</v>
      </c>
      <c r="V76" s="69">
        <f>AVERAGE(Table20[[#This Row],[9]:[17]])</f>
        <v>15.875000000000002</v>
      </c>
      <c r="W76" s="70">
        <f>AVERAGE(Table20[[#This Row],[1]:[17]])</f>
        <v>16.256249999999998</v>
      </c>
      <c r="X76" s="40"/>
      <c r="Y76" s="7">
        <v>31</v>
      </c>
      <c r="Z76" s="4" t="s">
        <v>848</v>
      </c>
      <c r="AA76" s="4">
        <v>21</v>
      </c>
      <c r="AB76" s="4">
        <v>602</v>
      </c>
      <c r="AC76" s="4">
        <v>3.4</v>
      </c>
      <c r="AD76" s="9"/>
      <c r="AE76" s="9"/>
      <c r="AF76" s="9"/>
      <c r="AG76" s="9"/>
      <c r="AH76" s="9"/>
      <c r="AI76" s="9"/>
      <c r="AJ76" s="9"/>
      <c r="AK76" s="9"/>
      <c r="AL76" s="9"/>
      <c r="AM76" s="9"/>
      <c r="AN76" s="9"/>
      <c r="AO76" s="9"/>
      <c r="AP76" s="9"/>
      <c r="AQ76" s="9"/>
      <c r="AR76" s="9"/>
      <c r="AS76" s="9"/>
      <c r="AT76" s="9"/>
    </row>
    <row r="77" spans="1:52" ht="15" thickBot="1" x14ac:dyDescent="0.35">
      <c r="A77" s="4">
        <v>34</v>
      </c>
      <c r="B77" s="4" t="s">
        <v>948</v>
      </c>
      <c r="C77" s="4" t="s">
        <v>949</v>
      </c>
      <c r="D77" s="28">
        <v>18</v>
      </c>
      <c r="E77" s="28">
        <v>20.399999999999999</v>
      </c>
      <c r="F77" s="28">
        <v>15.3</v>
      </c>
      <c r="G77" s="28">
        <v>15.9</v>
      </c>
      <c r="H77" s="28" t="s">
        <v>888</v>
      </c>
      <c r="I77" s="28">
        <v>14.3</v>
      </c>
      <c r="J77" s="28">
        <v>14.8</v>
      </c>
      <c r="K77" s="28">
        <v>12.9</v>
      </c>
      <c r="L77" s="28">
        <v>16.7</v>
      </c>
      <c r="M77" s="28">
        <v>12.3</v>
      </c>
      <c r="N77" s="28">
        <v>14.3</v>
      </c>
      <c r="O77" s="28">
        <v>15.6</v>
      </c>
      <c r="P77" s="28">
        <v>17.899999999999999</v>
      </c>
      <c r="Q77" s="28">
        <v>20.2</v>
      </c>
      <c r="R77" s="28">
        <v>15.1</v>
      </c>
      <c r="S77" s="28">
        <v>20.2</v>
      </c>
      <c r="T77" s="28">
        <v>15.3</v>
      </c>
      <c r="U77" s="71">
        <f>AVERAGE(Table20[[#This Row],[1]:[8]])</f>
        <v>15.942857142857145</v>
      </c>
      <c r="V77" s="72">
        <f>AVERAGE(Table20[[#This Row],[9]:[17]])</f>
        <v>16.399999999999999</v>
      </c>
      <c r="W77" s="73">
        <f>AVERAGE(Table20[[#This Row],[1]:[17]])</f>
        <v>16.2</v>
      </c>
      <c r="X77" s="40"/>
      <c r="Y77" s="7">
        <v>32</v>
      </c>
      <c r="Z77" s="4" t="s">
        <v>828</v>
      </c>
      <c r="AA77" s="4">
        <v>19</v>
      </c>
      <c r="AB77" s="4">
        <v>561</v>
      </c>
      <c r="AC77" s="4">
        <v>3.3</v>
      </c>
      <c r="AD77" s="9"/>
      <c r="AE77" s="9"/>
      <c r="AF77" s="9"/>
      <c r="AG77" s="9"/>
      <c r="AH77" s="9"/>
      <c r="AI77" s="9"/>
      <c r="AJ77" s="9"/>
      <c r="AK77" s="9"/>
      <c r="AL77" s="9"/>
      <c r="AM77" s="9"/>
      <c r="AN77" s="9"/>
      <c r="AO77" s="9"/>
      <c r="AP77" s="9"/>
      <c r="AQ77" s="9"/>
      <c r="AR77" s="9"/>
      <c r="AS77" s="9"/>
      <c r="AT77" s="9"/>
    </row>
    <row r="78" spans="1:52" ht="15" thickBot="1" x14ac:dyDescent="0.35">
      <c r="A78" s="9"/>
      <c r="B78" s="9"/>
      <c r="C78" s="9"/>
      <c r="D78" s="40"/>
      <c r="E78" s="40"/>
      <c r="F78" s="40"/>
      <c r="G78" s="40"/>
      <c r="H78" s="40"/>
      <c r="I78" s="40"/>
      <c r="J78" s="40"/>
      <c r="K78" s="40"/>
      <c r="L78" s="40"/>
      <c r="M78" s="40"/>
      <c r="N78" s="40"/>
      <c r="O78" s="40"/>
      <c r="P78" s="40"/>
      <c r="Q78" s="40"/>
      <c r="R78" s="40"/>
      <c r="S78" s="40"/>
      <c r="T78" s="40"/>
      <c r="U78" s="40"/>
      <c r="V78" s="40"/>
      <c r="W78" s="40"/>
      <c r="X78" s="40"/>
      <c r="Y78" s="9"/>
      <c r="Z78" s="146"/>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row>
    <row r="79" spans="1:52" ht="16.2" thickBot="1" x14ac:dyDescent="0.35">
      <c r="A79" s="603" t="s">
        <v>950</v>
      </c>
      <c r="B79" s="603"/>
      <c r="C79" s="603"/>
      <c r="D79" s="604" t="s">
        <v>861</v>
      </c>
      <c r="E79" s="605"/>
      <c r="F79" s="605"/>
      <c r="G79" s="605"/>
      <c r="H79" s="605"/>
      <c r="I79" s="605"/>
      <c r="J79" s="605"/>
      <c r="K79" s="605"/>
      <c r="L79" s="605"/>
      <c r="M79" s="605"/>
      <c r="N79" s="605"/>
      <c r="O79" s="606"/>
      <c r="P79" s="40"/>
      <c r="Q79" s="40"/>
      <c r="R79" s="40"/>
      <c r="S79" s="40"/>
      <c r="T79" s="40"/>
      <c r="U79" s="40"/>
      <c r="V79" s="40"/>
      <c r="W79" s="40"/>
      <c r="X79" s="40"/>
      <c r="Y79" s="9"/>
      <c r="Z79" s="146"/>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row>
    <row r="80" spans="1:52" ht="15" thickBot="1" x14ac:dyDescent="0.35">
      <c r="A80" s="28" t="s">
        <v>863</v>
      </c>
      <c r="B80" s="28" t="s">
        <v>415</v>
      </c>
      <c r="C80" s="28" t="s">
        <v>387</v>
      </c>
      <c r="D80" s="28" t="s">
        <v>951</v>
      </c>
      <c r="E80" s="28" t="s">
        <v>952</v>
      </c>
      <c r="F80" s="28" t="s">
        <v>953</v>
      </c>
      <c r="G80" s="28" t="s">
        <v>954</v>
      </c>
      <c r="H80" s="28" t="s">
        <v>955</v>
      </c>
      <c r="I80" s="28" t="s">
        <v>956</v>
      </c>
      <c r="J80" s="28" t="s">
        <v>957</v>
      </c>
      <c r="K80" s="28" t="s">
        <v>958</v>
      </c>
      <c r="L80" s="28" t="s">
        <v>959</v>
      </c>
      <c r="M80" s="28" t="s">
        <v>960</v>
      </c>
      <c r="N80" s="28" t="s">
        <v>961</v>
      </c>
      <c r="O80" s="28" t="s">
        <v>962</v>
      </c>
      <c r="P80" s="28" t="s">
        <v>963</v>
      </c>
      <c r="Q80" s="28" t="s">
        <v>964</v>
      </c>
      <c r="R80" s="28" t="s">
        <v>965</v>
      </c>
      <c r="S80" s="28" t="s">
        <v>966</v>
      </c>
      <c r="T80" s="28" t="s">
        <v>967</v>
      </c>
      <c r="U80" s="28" t="s">
        <v>881</v>
      </c>
      <c r="V80" s="28" t="s">
        <v>882</v>
      </c>
      <c r="W80" s="28" t="s">
        <v>883</v>
      </c>
      <c r="X80" s="40"/>
      <c r="Y80" s="9"/>
      <c r="Z80" s="146"/>
      <c r="AA80" s="9"/>
      <c r="AB80" s="9"/>
      <c r="AC80" s="9"/>
      <c r="AD80" s="9"/>
      <c r="AE80" s="9"/>
      <c r="AF80" s="9"/>
      <c r="AG80" s="9"/>
      <c r="AH80" s="9"/>
      <c r="AI80" s="9"/>
      <c r="AJ80" s="9"/>
      <c r="AK80" s="9"/>
      <c r="AL80" s="9"/>
      <c r="AM80" s="9"/>
      <c r="AN80" s="9"/>
      <c r="AO80" s="9"/>
      <c r="AP80" s="9"/>
      <c r="AQ80" s="9"/>
      <c r="AR80" s="9"/>
      <c r="AS80" s="9"/>
      <c r="AT80" s="9"/>
      <c r="AU80" s="9"/>
      <c r="AV80" s="9"/>
      <c r="AW80" s="9"/>
      <c r="AX80" s="9"/>
      <c r="AY80" s="9"/>
    </row>
    <row r="81" spans="1:51" x14ac:dyDescent="0.3">
      <c r="A81" s="4">
        <v>1</v>
      </c>
      <c r="B81" s="4" t="s">
        <v>968</v>
      </c>
      <c r="C81" s="4" t="s">
        <v>926</v>
      </c>
      <c r="D81" s="28">
        <v>23.4</v>
      </c>
      <c r="E81" s="28">
        <v>19</v>
      </c>
      <c r="F81" s="28">
        <v>23.5</v>
      </c>
      <c r="G81" s="28">
        <v>13.2</v>
      </c>
      <c r="H81" s="28" t="s">
        <v>888</v>
      </c>
      <c r="I81" s="28">
        <v>21.1</v>
      </c>
      <c r="J81" s="28">
        <v>14.9</v>
      </c>
      <c r="K81" s="28">
        <v>22.7</v>
      </c>
      <c r="L81" s="28">
        <v>17.8</v>
      </c>
      <c r="M81" s="28">
        <v>16.5</v>
      </c>
      <c r="N81" s="28">
        <v>21.7</v>
      </c>
      <c r="O81" s="28">
        <v>17.8</v>
      </c>
      <c r="P81" s="28">
        <v>15.9</v>
      </c>
      <c r="Q81" s="28">
        <v>16.899999999999999</v>
      </c>
      <c r="R81" s="28">
        <v>19</v>
      </c>
      <c r="S81" s="28">
        <v>14.9</v>
      </c>
      <c r="T81" s="28">
        <v>23.5</v>
      </c>
      <c r="U81" s="65">
        <f>AVERAGE(Table2022[[#This Row],[1.00]:[8.00]])</f>
        <v>19.685714285714287</v>
      </c>
      <c r="V81" s="66">
        <f>AVERAGE(Table2022[[#This Row],[9.00]:[17.00]])</f>
        <v>18.222222222222221</v>
      </c>
      <c r="W81" s="67">
        <f>AVERAGE(Table2022[[#This Row],[1.00]:[17.00]])</f>
        <v>18.862500000000001</v>
      </c>
      <c r="X81" s="40"/>
      <c r="Y81" s="9"/>
      <c r="Z81" s="146"/>
      <c r="AA81" s="9"/>
      <c r="AB81" s="9"/>
      <c r="AC81" s="9"/>
      <c r="AD81" s="9"/>
      <c r="AE81" s="9"/>
      <c r="AF81" s="9"/>
      <c r="AG81" s="9"/>
      <c r="AH81" s="9"/>
      <c r="AI81" s="9"/>
      <c r="AJ81" s="9"/>
      <c r="AK81" s="9"/>
      <c r="AL81" s="9"/>
      <c r="AM81" s="9"/>
      <c r="AN81" s="9"/>
      <c r="AO81" s="9"/>
      <c r="AP81" s="9"/>
      <c r="AQ81" s="9"/>
      <c r="AR81" s="9"/>
      <c r="AS81" s="9"/>
      <c r="AT81" s="9"/>
      <c r="AU81" s="9"/>
      <c r="AV81" s="9"/>
      <c r="AW81" s="9"/>
      <c r="AX81" s="9"/>
      <c r="AY81" s="9"/>
    </row>
    <row r="82" spans="1:51" s="6" customFormat="1" x14ac:dyDescent="0.3">
      <c r="A82" s="4">
        <v>2</v>
      </c>
      <c r="B82" s="4" t="s">
        <v>969</v>
      </c>
      <c r="C82" s="4" t="s">
        <v>926</v>
      </c>
      <c r="D82" s="28">
        <v>23.4</v>
      </c>
      <c r="E82" s="28">
        <v>19</v>
      </c>
      <c r="F82" s="28">
        <v>23.5</v>
      </c>
      <c r="G82" s="28">
        <v>13.2</v>
      </c>
      <c r="H82" s="28" t="s">
        <v>888</v>
      </c>
      <c r="I82" s="28">
        <v>21.1</v>
      </c>
      <c r="J82" s="28">
        <v>14.9</v>
      </c>
      <c r="K82" s="28">
        <v>22.7</v>
      </c>
      <c r="L82" s="28">
        <v>17.8</v>
      </c>
      <c r="M82" s="28">
        <v>16.5</v>
      </c>
      <c r="N82" s="28">
        <v>21.7</v>
      </c>
      <c r="O82" s="28">
        <v>17.8</v>
      </c>
      <c r="P82" s="28">
        <v>15.9</v>
      </c>
      <c r="Q82" s="28">
        <v>16.899999999999999</v>
      </c>
      <c r="R82" s="28">
        <v>19</v>
      </c>
      <c r="S82" s="28">
        <v>14.9</v>
      </c>
      <c r="T82" s="28">
        <v>23.5</v>
      </c>
      <c r="U82" s="68">
        <f>AVERAGE(Table2022[[#This Row],[1.00]:[8.00]])</f>
        <v>19.685714285714287</v>
      </c>
      <c r="V82" s="69">
        <f>AVERAGE(Table2022[[#This Row],[9.00]:[17.00]])</f>
        <v>18.222222222222221</v>
      </c>
      <c r="W82" s="70">
        <f>AVERAGE(Table2022[[#This Row],[1.00]:[17.00]])</f>
        <v>18.862500000000001</v>
      </c>
      <c r="X82" s="40"/>
      <c r="Y82" s="40"/>
      <c r="Z82" s="146"/>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row>
    <row r="83" spans="1:51" x14ac:dyDescent="0.3">
      <c r="A83" s="4">
        <v>3</v>
      </c>
      <c r="B83" s="4" t="s">
        <v>970</v>
      </c>
      <c r="C83" s="4" t="s">
        <v>945</v>
      </c>
      <c r="D83" s="28">
        <v>21.1</v>
      </c>
      <c r="E83" s="28">
        <v>14.9</v>
      </c>
      <c r="F83" s="28">
        <v>19</v>
      </c>
      <c r="G83" s="28">
        <v>16.2</v>
      </c>
      <c r="H83" s="28">
        <v>15.9</v>
      </c>
      <c r="I83" s="28" t="s">
        <v>888</v>
      </c>
      <c r="J83" s="28">
        <v>23.5</v>
      </c>
      <c r="K83" s="28">
        <v>18.100000000000001</v>
      </c>
      <c r="L83" s="28">
        <v>21.1</v>
      </c>
      <c r="M83" s="28">
        <v>19.2</v>
      </c>
      <c r="N83" s="28">
        <v>14.5</v>
      </c>
      <c r="O83" s="28">
        <v>11.8</v>
      </c>
      <c r="P83" s="28">
        <v>21.9</v>
      </c>
      <c r="Q83" s="28">
        <v>22.7</v>
      </c>
      <c r="R83" s="28">
        <v>21.4</v>
      </c>
      <c r="S83" s="28">
        <v>22.7</v>
      </c>
      <c r="T83" s="28">
        <v>15.9</v>
      </c>
      <c r="U83" s="68">
        <f>AVERAGE(Table2022[[#This Row],[1.00]:[8.00]])</f>
        <v>18.38571428571429</v>
      </c>
      <c r="V83" s="69">
        <f>AVERAGE(Table2022[[#This Row],[9.00]:[17.00]])</f>
        <v>19.022222222222222</v>
      </c>
      <c r="W83" s="70">
        <f>AVERAGE(Table2022[[#This Row],[1.00]:[17.00]])</f>
        <v>18.743749999999999</v>
      </c>
      <c r="X83" s="40"/>
      <c r="Y83" s="9"/>
      <c r="Z83" s="146"/>
      <c r="AA83" s="9"/>
      <c r="AB83" s="9"/>
      <c r="AC83" s="9"/>
      <c r="AD83" s="9"/>
      <c r="AE83" s="9"/>
      <c r="AF83" s="9"/>
      <c r="AG83" s="9"/>
      <c r="AH83" s="9"/>
      <c r="AI83" s="9"/>
      <c r="AJ83" s="9"/>
      <c r="AK83" s="9"/>
      <c r="AL83" s="9"/>
      <c r="AM83" s="9"/>
      <c r="AN83" s="9"/>
      <c r="AO83" s="9"/>
      <c r="AP83" s="9"/>
      <c r="AQ83" s="9"/>
      <c r="AR83" s="9"/>
      <c r="AS83" s="9"/>
      <c r="AT83" s="9"/>
      <c r="AU83" s="9"/>
      <c r="AV83" s="9"/>
      <c r="AW83" s="9"/>
      <c r="AX83" s="9"/>
      <c r="AY83" s="9"/>
    </row>
    <row r="84" spans="1:51" x14ac:dyDescent="0.3">
      <c r="A84" s="4">
        <v>4</v>
      </c>
      <c r="B84" s="4" t="s">
        <v>971</v>
      </c>
      <c r="C84" s="4" t="s">
        <v>945</v>
      </c>
      <c r="D84" s="28">
        <v>21.1</v>
      </c>
      <c r="E84" s="28">
        <v>14.9</v>
      </c>
      <c r="F84" s="28">
        <v>19</v>
      </c>
      <c r="G84" s="28">
        <v>16.2</v>
      </c>
      <c r="H84" s="28">
        <v>15.9</v>
      </c>
      <c r="I84" s="28" t="s">
        <v>888</v>
      </c>
      <c r="J84" s="28">
        <v>23.5</v>
      </c>
      <c r="K84" s="28">
        <v>18.100000000000001</v>
      </c>
      <c r="L84" s="28">
        <v>21.1</v>
      </c>
      <c r="M84" s="28">
        <v>19.2</v>
      </c>
      <c r="N84" s="28">
        <v>14.5</v>
      </c>
      <c r="O84" s="28">
        <v>11.8</v>
      </c>
      <c r="P84" s="28">
        <v>21.9</v>
      </c>
      <c r="Q84" s="28">
        <v>22.7</v>
      </c>
      <c r="R84" s="28">
        <v>21.4</v>
      </c>
      <c r="S84" s="28">
        <v>22.7</v>
      </c>
      <c r="T84" s="28">
        <v>15.9</v>
      </c>
      <c r="U84" s="68">
        <f>AVERAGE(Table2022[[#This Row],[1.00]:[8.00]])</f>
        <v>18.38571428571429</v>
      </c>
      <c r="V84" s="69">
        <f>AVERAGE(Table2022[[#This Row],[9.00]:[17.00]])</f>
        <v>19.022222222222222</v>
      </c>
      <c r="W84" s="70">
        <f>AVERAGE(Table2022[[#This Row],[1.00]:[17.00]])</f>
        <v>18.743749999999999</v>
      </c>
      <c r="X84" s="40"/>
      <c r="Y84" s="9"/>
      <c r="Z84" s="146"/>
      <c r="AA84" s="9"/>
      <c r="AB84" s="9"/>
      <c r="AC84" s="9"/>
      <c r="AD84" s="9"/>
      <c r="AE84" s="9"/>
      <c r="AF84" s="9"/>
      <c r="AG84" s="9"/>
      <c r="AH84" s="9"/>
      <c r="AI84" s="9"/>
      <c r="AJ84" s="9"/>
      <c r="AK84" s="9"/>
      <c r="AL84" s="9"/>
      <c r="AM84" s="9"/>
      <c r="AN84" s="9"/>
      <c r="AO84" s="9"/>
      <c r="AP84" s="9"/>
      <c r="AQ84" s="9"/>
      <c r="AR84" s="9"/>
      <c r="AS84" s="9"/>
      <c r="AT84" s="9"/>
      <c r="AU84" s="9"/>
      <c r="AV84" s="9"/>
      <c r="AW84" s="9"/>
      <c r="AX84" s="9"/>
      <c r="AY84" s="9"/>
    </row>
    <row r="85" spans="1:51" x14ac:dyDescent="0.3">
      <c r="A85" s="4">
        <v>5</v>
      </c>
      <c r="B85" s="4" t="s">
        <v>972</v>
      </c>
      <c r="C85" s="4" t="s">
        <v>892</v>
      </c>
      <c r="D85" s="28">
        <v>21.4</v>
      </c>
      <c r="E85" s="28">
        <v>22.7</v>
      </c>
      <c r="F85" s="28">
        <v>18.100000000000001</v>
      </c>
      <c r="G85" s="28">
        <v>15.6</v>
      </c>
      <c r="H85" s="28">
        <v>16.899999999999999</v>
      </c>
      <c r="I85" s="28">
        <v>15.7</v>
      </c>
      <c r="J85" s="28">
        <v>19</v>
      </c>
      <c r="K85" s="28" t="s">
        <v>888</v>
      </c>
      <c r="L85" s="28">
        <v>21.7</v>
      </c>
      <c r="M85" s="28">
        <v>16.7</v>
      </c>
      <c r="N85" s="28">
        <v>19.2</v>
      </c>
      <c r="O85" s="28">
        <v>17.7</v>
      </c>
      <c r="P85" s="28">
        <v>13.6</v>
      </c>
      <c r="Q85" s="28">
        <v>21.4</v>
      </c>
      <c r="R85" s="28">
        <v>18.899999999999999</v>
      </c>
      <c r="S85" s="28">
        <v>21.7</v>
      </c>
      <c r="T85" s="28">
        <v>18.100000000000001</v>
      </c>
      <c r="U85" s="68">
        <f>AVERAGE(Table2022[[#This Row],[1.00]:[8.00]])</f>
        <v>18.485714285714284</v>
      </c>
      <c r="V85" s="69">
        <f>AVERAGE(Table2022[[#This Row],[9.00]:[17.00]])</f>
        <v>18.777777777777775</v>
      </c>
      <c r="W85" s="70">
        <f>AVERAGE(Table2022[[#This Row],[1.00]:[17.00]])</f>
        <v>18.649999999999995</v>
      </c>
      <c r="X85" s="40"/>
      <c r="Y85" s="9"/>
      <c r="Z85" s="146"/>
      <c r="AA85" s="9"/>
      <c r="AB85" s="9"/>
      <c r="AC85" s="9"/>
      <c r="AD85" s="9"/>
      <c r="AE85" s="9"/>
      <c r="AF85" s="9"/>
      <c r="AG85" s="9"/>
      <c r="AH85" s="9"/>
      <c r="AI85" s="9"/>
      <c r="AJ85" s="9"/>
      <c r="AK85" s="9"/>
      <c r="AL85" s="9"/>
      <c r="AM85" s="9"/>
      <c r="AN85" s="9"/>
      <c r="AO85" s="9"/>
      <c r="AP85" s="9"/>
      <c r="AQ85" s="9"/>
      <c r="AR85" s="9"/>
      <c r="AS85" s="9"/>
      <c r="AT85" s="9"/>
      <c r="AU85" s="9"/>
      <c r="AV85" s="9"/>
      <c r="AW85" s="9"/>
      <c r="AX85" s="9"/>
      <c r="AY85" s="9"/>
    </row>
    <row r="86" spans="1:51" x14ac:dyDescent="0.3">
      <c r="A86" s="4">
        <v>6</v>
      </c>
      <c r="B86" s="4" t="s">
        <v>973</v>
      </c>
      <c r="C86" s="4" t="s">
        <v>890</v>
      </c>
      <c r="D86" s="28">
        <v>18.600000000000001</v>
      </c>
      <c r="E86" s="28">
        <v>15.5</v>
      </c>
      <c r="F86" s="28">
        <v>16.899999999999999</v>
      </c>
      <c r="G86" s="28">
        <v>19.2</v>
      </c>
      <c r="H86" s="28">
        <v>21.7</v>
      </c>
      <c r="I86" s="28">
        <v>19</v>
      </c>
      <c r="J86" s="28">
        <v>18.100000000000001</v>
      </c>
      <c r="K86" s="28">
        <v>15.8</v>
      </c>
      <c r="L86" s="28">
        <v>15.6</v>
      </c>
      <c r="M86" s="28" t="s">
        <v>888</v>
      </c>
      <c r="N86" s="28">
        <v>20.9</v>
      </c>
      <c r="O86" s="28">
        <v>15.6</v>
      </c>
      <c r="P86" s="28">
        <v>22.7</v>
      </c>
      <c r="Q86" s="28">
        <v>19.2</v>
      </c>
      <c r="R86" s="28">
        <v>21.1</v>
      </c>
      <c r="S86" s="28">
        <v>21.4</v>
      </c>
      <c r="T86" s="28">
        <v>16.899999999999999</v>
      </c>
      <c r="U86" s="68">
        <f>AVERAGE(Table2022[[#This Row],[1.00]:[8.00]])</f>
        <v>18.100000000000001</v>
      </c>
      <c r="V86" s="69">
        <f>AVERAGE(Table2022[[#This Row],[9.00]:[17.00]])</f>
        <v>19.175000000000001</v>
      </c>
      <c r="W86" s="70">
        <f>AVERAGE(Table2022[[#This Row],[1.00]:[17.00]])</f>
        <v>18.637499999999996</v>
      </c>
      <c r="X86" s="40"/>
      <c r="Y86" s="9"/>
      <c r="Z86" s="146"/>
      <c r="AA86" s="9"/>
      <c r="AB86" s="9"/>
      <c r="AC86" s="9"/>
      <c r="AD86" s="9"/>
      <c r="AE86" s="9"/>
      <c r="AF86" s="9"/>
      <c r="AG86" s="9"/>
      <c r="AH86" s="9"/>
      <c r="AI86" s="9"/>
      <c r="AJ86" s="9"/>
      <c r="AK86" s="9"/>
      <c r="AL86" s="9"/>
      <c r="AM86" s="9"/>
      <c r="AN86" s="9"/>
      <c r="AO86" s="9"/>
      <c r="AP86" s="9"/>
      <c r="AQ86" s="9"/>
      <c r="AR86" s="9"/>
      <c r="AS86" s="9"/>
      <c r="AT86" s="9"/>
      <c r="AU86" s="9"/>
      <c r="AV86" s="9"/>
      <c r="AW86" s="9"/>
      <c r="AX86" s="9"/>
      <c r="AY86" s="9"/>
    </row>
    <row r="87" spans="1:51" x14ac:dyDescent="0.3">
      <c r="A87" s="4">
        <v>7</v>
      </c>
      <c r="B87" s="4" t="s">
        <v>974</v>
      </c>
      <c r="C87" s="4" t="s">
        <v>890</v>
      </c>
      <c r="D87" s="28">
        <v>18.600000000000001</v>
      </c>
      <c r="E87" s="28">
        <v>15.5</v>
      </c>
      <c r="F87" s="28">
        <v>16.899999999999999</v>
      </c>
      <c r="G87" s="28">
        <v>19.2</v>
      </c>
      <c r="H87" s="28">
        <v>21.7</v>
      </c>
      <c r="I87" s="28">
        <v>19</v>
      </c>
      <c r="J87" s="28">
        <v>18.100000000000001</v>
      </c>
      <c r="K87" s="28">
        <v>15.8</v>
      </c>
      <c r="L87" s="28">
        <v>15.6</v>
      </c>
      <c r="M87" s="28" t="s">
        <v>888</v>
      </c>
      <c r="N87" s="28">
        <v>20.9</v>
      </c>
      <c r="O87" s="28">
        <v>15.6</v>
      </c>
      <c r="P87" s="28">
        <v>22.7</v>
      </c>
      <c r="Q87" s="28">
        <v>19.2</v>
      </c>
      <c r="R87" s="28">
        <v>21.1</v>
      </c>
      <c r="S87" s="28">
        <v>21.4</v>
      </c>
      <c r="T87" s="28">
        <v>16.899999999999999</v>
      </c>
      <c r="U87" s="68">
        <f>AVERAGE(Table2022[[#This Row],[1.00]:[8.00]])</f>
        <v>18.100000000000001</v>
      </c>
      <c r="V87" s="69">
        <f>AVERAGE(Table2022[[#This Row],[9.00]:[17.00]])</f>
        <v>19.175000000000001</v>
      </c>
      <c r="W87" s="70">
        <f>AVERAGE(Table2022[[#This Row],[1.00]:[17.00]])</f>
        <v>18.637499999999996</v>
      </c>
      <c r="X87" s="40"/>
      <c r="Y87" s="9"/>
      <c r="Z87" s="146"/>
      <c r="AA87" s="9"/>
      <c r="AB87" s="9"/>
      <c r="AC87" s="9"/>
      <c r="AD87" s="9"/>
      <c r="AE87" s="9"/>
      <c r="AF87" s="9"/>
      <c r="AG87" s="9"/>
      <c r="AH87" s="9"/>
      <c r="AI87" s="9"/>
      <c r="AJ87" s="9"/>
      <c r="AK87" s="9"/>
      <c r="AL87" s="9"/>
      <c r="AM87" s="9"/>
      <c r="AN87" s="9"/>
      <c r="AO87" s="9"/>
      <c r="AP87" s="9"/>
      <c r="AQ87" s="9"/>
      <c r="AR87" s="9"/>
      <c r="AS87" s="9"/>
      <c r="AT87" s="9"/>
      <c r="AU87" s="9"/>
      <c r="AV87" s="9"/>
      <c r="AW87" s="9"/>
      <c r="AX87" s="9"/>
      <c r="AY87" s="9"/>
    </row>
    <row r="88" spans="1:51" x14ac:dyDescent="0.3">
      <c r="A88" s="4">
        <v>8</v>
      </c>
      <c r="B88" s="4" t="s">
        <v>975</v>
      </c>
      <c r="C88" s="4" t="s">
        <v>887</v>
      </c>
      <c r="D88" s="28">
        <v>21.1</v>
      </c>
      <c r="E88" s="28">
        <v>18.100000000000001</v>
      </c>
      <c r="F88" s="28">
        <v>19.2</v>
      </c>
      <c r="G88" s="28">
        <v>23.5</v>
      </c>
      <c r="H88" s="28">
        <v>16.7</v>
      </c>
      <c r="I88" s="28">
        <v>16.899999999999999</v>
      </c>
      <c r="J88" s="28" t="s">
        <v>888</v>
      </c>
      <c r="K88" s="28">
        <v>21.7</v>
      </c>
      <c r="L88" s="28">
        <v>17.7</v>
      </c>
      <c r="M88" s="28">
        <v>13.6</v>
      </c>
      <c r="N88" s="28">
        <v>15.7</v>
      </c>
      <c r="O88" s="28">
        <v>18.100000000000001</v>
      </c>
      <c r="P88" s="28">
        <v>15.6</v>
      </c>
      <c r="Q88" s="28">
        <v>21.1</v>
      </c>
      <c r="R88" s="28">
        <v>17.8</v>
      </c>
      <c r="S88" s="28">
        <v>18.899999999999999</v>
      </c>
      <c r="T88" s="28">
        <v>21.7</v>
      </c>
      <c r="U88" s="68">
        <f>AVERAGE(Table2022[[#This Row],[1.00]:[8.00]])</f>
        <v>19.599999999999998</v>
      </c>
      <c r="V88" s="69">
        <f>AVERAGE(Table2022[[#This Row],[9.00]:[17.00]])</f>
        <v>17.799999999999997</v>
      </c>
      <c r="W88" s="70">
        <f>AVERAGE(Table2022[[#This Row],[1.00]:[17.00]])</f>
        <v>18.587499999999995</v>
      </c>
      <c r="X88" s="40"/>
      <c r="Y88" s="9"/>
      <c r="Z88" s="146"/>
      <c r="AA88" s="9"/>
      <c r="AB88" s="9"/>
      <c r="AC88" s="9"/>
      <c r="AD88" s="9"/>
      <c r="AE88" s="9"/>
      <c r="AF88" s="9"/>
      <c r="AG88" s="9"/>
      <c r="AH88" s="9"/>
      <c r="AI88" s="9"/>
      <c r="AJ88" s="9"/>
      <c r="AK88" s="9"/>
      <c r="AL88" s="9"/>
      <c r="AM88" s="9"/>
      <c r="AN88" s="9"/>
      <c r="AO88" s="9"/>
      <c r="AP88" s="9"/>
      <c r="AQ88" s="9"/>
      <c r="AR88" s="9"/>
      <c r="AS88" s="9"/>
      <c r="AT88" s="9"/>
      <c r="AU88" s="9"/>
      <c r="AV88" s="9"/>
      <c r="AW88" s="9"/>
      <c r="AX88" s="9"/>
      <c r="AY88" s="9"/>
    </row>
    <row r="89" spans="1:51" x14ac:dyDescent="0.3">
      <c r="A89" s="4">
        <v>9</v>
      </c>
      <c r="B89" s="4" t="s">
        <v>976</v>
      </c>
      <c r="C89" s="4" t="s">
        <v>896</v>
      </c>
      <c r="D89" s="28">
        <v>15.8</v>
      </c>
      <c r="E89" s="28">
        <v>21.7</v>
      </c>
      <c r="F89" s="28">
        <v>21.4</v>
      </c>
      <c r="G89" s="28">
        <v>18.899999999999999</v>
      </c>
      <c r="H89" s="28">
        <v>18.600000000000001</v>
      </c>
      <c r="I89" s="28">
        <v>20.9</v>
      </c>
      <c r="J89" s="28">
        <v>16.899999999999999</v>
      </c>
      <c r="K89" s="28">
        <v>15.6</v>
      </c>
      <c r="L89" s="28" t="s">
        <v>888</v>
      </c>
      <c r="M89" s="28">
        <v>17.8</v>
      </c>
      <c r="N89" s="28">
        <v>21.1</v>
      </c>
      <c r="O89" s="28">
        <v>15.5</v>
      </c>
      <c r="P89" s="28">
        <v>23.5</v>
      </c>
      <c r="Q89" s="28">
        <v>18.899999999999999</v>
      </c>
      <c r="R89" s="28">
        <v>16.899999999999999</v>
      </c>
      <c r="S89" s="28">
        <v>18.100000000000001</v>
      </c>
      <c r="T89" s="28">
        <v>15.6</v>
      </c>
      <c r="U89" s="68">
        <f>AVERAGE(Table2022[[#This Row],[1.00]:[8.00]])</f>
        <v>18.725000000000001</v>
      </c>
      <c r="V89" s="69">
        <f>AVERAGE(Table2022[[#This Row],[9.00]:[17.00]])</f>
        <v>18.425000000000001</v>
      </c>
      <c r="W89" s="70">
        <f>AVERAGE(Table2022[[#This Row],[1.00]:[17.00]])</f>
        <v>18.575000000000003</v>
      </c>
      <c r="X89" s="40"/>
      <c r="Y89" s="9"/>
      <c r="Z89" s="146"/>
      <c r="AA89" s="9"/>
      <c r="AB89" s="9"/>
      <c r="AC89" s="9"/>
      <c r="AD89" s="9"/>
      <c r="AE89" s="9"/>
      <c r="AF89" s="9"/>
      <c r="AG89" s="9"/>
      <c r="AH89" s="9"/>
      <c r="AI89" s="9"/>
      <c r="AJ89" s="9"/>
      <c r="AK89" s="9"/>
      <c r="AL89" s="9"/>
      <c r="AM89" s="9"/>
      <c r="AN89" s="9"/>
      <c r="AO89" s="9"/>
      <c r="AP89" s="9"/>
      <c r="AQ89" s="9"/>
      <c r="AR89" s="9"/>
      <c r="AS89" s="9"/>
      <c r="AT89" s="9"/>
      <c r="AU89" s="9"/>
      <c r="AV89" s="9"/>
      <c r="AW89" s="9"/>
      <c r="AX89" s="9"/>
      <c r="AY89" s="9"/>
    </row>
    <row r="90" spans="1:51" x14ac:dyDescent="0.3">
      <c r="A90" s="4">
        <v>10</v>
      </c>
      <c r="B90" s="4" t="s">
        <v>977</v>
      </c>
      <c r="C90" s="4" t="s">
        <v>896</v>
      </c>
      <c r="D90" s="28">
        <v>15.8</v>
      </c>
      <c r="E90" s="28">
        <v>21.7</v>
      </c>
      <c r="F90" s="28">
        <v>21.4</v>
      </c>
      <c r="G90" s="28">
        <v>18.899999999999999</v>
      </c>
      <c r="H90" s="28">
        <v>18.600000000000001</v>
      </c>
      <c r="I90" s="28">
        <v>20.9</v>
      </c>
      <c r="J90" s="28">
        <v>16.899999999999999</v>
      </c>
      <c r="K90" s="28">
        <v>15.6</v>
      </c>
      <c r="L90" s="28" t="s">
        <v>888</v>
      </c>
      <c r="M90" s="28">
        <v>17.8</v>
      </c>
      <c r="N90" s="28">
        <v>21.1</v>
      </c>
      <c r="O90" s="28">
        <v>15.5</v>
      </c>
      <c r="P90" s="28">
        <v>23.5</v>
      </c>
      <c r="Q90" s="28">
        <v>18.899999999999999</v>
      </c>
      <c r="R90" s="28">
        <v>16.899999999999999</v>
      </c>
      <c r="S90" s="28">
        <v>18.100000000000001</v>
      </c>
      <c r="T90" s="28">
        <v>15.6</v>
      </c>
      <c r="U90" s="68">
        <f>AVERAGE(Table2022[[#This Row],[1.00]:[8.00]])</f>
        <v>18.725000000000001</v>
      </c>
      <c r="V90" s="69">
        <f>AVERAGE(Table2022[[#This Row],[9.00]:[17.00]])</f>
        <v>18.425000000000001</v>
      </c>
      <c r="W90" s="70">
        <f>AVERAGE(Table2022[[#This Row],[1.00]:[17.00]])</f>
        <v>18.575000000000003</v>
      </c>
      <c r="X90" s="40"/>
      <c r="Y90" s="9"/>
      <c r="Z90" s="146"/>
      <c r="AA90" s="9"/>
      <c r="AB90" s="9"/>
      <c r="AC90" s="9"/>
      <c r="AD90" s="9"/>
      <c r="AE90" s="9"/>
      <c r="AF90" s="9"/>
      <c r="AG90" s="9"/>
      <c r="AH90" s="9"/>
      <c r="AI90" s="9"/>
      <c r="AJ90" s="9"/>
      <c r="AK90" s="9"/>
      <c r="AL90" s="9"/>
      <c r="AM90" s="9"/>
      <c r="AN90" s="9"/>
      <c r="AO90" s="9"/>
      <c r="AP90" s="9"/>
      <c r="AQ90" s="9"/>
      <c r="AR90" s="9"/>
      <c r="AS90" s="9"/>
      <c r="AT90" s="9"/>
      <c r="AU90" s="9"/>
      <c r="AV90" s="9"/>
      <c r="AW90" s="9"/>
      <c r="AX90" s="9"/>
      <c r="AY90" s="9"/>
    </row>
    <row r="91" spans="1:51" x14ac:dyDescent="0.3">
      <c r="A91" s="4">
        <v>11</v>
      </c>
      <c r="B91" s="4" t="s">
        <v>978</v>
      </c>
      <c r="C91" s="4" t="s">
        <v>916</v>
      </c>
      <c r="D91" s="28">
        <v>16.2</v>
      </c>
      <c r="E91" s="28">
        <v>23.5</v>
      </c>
      <c r="F91" s="28">
        <v>15.6</v>
      </c>
      <c r="G91" s="28">
        <v>21.1</v>
      </c>
      <c r="H91" s="28">
        <v>17.8</v>
      </c>
      <c r="I91" s="28">
        <v>22.7</v>
      </c>
      <c r="J91" s="28" t="s">
        <v>888</v>
      </c>
      <c r="K91" s="28">
        <v>14.9</v>
      </c>
      <c r="L91" s="28">
        <v>19</v>
      </c>
      <c r="M91" s="28">
        <v>14.5</v>
      </c>
      <c r="N91" s="28">
        <v>22.7</v>
      </c>
      <c r="O91" s="28">
        <v>18.100000000000001</v>
      </c>
      <c r="P91" s="28">
        <v>11.8</v>
      </c>
      <c r="Q91" s="28">
        <v>21.9</v>
      </c>
      <c r="R91" s="28">
        <v>18.100000000000001</v>
      </c>
      <c r="S91" s="28">
        <v>21.1</v>
      </c>
      <c r="T91" s="28">
        <v>17.8</v>
      </c>
      <c r="U91" s="68">
        <f>AVERAGE(Table2022[[#This Row],[1.00]:[8.00]])</f>
        <v>18.828571428571429</v>
      </c>
      <c r="V91" s="69">
        <f>AVERAGE(Table2022[[#This Row],[9.00]:[17.00]])</f>
        <v>18.333333333333332</v>
      </c>
      <c r="W91" s="70">
        <f>AVERAGE(Table2022[[#This Row],[1.00]:[17.00]])</f>
        <v>18.550000000000004</v>
      </c>
      <c r="X91" s="40"/>
      <c r="Y91" s="9"/>
      <c r="Z91" s="146"/>
      <c r="AA91" s="9"/>
      <c r="AB91" s="9"/>
      <c r="AC91" s="9"/>
      <c r="AD91" s="9"/>
      <c r="AE91" s="9"/>
      <c r="AF91" s="9"/>
      <c r="AG91" s="9"/>
      <c r="AH91" s="9"/>
      <c r="AI91" s="9"/>
      <c r="AJ91" s="9"/>
      <c r="AK91" s="9"/>
      <c r="AL91" s="9"/>
      <c r="AM91" s="9"/>
      <c r="AN91" s="9"/>
      <c r="AO91" s="9"/>
      <c r="AP91" s="9"/>
      <c r="AQ91" s="9"/>
      <c r="AR91" s="9"/>
      <c r="AS91" s="9"/>
      <c r="AT91" s="9"/>
      <c r="AU91" s="9"/>
      <c r="AV91" s="9"/>
      <c r="AW91" s="9"/>
      <c r="AX91" s="9"/>
      <c r="AY91" s="9"/>
    </row>
    <row r="92" spans="1:51" x14ac:dyDescent="0.3">
      <c r="A92" s="4">
        <v>12</v>
      </c>
      <c r="B92" s="4" t="s">
        <v>979</v>
      </c>
      <c r="C92" s="4" t="s">
        <v>902</v>
      </c>
      <c r="D92" s="28">
        <v>15.5</v>
      </c>
      <c r="E92" s="28">
        <v>16.899999999999999</v>
      </c>
      <c r="F92" s="28">
        <v>15.9</v>
      </c>
      <c r="G92" s="28">
        <v>21.1</v>
      </c>
      <c r="H92" s="28">
        <v>15.8</v>
      </c>
      <c r="I92" s="28" t="s">
        <v>888</v>
      </c>
      <c r="J92" s="28">
        <v>21.7</v>
      </c>
      <c r="K92" s="28">
        <v>19.2</v>
      </c>
      <c r="L92" s="28">
        <v>18.899999999999999</v>
      </c>
      <c r="M92" s="28">
        <v>18.100000000000001</v>
      </c>
      <c r="N92" s="28">
        <v>14.9</v>
      </c>
      <c r="O92" s="28">
        <v>18.899999999999999</v>
      </c>
      <c r="P92" s="28">
        <v>21.4</v>
      </c>
      <c r="Q92" s="28">
        <v>20.9</v>
      </c>
      <c r="R92" s="28">
        <v>18.600000000000001</v>
      </c>
      <c r="S92" s="28">
        <v>16.899999999999999</v>
      </c>
      <c r="T92" s="28">
        <v>19.2</v>
      </c>
      <c r="U92" s="68">
        <f>AVERAGE(Table2022[[#This Row],[1.00]:[8.00]])</f>
        <v>18.014285714285716</v>
      </c>
      <c r="V92" s="69">
        <f>AVERAGE(Table2022[[#This Row],[9.00]:[17.00]])</f>
        <v>18.644444444444442</v>
      </c>
      <c r="W92" s="70">
        <f>AVERAGE(Table2022[[#This Row],[1.00]:[17.00]])</f>
        <v>18.368749999999999</v>
      </c>
      <c r="X92" s="40"/>
      <c r="Y92" s="9"/>
      <c r="Z92" s="146"/>
      <c r="AA92" s="9"/>
      <c r="AB92" s="9"/>
      <c r="AC92" s="9"/>
      <c r="AD92" s="9"/>
      <c r="AE92" s="9"/>
      <c r="AF92" s="9"/>
      <c r="AG92" s="9"/>
      <c r="AH92" s="9"/>
      <c r="AI92" s="9"/>
      <c r="AJ92" s="9"/>
      <c r="AK92" s="9"/>
      <c r="AL92" s="9"/>
      <c r="AM92" s="9"/>
      <c r="AN92" s="9"/>
      <c r="AO92" s="9"/>
      <c r="AP92" s="9"/>
      <c r="AQ92" s="9"/>
      <c r="AR92" s="9"/>
      <c r="AS92" s="9"/>
      <c r="AT92" s="9"/>
      <c r="AU92" s="9"/>
      <c r="AV92" s="9"/>
      <c r="AW92" s="9"/>
      <c r="AX92" s="9"/>
      <c r="AY92" s="9"/>
    </row>
    <row r="93" spans="1:51" x14ac:dyDescent="0.3">
      <c r="A93" s="4">
        <v>13</v>
      </c>
      <c r="B93" s="4" t="s">
        <v>980</v>
      </c>
      <c r="C93" s="4" t="s">
        <v>904</v>
      </c>
      <c r="D93" s="28">
        <v>13.6</v>
      </c>
      <c r="E93" s="28">
        <v>21.4</v>
      </c>
      <c r="F93" s="28">
        <v>21.1</v>
      </c>
      <c r="G93" s="28">
        <v>17.7</v>
      </c>
      <c r="H93" s="28">
        <v>15.7</v>
      </c>
      <c r="I93" s="28">
        <v>21.7</v>
      </c>
      <c r="J93" s="28">
        <v>18.899999999999999</v>
      </c>
      <c r="K93" s="28">
        <v>16.7</v>
      </c>
      <c r="L93" s="28" t="s">
        <v>888</v>
      </c>
      <c r="M93" s="28">
        <v>15.6</v>
      </c>
      <c r="N93" s="28">
        <v>16.899999999999999</v>
      </c>
      <c r="O93" s="28">
        <v>21.4</v>
      </c>
      <c r="P93" s="28">
        <v>14.9</v>
      </c>
      <c r="Q93" s="28">
        <v>21.7</v>
      </c>
      <c r="R93" s="28">
        <v>15.9</v>
      </c>
      <c r="S93" s="28">
        <v>19.2</v>
      </c>
      <c r="T93" s="28">
        <v>21.1</v>
      </c>
      <c r="U93" s="68">
        <f>AVERAGE(Table2022[[#This Row],[1.00]:[8.00]])</f>
        <v>18.349999999999998</v>
      </c>
      <c r="V93" s="69">
        <f>AVERAGE(Table2022[[#This Row],[9.00]:[17.00]])</f>
        <v>18.337500000000002</v>
      </c>
      <c r="W93" s="70">
        <f>AVERAGE(Table2022[[#This Row],[1.00]:[17.00]])</f>
        <v>18.34375</v>
      </c>
      <c r="X93" s="40"/>
      <c r="Y93" s="9"/>
      <c r="Z93" s="146"/>
      <c r="AA93" s="9"/>
      <c r="AB93" s="9"/>
      <c r="AC93" s="9"/>
      <c r="AD93" s="9"/>
      <c r="AE93" s="9"/>
      <c r="AF93" s="9"/>
      <c r="AG93" s="9"/>
      <c r="AH93" s="9"/>
      <c r="AI93" s="9"/>
      <c r="AJ93" s="9"/>
      <c r="AK93" s="9"/>
      <c r="AL93" s="9"/>
      <c r="AM93" s="9"/>
      <c r="AN93" s="9"/>
      <c r="AO93" s="9"/>
      <c r="AP93" s="9"/>
      <c r="AQ93" s="9"/>
      <c r="AR93" s="9"/>
      <c r="AS93" s="9"/>
      <c r="AT93" s="9"/>
      <c r="AU93" s="9"/>
      <c r="AV93" s="9"/>
      <c r="AW93" s="9"/>
      <c r="AX93" s="9"/>
      <c r="AY93" s="9"/>
    </row>
    <row r="94" spans="1:51" x14ac:dyDescent="0.3">
      <c r="A94" s="4">
        <v>14</v>
      </c>
      <c r="B94" s="4" t="s">
        <v>981</v>
      </c>
      <c r="C94" s="4" t="s">
        <v>900</v>
      </c>
      <c r="D94" s="28">
        <v>20.9</v>
      </c>
      <c r="E94" s="28">
        <v>15.6</v>
      </c>
      <c r="F94" s="28">
        <v>18.899999999999999</v>
      </c>
      <c r="G94" s="28" t="s">
        <v>888</v>
      </c>
      <c r="H94" s="28">
        <v>21.1</v>
      </c>
      <c r="I94" s="28">
        <v>21.4</v>
      </c>
      <c r="J94" s="28">
        <v>19.2</v>
      </c>
      <c r="K94" s="28">
        <v>21.1</v>
      </c>
      <c r="L94" s="28">
        <v>18.600000000000001</v>
      </c>
      <c r="M94" s="28">
        <v>15.5</v>
      </c>
      <c r="N94" s="28">
        <v>18.100000000000001</v>
      </c>
      <c r="O94" s="28">
        <v>21.7</v>
      </c>
      <c r="P94" s="28">
        <v>15.8</v>
      </c>
      <c r="Q94" s="28">
        <v>11.8</v>
      </c>
      <c r="R94" s="28">
        <v>19.2</v>
      </c>
      <c r="S94" s="28">
        <v>15.6</v>
      </c>
      <c r="T94" s="28">
        <v>18.899999999999999</v>
      </c>
      <c r="U94" s="68">
        <f>AVERAGE(Table2022[[#This Row],[1.00]:[8.00]])</f>
        <v>19.742857142857144</v>
      </c>
      <c r="V94" s="69">
        <f>AVERAGE(Table2022[[#This Row],[9.00]:[17.00]])</f>
        <v>17.244444444444447</v>
      </c>
      <c r="W94" s="70">
        <f>AVERAGE(Table2022[[#This Row],[1.00]:[17.00]])</f>
        <v>18.337500000000002</v>
      </c>
      <c r="X94" s="40"/>
      <c r="Y94" s="9"/>
      <c r="Z94" s="146"/>
      <c r="AA94" s="9"/>
      <c r="AB94" s="9"/>
      <c r="AC94" s="9"/>
      <c r="AD94" s="9"/>
      <c r="AE94" s="9"/>
      <c r="AF94" s="9"/>
      <c r="AG94" s="9"/>
      <c r="AH94" s="9"/>
      <c r="AI94" s="9"/>
      <c r="AJ94" s="9"/>
      <c r="AK94" s="9"/>
      <c r="AL94" s="9"/>
      <c r="AM94" s="9"/>
      <c r="AN94" s="9"/>
      <c r="AO94" s="9"/>
      <c r="AP94" s="9"/>
      <c r="AQ94" s="9"/>
      <c r="AR94" s="9"/>
      <c r="AS94" s="9"/>
      <c r="AT94" s="9"/>
      <c r="AU94" s="9"/>
      <c r="AV94" s="9"/>
      <c r="AW94" s="9"/>
      <c r="AX94" s="9"/>
      <c r="AY94" s="9"/>
    </row>
    <row r="95" spans="1:51" x14ac:dyDescent="0.3">
      <c r="A95" s="4">
        <v>15</v>
      </c>
      <c r="B95" s="4" t="s">
        <v>982</v>
      </c>
      <c r="C95" s="4" t="s">
        <v>928</v>
      </c>
      <c r="D95" s="28">
        <v>15.6</v>
      </c>
      <c r="E95" s="28">
        <v>18.899999999999999</v>
      </c>
      <c r="F95" s="28">
        <v>18.100000000000001</v>
      </c>
      <c r="G95" s="28">
        <v>15.8</v>
      </c>
      <c r="H95" s="28">
        <v>23.4</v>
      </c>
      <c r="I95" s="28">
        <v>17.7</v>
      </c>
      <c r="J95" s="28">
        <v>18.600000000000001</v>
      </c>
      <c r="K95" s="28">
        <v>20.9</v>
      </c>
      <c r="L95" s="28">
        <v>21.9</v>
      </c>
      <c r="M95" s="28">
        <v>16.899999999999999</v>
      </c>
      <c r="N95" s="28">
        <v>18.600000000000001</v>
      </c>
      <c r="O95" s="28">
        <v>19.2</v>
      </c>
      <c r="P95" s="28" t="s">
        <v>888</v>
      </c>
      <c r="Q95" s="28">
        <v>16.2</v>
      </c>
      <c r="R95" s="28">
        <v>14.5</v>
      </c>
      <c r="S95" s="28">
        <v>20.9</v>
      </c>
      <c r="T95" s="28">
        <v>15.8</v>
      </c>
      <c r="U95" s="68">
        <f>AVERAGE(Table2022[[#This Row],[1.00]:[8.00]])</f>
        <v>18.625000000000004</v>
      </c>
      <c r="V95" s="69">
        <f>AVERAGE(Table2022[[#This Row],[9.00]:[17.00]])</f>
        <v>18</v>
      </c>
      <c r="W95" s="70">
        <f>AVERAGE(Table2022[[#This Row],[1.00]:[17.00]])</f>
        <v>18.3125</v>
      </c>
      <c r="X95" s="40"/>
      <c r="Y95" s="9"/>
      <c r="Z95" s="146"/>
      <c r="AA95" s="9"/>
      <c r="AB95" s="9"/>
      <c r="AC95" s="9"/>
      <c r="AD95" s="9"/>
      <c r="AE95" s="9"/>
      <c r="AF95" s="9"/>
      <c r="AG95" s="9"/>
      <c r="AH95" s="9"/>
      <c r="AI95" s="9"/>
      <c r="AJ95" s="9"/>
      <c r="AK95" s="9"/>
      <c r="AL95" s="9"/>
      <c r="AM95" s="9"/>
      <c r="AN95" s="9"/>
      <c r="AO95" s="9"/>
      <c r="AP95" s="9"/>
      <c r="AQ95" s="9"/>
      <c r="AR95" s="9"/>
      <c r="AS95" s="9"/>
      <c r="AT95" s="9"/>
      <c r="AU95" s="9"/>
      <c r="AV95" s="9"/>
      <c r="AW95" s="9"/>
      <c r="AX95" s="9"/>
      <c r="AY95" s="9"/>
    </row>
    <row r="96" spans="1:51" x14ac:dyDescent="0.3">
      <c r="A96" s="4">
        <v>16</v>
      </c>
      <c r="B96" s="4" t="s">
        <v>983</v>
      </c>
      <c r="C96" s="4" t="s">
        <v>928</v>
      </c>
      <c r="D96" s="28">
        <v>15.6</v>
      </c>
      <c r="E96" s="28">
        <v>18.899999999999999</v>
      </c>
      <c r="F96" s="28">
        <v>18.100000000000001</v>
      </c>
      <c r="G96" s="28">
        <v>15.8</v>
      </c>
      <c r="H96" s="28">
        <v>23.4</v>
      </c>
      <c r="I96" s="28">
        <v>17.7</v>
      </c>
      <c r="J96" s="28">
        <v>18.600000000000001</v>
      </c>
      <c r="K96" s="28">
        <v>20.9</v>
      </c>
      <c r="L96" s="28">
        <v>21.9</v>
      </c>
      <c r="M96" s="28">
        <v>16.899999999999999</v>
      </c>
      <c r="N96" s="28">
        <v>18.600000000000001</v>
      </c>
      <c r="O96" s="28">
        <v>19.2</v>
      </c>
      <c r="P96" s="28" t="s">
        <v>888</v>
      </c>
      <c r="Q96" s="28">
        <v>16.2</v>
      </c>
      <c r="R96" s="28">
        <v>14.5</v>
      </c>
      <c r="S96" s="28">
        <v>20.9</v>
      </c>
      <c r="T96" s="28">
        <v>15.8</v>
      </c>
      <c r="U96" s="68">
        <f>AVERAGE(Table2022[[#This Row],[1.00]:[8.00]])</f>
        <v>18.625000000000004</v>
      </c>
      <c r="V96" s="69">
        <f>AVERAGE(Table2022[[#This Row],[9.00]:[17.00]])</f>
        <v>18</v>
      </c>
      <c r="W96" s="70">
        <f>AVERAGE(Table2022[[#This Row],[1.00]:[17.00]])</f>
        <v>18.3125</v>
      </c>
      <c r="X96" s="40"/>
      <c r="Y96" s="9"/>
      <c r="Z96" s="146"/>
      <c r="AA96" s="9"/>
      <c r="AB96" s="9"/>
      <c r="AC96" s="9"/>
      <c r="AD96" s="9"/>
      <c r="AE96" s="9"/>
      <c r="AF96" s="9"/>
      <c r="AG96" s="9"/>
      <c r="AH96" s="9"/>
      <c r="AI96" s="9"/>
      <c r="AJ96" s="9"/>
      <c r="AK96" s="9"/>
      <c r="AL96" s="9"/>
      <c r="AM96" s="9"/>
      <c r="AN96" s="9"/>
      <c r="AO96" s="9"/>
      <c r="AP96" s="9"/>
      <c r="AQ96" s="9"/>
      <c r="AR96" s="9"/>
      <c r="AS96" s="9"/>
      <c r="AT96" s="9"/>
      <c r="AU96" s="9"/>
      <c r="AV96" s="9"/>
      <c r="AW96" s="9"/>
      <c r="AX96" s="9"/>
      <c r="AY96" s="9"/>
    </row>
    <row r="97" spans="1:51" x14ac:dyDescent="0.3">
      <c r="A97" s="4">
        <v>17</v>
      </c>
      <c r="B97" s="4" t="s">
        <v>984</v>
      </c>
      <c r="C97" s="4" t="s">
        <v>918</v>
      </c>
      <c r="D97" s="28">
        <v>17.8</v>
      </c>
      <c r="E97" s="28">
        <v>18.100000000000001</v>
      </c>
      <c r="F97" s="28">
        <v>22.7</v>
      </c>
      <c r="G97" s="28">
        <v>15.9</v>
      </c>
      <c r="H97" s="28">
        <v>16.2</v>
      </c>
      <c r="I97" s="28">
        <v>11.8</v>
      </c>
      <c r="J97" s="28">
        <v>21.9</v>
      </c>
      <c r="K97" s="28">
        <v>16.899999999999999</v>
      </c>
      <c r="L97" s="28">
        <v>17.8</v>
      </c>
      <c r="M97" s="28">
        <v>21.7</v>
      </c>
      <c r="N97" s="28" t="s">
        <v>888</v>
      </c>
      <c r="O97" s="28">
        <v>14.9</v>
      </c>
      <c r="P97" s="28">
        <v>14.5</v>
      </c>
      <c r="Q97" s="28">
        <v>19</v>
      </c>
      <c r="R97" s="28">
        <v>23.5</v>
      </c>
      <c r="S97" s="28">
        <v>15.9</v>
      </c>
      <c r="T97" s="28">
        <v>22.7</v>
      </c>
      <c r="U97" s="68">
        <f>AVERAGE(Table2022[[#This Row],[1.00]:[8.00]])</f>
        <v>17.662500000000001</v>
      </c>
      <c r="V97" s="69">
        <f>AVERAGE(Table2022[[#This Row],[9.00]:[17.00]])</f>
        <v>18.75</v>
      </c>
      <c r="W97" s="70">
        <f>AVERAGE(Table2022[[#This Row],[1.00]:[17.00]])</f>
        <v>18.206250000000001</v>
      </c>
      <c r="X97" s="40"/>
      <c r="Y97" s="9"/>
      <c r="Z97" s="146"/>
      <c r="AA97" s="9"/>
      <c r="AB97" s="9"/>
      <c r="AC97" s="9"/>
      <c r="AD97" s="9"/>
      <c r="AE97" s="9"/>
      <c r="AF97" s="9"/>
      <c r="AG97" s="9"/>
      <c r="AH97" s="9"/>
      <c r="AI97" s="9"/>
      <c r="AJ97" s="9"/>
      <c r="AK97" s="9"/>
      <c r="AL97" s="9"/>
      <c r="AM97" s="9"/>
      <c r="AN97" s="9"/>
      <c r="AO97" s="9"/>
      <c r="AP97" s="9"/>
      <c r="AQ97" s="9"/>
      <c r="AR97" s="9"/>
      <c r="AS97" s="9"/>
      <c r="AT97" s="9"/>
      <c r="AU97" s="9"/>
      <c r="AV97" s="9"/>
      <c r="AW97" s="9"/>
      <c r="AX97" s="9"/>
      <c r="AY97" s="9"/>
    </row>
    <row r="98" spans="1:51" x14ac:dyDescent="0.3">
      <c r="A98" s="4">
        <v>18</v>
      </c>
      <c r="B98" s="4" t="s">
        <v>985</v>
      </c>
      <c r="C98" s="4" t="s">
        <v>918</v>
      </c>
      <c r="D98" s="28">
        <v>17.8</v>
      </c>
      <c r="E98" s="28">
        <v>18.100000000000001</v>
      </c>
      <c r="F98" s="28">
        <v>22.7</v>
      </c>
      <c r="G98" s="28">
        <v>15.9</v>
      </c>
      <c r="H98" s="28">
        <v>16.2</v>
      </c>
      <c r="I98" s="28">
        <v>11.8</v>
      </c>
      <c r="J98" s="28">
        <v>21.9</v>
      </c>
      <c r="K98" s="28">
        <v>16.899999999999999</v>
      </c>
      <c r="L98" s="28">
        <v>17.8</v>
      </c>
      <c r="M98" s="28">
        <v>21.7</v>
      </c>
      <c r="N98" s="28" t="s">
        <v>888</v>
      </c>
      <c r="O98" s="28">
        <v>14.9</v>
      </c>
      <c r="P98" s="28">
        <v>14.5</v>
      </c>
      <c r="Q98" s="28">
        <v>19</v>
      </c>
      <c r="R98" s="28">
        <v>23.5</v>
      </c>
      <c r="S98" s="28">
        <v>15.9</v>
      </c>
      <c r="T98" s="28">
        <v>22.7</v>
      </c>
      <c r="U98" s="68">
        <f>AVERAGE(Table2022[[#This Row],[1.00]:[8.00]])</f>
        <v>17.662500000000001</v>
      </c>
      <c r="V98" s="69">
        <f>AVERAGE(Table2022[[#This Row],[9.00]:[17.00]])</f>
        <v>18.75</v>
      </c>
      <c r="W98" s="70">
        <f>AVERAGE(Table2022[[#This Row],[1.00]:[17.00]])</f>
        <v>18.206250000000001</v>
      </c>
      <c r="X98" s="40"/>
      <c r="Y98" s="9"/>
      <c r="Z98" s="146"/>
      <c r="AA98" s="9"/>
      <c r="AB98" s="9"/>
      <c r="AC98" s="9"/>
      <c r="AD98" s="9"/>
      <c r="AE98" s="9"/>
      <c r="AF98" s="9"/>
      <c r="AG98" s="9"/>
      <c r="AH98" s="9"/>
      <c r="AI98" s="9"/>
      <c r="AJ98" s="9"/>
      <c r="AK98" s="9"/>
      <c r="AL98" s="9"/>
      <c r="AM98" s="9"/>
      <c r="AN98" s="9"/>
      <c r="AO98" s="9"/>
      <c r="AP98" s="9"/>
      <c r="AQ98" s="9"/>
      <c r="AR98" s="9"/>
      <c r="AS98" s="9"/>
      <c r="AT98" s="9"/>
      <c r="AU98" s="9"/>
      <c r="AV98" s="9"/>
      <c r="AW98" s="9"/>
      <c r="AX98" s="9"/>
      <c r="AY98" s="9"/>
    </row>
    <row r="99" spans="1:51" x14ac:dyDescent="0.3">
      <c r="A99" s="4">
        <v>19</v>
      </c>
      <c r="B99" s="4" t="s">
        <v>986</v>
      </c>
      <c r="C99" s="4" t="s">
        <v>940</v>
      </c>
      <c r="D99" s="28">
        <v>16.5</v>
      </c>
      <c r="E99" s="28">
        <v>17.8</v>
      </c>
      <c r="F99" s="28">
        <v>17.8</v>
      </c>
      <c r="G99" s="28">
        <v>19</v>
      </c>
      <c r="H99" s="28">
        <v>23.5</v>
      </c>
      <c r="I99" s="28">
        <v>13.2</v>
      </c>
      <c r="J99" s="28">
        <v>11.8</v>
      </c>
      <c r="K99" s="28">
        <v>15.9</v>
      </c>
      <c r="L99" s="28" t="s">
        <v>888</v>
      </c>
      <c r="M99" s="28">
        <v>23.5</v>
      </c>
      <c r="N99" s="28">
        <v>15.6</v>
      </c>
      <c r="O99" s="28">
        <v>21.1</v>
      </c>
      <c r="P99" s="28">
        <v>18.100000000000001</v>
      </c>
      <c r="Q99" s="28">
        <v>23.4</v>
      </c>
      <c r="R99" s="28">
        <v>22.7</v>
      </c>
      <c r="S99" s="28">
        <v>11.8</v>
      </c>
      <c r="T99" s="28">
        <v>19</v>
      </c>
      <c r="U99" s="68">
        <f>AVERAGE(Table2022[[#This Row],[1.00]:[8.00]])</f>
        <v>16.9375</v>
      </c>
      <c r="V99" s="69">
        <f>AVERAGE(Table2022[[#This Row],[9.00]:[17.00]])</f>
        <v>19.400000000000002</v>
      </c>
      <c r="W99" s="70">
        <f>AVERAGE(Table2022[[#This Row],[1.00]:[17.00]])</f>
        <v>18.168749999999999</v>
      </c>
      <c r="X99" s="40"/>
      <c r="Y99" s="9"/>
      <c r="Z99" s="146"/>
      <c r="AA99" s="9"/>
      <c r="AB99" s="9"/>
      <c r="AC99" s="9"/>
      <c r="AD99" s="9"/>
      <c r="AE99" s="9"/>
      <c r="AF99" s="9"/>
      <c r="AG99" s="9"/>
      <c r="AH99" s="9"/>
      <c r="AI99" s="9"/>
      <c r="AJ99" s="9"/>
      <c r="AK99" s="9"/>
      <c r="AL99" s="9"/>
      <c r="AM99" s="9"/>
      <c r="AN99" s="9"/>
      <c r="AO99" s="9"/>
      <c r="AP99" s="9"/>
      <c r="AQ99" s="9"/>
      <c r="AR99" s="9"/>
      <c r="AS99" s="9"/>
      <c r="AT99" s="9"/>
      <c r="AU99" s="9"/>
      <c r="AV99" s="9"/>
      <c r="AW99" s="9"/>
      <c r="AX99" s="9"/>
      <c r="AY99" s="9"/>
    </row>
    <row r="100" spans="1:51" x14ac:dyDescent="0.3">
      <c r="A100" s="4">
        <v>20</v>
      </c>
      <c r="B100" s="4" t="s">
        <v>987</v>
      </c>
      <c r="C100" s="4" t="s">
        <v>914</v>
      </c>
      <c r="D100" s="28">
        <v>15.9</v>
      </c>
      <c r="E100" s="28">
        <v>18.600000000000001</v>
      </c>
      <c r="F100" s="28">
        <v>16.7</v>
      </c>
      <c r="G100" s="28">
        <v>17.8</v>
      </c>
      <c r="H100" s="28">
        <v>21.1</v>
      </c>
      <c r="I100" s="28">
        <v>21.9</v>
      </c>
      <c r="J100" s="28">
        <v>15.8</v>
      </c>
      <c r="K100" s="28">
        <v>21.9</v>
      </c>
      <c r="L100" s="28">
        <v>18.100000000000001</v>
      </c>
      <c r="M100" s="28">
        <v>22.7</v>
      </c>
      <c r="N100" s="28" t="s">
        <v>888</v>
      </c>
      <c r="O100" s="28">
        <v>14.5</v>
      </c>
      <c r="P100" s="28">
        <v>20.9</v>
      </c>
      <c r="Q100" s="28">
        <v>15.5</v>
      </c>
      <c r="R100" s="28">
        <v>16.5</v>
      </c>
      <c r="S100" s="28">
        <v>14.5</v>
      </c>
      <c r="T100" s="28">
        <v>18.100000000000001</v>
      </c>
      <c r="U100" s="68">
        <f>AVERAGE(Table2022[[#This Row],[1.00]:[8.00]])</f>
        <v>18.712499999999999</v>
      </c>
      <c r="V100" s="69">
        <f>AVERAGE(Table2022[[#This Row],[9.00]:[17.00]])</f>
        <v>17.599999999999998</v>
      </c>
      <c r="W100" s="70">
        <f>AVERAGE(Table2022[[#This Row],[1.00]:[17.00]])</f>
        <v>18.15625</v>
      </c>
      <c r="X100" s="40"/>
      <c r="Y100" s="9"/>
      <c r="Z100" s="146"/>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row>
    <row r="101" spans="1:51" x14ac:dyDescent="0.3">
      <c r="A101" s="4">
        <v>21</v>
      </c>
      <c r="B101" s="4" t="s">
        <v>988</v>
      </c>
      <c r="C101" s="4" t="s">
        <v>949</v>
      </c>
      <c r="D101" s="28">
        <v>18.100000000000001</v>
      </c>
      <c r="E101" s="28">
        <v>21.1</v>
      </c>
      <c r="F101" s="28">
        <v>21.1</v>
      </c>
      <c r="G101" s="28">
        <v>21.9</v>
      </c>
      <c r="H101" s="28" t="s">
        <v>888</v>
      </c>
      <c r="I101" s="28">
        <v>15.9</v>
      </c>
      <c r="J101" s="28">
        <v>14.5</v>
      </c>
      <c r="K101" s="28">
        <v>11.8</v>
      </c>
      <c r="L101" s="28">
        <v>23.5</v>
      </c>
      <c r="M101" s="28">
        <v>16.2</v>
      </c>
      <c r="N101" s="28">
        <v>15.9</v>
      </c>
      <c r="O101" s="28">
        <v>19</v>
      </c>
      <c r="P101" s="28">
        <v>18.899999999999999</v>
      </c>
      <c r="Q101" s="28">
        <v>17.8</v>
      </c>
      <c r="R101" s="28">
        <v>14.9</v>
      </c>
      <c r="S101" s="28">
        <v>17.8</v>
      </c>
      <c r="T101" s="28">
        <v>21.1</v>
      </c>
      <c r="U101" s="68">
        <f>AVERAGE(Table2022[[#This Row],[1.00]:[8.00]])</f>
        <v>17.771428571428572</v>
      </c>
      <c r="V101" s="69">
        <f>AVERAGE(Table2022[[#This Row],[9.00]:[17.00]])</f>
        <v>18.344444444444445</v>
      </c>
      <c r="W101" s="70">
        <f>AVERAGE(Table2022[[#This Row],[1.00]:[17.00]])</f>
        <v>18.093750000000004</v>
      </c>
      <c r="X101" s="40"/>
      <c r="Y101" s="9"/>
      <c r="Z101" s="146"/>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row>
    <row r="102" spans="1:51" x14ac:dyDescent="0.3">
      <c r="A102" s="4">
        <v>22</v>
      </c>
      <c r="B102" s="4" t="s">
        <v>989</v>
      </c>
      <c r="C102" s="4" t="s">
        <v>934</v>
      </c>
      <c r="D102" s="28">
        <v>23.5</v>
      </c>
      <c r="E102" s="28">
        <v>11.8</v>
      </c>
      <c r="F102" s="28">
        <v>17.8</v>
      </c>
      <c r="G102" s="28">
        <v>14.9</v>
      </c>
      <c r="H102" s="28">
        <v>17.8</v>
      </c>
      <c r="I102" s="28">
        <v>18.899999999999999</v>
      </c>
      <c r="J102" s="28">
        <v>21.1</v>
      </c>
      <c r="K102" s="28" t="s">
        <v>888</v>
      </c>
      <c r="L102" s="28">
        <v>15.9</v>
      </c>
      <c r="M102" s="28">
        <v>13.2</v>
      </c>
      <c r="N102" s="28">
        <v>23.4</v>
      </c>
      <c r="O102" s="28">
        <v>22.7</v>
      </c>
      <c r="P102" s="28">
        <v>16.5</v>
      </c>
      <c r="Q102" s="28">
        <v>21.1</v>
      </c>
      <c r="R102" s="28">
        <v>11.8</v>
      </c>
      <c r="S102" s="28">
        <v>23.5</v>
      </c>
      <c r="T102" s="28">
        <v>14.9</v>
      </c>
      <c r="U102" s="68">
        <f>AVERAGE(Table2022[[#This Row],[1.00]:[8.00]])</f>
        <v>17.971428571428568</v>
      </c>
      <c r="V102" s="69">
        <f>AVERAGE(Table2022[[#This Row],[9.00]:[17.00]])</f>
        <v>18.111111111111114</v>
      </c>
      <c r="W102" s="70">
        <f>AVERAGE(Table2022[[#This Row],[1.00]:[17.00]])</f>
        <v>18.049999999999997</v>
      </c>
      <c r="X102" s="40"/>
      <c r="Y102" s="9"/>
      <c r="Z102" s="146"/>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row>
    <row r="103" spans="1:51" x14ac:dyDescent="0.3">
      <c r="A103" s="4">
        <v>23</v>
      </c>
      <c r="B103" s="4" t="s">
        <v>990</v>
      </c>
      <c r="C103" s="4" t="s">
        <v>910</v>
      </c>
      <c r="D103" s="28">
        <v>17.7</v>
      </c>
      <c r="E103" s="28">
        <v>19.2</v>
      </c>
      <c r="F103" s="28">
        <v>13.6</v>
      </c>
      <c r="G103" s="28" t="s">
        <v>888</v>
      </c>
      <c r="H103" s="28">
        <v>18.899999999999999</v>
      </c>
      <c r="I103" s="28">
        <v>18.100000000000001</v>
      </c>
      <c r="J103" s="28">
        <v>15.6</v>
      </c>
      <c r="K103" s="28">
        <v>21.4</v>
      </c>
      <c r="L103" s="28">
        <v>21.1</v>
      </c>
      <c r="M103" s="28">
        <v>21.1</v>
      </c>
      <c r="N103" s="28">
        <v>11.8</v>
      </c>
      <c r="O103" s="28">
        <v>16.899999999999999</v>
      </c>
      <c r="P103" s="28">
        <v>16.7</v>
      </c>
      <c r="Q103" s="28">
        <v>18.100000000000001</v>
      </c>
      <c r="R103" s="28">
        <v>15.7</v>
      </c>
      <c r="S103" s="28">
        <v>21.1</v>
      </c>
      <c r="T103" s="28">
        <v>21.4</v>
      </c>
      <c r="U103" s="68">
        <f>AVERAGE(Table2022[[#This Row],[1.00]:[8.00]])</f>
        <v>17.785714285714285</v>
      </c>
      <c r="V103" s="69">
        <f>AVERAGE(Table2022[[#This Row],[9.00]:[17.00]])</f>
        <v>18.211111111111116</v>
      </c>
      <c r="W103" s="70">
        <f>AVERAGE(Table2022[[#This Row],[1.00]:[17.00]])</f>
        <v>18.024999999999999</v>
      </c>
      <c r="X103" s="40"/>
      <c r="Y103" s="9"/>
      <c r="Z103" s="146"/>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row>
    <row r="104" spans="1:51" x14ac:dyDescent="0.3">
      <c r="A104" s="4">
        <v>24</v>
      </c>
      <c r="B104" s="4" t="s">
        <v>991</v>
      </c>
      <c r="C104" s="4" t="s">
        <v>894</v>
      </c>
      <c r="D104" s="28">
        <v>17.8</v>
      </c>
      <c r="E104" s="28">
        <v>17.7</v>
      </c>
      <c r="F104" s="28">
        <v>20.9</v>
      </c>
      <c r="G104" s="28">
        <v>18.100000000000001</v>
      </c>
      <c r="H104" s="28">
        <v>18.100000000000001</v>
      </c>
      <c r="I104" s="28">
        <v>21.1</v>
      </c>
      <c r="J104" s="28">
        <v>13.2</v>
      </c>
      <c r="K104" s="28" t="s">
        <v>888</v>
      </c>
      <c r="L104" s="28">
        <v>13.6</v>
      </c>
      <c r="M104" s="28">
        <v>17.7</v>
      </c>
      <c r="N104" s="28">
        <v>21.4</v>
      </c>
      <c r="O104" s="28">
        <v>16.7</v>
      </c>
      <c r="P104" s="28">
        <v>23.4</v>
      </c>
      <c r="Q104" s="28">
        <v>16.5</v>
      </c>
      <c r="R104" s="28">
        <v>21.7</v>
      </c>
      <c r="S104" s="28">
        <v>13.6</v>
      </c>
      <c r="T104" s="28">
        <v>16.7</v>
      </c>
      <c r="U104" s="68">
        <f>AVERAGE(Table2022[[#This Row],[1.00]:[8.00]])</f>
        <v>18.128571428571426</v>
      </c>
      <c r="V104" s="69">
        <f>AVERAGE(Table2022[[#This Row],[9.00]:[17.00]])</f>
        <v>17.922222222222217</v>
      </c>
      <c r="W104" s="70">
        <f>AVERAGE(Table2022[[#This Row],[1.00]:[17.00]])</f>
        <v>18.012499999999999</v>
      </c>
      <c r="X104" s="40"/>
      <c r="Y104" s="9"/>
      <c r="Z104" s="146"/>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row>
    <row r="105" spans="1:51" x14ac:dyDescent="0.3">
      <c r="A105" s="4">
        <v>25</v>
      </c>
      <c r="B105" s="4" t="s">
        <v>992</v>
      </c>
      <c r="C105" s="4" t="s">
        <v>894</v>
      </c>
      <c r="D105" s="28">
        <v>17.8</v>
      </c>
      <c r="E105" s="28">
        <v>17.7</v>
      </c>
      <c r="F105" s="28">
        <v>20.9</v>
      </c>
      <c r="G105" s="28">
        <v>18.100000000000001</v>
      </c>
      <c r="H105" s="28">
        <v>18.100000000000001</v>
      </c>
      <c r="I105" s="28">
        <v>21.1</v>
      </c>
      <c r="J105" s="28">
        <v>13.2</v>
      </c>
      <c r="K105" s="28" t="s">
        <v>888</v>
      </c>
      <c r="L105" s="28">
        <v>13.6</v>
      </c>
      <c r="M105" s="28">
        <v>17.7</v>
      </c>
      <c r="N105" s="28">
        <v>21.4</v>
      </c>
      <c r="O105" s="28">
        <v>16.7</v>
      </c>
      <c r="P105" s="28">
        <v>23.4</v>
      </c>
      <c r="Q105" s="28">
        <v>16.5</v>
      </c>
      <c r="R105" s="28">
        <v>21.7</v>
      </c>
      <c r="S105" s="28">
        <v>13.6</v>
      </c>
      <c r="T105" s="28">
        <v>16.7</v>
      </c>
      <c r="U105" s="68">
        <f>AVERAGE(Table2022[[#This Row],[1.00]:[8.00]])</f>
        <v>18.128571428571426</v>
      </c>
      <c r="V105" s="69">
        <f>AVERAGE(Table2022[[#This Row],[9.00]:[17.00]])</f>
        <v>17.922222222222217</v>
      </c>
      <c r="W105" s="70">
        <f>AVERAGE(Table2022[[#This Row],[1.00]:[17.00]])</f>
        <v>18.012499999999999</v>
      </c>
      <c r="X105" s="40"/>
      <c r="Y105" s="9"/>
      <c r="Z105" s="146"/>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row>
    <row r="106" spans="1:51" x14ac:dyDescent="0.3">
      <c r="A106" s="4">
        <v>26</v>
      </c>
      <c r="B106" s="4" t="s">
        <v>993</v>
      </c>
      <c r="C106" s="4" t="s">
        <v>894</v>
      </c>
      <c r="D106" s="28">
        <v>17.8</v>
      </c>
      <c r="E106" s="28">
        <v>17.7</v>
      </c>
      <c r="F106" s="28">
        <v>20.9</v>
      </c>
      <c r="G106" s="28">
        <v>18.100000000000001</v>
      </c>
      <c r="H106" s="28">
        <v>18.100000000000001</v>
      </c>
      <c r="I106" s="28">
        <v>21.1</v>
      </c>
      <c r="J106" s="28">
        <v>13.2</v>
      </c>
      <c r="K106" s="28" t="s">
        <v>888</v>
      </c>
      <c r="L106" s="28">
        <v>13.6</v>
      </c>
      <c r="M106" s="28">
        <v>17.7</v>
      </c>
      <c r="N106" s="28">
        <v>21.4</v>
      </c>
      <c r="O106" s="28">
        <v>16.7</v>
      </c>
      <c r="P106" s="28">
        <v>23.4</v>
      </c>
      <c r="Q106" s="28">
        <v>16.5</v>
      </c>
      <c r="R106" s="28">
        <v>21.7</v>
      </c>
      <c r="S106" s="28">
        <v>13.6</v>
      </c>
      <c r="T106" s="28">
        <v>16.7</v>
      </c>
      <c r="U106" s="68">
        <f>AVERAGE(Table2022[[#This Row],[1.00]:[8.00]])</f>
        <v>18.128571428571426</v>
      </c>
      <c r="V106" s="69">
        <f>AVERAGE(Table2022[[#This Row],[9.00]:[17.00]])</f>
        <v>17.922222222222217</v>
      </c>
      <c r="W106" s="70">
        <f>AVERAGE(Table2022[[#This Row],[1.00]:[17.00]])</f>
        <v>18.012499999999999</v>
      </c>
      <c r="X106" s="40"/>
      <c r="Y106" s="9"/>
      <c r="Z106" s="146"/>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row>
    <row r="107" spans="1:51" x14ac:dyDescent="0.3">
      <c r="A107" s="4">
        <v>27</v>
      </c>
      <c r="B107" s="4" t="s">
        <v>994</v>
      </c>
      <c r="C107" s="4" t="s">
        <v>922</v>
      </c>
      <c r="D107" s="28">
        <v>21.9</v>
      </c>
      <c r="E107" s="28">
        <v>15.8</v>
      </c>
      <c r="F107" s="28">
        <v>13.2</v>
      </c>
      <c r="G107" s="28">
        <v>13.6</v>
      </c>
      <c r="H107" s="28" t="s">
        <v>888</v>
      </c>
      <c r="I107" s="28">
        <v>18.100000000000001</v>
      </c>
      <c r="J107" s="28">
        <v>22.7</v>
      </c>
      <c r="K107" s="28">
        <v>18.600000000000001</v>
      </c>
      <c r="L107" s="28">
        <v>20.9</v>
      </c>
      <c r="M107" s="28">
        <v>15.9</v>
      </c>
      <c r="N107" s="28">
        <v>17.8</v>
      </c>
      <c r="O107" s="28">
        <v>16.2</v>
      </c>
      <c r="P107" s="28">
        <v>21.1</v>
      </c>
      <c r="Q107" s="28">
        <v>18.100000000000001</v>
      </c>
      <c r="R107" s="28">
        <v>15.5</v>
      </c>
      <c r="S107" s="28">
        <v>16.2</v>
      </c>
      <c r="T107" s="28">
        <v>21.9</v>
      </c>
      <c r="U107" s="68">
        <f>AVERAGE(Table2022[[#This Row],[1.00]:[8.00]])</f>
        <v>17.7</v>
      </c>
      <c r="V107" s="69">
        <f>AVERAGE(Table2022[[#This Row],[9.00]:[17.00]])</f>
        <v>18.177777777777777</v>
      </c>
      <c r="W107" s="70">
        <f>AVERAGE(Table2022[[#This Row],[1.00]:[17.00]])</f>
        <v>17.96875</v>
      </c>
      <c r="X107" s="40"/>
      <c r="Y107" s="9"/>
      <c r="Z107" s="146"/>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row>
    <row r="108" spans="1:51" x14ac:dyDescent="0.3">
      <c r="A108" s="4">
        <v>28</v>
      </c>
      <c r="B108" s="4" t="s">
        <v>995</v>
      </c>
      <c r="C108" s="4" t="s">
        <v>938</v>
      </c>
      <c r="D108" s="28">
        <v>22.7</v>
      </c>
      <c r="E108" s="28">
        <v>21.1</v>
      </c>
      <c r="F108" s="28">
        <v>15.5</v>
      </c>
      <c r="G108" s="28">
        <v>15.7</v>
      </c>
      <c r="H108" s="28">
        <v>21.9</v>
      </c>
      <c r="I108" s="28">
        <v>14.5</v>
      </c>
      <c r="J108" s="28">
        <v>20.9</v>
      </c>
      <c r="K108" s="28">
        <v>17.8</v>
      </c>
      <c r="L108" s="28">
        <v>16.2</v>
      </c>
      <c r="M108" s="28" t="s">
        <v>888</v>
      </c>
      <c r="N108" s="28">
        <v>15.8</v>
      </c>
      <c r="O108" s="28">
        <v>15.9</v>
      </c>
      <c r="P108" s="28">
        <v>17.8</v>
      </c>
      <c r="Q108" s="28">
        <v>14.5</v>
      </c>
      <c r="R108" s="28">
        <v>21.9</v>
      </c>
      <c r="S108" s="28">
        <v>18.600000000000001</v>
      </c>
      <c r="T108" s="28">
        <v>16.2</v>
      </c>
      <c r="U108" s="68">
        <f>AVERAGE(Table2022[[#This Row],[1.00]:[8.00]])</f>
        <v>18.762500000000003</v>
      </c>
      <c r="V108" s="69">
        <f>AVERAGE(Table2022[[#This Row],[9.00]:[17.00]])</f>
        <v>17.112499999999997</v>
      </c>
      <c r="W108" s="70">
        <f>AVERAGE(Table2022[[#This Row],[1.00]:[17.00]])</f>
        <v>17.937500000000004</v>
      </c>
      <c r="X108" s="40"/>
      <c r="Y108" s="9"/>
      <c r="Z108" s="146"/>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row>
    <row r="109" spans="1:51" x14ac:dyDescent="0.3">
      <c r="A109" s="4">
        <v>29</v>
      </c>
      <c r="B109" s="4" t="s">
        <v>996</v>
      </c>
      <c r="C109" s="4" t="s">
        <v>924</v>
      </c>
      <c r="D109" s="28">
        <v>14.5</v>
      </c>
      <c r="E109" s="28">
        <v>20.9</v>
      </c>
      <c r="F109" s="28">
        <v>18.600000000000001</v>
      </c>
      <c r="G109" s="28">
        <v>22.7</v>
      </c>
      <c r="H109" s="28">
        <v>18.100000000000001</v>
      </c>
      <c r="I109" s="28">
        <v>16.2</v>
      </c>
      <c r="J109" s="28">
        <v>21.1</v>
      </c>
      <c r="K109" s="28">
        <v>16.2</v>
      </c>
      <c r="L109" s="28">
        <v>15.5</v>
      </c>
      <c r="M109" s="28">
        <v>23.4</v>
      </c>
      <c r="N109" s="28" t="s">
        <v>888</v>
      </c>
      <c r="O109" s="28">
        <v>15.8</v>
      </c>
      <c r="P109" s="28">
        <v>17.8</v>
      </c>
      <c r="Q109" s="28">
        <v>15.9</v>
      </c>
      <c r="R109" s="28">
        <v>18.100000000000001</v>
      </c>
      <c r="S109" s="28">
        <v>17.7</v>
      </c>
      <c r="T109" s="28">
        <v>14.5</v>
      </c>
      <c r="U109" s="68">
        <f>AVERAGE(Table2022[[#This Row],[1.00]:[8.00]])</f>
        <v>18.537500000000001</v>
      </c>
      <c r="V109" s="69">
        <f>AVERAGE(Table2022[[#This Row],[9.00]:[17.00]])</f>
        <v>17.337499999999999</v>
      </c>
      <c r="W109" s="70">
        <f>AVERAGE(Table2022[[#This Row],[1.00]:[17.00]])</f>
        <v>17.937500000000004</v>
      </c>
      <c r="X109" s="40"/>
      <c r="Y109" s="9"/>
      <c r="Z109" s="146"/>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row>
    <row r="110" spans="1:51" x14ac:dyDescent="0.3">
      <c r="A110" s="4">
        <v>30</v>
      </c>
      <c r="B110" s="4" t="s">
        <v>997</v>
      </c>
      <c r="C110" s="4" t="s">
        <v>924</v>
      </c>
      <c r="D110" s="28">
        <v>14.5</v>
      </c>
      <c r="E110" s="28">
        <v>20.9</v>
      </c>
      <c r="F110" s="28">
        <v>18.600000000000001</v>
      </c>
      <c r="G110" s="28">
        <v>22.7</v>
      </c>
      <c r="H110" s="28">
        <v>18.100000000000001</v>
      </c>
      <c r="I110" s="28">
        <v>16.2</v>
      </c>
      <c r="J110" s="28">
        <v>21.1</v>
      </c>
      <c r="K110" s="28">
        <v>16.2</v>
      </c>
      <c r="L110" s="28">
        <v>15.5</v>
      </c>
      <c r="M110" s="28">
        <v>23.4</v>
      </c>
      <c r="N110" s="28" t="s">
        <v>888</v>
      </c>
      <c r="O110" s="28">
        <v>15.8</v>
      </c>
      <c r="P110" s="28">
        <v>17.8</v>
      </c>
      <c r="Q110" s="28">
        <v>15.9</v>
      </c>
      <c r="R110" s="28">
        <v>18.100000000000001</v>
      </c>
      <c r="S110" s="28">
        <v>17.7</v>
      </c>
      <c r="T110" s="28">
        <v>14.5</v>
      </c>
      <c r="U110" s="68">
        <f>AVERAGE(Table2022[[#This Row],[1.00]:[8.00]])</f>
        <v>18.537500000000001</v>
      </c>
      <c r="V110" s="69">
        <f>AVERAGE(Table2022[[#This Row],[9.00]:[17.00]])</f>
        <v>17.337499999999999</v>
      </c>
      <c r="W110" s="70">
        <f>AVERAGE(Table2022[[#This Row],[1.00]:[17.00]])</f>
        <v>17.937500000000004</v>
      </c>
      <c r="X110" s="40"/>
      <c r="Y110" s="9"/>
      <c r="Z110" s="146"/>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row>
    <row r="111" spans="1:51" x14ac:dyDescent="0.3">
      <c r="A111" s="4">
        <v>31</v>
      </c>
      <c r="B111" s="4" t="s">
        <v>998</v>
      </c>
      <c r="C111" s="4" t="s">
        <v>906</v>
      </c>
      <c r="D111" s="28">
        <v>18.100000000000001</v>
      </c>
      <c r="E111" s="28">
        <v>16.7</v>
      </c>
      <c r="F111" s="28">
        <v>21.7</v>
      </c>
      <c r="G111" s="28">
        <v>14.5</v>
      </c>
      <c r="H111" s="28">
        <v>13.2</v>
      </c>
      <c r="I111" s="28">
        <v>23.4</v>
      </c>
      <c r="J111" s="28">
        <v>16.5</v>
      </c>
      <c r="K111" s="28" t="s">
        <v>888</v>
      </c>
      <c r="L111" s="28">
        <v>15.7</v>
      </c>
      <c r="M111" s="28">
        <v>21.4</v>
      </c>
      <c r="N111" s="28">
        <v>17.7</v>
      </c>
      <c r="O111" s="28">
        <v>18.600000000000001</v>
      </c>
      <c r="P111" s="28">
        <v>21.1</v>
      </c>
      <c r="Q111" s="28">
        <v>17.8</v>
      </c>
      <c r="R111" s="28">
        <v>16.7</v>
      </c>
      <c r="S111" s="28">
        <v>15.7</v>
      </c>
      <c r="T111" s="28">
        <v>17.7</v>
      </c>
      <c r="U111" s="68">
        <f>AVERAGE(Table2022[[#This Row],[1.00]:[8.00]])</f>
        <v>17.728571428571428</v>
      </c>
      <c r="V111" s="69">
        <f>AVERAGE(Table2022[[#This Row],[9.00]:[17.00]])</f>
        <v>18.044444444444441</v>
      </c>
      <c r="W111" s="70">
        <f>AVERAGE(Table2022[[#This Row],[1.00]:[17.00]])</f>
        <v>17.906249999999996</v>
      </c>
      <c r="X111" s="40"/>
      <c r="Y111" s="9"/>
      <c r="Z111" s="146"/>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row>
    <row r="112" spans="1:51" x14ac:dyDescent="0.3">
      <c r="A112" s="4">
        <v>32</v>
      </c>
      <c r="B112" s="4" t="s">
        <v>999</v>
      </c>
      <c r="C112" s="4" t="s">
        <v>906</v>
      </c>
      <c r="D112" s="28">
        <v>18.100000000000001</v>
      </c>
      <c r="E112" s="28">
        <v>16.7</v>
      </c>
      <c r="F112" s="28">
        <v>21.7</v>
      </c>
      <c r="G112" s="28">
        <v>14.5</v>
      </c>
      <c r="H112" s="28">
        <v>13.2</v>
      </c>
      <c r="I112" s="28">
        <v>23.4</v>
      </c>
      <c r="J112" s="28">
        <v>16.5</v>
      </c>
      <c r="K112" s="28" t="s">
        <v>888</v>
      </c>
      <c r="L112" s="28">
        <v>15.7</v>
      </c>
      <c r="M112" s="28">
        <v>21.4</v>
      </c>
      <c r="N112" s="28">
        <v>17.7</v>
      </c>
      <c r="O112" s="28">
        <v>18.600000000000001</v>
      </c>
      <c r="P112" s="28">
        <v>21.1</v>
      </c>
      <c r="Q112" s="28">
        <v>17.8</v>
      </c>
      <c r="R112" s="28">
        <v>16.7</v>
      </c>
      <c r="S112" s="28">
        <v>15.7</v>
      </c>
      <c r="T112" s="28">
        <v>17.7</v>
      </c>
      <c r="U112" s="68">
        <f>AVERAGE(Table2022[[#This Row],[1.00]:[8.00]])</f>
        <v>17.728571428571428</v>
      </c>
      <c r="V112" s="69">
        <f>AVERAGE(Table2022[[#This Row],[9.00]:[17.00]])</f>
        <v>18.044444444444441</v>
      </c>
      <c r="W112" s="70">
        <f>AVERAGE(Table2022[[#This Row],[1.00]:[17.00]])</f>
        <v>17.906249999999996</v>
      </c>
      <c r="X112" s="40"/>
      <c r="Y112" s="9"/>
      <c r="Z112" s="146"/>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row>
    <row r="113" spans="1:51" x14ac:dyDescent="0.3">
      <c r="A113" s="4">
        <v>33</v>
      </c>
      <c r="B113" s="4" t="s">
        <v>1000</v>
      </c>
      <c r="C113" s="4" t="s">
        <v>912</v>
      </c>
      <c r="D113" s="28">
        <v>19.2</v>
      </c>
      <c r="E113" s="28">
        <v>14.5</v>
      </c>
      <c r="F113" s="28">
        <v>16.5</v>
      </c>
      <c r="G113" s="28">
        <v>15.5</v>
      </c>
      <c r="H113" s="28">
        <v>15.6</v>
      </c>
      <c r="I113" s="28">
        <v>18.600000000000001</v>
      </c>
      <c r="J113" s="28">
        <v>16.2</v>
      </c>
      <c r="K113" s="28">
        <v>18.899999999999999</v>
      </c>
      <c r="L113" s="28" t="s">
        <v>888</v>
      </c>
      <c r="M113" s="28">
        <v>20.9</v>
      </c>
      <c r="N113" s="28">
        <v>18.100000000000001</v>
      </c>
      <c r="O113" s="28">
        <v>21.9</v>
      </c>
      <c r="P113" s="28">
        <v>16.899999999999999</v>
      </c>
      <c r="Q113" s="28">
        <v>18.600000000000001</v>
      </c>
      <c r="R113" s="28">
        <v>20.9</v>
      </c>
      <c r="S113" s="28">
        <v>16.7</v>
      </c>
      <c r="T113" s="28">
        <v>15.5</v>
      </c>
      <c r="U113" s="68">
        <f>AVERAGE(Table2022[[#This Row],[1.00]:[8.00]])</f>
        <v>16.875</v>
      </c>
      <c r="V113" s="69">
        <f>AVERAGE(Table2022[[#This Row],[9.00]:[17.00]])</f>
        <v>18.6875</v>
      </c>
      <c r="W113" s="70">
        <f>AVERAGE(Table2022[[#This Row],[1.00]:[17.00]])</f>
        <v>17.78125</v>
      </c>
      <c r="X113" s="40"/>
      <c r="Y113" s="9"/>
      <c r="Z113" s="146"/>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row>
    <row r="114" spans="1:51" ht="15" thickBot="1" x14ac:dyDescent="0.35">
      <c r="A114" s="4">
        <v>34</v>
      </c>
      <c r="B114" s="4" t="s">
        <v>1001</v>
      </c>
      <c r="C114" s="4" t="s">
        <v>908</v>
      </c>
      <c r="D114" s="28">
        <v>21.7</v>
      </c>
      <c r="E114" s="28">
        <v>15.7</v>
      </c>
      <c r="F114" s="28">
        <v>23.4</v>
      </c>
      <c r="G114" s="28">
        <v>18.100000000000001</v>
      </c>
      <c r="H114" s="28">
        <v>16.5</v>
      </c>
      <c r="I114" s="28">
        <v>15.5</v>
      </c>
      <c r="J114" s="28">
        <v>16.7</v>
      </c>
      <c r="K114" s="28">
        <v>13.2</v>
      </c>
      <c r="L114" s="28">
        <v>21.4</v>
      </c>
      <c r="M114" s="28">
        <v>15.7</v>
      </c>
      <c r="N114" s="28">
        <v>13.6</v>
      </c>
      <c r="O114" s="28">
        <v>21.1</v>
      </c>
      <c r="P114" s="28" t="s">
        <v>888</v>
      </c>
      <c r="Q114" s="28">
        <v>16.7</v>
      </c>
      <c r="R114" s="28">
        <v>17.8</v>
      </c>
      <c r="S114" s="28">
        <v>21.9</v>
      </c>
      <c r="T114" s="28">
        <v>13.6</v>
      </c>
      <c r="U114" s="71">
        <f>AVERAGE(Table2022[[#This Row],[1.00]:[8.00]])</f>
        <v>17.600000000000001</v>
      </c>
      <c r="V114" s="72">
        <f>AVERAGE(Table2022[[#This Row],[9.00]:[17.00]])</f>
        <v>17.724999999999998</v>
      </c>
      <c r="W114" s="73">
        <f>AVERAGE(Table2022[[#This Row],[1.00]:[17.00]])</f>
        <v>17.662500000000001</v>
      </c>
      <c r="X114" s="40"/>
      <c r="Y114" s="9"/>
      <c r="Z114" s="146"/>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row>
    <row r="115" spans="1:51" x14ac:dyDescent="0.3">
      <c r="A115" s="4">
        <v>35</v>
      </c>
      <c r="B115" s="4" t="s">
        <v>1002</v>
      </c>
      <c r="C115" s="4" t="s">
        <v>908</v>
      </c>
      <c r="D115" s="28">
        <v>21.7</v>
      </c>
      <c r="E115" s="28">
        <v>15.7</v>
      </c>
      <c r="F115" s="28">
        <v>23.4</v>
      </c>
      <c r="G115" s="28">
        <v>18.100000000000001</v>
      </c>
      <c r="H115" s="28">
        <v>16.5</v>
      </c>
      <c r="I115" s="28">
        <v>15.5</v>
      </c>
      <c r="J115" s="28">
        <v>16.7</v>
      </c>
      <c r="K115" s="28">
        <v>13.2</v>
      </c>
      <c r="L115" s="28">
        <v>21.4</v>
      </c>
      <c r="M115" s="28">
        <v>15.7</v>
      </c>
      <c r="N115" s="28">
        <v>13.6</v>
      </c>
      <c r="O115" s="28">
        <v>21.1</v>
      </c>
      <c r="P115" s="28" t="s">
        <v>888</v>
      </c>
      <c r="Q115" s="28">
        <v>16.7</v>
      </c>
      <c r="R115" s="28">
        <v>17.8</v>
      </c>
      <c r="S115" s="28">
        <v>21.9</v>
      </c>
      <c r="T115" s="28">
        <v>13.6</v>
      </c>
      <c r="U115" s="68">
        <f>AVERAGE(Table2022[[#This Row],[1.00]:[8.00]])</f>
        <v>17.600000000000001</v>
      </c>
      <c r="V115" s="69">
        <f>AVERAGE(Table2022[[#This Row],[9.00]:[17.00]])</f>
        <v>17.724999999999998</v>
      </c>
      <c r="W115" s="70">
        <f>AVERAGE(Table2022[[#This Row],[1.00]:[17.00]])</f>
        <v>17.662500000000001</v>
      </c>
      <c r="X115" s="40"/>
      <c r="Y115" s="9"/>
      <c r="Z115" s="146"/>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row>
    <row r="116" spans="1:51" x14ac:dyDescent="0.3">
      <c r="A116" s="4">
        <v>36</v>
      </c>
      <c r="B116" s="4" t="s">
        <v>1003</v>
      </c>
      <c r="C116" s="4" t="s">
        <v>941</v>
      </c>
      <c r="D116" s="28">
        <v>16.7</v>
      </c>
      <c r="E116" s="28">
        <v>17.8</v>
      </c>
      <c r="F116" s="28">
        <v>14.5</v>
      </c>
      <c r="G116" s="28">
        <v>11.8</v>
      </c>
      <c r="H116" s="28">
        <v>13.6</v>
      </c>
      <c r="I116" s="28">
        <v>14.9</v>
      </c>
      <c r="J116" s="28">
        <v>15.7</v>
      </c>
      <c r="K116" s="28">
        <v>17.7</v>
      </c>
      <c r="L116" s="28">
        <v>23.4</v>
      </c>
      <c r="M116" s="28">
        <v>19</v>
      </c>
      <c r="N116" s="28" t="s">
        <v>888</v>
      </c>
      <c r="O116" s="28">
        <v>16.5</v>
      </c>
      <c r="P116" s="28">
        <v>18.600000000000001</v>
      </c>
      <c r="Q116" s="28">
        <v>23.5</v>
      </c>
      <c r="R116" s="28">
        <v>23.4</v>
      </c>
      <c r="S116" s="28">
        <v>16.5</v>
      </c>
      <c r="T116" s="28">
        <v>17.8</v>
      </c>
      <c r="U116" s="68">
        <f>AVERAGE(Table2022[[#This Row],[1.00]:[8.00]])</f>
        <v>15.3375</v>
      </c>
      <c r="V116" s="69">
        <f>AVERAGE(Table2022[[#This Row],[9.00]:[17.00]])</f>
        <v>19.837500000000002</v>
      </c>
      <c r="W116" s="70">
        <f>AVERAGE(Table2022[[#This Row],[1.00]:[17.00]])</f>
        <v>17.587500000000002</v>
      </c>
      <c r="X116" s="40"/>
      <c r="Y116" s="9"/>
      <c r="Z116" s="146"/>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row>
    <row r="117" spans="1:51" x14ac:dyDescent="0.3">
      <c r="A117" s="4">
        <v>37</v>
      </c>
      <c r="B117" s="4" t="s">
        <v>1004</v>
      </c>
      <c r="C117" s="4" t="s">
        <v>941</v>
      </c>
      <c r="D117" s="28">
        <v>16.7</v>
      </c>
      <c r="E117" s="28">
        <v>17.8</v>
      </c>
      <c r="F117" s="28">
        <v>14.5</v>
      </c>
      <c r="G117" s="28">
        <v>11.8</v>
      </c>
      <c r="H117" s="28">
        <v>13.6</v>
      </c>
      <c r="I117" s="28">
        <v>14.9</v>
      </c>
      <c r="J117" s="28">
        <v>15.7</v>
      </c>
      <c r="K117" s="28">
        <v>17.7</v>
      </c>
      <c r="L117" s="28">
        <v>23.4</v>
      </c>
      <c r="M117" s="28">
        <v>19</v>
      </c>
      <c r="N117" s="28" t="s">
        <v>888</v>
      </c>
      <c r="O117" s="28">
        <v>16.5</v>
      </c>
      <c r="P117" s="28">
        <v>18.600000000000001</v>
      </c>
      <c r="Q117" s="28">
        <v>23.5</v>
      </c>
      <c r="R117" s="28">
        <v>23.4</v>
      </c>
      <c r="S117" s="28">
        <v>16.5</v>
      </c>
      <c r="T117" s="28">
        <v>17.8</v>
      </c>
      <c r="U117" s="68">
        <f>AVERAGE(Table2022[[#This Row],[1.00]:[8.00]])</f>
        <v>15.3375</v>
      </c>
      <c r="V117" s="69">
        <f>AVERAGE(Table2022[[#This Row],[9.00]:[17.00]])</f>
        <v>19.837500000000002</v>
      </c>
      <c r="W117" s="70">
        <f>AVERAGE(Table2022[[#This Row],[1.00]:[17.00]])</f>
        <v>17.587500000000002</v>
      </c>
      <c r="X117" s="40"/>
      <c r="Y117" s="9"/>
      <c r="Z117" s="146"/>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row>
    <row r="118" spans="1:51" x14ac:dyDescent="0.3">
      <c r="A118" s="4">
        <v>38</v>
      </c>
      <c r="B118" s="4" t="s">
        <v>1005</v>
      </c>
      <c r="C118" s="4" t="s">
        <v>943</v>
      </c>
      <c r="D118" s="28">
        <v>19</v>
      </c>
      <c r="E118" s="28">
        <v>15.9</v>
      </c>
      <c r="F118" s="28">
        <v>11.8</v>
      </c>
      <c r="G118" s="28">
        <v>21.4</v>
      </c>
      <c r="H118" s="28">
        <v>14.9</v>
      </c>
      <c r="I118" s="28">
        <v>17.8</v>
      </c>
      <c r="J118" s="28">
        <v>17.8</v>
      </c>
      <c r="K118" s="28" t="s">
        <v>888</v>
      </c>
      <c r="L118" s="28">
        <v>22.7</v>
      </c>
      <c r="M118" s="28">
        <v>14.9</v>
      </c>
      <c r="N118" s="28">
        <v>16.5</v>
      </c>
      <c r="O118" s="28">
        <v>23.4</v>
      </c>
      <c r="P118" s="28">
        <v>19.2</v>
      </c>
      <c r="Q118" s="28">
        <v>13.2</v>
      </c>
      <c r="R118" s="28">
        <v>21.1</v>
      </c>
      <c r="S118" s="28">
        <v>19</v>
      </c>
      <c r="T118" s="28">
        <v>11.8</v>
      </c>
      <c r="U118" s="68">
        <f>AVERAGE(Table2022[[#This Row],[1.00]:[8.00]])</f>
        <v>16.942857142857143</v>
      </c>
      <c r="V118" s="69">
        <f>AVERAGE(Table2022[[#This Row],[9.00]:[17.00]])</f>
        <v>17.977777777777778</v>
      </c>
      <c r="W118" s="70">
        <f>AVERAGE(Table2022[[#This Row],[1.00]:[17.00]])</f>
        <v>17.524999999999999</v>
      </c>
      <c r="X118" s="40"/>
      <c r="Y118" s="9"/>
      <c r="Z118" s="146"/>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row>
    <row r="119" spans="1:51" x14ac:dyDescent="0.3">
      <c r="A119" s="4">
        <v>39</v>
      </c>
      <c r="B119" s="4" t="s">
        <v>1006</v>
      </c>
      <c r="C119" s="4" t="s">
        <v>898</v>
      </c>
      <c r="D119" s="28">
        <v>13.2</v>
      </c>
      <c r="E119" s="28">
        <v>13.6</v>
      </c>
      <c r="F119" s="28">
        <v>16.2</v>
      </c>
      <c r="G119" s="28">
        <v>23.4</v>
      </c>
      <c r="H119" s="28">
        <v>21.4</v>
      </c>
      <c r="I119" s="28">
        <v>16.5</v>
      </c>
      <c r="J119" s="28">
        <v>17.7</v>
      </c>
      <c r="K119" s="28">
        <v>18.100000000000001</v>
      </c>
      <c r="L119" s="28" t="s">
        <v>888</v>
      </c>
      <c r="M119" s="28">
        <v>21.1</v>
      </c>
      <c r="N119" s="28">
        <v>17.8</v>
      </c>
      <c r="O119" s="28">
        <v>15.7</v>
      </c>
      <c r="P119" s="28">
        <v>21.7</v>
      </c>
      <c r="Q119" s="28">
        <v>17.7</v>
      </c>
      <c r="R119" s="28">
        <v>13.6</v>
      </c>
      <c r="S119" s="28">
        <v>15.8</v>
      </c>
      <c r="T119" s="28">
        <v>15.7</v>
      </c>
      <c r="U119" s="68">
        <f>AVERAGE(Table2022[[#This Row],[1.00]:[8.00]])</f>
        <v>17.512500000000003</v>
      </c>
      <c r="V119" s="69">
        <f>AVERAGE(Table2022[[#This Row],[9.00]:[17.00]])</f>
        <v>17.387499999999999</v>
      </c>
      <c r="W119" s="70">
        <f>AVERAGE(Table2022[[#This Row],[1.00]:[17.00]])</f>
        <v>17.45</v>
      </c>
      <c r="X119" s="40"/>
      <c r="Y119" s="9"/>
      <c r="Z119" s="146"/>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row>
    <row r="120" spans="1:51" x14ac:dyDescent="0.3">
      <c r="A120" s="4">
        <v>40</v>
      </c>
      <c r="B120" s="4" t="s">
        <v>1007</v>
      </c>
      <c r="C120" s="4" t="s">
        <v>898</v>
      </c>
      <c r="D120" s="28">
        <v>13.2</v>
      </c>
      <c r="E120" s="28">
        <v>13.6</v>
      </c>
      <c r="F120" s="28">
        <v>16.2</v>
      </c>
      <c r="G120" s="28">
        <v>23.4</v>
      </c>
      <c r="H120" s="28">
        <v>21.4</v>
      </c>
      <c r="I120" s="28">
        <v>16.5</v>
      </c>
      <c r="J120" s="28">
        <v>17.7</v>
      </c>
      <c r="K120" s="28">
        <v>18.100000000000001</v>
      </c>
      <c r="L120" s="28" t="s">
        <v>888</v>
      </c>
      <c r="M120" s="28">
        <v>21.1</v>
      </c>
      <c r="N120" s="28">
        <v>17.8</v>
      </c>
      <c r="O120" s="28">
        <v>15.7</v>
      </c>
      <c r="P120" s="28">
        <v>21.7</v>
      </c>
      <c r="Q120" s="28">
        <v>17.7</v>
      </c>
      <c r="R120" s="28">
        <v>13.6</v>
      </c>
      <c r="S120" s="28">
        <v>15.8</v>
      </c>
      <c r="T120" s="28">
        <v>15.7</v>
      </c>
      <c r="U120" s="68">
        <f>AVERAGE(Table2022[[#This Row],[1.00]:[8.00]])</f>
        <v>17.512500000000003</v>
      </c>
      <c r="V120" s="69">
        <f>AVERAGE(Table2022[[#This Row],[9.00]:[17.00]])</f>
        <v>17.387499999999999</v>
      </c>
      <c r="W120" s="70">
        <f>AVERAGE(Table2022[[#This Row],[1.00]:[17.00]])</f>
        <v>17.45</v>
      </c>
      <c r="X120" s="40"/>
      <c r="Y120" s="9"/>
      <c r="Z120" s="146"/>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row>
    <row r="121" spans="1:51" x14ac:dyDescent="0.3">
      <c r="A121" s="4">
        <v>41</v>
      </c>
      <c r="B121" s="4" t="s">
        <v>1008</v>
      </c>
      <c r="C121" s="4" t="s">
        <v>932</v>
      </c>
      <c r="D121" s="28">
        <v>15.7</v>
      </c>
      <c r="E121" s="28">
        <v>13.2</v>
      </c>
      <c r="F121" s="28">
        <v>14.9</v>
      </c>
      <c r="G121" s="28">
        <v>16.5</v>
      </c>
      <c r="H121" s="28">
        <v>19</v>
      </c>
      <c r="I121" s="28">
        <v>23.5</v>
      </c>
      <c r="J121" s="28">
        <v>23.4</v>
      </c>
      <c r="K121" s="28">
        <v>16.5</v>
      </c>
      <c r="L121" s="28">
        <v>11.8</v>
      </c>
      <c r="M121" s="28" t="s">
        <v>888</v>
      </c>
      <c r="N121" s="28">
        <v>16.7</v>
      </c>
      <c r="O121" s="28">
        <v>20.9</v>
      </c>
      <c r="P121" s="28">
        <v>18.100000000000001</v>
      </c>
      <c r="Q121" s="28">
        <v>13.6</v>
      </c>
      <c r="R121" s="28">
        <v>17.7</v>
      </c>
      <c r="S121" s="28">
        <v>23.4</v>
      </c>
      <c r="T121" s="28">
        <v>13.2</v>
      </c>
      <c r="U121" s="68">
        <f>AVERAGE(Table2022[[#This Row],[1.00]:[8.00]])</f>
        <v>17.837499999999999</v>
      </c>
      <c r="V121" s="69">
        <f>AVERAGE(Table2022[[#This Row],[9.00]:[17.00]])</f>
        <v>16.924999999999997</v>
      </c>
      <c r="W121" s="70">
        <f>AVERAGE(Table2022[[#This Row],[1.00]:[17.00]])</f>
        <v>17.381249999999998</v>
      </c>
      <c r="X121" s="40"/>
      <c r="Y121" s="9"/>
      <c r="Z121" s="146"/>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row>
    <row r="122" spans="1:51" x14ac:dyDescent="0.3">
      <c r="A122" s="4">
        <v>42</v>
      </c>
      <c r="B122" s="4" t="s">
        <v>1009</v>
      </c>
      <c r="C122" s="4" t="s">
        <v>932</v>
      </c>
      <c r="D122" s="28">
        <v>15.7</v>
      </c>
      <c r="E122" s="28">
        <v>13.2</v>
      </c>
      <c r="F122" s="28">
        <v>14.9</v>
      </c>
      <c r="G122" s="28">
        <v>16.5</v>
      </c>
      <c r="H122" s="28">
        <v>19</v>
      </c>
      <c r="I122" s="28">
        <v>23.5</v>
      </c>
      <c r="J122" s="28">
        <v>23.4</v>
      </c>
      <c r="K122" s="28">
        <v>16.5</v>
      </c>
      <c r="L122" s="28">
        <v>11.8</v>
      </c>
      <c r="M122" s="28" t="s">
        <v>888</v>
      </c>
      <c r="N122" s="28">
        <v>16.7</v>
      </c>
      <c r="O122" s="28">
        <v>20.9</v>
      </c>
      <c r="P122" s="28">
        <v>18.100000000000001</v>
      </c>
      <c r="Q122" s="28">
        <v>13.6</v>
      </c>
      <c r="R122" s="28">
        <v>17.7</v>
      </c>
      <c r="S122" s="28">
        <v>23.4</v>
      </c>
      <c r="T122" s="28">
        <v>13.2</v>
      </c>
      <c r="U122" s="68">
        <f>AVERAGE(Table2022[[#This Row],[1.00]:[8.00]])</f>
        <v>17.837499999999999</v>
      </c>
      <c r="V122" s="69">
        <f>AVERAGE(Table2022[[#This Row],[9.00]:[17.00]])</f>
        <v>16.924999999999997</v>
      </c>
      <c r="W122" s="70">
        <f>AVERAGE(Table2022[[#This Row],[1.00]:[17.00]])</f>
        <v>17.381249999999998</v>
      </c>
      <c r="X122" s="40"/>
      <c r="Y122" s="9"/>
      <c r="Z122" s="146"/>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row>
    <row r="123" spans="1:51" x14ac:dyDescent="0.3">
      <c r="A123" s="4">
        <v>43</v>
      </c>
      <c r="B123" s="4" t="s">
        <v>1010</v>
      </c>
      <c r="C123" s="4" t="s">
        <v>930</v>
      </c>
      <c r="D123" s="28">
        <v>16.899999999999999</v>
      </c>
      <c r="E123" s="28">
        <v>21.9</v>
      </c>
      <c r="F123" s="28">
        <v>15.7</v>
      </c>
      <c r="G123" s="28">
        <v>18.600000000000001</v>
      </c>
      <c r="H123" s="28" t="s">
        <v>888</v>
      </c>
      <c r="I123" s="28">
        <v>19.2</v>
      </c>
      <c r="J123" s="28">
        <v>18.100000000000001</v>
      </c>
      <c r="K123" s="28">
        <v>15.5</v>
      </c>
      <c r="L123" s="28">
        <v>14.5</v>
      </c>
      <c r="M123" s="28">
        <v>15.8</v>
      </c>
      <c r="N123" s="28">
        <v>18.899999999999999</v>
      </c>
      <c r="O123" s="28">
        <v>17.8</v>
      </c>
      <c r="P123" s="28">
        <v>16.2</v>
      </c>
      <c r="Q123" s="28">
        <v>15.6</v>
      </c>
      <c r="R123" s="28">
        <v>15.8</v>
      </c>
      <c r="S123" s="28">
        <v>15.5</v>
      </c>
      <c r="T123" s="28">
        <v>18.600000000000001</v>
      </c>
      <c r="U123" s="68">
        <f>AVERAGE(Table2022[[#This Row],[1.00]:[8.00]])</f>
        <v>17.985714285714288</v>
      </c>
      <c r="V123" s="69">
        <f>AVERAGE(Table2022[[#This Row],[9.00]:[17.00]])</f>
        <v>16.522222222222222</v>
      </c>
      <c r="W123" s="70">
        <f>AVERAGE(Table2022[[#This Row],[1.00]:[17.00]])</f>
        <v>17.162500000000001</v>
      </c>
      <c r="X123" s="40"/>
      <c r="Y123" s="9"/>
      <c r="Z123" s="146"/>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row>
    <row r="124" spans="1:51" x14ac:dyDescent="0.3">
      <c r="A124" s="4">
        <v>44</v>
      </c>
      <c r="B124" s="4" t="s">
        <v>1011</v>
      </c>
      <c r="C124" s="4" t="s">
        <v>930</v>
      </c>
      <c r="D124" s="28">
        <v>16.899999999999999</v>
      </c>
      <c r="E124" s="28">
        <v>21.9</v>
      </c>
      <c r="F124" s="28">
        <v>15.7</v>
      </c>
      <c r="G124" s="28">
        <v>18.600000000000001</v>
      </c>
      <c r="H124" s="28" t="s">
        <v>888</v>
      </c>
      <c r="I124" s="28">
        <v>19.2</v>
      </c>
      <c r="J124" s="28">
        <v>18.100000000000001</v>
      </c>
      <c r="K124" s="28">
        <v>15.5</v>
      </c>
      <c r="L124" s="28">
        <v>14.5</v>
      </c>
      <c r="M124" s="28">
        <v>15.8</v>
      </c>
      <c r="N124" s="28">
        <v>18.899999999999999</v>
      </c>
      <c r="O124" s="28">
        <v>17.8</v>
      </c>
      <c r="P124" s="28">
        <v>16.2</v>
      </c>
      <c r="Q124" s="28">
        <v>15.6</v>
      </c>
      <c r="R124" s="28">
        <v>15.8</v>
      </c>
      <c r="S124" s="28">
        <v>15.5</v>
      </c>
      <c r="T124" s="28">
        <v>18.600000000000001</v>
      </c>
      <c r="U124" s="68">
        <f>AVERAGE(Table2022[[#This Row],[1.00]:[8.00]])</f>
        <v>17.985714285714288</v>
      </c>
      <c r="V124" s="69">
        <f>AVERAGE(Table2022[[#This Row],[9.00]:[17.00]])</f>
        <v>16.522222222222222</v>
      </c>
      <c r="W124" s="70">
        <f>AVERAGE(Table2022[[#This Row],[1.00]:[17.00]])</f>
        <v>17.162500000000001</v>
      </c>
      <c r="X124" s="40"/>
      <c r="Y124" s="9"/>
      <c r="Z124" s="146"/>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row>
    <row r="125" spans="1:51" x14ac:dyDescent="0.3">
      <c r="A125" s="4">
        <v>45</v>
      </c>
      <c r="B125" s="4" t="s">
        <v>1012</v>
      </c>
      <c r="C125" s="4" t="s">
        <v>947</v>
      </c>
      <c r="D125" s="28">
        <v>14.9</v>
      </c>
      <c r="E125" s="28">
        <v>23.4</v>
      </c>
      <c r="F125" s="28">
        <v>15.8</v>
      </c>
      <c r="G125" s="28">
        <v>17.8</v>
      </c>
      <c r="H125" s="28">
        <v>17.7</v>
      </c>
      <c r="I125" s="28">
        <v>16.7</v>
      </c>
      <c r="J125" s="28">
        <v>13.6</v>
      </c>
      <c r="K125" s="28">
        <v>17.8</v>
      </c>
      <c r="L125" s="28" t="s">
        <v>888</v>
      </c>
      <c r="M125" s="28">
        <v>11.8</v>
      </c>
      <c r="N125" s="28">
        <v>23.5</v>
      </c>
      <c r="O125" s="28">
        <v>13.2</v>
      </c>
      <c r="P125" s="28">
        <v>19</v>
      </c>
      <c r="Q125" s="28">
        <v>15.7</v>
      </c>
      <c r="R125" s="28">
        <v>16.2</v>
      </c>
      <c r="S125" s="28">
        <v>13.2</v>
      </c>
      <c r="T125" s="28">
        <v>23.4</v>
      </c>
      <c r="U125" s="68">
        <f>AVERAGE(Table2022[[#This Row],[1.00]:[8.00]])</f>
        <v>17.212499999999999</v>
      </c>
      <c r="V125" s="69">
        <f>AVERAGE(Table2022[[#This Row],[9.00]:[17.00]])</f>
        <v>17</v>
      </c>
      <c r="W125" s="70">
        <f>AVERAGE(Table2022[[#This Row],[1.00]:[17.00]])</f>
        <v>17.106249999999996</v>
      </c>
      <c r="X125" s="40"/>
      <c r="Y125" s="9"/>
      <c r="Z125" s="146"/>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row>
    <row r="126" spans="1:51" x14ac:dyDescent="0.3">
      <c r="A126" s="4">
        <v>46</v>
      </c>
      <c r="B126" s="4" t="s">
        <v>1013</v>
      </c>
      <c r="C126" s="4" t="s">
        <v>947</v>
      </c>
      <c r="D126" s="28">
        <v>14.9</v>
      </c>
      <c r="E126" s="28">
        <v>23.4</v>
      </c>
      <c r="F126" s="28">
        <v>15.8</v>
      </c>
      <c r="G126" s="28">
        <v>17.8</v>
      </c>
      <c r="H126" s="28">
        <v>17.7</v>
      </c>
      <c r="I126" s="28">
        <v>16.7</v>
      </c>
      <c r="J126" s="28">
        <v>13.6</v>
      </c>
      <c r="K126" s="28">
        <v>17.8</v>
      </c>
      <c r="L126" s="28" t="s">
        <v>888</v>
      </c>
      <c r="M126" s="28">
        <v>11.8</v>
      </c>
      <c r="N126" s="28">
        <v>23.5</v>
      </c>
      <c r="O126" s="28">
        <v>13.2</v>
      </c>
      <c r="P126" s="28">
        <v>19</v>
      </c>
      <c r="Q126" s="28">
        <v>15.7</v>
      </c>
      <c r="R126" s="28">
        <v>16.2</v>
      </c>
      <c r="S126" s="28">
        <v>13.2</v>
      </c>
      <c r="T126" s="28">
        <v>23.4</v>
      </c>
      <c r="U126" s="68">
        <f>AVERAGE(Table2022[[#This Row],[1.00]:[8.00]])</f>
        <v>17.212499999999999</v>
      </c>
      <c r="V126" s="69">
        <f>AVERAGE(Table2022[[#This Row],[9.00]:[17.00]])</f>
        <v>17</v>
      </c>
      <c r="W126" s="70">
        <f>AVERAGE(Table2022[[#This Row],[1.00]:[17.00]])</f>
        <v>17.106249999999996</v>
      </c>
      <c r="X126" s="40"/>
      <c r="Y126" s="9"/>
      <c r="Z126" s="146"/>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row>
    <row r="127" spans="1:51" x14ac:dyDescent="0.3">
      <c r="A127" s="4">
        <v>47</v>
      </c>
      <c r="B127" s="4" t="s">
        <v>1014</v>
      </c>
      <c r="C127" s="4" t="s">
        <v>920</v>
      </c>
      <c r="D127" s="28">
        <v>18.899999999999999</v>
      </c>
      <c r="E127" s="28">
        <v>16.2</v>
      </c>
      <c r="F127" s="28">
        <v>21.9</v>
      </c>
      <c r="G127" s="28">
        <v>20.9</v>
      </c>
      <c r="H127" s="28">
        <v>19.2</v>
      </c>
      <c r="I127" s="28">
        <v>15.8</v>
      </c>
      <c r="J127" s="28">
        <v>15.5</v>
      </c>
      <c r="K127" s="28">
        <v>14.5</v>
      </c>
      <c r="L127" s="28">
        <v>16.899999999999999</v>
      </c>
      <c r="M127" s="28" t="s">
        <v>888</v>
      </c>
      <c r="N127" s="28">
        <v>15.5</v>
      </c>
      <c r="O127" s="28">
        <v>13.6</v>
      </c>
      <c r="P127" s="28">
        <v>13.2</v>
      </c>
      <c r="Q127" s="28">
        <v>15.8</v>
      </c>
      <c r="R127" s="28">
        <v>15.6</v>
      </c>
      <c r="S127" s="28">
        <v>18.100000000000001</v>
      </c>
      <c r="T127" s="28">
        <v>20.9</v>
      </c>
      <c r="U127" s="68">
        <f>AVERAGE(Table2022[[#This Row],[1.00]:[8.00]])</f>
        <v>17.862499999999997</v>
      </c>
      <c r="V127" s="69">
        <f>AVERAGE(Table2022[[#This Row],[9.00]:[17.00]])</f>
        <v>16.2</v>
      </c>
      <c r="W127" s="70">
        <f>AVERAGE(Table2022[[#This Row],[1.00]:[17.00]])</f>
        <v>17.031249999999996</v>
      </c>
      <c r="X127" s="40"/>
      <c r="Y127" s="9"/>
      <c r="Z127" s="146"/>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row>
    <row r="128" spans="1:51" x14ac:dyDescent="0.3">
      <c r="A128" s="4">
        <v>48</v>
      </c>
      <c r="B128" s="4" t="s">
        <v>1015</v>
      </c>
      <c r="C128" s="4" t="s">
        <v>936</v>
      </c>
      <c r="D128" s="28">
        <v>11.8</v>
      </c>
      <c r="E128" s="28">
        <v>16.5</v>
      </c>
      <c r="F128" s="28">
        <v>17.7</v>
      </c>
      <c r="G128" s="28">
        <v>16.7</v>
      </c>
      <c r="H128" s="28">
        <v>15.5</v>
      </c>
      <c r="I128" s="28">
        <v>13.6</v>
      </c>
      <c r="J128" s="28">
        <v>17.8</v>
      </c>
      <c r="K128" s="28" t="s">
        <v>888</v>
      </c>
      <c r="L128" s="28">
        <v>13.2</v>
      </c>
      <c r="M128" s="28">
        <v>21.9</v>
      </c>
      <c r="N128" s="28">
        <v>19</v>
      </c>
      <c r="O128" s="28">
        <v>23.5</v>
      </c>
      <c r="P128" s="28">
        <v>15.7</v>
      </c>
      <c r="Q128" s="28">
        <v>14.9</v>
      </c>
      <c r="R128" s="28">
        <v>13.2</v>
      </c>
      <c r="S128" s="28">
        <v>17.8</v>
      </c>
      <c r="T128" s="28">
        <v>16.5</v>
      </c>
      <c r="U128" s="68">
        <f>AVERAGE(Table2022[[#This Row],[1.00]:[8.00]])</f>
        <v>15.657142857142857</v>
      </c>
      <c r="V128" s="69">
        <f>AVERAGE(Table2022[[#This Row],[9.00]:[17.00]])</f>
        <v>17.3</v>
      </c>
      <c r="W128" s="70">
        <f>AVERAGE(Table2022[[#This Row],[1.00]:[17.00]])</f>
        <v>16.581249999999997</v>
      </c>
      <c r="X128" s="40"/>
      <c r="Y128" s="9"/>
      <c r="Z128" s="146"/>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row>
    <row r="129" spans="1:51" ht="15" thickBot="1" x14ac:dyDescent="0.35">
      <c r="A129" s="9"/>
      <c r="B129" s="9"/>
      <c r="C129" s="9"/>
      <c r="D129" s="40"/>
      <c r="E129" s="40"/>
      <c r="F129" s="40"/>
      <c r="G129" s="40"/>
      <c r="H129" s="40"/>
      <c r="I129" s="40"/>
      <c r="J129" s="40"/>
      <c r="K129" s="40"/>
      <c r="L129" s="40"/>
      <c r="M129" s="40"/>
      <c r="N129" s="40"/>
      <c r="O129" s="40"/>
      <c r="P129" s="40"/>
      <c r="Q129" s="40"/>
      <c r="R129" s="40"/>
      <c r="S129" s="40"/>
      <c r="T129" s="40"/>
      <c r="U129" s="40"/>
      <c r="V129" s="40"/>
      <c r="W129" s="40"/>
      <c r="X129" s="40"/>
      <c r="Y129" s="9"/>
      <c r="Z129" s="146"/>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row>
    <row r="130" spans="1:51" ht="16.2" thickBot="1" x14ac:dyDescent="0.35">
      <c r="A130" s="603" t="s">
        <v>1016</v>
      </c>
      <c r="B130" s="603"/>
      <c r="C130" s="603"/>
      <c r="D130" s="604" t="s">
        <v>861</v>
      </c>
      <c r="E130" s="605"/>
      <c r="F130" s="605"/>
      <c r="G130" s="605"/>
      <c r="H130" s="605"/>
      <c r="I130" s="605"/>
      <c r="J130" s="605"/>
      <c r="K130" s="605"/>
      <c r="L130" s="605"/>
      <c r="M130" s="605"/>
      <c r="N130" s="605"/>
      <c r="O130" s="606"/>
      <c r="P130" s="40"/>
      <c r="Q130" s="40"/>
      <c r="R130" s="40"/>
      <c r="S130" s="40"/>
      <c r="T130" s="40"/>
      <c r="U130" s="40"/>
      <c r="V130" s="40"/>
      <c r="W130" s="40"/>
      <c r="X130" s="40"/>
      <c r="Y130" s="9"/>
      <c r="Z130" s="146"/>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row>
    <row r="131" spans="1:51" ht="15" thickBot="1" x14ac:dyDescent="0.35">
      <c r="A131" s="63" t="s">
        <v>863</v>
      </c>
      <c r="B131" s="63" t="s">
        <v>415</v>
      </c>
      <c r="C131" s="63" t="s">
        <v>387</v>
      </c>
      <c r="D131" s="63" t="s">
        <v>951</v>
      </c>
      <c r="E131" s="63" t="s">
        <v>952</v>
      </c>
      <c r="F131" s="63" t="s">
        <v>953</v>
      </c>
      <c r="G131" s="63" t="s">
        <v>954</v>
      </c>
      <c r="H131" s="63" t="s">
        <v>955</v>
      </c>
      <c r="I131" s="63" t="s">
        <v>956</v>
      </c>
      <c r="J131" s="63" t="s">
        <v>957</v>
      </c>
      <c r="K131" s="63" t="s">
        <v>958</v>
      </c>
      <c r="L131" s="63" t="s">
        <v>959</v>
      </c>
      <c r="M131" s="63" t="s">
        <v>960</v>
      </c>
      <c r="N131" s="63" t="s">
        <v>961</v>
      </c>
      <c r="O131" s="63" t="s">
        <v>962</v>
      </c>
      <c r="P131" s="63" t="s">
        <v>963</v>
      </c>
      <c r="Q131" s="63" t="s">
        <v>964</v>
      </c>
      <c r="R131" s="63" t="s">
        <v>965</v>
      </c>
      <c r="S131" s="63" t="s">
        <v>966</v>
      </c>
      <c r="T131" s="63" t="s">
        <v>967</v>
      </c>
      <c r="U131" s="63" t="s">
        <v>881</v>
      </c>
      <c r="V131" s="63" t="s">
        <v>882</v>
      </c>
      <c r="W131" s="63" t="s">
        <v>883</v>
      </c>
      <c r="X131" s="40"/>
      <c r="Y131" s="9"/>
      <c r="Z131" s="146"/>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row>
    <row r="132" spans="1:51" x14ac:dyDescent="0.3">
      <c r="A132" s="4">
        <v>1</v>
      </c>
      <c r="B132" s="4" t="s">
        <v>1017</v>
      </c>
      <c r="C132" s="4" t="s">
        <v>906</v>
      </c>
      <c r="D132" s="28">
        <v>26.8</v>
      </c>
      <c r="E132" s="28">
        <v>20.5</v>
      </c>
      <c r="F132" s="28">
        <v>27.6</v>
      </c>
      <c r="G132" s="28">
        <v>25.1</v>
      </c>
      <c r="H132" s="28">
        <v>25.1</v>
      </c>
      <c r="I132" s="28">
        <v>24.6</v>
      </c>
      <c r="J132" s="28">
        <v>26.4</v>
      </c>
      <c r="K132" s="28" t="s">
        <v>888</v>
      </c>
      <c r="L132" s="28">
        <v>26.7</v>
      </c>
      <c r="M132" s="28">
        <v>19.8</v>
      </c>
      <c r="N132" s="28">
        <v>27.9</v>
      </c>
      <c r="O132" s="28">
        <v>25.7</v>
      </c>
      <c r="P132" s="28">
        <v>24.2</v>
      </c>
      <c r="Q132" s="28">
        <v>24.8</v>
      </c>
      <c r="R132" s="28">
        <v>20.5</v>
      </c>
      <c r="S132" s="28">
        <v>26.7</v>
      </c>
      <c r="T132" s="28">
        <v>27.9</v>
      </c>
      <c r="U132" s="65">
        <f>AVERAGE(Table202223[[#This Row],[1.00]:[8.00]])</f>
        <v>25.157142857142855</v>
      </c>
      <c r="V132" s="66">
        <f>AVERAGE(Table202223[[#This Row],[9.00]:[17.00]])</f>
        <v>24.911111111111111</v>
      </c>
      <c r="W132" s="67">
        <f>AVERAGE(Table202223[[#This Row],[1.00]:[17.00]])</f>
        <v>25.018749999999997</v>
      </c>
      <c r="X132" s="40"/>
      <c r="Y132" s="9"/>
      <c r="Z132" s="146"/>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row>
    <row r="133" spans="1:51" s="74" customFormat="1" x14ac:dyDescent="0.3">
      <c r="A133" s="4">
        <v>2</v>
      </c>
      <c r="B133" s="4" t="s">
        <v>1018</v>
      </c>
      <c r="C133" s="4" t="s">
        <v>906</v>
      </c>
      <c r="D133" s="28">
        <v>26.8</v>
      </c>
      <c r="E133" s="28">
        <v>20.5</v>
      </c>
      <c r="F133" s="28">
        <v>27.6</v>
      </c>
      <c r="G133" s="28">
        <v>25.1</v>
      </c>
      <c r="H133" s="28">
        <v>25.1</v>
      </c>
      <c r="I133" s="28">
        <v>24.6</v>
      </c>
      <c r="J133" s="28">
        <v>26.4</v>
      </c>
      <c r="K133" s="28" t="s">
        <v>888</v>
      </c>
      <c r="L133" s="28">
        <v>26.7</v>
      </c>
      <c r="M133" s="28">
        <v>19.8</v>
      </c>
      <c r="N133" s="28">
        <v>27.9</v>
      </c>
      <c r="O133" s="28">
        <v>25.7</v>
      </c>
      <c r="P133" s="28">
        <v>24.2</v>
      </c>
      <c r="Q133" s="28">
        <v>24.8</v>
      </c>
      <c r="R133" s="28">
        <v>20.5</v>
      </c>
      <c r="S133" s="28">
        <v>26.7</v>
      </c>
      <c r="T133" s="28">
        <v>27.9</v>
      </c>
      <c r="U133" s="68">
        <f>AVERAGE(Table202223[[#This Row],[1.00]:[8.00]])</f>
        <v>25.157142857142855</v>
      </c>
      <c r="V133" s="69">
        <f>AVERAGE(Table202223[[#This Row],[9.00]:[17.00]])</f>
        <v>24.911111111111111</v>
      </c>
      <c r="W133" s="70">
        <f>AVERAGE(Table202223[[#This Row],[1.00]:[17.00]])</f>
        <v>25.018749999999997</v>
      </c>
      <c r="X133" s="38"/>
      <c r="Y133" s="38"/>
      <c r="Z133" s="146"/>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row>
    <row r="134" spans="1:51" x14ac:dyDescent="0.3">
      <c r="A134" s="4">
        <v>3</v>
      </c>
      <c r="B134" s="4" t="s">
        <v>1019</v>
      </c>
      <c r="C134" s="4" t="s">
        <v>898</v>
      </c>
      <c r="D134" s="28">
        <v>25.1</v>
      </c>
      <c r="E134" s="28">
        <v>26.8</v>
      </c>
      <c r="F134" s="28">
        <v>14.9</v>
      </c>
      <c r="G134" s="28">
        <v>24.6</v>
      </c>
      <c r="H134" s="28">
        <v>19.8</v>
      </c>
      <c r="I134" s="28">
        <v>26.4</v>
      </c>
      <c r="J134" s="28">
        <v>27.9</v>
      </c>
      <c r="K134" s="28">
        <v>26.8</v>
      </c>
      <c r="L134" s="28" t="s">
        <v>888</v>
      </c>
      <c r="M134" s="28">
        <v>24.2</v>
      </c>
      <c r="N134" s="28">
        <v>24.8</v>
      </c>
      <c r="O134" s="28">
        <v>26.7</v>
      </c>
      <c r="P134" s="28">
        <v>27.6</v>
      </c>
      <c r="Q134" s="28">
        <v>27.9</v>
      </c>
      <c r="R134" s="28">
        <v>26.8</v>
      </c>
      <c r="S134" s="28">
        <v>19.5</v>
      </c>
      <c r="T134" s="28">
        <v>26.7</v>
      </c>
      <c r="U134" s="68">
        <f>AVERAGE(Table202223[[#This Row],[1.00]:[8.00]])</f>
        <v>24.037500000000001</v>
      </c>
      <c r="V134" s="69">
        <f>AVERAGE(Table202223[[#This Row],[9.00]:[17.00]])</f>
        <v>25.525000000000002</v>
      </c>
      <c r="W134" s="70">
        <f>AVERAGE(Table202223[[#This Row],[1.00]:[17.00]])</f>
        <v>24.78125</v>
      </c>
      <c r="X134" s="40"/>
      <c r="Y134" s="9"/>
      <c r="Z134" s="146"/>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row>
    <row r="135" spans="1:51" x14ac:dyDescent="0.3">
      <c r="A135" s="4">
        <v>4</v>
      </c>
      <c r="B135" s="4" t="s">
        <v>1020</v>
      </c>
      <c r="C135" s="4" t="s">
        <v>887</v>
      </c>
      <c r="D135" s="28">
        <v>24.2</v>
      </c>
      <c r="E135" s="28">
        <v>26.8</v>
      </c>
      <c r="F135" s="28">
        <v>20</v>
      </c>
      <c r="G135" s="28">
        <v>23.7</v>
      </c>
      <c r="H135" s="28">
        <v>20.5</v>
      </c>
      <c r="I135" s="28">
        <v>20.5</v>
      </c>
      <c r="J135" s="28" t="s">
        <v>888</v>
      </c>
      <c r="K135" s="28">
        <v>27.6</v>
      </c>
      <c r="L135" s="28">
        <v>27.9</v>
      </c>
      <c r="M135" s="28">
        <v>26.8</v>
      </c>
      <c r="N135" s="28">
        <v>26.7</v>
      </c>
      <c r="O135" s="28">
        <v>26.8</v>
      </c>
      <c r="P135" s="28">
        <v>22.2</v>
      </c>
      <c r="Q135" s="28">
        <v>24.2</v>
      </c>
      <c r="R135" s="28">
        <v>26.6</v>
      </c>
      <c r="S135" s="28">
        <v>22.3</v>
      </c>
      <c r="T135" s="28">
        <v>27.6</v>
      </c>
      <c r="U135" s="68">
        <f>AVERAGE(Table202223[[#This Row],[1.00]:[8.00]])</f>
        <v>23.328571428571426</v>
      </c>
      <c r="V135" s="69">
        <f>AVERAGE(Table202223[[#This Row],[9.00]:[17.00]])</f>
        <v>25.677777777777777</v>
      </c>
      <c r="W135" s="70">
        <f>AVERAGE(Table202223[[#This Row],[1.00]:[17.00]])</f>
        <v>24.650000000000002</v>
      </c>
      <c r="X135" s="40"/>
      <c r="Y135" s="9"/>
      <c r="Z135" s="146"/>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row>
    <row r="136" spans="1:51" x14ac:dyDescent="0.3">
      <c r="A136" s="4">
        <v>5</v>
      </c>
      <c r="B136" s="4" t="s">
        <v>1021</v>
      </c>
      <c r="C136" s="4" t="s">
        <v>894</v>
      </c>
      <c r="D136" s="28">
        <v>24.8</v>
      </c>
      <c r="E136" s="28">
        <v>27.9</v>
      </c>
      <c r="F136" s="28">
        <v>22.4</v>
      </c>
      <c r="G136" s="28">
        <v>20.5</v>
      </c>
      <c r="H136" s="28">
        <v>26.8</v>
      </c>
      <c r="I136" s="28">
        <v>24.2</v>
      </c>
      <c r="J136" s="28">
        <v>25.1</v>
      </c>
      <c r="K136" s="28" t="s">
        <v>888</v>
      </c>
      <c r="L136" s="28">
        <v>26.8</v>
      </c>
      <c r="M136" s="28">
        <v>27.9</v>
      </c>
      <c r="N136" s="28">
        <v>19.8</v>
      </c>
      <c r="O136" s="28">
        <v>20.5</v>
      </c>
      <c r="P136" s="28">
        <v>24.6</v>
      </c>
      <c r="Q136" s="28">
        <v>26.4</v>
      </c>
      <c r="R136" s="28">
        <v>27.6</v>
      </c>
      <c r="S136" s="28">
        <v>26.8</v>
      </c>
      <c r="T136" s="28">
        <v>20.5</v>
      </c>
      <c r="U136" s="68">
        <f>AVERAGE(Table202223[[#This Row],[1.00]:[8.00]])</f>
        <v>24.528571428571428</v>
      </c>
      <c r="V136" s="69">
        <f>AVERAGE(Table202223[[#This Row],[9.00]:[17.00]])</f>
        <v>24.544444444444444</v>
      </c>
      <c r="W136" s="70">
        <f>AVERAGE(Table202223[[#This Row],[1.00]:[17.00]])</f>
        <v>24.537500000000005</v>
      </c>
      <c r="X136" s="40"/>
      <c r="Y136" s="9"/>
      <c r="Z136" s="146"/>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row>
    <row r="137" spans="1:51" x14ac:dyDescent="0.3">
      <c r="A137" s="4">
        <v>6</v>
      </c>
      <c r="B137" s="4" t="s">
        <v>1022</v>
      </c>
      <c r="C137" s="4" t="s">
        <v>894</v>
      </c>
      <c r="D137" s="28">
        <v>24.8</v>
      </c>
      <c r="E137" s="28">
        <v>27.9</v>
      </c>
      <c r="F137" s="28">
        <v>22.4</v>
      </c>
      <c r="G137" s="28">
        <v>20.5</v>
      </c>
      <c r="H137" s="28">
        <v>26.8</v>
      </c>
      <c r="I137" s="28">
        <v>24.2</v>
      </c>
      <c r="J137" s="28">
        <v>25.1</v>
      </c>
      <c r="K137" s="28" t="s">
        <v>888</v>
      </c>
      <c r="L137" s="28">
        <v>26.8</v>
      </c>
      <c r="M137" s="28">
        <v>27.9</v>
      </c>
      <c r="N137" s="28">
        <v>19.8</v>
      </c>
      <c r="O137" s="28">
        <v>20.5</v>
      </c>
      <c r="P137" s="28">
        <v>24.6</v>
      </c>
      <c r="Q137" s="28">
        <v>26.4</v>
      </c>
      <c r="R137" s="28">
        <v>27.6</v>
      </c>
      <c r="S137" s="28">
        <v>26.8</v>
      </c>
      <c r="T137" s="28">
        <v>20.5</v>
      </c>
      <c r="U137" s="68">
        <f>AVERAGE(Table202223[[#This Row],[1.00]:[8.00]])</f>
        <v>24.528571428571428</v>
      </c>
      <c r="V137" s="69">
        <f>AVERAGE(Table202223[[#This Row],[9.00]:[17.00]])</f>
        <v>24.544444444444444</v>
      </c>
      <c r="W137" s="70">
        <f>AVERAGE(Table202223[[#This Row],[1.00]:[17.00]])</f>
        <v>24.537500000000005</v>
      </c>
      <c r="X137" s="40"/>
      <c r="Y137" s="9"/>
      <c r="Z137" s="146"/>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row>
    <row r="138" spans="1:51" x14ac:dyDescent="0.3">
      <c r="A138" s="4">
        <v>7</v>
      </c>
      <c r="B138" s="4" t="s">
        <v>1023</v>
      </c>
      <c r="C138" s="4" t="s">
        <v>908</v>
      </c>
      <c r="D138" s="28">
        <v>27.6</v>
      </c>
      <c r="E138" s="28">
        <v>26.7</v>
      </c>
      <c r="F138" s="28">
        <v>24.6</v>
      </c>
      <c r="G138" s="28">
        <v>26.8</v>
      </c>
      <c r="H138" s="28">
        <v>26.4</v>
      </c>
      <c r="I138" s="28">
        <v>24.5</v>
      </c>
      <c r="J138" s="28">
        <v>20.5</v>
      </c>
      <c r="K138" s="28">
        <v>25.1</v>
      </c>
      <c r="L138" s="28">
        <v>19.8</v>
      </c>
      <c r="M138" s="28">
        <v>26.7</v>
      </c>
      <c r="N138" s="28">
        <v>26.8</v>
      </c>
      <c r="O138" s="28">
        <v>24.2</v>
      </c>
      <c r="P138" s="28" t="s">
        <v>888</v>
      </c>
      <c r="Q138" s="28">
        <v>20.5</v>
      </c>
      <c r="R138" s="28">
        <v>24.8</v>
      </c>
      <c r="S138" s="28">
        <v>19.2</v>
      </c>
      <c r="T138" s="28">
        <v>26.8</v>
      </c>
      <c r="U138" s="68">
        <f>AVERAGE(Table202223[[#This Row],[1.00]:[8.00]])</f>
        <v>25.274999999999999</v>
      </c>
      <c r="V138" s="69">
        <f>AVERAGE(Table202223[[#This Row],[9.00]:[17.00]])</f>
        <v>23.6</v>
      </c>
      <c r="W138" s="70">
        <f>AVERAGE(Table202223[[#This Row],[1.00]:[17.00]])</f>
        <v>24.4375</v>
      </c>
      <c r="X138" s="40"/>
      <c r="Y138" s="9"/>
      <c r="Z138" s="146"/>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row>
    <row r="139" spans="1:51" x14ac:dyDescent="0.3">
      <c r="A139" s="4">
        <v>8</v>
      </c>
      <c r="B139" s="4" t="s">
        <v>1024</v>
      </c>
      <c r="C139" s="4" t="s">
        <v>941</v>
      </c>
      <c r="D139" s="28">
        <v>20.5</v>
      </c>
      <c r="E139" s="28">
        <v>24.8</v>
      </c>
      <c r="F139" s="28">
        <v>25.1</v>
      </c>
      <c r="G139" s="28">
        <v>16.600000000000001</v>
      </c>
      <c r="H139" s="28">
        <v>26.8</v>
      </c>
      <c r="I139" s="28">
        <v>19.899999999999999</v>
      </c>
      <c r="J139" s="28">
        <v>26.7</v>
      </c>
      <c r="K139" s="28">
        <v>27.9</v>
      </c>
      <c r="L139" s="28">
        <v>24.6</v>
      </c>
      <c r="M139" s="28">
        <v>19.2</v>
      </c>
      <c r="N139" s="28" t="s">
        <v>888</v>
      </c>
      <c r="O139" s="28">
        <v>26.4</v>
      </c>
      <c r="P139" s="28">
        <v>25.7</v>
      </c>
      <c r="Q139" s="28">
        <v>23.7</v>
      </c>
      <c r="R139" s="28">
        <v>24.6</v>
      </c>
      <c r="S139" s="28">
        <v>26.4</v>
      </c>
      <c r="T139" s="28">
        <v>24.8</v>
      </c>
      <c r="U139" s="68">
        <f>AVERAGE(Table202223[[#This Row],[1.00]:[8.00]])</f>
        <v>23.537499999999998</v>
      </c>
      <c r="V139" s="69">
        <f>AVERAGE(Table202223[[#This Row],[9.00]:[17.00]])</f>
        <v>24.425000000000001</v>
      </c>
      <c r="W139" s="70">
        <f>AVERAGE(Table202223[[#This Row],[1.00]:[17.00]])</f>
        <v>23.981249999999996</v>
      </c>
      <c r="X139" s="40"/>
      <c r="Y139" s="9"/>
      <c r="Z139" s="146"/>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row>
    <row r="140" spans="1:51" x14ac:dyDescent="0.3">
      <c r="A140" s="4">
        <v>9</v>
      </c>
      <c r="B140" s="4" t="s">
        <v>1025</v>
      </c>
      <c r="C140" s="4" t="s">
        <v>941</v>
      </c>
      <c r="D140" s="28">
        <v>20.5</v>
      </c>
      <c r="E140" s="28">
        <v>24.8</v>
      </c>
      <c r="F140" s="28">
        <v>25.1</v>
      </c>
      <c r="G140" s="28">
        <v>16.600000000000001</v>
      </c>
      <c r="H140" s="28">
        <v>26.8</v>
      </c>
      <c r="I140" s="28">
        <v>19.899999999999999</v>
      </c>
      <c r="J140" s="28">
        <v>26.7</v>
      </c>
      <c r="K140" s="28">
        <v>27.9</v>
      </c>
      <c r="L140" s="28">
        <v>24.6</v>
      </c>
      <c r="M140" s="28">
        <v>19.2</v>
      </c>
      <c r="N140" s="28" t="s">
        <v>888</v>
      </c>
      <c r="O140" s="28">
        <v>26.4</v>
      </c>
      <c r="P140" s="28">
        <v>25.7</v>
      </c>
      <c r="Q140" s="28">
        <v>23.7</v>
      </c>
      <c r="R140" s="28">
        <v>24.6</v>
      </c>
      <c r="S140" s="28">
        <v>26.4</v>
      </c>
      <c r="T140" s="28">
        <v>24.8</v>
      </c>
      <c r="U140" s="68">
        <f>AVERAGE(Table202223[[#This Row],[1.00]:[8.00]])</f>
        <v>23.537499999999998</v>
      </c>
      <c r="V140" s="69">
        <f>AVERAGE(Table202223[[#This Row],[9.00]:[17.00]])</f>
        <v>24.425000000000001</v>
      </c>
      <c r="W140" s="70">
        <f>AVERAGE(Table202223[[#This Row],[1.00]:[17.00]])</f>
        <v>23.981249999999996</v>
      </c>
      <c r="X140" s="40"/>
      <c r="Y140" s="9"/>
      <c r="Z140" s="146"/>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row>
    <row r="141" spans="1:51" x14ac:dyDescent="0.3">
      <c r="A141" s="4">
        <v>10</v>
      </c>
      <c r="B141" s="4" t="s">
        <v>1026</v>
      </c>
      <c r="C141" s="4" t="s">
        <v>892</v>
      </c>
      <c r="D141" s="28">
        <v>19.8</v>
      </c>
      <c r="E141" s="28">
        <v>26.2</v>
      </c>
      <c r="F141" s="28">
        <v>26.8</v>
      </c>
      <c r="G141" s="28">
        <v>22.2</v>
      </c>
      <c r="H141" s="28">
        <v>20.5</v>
      </c>
      <c r="I141" s="28">
        <v>26.7</v>
      </c>
      <c r="J141" s="28">
        <v>19.2</v>
      </c>
      <c r="K141" s="28" t="s">
        <v>888</v>
      </c>
      <c r="L141" s="28">
        <v>27.6</v>
      </c>
      <c r="M141" s="28">
        <v>20.5</v>
      </c>
      <c r="N141" s="28">
        <v>20</v>
      </c>
      <c r="O141" s="28">
        <v>27.9</v>
      </c>
      <c r="P141" s="28">
        <v>26.8</v>
      </c>
      <c r="Q141" s="28">
        <v>19.8</v>
      </c>
      <c r="R141" s="28">
        <v>22.3</v>
      </c>
      <c r="S141" s="28">
        <v>27.6</v>
      </c>
      <c r="T141" s="28">
        <v>26.8</v>
      </c>
      <c r="U141" s="68">
        <f>AVERAGE(Table202223[[#This Row],[1.00]:[8.00]])</f>
        <v>23.057142857142853</v>
      </c>
      <c r="V141" s="69">
        <f>AVERAGE(Table202223[[#This Row],[9.00]:[17.00]])</f>
        <v>24.366666666666667</v>
      </c>
      <c r="W141" s="70">
        <f>AVERAGE(Table202223[[#This Row],[1.00]:[17.00]])</f>
        <v>23.793750000000003</v>
      </c>
      <c r="X141" s="40"/>
      <c r="Y141" s="9"/>
      <c r="Z141" s="146"/>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row>
    <row r="142" spans="1:51" x14ac:dyDescent="0.3">
      <c r="A142" s="4">
        <v>11</v>
      </c>
      <c r="B142" s="4" t="s">
        <v>1027</v>
      </c>
      <c r="C142" s="4" t="s">
        <v>892</v>
      </c>
      <c r="D142" s="28">
        <v>19.8</v>
      </c>
      <c r="E142" s="28">
        <v>26.2</v>
      </c>
      <c r="F142" s="28">
        <v>26.8</v>
      </c>
      <c r="G142" s="28">
        <v>22.2</v>
      </c>
      <c r="H142" s="28">
        <v>20.5</v>
      </c>
      <c r="I142" s="28">
        <v>26.7</v>
      </c>
      <c r="J142" s="28">
        <v>19.2</v>
      </c>
      <c r="K142" s="28" t="s">
        <v>888</v>
      </c>
      <c r="L142" s="28">
        <v>27.6</v>
      </c>
      <c r="M142" s="28">
        <v>20.5</v>
      </c>
      <c r="N142" s="28">
        <v>20</v>
      </c>
      <c r="O142" s="28">
        <v>27.9</v>
      </c>
      <c r="P142" s="28">
        <v>26.8</v>
      </c>
      <c r="Q142" s="28">
        <v>19.8</v>
      </c>
      <c r="R142" s="28">
        <v>22.3</v>
      </c>
      <c r="S142" s="28">
        <v>27.6</v>
      </c>
      <c r="T142" s="28">
        <v>26.8</v>
      </c>
      <c r="U142" s="68">
        <f>AVERAGE(Table202223[[#This Row],[1.00]:[8.00]])</f>
        <v>23.057142857142853</v>
      </c>
      <c r="V142" s="69">
        <f>AVERAGE(Table202223[[#This Row],[9.00]:[17.00]])</f>
        <v>24.366666666666667</v>
      </c>
      <c r="W142" s="70">
        <f>AVERAGE(Table202223[[#This Row],[1.00]:[17.00]])</f>
        <v>23.793750000000003</v>
      </c>
      <c r="X142" s="40"/>
      <c r="Y142" s="9"/>
      <c r="Z142" s="146"/>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row>
    <row r="143" spans="1:51" x14ac:dyDescent="0.3">
      <c r="A143" s="4">
        <v>12</v>
      </c>
      <c r="B143" s="4" t="s">
        <v>1028</v>
      </c>
      <c r="C143" s="4" t="s">
        <v>936</v>
      </c>
      <c r="D143" s="28">
        <v>16.600000000000001</v>
      </c>
      <c r="E143" s="28">
        <v>26.4</v>
      </c>
      <c r="F143" s="28">
        <v>27.9</v>
      </c>
      <c r="G143" s="28">
        <v>20.5</v>
      </c>
      <c r="H143" s="28">
        <v>24.5</v>
      </c>
      <c r="I143" s="28">
        <v>26.8</v>
      </c>
      <c r="J143" s="28">
        <v>24.8</v>
      </c>
      <c r="K143" s="28" t="s">
        <v>888</v>
      </c>
      <c r="L143" s="28">
        <v>25.1</v>
      </c>
      <c r="M143" s="28">
        <v>19.2</v>
      </c>
      <c r="N143" s="28">
        <v>19.2</v>
      </c>
      <c r="O143" s="28">
        <v>23.7</v>
      </c>
      <c r="P143" s="28">
        <v>26.7</v>
      </c>
      <c r="Q143" s="28">
        <v>19.899999999999999</v>
      </c>
      <c r="R143" s="28">
        <v>25.1</v>
      </c>
      <c r="S143" s="28">
        <v>24.8</v>
      </c>
      <c r="T143" s="28">
        <v>26.4</v>
      </c>
      <c r="U143" s="68">
        <f>AVERAGE(Table202223[[#This Row],[1.00]:[8.00]])</f>
        <v>23.928571428571434</v>
      </c>
      <c r="V143" s="69">
        <f>AVERAGE(Table202223[[#This Row],[9.00]:[17.00]])</f>
        <v>23.344444444444449</v>
      </c>
      <c r="W143" s="70">
        <f>AVERAGE(Table202223[[#This Row],[1.00]:[17.00]])</f>
        <v>23.599999999999998</v>
      </c>
      <c r="X143" s="40"/>
      <c r="Y143" s="9"/>
      <c r="Z143" s="146"/>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row>
    <row r="144" spans="1:51" x14ac:dyDescent="0.3">
      <c r="A144" s="4">
        <v>13</v>
      </c>
      <c r="B144" s="4" t="s">
        <v>1029</v>
      </c>
      <c r="C144" s="4" t="s">
        <v>936</v>
      </c>
      <c r="D144" s="28">
        <v>16.600000000000001</v>
      </c>
      <c r="E144" s="28">
        <v>26.4</v>
      </c>
      <c r="F144" s="28">
        <v>27.9</v>
      </c>
      <c r="G144" s="28">
        <v>20.5</v>
      </c>
      <c r="H144" s="28">
        <v>24.5</v>
      </c>
      <c r="I144" s="28">
        <v>26.8</v>
      </c>
      <c r="J144" s="28">
        <v>24.8</v>
      </c>
      <c r="K144" s="28" t="s">
        <v>888</v>
      </c>
      <c r="L144" s="28">
        <v>25.1</v>
      </c>
      <c r="M144" s="28">
        <v>19.2</v>
      </c>
      <c r="N144" s="28">
        <v>19.2</v>
      </c>
      <c r="O144" s="28">
        <v>23.7</v>
      </c>
      <c r="P144" s="28">
        <v>26.7</v>
      </c>
      <c r="Q144" s="28">
        <v>19.899999999999999</v>
      </c>
      <c r="R144" s="28">
        <v>25.1</v>
      </c>
      <c r="S144" s="28">
        <v>24.8</v>
      </c>
      <c r="T144" s="28">
        <v>26.4</v>
      </c>
      <c r="U144" s="68">
        <f>AVERAGE(Table202223[[#This Row],[1.00]:[8.00]])</f>
        <v>23.928571428571434</v>
      </c>
      <c r="V144" s="69">
        <f>AVERAGE(Table202223[[#This Row],[9.00]:[17.00]])</f>
        <v>23.344444444444449</v>
      </c>
      <c r="W144" s="70">
        <f>AVERAGE(Table202223[[#This Row],[1.00]:[17.00]])</f>
        <v>23.599999999999998</v>
      </c>
      <c r="X144" s="40"/>
      <c r="Y144" s="9"/>
      <c r="Z144" s="146"/>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row>
    <row r="145" spans="1:51" x14ac:dyDescent="0.3">
      <c r="A145" s="4">
        <v>14</v>
      </c>
      <c r="B145" s="4" t="s">
        <v>1030</v>
      </c>
      <c r="C145" s="4" t="s">
        <v>932</v>
      </c>
      <c r="D145" s="28">
        <v>26.7</v>
      </c>
      <c r="E145" s="28">
        <v>25.1</v>
      </c>
      <c r="F145" s="28">
        <v>19.899999999999999</v>
      </c>
      <c r="G145" s="28">
        <v>26.4</v>
      </c>
      <c r="H145" s="28">
        <v>19.2</v>
      </c>
      <c r="I145" s="28">
        <v>23.7</v>
      </c>
      <c r="J145" s="28">
        <v>24.6</v>
      </c>
      <c r="K145" s="28">
        <v>26.4</v>
      </c>
      <c r="L145" s="28">
        <v>16.600000000000001</v>
      </c>
      <c r="M145" s="28" t="s">
        <v>888</v>
      </c>
      <c r="N145" s="28">
        <v>20.5</v>
      </c>
      <c r="O145" s="28">
        <v>22.4</v>
      </c>
      <c r="P145" s="28">
        <v>20.5</v>
      </c>
      <c r="Q145" s="28">
        <v>26.8</v>
      </c>
      <c r="R145" s="28">
        <v>27.9</v>
      </c>
      <c r="S145" s="28">
        <v>24.6</v>
      </c>
      <c r="T145" s="28">
        <v>25.1</v>
      </c>
      <c r="U145" s="68">
        <f>AVERAGE(Table202223[[#This Row],[1.00]:[8.00]])</f>
        <v>24</v>
      </c>
      <c r="V145" s="69">
        <f>AVERAGE(Table202223[[#This Row],[9.00]:[17.00]])</f>
        <v>23.049999999999997</v>
      </c>
      <c r="W145" s="70">
        <f>AVERAGE(Table202223[[#This Row],[1.00]:[17.00]])</f>
        <v>23.525000000000002</v>
      </c>
      <c r="X145" s="40"/>
      <c r="Y145" s="9"/>
      <c r="Z145" s="146"/>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row>
    <row r="146" spans="1:51" x14ac:dyDescent="0.3">
      <c r="A146" s="4">
        <v>15</v>
      </c>
      <c r="B146" s="4" t="s">
        <v>1031</v>
      </c>
      <c r="C146" s="4" t="s">
        <v>896</v>
      </c>
      <c r="D146" s="28">
        <v>19.5</v>
      </c>
      <c r="E146" s="28">
        <v>27.6</v>
      </c>
      <c r="F146" s="28">
        <v>19.8</v>
      </c>
      <c r="G146" s="28">
        <v>22.3</v>
      </c>
      <c r="H146" s="28">
        <v>25.7</v>
      </c>
      <c r="I146" s="28">
        <v>22.4</v>
      </c>
      <c r="J146" s="28">
        <v>20.5</v>
      </c>
      <c r="K146" s="28">
        <v>22.2</v>
      </c>
      <c r="L146" s="28" t="s">
        <v>888</v>
      </c>
      <c r="M146" s="28">
        <v>26.6</v>
      </c>
      <c r="N146" s="28">
        <v>24.2</v>
      </c>
      <c r="O146" s="28">
        <v>24.5</v>
      </c>
      <c r="P146" s="28">
        <v>23.7</v>
      </c>
      <c r="Q146" s="28">
        <v>22.3</v>
      </c>
      <c r="R146" s="28">
        <v>20.5</v>
      </c>
      <c r="S146" s="28">
        <v>26.8</v>
      </c>
      <c r="T146" s="28">
        <v>22.2</v>
      </c>
      <c r="U146" s="68">
        <f>AVERAGE(Table202223[[#This Row],[1.00]:[8.00]])</f>
        <v>22.5</v>
      </c>
      <c r="V146" s="69">
        <f>AVERAGE(Table202223[[#This Row],[9.00]:[17.00]])</f>
        <v>23.85</v>
      </c>
      <c r="W146" s="70">
        <f>AVERAGE(Table202223[[#This Row],[1.00]:[17.00]])</f>
        <v>23.175000000000001</v>
      </c>
      <c r="X146" s="40"/>
      <c r="Y146" s="9"/>
      <c r="Z146" s="146"/>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row>
    <row r="147" spans="1:51" x14ac:dyDescent="0.3">
      <c r="A147" s="4">
        <v>16</v>
      </c>
      <c r="B147" s="4" t="s">
        <v>1032</v>
      </c>
      <c r="C147" s="4" t="s">
        <v>896</v>
      </c>
      <c r="D147" s="28">
        <v>19.5</v>
      </c>
      <c r="E147" s="28">
        <v>27.6</v>
      </c>
      <c r="F147" s="28">
        <v>19.8</v>
      </c>
      <c r="G147" s="28">
        <v>22.3</v>
      </c>
      <c r="H147" s="28">
        <v>25.7</v>
      </c>
      <c r="I147" s="28">
        <v>22.4</v>
      </c>
      <c r="J147" s="28">
        <v>20.5</v>
      </c>
      <c r="K147" s="28">
        <v>22.2</v>
      </c>
      <c r="L147" s="28" t="s">
        <v>888</v>
      </c>
      <c r="M147" s="28">
        <v>26.6</v>
      </c>
      <c r="N147" s="28">
        <v>24.2</v>
      </c>
      <c r="O147" s="28">
        <v>24.5</v>
      </c>
      <c r="P147" s="28">
        <v>23.7</v>
      </c>
      <c r="Q147" s="28">
        <v>22.3</v>
      </c>
      <c r="R147" s="28">
        <v>20.5</v>
      </c>
      <c r="S147" s="28">
        <v>26.8</v>
      </c>
      <c r="T147" s="28">
        <v>22.2</v>
      </c>
      <c r="U147" s="68">
        <f>AVERAGE(Table202223[[#This Row],[1.00]:[8.00]])</f>
        <v>22.5</v>
      </c>
      <c r="V147" s="69">
        <f>AVERAGE(Table202223[[#This Row],[9.00]:[17.00]])</f>
        <v>23.85</v>
      </c>
      <c r="W147" s="70">
        <f>AVERAGE(Table202223[[#This Row],[1.00]:[17.00]])</f>
        <v>23.175000000000001</v>
      </c>
      <c r="X147" s="40"/>
      <c r="Y147" s="9"/>
      <c r="Z147" s="146"/>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row>
    <row r="148" spans="1:51" x14ac:dyDescent="0.3">
      <c r="A148" s="4">
        <v>17</v>
      </c>
      <c r="B148" s="4" t="s">
        <v>1033</v>
      </c>
      <c r="C148" s="4" t="s">
        <v>904</v>
      </c>
      <c r="D148" s="28">
        <v>26.8</v>
      </c>
      <c r="E148" s="28">
        <v>19.8</v>
      </c>
      <c r="F148" s="28">
        <v>24.2</v>
      </c>
      <c r="G148" s="28">
        <v>27.9</v>
      </c>
      <c r="H148" s="28">
        <v>26.7</v>
      </c>
      <c r="I148" s="28">
        <v>27.6</v>
      </c>
      <c r="J148" s="28">
        <v>22.3</v>
      </c>
      <c r="K148" s="28">
        <v>20.5</v>
      </c>
      <c r="L148" s="28" t="s">
        <v>888</v>
      </c>
      <c r="M148" s="28">
        <v>22.2</v>
      </c>
      <c r="N148" s="28">
        <v>20.5</v>
      </c>
      <c r="O148" s="28">
        <v>19.8</v>
      </c>
      <c r="P148" s="28">
        <v>19.899999999999999</v>
      </c>
      <c r="Q148" s="28">
        <v>27.6</v>
      </c>
      <c r="R148" s="28">
        <v>20.5</v>
      </c>
      <c r="S148" s="28">
        <v>20</v>
      </c>
      <c r="T148" s="28">
        <v>24.2</v>
      </c>
      <c r="U148" s="68">
        <f>AVERAGE(Table202223[[#This Row],[1.00]:[8.00]])</f>
        <v>24.475000000000001</v>
      </c>
      <c r="V148" s="69">
        <f>AVERAGE(Table202223[[#This Row],[9.00]:[17.00]])</f>
        <v>21.837499999999999</v>
      </c>
      <c r="W148" s="70">
        <f>AVERAGE(Table202223[[#This Row],[1.00]:[17.00]])</f>
        <v>23.15625</v>
      </c>
      <c r="X148" s="40"/>
      <c r="Y148" s="9"/>
      <c r="Z148" s="146"/>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row>
    <row r="149" spans="1:51" x14ac:dyDescent="0.3">
      <c r="A149" s="4">
        <v>18</v>
      </c>
      <c r="B149" s="4" t="s">
        <v>1034</v>
      </c>
      <c r="C149" s="4" t="s">
        <v>947</v>
      </c>
      <c r="D149" s="28">
        <v>19.899999999999999</v>
      </c>
      <c r="E149" s="28">
        <v>24.6</v>
      </c>
      <c r="F149" s="28">
        <v>19.5</v>
      </c>
      <c r="G149" s="28">
        <v>24.8</v>
      </c>
      <c r="H149" s="28">
        <v>27.9</v>
      </c>
      <c r="I149" s="28">
        <v>20.5</v>
      </c>
      <c r="J149" s="28">
        <v>26.8</v>
      </c>
      <c r="K149" s="28">
        <v>24.8</v>
      </c>
      <c r="L149" s="28" t="s">
        <v>888</v>
      </c>
      <c r="M149" s="28">
        <v>16.600000000000001</v>
      </c>
      <c r="N149" s="28">
        <v>23.7</v>
      </c>
      <c r="O149" s="28">
        <v>25.1</v>
      </c>
      <c r="P149" s="28">
        <v>19.2</v>
      </c>
      <c r="Q149" s="28">
        <v>26.7</v>
      </c>
      <c r="R149" s="28">
        <v>14.9</v>
      </c>
      <c r="S149" s="28">
        <v>25.1</v>
      </c>
      <c r="T149" s="28">
        <v>24.6</v>
      </c>
      <c r="U149" s="68">
        <f>AVERAGE(Table202223[[#This Row],[1.00]:[8.00]])</f>
        <v>23.6</v>
      </c>
      <c r="V149" s="69">
        <f>AVERAGE(Table202223[[#This Row],[9.00]:[17.00]])</f>
        <v>21.987500000000001</v>
      </c>
      <c r="W149" s="70">
        <f>AVERAGE(Table202223[[#This Row],[1.00]:[17.00]])</f>
        <v>22.793749999999999</v>
      </c>
      <c r="X149" s="40"/>
      <c r="Y149" s="9"/>
      <c r="Z149" s="146"/>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row>
    <row r="150" spans="1:51" x14ac:dyDescent="0.3">
      <c r="A150" s="4">
        <v>19</v>
      </c>
      <c r="B150" s="4" t="s">
        <v>1035</v>
      </c>
      <c r="C150" s="4" t="s">
        <v>926</v>
      </c>
      <c r="D150" s="28">
        <v>24.6</v>
      </c>
      <c r="E150" s="28">
        <v>19.2</v>
      </c>
      <c r="F150" s="28">
        <v>23.7</v>
      </c>
      <c r="G150" s="28">
        <v>25.1</v>
      </c>
      <c r="H150" s="28" t="s">
        <v>888</v>
      </c>
      <c r="I150" s="28">
        <v>15.9</v>
      </c>
      <c r="J150" s="28">
        <v>19.899999999999999</v>
      </c>
      <c r="K150" s="28">
        <v>26.2</v>
      </c>
      <c r="L150" s="28">
        <v>24.8</v>
      </c>
      <c r="M150" s="28">
        <v>26.4</v>
      </c>
      <c r="N150" s="28">
        <v>27.6</v>
      </c>
      <c r="O150" s="28">
        <v>26.6</v>
      </c>
      <c r="P150" s="28">
        <v>20.5</v>
      </c>
      <c r="Q150" s="28">
        <v>20.5</v>
      </c>
      <c r="R150" s="28">
        <v>19.2</v>
      </c>
      <c r="S150" s="28">
        <v>19.899999999999999</v>
      </c>
      <c r="T150" s="28">
        <v>23.7</v>
      </c>
      <c r="U150" s="68">
        <f>AVERAGE(Table202223[[#This Row],[1.00]:[8.00]])</f>
        <v>22.085714285714285</v>
      </c>
      <c r="V150" s="69">
        <f>AVERAGE(Table202223[[#This Row],[9.00]:[17.00]])</f>
        <v>23.244444444444444</v>
      </c>
      <c r="W150" s="70">
        <f>AVERAGE(Table202223[[#This Row],[1.00]:[17.00]])</f>
        <v>22.737499999999997</v>
      </c>
      <c r="X150" s="40"/>
      <c r="Y150" s="9"/>
      <c r="Z150" s="146"/>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row>
    <row r="151" spans="1:51" x14ac:dyDescent="0.3">
      <c r="A151" s="4">
        <v>20</v>
      </c>
      <c r="B151" s="4" t="s">
        <v>1036</v>
      </c>
      <c r="C151" s="4" t="s">
        <v>926</v>
      </c>
      <c r="D151" s="28">
        <v>24.6</v>
      </c>
      <c r="E151" s="28">
        <v>19.2</v>
      </c>
      <c r="F151" s="28">
        <v>23.7</v>
      </c>
      <c r="G151" s="28">
        <v>25.1</v>
      </c>
      <c r="H151" s="28" t="s">
        <v>888</v>
      </c>
      <c r="I151" s="28">
        <v>15.9</v>
      </c>
      <c r="J151" s="28">
        <v>19.899999999999999</v>
      </c>
      <c r="K151" s="28">
        <v>26.2</v>
      </c>
      <c r="L151" s="28">
        <v>24.8</v>
      </c>
      <c r="M151" s="28">
        <v>26.4</v>
      </c>
      <c r="N151" s="28">
        <v>27.6</v>
      </c>
      <c r="O151" s="28">
        <v>26.6</v>
      </c>
      <c r="P151" s="28">
        <v>20.5</v>
      </c>
      <c r="Q151" s="28">
        <v>20.5</v>
      </c>
      <c r="R151" s="28">
        <v>19.2</v>
      </c>
      <c r="S151" s="28">
        <v>19.899999999999999</v>
      </c>
      <c r="T151" s="28">
        <v>23.7</v>
      </c>
      <c r="U151" s="68">
        <f>AVERAGE(Table202223[[#This Row],[1.00]:[8.00]])</f>
        <v>22.085714285714285</v>
      </c>
      <c r="V151" s="69">
        <f>AVERAGE(Table202223[[#This Row],[9.00]:[17.00]])</f>
        <v>23.244444444444444</v>
      </c>
      <c r="W151" s="70">
        <f>AVERAGE(Table202223[[#This Row],[1.00]:[17.00]])</f>
        <v>22.737499999999997</v>
      </c>
      <c r="X151" s="40"/>
      <c r="Y151" s="9"/>
      <c r="Z151" s="146"/>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row>
    <row r="152" spans="1:51" x14ac:dyDescent="0.3">
      <c r="A152" s="4">
        <v>21</v>
      </c>
      <c r="B152" s="4" t="s">
        <v>1037</v>
      </c>
      <c r="C152" s="4" t="s">
        <v>890</v>
      </c>
      <c r="D152" s="28">
        <v>25.7</v>
      </c>
      <c r="E152" s="28">
        <v>24.5</v>
      </c>
      <c r="F152" s="28">
        <v>20.5</v>
      </c>
      <c r="G152" s="28">
        <v>20</v>
      </c>
      <c r="H152" s="28">
        <v>27.6</v>
      </c>
      <c r="I152" s="28">
        <v>19.2</v>
      </c>
      <c r="J152" s="28">
        <v>26.8</v>
      </c>
      <c r="K152" s="28">
        <v>19.5</v>
      </c>
      <c r="L152" s="28">
        <v>22.2</v>
      </c>
      <c r="M152" s="28" t="s">
        <v>888</v>
      </c>
      <c r="N152" s="28">
        <v>22.4</v>
      </c>
      <c r="O152" s="28">
        <v>22.2</v>
      </c>
      <c r="P152" s="28">
        <v>26.2</v>
      </c>
      <c r="Q152" s="28">
        <v>20</v>
      </c>
      <c r="R152" s="28">
        <v>24.2</v>
      </c>
      <c r="S152" s="28">
        <v>19.8</v>
      </c>
      <c r="T152" s="28">
        <v>20.5</v>
      </c>
      <c r="U152" s="68">
        <f>AVERAGE(Table202223[[#This Row],[1.00]:[8.00]])</f>
        <v>22.975000000000001</v>
      </c>
      <c r="V152" s="69">
        <f>AVERAGE(Table202223[[#This Row],[9.00]:[17.00]])</f>
        <v>22.1875</v>
      </c>
      <c r="W152" s="70">
        <f>AVERAGE(Table202223[[#This Row],[1.00]:[17.00]])</f>
        <v>22.581250000000001</v>
      </c>
      <c r="X152" s="40"/>
      <c r="Y152" s="9"/>
      <c r="Z152" s="146"/>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row>
    <row r="153" spans="1:51" x14ac:dyDescent="0.3">
      <c r="A153" s="4">
        <v>22</v>
      </c>
      <c r="B153" s="4" t="s">
        <v>1038</v>
      </c>
      <c r="C153" s="4" t="s">
        <v>890</v>
      </c>
      <c r="D153" s="28">
        <v>25.7</v>
      </c>
      <c r="E153" s="28">
        <v>24.5</v>
      </c>
      <c r="F153" s="28">
        <v>20.5</v>
      </c>
      <c r="G153" s="28">
        <v>20</v>
      </c>
      <c r="H153" s="28">
        <v>27.6</v>
      </c>
      <c r="I153" s="28">
        <v>19.2</v>
      </c>
      <c r="J153" s="28">
        <v>26.8</v>
      </c>
      <c r="K153" s="28">
        <v>19.5</v>
      </c>
      <c r="L153" s="28">
        <v>22.2</v>
      </c>
      <c r="M153" s="28" t="s">
        <v>888</v>
      </c>
      <c r="N153" s="28">
        <v>22.4</v>
      </c>
      <c r="O153" s="28">
        <v>22.2</v>
      </c>
      <c r="P153" s="28">
        <v>26.2</v>
      </c>
      <c r="Q153" s="28">
        <v>20</v>
      </c>
      <c r="R153" s="28">
        <v>24.2</v>
      </c>
      <c r="S153" s="28">
        <v>19.8</v>
      </c>
      <c r="T153" s="28">
        <v>20.5</v>
      </c>
      <c r="U153" s="68">
        <f>AVERAGE(Table202223[[#This Row],[1.00]:[8.00]])</f>
        <v>22.975000000000001</v>
      </c>
      <c r="V153" s="69">
        <f>AVERAGE(Table202223[[#This Row],[9.00]:[17.00]])</f>
        <v>22.1875</v>
      </c>
      <c r="W153" s="70">
        <f>AVERAGE(Table202223[[#This Row],[1.00]:[17.00]])</f>
        <v>22.581250000000001</v>
      </c>
      <c r="X153" s="40"/>
      <c r="Y153" s="9"/>
      <c r="Z153" s="146"/>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row>
    <row r="154" spans="1:51" x14ac:dyDescent="0.3">
      <c r="A154" s="4">
        <v>23</v>
      </c>
      <c r="B154" s="4" t="s">
        <v>1039</v>
      </c>
      <c r="C154" s="4" t="s">
        <v>910</v>
      </c>
      <c r="D154" s="28">
        <v>27.9</v>
      </c>
      <c r="E154" s="28">
        <v>20</v>
      </c>
      <c r="F154" s="28">
        <v>26.8</v>
      </c>
      <c r="G154" s="28" t="s">
        <v>888</v>
      </c>
      <c r="H154" s="28">
        <v>22.3</v>
      </c>
      <c r="I154" s="28">
        <v>26.8</v>
      </c>
      <c r="J154" s="28">
        <v>22.2</v>
      </c>
      <c r="K154" s="28">
        <v>19.8</v>
      </c>
      <c r="L154" s="28">
        <v>24.2</v>
      </c>
      <c r="M154" s="28">
        <v>15.9</v>
      </c>
      <c r="N154" s="28">
        <v>16.600000000000001</v>
      </c>
      <c r="O154" s="28">
        <v>20.5</v>
      </c>
      <c r="P154" s="28">
        <v>20.5</v>
      </c>
      <c r="Q154" s="28">
        <v>26.8</v>
      </c>
      <c r="R154" s="28">
        <v>26.7</v>
      </c>
      <c r="S154" s="28">
        <v>24.2</v>
      </c>
      <c r="T154" s="28">
        <v>19.8</v>
      </c>
      <c r="U154" s="68">
        <f>AVERAGE(Table202223[[#This Row],[1.00]:[8.00]])</f>
        <v>23.685714285714287</v>
      </c>
      <c r="V154" s="69">
        <f>AVERAGE(Table202223[[#This Row],[9.00]:[17.00]])</f>
        <v>21.688888888888886</v>
      </c>
      <c r="W154" s="70">
        <f>AVERAGE(Table202223[[#This Row],[1.00]:[17.00]])</f>
        <v>22.5625</v>
      </c>
      <c r="X154" s="40"/>
      <c r="Y154" s="9"/>
      <c r="Z154" s="146"/>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row>
    <row r="155" spans="1:51" x14ac:dyDescent="0.3">
      <c r="A155" s="4">
        <v>24</v>
      </c>
      <c r="B155" s="4" t="s">
        <v>1040</v>
      </c>
      <c r="C155" s="4" t="s">
        <v>940</v>
      </c>
      <c r="D155" s="28">
        <v>26.4</v>
      </c>
      <c r="E155" s="28">
        <v>26.6</v>
      </c>
      <c r="F155" s="28">
        <v>24.8</v>
      </c>
      <c r="G155" s="28">
        <v>19.2</v>
      </c>
      <c r="H155" s="28">
        <v>23.7</v>
      </c>
      <c r="I155" s="28">
        <v>25.1</v>
      </c>
      <c r="J155" s="28">
        <v>16.600000000000001</v>
      </c>
      <c r="K155" s="28">
        <v>20.5</v>
      </c>
      <c r="L155" s="28" t="s">
        <v>888</v>
      </c>
      <c r="M155" s="28">
        <v>23.7</v>
      </c>
      <c r="N155" s="28">
        <v>22.2</v>
      </c>
      <c r="O155" s="28">
        <v>15.9</v>
      </c>
      <c r="P155" s="28">
        <v>26.8</v>
      </c>
      <c r="Q155" s="28">
        <v>24.6</v>
      </c>
      <c r="R155" s="28">
        <v>26.2</v>
      </c>
      <c r="S155" s="28">
        <v>16.600000000000001</v>
      </c>
      <c r="T155" s="28">
        <v>19.2</v>
      </c>
      <c r="U155" s="68">
        <f>AVERAGE(Table202223[[#This Row],[1.00]:[8.00]])</f>
        <v>22.862500000000001</v>
      </c>
      <c r="V155" s="69">
        <f>AVERAGE(Table202223[[#This Row],[9.00]:[17.00]])</f>
        <v>21.899999999999995</v>
      </c>
      <c r="W155" s="70">
        <f>AVERAGE(Table202223[[#This Row],[1.00]:[17.00]])</f>
        <v>22.381250000000001</v>
      </c>
      <c r="X155" s="40"/>
      <c r="Y155" s="9"/>
      <c r="Z155" s="146"/>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row>
    <row r="156" spans="1:51" x14ac:dyDescent="0.3">
      <c r="A156" s="4">
        <v>25</v>
      </c>
      <c r="B156" s="4" t="s">
        <v>1041</v>
      </c>
      <c r="C156" s="4" t="s">
        <v>940</v>
      </c>
      <c r="D156" s="28">
        <v>26.4</v>
      </c>
      <c r="E156" s="28">
        <v>26.6</v>
      </c>
      <c r="F156" s="28">
        <v>24.8</v>
      </c>
      <c r="G156" s="28">
        <v>19.2</v>
      </c>
      <c r="H156" s="28">
        <v>23.7</v>
      </c>
      <c r="I156" s="28">
        <v>25.1</v>
      </c>
      <c r="J156" s="28">
        <v>16.600000000000001</v>
      </c>
      <c r="K156" s="28">
        <v>20.5</v>
      </c>
      <c r="L156" s="28" t="s">
        <v>888</v>
      </c>
      <c r="M156" s="28">
        <v>23.7</v>
      </c>
      <c r="N156" s="28">
        <v>22.2</v>
      </c>
      <c r="O156" s="28">
        <v>15.9</v>
      </c>
      <c r="P156" s="28">
        <v>26.8</v>
      </c>
      <c r="Q156" s="28">
        <v>24.6</v>
      </c>
      <c r="R156" s="28">
        <v>26.2</v>
      </c>
      <c r="S156" s="28">
        <v>16.600000000000001</v>
      </c>
      <c r="T156" s="28">
        <v>19.2</v>
      </c>
      <c r="U156" s="68">
        <f>AVERAGE(Table202223[[#This Row],[1.00]:[8.00]])</f>
        <v>22.862500000000001</v>
      </c>
      <c r="V156" s="69">
        <f>AVERAGE(Table202223[[#This Row],[9.00]:[17.00]])</f>
        <v>21.899999999999995</v>
      </c>
      <c r="W156" s="70">
        <f>AVERAGE(Table202223[[#This Row],[1.00]:[17.00]])</f>
        <v>22.381250000000001</v>
      </c>
      <c r="X156" s="40"/>
      <c r="Y156" s="9"/>
      <c r="Z156" s="146"/>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row>
    <row r="157" spans="1:51" x14ac:dyDescent="0.3">
      <c r="A157" s="4">
        <v>26</v>
      </c>
      <c r="B157" s="4" t="s">
        <v>1042</v>
      </c>
      <c r="C157" s="4" t="s">
        <v>940</v>
      </c>
      <c r="D157" s="28">
        <v>26.4</v>
      </c>
      <c r="E157" s="28">
        <v>26.6</v>
      </c>
      <c r="F157" s="28">
        <v>24.8</v>
      </c>
      <c r="G157" s="28">
        <v>19.2</v>
      </c>
      <c r="H157" s="28">
        <v>23.7</v>
      </c>
      <c r="I157" s="28">
        <v>25.1</v>
      </c>
      <c r="J157" s="28">
        <v>16.600000000000001</v>
      </c>
      <c r="K157" s="28">
        <v>20.5</v>
      </c>
      <c r="L157" s="28" t="s">
        <v>888</v>
      </c>
      <c r="M157" s="28">
        <v>23.7</v>
      </c>
      <c r="N157" s="28">
        <v>22.2</v>
      </c>
      <c r="O157" s="28">
        <v>15.9</v>
      </c>
      <c r="P157" s="28">
        <v>26.8</v>
      </c>
      <c r="Q157" s="28">
        <v>24.6</v>
      </c>
      <c r="R157" s="28">
        <v>26.2</v>
      </c>
      <c r="S157" s="28">
        <v>16.600000000000001</v>
      </c>
      <c r="T157" s="28">
        <v>19.2</v>
      </c>
      <c r="U157" s="68">
        <f>AVERAGE(Table202223[[#This Row],[1.00]:[8.00]])</f>
        <v>22.862500000000001</v>
      </c>
      <c r="V157" s="69">
        <f>AVERAGE(Table202223[[#This Row],[9.00]:[17.00]])</f>
        <v>21.899999999999995</v>
      </c>
      <c r="W157" s="70">
        <f>AVERAGE(Table202223[[#This Row],[1.00]:[17.00]])</f>
        <v>22.381250000000001</v>
      </c>
      <c r="X157" s="40"/>
      <c r="Y157" s="9"/>
      <c r="Z157" s="146"/>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row>
    <row r="158" spans="1:51" x14ac:dyDescent="0.3">
      <c r="A158" s="4">
        <v>27</v>
      </c>
      <c r="B158" s="4" t="s">
        <v>1043</v>
      </c>
      <c r="C158" s="4" t="s">
        <v>914</v>
      </c>
      <c r="D158" s="28">
        <v>20.5</v>
      </c>
      <c r="E158" s="28">
        <v>25.7</v>
      </c>
      <c r="F158" s="28">
        <v>20.5</v>
      </c>
      <c r="G158" s="28">
        <v>26.6</v>
      </c>
      <c r="H158" s="28">
        <v>15.9</v>
      </c>
      <c r="I158" s="28">
        <v>19.2</v>
      </c>
      <c r="J158" s="28">
        <v>19.5</v>
      </c>
      <c r="K158" s="28">
        <v>19.2</v>
      </c>
      <c r="L158" s="28">
        <v>20.5</v>
      </c>
      <c r="M158" s="28">
        <v>26.2</v>
      </c>
      <c r="N158" s="28" t="s">
        <v>888</v>
      </c>
      <c r="O158" s="28">
        <v>25.1</v>
      </c>
      <c r="P158" s="28">
        <v>22.4</v>
      </c>
      <c r="Q158" s="28">
        <v>24.5</v>
      </c>
      <c r="R158" s="28">
        <v>26.4</v>
      </c>
      <c r="S158" s="28">
        <v>25.1</v>
      </c>
      <c r="T158" s="28">
        <v>20.5</v>
      </c>
      <c r="U158" s="68">
        <f>AVERAGE(Table202223[[#This Row],[1.00]:[8.00]])</f>
        <v>20.887499999999999</v>
      </c>
      <c r="V158" s="69">
        <f>AVERAGE(Table202223[[#This Row],[9.00]:[17.00]])</f>
        <v>23.837500000000002</v>
      </c>
      <c r="W158" s="70">
        <f>AVERAGE(Table202223[[#This Row],[1.00]:[17.00]])</f>
        <v>22.362499999999997</v>
      </c>
      <c r="X158" s="40"/>
      <c r="Y158" s="9"/>
      <c r="Z158" s="146"/>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row>
    <row r="159" spans="1:51" x14ac:dyDescent="0.3">
      <c r="A159" s="4">
        <v>28</v>
      </c>
      <c r="B159" s="4" t="s">
        <v>1044</v>
      </c>
      <c r="C159" s="4" t="s">
        <v>914</v>
      </c>
      <c r="D159" s="28">
        <v>20.5</v>
      </c>
      <c r="E159" s="28">
        <v>25.7</v>
      </c>
      <c r="F159" s="28">
        <v>20.5</v>
      </c>
      <c r="G159" s="28">
        <v>26.6</v>
      </c>
      <c r="H159" s="28">
        <v>15.9</v>
      </c>
      <c r="I159" s="28">
        <v>19.2</v>
      </c>
      <c r="J159" s="28">
        <v>19.5</v>
      </c>
      <c r="K159" s="28">
        <v>19.2</v>
      </c>
      <c r="L159" s="28">
        <v>20.5</v>
      </c>
      <c r="M159" s="28">
        <v>26.2</v>
      </c>
      <c r="N159" s="28" t="s">
        <v>888</v>
      </c>
      <c r="O159" s="28">
        <v>25.1</v>
      </c>
      <c r="P159" s="28">
        <v>22.4</v>
      </c>
      <c r="Q159" s="28">
        <v>24.5</v>
      </c>
      <c r="R159" s="28">
        <v>26.4</v>
      </c>
      <c r="S159" s="28">
        <v>25.1</v>
      </c>
      <c r="T159" s="28">
        <v>20.5</v>
      </c>
      <c r="U159" s="68">
        <f>AVERAGE(Table202223[[#This Row],[1.00]:[8.00]])</f>
        <v>20.887499999999999</v>
      </c>
      <c r="V159" s="69">
        <f>AVERAGE(Table202223[[#This Row],[9.00]:[17.00]])</f>
        <v>23.837500000000002</v>
      </c>
      <c r="W159" s="70">
        <f>AVERAGE(Table202223[[#This Row],[1.00]:[17.00]])</f>
        <v>22.362499999999997</v>
      </c>
      <c r="X159" s="40"/>
      <c r="Y159" s="9"/>
      <c r="Z159" s="146"/>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row>
    <row r="160" spans="1:51" x14ac:dyDescent="0.3">
      <c r="A160" s="4">
        <v>29</v>
      </c>
      <c r="B160" s="4" t="s">
        <v>1045</v>
      </c>
      <c r="C160" s="4" t="s">
        <v>934</v>
      </c>
      <c r="D160" s="28">
        <v>23.7</v>
      </c>
      <c r="E160" s="28">
        <v>16.600000000000001</v>
      </c>
      <c r="F160" s="28">
        <v>26.6</v>
      </c>
      <c r="G160" s="28">
        <v>19.899999999999999</v>
      </c>
      <c r="H160" s="28">
        <v>24.8</v>
      </c>
      <c r="I160" s="28">
        <v>22.3</v>
      </c>
      <c r="J160" s="28">
        <v>24.2</v>
      </c>
      <c r="K160" s="28" t="s">
        <v>888</v>
      </c>
      <c r="L160" s="28">
        <v>20.5</v>
      </c>
      <c r="M160" s="28">
        <v>25.1</v>
      </c>
      <c r="N160" s="28">
        <v>24.6</v>
      </c>
      <c r="O160" s="28">
        <v>26.2</v>
      </c>
      <c r="P160" s="28">
        <v>26.4</v>
      </c>
      <c r="Q160" s="28">
        <v>15.9</v>
      </c>
      <c r="R160" s="28">
        <v>16.600000000000001</v>
      </c>
      <c r="S160" s="28">
        <v>23.7</v>
      </c>
      <c r="T160" s="28">
        <v>19.899999999999999</v>
      </c>
      <c r="U160" s="68">
        <f>AVERAGE(Table202223[[#This Row],[1.00]:[8.00]])</f>
        <v>22.585714285714285</v>
      </c>
      <c r="V160" s="69">
        <f>AVERAGE(Table202223[[#This Row],[9.00]:[17.00]])</f>
        <v>22.1</v>
      </c>
      <c r="W160" s="70">
        <f>AVERAGE(Table202223[[#This Row],[1.00]:[17.00]])</f>
        <v>22.312499999999996</v>
      </c>
      <c r="X160" s="40"/>
      <c r="Y160" s="9"/>
      <c r="Z160" s="146"/>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row>
    <row r="161" spans="1:51" x14ac:dyDescent="0.3">
      <c r="A161" s="4">
        <v>30</v>
      </c>
      <c r="B161" s="4" t="s">
        <v>1046</v>
      </c>
      <c r="C161" s="4" t="s">
        <v>912</v>
      </c>
      <c r="D161" s="28">
        <v>20</v>
      </c>
      <c r="E161" s="28">
        <v>25.1</v>
      </c>
      <c r="F161" s="28">
        <v>26.4</v>
      </c>
      <c r="G161" s="28">
        <v>24.5</v>
      </c>
      <c r="H161" s="28">
        <v>22.2</v>
      </c>
      <c r="I161" s="28">
        <v>25.7</v>
      </c>
      <c r="J161" s="28">
        <v>14.9</v>
      </c>
      <c r="K161" s="28">
        <v>22.3</v>
      </c>
      <c r="L161" s="28" t="s">
        <v>888</v>
      </c>
      <c r="M161" s="28">
        <v>22.4</v>
      </c>
      <c r="N161" s="28">
        <v>20.5</v>
      </c>
      <c r="O161" s="28">
        <v>19.2</v>
      </c>
      <c r="P161" s="28">
        <v>20.5</v>
      </c>
      <c r="Q161" s="28">
        <v>25.7</v>
      </c>
      <c r="R161" s="28">
        <v>22.4</v>
      </c>
      <c r="S161" s="28">
        <v>20.5</v>
      </c>
      <c r="T161" s="28">
        <v>24.5</v>
      </c>
      <c r="U161" s="68">
        <f>AVERAGE(Table202223[[#This Row],[1.00]:[8.00]])</f>
        <v>22.637500000000003</v>
      </c>
      <c r="V161" s="69">
        <f>AVERAGE(Table202223[[#This Row],[9.00]:[17.00]])</f>
        <v>21.962499999999999</v>
      </c>
      <c r="W161" s="70">
        <f>AVERAGE(Table202223[[#This Row],[1.00]:[17.00]])</f>
        <v>22.3</v>
      </c>
      <c r="X161" s="40"/>
      <c r="Y161" s="9"/>
      <c r="Z161" s="146"/>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row>
    <row r="162" spans="1:51" x14ac:dyDescent="0.3">
      <c r="A162" s="4">
        <v>31</v>
      </c>
      <c r="B162" s="4" t="s">
        <v>1047</v>
      </c>
      <c r="C162" s="4" t="s">
        <v>902</v>
      </c>
      <c r="D162" s="28">
        <v>24.5</v>
      </c>
      <c r="E162" s="28">
        <v>20.5</v>
      </c>
      <c r="F162" s="28">
        <v>20.5</v>
      </c>
      <c r="G162" s="28">
        <v>24.2</v>
      </c>
      <c r="H162" s="28">
        <v>19.5</v>
      </c>
      <c r="I162" s="28" t="s">
        <v>888</v>
      </c>
      <c r="J162" s="28">
        <v>27.6</v>
      </c>
      <c r="K162" s="28">
        <v>20</v>
      </c>
      <c r="L162" s="28">
        <v>22.3</v>
      </c>
      <c r="M162" s="28">
        <v>26.8</v>
      </c>
      <c r="N162" s="28">
        <v>19.899999999999999</v>
      </c>
      <c r="O162" s="28">
        <v>22.3</v>
      </c>
      <c r="P162" s="28">
        <v>19.8</v>
      </c>
      <c r="Q162" s="28">
        <v>22.4</v>
      </c>
      <c r="R162" s="28">
        <v>25.7</v>
      </c>
      <c r="S162" s="28">
        <v>20.5</v>
      </c>
      <c r="T162" s="28">
        <v>20</v>
      </c>
      <c r="U162" s="68">
        <f>AVERAGE(Table202223[[#This Row],[1.00]:[8.00]])</f>
        <v>22.400000000000002</v>
      </c>
      <c r="V162" s="69">
        <f>AVERAGE(Table202223[[#This Row],[9.00]:[17.00]])</f>
        <v>22.188888888888886</v>
      </c>
      <c r="W162" s="70">
        <f>AVERAGE(Table202223[[#This Row],[1.00]:[17.00]])</f>
        <v>22.28125</v>
      </c>
      <c r="X162" s="40"/>
      <c r="Y162" s="9"/>
      <c r="Z162" s="146"/>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row>
    <row r="163" spans="1:51" x14ac:dyDescent="0.3">
      <c r="A163" s="4">
        <v>32</v>
      </c>
      <c r="B163" s="4" t="s">
        <v>1048</v>
      </c>
      <c r="C163" s="4" t="s">
        <v>902</v>
      </c>
      <c r="D163" s="28">
        <v>24.5</v>
      </c>
      <c r="E163" s="28">
        <v>20.5</v>
      </c>
      <c r="F163" s="28">
        <v>20.5</v>
      </c>
      <c r="G163" s="28">
        <v>24.2</v>
      </c>
      <c r="H163" s="28">
        <v>19.5</v>
      </c>
      <c r="I163" s="28" t="s">
        <v>888</v>
      </c>
      <c r="J163" s="28">
        <v>27.6</v>
      </c>
      <c r="K163" s="28">
        <v>20</v>
      </c>
      <c r="L163" s="28">
        <v>22.3</v>
      </c>
      <c r="M163" s="28">
        <v>26.8</v>
      </c>
      <c r="N163" s="28">
        <v>19.899999999999999</v>
      </c>
      <c r="O163" s="28">
        <v>22.3</v>
      </c>
      <c r="P163" s="28">
        <v>19.8</v>
      </c>
      <c r="Q163" s="28">
        <v>22.4</v>
      </c>
      <c r="R163" s="28">
        <v>25.7</v>
      </c>
      <c r="S163" s="28">
        <v>20.5</v>
      </c>
      <c r="T163" s="28">
        <v>20</v>
      </c>
      <c r="U163" s="68">
        <f>AVERAGE(Table202223[[#This Row],[1.00]:[8.00]])</f>
        <v>22.400000000000002</v>
      </c>
      <c r="V163" s="69">
        <f>AVERAGE(Table202223[[#This Row],[9.00]:[17.00]])</f>
        <v>22.188888888888886</v>
      </c>
      <c r="W163" s="70">
        <f>AVERAGE(Table202223[[#This Row],[1.00]:[17.00]])</f>
        <v>22.28125</v>
      </c>
      <c r="X163" s="40"/>
      <c r="Y163" s="9"/>
      <c r="Z163" s="146"/>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row>
    <row r="164" spans="1:51" x14ac:dyDescent="0.3">
      <c r="A164" s="4">
        <v>33</v>
      </c>
      <c r="B164" s="4" t="s">
        <v>1049</v>
      </c>
      <c r="C164" s="4" t="s">
        <v>930</v>
      </c>
      <c r="D164" s="28">
        <v>20.5</v>
      </c>
      <c r="E164" s="28">
        <v>19.2</v>
      </c>
      <c r="F164" s="28">
        <v>26.7</v>
      </c>
      <c r="G164" s="28">
        <v>25.7</v>
      </c>
      <c r="H164" s="28" t="s">
        <v>888</v>
      </c>
      <c r="I164" s="28">
        <v>20</v>
      </c>
      <c r="J164" s="28">
        <v>20.5</v>
      </c>
      <c r="K164" s="28">
        <v>24.5</v>
      </c>
      <c r="L164" s="28">
        <v>25.1</v>
      </c>
      <c r="M164" s="28">
        <v>19.5</v>
      </c>
      <c r="N164" s="28">
        <v>22.3</v>
      </c>
      <c r="O164" s="28">
        <v>24.8</v>
      </c>
      <c r="P164" s="28">
        <v>14.9</v>
      </c>
      <c r="Q164" s="28">
        <v>22.2</v>
      </c>
      <c r="R164" s="28">
        <v>19.5</v>
      </c>
      <c r="S164" s="28">
        <v>24.5</v>
      </c>
      <c r="T164" s="28">
        <v>25.7</v>
      </c>
      <c r="U164" s="68">
        <f>AVERAGE(Table202223[[#This Row],[1.00]:[8.00]])</f>
        <v>22.442857142857147</v>
      </c>
      <c r="V164" s="69">
        <f>AVERAGE(Table202223[[#This Row],[9.00]:[17.00]])</f>
        <v>22.055555555555557</v>
      </c>
      <c r="W164" s="70">
        <f>AVERAGE(Table202223[[#This Row],[1.00]:[17.00]])</f>
        <v>22.225000000000001</v>
      </c>
      <c r="X164" s="40"/>
      <c r="Y164" s="9"/>
      <c r="Z164" s="146"/>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row>
    <row r="165" spans="1:51" ht="15" thickBot="1" x14ac:dyDescent="0.35">
      <c r="A165" s="4">
        <v>34</v>
      </c>
      <c r="B165" s="4" t="s">
        <v>1050</v>
      </c>
      <c r="C165" s="4" t="s">
        <v>930</v>
      </c>
      <c r="D165" s="28">
        <v>20.5</v>
      </c>
      <c r="E165" s="28">
        <v>19.2</v>
      </c>
      <c r="F165" s="28">
        <v>26.7</v>
      </c>
      <c r="G165" s="28">
        <v>25.7</v>
      </c>
      <c r="H165" s="28" t="s">
        <v>888</v>
      </c>
      <c r="I165" s="28">
        <v>20</v>
      </c>
      <c r="J165" s="28">
        <v>20.5</v>
      </c>
      <c r="K165" s="28">
        <v>24.5</v>
      </c>
      <c r="L165" s="28">
        <v>25.1</v>
      </c>
      <c r="M165" s="28">
        <v>19.5</v>
      </c>
      <c r="N165" s="28">
        <v>22.3</v>
      </c>
      <c r="O165" s="28">
        <v>24.8</v>
      </c>
      <c r="P165" s="28">
        <v>14.9</v>
      </c>
      <c r="Q165" s="28">
        <v>22.2</v>
      </c>
      <c r="R165" s="28">
        <v>19.5</v>
      </c>
      <c r="S165" s="28">
        <v>24.5</v>
      </c>
      <c r="T165" s="28">
        <v>25.7</v>
      </c>
      <c r="U165" s="71">
        <f>AVERAGE(Table202223[[#This Row],[1.00]:[8.00]])</f>
        <v>22.442857142857147</v>
      </c>
      <c r="V165" s="72">
        <f>AVERAGE(Table202223[[#This Row],[9.00]:[17.00]])</f>
        <v>22.055555555555557</v>
      </c>
      <c r="W165" s="73">
        <f>AVERAGE(Table202223[[#This Row],[1.00]:[17.00]])</f>
        <v>22.225000000000001</v>
      </c>
      <c r="X165" s="40"/>
      <c r="Y165" s="9"/>
      <c r="Z165" s="146"/>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row>
    <row r="166" spans="1:51" x14ac:dyDescent="0.3">
      <c r="A166" s="4">
        <v>35</v>
      </c>
      <c r="B166" s="4" t="s">
        <v>1051</v>
      </c>
      <c r="C166" s="4" t="s">
        <v>924</v>
      </c>
      <c r="D166" s="28">
        <v>25.1</v>
      </c>
      <c r="E166" s="28">
        <v>22.4</v>
      </c>
      <c r="F166" s="28">
        <v>25.7</v>
      </c>
      <c r="G166" s="28">
        <v>26.2</v>
      </c>
      <c r="H166" s="28">
        <v>20.5</v>
      </c>
      <c r="I166" s="28">
        <v>14.9</v>
      </c>
      <c r="J166" s="28">
        <v>15.9</v>
      </c>
      <c r="K166" s="28">
        <v>14.9</v>
      </c>
      <c r="L166" s="28">
        <v>24.5</v>
      </c>
      <c r="M166" s="28">
        <v>24.6</v>
      </c>
      <c r="N166" s="28" t="s">
        <v>888</v>
      </c>
      <c r="O166" s="28">
        <v>19.5</v>
      </c>
      <c r="P166" s="28">
        <v>26.6</v>
      </c>
      <c r="Q166" s="28">
        <v>20.5</v>
      </c>
      <c r="R166" s="28">
        <v>20.5</v>
      </c>
      <c r="S166" s="28">
        <v>27.9</v>
      </c>
      <c r="T166" s="28">
        <v>25.1</v>
      </c>
      <c r="U166" s="68">
        <f>AVERAGE(Table202223[[#This Row],[1.00]:[8.00]])</f>
        <v>20.700000000000003</v>
      </c>
      <c r="V166" s="69">
        <f>AVERAGE(Table202223[[#This Row],[9.00]:[17.00]])</f>
        <v>23.65</v>
      </c>
      <c r="W166" s="70">
        <f>AVERAGE(Table202223[[#This Row],[1.00]:[17.00]])</f>
        <v>22.175000000000001</v>
      </c>
      <c r="X166" s="40"/>
      <c r="Y166" s="9"/>
      <c r="Z166" s="146"/>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row>
    <row r="167" spans="1:51" x14ac:dyDescent="0.3">
      <c r="A167" s="4">
        <v>36</v>
      </c>
      <c r="B167" s="4" t="s">
        <v>1052</v>
      </c>
      <c r="C167" s="4" t="s">
        <v>924</v>
      </c>
      <c r="D167" s="28">
        <v>25.1</v>
      </c>
      <c r="E167" s="28">
        <v>22.4</v>
      </c>
      <c r="F167" s="28">
        <v>25.7</v>
      </c>
      <c r="G167" s="28">
        <v>26.2</v>
      </c>
      <c r="H167" s="28">
        <v>20.5</v>
      </c>
      <c r="I167" s="28">
        <v>14.9</v>
      </c>
      <c r="J167" s="28">
        <v>15.9</v>
      </c>
      <c r="K167" s="28">
        <v>14.9</v>
      </c>
      <c r="L167" s="28">
        <v>24.5</v>
      </c>
      <c r="M167" s="28">
        <v>24.6</v>
      </c>
      <c r="N167" s="28" t="s">
        <v>888</v>
      </c>
      <c r="O167" s="28">
        <v>19.5</v>
      </c>
      <c r="P167" s="28">
        <v>26.6</v>
      </c>
      <c r="Q167" s="28">
        <v>20.5</v>
      </c>
      <c r="R167" s="28">
        <v>20.5</v>
      </c>
      <c r="S167" s="28">
        <v>27.9</v>
      </c>
      <c r="T167" s="28">
        <v>25.1</v>
      </c>
      <c r="U167" s="68">
        <f>AVERAGE(Table202223[[#This Row],[1.00]:[8.00]])</f>
        <v>20.700000000000003</v>
      </c>
      <c r="V167" s="69">
        <f>AVERAGE(Table202223[[#This Row],[9.00]:[17.00]])</f>
        <v>23.65</v>
      </c>
      <c r="W167" s="70">
        <f>AVERAGE(Table202223[[#This Row],[1.00]:[17.00]])</f>
        <v>22.175000000000001</v>
      </c>
      <c r="X167" s="40"/>
      <c r="Y167" s="9"/>
      <c r="Z167" s="146"/>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row>
    <row r="168" spans="1:51" x14ac:dyDescent="0.3">
      <c r="A168" s="4">
        <v>37</v>
      </c>
      <c r="B168" s="4" t="s">
        <v>1053</v>
      </c>
      <c r="C168" s="4" t="s">
        <v>918</v>
      </c>
      <c r="D168" s="28">
        <v>26.6</v>
      </c>
      <c r="E168" s="28">
        <v>20.5</v>
      </c>
      <c r="F168" s="28">
        <v>26.2</v>
      </c>
      <c r="G168" s="28">
        <v>20.5</v>
      </c>
      <c r="H168" s="28">
        <v>14.9</v>
      </c>
      <c r="I168" s="28">
        <v>16.600000000000001</v>
      </c>
      <c r="J168" s="28">
        <v>19.2</v>
      </c>
      <c r="K168" s="28">
        <v>20.5</v>
      </c>
      <c r="L168" s="28">
        <v>26.6</v>
      </c>
      <c r="M168" s="28">
        <v>27.6</v>
      </c>
      <c r="N168" s="28" t="s">
        <v>888</v>
      </c>
      <c r="O168" s="28">
        <v>19.899999999999999</v>
      </c>
      <c r="P168" s="28">
        <v>25.1</v>
      </c>
      <c r="Q168" s="28">
        <v>19.2</v>
      </c>
      <c r="R168" s="28">
        <v>23.7</v>
      </c>
      <c r="S168" s="28">
        <v>20.5</v>
      </c>
      <c r="T168" s="28">
        <v>26.2</v>
      </c>
      <c r="U168" s="68">
        <f>AVERAGE(Table202223[[#This Row],[1.00]:[8.00]])</f>
        <v>20.625</v>
      </c>
      <c r="V168" s="69">
        <f>AVERAGE(Table202223[[#This Row],[9.00]:[17.00]])</f>
        <v>23.599999999999998</v>
      </c>
      <c r="W168" s="70">
        <f>AVERAGE(Table202223[[#This Row],[1.00]:[17.00]])</f>
        <v>22.112499999999997</v>
      </c>
      <c r="X168" s="40"/>
      <c r="Y168" s="9"/>
      <c r="Z168" s="146"/>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row>
    <row r="169" spans="1:51" x14ac:dyDescent="0.3">
      <c r="A169" s="4">
        <v>38</v>
      </c>
      <c r="B169" s="4" t="s">
        <v>1054</v>
      </c>
      <c r="C169" s="4" t="s">
        <v>928</v>
      </c>
      <c r="D169" s="28">
        <v>22.2</v>
      </c>
      <c r="E169" s="28">
        <v>22.3</v>
      </c>
      <c r="F169" s="28">
        <v>20.5</v>
      </c>
      <c r="G169" s="28">
        <v>19.5</v>
      </c>
      <c r="H169" s="28">
        <v>24.6</v>
      </c>
      <c r="I169" s="28">
        <v>27.9</v>
      </c>
      <c r="J169" s="28">
        <v>25.7</v>
      </c>
      <c r="K169" s="28">
        <v>22.4</v>
      </c>
      <c r="L169" s="28">
        <v>19.2</v>
      </c>
      <c r="M169" s="28">
        <v>20.5</v>
      </c>
      <c r="N169" s="28">
        <v>25.7</v>
      </c>
      <c r="O169" s="28">
        <v>20</v>
      </c>
      <c r="P169" s="28" t="s">
        <v>888</v>
      </c>
      <c r="Q169" s="28">
        <v>14.9</v>
      </c>
      <c r="R169" s="28">
        <v>25.1</v>
      </c>
      <c r="S169" s="28">
        <v>22.4</v>
      </c>
      <c r="T169" s="28">
        <v>19.5</v>
      </c>
      <c r="U169" s="68">
        <f>AVERAGE(Table202223[[#This Row],[1.00]:[8.00]])</f>
        <v>23.137499999999999</v>
      </c>
      <c r="V169" s="69">
        <f>AVERAGE(Table202223[[#This Row],[9.00]:[17.00]])</f>
        <v>20.912500000000001</v>
      </c>
      <c r="W169" s="70">
        <f>AVERAGE(Table202223[[#This Row],[1.00]:[17.00]])</f>
        <v>22.024999999999999</v>
      </c>
      <c r="X169" s="40"/>
      <c r="Y169" s="9"/>
      <c r="Z169" s="146"/>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row>
    <row r="170" spans="1:51" x14ac:dyDescent="0.3">
      <c r="A170" s="4">
        <v>39</v>
      </c>
      <c r="B170" s="4" t="s">
        <v>1055</v>
      </c>
      <c r="C170" s="4" t="s">
        <v>900</v>
      </c>
      <c r="D170" s="28">
        <v>22.4</v>
      </c>
      <c r="E170" s="28">
        <v>22.2</v>
      </c>
      <c r="F170" s="28">
        <v>22.3</v>
      </c>
      <c r="G170" s="28" t="s">
        <v>888</v>
      </c>
      <c r="H170" s="28">
        <v>24.2</v>
      </c>
      <c r="I170" s="28">
        <v>19.8</v>
      </c>
      <c r="J170" s="28">
        <v>20</v>
      </c>
      <c r="K170" s="28">
        <v>15.9</v>
      </c>
      <c r="L170" s="28">
        <v>25.7</v>
      </c>
      <c r="M170" s="28">
        <v>24.5</v>
      </c>
      <c r="N170" s="28">
        <v>26.8</v>
      </c>
      <c r="O170" s="28">
        <v>27.6</v>
      </c>
      <c r="P170" s="28">
        <v>19.5</v>
      </c>
      <c r="Q170" s="28">
        <v>16.600000000000001</v>
      </c>
      <c r="R170" s="28">
        <v>20</v>
      </c>
      <c r="S170" s="28">
        <v>22.2</v>
      </c>
      <c r="T170" s="28">
        <v>22.3</v>
      </c>
      <c r="U170" s="68">
        <f>AVERAGE(Table202223[[#This Row],[1.00]:[8.00]])</f>
        <v>20.971428571428568</v>
      </c>
      <c r="V170" s="69">
        <f>AVERAGE(Table202223[[#This Row],[9.00]:[17.00]])</f>
        <v>22.799999999999997</v>
      </c>
      <c r="W170" s="70">
        <f>AVERAGE(Table202223[[#This Row],[1.00]:[17.00]])</f>
        <v>22</v>
      </c>
      <c r="X170" s="40"/>
      <c r="Y170" s="9"/>
      <c r="Z170" s="146"/>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row>
    <row r="171" spans="1:51" x14ac:dyDescent="0.3">
      <c r="A171" s="4">
        <v>40</v>
      </c>
      <c r="B171" s="4" t="s">
        <v>1056</v>
      </c>
      <c r="C171" s="4" t="s">
        <v>900</v>
      </c>
      <c r="D171" s="28">
        <v>22.4</v>
      </c>
      <c r="E171" s="28">
        <v>22.2</v>
      </c>
      <c r="F171" s="28">
        <v>22.3</v>
      </c>
      <c r="G171" s="28" t="s">
        <v>888</v>
      </c>
      <c r="H171" s="28">
        <v>24.2</v>
      </c>
      <c r="I171" s="28">
        <v>19.8</v>
      </c>
      <c r="J171" s="28">
        <v>20</v>
      </c>
      <c r="K171" s="28">
        <v>15.9</v>
      </c>
      <c r="L171" s="28">
        <v>25.7</v>
      </c>
      <c r="M171" s="28">
        <v>24.5</v>
      </c>
      <c r="N171" s="28">
        <v>26.8</v>
      </c>
      <c r="O171" s="28">
        <v>27.6</v>
      </c>
      <c r="P171" s="28">
        <v>19.5</v>
      </c>
      <c r="Q171" s="28">
        <v>16.600000000000001</v>
      </c>
      <c r="R171" s="28">
        <v>20</v>
      </c>
      <c r="S171" s="28">
        <v>22.2</v>
      </c>
      <c r="T171" s="28">
        <v>22.3</v>
      </c>
      <c r="U171" s="68">
        <f>AVERAGE(Table202223[[#This Row],[1.00]:[8.00]])</f>
        <v>20.971428571428568</v>
      </c>
      <c r="V171" s="69">
        <f>AVERAGE(Table202223[[#This Row],[9.00]:[17.00]])</f>
        <v>22.799999999999997</v>
      </c>
      <c r="W171" s="70">
        <f>AVERAGE(Table202223[[#This Row],[1.00]:[17.00]])</f>
        <v>22</v>
      </c>
      <c r="X171" s="40"/>
      <c r="Y171" s="9"/>
      <c r="Z171" s="146"/>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row>
    <row r="172" spans="1:51" x14ac:dyDescent="0.3">
      <c r="A172" s="4">
        <v>41</v>
      </c>
      <c r="B172" s="4" t="s">
        <v>1057</v>
      </c>
      <c r="C172" s="4" t="s">
        <v>938</v>
      </c>
      <c r="D172" s="28">
        <v>26.2</v>
      </c>
      <c r="E172" s="28">
        <v>15.9</v>
      </c>
      <c r="F172" s="28">
        <v>24.5</v>
      </c>
      <c r="G172" s="28">
        <v>26.7</v>
      </c>
      <c r="H172" s="28">
        <v>19.2</v>
      </c>
      <c r="I172" s="28">
        <v>25.1</v>
      </c>
      <c r="J172" s="28">
        <v>22.4</v>
      </c>
      <c r="K172" s="28">
        <v>26.6</v>
      </c>
      <c r="L172" s="28">
        <v>14.9</v>
      </c>
      <c r="M172" s="28" t="s">
        <v>888</v>
      </c>
      <c r="N172" s="28">
        <v>19.5</v>
      </c>
      <c r="O172" s="28">
        <v>20.5</v>
      </c>
      <c r="P172" s="28">
        <v>24.8</v>
      </c>
      <c r="Q172" s="28">
        <v>25.1</v>
      </c>
      <c r="R172" s="28">
        <v>19.2</v>
      </c>
      <c r="S172" s="28">
        <v>25.7</v>
      </c>
      <c r="T172" s="28">
        <v>14.9</v>
      </c>
      <c r="U172" s="68">
        <f>AVERAGE(Table202223[[#This Row],[1.00]:[8.00]])</f>
        <v>23.324999999999999</v>
      </c>
      <c r="V172" s="69">
        <f>AVERAGE(Table202223[[#This Row],[9.00]:[17.00]])</f>
        <v>20.575000000000003</v>
      </c>
      <c r="W172" s="70">
        <f>AVERAGE(Table202223[[#This Row],[1.00]:[17.00]])</f>
        <v>21.95</v>
      </c>
      <c r="X172" s="40"/>
      <c r="Y172" s="9"/>
      <c r="Z172" s="146"/>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row>
    <row r="173" spans="1:51" x14ac:dyDescent="0.3">
      <c r="A173" s="4">
        <v>42</v>
      </c>
      <c r="B173" s="4" t="s">
        <v>1058</v>
      </c>
      <c r="C173" s="4" t="s">
        <v>938</v>
      </c>
      <c r="D173" s="28">
        <v>26.2</v>
      </c>
      <c r="E173" s="28">
        <v>15.9</v>
      </c>
      <c r="F173" s="28">
        <v>24.5</v>
      </c>
      <c r="G173" s="28">
        <v>26.7</v>
      </c>
      <c r="H173" s="28">
        <v>19.2</v>
      </c>
      <c r="I173" s="28">
        <v>25.1</v>
      </c>
      <c r="J173" s="28">
        <v>22.4</v>
      </c>
      <c r="K173" s="28">
        <v>26.6</v>
      </c>
      <c r="L173" s="28">
        <v>14.9</v>
      </c>
      <c r="M173" s="28" t="s">
        <v>888</v>
      </c>
      <c r="N173" s="28">
        <v>19.5</v>
      </c>
      <c r="O173" s="28">
        <v>20.5</v>
      </c>
      <c r="P173" s="28">
        <v>24.8</v>
      </c>
      <c r="Q173" s="28">
        <v>25.1</v>
      </c>
      <c r="R173" s="28">
        <v>19.2</v>
      </c>
      <c r="S173" s="28">
        <v>25.7</v>
      </c>
      <c r="T173" s="28">
        <v>14.9</v>
      </c>
      <c r="U173" s="68">
        <f>AVERAGE(Table202223[[#This Row],[1.00]:[8.00]])</f>
        <v>23.324999999999999</v>
      </c>
      <c r="V173" s="69">
        <f>AVERAGE(Table202223[[#This Row],[9.00]:[17.00]])</f>
        <v>20.575000000000003</v>
      </c>
      <c r="W173" s="70">
        <f>AVERAGE(Table202223[[#This Row],[1.00]:[17.00]])</f>
        <v>21.95</v>
      </c>
      <c r="X173" s="40"/>
      <c r="Y173" s="9"/>
      <c r="Z173" s="146"/>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row>
    <row r="174" spans="1:51" x14ac:dyDescent="0.3">
      <c r="A174" s="4">
        <v>43</v>
      </c>
      <c r="B174" s="4" t="s">
        <v>1059</v>
      </c>
      <c r="C174" s="4" t="s">
        <v>920</v>
      </c>
      <c r="D174" s="28">
        <v>22.3</v>
      </c>
      <c r="E174" s="28">
        <v>14.9</v>
      </c>
      <c r="F174" s="28">
        <v>19.2</v>
      </c>
      <c r="G174" s="28">
        <v>22.4</v>
      </c>
      <c r="H174" s="28">
        <v>20</v>
      </c>
      <c r="I174" s="28">
        <v>19.5</v>
      </c>
      <c r="J174" s="28">
        <v>24.5</v>
      </c>
      <c r="K174" s="28">
        <v>25.1</v>
      </c>
      <c r="L174" s="28">
        <v>20.5</v>
      </c>
      <c r="M174" s="28" t="s">
        <v>888</v>
      </c>
      <c r="N174" s="28">
        <v>24.5</v>
      </c>
      <c r="O174" s="28">
        <v>26.8</v>
      </c>
      <c r="P174" s="28">
        <v>25.1</v>
      </c>
      <c r="Q174" s="28">
        <v>19.5</v>
      </c>
      <c r="R174" s="28">
        <v>22.2</v>
      </c>
      <c r="S174" s="28">
        <v>20.5</v>
      </c>
      <c r="T174" s="28">
        <v>22.4</v>
      </c>
      <c r="U174" s="68">
        <f>AVERAGE(Table202223[[#This Row],[1.00]:[8.00]])</f>
        <v>20.987500000000001</v>
      </c>
      <c r="V174" s="69">
        <f>AVERAGE(Table202223[[#This Row],[9.00]:[17.00]])</f>
        <v>22.6875</v>
      </c>
      <c r="W174" s="70">
        <f>AVERAGE(Table202223[[#This Row],[1.00]:[17.00]])</f>
        <v>21.837499999999999</v>
      </c>
      <c r="X174" s="40"/>
      <c r="Y174" s="9"/>
      <c r="Z174" s="146"/>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row>
    <row r="175" spans="1:51" x14ac:dyDescent="0.3">
      <c r="A175" s="4">
        <v>44</v>
      </c>
      <c r="B175" s="4" t="s">
        <v>1060</v>
      </c>
      <c r="C175" s="4" t="s">
        <v>920</v>
      </c>
      <c r="D175" s="28">
        <v>22.3</v>
      </c>
      <c r="E175" s="28">
        <v>14.9</v>
      </c>
      <c r="F175" s="28">
        <v>19.2</v>
      </c>
      <c r="G175" s="28">
        <v>22.4</v>
      </c>
      <c r="H175" s="28">
        <v>20</v>
      </c>
      <c r="I175" s="28">
        <v>19.5</v>
      </c>
      <c r="J175" s="28">
        <v>24.5</v>
      </c>
      <c r="K175" s="28">
        <v>25.1</v>
      </c>
      <c r="L175" s="28">
        <v>20.5</v>
      </c>
      <c r="M175" s="28" t="s">
        <v>888</v>
      </c>
      <c r="N175" s="28">
        <v>24.5</v>
      </c>
      <c r="O175" s="28">
        <v>26.8</v>
      </c>
      <c r="P175" s="28">
        <v>25.1</v>
      </c>
      <c r="Q175" s="28">
        <v>19.5</v>
      </c>
      <c r="R175" s="28">
        <v>22.2</v>
      </c>
      <c r="S175" s="28">
        <v>20.5</v>
      </c>
      <c r="T175" s="28">
        <v>22.4</v>
      </c>
      <c r="U175" s="68">
        <f>AVERAGE(Table202223[[#This Row],[1.00]:[8.00]])</f>
        <v>20.987500000000001</v>
      </c>
      <c r="V175" s="69">
        <f>AVERAGE(Table202223[[#This Row],[9.00]:[17.00]])</f>
        <v>22.6875</v>
      </c>
      <c r="W175" s="70">
        <f>AVERAGE(Table202223[[#This Row],[1.00]:[17.00]])</f>
        <v>21.837499999999999</v>
      </c>
      <c r="X175" s="40"/>
      <c r="Y175" s="9"/>
      <c r="Z175" s="146"/>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row>
    <row r="176" spans="1:51" x14ac:dyDescent="0.3">
      <c r="A176" s="4">
        <v>45</v>
      </c>
      <c r="B176" s="4" t="s">
        <v>1061</v>
      </c>
      <c r="C176" s="4" t="s">
        <v>916</v>
      </c>
      <c r="D176" s="28">
        <v>14.9</v>
      </c>
      <c r="E176" s="28">
        <v>23.7</v>
      </c>
      <c r="F176" s="28">
        <v>22.2</v>
      </c>
      <c r="G176" s="28">
        <v>15.9</v>
      </c>
      <c r="H176" s="28">
        <v>26.6</v>
      </c>
      <c r="I176" s="28">
        <v>26.2</v>
      </c>
      <c r="J176" s="28" t="s">
        <v>888</v>
      </c>
      <c r="K176" s="28">
        <v>19.899999999999999</v>
      </c>
      <c r="L176" s="28">
        <v>19.2</v>
      </c>
      <c r="M176" s="28">
        <v>25.1</v>
      </c>
      <c r="N176" s="28">
        <v>26.2</v>
      </c>
      <c r="O176" s="28">
        <v>20.5</v>
      </c>
      <c r="P176" s="28">
        <v>16.600000000000001</v>
      </c>
      <c r="Q176" s="28">
        <v>19.2</v>
      </c>
      <c r="R176" s="28">
        <v>26.8</v>
      </c>
      <c r="S176" s="28">
        <v>15.9</v>
      </c>
      <c r="T176" s="28">
        <v>26.6</v>
      </c>
      <c r="U176" s="68">
        <f>AVERAGE(Table202223[[#This Row],[1.00]:[8.00]])</f>
        <v>21.342857142857145</v>
      </c>
      <c r="V176" s="69">
        <f>AVERAGE(Table202223[[#This Row],[9.00]:[17.00]])</f>
        <v>21.788888888888888</v>
      </c>
      <c r="W176" s="70">
        <f>AVERAGE(Table202223[[#This Row],[1.00]:[17.00]])</f>
        <v>21.59375</v>
      </c>
      <c r="X176" s="40"/>
      <c r="Y176" s="9"/>
      <c r="Z176" s="146"/>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row>
    <row r="177" spans="1:51" x14ac:dyDescent="0.3">
      <c r="A177" s="4">
        <v>46</v>
      </c>
      <c r="B177" s="4" t="s">
        <v>1062</v>
      </c>
      <c r="C177" s="4" t="s">
        <v>922</v>
      </c>
      <c r="D177" s="28">
        <v>19.2</v>
      </c>
      <c r="E177" s="28">
        <v>19.5</v>
      </c>
      <c r="F177" s="28">
        <v>25.1</v>
      </c>
      <c r="G177" s="28">
        <v>26.8</v>
      </c>
      <c r="H177" s="28" t="s">
        <v>888</v>
      </c>
      <c r="I177" s="28">
        <v>20.5</v>
      </c>
      <c r="J177" s="28">
        <v>26.2</v>
      </c>
      <c r="K177" s="28">
        <v>25.7</v>
      </c>
      <c r="L177" s="28">
        <v>22.4</v>
      </c>
      <c r="M177" s="28">
        <v>20.5</v>
      </c>
      <c r="N177" s="28">
        <v>26.6</v>
      </c>
      <c r="O177" s="28">
        <v>14.9</v>
      </c>
      <c r="P177" s="28">
        <v>15.9</v>
      </c>
      <c r="Q177" s="28">
        <v>20.5</v>
      </c>
      <c r="R177" s="28">
        <v>24.5</v>
      </c>
      <c r="S177" s="28">
        <v>14.9</v>
      </c>
      <c r="T177" s="28">
        <v>19.2</v>
      </c>
      <c r="U177" s="68">
        <f>AVERAGE(Table202223[[#This Row],[1.00]:[8.00]])</f>
        <v>23.285714285714285</v>
      </c>
      <c r="V177" s="69">
        <f>AVERAGE(Table202223[[#This Row],[9.00]:[17.00]])</f>
        <v>19.933333333333334</v>
      </c>
      <c r="W177" s="70">
        <f>AVERAGE(Table202223[[#This Row],[1.00]:[17.00]])</f>
        <v>21.4</v>
      </c>
      <c r="X177" s="40"/>
      <c r="Y177" s="9"/>
      <c r="Z177" s="146"/>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row>
    <row r="178" spans="1:51" x14ac:dyDescent="0.3">
      <c r="A178" s="4">
        <v>47</v>
      </c>
      <c r="B178" s="4" t="s">
        <v>1063</v>
      </c>
      <c r="C178" s="4" t="s">
        <v>943</v>
      </c>
      <c r="D178" s="28">
        <v>19.2</v>
      </c>
      <c r="E178" s="28">
        <v>20.5</v>
      </c>
      <c r="F178" s="28">
        <v>16.600000000000001</v>
      </c>
      <c r="G178" s="28">
        <v>19.8</v>
      </c>
      <c r="H178" s="28">
        <v>19.899999999999999</v>
      </c>
      <c r="I178" s="28">
        <v>24.8</v>
      </c>
      <c r="J178" s="28">
        <v>26.6</v>
      </c>
      <c r="K178" s="28" t="s">
        <v>888</v>
      </c>
      <c r="L178" s="28">
        <v>26.2</v>
      </c>
      <c r="M178" s="28">
        <v>19.899999999999999</v>
      </c>
      <c r="N178" s="28">
        <v>26.4</v>
      </c>
      <c r="O178" s="28">
        <v>24.6</v>
      </c>
      <c r="P178" s="28">
        <v>20</v>
      </c>
      <c r="Q178" s="28">
        <v>25.1</v>
      </c>
      <c r="R178" s="28">
        <v>15.9</v>
      </c>
      <c r="S178" s="28">
        <v>19.2</v>
      </c>
      <c r="T178" s="28">
        <v>16.600000000000001</v>
      </c>
      <c r="U178" s="68">
        <f>AVERAGE(Table202223[[#This Row],[1.00]:[8.00]])</f>
        <v>21.057142857142857</v>
      </c>
      <c r="V178" s="69">
        <f>AVERAGE(Table202223[[#This Row],[9.00]:[17.00]])</f>
        <v>21.544444444444441</v>
      </c>
      <c r="W178" s="70">
        <f>AVERAGE(Table202223[[#This Row],[1.00]:[17.00]])</f>
        <v>21.331250000000001</v>
      </c>
      <c r="X178" s="40"/>
      <c r="Y178" s="9"/>
      <c r="Z178" s="146"/>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row>
    <row r="179" spans="1:51" x14ac:dyDescent="0.3">
      <c r="A179" s="4">
        <v>48</v>
      </c>
      <c r="B179" s="4" t="s">
        <v>1064</v>
      </c>
      <c r="C179" s="4" t="s">
        <v>949</v>
      </c>
      <c r="D179" s="28">
        <v>20.5</v>
      </c>
      <c r="E179" s="28">
        <v>24.2</v>
      </c>
      <c r="F179" s="28">
        <v>15.9</v>
      </c>
      <c r="G179" s="28">
        <v>19.2</v>
      </c>
      <c r="H179" s="28" t="s">
        <v>888</v>
      </c>
      <c r="I179" s="28">
        <v>20.5</v>
      </c>
      <c r="J179" s="28">
        <v>25.1</v>
      </c>
      <c r="K179" s="28">
        <v>16.600000000000001</v>
      </c>
      <c r="L179" s="28">
        <v>23.7</v>
      </c>
      <c r="M179" s="28">
        <v>14.9</v>
      </c>
      <c r="N179" s="28">
        <v>20.5</v>
      </c>
      <c r="O179" s="28">
        <v>19.2</v>
      </c>
      <c r="P179" s="28">
        <v>22.3</v>
      </c>
      <c r="Q179" s="28">
        <v>26.6</v>
      </c>
      <c r="R179" s="28">
        <v>19.899999999999999</v>
      </c>
      <c r="S179" s="28">
        <v>26.6</v>
      </c>
      <c r="T179" s="28">
        <v>15.9</v>
      </c>
      <c r="U179" s="68">
        <f>AVERAGE(Table202223[[#This Row],[1.00]:[8.00]])</f>
        <v>20.285714285714285</v>
      </c>
      <c r="V179" s="69">
        <f>AVERAGE(Table202223[[#This Row],[9.00]:[17.00]])</f>
        <v>21.066666666666666</v>
      </c>
      <c r="W179" s="70">
        <f>AVERAGE(Table202223[[#This Row],[1.00]:[17.00]])</f>
        <v>20.724999999999998</v>
      </c>
      <c r="X179" s="40"/>
      <c r="Y179" s="9"/>
      <c r="Z179" s="146"/>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row>
    <row r="180" spans="1:51" x14ac:dyDescent="0.3">
      <c r="A180" s="4">
        <v>49</v>
      </c>
      <c r="B180" s="4" t="s">
        <v>1065</v>
      </c>
      <c r="C180" s="4" t="s">
        <v>949</v>
      </c>
      <c r="D180" s="28">
        <v>20.5</v>
      </c>
      <c r="E180" s="28">
        <v>24.2</v>
      </c>
      <c r="F180" s="28">
        <v>15.9</v>
      </c>
      <c r="G180" s="28">
        <v>19.2</v>
      </c>
      <c r="H180" s="28" t="s">
        <v>888</v>
      </c>
      <c r="I180" s="28">
        <v>20.5</v>
      </c>
      <c r="J180" s="28">
        <v>25.1</v>
      </c>
      <c r="K180" s="28">
        <v>16.600000000000001</v>
      </c>
      <c r="L180" s="28">
        <v>23.7</v>
      </c>
      <c r="M180" s="28">
        <v>14.9</v>
      </c>
      <c r="N180" s="28">
        <v>20.5</v>
      </c>
      <c r="O180" s="28">
        <v>19.2</v>
      </c>
      <c r="P180" s="28">
        <v>22.3</v>
      </c>
      <c r="Q180" s="28">
        <v>26.6</v>
      </c>
      <c r="R180" s="28">
        <v>19.899999999999999</v>
      </c>
      <c r="S180" s="28">
        <v>26.6</v>
      </c>
      <c r="T180" s="28">
        <v>15.9</v>
      </c>
      <c r="U180" s="68">
        <f>AVERAGE(Table202223[[#This Row],[1.00]:[8.00]])</f>
        <v>20.285714285714285</v>
      </c>
      <c r="V180" s="69">
        <f>AVERAGE(Table202223[[#This Row],[9.00]:[17.00]])</f>
        <v>21.066666666666666</v>
      </c>
      <c r="W180" s="70">
        <f>AVERAGE(Table202223[[#This Row],[1.00]:[17.00]])</f>
        <v>20.724999999999998</v>
      </c>
      <c r="X180" s="40"/>
      <c r="Y180" s="9"/>
      <c r="Z180" s="146"/>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row>
    <row r="181" spans="1:51" x14ac:dyDescent="0.3">
      <c r="A181" s="4">
        <v>50</v>
      </c>
      <c r="B181" s="4" t="s">
        <v>1066</v>
      </c>
      <c r="C181" s="4" t="s">
        <v>945</v>
      </c>
      <c r="D181" s="28">
        <v>15.9</v>
      </c>
      <c r="E181" s="28">
        <v>19.899999999999999</v>
      </c>
      <c r="F181" s="28">
        <v>19.2</v>
      </c>
      <c r="G181" s="28">
        <v>14.9</v>
      </c>
      <c r="H181" s="28">
        <v>20.5</v>
      </c>
      <c r="I181" s="28" t="s">
        <v>888</v>
      </c>
      <c r="J181" s="28">
        <v>23.7</v>
      </c>
      <c r="K181" s="28">
        <v>20.5</v>
      </c>
      <c r="L181" s="28">
        <v>15.9</v>
      </c>
      <c r="M181" s="28">
        <v>20</v>
      </c>
      <c r="N181" s="28">
        <v>25.1</v>
      </c>
      <c r="O181" s="28">
        <v>16.600000000000001</v>
      </c>
      <c r="P181" s="28">
        <v>19.2</v>
      </c>
      <c r="Q181" s="28">
        <v>26.2</v>
      </c>
      <c r="R181" s="28">
        <v>19.8</v>
      </c>
      <c r="S181" s="28">
        <v>26.2</v>
      </c>
      <c r="T181" s="28">
        <v>20.5</v>
      </c>
      <c r="U181" s="68">
        <f>AVERAGE(Table202223[[#This Row],[1.00]:[8.00]])</f>
        <v>19.228571428571431</v>
      </c>
      <c r="V181" s="69">
        <f>AVERAGE(Table202223[[#This Row],[9.00]:[17.00]])</f>
        <v>21.055555555555557</v>
      </c>
      <c r="W181" s="70">
        <f>AVERAGE(Table202223[[#This Row],[1.00]:[17.00]])</f>
        <v>20.256250000000001</v>
      </c>
      <c r="X181" s="40"/>
      <c r="Y181" s="9"/>
      <c r="Z181" s="146"/>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row>
    <row r="182" spans="1:51" x14ac:dyDescent="0.3">
      <c r="A182" s="4">
        <v>51</v>
      </c>
      <c r="B182" s="4" t="s">
        <v>1067</v>
      </c>
      <c r="C182" s="4" t="s">
        <v>945</v>
      </c>
      <c r="D182" s="28">
        <v>15.9</v>
      </c>
      <c r="E182" s="28">
        <v>19.899999999999999</v>
      </c>
      <c r="F182" s="28">
        <v>19.2</v>
      </c>
      <c r="G182" s="28">
        <v>14.9</v>
      </c>
      <c r="H182" s="28">
        <v>20.5</v>
      </c>
      <c r="I182" s="28" t="s">
        <v>888</v>
      </c>
      <c r="J182" s="28">
        <v>23.7</v>
      </c>
      <c r="K182" s="28">
        <v>20.5</v>
      </c>
      <c r="L182" s="28">
        <v>15.9</v>
      </c>
      <c r="M182" s="28">
        <v>20</v>
      </c>
      <c r="N182" s="28">
        <v>25.1</v>
      </c>
      <c r="O182" s="28">
        <v>16.600000000000001</v>
      </c>
      <c r="P182" s="28">
        <v>19.2</v>
      </c>
      <c r="Q182" s="28">
        <v>26.2</v>
      </c>
      <c r="R182" s="28">
        <v>19.8</v>
      </c>
      <c r="S182" s="28">
        <v>26.2</v>
      </c>
      <c r="T182" s="28">
        <v>20.5</v>
      </c>
      <c r="U182" s="68">
        <f>AVERAGE(Table202223[[#This Row],[1.00]:[8.00]])</f>
        <v>19.228571428571431</v>
      </c>
      <c r="V182" s="69">
        <f>AVERAGE(Table202223[[#This Row],[9.00]:[17.00]])</f>
        <v>21.055555555555557</v>
      </c>
      <c r="W182" s="70">
        <f>AVERAGE(Table202223[[#This Row],[1.00]:[17.00]])</f>
        <v>20.256250000000001</v>
      </c>
      <c r="X182" s="40"/>
      <c r="Y182" s="9"/>
      <c r="Z182" s="146"/>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row>
    <row r="183" spans="1:51" ht="15" thickBot="1" x14ac:dyDescent="0.35">
      <c r="A183" s="9"/>
      <c r="B183" s="9"/>
      <c r="C183" s="9"/>
      <c r="D183" s="40"/>
      <c r="E183" s="40"/>
      <c r="F183" s="40"/>
      <c r="G183" s="40"/>
      <c r="H183" s="40"/>
      <c r="I183" s="40"/>
      <c r="J183" s="40"/>
      <c r="K183" s="40"/>
      <c r="L183" s="40"/>
      <c r="M183" s="40"/>
      <c r="N183" s="40"/>
      <c r="O183" s="40"/>
      <c r="P183" s="40"/>
      <c r="Q183" s="40"/>
      <c r="R183" s="40"/>
      <c r="S183" s="40"/>
      <c r="T183" s="40"/>
      <c r="U183" s="40"/>
      <c r="V183" s="40"/>
      <c r="W183" s="40"/>
      <c r="X183" s="40"/>
      <c r="Y183" s="9"/>
      <c r="Z183" s="146"/>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row>
    <row r="184" spans="1:51" ht="16.2" thickBot="1" x14ac:dyDescent="0.35">
      <c r="A184" s="603" t="s">
        <v>1068</v>
      </c>
      <c r="B184" s="603"/>
      <c r="C184" s="603"/>
      <c r="D184" s="604" t="s">
        <v>861</v>
      </c>
      <c r="E184" s="605"/>
      <c r="F184" s="605"/>
      <c r="G184" s="605"/>
      <c r="H184" s="605"/>
      <c r="I184" s="605"/>
      <c r="J184" s="605"/>
      <c r="K184" s="605"/>
      <c r="L184" s="605"/>
      <c r="M184" s="605"/>
      <c r="N184" s="605"/>
      <c r="O184" s="606"/>
      <c r="P184" s="40"/>
      <c r="Q184" s="40"/>
      <c r="R184" s="40"/>
      <c r="S184" s="40"/>
      <c r="T184" s="40"/>
      <c r="U184" s="40"/>
      <c r="V184" s="40"/>
      <c r="W184" s="40"/>
      <c r="X184" s="40"/>
      <c r="Y184" s="9"/>
      <c r="Z184" s="146"/>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row>
    <row r="185" spans="1:51" x14ac:dyDescent="0.3">
      <c r="A185" s="63" t="s">
        <v>863</v>
      </c>
      <c r="B185" s="63" t="s">
        <v>415</v>
      </c>
      <c r="C185" s="63" t="s">
        <v>387</v>
      </c>
      <c r="D185" s="63" t="s">
        <v>1069</v>
      </c>
      <c r="E185" s="63" t="s">
        <v>1070</v>
      </c>
      <c r="F185" s="63" t="s">
        <v>1071</v>
      </c>
      <c r="G185" s="63" t="s">
        <v>1072</v>
      </c>
      <c r="H185" s="63" t="s">
        <v>1073</v>
      </c>
      <c r="I185" s="63" t="s">
        <v>1074</v>
      </c>
      <c r="J185" s="63" t="s">
        <v>1075</v>
      </c>
      <c r="K185" s="63" t="s">
        <v>1076</v>
      </c>
      <c r="L185" s="63" t="s">
        <v>1077</v>
      </c>
      <c r="M185" s="63" t="s">
        <v>1078</v>
      </c>
      <c r="N185" s="63" t="s">
        <v>1079</v>
      </c>
      <c r="O185" s="63" t="s">
        <v>1080</v>
      </c>
      <c r="P185" s="63" t="s">
        <v>1081</v>
      </c>
      <c r="Q185" s="63" t="s">
        <v>1082</v>
      </c>
      <c r="R185" s="63" t="s">
        <v>1083</v>
      </c>
      <c r="S185" s="63" t="s">
        <v>1084</v>
      </c>
      <c r="T185" s="63" t="s">
        <v>1085</v>
      </c>
      <c r="U185" s="63" t="s">
        <v>881</v>
      </c>
      <c r="V185" s="63" t="s">
        <v>882</v>
      </c>
      <c r="W185" s="63" t="s">
        <v>883</v>
      </c>
      <c r="X185" s="40"/>
      <c r="Y185" s="9"/>
      <c r="Z185" s="146"/>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row>
    <row r="186" spans="1:51" x14ac:dyDescent="0.3">
      <c r="A186" s="4">
        <v>1</v>
      </c>
      <c r="B186" s="4" t="s">
        <v>1086</v>
      </c>
      <c r="C186" s="4" t="s">
        <v>922</v>
      </c>
      <c r="D186" s="28">
        <v>8.3000000000000007</v>
      </c>
      <c r="E186" s="28">
        <v>7</v>
      </c>
      <c r="F186" s="28">
        <v>6.8</v>
      </c>
      <c r="G186" s="28">
        <v>8.5</v>
      </c>
      <c r="H186" s="28" t="s">
        <v>888</v>
      </c>
      <c r="I186" s="28">
        <v>10.3</v>
      </c>
      <c r="J186" s="28">
        <v>12.2</v>
      </c>
      <c r="K186" s="28">
        <v>8.6</v>
      </c>
      <c r="L186" s="28">
        <v>9.3000000000000007</v>
      </c>
      <c r="M186" s="28">
        <v>6.8</v>
      </c>
      <c r="N186" s="28">
        <v>6.9</v>
      </c>
      <c r="O186" s="28">
        <v>8.4</v>
      </c>
      <c r="P186" s="28">
        <v>9.6</v>
      </c>
      <c r="Q186" s="28">
        <v>10.3</v>
      </c>
      <c r="R186" s="28">
        <v>9.1999999999999993</v>
      </c>
      <c r="S186" s="28">
        <v>8.4</v>
      </c>
      <c r="T186" s="28">
        <v>8.3000000000000007</v>
      </c>
      <c r="U186" s="68">
        <f>AVERAGE(Table20222324[[#This Row],[1.0]:[8.0]])</f>
        <v>8.8142857142857149</v>
      </c>
      <c r="V186" s="69">
        <f>AVERAGE(Table20222324[[#This Row],[9.0]:[17.0]])</f>
        <v>8.5777777777777775</v>
      </c>
      <c r="W186" s="70">
        <f>AVERAGE(Table20222324[[#This Row],[1.0]:[17.0]])</f>
        <v>8.6812500000000021</v>
      </c>
      <c r="X186" s="40"/>
      <c r="Y186" s="9"/>
      <c r="Z186" s="146"/>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row>
    <row r="187" spans="1:51" s="74" customFormat="1" x14ac:dyDescent="0.3">
      <c r="A187" s="4">
        <v>2</v>
      </c>
      <c r="B187" s="4" t="s">
        <v>1087</v>
      </c>
      <c r="C187" s="4" t="s">
        <v>916</v>
      </c>
      <c r="D187" s="28">
        <v>8.4</v>
      </c>
      <c r="E187" s="28">
        <v>6.9</v>
      </c>
      <c r="F187" s="28">
        <v>7.4</v>
      </c>
      <c r="G187" s="28">
        <v>9.6</v>
      </c>
      <c r="H187" s="28">
        <v>6.9</v>
      </c>
      <c r="I187" s="28">
        <v>12.2</v>
      </c>
      <c r="J187" s="28" t="s">
        <v>888</v>
      </c>
      <c r="K187" s="28">
        <v>7.9</v>
      </c>
      <c r="L187" s="28">
        <v>8.1</v>
      </c>
      <c r="M187" s="28">
        <v>5.2</v>
      </c>
      <c r="N187" s="28">
        <v>12.2</v>
      </c>
      <c r="O187" s="28">
        <v>10.3</v>
      </c>
      <c r="P187" s="28">
        <v>8.6999999999999993</v>
      </c>
      <c r="Q187" s="28">
        <v>8.3000000000000007</v>
      </c>
      <c r="R187" s="28">
        <v>7.4</v>
      </c>
      <c r="S187" s="28">
        <v>9.6</v>
      </c>
      <c r="T187" s="28">
        <v>6.9</v>
      </c>
      <c r="U187" s="68">
        <f>AVERAGE(Table20222324[[#This Row],[1.0]:[8.0]])</f>
        <v>8.4714285714285715</v>
      </c>
      <c r="V187" s="69">
        <f>AVERAGE(Table20222324[[#This Row],[9.0]:[17.0]])</f>
        <v>8.5222222222222221</v>
      </c>
      <c r="W187" s="70">
        <f>AVERAGE(Table20222324[[#This Row],[1.0]:[17.0]])</f>
        <v>8.5000000000000018</v>
      </c>
      <c r="X187" s="38"/>
      <c r="Y187" s="38"/>
      <c r="Z187" s="146"/>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row>
    <row r="188" spans="1:51" x14ac:dyDescent="0.3">
      <c r="A188" s="4">
        <v>3</v>
      </c>
      <c r="B188" s="4" t="s">
        <v>1088</v>
      </c>
      <c r="C188" s="4" t="s">
        <v>945</v>
      </c>
      <c r="D188" s="28">
        <v>9.6</v>
      </c>
      <c r="E188" s="28">
        <v>7.9</v>
      </c>
      <c r="F188" s="28">
        <v>8.1</v>
      </c>
      <c r="G188" s="28">
        <v>8.4</v>
      </c>
      <c r="H188" s="28">
        <v>6.8</v>
      </c>
      <c r="I188" s="28" t="s">
        <v>888</v>
      </c>
      <c r="J188" s="28">
        <v>6.9</v>
      </c>
      <c r="K188" s="28">
        <v>10.3</v>
      </c>
      <c r="L188" s="28">
        <v>9.6</v>
      </c>
      <c r="M188" s="28">
        <v>7.6</v>
      </c>
      <c r="N188" s="28">
        <v>5.2</v>
      </c>
      <c r="O188" s="28">
        <v>8.6999999999999993</v>
      </c>
      <c r="P188" s="28">
        <v>8.3000000000000007</v>
      </c>
      <c r="Q188" s="28">
        <v>12.2</v>
      </c>
      <c r="R188" s="28">
        <v>5.5</v>
      </c>
      <c r="S188" s="28">
        <v>12.2</v>
      </c>
      <c r="T188" s="28">
        <v>6.8</v>
      </c>
      <c r="U188" s="68">
        <f>AVERAGE(Table20222324[[#This Row],[1.0]:[8.0]])</f>
        <v>8.2857142857142865</v>
      </c>
      <c r="V188" s="69">
        <f>AVERAGE(Table20222324[[#This Row],[9.0]:[17.0]])</f>
        <v>8.4555555555555557</v>
      </c>
      <c r="W188" s="70">
        <f>AVERAGE(Table20222324[[#This Row],[1.0]:[17.0]])</f>
        <v>8.3812499999999996</v>
      </c>
      <c r="X188" s="40"/>
      <c r="Y188" s="9"/>
      <c r="Z188" s="146"/>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row>
    <row r="189" spans="1:51" x14ac:dyDescent="0.3">
      <c r="A189" s="4">
        <v>4</v>
      </c>
      <c r="B189" s="4" t="s">
        <v>1089</v>
      </c>
      <c r="C189" s="4" t="s">
        <v>900</v>
      </c>
      <c r="D189" s="28">
        <v>9.3000000000000007</v>
      </c>
      <c r="E189" s="28">
        <v>7.4</v>
      </c>
      <c r="F189" s="28">
        <v>9.6999999999999993</v>
      </c>
      <c r="G189" s="28" t="s">
        <v>888</v>
      </c>
      <c r="H189" s="28">
        <v>11.4</v>
      </c>
      <c r="I189" s="28">
        <v>5.5</v>
      </c>
      <c r="J189" s="28">
        <v>7.6</v>
      </c>
      <c r="K189" s="28">
        <v>9.6</v>
      </c>
      <c r="L189" s="28">
        <v>8.6</v>
      </c>
      <c r="M189" s="28">
        <v>9.1999999999999993</v>
      </c>
      <c r="N189" s="28">
        <v>7.4</v>
      </c>
      <c r="O189" s="28">
        <v>6.9</v>
      </c>
      <c r="P189" s="28">
        <v>7</v>
      </c>
      <c r="Q189" s="28">
        <v>8.6999999999999993</v>
      </c>
      <c r="R189" s="28">
        <v>7.6</v>
      </c>
      <c r="S189" s="28">
        <v>7.4</v>
      </c>
      <c r="T189" s="28">
        <v>9.6999999999999993</v>
      </c>
      <c r="U189" s="68">
        <f>AVERAGE(Table20222324[[#This Row],[1.0]:[8.0]])</f>
        <v>8.6428571428571441</v>
      </c>
      <c r="V189" s="69">
        <f>AVERAGE(Table20222324[[#This Row],[9.0]:[17.0]])</f>
        <v>8.0555555555555554</v>
      </c>
      <c r="W189" s="70">
        <f>AVERAGE(Table20222324[[#This Row],[1.0]:[17.0]])</f>
        <v>8.3125000000000018</v>
      </c>
      <c r="X189" s="40"/>
      <c r="Y189" s="9"/>
      <c r="Z189" s="146"/>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row>
    <row r="190" spans="1:51" x14ac:dyDescent="0.3">
      <c r="A190" s="4">
        <v>5</v>
      </c>
      <c r="B190" s="4" t="s">
        <v>1090</v>
      </c>
      <c r="C190" s="4" t="s">
        <v>900</v>
      </c>
      <c r="D190" s="28">
        <v>9.3000000000000007</v>
      </c>
      <c r="E190" s="28">
        <v>7.4</v>
      </c>
      <c r="F190" s="28">
        <v>9.6999999999999993</v>
      </c>
      <c r="G190" s="28" t="s">
        <v>888</v>
      </c>
      <c r="H190" s="28">
        <v>11.4</v>
      </c>
      <c r="I190" s="28">
        <v>5.5</v>
      </c>
      <c r="J190" s="28">
        <v>7.6</v>
      </c>
      <c r="K190" s="28">
        <v>9.6</v>
      </c>
      <c r="L190" s="28">
        <v>8.6</v>
      </c>
      <c r="M190" s="28">
        <v>9.1999999999999993</v>
      </c>
      <c r="N190" s="28">
        <v>7.4</v>
      </c>
      <c r="O190" s="28">
        <v>6.9</v>
      </c>
      <c r="P190" s="28">
        <v>7</v>
      </c>
      <c r="Q190" s="28">
        <v>8.6999999999999993</v>
      </c>
      <c r="R190" s="28">
        <v>7.6</v>
      </c>
      <c r="S190" s="28">
        <v>7.4</v>
      </c>
      <c r="T190" s="28">
        <v>9.6999999999999993</v>
      </c>
      <c r="U190" s="68">
        <f>AVERAGE(Table20222324[[#This Row],[1.0]:[8.0]])</f>
        <v>8.6428571428571441</v>
      </c>
      <c r="V190" s="69">
        <f>AVERAGE(Table20222324[[#This Row],[9.0]:[17.0]])</f>
        <v>8.0555555555555554</v>
      </c>
      <c r="W190" s="70">
        <f>AVERAGE(Table20222324[[#This Row],[1.0]:[17.0]])</f>
        <v>8.3125000000000018</v>
      </c>
      <c r="X190" s="40"/>
      <c r="Y190" s="9"/>
      <c r="Z190" s="146"/>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row>
    <row r="191" spans="1:51" x14ac:dyDescent="0.3">
      <c r="A191" s="4">
        <v>6</v>
      </c>
      <c r="B191" s="4" t="s">
        <v>1091</v>
      </c>
      <c r="C191" s="4" t="s">
        <v>949</v>
      </c>
      <c r="D191" s="28">
        <v>10.3</v>
      </c>
      <c r="E191" s="28">
        <v>11.4</v>
      </c>
      <c r="F191" s="28">
        <v>9.6</v>
      </c>
      <c r="G191" s="28">
        <v>8.3000000000000007</v>
      </c>
      <c r="H191" s="28" t="s">
        <v>888</v>
      </c>
      <c r="I191" s="28">
        <v>6.8</v>
      </c>
      <c r="J191" s="28">
        <v>5.2</v>
      </c>
      <c r="K191" s="28">
        <v>8.6999999999999993</v>
      </c>
      <c r="L191" s="28">
        <v>6.9</v>
      </c>
      <c r="M191" s="28">
        <v>8.4</v>
      </c>
      <c r="N191" s="28">
        <v>6.8</v>
      </c>
      <c r="O191" s="28">
        <v>8.1</v>
      </c>
      <c r="P191" s="28">
        <v>9.6999999999999993</v>
      </c>
      <c r="Q191" s="28">
        <v>6.9</v>
      </c>
      <c r="R191" s="28">
        <v>7.9</v>
      </c>
      <c r="S191" s="28">
        <v>6.9</v>
      </c>
      <c r="T191" s="28">
        <v>9.6</v>
      </c>
      <c r="U191" s="68">
        <f>AVERAGE(Table20222324[[#This Row],[1.0]:[8.0]])</f>
        <v>8.6142857142857157</v>
      </c>
      <c r="V191" s="69">
        <f>AVERAGE(Table20222324[[#This Row],[9.0]:[17.0]])</f>
        <v>7.9111111111111114</v>
      </c>
      <c r="W191" s="70">
        <f>AVERAGE(Table20222324[[#This Row],[1.0]:[17.0]])</f>
        <v>8.2187500000000018</v>
      </c>
      <c r="X191" s="40"/>
      <c r="Y191" s="9"/>
      <c r="Z191" s="146"/>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row>
    <row r="192" spans="1:51" x14ac:dyDescent="0.3">
      <c r="A192" s="4">
        <v>7</v>
      </c>
      <c r="B192" s="4" t="s">
        <v>1092</v>
      </c>
      <c r="C192" s="4" t="s">
        <v>949</v>
      </c>
      <c r="D192" s="28">
        <v>10.3</v>
      </c>
      <c r="E192" s="28">
        <v>11.4</v>
      </c>
      <c r="F192" s="28">
        <v>9.6</v>
      </c>
      <c r="G192" s="28">
        <v>8.3000000000000007</v>
      </c>
      <c r="H192" s="28" t="s">
        <v>888</v>
      </c>
      <c r="I192" s="28">
        <v>6.8</v>
      </c>
      <c r="J192" s="28">
        <v>5.2</v>
      </c>
      <c r="K192" s="28">
        <v>8.6999999999999993</v>
      </c>
      <c r="L192" s="28">
        <v>6.9</v>
      </c>
      <c r="M192" s="28">
        <v>8.4</v>
      </c>
      <c r="N192" s="28">
        <v>6.8</v>
      </c>
      <c r="O192" s="28">
        <v>8.1</v>
      </c>
      <c r="P192" s="28">
        <v>9.6999999999999993</v>
      </c>
      <c r="Q192" s="28">
        <v>6.9</v>
      </c>
      <c r="R192" s="28">
        <v>7.9</v>
      </c>
      <c r="S192" s="28">
        <v>6.9</v>
      </c>
      <c r="T192" s="28">
        <v>9.6</v>
      </c>
      <c r="U192" s="68">
        <f>AVERAGE(Table20222324[[#This Row],[1.0]:[8.0]])</f>
        <v>8.6142857142857157</v>
      </c>
      <c r="V192" s="69">
        <f>AVERAGE(Table20222324[[#This Row],[9.0]:[17.0]])</f>
        <v>7.9111111111111114</v>
      </c>
      <c r="W192" s="70">
        <f>AVERAGE(Table20222324[[#This Row],[1.0]:[17.0]])</f>
        <v>8.2187500000000018</v>
      </c>
      <c r="X192" s="40"/>
      <c r="Y192" s="9"/>
      <c r="Z192" s="146"/>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row>
    <row r="193" spans="1:51" x14ac:dyDescent="0.3">
      <c r="A193" s="4">
        <v>8</v>
      </c>
      <c r="B193" s="4" t="s">
        <v>1093</v>
      </c>
      <c r="C193" s="4" t="s">
        <v>924</v>
      </c>
      <c r="D193" s="28">
        <v>5.2</v>
      </c>
      <c r="E193" s="28">
        <v>9.3000000000000007</v>
      </c>
      <c r="F193" s="28">
        <v>8.6</v>
      </c>
      <c r="G193" s="28">
        <v>12.2</v>
      </c>
      <c r="H193" s="28">
        <v>10.3</v>
      </c>
      <c r="I193" s="28">
        <v>8.4</v>
      </c>
      <c r="J193" s="28">
        <v>9.6</v>
      </c>
      <c r="K193" s="28">
        <v>8.4</v>
      </c>
      <c r="L193" s="28">
        <v>9.1999999999999993</v>
      </c>
      <c r="M193" s="28">
        <v>6.6</v>
      </c>
      <c r="N193" s="28" t="s">
        <v>888</v>
      </c>
      <c r="O193" s="28">
        <v>7</v>
      </c>
      <c r="P193" s="28">
        <v>6.9</v>
      </c>
      <c r="Q193" s="28">
        <v>6.8</v>
      </c>
      <c r="R193" s="28">
        <v>10.3</v>
      </c>
      <c r="S193" s="28">
        <v>7.3</v>
      </c>
      <c r="T193" s="28">
        <v>5.2</v>
      </c>
      <c r="U193" s="68">
        <f>AVERAGE(Table20222324[[#This Row],[1.0]:[8.0]])</f>
        <v>9</v>
      </c>
      <c r="V193" s="69">
        <f>AVERAGE(Table20222324[[#This Row],[9.0]:[17.0]])</f>
        <v>7.4124999999999996</v>
      </c>
      <c r="W193" s="70">
        <f>AVERAGE(Table20222324[[#This Row],[1.0]:[17.0]])</f>
        <v>8.2062499999999989</v>
      </c>
      <c r="X193" s="40"/>
      <c r="Y193" s="9"/>
      <c r="Z193" s="146"/>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row>
    <row r="194" spans="1:51" x14ac:dyDescent="0.3">
      <c r="A194" s="4">
        <v>9</v>
      </c>
      <c r="B194" s="4" t="s">
        <v>1094</v>
      </c>
      <c r="C194" s="4" t="s">
        <v>924</v>
      </c>
      <c r="D194" s="28">
        <v>5.2</v>
      </c>
      <c r="E194" s="28">
        <v>9.3000000000000007</v>
      </c>
      <c r="F194" s="28">
        <v>8.6</v>
      </c>
      <c r="G194" s="28">
        <v>12.2</v>
      </c>
      <c r="H194" s="28">
        <v>10.3</v>
      </c>
      <c r="I194" s="28">
        <v>8.4</v>
      </c>
      <c r="J194" s="28">
        <v>9.6</v>
      </c>
      <c r="K194" s="28">
        <v>8.4</v>
      </c>
      <c r="L194" s="28">
        <v>9.1999999999999993</v>
      </c>
      <c r="M194" s="28">
        <v>6.6</v>
      </c>
      <c r="N194" s="28" t="s">
        <v>888</v>
      </c>
      <c r="O194" s="28">
        <v>7</v>
      </c>
      <c r="P194" s="28">
        <v>6.9</v>
      </c>
      <c r="Q194" s="28">
        <v>6.8</v>
      </c>
      <c r="R194" s="28">
        <v>10.3</v>
      </c>
      <c r="S194" s="28">
        <v>7.3</v>
      </c>
      <c r="T194" s="28">
        <v>5.2</v>
      </c>
      <c r="U194" s="68">
        <f>AVERAGE(Table20222324[[#This Row],[1.0]:[8.0]])</f>
        <v>9</v>
      </c>
      <c r="V194" s="69">
        <f>AVERAGE(Table20222324[[#This Row],[9.0]:[17.0]])</f>
        <v>7.4124999999999996</v>
      </c>
      <c r="W194" s="70">
        <f>AVERAGE(Table20222324[[#This Row],[1.0]:[17.0]])</f>
        <v>8.2062499999999989</v>
      </c>
      <c r="X194" s="40"/>
      <c r="Y194" s="9"/>
      <c r="Z194" s="146"/>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row>
    <row r="195" spans="1:51" x14ac:dyDescent="0.3">
      <c r="A195" s="4">
        <v>10</v>
      </c>
      <c r="B195" s="4" t="s">
        <v>1095</v>
      </c>
      <c r="C195" s="4" t="s">
        <v>890</v>
      </c>
      <c r="D195" s="28">
        <v>8.6</v>
      </c>
      <c r="E195" s="28">
        <v>9.1999999999999993</v>
      </c>
      <c r="F195" s="28">
        <v>7.8</v>
      </c>
      <c r="G195" s="28">
        <v>7.6</v>
      </c>
      <c r="H195" s="28">
        <v>6.9</v>
      </c>
      <c r="I195" s="28">
        <v>8.1</v>
      </c>
      <c r="J195" s="28">
        <v>7.4</v>
      </c>
      <c r="K195" s="28">
        <v>7</v>
      </c>
      <c r="L195" s="28">
        <v>7.4</v>
      </c>
      <c r="M195" s="28" t="s">
        <v>888</v>
      </c>
      <c r="N195" s="28">
        <v>9.3000000000000007</v>
      </c>
      <c r="O195" s="28">
        <v>7.4</v>
      </c>
      <c r="P195" s="28">
        <v>12.2</v>
      </c>
      <c r="Q195" s="28">
        <v>7.6</v>
      </c>
      <c r="R195" s="28">
        <v>11.4</v>
      </c>
      <c r="S195" s="28">
        <v>5.5</v>
      </c>
      <c r="T195" s="28">
        <v>7.8</v>
      </c>
      <c r="U195" s="68">
        <f>AVERAGE(Table20222324[[#This Row],[1.0]:[8.0]])</f>
        <v>7.8249999999999993</v>
      </c>
      <c r="V195" s="69">
        <f>AVERAGE(Table20222324[[#This Row],[9.0]:[17.0]])</f>
        <v>8.5749999999999993</v>
      </c>
      <c r="W195" s="70">
        <f>AVERAGE(Table20222324[[#This Row],[1.0]:[17.0]])</f>
        <v>8.2000000000000011</v>
      </c>
      <c r="X195" s="40"/>
      <c r="Y195" s="9"/>
      <c r="Z195" s="146"/>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row>
    <row r="196" spans="1:51" x14ac:dyDescent="0.3">
      <c r="A196" s="4">
        <v>11</v>
      </c>
      <c r="B196" s="4" t="s">
        <v>1096</v>
      </c>
      <c r="C196" s="4" t="s">
        <v>920</v>
      </c>
      <c r="D196" s="28">
        <v>9.6999999999999993</v>
      </c>
      <c r="E196" s="28">
        <v>8.4</v>
      </c>
      <c r="F196" s="28">
        <v>8.3000000000000007</v>
      </c>
      <c r="G196" s="28">
        <v>9.3000000000000007</v>
      </c>
      <c r="H196" s="28">
        <v>7.6</v>
      </c>
      <c r="I196" s="28">
        <v>7</v>
      </c>
      <c r="J196" s="28">
        <v>9.1999999999999993</v>
      </c>
      <c r="K196" s="28">
        <v>5.2</v>
      </c>
      <c r="L196" s="28">
        <v>7.8</v>
      </c>
      <c r="M196" s="28" t="s">
        <v>888</v>
      </c>
      <c r="N196" s="28">
        <v>9.1999999999999993</v>
      </c>
      <c r="O196" s="28">
        <v>8.5</v>
      </c>
      <c r="P196" s="28">
        <v>6.8</v>
      </c>
      <c r="Q196" s="28">
        <v>7</v>
      </c>
      <c r="R196" s="28">
        <v>7.4</v>
      </c>
      <c r="S196" s="28">
        <v>10.3</v>
      </c>
      <c r="T196" s="28">
        <v>9.3000000000000007</v>
      </c>
      <c r="U196" s="68">
        <f>AVERAGE(Table20222324[[#This Row],[1.0]:[8.0]])</f>
        <v>8.0875000000000004</v>
      </c>
      <c r="V196" s="69">
        <f>AVERAGE(Table20222324[[#This Row],[9.0]:[17.0]])</f>
        <v>8.2874999999999996</v>
      </c>
      <c r="W196" s="70">
        <f>AVERAGE(Table20222324[[#This Row],[1.0]:[17.0]])</f>
        <v>8.1875</v>
      </c>
      <c r="X196" s="40"/>
      <c r="Y196" s="9"/>
      <c r="Z196" s="146"/>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row>
    <row r="197" spans="1:51" x14ac:dyDescent="0.3">
      <c r="A197" s="4">
        <v>12</v>
      </c>
      <c r="B197" s="4" t="s">
        <v>1097</v>
      </c>
      <c r="C197" s="4" t="s">
        <v>918</v>
      </c>
      <c r="D197" s="28">
        <v>6.9</v>
      </c>
      <c r="E197" s="28">
        <v>10.3</v>
      </c>
      <c r="F197" s="28">
        <v>12.2</v>
      </c>
      <c r="G197" s="28">
        <v>6.8</v>
      </c>
      <c r="H197" s="28">
        <v>8.4</v>
      </c>
      <c r="I197" s="28">
        <v>8.6999999999999993</v>
      </c>
      <c r="J197" s="28">
        <v>8.3000000000000007</v>
      </c>
      <c r="K197" s="28">
        <v>7.8</v>
      </c>
      <c r="L197" s="28">
        <v>6.9</v>
      </c>
      <c r="M197" s="28">
        <v>6.9</v>
      </c>
      <c r="N197" s="28" t="s">
        <v>888</v>
      </c>
      <c r="O197" s="28">
        <v>7.9</v>
      </c>
      <c r="P197" s="28">
        <v>5.2</v>
      </c>
      <c r="Q197" s="28">
        <v>8.1</v>
      </c>
      <c r="R197" s="28">
        <v>6.9</v>
      </c>
      <c r="S197" s="28">
        <v>6.8</v>
      </c>
      <c r="T197" s="28">
        <v>12.2</v>
      </c>
      <c r="U197" s="68">
        <f>AVERAGE(Table20222324[[#This Row],[1.0]:[8.0]])</f>
        <v>8.6749999999999989</v>
      </c>
      <c r="V197" s="69">
        <f>AVERAGE(Table20222324[[#This Row],[9.0]:[17.0]])</f>
        <v>7.6124999999999989</v>
      </c>
      <c r="W197" s="70">
        <f>AVERAGE(Table20222324[[#This Row],[1.0]:[17.0]])</f>
        <v>8.1437500000000007</v>
      </c>
      <c r="X197" s="40"/>
      <c r="Y197" s="9"/>
      <c r="Z197" s="146"/>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row>
    <row r="198" spans="1:51" x14ac:dyDescent="0.3">
      <c r="A198" s="4">
        <v>13</v>
      </c>
      <c r="B198" s="4" t="s">
        <v>1098</v>
      </c>
      <c r="C198" s="4" t="s">
        <v>902</v>
      </c>
      <c r="D198" s="28">
        <v>9.1999999999999993</v>
      </c>
      <c r="E198" s="28">
        <v>7.8</v>
      </c>
      <c r="F198" s="28">
        <v>6.8</v>
      </c>
      <c r="G198" s="28">
        <v>11.4</v>
      </c>
      <c r="H198" s="28">
        <v>7</v>
      </c>
      <c r="I198" s="28" t="s">
        <v>888</v>
      </c>
      <c r="J198" s="28">
        <v>6.9</v>
      </c>
      <c r="K198" s="28">
        <v>7.6</v>
      </c>
      <c r="L198" s="28">
        <v>9.6999999999999993</v>
      </c>
      <c r="M198" s="28">
        <v>7.4</v>
      </c>
      <c r="N198" s="28">
        <v>7.9</v>
      </c>
      <c r="O198" s="28">
        <v>9.6999999999999993</v>
      </c>
      <c r="P198" s="28">
        <v>5.5</v>
      </c>
      <c r="Q198" s="28">
        <v>9.3000000000000007</v>
      </c>
      <c r="R198" s="28">
        <v>8.6</v>
      </c>
      <c r="S198" s="28">
        <v>7.8</v>
      </c>
      <c r="T198" s="28">
        <v>7.6</v>
      </c>
      <c r="U198" s="68">
        <f>AVERAGE(Table20222324[[#This Row],[1.0]:[8.0]])</f>
        <v>8.1</v>
      </c>
      <c r="V198" s="69">
        <f>AVERAGE(Table20222324[[#This Row],[9.0]:[17.0]])</f>
        <v>8.1666666666666661</v>
      </c>
      <c r="W198" s="70">
        <f>AVERAGE(Table20222324[[#This Row],[1.0]:[17.0]])</f>
        <v>8.1375000000000011</v>
      </c>
      <c r="X198" s="40"/>
      <c r="Y198" s="9"/>
      <c r="Z198" s="146"/>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row>
    <row r="199" spans="1:51" x14ac:dyDescent="0.3">
      <c r="A199" s="4">
        <v>14</v>
      </c>
      <c r="B199" s="4" t="s">
        <v>1099</v>
      </c>
      <c r="C199" s="4" t="s">
        <v>896</v>
      </c>
      <c r="D199" s="28">
        <v>7</v>
      </c>
      <c r="E199" s="28">
        <v>6.9</v>
      </c>
      <c r="F199" s="28">
        <v>5.5</v>
      </c>
      <c r="G199" s="28">
        <v>9.6999999999999993</v>
      </c>
      <c r="H199" s="28">
        <v>8.6</v>
      </c>
      <c r="I199" s="28">
        <v>9.3000000000000007</v>
      </c>
      <c r="J199" s="28">
        <v>7.8</v>
      </c>
      <c r="K199" s="28">
        <v>7.4</v>
      </c>
      <c r="L199" s="28" t="s">
        <v>888</v>
      </c>
      <c r="M199" s="28">
        <v>6.9</v>
      </c>
      <c r="N199" s="28">
        <v>11.4</v>
      </c>
      <c r="O199" s="28">
        <v>9.1999999999999993</v>
      </c>
      <c r="P199" s="28">
        <v>6.9</v>
      </c>
      <c r="Q199" s="28">
        <v>9.6999999999999993</v>
      </c>
      <c r="R199" s="28">
        <v>7.8</v>
      </c>
      <c r="S199" s="28">
        <v>7.4</v>
      </c>
      <c r="T199" s="28">
        <v>7.4</v>
      </c>
      <c r="U199" s="68">
        <f>AVERAGE(Table20222324[[#This Row],[1.0]:[8.0]])</f>
        <v>7.7749999999999995</v>
      </c>
      <c r="V199" s="69">
        <f>AVERAGE(Table20222324[[#This Row],[9.0]:[17.0]])</f>
        <v>8.3374999999999986</v>
      </c>
      <c r="W199" s="70">
        <f>AVERAGE(Table20222324[[#This Row],[1.0]:[17.0]])</f>
        <v>8.0562500000000004</v>
      </c>
      <c r="X199" s="40"/>
      <c r="Y199" s="9"/>
      <c r="Z199" s="146"/>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row>
    <row r="200" spans="1:51" x14ac:dyDescent="0.3">
      <c r="A200" s="4">
        <v>15</v>
      </c>
      <c r="B200" s="4" t="s">
        <v>1100</v>
      </c>
      <c r="C200" s="4" t="s">
        <v>928</v>
      </c>
      <c r="D200" s="28">
        <v>7.4</v>
      </c>
      <c r="E200" s="28">
        <v>9.6999999999999993</v>
      </c>
      <c r="F200" s="28">
        <v>10.3</v>
      </c>
      <c r="G200" s="28">
        <v>7</v>
      </c>
      <c r="H200" s="28">
        <v>6.6</v>
      </c>
      <c r="I200" s="28">
        <v>7.3</v>
      </c>
      <c r="J200" s="28">
        <v>8.6</v>
      </c>
      <c r="K200" s="28">
        <v>9.3000000000000007</v>
      </c>
      <c r="L200" s="28">
        <v>8.3000000000000007</v>
      </c>
      <c r="M200" s="28">
        <v>7.8</v>
      </c>
      <c r="N200" s="28">
        <v>8.6</v>
      </c>
      <c r="O200" s="28">
        <v>7.6</v>
      </c>
      <c r="P200" s="28" t="s">
        <v>888</v>
      </c>
      <c r="Q200" s="28">
        <v>8.4</v>
      </c>
      <c r="R200" s="28">
        <v>5.2</v>
      </c>
      <c r="S200" s="28">
        <v>9.3000000000000007</v>
      </c>
      <c r="T200" s="28">
        <v>7</v>
      </c>
      <c r="U200" s="68">
        <f>AVERAGE(Table20222324[[#This Row],[1.0]:[8.0]])</f>
        <v>8.2750000000000004</v>
      </c>
      <c r="V200" s="69">
        <f>AVERAGE(Table20222324[[#This Row],[9.0]:[17.0]])</f>
        <v>7.7750000000000004</v>
      </c>
      <c r="W200" s="70">
        <f>AVERAGE(Table20222324[[#This Row],[1.0]:[17.0]])</f>
        <v>8.0249999999999986</v>
      </c>
      <c r="X200" s="40"/>
      <c r="Y200" s="9"/>
      <c r="Z200" s="146"/>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row>
    <row r="201" spans="1:51" x14ac:dyDescent="0.3">
      <c r="A201" s="4">
        <v>16</v>
      </c>
      <c r="B201" s="4" t="s">
        <v>1101</v>
      </c>
      <c r="C201" s="4" t="s">
        <v>910</v>
      </c>
      <c r="D201" s="28">
        <v>7.3</v>
      </c>
      <c r="E201" s="28">
        <v>7.6</v>
      </c>
      <c r="F201" s="28">
        <v>8.5</v>
      </c>
      <c r="G201" s="28" t="s">
        <v>888</v>
      </c>
      <c r="H201" s="28">
        <v>9.6999999999999993</v>
      </c>
      <c r="I201" s="28">
        <v>7.4</v>
      </c>
      <c r="J201" s="28">
        <v>7.4</v>
      </c>
      <c r="K201" s="28">
        <v>5.5</v>
      </c>
      <c r="L201" s="28">
        <v>11.4</v>
      </c>
      <c r="M201" s="28">
        <v>9.6</v>
      </c>
      <c r="N201" s="28">
        <v>8.6999999999999993</v>
      </c>
      <c r="O201" s="28">
        <v>7.8</v>
      </c>
      <c r="P201" s="28">
        <v>6.6</v>
      </c>
      <c r="Q201" s="28">
        <v>7.4</v>
      </c>
      <c r="R201" s="28">
        <v>5.8</v>
      </c>
      <c r="S201" s="28">
        <v>11.4</v>
      </c>
      <c r="T201" s="28">
        <v>5.5</v>
      </c>
      <c r="U201" s="68">
        <f>AVERAGE(Table20222324[[#This Row],[1.0]:[8.0]])</f>
        <v>7.6285714285714272</v>
      </c>
      <c r="V201" s="69">
        <f>AVERAGE(Table20222324[[#This Row],[9.0]:[17.0]])</f>
        <v>8.2444444444444454</v>
      </c>
      <c r="W201" s="70">
        <f>AVERAGE(Table20222324[[#This Row],[1.0]:[17.0]])</f>
        <v>7.9749999999999996</v>
      </c>
      <c r="X201" s="40"/>
      <c r="Y201" s="9"/>
      <c r="Z201" s="146"/>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row>
    <row r="202" spans="1:51" x14ac:dyDescent="0.3">
      <c r="A202" s="4">
        <v>17</v>
      </c>
      <c r="B202" s="4" t="s">
        <v>1102</v>
      </c>
      <c r="C202" s="4" t="s">
        <v>930</v>
      </c>
      <c r="D202" s="28">
        <v>7.8</v>
      </c>
      <c r="E202" s="28">
        <v>8.3000000000000007</v>
      </c>
      <c r="F202" s="28">
        <v>5.8</v>
      </c>
      <c r="G202" s="28">
        <v>8.6</v>
      </c>
      <c r="H202" s="28" t="s">
        <v>888</v>
      </c>
      <c r="I202" s="28">
        <v>7.6</v>
      </c>
      <c r="J202" s="28">
        <v>10.3</v>
      </c>
      <c r="K202" s="28">
        <v>9.1999999999999993</v>
      </c>
      <c r="L202" s="28">
        <v>5.2</v>
      </c>
      <c r="M202" s="28">
        <v>7</v>
      </c>
      <c r="N202" s="28">
        <v>9.6999999999999993</v>
      </c>
      <c r="O202" s="28">
        <v>7.1</v>
      </c>
      <c r="P202" s="28">
        <v>8.4</v>
      </c>
      <c r="Q202" s="28">
        <v>7.4</v>
      </c>
      <c r="R202" s="28">
        <v>7</v>
      </c>
      <c r="S202" s="28">
        <v>9.1999999999999993</v>
      </c>
      <c r="T202" s="28">
        <v>8.6</v>
      </c>
      <c r="U202" s="68">
        <f>AVERAGE(Table20222324[[#This Row],[1.0]:[8.0]])</f>
        <v>8.2285714285714295</v>
      </c>
      <c r="V202" s="69">
        <f>AVERAGE(Table20222324[[#This Row],[9.0]:[17.0]])</f>
        <v>7.7333333333333325</v>
      </c>
      <c r="W202" s="70">
        <f>AVERAGE(Table20222324[[#This Row],[1.0]:[17.0]])</f>
        <v>7.9500000000000011</v>
      </c>
      <c r="X202" s="40"/>
      <c r="Y202" s="9"/>
      <c r="Z202" s="146"/>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row>
    <row r="203" spans="1:51" ht="15" thickBot="1" x14ac:dyDescent="0.35">
      <c r="A203" s="4">
        <v>18</v>
      </c>
      <c r="B203" s="4" t="s">
        <v>1103</v>
      </c>
      <c r="C203" s="4" t="s">
        <v>938</v>
      </c>
      <c r="D203" s="28">
        <v>12.2</v>
      </c>
      <c r="E203" s="28">
        <v>9.6</v>
      </c>
      <c r="F203" s="28">
        <v>9.1999999999999993</v>
      </c>
      <c r="G203" s="28">
        <v>5.8</v>
      </c>
      <c r="H203" s="28">
        <v>8.3000000000000007</v>
      </c>
      <c r="I203" s="28">
        <v>5.2</v>
      </c>
      <c r="J203" s="28">
        <v>9.3000000000000007</v>
      </c>
      <c r="K203" s="28">
        <v>6.9</v>
      </c>
      <c r="L203" s="28">
        <v>8.4</v>
      </c>
      <c r="M203" s="28" t="s">
        <v>888</v>
      </c>
      <c r="N203" s="28">
        <v>7</v>
      </c>
      <c r="O203" s="28">
        <v>6.8</v>
      </c>
      <c r="P203" s="28">
        <v>7.1</v>
      </c>
      <c r="Q203" s="28">
        <v>5.2</v>
      </c>
      <c r="R203" s="28">
        <v>8.3000000000000007</v>
      </c>
      <c r="S203" s="28">
        <v>8.6</v>
      </c>
      <c r="T203" s="28">
        <v>8.4</v>
      </c>
      <c r="U203" s="71">
        <f>AVERAGE(Table20222324[[#This Row],[1.0]:[8.0]])</f>
        <v>8.3125</v>
      </c>
      <c r="V203" s="72">
        <f>AVERAGE(Table20222324[[#This Row],[9.0]:[17.0]])</f>
        <v>7.4749999999999996</v>
      </c>
      <c r="W203" s="73">
        <f>AVERAGE(Table20222324[[#This Row],[1.0]:[17.0]])</f>
        <v>7.8937499999999998</v>
      </c>
      <c r="X203" s="40"/>
      <c r="Y203" s="9"/>
      <c r="Z203" s="146"/>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row>
    <row r="204" spans="1:51" x14ac:dyDescent="0.3">
      <c r="A204" s="4">
        <v>19</v>
      </c>
      <c r="B204" s="4" t="s">
        <v>1104</v>
      </c>
      <c r="C204" s="4" t="s">
        <v>887</v>
      </c>
      <c r="D204" s="28">
        <v>11.4</v>
      </c>
      <c r="E204" s="28">
        <v>7.4</v>
      </c>
      <c r="F204" s="28">
        <v>7.6</v>
      </c>
      <c r="G204" s="28">
        <v>6.9</v>
      </c>
      <c r="H204" s="28">
        <v>6.6</v>
      </c>
      <c r="I204" s="28">
        <v>7.8</v>
      </c>
      <c r="J204" s="28" t="s">
        <v>888</v>
      </c>
      <c r="K204" s="28">
        <v>6.9</v>
      </c>
      <c r="L204" s="28">
        <v>7.3</v>
      </c>
      <c r="M204" s="28">
        <v>8.5</v>
      </c>
      <c r="N204" s="28">
        <v>5.8</v>
      </c>
      <c r="O204" s="28">
        <v>7.4</v>
      </c>
      <c r="P204" s="28">
        <v>7.4</v>
      </c>
      <c r="Q204" s="28">
        <v>11.4</v>
      </c>
      <c r="R204" s="28">
        <v>6.9</v>
      </c>
      <c r="S204" s="28">
        <v>9.6999999999999993</v>
      </c>
      <c r="T204" s="28">
        <v>6.9</v>
      </c>
      <c r="U204" s="68">
        <f>AVERAGE(Table20222324[[#This Row],[1.0]:[8.0]])</f>
        <v>7.7999999999999989</v>
      </c>
      <c r="V204" s="69">
        <f>AVERAGE(Table20222324[[#This Row],[9.0]:[17.0]])</f>
        <v>7.9222222222222216</v>
      </c>
      <c r="W204" s="70">
        <f>AVERAGE(Table20222324[[#This Row],[1.0]:[17.0]])</f>
        <v>7.8687500000000012</v>
      </c>
      <c r="X204" s="40"/>
      <c r="Y204" s="9"/>
      <c r="Z204" s="146"/>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row>
    <row r="205" spans="1:51" x14ac:dyDescent="0.3">
      <c r="A205" s="4">
        <v>20</v>
      </c>
      <c r="B205" s="4" t="s">
        <v>1105</v>
      </c>
      <c r="C205" s="4" t="s">
        <v>904</v>
      </c>
      <c r="D205" s="28">
        <v>8.5</v>
      </c>
      <c r="E205" s="28">
        <v>5.5</v>
      </c>
      <c r="F205" s="28">
        <v>11.4</v>
      </c>
      <c r="G205" s="28">
        <v>7.3</v>
      </c>
      <c r="H205" s="28">
        <v>5.8</v>
      </c>
      <c r="I205" s="28">
        <v>6.9</v>
      </c>
      <c r="J205" s="28">
        <v>9.6999999999999993</v>
      </c>
      <c r="K205" s="28">
        <v>6.6</v>
      </c>
      <c r="L205" s="28" t="s">
        <v>888</v>
      </c>
      <c r="M205" s="28">
        <v>7.4</v>
      </c>
      <c r="N205" s="28">
        <v>7.8</v>
      </c>
      <c r="O205" s="28">
        <v>5.5</v>
      </c>
      <c r="P205" s="28">
        <v>7.9</v>
      </c>
      <c r="Q205" s="28">
        <v>6.9</v>
      </c>
      <c r="R205" s="28">
        <v>6.8</v>
      </c>
      <c r="S205" s="28">
        <v>7.6</v>
      </c>
      <c r="T205" s="28">
        <v>11.4</v>
      </c>
      <c r="U205" s="68">
        <f>AVERAGE(Table20222324[[#This Row],[1.0]:[8.0]])</f>
        <v>7.7124999999999995</v>
      </c>
      <c r="V205" s="69">
        <f>AVERAGE(Table20222324[[#This Row],[9.0]:[17.0]])</f>
        <v>7.6624999999999996</v>
      </c>
      <c r="W205" s="70">
        <f>AVERAGE(Table20222324[[#This Row],[1.0]:[17.0]])</f>
        <v>7.6875</v>
      </c>
      <c r="X205" s="40"/>
      <c r="Y205" s="9"/>
      <c r="Z205" s="146"/>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row>
    <row r="206" spans="1:51" x14ac:dyDescent="0.3">
      <c r="A206" s="4">
        <v>21</v>
      </c>
      <c r="B206" s="4" t="s">
        <v>1106</v>
      </c>
      <c r="C206" s="4" t="s">
        <v>926</v>
      </c>
      <c r="D206" s="28">
        <v>6.6</v>
      </c>
      <c r="E206" s="28">
        <v>8.1</v>
      </c>
      <c r="F206" s="28">
        <v>6.9</v>
      </c>
      <c r="G206" s="28">
        <v>6.8</v>
      </c>
      <c r="H206" s="28" t="s">
        <v>888</v>
      </c>
      <c r="I206" s="28">
        <v>9.6</v>
      </c>
      <c r="J206" s="28">
        <v>7.9</v>
      </c>
      <c r="K206" s="28">
        <v>12.2</v>
      </c>
      <c r="L206" s="28">
        <v>7.1</v>
      </c>
      <c r="M206" s="28">
        <v>6.4</v>
      </c>
      <c r="N206" s="28">
        <v>6.9</v>
      </c>
      <c r="O206" s="28">
        <v>6.9</v>
      </c>
      <c r="P206" s="28">
        <v>6.8</v>
      </c>
      <c r="Q206" s="28">
        <v>7.8</v>
      </c>
      <c r="R206" s="28">
        <v>8.1</v>
      </c>
      <c r="S206" s="28">
        <v>7.9</v>
      </c>
      <c r="T206" s="28">
        <v>6.9</v>
      </c>
      <c r="U206" s="68">
        <f>AVERAGE(Table20222324[[#This Row],[1.0]:[8.0]])</f>
        <v>8.2999999999999989</v>
      </c>
      <c r="V206" s="69">
        <f>AVERAGE(Table20222324[[#This Row],[9.0]:[17.0]])</f>
        <v>7.1999999999999993</v>
      </c>
      <c r="W206" s="70">
        <f>AVERAGE(Table20222324[[#This Row],[1.0]:[17.0]])</f>
        <v>7.6812500000000004</v>
      </c>
      <c r="X206" s="40"/>
      <c r="Y206" s="9"/>
      <c r="Z206" s="146"/>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row>
    <row r="207" spans="1:51" x14ac:dyDescent="0.3">
      <c r="A207" s="4">
        <v>22</v>
      </c>
      <c r="B207" s="4" t="s">
        <v>1107</v>
      </c>
      <c r="C207" s="4" t="s">
        <v>894</v>
      </c>
      <c r="D207" s="28">
        <v>7.1</v>
      </c>
      <c r="E207" s="28">
        <v>7.3</v>
      </c>
      <c r="F207" s="28">
        <v>9.3000000000000007</v>
      </c>
      <c r="G207" s="28">
        <v>10.3</v>
      </c>
      <c r="H207" s="28">
        <v>7.4</v>
      </c>
      <c r="I207" s="28">
        <v>11.4</v>
      </c>
      <c r="J207" s="28">
        <v>6.8</v>
      </c>
      <c r="K207" s="28" t="s">
        <v>888</v>
      </c>
      <c r="L207" s="28">
        <v>8.5</v>
      </c>
      <c r="M207" s="28">
        <v>7.3</v>
      </c>
      <c r="N207" s="28">
        <v>5.5</v>
      </c>
      <c r="O207" s="28">
        <v>6.6</v>
      </c>
      <c r="P207" s="28">
        <v>6.6</v>
      </c>
      <c r="Q207" s="28">
        <v>6.4</v>
      </c>
      <c r="R207" s="28">
        <v>6.9</v>
      </c>
      <c r="S207" s="28">
        <v>8.5</v>
      </c>
      <c r="T207" s="28">
        <v>6.6</v>
      </c>
      <c r="U207" s="68">
        <f>AVERAGE(Table20222324[[#This Row],[1.0]:[8.0]])</f>
        <v>8.5142857142857142</v>
      </c>
      <c r="V207" s="69">
        <f>AVERAGE(Table20222324[[#This Row],[9.0]:[17.0]])</f>
        <v>6.9888888888888889</v>
      </c>
      <c r="W207" s="70">
        <f>AVERAGE(Table20222324[[#This Row],[1.0]:[17.0]])</f>
        <v>7.6562499999999991</v>
      </c>
      <c r="X207" s="40"/>
      <c r="Y207" s="9"/>
      <c r="Z207" s="146"/>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row>
    <row r="208" spans="1:51" x14ac:dyDescent="0.3">
      <c r="A208" s="4">
        <v>23</v>
      </c>
      <c r="B208" s="4" t="s">
        <v>1108</v>
      </c>
      <c r="C208" s="4" t="s">
        <v>894</v>
      </c>
      <c r="D208" s="28">
        <v>7.1</v>
      </c>
      <c r="E208" s="28">
        <v>7.3</v>
      </c>
      <c r="F208" s="28">
        <v>9.3000000000000007</v>
      </c>
      <c r="G208" s="28">
        <v>10.3</v>
      </c>
      <c r="H208" s="28">
        <v>7.4</v>
      </c>
      <c r="I208" s="28">
        <v>11.4</v>
      </c>
      <c r="J208" s="28">
        <v>6.8</v>
      </c>
      <c r="K208" s="28" t="s">
        <v>888</v>
      </c>
      <c r="L208" s="28">
        <v>8.5</v>
      </c>
      <c r="M208" s="28">
        <v>7.3</v>
      </c>
      <c r="N208" s="28">
        <v>5.5</v>
      </c>
      <c r="O208" s="28">
        <v>6.6</v>
      </c>
      <c r="P208" s="28">
        <v>6.6</v>
      </c>
      <c r="Q208" s="28">
        <v>6.4</v>
      </c>
      <c r="R208" s="28">
        <v>6.9</v>
      </c>
      <c r="S208" s="28">
        <v>8.5</v>
      </c>
      <c r="T208" s="28">
        <v>6.6</v>
      </c>
      <c r="U208" s="68">
        <f>AVERAGE(Table20222324[[#This Row],[1.0]:[8.0]])</f>
        <v>8.5142857142857142</v>
      </c>
      <c r="V208" s="69">
        <f>AVERAGE(Table20222324[[#This Row],[9.0]:[17.0]])</f>
        <v>6.9888888888888889</v>
      </c>
      <c r="W208" s="70">
        <f>AVERAGE(Table20222324[[#This Row],[1.0]:[17.0]])</f>
        <v>7.6562499999999991</v>
      </c>
      <c r="X208" s="40"/>
      <c r="Y208" s="9"/>
      <c r="Z208" s="146"/>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row>
    <row r="209" spans="1:51" x14ac:dyDescent="0.3">
      <c r="A209" s="4">
        <v>24</v>
      </c>
      <c r="B209" s="4" t="s">
        <v>1109</v>
      </c>
      <c r="C209" s="4" t="s">
        <v>892</v>
      </c>
      <c r="D209" s="28">
        <v>5.5</v>
      </c>
      <c r="E209" s="28">
        <v>12.2</v>
      </c>
      <c r="F209" s="28">
        <v>7.4</v>
      </c>
      <c r="G209" s="28">
        <v>7.4</v>
      </c>
      <c r="H209" s="28">
        <v>7.8</v>
      </c>
      <c r="I209" s="28">
        <v>5.8</v>
      </c>
      <c r="J209" s="28">
        <v>8.1</v>
      </c>
      <c r="K209" s="28" t="s">
        <v>888</v>
      </c>
      <c r="L209" s="28">
        <v>6.9</v>
      </c>
      <c r="M209" s="28">
        <v>6.6</v>
      </c>
      <c r="N209" s="28">
        <v>7.6</v>
      </c>
      <c r="O209" s="28">
        <v>7.3</v>
      </c>
      <c r="P209" s="28">
        <v>8.5</v>
      </c>
      <c r="Q209" s="28">
        <v>5.5</v>
      </c>
      <c r="R209" s="28">
        <v>9.6999999999999993</v>
      </c>
      <c r="S209" s="28">
        <v>6.9</v>
      </c>
      <c r="T209" s="28">
        <v>7.4</v>
      </c>
      <c r="U209" s="68">
        <f>AVERAGE(Table20222324[[#This Row],[1.0]:[8.0]])</f>
        <v>7.742857142857142</v>
      </c>
      <c r="V209" s="69">
        <f>AVERAGE(Table20222324[[#This Row],[9.0]:[17.0]])</f>
        <v>7.3777777777777782</v>
      </c>
      <c r="W209" s="70">
        <f>AVERAGE(Table20222324[[#This Row],[1.0]:[17.0]])</f>
        <v>7.5374999999999996</v>
      </c>
      <c r="X209" s="40"/>
      <c r="Y209" s="9"/>
      <c r="Z209" s="146"/>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row>
    <row r="210" spans="1:51" x14ac:dyDescent="0.3">
      <c r="A210" s="4">
        <v>25</v>
      </c>
      <c r="B210" s="4" t="s">
        <v>1110</v>
      </c>
      <c r="C210" s="4" t="s">
        <v>892</v>
      </c>
      <c r="D210" s="28">
        <v>5.5</v>
      </c>
      <c r="E210" s="28">
        <v>12.2</v>
      </c>
      <c r="F210" s="28">
        <v>7.4</v>
      </c>
      <c r="G210" s="28">
        <v>7.4</v>
      </c>
      <c r="H210" s="28">
        <v>7.8</v>
      </c>
      <c r="I210" s="28">
        <v>5.8</v>
      </c>
      <c r="J210" s="28">
        <v>8.1</v>
      </c>
      <c r="K210" s="28" t="s">
        <v>888</v>
      </c>
      <c r="L210" s="28">
        <v>6.9</v>
      </c>
      <c r="M210" s="28">
        <v>6.6</v>
      </c>
      <c r="N210" s="28">
        <v>7.6</v>
      </c>
      <c r="O210" s="28">
        <v>7.3</v>
      </c>
      <c r="P210" s="28">
        <v>8.5</v>
      </c>
      <c r="Q210" s="28">
        <v>5.5</v>
      </c>
      <c r="R210" s="28">
        <v>9.6999999999999993</v>
      </c>
      <c r="S210" s="28">
        <v>6.9</v>
      </c>
      <c r="T210" s="28">
        <v>7.4</v>
      </c>
      <c r="U210" s="68">
        <f>AVERAGE(Table20222324[[#This Row],[1.0]:[8.0]])</f>
        <v>7.742857142857142</v>
      </c>
      <c r="V210" s="69">
        <f>AVERAGE(Table20222324[[#This Row],[9.0]:[17.0]])</f>
        <v>7.3777777777777782</v>
      </c>
      <c r="W210" s="70">
        <f>AVERAGE(Table20222324[[#This Row],[1.0]:[17.0]])</f>
        <v>7.5374999999999996</v>
      </c>
      <c r="X210" s="40"/>
      <c r="Y210" s="9"/>
      <c r="Z210" s="146"/>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row>
    <row r="211" spans="1:51" x14ac:dyDescent="0.3">
      <c r="A211" s="4">
        <v>26</v>
      </c>
      <c r="B211" s="4" t="s">
        <v>1111</v>
      </c>
      <c r="C211" s="4" t="s">
        <v>932</v>
      </c>
      <c r="D211" s="28">
        <v>5.8</v>
      </c>
      <c r="E211" s="28">
        <v>6.8</v>
      </c>
      <c r="F211" s="28">
        <v>7.9</v>
      </c>
      <c r="G211" s="28">
        <v>6.4</v>
      </c>
      <c r="H211" s="28">
        <v>8.1</v>
      </c>
      <c r="I211" s="28">
        <v>6.9</v>
      </c>
      <c r="J211" s="28">
        <v>6.6</v>
      </c>
      <c r="K211" s="28">
        <v>6.4</v>
      </c>
      <c r="L211" s="28">
        <v>8.6999999999999993</v>
      </c>
      <c r="M211" s="28" t="s">
        <v>888</v>
      </c>
      <c r="N211" s="28">
        <v>6.6</v>
      </c>
      <c r="O211" s="28">
        <v>9.3000000000000007</v>
      </c>
      <c r="P211" s="28">
        <v>10.3</v>
      </c>
      <c r="Q211" s="28">
        <v>8.5</v>
      </c>
      <c r="R211" s="28">
        <v>7.3</v>
      </c>
      <c r="S211" s="28">
        <v>6.6</v>
      </c>
      <c r="T211" s="28">
        <v>6.8</v>
      </c>
      <c r="U211" s="68">
        <f>AVERAGE(Table20222324[[#This Row],[1.0]:[8.0]])</f>
        <v>6.8624999999999998</v>
      </c>
      <c r="V211" s="69">
        <f>AVERAGE(Table20222324[[#This Row],[9.0]:[17.0]])</f>
        <v>8.0125000000000011</v>
      </c>
      <c r="W211" s="70">
        <f>AVERAGE(Table20222324[[#This Row],[1.0]:[17.0]])</f>
        <v>7.4374999999999982</v>
      </c>
      <c r="X211" s="40"/>
      <c r="Y211" s="9"/>
      <c r="Z211" s="146"/>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row>
    <row r="212" spans="1:51" x14ac:dyDescent="0.3">
      <c r="A212" s="4">
        <v>27</v>
      </c>
      <c r="B212" s="4" t="s">
        <v>1112</v>
      </c>
      <c r="C212" s="4" t="s">
        <v>936</v>
      </c>
      <c r="D212" s="28">
        <v>8.6999999999999993</v>
      </c>
      <c r="E212" s="28">
        <v>6.4</v>
      </c>
      <c r="F212" s="28">
        <v>7.3</v>
      </c>
      <c r="G212" s="28">
        <v>6.6</v>
      </c>
      <c r="H212" s="28">
        <v>9.1999999999999993</v>
      </c>
      <c r="I212" s="28">
        <v>8.5</v>
      </c>
      <c r="J212" s="28">
        <v>7.1</v>
      </c>
      <c r="K212" s="28" t="s">
        <v>888</v>
      </c>
      <c r="L212" s="28">
        <v>6.8</v>
      </c>
      <c r="M212" s="28">
        <v>8.3000000000000007</v>
      </c>
      <c r="N212" s="28">
        <v>8.1</v>
      </c>
      <c r="O212" s="28">
        <v>6.9</v>
      </c>
      <c r="P212" s="28">
        <v>5.8</v>
      </c>
      <c r="Q212" s="28">
        <v>7.9</v>
      </c>
      <c r="R212" s="28">
        <v>6.8</v>
      </c>
      <c r="S212" s="28">
        <v>7.1</v>
      </c>
      <c r="T212" s="28">
        <v>6.4</v>
      </c>
      <c r="U212" s="68">
        <f>AVERAGE(Table20222324[[#This Row],[1.0]:[8.0]])</f>
        <v>7.6857142857142859</v>
      </c>
      <c r="V212" s="69">
        <f>AVERAGE(Table20222324[[#This Row],[9.0]:[17.0]])</f>
        <v>7.1222222222222218</v>
      </c>
      <c r="W212" s="70">
        <f>AVERAGE(Table20222324[[#This Row],[1.0]:[17.0]])</f>
        <v>7.3687500000000004</v>
      </c>
      <c r="X212" s="40"/>
      <c r="Y212" s="9"/>
      <c r="Z212" s="146"/>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row>
    <row r="213" spans="1:51" x14ac:dyDescent="0.3">
      <c r="A213" s="4">
        <v>28</v>
      </c>
      <c r="B213" s="4" t="s">
        <v>1113</v>
      </c>
      <c r="C213" s="4" t="s">
        <v>908</v>
      </c>
      <c r="D213" s="28">
        <v>6.9</v>
      </c>
      <c r="E213" s="28">
        <v>5.8</v>
      </c>
      <c r="F213" s="28">
        <v>6.6</v>
      </c>
      <c r="G213" s="28">
        <v>7.4</v>
      </c>
      <c r="H213" s="28">
        <v>6.4</v>
      </c>
      <c r="I213" s="28">
        <v>9.1999999999999993</v>
      </c>
      <c r="J213" s="28">
        <v>6.6</v>
      </c>
      <c r="K213" s="28">
        <v>6.8</v>
      </c>
      <c r="L213" s="28">
        <v>5.5</v>
      </c>
      <c r="M213" s="28">
        <v>5.8</v>
      </c>
      <c r="N213" s="28">
        <v>8.5</v>
      </c>
      <c r="O213" s="28">
        <v>11.4</v>
      </c>
      <c r="P213" s="28" t="s">
        <v>888</v>
      </c>
      <c r="Q213" s="28">
        <v>6.6</v>
      </c>
      <c r="R213" s="28">
        <v>7.1</v>
      </c>
      <c r="S213" s="28">
        <v>8.3000000000000007</v>
      </c>
      <c r="T213" s="28">
        <v>8.5</v>
      </c>
      <c r="U213" s="68">
        <f>AVERAGE(Table20222324[[#This Row],[1.0]:[8.0]])</f>
        <v>6.9624999999999995</v>
      </c>
      <c r="V213" s="69">
        <f>AVERAGE(Table20222324[[#This Row],[9.0]:[17.0]])</f>
        <v>7.7125000000000004</v>
      </c>
      <c r="W213" s="70">
        <f>AVERAGE(Table20222324[[#This Row],[1.0]:[17.0]])</f>
        <v>7.3374999999999995</v>
      </c>
      <c r="X213" s="40"/>
      <c r="Y213" s="9"/>
      <c r="Z213" s="146"/>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row>
    <row r="214" spans="1:51" x14ac:dyDescent="0.3">
      <c r="A214" s="4">
        <v>29</v>
      </c>
      <c r="B214" s="4" t="s">
        <v>1114</v>
      </c>
      <c r="C214" s="4" t="s">
        <v>898</v>
      </c>
      <c r="D214" s="28">
        <v>6.8</v>
      </c>
      <c r="E214" s="28">
        <v>8.5</v>
      </c>
      <c r="F214" s="28">
        <v>8.4</v>
      </c>
      <c r="G214" s="28">
        <v>6.6</v>
      </c>
      <c r="H214" s="28">
        <v>5.5</v>
      </c>
      <c r="I214" s="28">
        <v>6.4</v>
      </c>
      <c r="J214" s="28">
        <v>7.3</v>
      </c>
      <c r="K214" s="28">
        <v>7.4</v>
      </c>
      <c r="L214" s="28" t="s">
        <v>888</v>
      </c>
      <c r="M214" s="28">
        <v>11.4</v>
      </c>
      <c r="N214" s="28">
        <v>7.1</v>
      </c>
      <c r="O214" s="28">
        <v>5.8</v>
      </c>
      <c r="P214" s="28">
        <v>6.9</v>
      </c>
      <c r="Q214" s="28">
        <v>7.3</v>
      </c>
      <c r="R214" s="28">
        <v>8.5</v>
      </c>
      <c r="S214" s="28">
        <v>7</v>
      </c>
      <c r="T214" s="28">
        <v>5.8</v>
      </c>
      <c r="U214" s="68">
        <f>AVERAGE(Table20222324[[#This Row],[1.0]:[8.0]])</f>
        <v>7.1124999999999998</v>
      </c>
      <c r="V214" s="69">
        <f>AVERAGE(Table20222324[[#This Row],[9.0]:[17.0]])</f>
        <v>7.4749999999999996</v>
      </c>
      <c r="W214" s="70">
        <f>AVERAGE(Table20222324[[#This Row],[1.0]:[17.0]])</f>
        <v>7.2937499999999993</v>
      </c>
      <c r="X214" s="40"/>
      <c r="Y214" s="9"/>
      <c r="Z214" s="146"/>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row>
    <row r="215" spans="1:51" x14ac:dyDescent="0.3">
      <c r="A215" s="4">
        <v>30</v>
      </c>
      <c r="B215" s="4" t="s">
        <v>1115</v>
      </c>
      <c r="C215" s="4" t="s">
        <v>947</v>
      </c>
      <c r="D215" s="28">
        <v>7.9</v>
      </c>
      <c r="E215" s="28">
        <v>6.6</v>
      </c>
      <c r="F215" s="28">
        <v>7</v>
      </c>
      <c r="G215" s="28">
        <v>7.1</v>
      </c>
      <c r="H215" s="28">
        <v>7.3</v>
      </c>
      <c r="I215" s="28">
        <v>6.6</v>
      </c>
      <c r="J215" s="28">
        <v>8.5</v>
      </c>
      <c r="K215" s="28">
        <v>7.1</v>
      </c>
      <c r="L215" s="28" t="s">
        <v>888</v>
      </c>
      <c r="M215" s="28">
        <v>8.6999999999999993</v>
      </c>
      <c r="N215" s="28">
        <v>6.9</v>
      </c>
      <c r="O215" s="28">
        <v>6.8</v>
      </c>
      <c r="P215" s="28">
        <v>8.1</v>
      </c>
      <c r="Q215" s="28">
        <v>5.8</v>
      </c>
      <c r="R215" s="28">
        <v>8.4</v>
      </c>
      <c r="S215" s="28">
        <v>6.8</v>
      </c>
      <c r="T215" s="28">
        <v>6.6</v>
      </c>
      <c r="U215" s="68">
        <f>AVERAGE(Table20222324[[#This Row],[1.0]:[8.0]])</f>
        <v>7.2625000000000002</v>
      </c>
      <c r="V215" s="69">
        <f>AVERAGE(Table20222324[[#This Row],[9.0]:[17.0]])</f>
        <v>7.2624999999999993</v>
      </c>
      <c r="W215" s="70">
        <f>AVERAGE(Table20222324[[#This Row],[1.0]:[17.0]])</f>
        <v>7.2624999999999993</v>
      </c>
      <c r="X215" s="40"/>
      <c r="Y215" s="9"/>
      <c r="Z215" s="146"/>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row>
    <row r="216" spans="1:51" x14ac:dyDescent="0.3">
      <c r="A216" s="4">
        <v>31</v>
      </c>
      <c r="B216" s="4" t="s">
        <v>1116</v>
      </c>
      <c r="C216" s="4" t="s">
        <v>947</v>
      </c>
      <c r="D216" s="28">
        <v>7.9</v>
      </c>
      <c r="E216" s="28">
        <v>6.6</v>
      </c>
      <c r="F216" s="28">
        <v>7</v>
      </c>
      <c r="G216" s="28">
        <v>7.1</v>
      </c>
      <c r="H216" s="28">
        <v>7.3</v>
      </c>
      <c r="I216" s="28">
        <v>6.6</v>
      </c>
      <c r="J216" s="28">
        <v>8.5</v>
      </c>
      <c r="K216" s="28">
        <v>7.1</v>
      </c>
      <c r="L216" s="28" t="s">
        <v>888</v>
      </c>
      <c r="M216" s="28">
        <v>8.6999999999999993</v>
      </c>
      <c r="N216" s="28">
        <v>6.9</v>
      </c>
      <c r="O216" s="28">
        <v>6.8</v>
      </c>
      <c r="P216" s="28">
        <v>8.1</v>
      </c>
      <c r="Q216" s="28">
        <v>5.8</v>
      </c>
      <c r="R216" s="28">
        <v>8.4</v>
      </c>
      <c r="S216" s="28">
        <v>6.8</v>
      </c>
      <c r="T216" s="28">
        <v>6.6</v>
      </c>
      <c r="U216" s="68">
        <f>AVERAGE(Table20222324[[#This Row],[1.0]:[8.0]])</f>
        <v>7.2625000000000002</v>
      </c>
      <c r="V216" s="69">
        <f>AVERAGE(Table20222324[[#This Row],[9.0]:[17.0]])</f>
        <v>7.2624999999999993</v>
      </c>
      <c r="W216" s="70">
        <f>AVERAGE(Table20222324[[#This Row],[1.0]:[17.0]])</f>
        <v>7.2624999999999993</v>
      </c>
      <c r="X216" s="40"/>
      <c r="Y216" s="9"/>
      <c r="Z216" s="146"/>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row>
    <row r="217" spans="1:51" x14ac:dyDescent="0.3">
      <c r="A217" s="4">
        <v>32</v>
      </c>
      <c r="B217" s="4" t="s">
        <v>1117</v>
      </c>
      <c r="C217" s="4" t="s">
        <v>941</v>
      </c>
      <c r="D217" s="28">
        <v>6.6</v>
      </c>
      <c r="E217" s="28">
        <v>7.1</v>
      </c>
      <c r="F217" s="28">
        <v>5.2</v>
      </c>
      <c r="G217" s="28">
        <v>8.6999999999999993</v>
      </c>
      <c r="H217" s="28">
        <v>8.5</v>
      </c>
      <c r="I217" s="28">
        <v>7.9</v>
      </c>
      <c r="J217" s="28">
        <v>5.8</v>
      </c>
      <c r="K217" s="28">
        <v>7.3</v>
      </c>
      <c r="L217" s="28">
        <v>6.6</v>
      </c>
      <c r="M217" s="28">
        <v>8.1</v>
      </c>
      <c r="N217" s="28" t="s">
        <v>888</v>
      </c>
      <c r="O217" s="28">
        <v>6.4</v>
      </c>
      <c r="P217" s="28">
        <v>8.6</v>
      </c>
      <c r="Q217" s="28">
        <v>6.9</v>
      </c>
      <c r="R217" s="28">
        <v>6.6</v>
      </c>
      <c r="S217" s="28">
        <v>6.4</v>
      </c>
      <c r="T217" s="28">
        <v>7.1</v>
      </c>
      <c r="U217" s="68">
        <f>AVERAGE(Table20222324[[#This Row],[1.0]:[8.0]])</f>
        <v>7.1374999999999984</v>
      </c>
      <c r="V217" s="69">
        <f>AVERAGE(Table20222324[[#This Row],[9.0]:[17.0]])</f>
        <v>7.0875000000000004</v>
      </c>
      <c r="W217" s="70">
        <f>AVERAGE(Table20222324[[#This Row],[1.0]:[17.0]])</f>
        <v>7.1124999999999989</v>
      </c>
      <c r="X217" s="40"/>
      <c r="Y217" s="9"/>
      <c r="Z217" s="146"/>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row>
    <row r="218" spans="1:51" x14ac:dyDescent="0.3">
      <c r="A218" s="4">
        <v>33</v>
      </c>
      <c r="B218" s="4" t="s">
        <v>1118</v>
      </c>
      <c r="C218" s="4" t="s">
        <v>906</v>
      </c>
      <c r="D218" s="28">
        <v>7.4</v>
      </c>
      <c r="E218" s="28">
        <v>6.6</v>
      </c>
      <c r="F218" s="28">
        <v>6.9</v>
      </c>
      <c r="G218" s="28">
        <v>5.2</v>
      </c>
      <c r="H218" s="28">
        <v>6.8</v>
      </c>
      <c r="I218" s="28">
        <v>6.6</v>
      </c>
      <c r="J218" s="28">
        <v>6.4</v>
      </c>
      <c r="K218" s="28" t="s">
        <v>888</v>
      </c>
      <c r="L218" s="28">
        <v>5.8</v>
      </c>
      <c r="M218" s="28">
        <v>5.5</v>
      </c>
      <c r="N218" s="28">
        <v>7.3</v>
      </c>
      <c r="O218" s="28">
        <v>8.6</v>
      </c>
      <c r="P218" s="28">
        <v>11.4</v>
      </c>
      <c r="Q218" s="28">
        <v>7.1</v>
      </c>
      <c r="R218" s="28">
        <v>6.6</v>
      </c>
      <c r="S218" s="28">
        <v>5.8</v>
      </c>
      <c r="T218" s="28">
        <v>7.3</v>
      </c>
      <c r="U218" s="68">
        <f>AVERAGE(Table20222324[[#This Row],[1.0]:[8.0]])</f>
        <v>6.5571428571428569</v>
      </c>
      <c r="V218" s="69">
        <f>AVERAGE(Table20222324[[#This Row],[9.0]:[17.0]])</f>
        <v>7.2666666666666675</v>
      </c>
      <c r="W218" s="70">
        <f>AVERAGE(Table20222324[[#This Row],[1.0]:[17.0]])</f>
        <v>6.9562499999999989</v>
      </c>
      <c r="X218" s="40"/>
      <c r="Y218" s="9"/>
      <c r="Z218" s="146"/>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row>
    <row r="219" spans="1:51" x14ac:dyDescent="0.3">
      <c r="A219" s="9"/>
      <c r="B219" s="12"/>
      <c r="C219" s="9"/>
      <c r="D219" s="40"/>
      <c r="E219" s="40"/>
      <c r="F219" s="40"/>
      <c r="G219" s="40"/>
      <c r="H219" s="40"/>
      <c r="I219" s="40"/>
      <c r="J219" s="40"/>
      <c r="K219" s="40"/>
      <c r="L219" s="40"/>
      <c r="M219" s="40"/>
      <c r="N219" s="40"/>
      <c r="O219" s="40"/>
      <c r="P219" s="40"/>
      <c r="Q219" s="40"/>
      <c r="R219" s="40"/>
      <c r="S219" s="40"/>
      <c r="T219" s="40"/>
      <c r="U219" s="40"/>
      <c r="V219" s="40"/>
      <c r="W219" s="40"/>
      <c r="X219" s="40"/>
      <c r="Y219" s="9"/>
      <c r="Z219" s="146"/>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row>
    <row r="220" spans="1:51" x14ac:dyDescent="0.3">
      <c r="A220" s="9"/>
      <c r="B220" s="12"/>
      <c r="C220" s="9"/>
      <c r="D220" s="40"/>
      <c r="E220" s="40"/>
      <c r="F220" s="40"/>
      <c r="G220" s="40"/>
      <c r="H220" s="40"/>
      <c r="I220" s="40"/>
      <c r="J220" s="40"/>
      <c r="K220" s="40"/>
      <c r="L220" s="40"/>
      <c r="M220" s="40"/>
      <c r="N220" s="40"/>
      <c r="O220" s="40"/>
      <c r="P220" s="40"/>
      <c r="Q220" s="40"/>
      <c r="R220" s="40"/>
      <c r="S220" s="40"/>
      <c r="T220" s="40"/>
      <c r="U220" s="40"/>
      <c r="V220" s="40"/>
      <c r="W220" s="40"/>
      <c r="X220" s="40"/>
      <c r="Y220" s="9"/>
      <c r="Z220" s="146"/>
      <c r="AA220" s="9"/>
      <c r="AB220" s="9"/>
      <c r="AC220" s="9"/>
      <c r="AD220" s="9"/>
      <c r="AE220" s="9"/>
      <c r="AF220" s="9"/>
      <c r="AG220" s="9"/>
      <c r="AH220" s="9"/>
      <c r="AI220" s="9"/>
      <c r="AJ220" s="9"/>
      <c r="AK220" s="9"/>
      <c r="AL220" s="9"/>
      <c r="AM220" s="9"/>
      <c r="AN220" s="9"/>
      <c r="AO220" s="9"/>
      <c r="AP220" s="9"/>
      <c r="AQ220" s="9"/>
      <c r="AR220" s="9"/>
      <c r="AS220" s="9"/>
      <c r="AT220" s="9"/>
      <c r="AU220" s="9"/>
      <c r="AV220" s="9"/>
      <c r="AW220" s="9"/>
    </row>
    <row r="221" spans="1:51" x14ac:dyDescent="0.3">
      <c r="A221" s="9"/>
      <c r="B221" s="12"/>
      <c r="C221" s="9"/>
      <c r="D221" s="40"/>
      <c r="E221" s="40"/>
      <c r="F221" s="40"/>
      <c r="G221" s="40"/>
      <c r="H221" s="40"/>
      <c r="I221" s="40"/>
      <c r="J221" s="40"/>
      <c r="K221" s="40"/>
      <c r="L221" s="40"/>
      <c r="M221" s="40"/>
      <c r="N221" s="40"/>
      <c r="O221" s="40"/>
      <c r="P221" s="40"/>
      <c r="Q221" s="40"/>
      <c r="R221" s="40"/>
      <c r="S221" s="40"/>
      <c r="T221" s="40"/>
      <c r="U221" s="40"/>
      <c r="V221" s="40"/>
      <c r="W221" s="40"/>
      <c r="X221" s="40"/>
      <c r="Y221" s="9"/>
      <c r="Z221" s="146"/>
      <c r="AA221" s="9"/>
      <c r="AB221" s="9"/>
      <c r="AC221" s="9"/>
      <c r="AD221" s="9"/>
      <c r="AE221" s="9"/>
      <c r="AF221" s="9"/>
      <c r="AG221" s="9"/>
      <c r="AH221" s="9"/>
      <c r="AI221" s="9"/>
      <c r="AJ221" s="9"/>
      <c r="AK221" s="9"/>
      <c r="AL221" s="9"/>
      <c r="AM221" s="9"/>
      <c r="AN221" s="9"/>
      <c r="AO221" s="9"/>
      <c r="AP221" s="9"/>
      <c r="AQ221" s="9"/>
      <c r="AR221" s="9"/>
      <c r="AS221" s="9"/>
      <c r="AT221" s="9"/>
      <c r="AU221" s="9"/>
      <c r="AV221" s="9"/>
      <c r="AW221" s="9"/>
    </row>
    <row r="222" spans="1:51" x14ac:dyDescent="0.3">
      <c r="A222" s="9"/>
      <c r="B222" s="12"/>
      <c r="C222" s="9"/>
      <c r="D222" s="40"/>
      <c r="E222" s="40"/>
      <c r="F222" s="40"/>
      <c r="G222" s="40"/>
      <c r="H222" s="40"/>
      <c r="I222" s="40"/>
      <c r="J222" s="40"/>
      <c r="K222" s="40"/>
      <c r="L222" s="40"/>
      <c r="M222" s="40"/>
      <c r="N222" s="40"/>
      <c r="O222" s="40"/>
      <c r="P222" s="40"/>
      <c r="Q222" s="40"/>
      <c r="R222" s="40"/>
      <c r="S222" s="40"/>
      <c r="T222" s="40"/>
      <c r="U222" s="40"/>
      <c r="V222" s="40"/>
      <c r="W222" s="40"/>
      <c r="X222" s="40"/>
      <c r="Y222" s="9"/>
      <c r="Z222" s="146"/>
      <c r="AA222" s="9"/>
      <c r="AB222" s="9"/>
      <c r="AC222" s="9"/>
      <c r="AD222" s="9"/>
      <c r="AE222" s="9"/>
      <c r="AF222" s="9"/>
      <c r="AG222" s="9"/>
      <c r="AH222" s="9"/>
      <c r="AI222" s="9"/>
      <c r="AJ222" s="9"/>
      <c r="AK222" s="9"/>
      <c r="AL222" s="9"/>
      <c r="AM222" s="9"/>
      <c r="AN222" s="9"/>
      <c r="AO222" s="9"/>
      <c r="AP222" s="9"/>
      <c r="AQ222" s="9"/>
      <c r="AR222" s="9"/>
      <c r="AS222" s="9"/>
      <c r="AT222" s="9"/>
      <c r="AU222" s="9"/>
      <c r="AV222" s="9"/>
      <c r="AW222" s="9"/>
    </row>
    <row r="223" spans="1:51" x14ac:dyDescent="0.3">
      <c r="A223" s="9"/>
      <c r="B223" s="12"/>
      <c r="C223" s="9"/>
      <c r="D223" s="40"/>
      <c r="E223" s="40"/>
      <c r="F223" s="40"/>
      <c r="G223" s="40"/>
      <c r="H223" s="40"/>
      <c r="I223" s="40"/>
      <c r="J223" s="40"/>
      <c r="K223" s="40"/>
      <c r="L223" s="40"/>
      <c r="M223" s="40"/>
      <c r="N223" s="40"/>
      <c r="O223" s="40"/>
      <c r="P223" s="40"/>
      <c r="Q223" s="40"/>
      <c r="R223" s="40"/>
      <c r="S223" s="40"/>
      <c r="T223" s="40"/>
      <c r="U223" s="40"/>
      <c r="V223" s="40"/>
      <c r="W223" s="40"/>
      <c r="X223" s="40"/>
      <c r="Y223" s="9"/>
      <c r="Z223" s="146"/>
      <c r="AA223" s="9"/>
      <c r="AB223" s="9"/>
      <c r="AC223" s="9"/>
      <c r="AD223" s="9"/>
      <c r="AE223" s="9"/>
      <c r="AF223" s="9"/>
      <c r="AG223" s="9"/>
      <c r="AH223" s="9"/>
      <c r="AI223" s="9"/>
      <c r="AJ223" s="9"/>
      <c r="AK223" s="9"/>
      <c r="AL223" s="9"/>
      <c r="AM223" s="9"/>
      <c r="AN223" s="9"/>
      <c r="AO223" s="9"/>
      <c r="AP223" s="9"/>
      <c r="AQ223" s="9"/>
      <c r="AR223" s="9"/>
      <c r="AS223" s="9"/>
      <c r="AT223" s="9"/>
      <c r="AU223" s="9"/>
      <c r="AV223" s="9"/>
      <c r="AW223" s="9"/>
    </row>
    <row r="224" spans="1:51" x14ac:dyDescent="0.3">
      <c r="A224" s="9"/>
      <c r="B224" s="12"/>
      <c r="C224" s="9"/>
      <c r="D224" s="40"/>
      <c r="E224" s="40"/>
      <c r="F224" s="40"/>
      <c r="G224" s="40"/>
      <c r="H224" s="40"/>
      <c r="I224" s="40"/>
      <c r="J224" s="40"/>
      <c r="K224" s="40"/>
      <c r="L224" s="40"/>
      <c r="M224" s="40"/>
      <c r="N224" s="40"/>
      <c r="O224" s="40"/>
      <c r="P224" s="40"/>
      <c r="Q224" s="40"/>
      <c r="R224" s="40"/>
      <c r="S224" s="40"/>
      <c r="T224" s="40"/>
      <c r="U224" s="40"/>
      <c r="V224" s="40"/>
      <c r="W224" s="40"/>
      <c r="X224" s="40"/>
      <c r="Y224" s="9"/>
      <c r="Z224" s="146"/>
      <c r="AA224" s="9"/>
      <c r="AB224" s="9"/>
      <c r="AC224" s="9"/>
      <c r="AD224" s="9"/>
      <c r="AE224" s="9"/>
      <c r="AF224" s="9"/>
      <c r="AG224" s="9"/>
      <c r="AH224" s="9"/>
      <c r="AI224" s="9"/>
      <c r="AJ224" s="9"/>
      <c r="AK224" s="9"/>
      <c r="AL224" s="9"/>
      <c r="AM224" s="9"/>
      <c r="AN224" s="9"/>
      <c r="AO224" s="9"/>
      <c r="AP224" s="9"/>
      <c r="AQ224" s="9"/>
      <c r="AR224" s="9"/>
      <c r="AS224" s="9"/>
      <c r="AT224" s="9"/>
      <c r="AU224" s="9"/>
      <c r="AV224" s="9"/>
      <c r="AW224" s="9"/>
    </row>
    <row r="225" spans="1:49" x14ac:dyDescent="0.3">
      <c r="A225" s="9"/>
      <c r="B225" s="12"/>
      <c r="C225" s="9"/>
      <c r="D225" s="40"/>
      <c r="E225" s="40"/>
      <c r="F225" s="40"/>
      <c r="G225" s="40"/>
      <c r="H225" s="40"/>
      <c r="I225" s="40"/>
      <c r="J225" s="40"/>
      <c r="K225" s="40"/>
      <c r="L225" s="40"/>
      <c r="M225" s="40"/>
      <c r="N225" s="40"/>
      <c r="O225" s="40"/>
      <c r="P225" s="40"/>
      <c r="Q225" s="40"/>
      <c r="R225" s="40"/>
      <c r="S225" s="40"/>
      <c r="T225" s="40"/>
      <c r="U225" s="40"/>
      <c r="V225" s="40"/>
      <c r="W225" s="40"/>
      <c r="X225" s="40"/>
      <c r="Y225" s="9"/>
      <c r="Z225" s="146"/>
      <c r="AA225" s="9"/>
      <c r="AB225" s="9"/>
      <c r="AC225" s="9"/>
      <c r="AD225" s="9"/>
      <c r="AE225" s="9"/>
      <c r="AF225" s="9"/>
      <c r="AG225" s="9"/>
      <c r="AH225" s="9"/>
      <c r="AI225" s="9"/>
      <c r="AJ225" s="9"/>
      <c r="AK225" s="9"/>
      <c r="AL225" s="9"/>
      <c r="AM225" s="9"/>
      <c r="AN225" s="9"/>
      <c r="AO225" s="9"/>
      <c r="AP225" s="9"/>
      <c r="AQ225" s="9"/>
      <c r="AR225" s="9"/>
      <c r="AS225" s="9"/>
      <c r="AT225" s="9"/>
      <c r="AU225" s="9"/>
      <c r="AV225" s="9"/>
      <c r="AW225" s="9"/>
    </row>
    <row r="226" spans="1:49" x14ac:dyDescent="0.3">
      <c r="A226" s="9"/>
      <c r="B226" s="12"/>
      <c r="C226" s="9"/>
      <c r="D226" s="40"/>
      <c r="E226" s="40"/>
      <c r="F226" s="40"/>
      <c r="G226" s="40"/>
      <c r="H226" s="40"/>
      <c r="I226" s="40"/>
      <c r="J226" s="40"/>
      <c r="K226" s="40"/>
      <c r="L226" s="40"/>
      <c r="M226" s="40"/>
      <c r="N226" s="40"/>
      <c r="O226" s="40"/>
      <c r="P226" s="40"/>
      <c r="Q226" s="40"/>
      <c r="R226" s="40"/>
      <c r="S226" s="40"/>
      <c r="T226" s="40"/>
      <c r="U226" s="40"/>
      <c r="V226" s="40"/>
      <c r="W226" s="40"/>
      <c r="X226" s="40"/>
      <c r="Y226" s="9"/>
      <c r="Z226" s="146"/>
      <c r="AA226" s="9"/>
      <c r="AB226" s="9"/>
      <c r="AC226" s="9"/>
      <c r="AD226" s="9"/>
      <c r="AE226" s="9"/>
      <c r="AF226" s="9"/>
      <c r="AG226" s="9"/>
      <c r="AH226" s="9"/>
      <c r="AI226" s="9"/>
      <c r="AJ226" s="9"/>
      <c r="AK226" s="9"/>
      <c r="AL226" s="9"/>
      <c r="AM226" s="9"/>
      <c r="AN226" s="9"/>
      <c r="AO226" s="9"/>
      <c r="AP226" s="9"/>
      <c r="AQ226" s="9"/>
      <c r="AR226" s="9"/>
      <c r="AS226" s="9"/>
      <c r="AT226" s="9"/>
      <c r="AU226" s="9"/>
      <c r="AV226" s="9"/>
      <c r="AW226" s="9"/>
    </row>
    <row r="227" spans="1:49" x14ac:dyDescent="0.3">
      <c r="A227" s="9"/>
      <c r="B227" s="12"/>
      <c r="C227" s="9"/>
      <c r="D227" s="40"/>
      <c r="E227" s="40"/>
      <c r="F227" s="40"/>
      <c r="G227" s="40"/>
      <c r="H227" s="40"/>
      <c r="I227" s="40"/>
      <c r="J227" s="40"/>
      <c r="K227" s="40"/>
      <c r="L227" s="40"/>
      <c r="M227" s="40"/>
      <c r="N227" s="40"/>
      <c r="O227" s="40"/>
      <c r="P227" s="40"/>
      <c r="Q227" s="40"/>
      <c r="R227" s="40"/>
      <c r="S227" s="40"/>
      <c r="T227" s="40"/>
      <c r="U227" s="40"/>
      <c r="V227" s="40"/>
      <c r="W227" s="40"/>
      <c r="X227" s="40"/>
      <c r="Y227" s="9"/>
      <c r="Z227" s="146"/>
      <c r="AA227" s="9"/>
      <c r="AB227" s="9"/>
      <c r="AC227" s="9"/>
      <c r="AD227" s="9"/>
      <c r="AE227" s="9"/>
      <c r="AF227" s="9"/>
      <c r="AG227" s="9"/>
      <c r="AH227" s="9"/>
      <c r="AI227" s="9"/>
      <c r="AJ227" s="9"/>
      <c r="AK227" s="9"/>
      <c r="AL227" s="9"/>
      <c r="AM227" s="9"/>
      <c r="AN227" s="9"/>
      <c r="AO227" s="9"/>
      <c r="AP227" s="9"/>
      <c r="AQ227" s="9"/>
      <c r="AR227" s="9"/>
      <c r="AS227" s="9"/>
      <c r="AT227" s="9"/>
      <c r="AU227" s="9"/>
      <c r="AV227" s="9"/>
      <c r="AW227" s="9"/>
    </row>
    <row r="228" spans="1:49" x14ac:dyDescent="0.3">
      <c r="A228" s="9"/>
      <c r="B228" s="12"/>
      <c r="C228" s="9"/>
      <c r="D228" s="40"/>
      <c r="E228" s="40"/>
      <c r="F228" s="40"/>
      <c r="G228" s="40"/>
      <c r="H228" s="40"/>
      <c r="I228" s="40"/>
      <c r="J228" s="40"/>
      <c r="K228" s="40"/>
      <c r="L228" s="40"/>
      <c r="M228" s="40"/>
      <c r="N228" s="40"/>
      <c r="O228" s="40"/>
      <c r="P228" s="40"/>
      <c r="Q228" s="40"/>
      <c r="R228" s="40"/>
      <c r="S228" s="40"/>
      <c r="T228" s="40"/>
      <c r="U228" s="40"/>
      <c r="V228" s="40"/>
      <c r="W228" s="40"/>
      <c r="X228" s="40"/>
      <c r="Y228" s="9"/>
      <c r="Z228" s="146"/>
      <c r="AA228" s="9"/>
      <c r="AB228" s="9"/>
      <c r="AC228" s="9"/>
      <c r="AD228" s="9"/>
      <c r="AE228" s="9"/>
      <c r="AF228" s="9"/>
      <c r="AG228" s="9"/>
      <c r="AH228" s="9"/>
      <c r="AI228" s="9"/>
      <c r="AJ228" s="9"/>
      <c r="AK228" s="9"/>
      <c r="AL228" s="9"/>
      <c r="AM228" s="9"/>
      <c r="AN228" s="9"/>
      <c r="AO228" s="9"/>
      <c r="AP228" s="9"/>
      <c r="AQ228" s="9"/>
      <c r="AR228" s="9"/>
      <c r="AS228" s="9"/>
      <c r="AT228" s="9"/>
      <c r="AU228" s="9"/>
      <c r="AV228" s="9"/>
      <c r="AW228" s="9"/>
    </row>
    <row r="229" spans="1:49" x14ac:dyDescent="0.3">
      <c r="A229" s="9"/>
      <c r="B229" s="12"/>
      <c r="C229" s="9"/>
      <c r="D229" s="40"/>
      <c r="E229" s="40"/>
      <c r="F229" s="40"/>
      <c r="G229" s="40"/>
      <c r="H229" s="40"/>
      <c r="I229" s="40"/>
      <c r="J229" s="40"/>
      <c r="K229" s="40"/>
      <c r="L229" s="40"/>
      <c r="M229" s="40"/>
      <c r="N229" s="40"/>
      <c r="O229" s="40"/>
      <c r="P229" s="40"/>
      <c r="Q229" s="40"/>
      <c r="R229" s="40"/>
      <c r="S229" s="40"/>
      <c r="T229" s="40"/>
      <c r="U229" s="40"/>
      <c r="V229" s="40"/>
      <c r="W229" s="40"/>
      <c r="X229" s="40"/>
      <c r="Y229" s="9"/>
      <c r="Z229" s="146"/>
      <c r="AA229" s="9"/>
      <c r="AB229" s="9"/>
      <c r="AC229" s="9"/>
      <c r="AD229" s="9"/>
      <c r="AE229" s="9"/>
      <c r="AF229" s="9"/>
      <c r="AG229" s="9"/>
      <c r="AH229" s="9"/>
      <c r="AI229" s="9"/>
      <c r="AJ229" s="9"/>
      <c r="AK229" s="9"/>
      <c r="AL229" s="9"/>
      <c r="AM229" s="9"/>
      <c r="AN229" s="9"/>
      <c r="AO229" s="9"/>
      <c r="AP229" s="9"/>
      <c r="AQ229" s="9"/>
      <c r="AR229" s="9"/>
      <c r="AS229" s="9"/>
      <c r="AT229" s="9"/>
      <c r="AU229" s="9"/>
      <c r="AV229" s="9"/>
      <c r="AW229" s="9"/>
    </row>
    <row r="230" spans="1:49" x14ac:dyDescent="0.3">
      <c r="A230" s="9"/>
      <c r="B230" s="12"/>
      <c r="C230" s="9"/>
      <c r="D230" s="40"/>
      <c r="E230" s="40"/>
      <c r="F230" s="40"/>
      <c r="G230" s="40"/>
      <c r="H230" s="40"/>
      <c r="I230" s="40"/>
      <c r="J230" s="40"/>
      <c r="K230" s="40"/>
      <c r="L230" s="40"/>
      <c r="M230" s="40"/>
      <c r="N230" s="40"/>
      <c r="O230" s="40"/>
      <c r="P230" s="40"/>
      <c r="Q230" s="40"/>
      <c r="R230" s="40"/>
      <c r="S230" s="40"/>
      <c r="T230" s="40"/>
      <c r="U230" s="40"/>
      <c r="V230" s="40"/>
      <c r="W230" s="40"/>
      <c r="X230" s="40"/>
      <c r="Y230" s="9"/>
      <c r="Z230" s="146"/>
      <c r="AA230" s="9"/>
      <c r="AB230" s="9"/>
      <c r="AC230" s="9"/>
      <c r="AD230" s="9"/>
      <c r="AE230" s="9"/>
      <c r="AF230" s="9"/>
      <c r="AG230" s="9"/>
      <c r="AH230" s="9"/>
      <c r="AI230" s="9"/>
      <c r="AJ230" s="9"/>
      <c r="AK230" s="9"/>
      <c r="AL230" s="9"/>
      <c r="AM230" s="9"/>
      <c r="AN230" s="9"/>
      <c r="AO230" s="9"/>
      <c r="AP230" s="9"/>
      <c r="AQ230" s="9"/>
      <c r="AR230" s="9"/>
      <c r="AS230" s="9"/>
      <c r="AT230" s="9"/>
      <c r="AU230" s="9"/>
      <c r="AV230" s="9"/>
      <c r="AW230" s="9"/>
    </row>
    <row r="231" spans="1:49" x14ac:dyDescent="0.3">
      <c r="A231" s="9"/>
      <c r="B231" s="12"/>
      <c r="C231" s="9"/>
      <c r="D231" s="40"/>
      <c r="E231" s="40"/>
      <c r="F231" s="40"/>
      <c r="G231" s="40"/>
      <c r="H231" s="40"/>
      <c r="I231" s="40"/>
      <c r="J231" s="40"/>
      <c r="K231" s="40"/>
      <c r="L231" s="40"/>
      <c r="M231" s="40"/>
      <c r="N231" s="40"/>
      <c r="O231" s="40"/>
      <c r="P231" s="40"/>
      <c r="Q231" s="40"/>
      <c r="R231" s="40"/>
      <c r="S231" s="40"/>
      <c r="T231" s="40"/>
      <c r="U231" s="40"/>
      <c r="V231" s="40"/>
      <c r="W231" s="40"/>
      <c r="X231" s="40"/>
      <c r="Y231" s="9"/>
      <c r="Z231" s="146"/>
      <c r="AA231" s="9"/>
      <c r="AB231" s="9"/>
      <c r="AC231" s="9"/>
      <c r="AD231" s="9"/>
      <c r="AE231" s="9"/>
      <c r="AF231" s="9"/>
      <c r="AG231" s="9"/>
      <c r="AH231" s="9"/>
      <c r="AI231" s="9"/>
      <c r="AJ231" s="9"/>
      <c r="AK231" s="9"/>
      <c r="AL231" s="9"/>
      <c r="AM231" s="9"/>
      <c r="AN231" s="9"/>
      <c r="AO231" s="9"/>
      <c r="AP231" s="9"/>
      <c r="AQ231" s="9"/>
      <c r="AR231" s="9"/>
      <c r="AS231" s="9"/>
      <c r="AT231" s="9"/>
      <c r="AU231" s="9"/>
      <c r="AV231" s="9"/>
      <c r="AW231" s="9"/>
    </row>
    <row r="232" spans="1:49" x14ac:dyDescent="0.3">
      <c r="A232" s="9"/>
      <c r="B232" s="12"/>
      <c r="C232" s="9"/>
      <c r="D232" s="40"/>
      <c r="E232" s="40"/>
      <c r="F232" s="40"/>
      <c r="G232" s="40"/>
      <c r="H232" s="40"/>
      <c r="I232" s="40"/>
      <c r="J232" s="40"/>
      <c r="K232" s="40"/>
      <c r="L232" s="40"/>
      <c r="M232" s="40"/>
      <c r="N232" s="40"/>
      <c r="O232" s="40"/>
      <c r="P232" s="40"/>
      <c r="Q232" s="40"/>
      <c r="R232" s="40"/>
      <c r="S232" s="40"/>
      <c r="T232" s="40"/>
      <c r="U232" s="40"/>
      <c r="V232" s="40"/>
      <c r="W232" s="40"/>
      <c r="X232" s="40"/>
      <c r="Y232" s="9"/>
      <c r="Z232" s="146"/>
      <c r="AA232" s="9"/>
      <c r="AB232" s="9"/>
      <c r="AC232" s="9"/>
      <c r="AD232" s="9"/>
      <c r="AE232" s="9"/>
      <c r="AF232" s="9"/>
      <c r="AG232" s="9"/>
      <c r="AH232" s="9"/>
      <c r="AI232" s="9"/>
      <c r="AJ232" s="9"/>
      <c r="AK232" s="9"/>
      <c r="AL232" s="9"/>
      <c r="AM232" s="9"/>
      <c r="AN232" s="9"/>
      <c r="AO232" s="9"/>
      <c r="AP232" s="9"/>
      <c r="AQ232" s="9"/>
      <c r="AR232" s="9"/>
      <c r="AS232" s="9"/>
      <c r="AT232" s="9"/>
      <c r="AU232" s="9"/>
      <c r="AV232" s="9"/>
      <c r="AW232" s="9"/>
    </row>
    <row r="233" spans="1:49" x14ac:dyDescent="0.3">
      <c r="A233" s="9"/>
      <c r="B233" s="12"/>
      <c r="C233" s="9"/>
      <c r="D233" s="40"/>
      <c r="E233" s="40"/>
      <c r="F233" s="40"/>
      <c r="G233" s="40"/>
      <c r="H233" s="40"/>
      <c r="I233" s="40"/>
      <c r="J233" s="40"/>
      <c r="K233" s="40"/>
      <c r="L233" s="40"/>
      <c r="M233" s="40"/>
      <c r="N233" s="40"/>
      <c r="O233" s="40"/>
      <c r="P233" s="40"/>
      <c r="Q233" s="40"/>
      <c r="R233" s="40"/>
      <c r="S233" s="40"/>
      <c r="T233" s="40"/>
      <c r="U233" s="40"/>
      <c r="V233" s="40"/>
      <c r="W233" s="40"/>
      <c r="X233" s="40"/>
      <c r="Y233" s="9"/>
      <c r="Z233" s="146"/>
      <c r="AA233" s="9"/>
      <c r="AB233" s="9"/>
      <c r="AC233" s="9"/>
      <c r="AD233" s="9"/>
      <c r="AE233" s="9"/>
      <c r="AF233" s="9"/>
      <c r="AG233" s="9"/>
      <c r="AH233" s="9"/>
      <c r="AI233" s="9"/>
      <c r="AJ233" s="9"/>
      <c r="AK233" s="9"/>
      <c r="AL233" s="9"/>
      <c r="AM233" s="9"/>
      <c r="AN233" s="9"/>
      <c r="AO233" s="9"/>
      <c r="AP233" s="9"/>
      <c r="AQ233" s="9"/>
      <c r="AR233" s="9"/>
      <c r="AS233" s="9"/>
      <c r="AT233" s="9"/>
      <c r="AU233" s="9"/>
      <c r="AV233" s="9"/>
      <c r="AW233" s="9"/>
    </row>
    <row r="234" spans="1:49" x14ac:dyDescent="0.3">
      <c r="A234" s="9"/>
      <c r="B234" s="12"/>
      <c r="C234" s="9"/>
      <c r="D234" s="40"/>
      <c r="E234" s="40"/>
      <c r="F234" s="40"/>
      <c r="G234" s="40"/>
      <c r="H234" s="40"/>
      <c r="I234" s="40"/>
      <c r="J234" s="40"/>
      <c r="K234" s="40"/>
      <c r="L234" s="40"/>
      <c r="M234" s="40"/>
      <c r="N234" s="40"/>
      <c r="O234" s="40"/>
      <c r="P234" s="40"/>
      <c r="Q234" s="40"/>
      <c r="R234" s="40"/>
      <c r="S234" s="40"/>
      <c r="T234" s="40"/>
      <c r="U234" s="40"/>
      <c r="V234" s="40"/>
      <c r="W234" s="40"/>
      <c r="X234" s="40"/>
      <c r="Y234" s="9"/>
      <c r="Z234" s="146"/>
      <c r="AA234" s="9"/>
      <c r="AB234" s="9"/>
      <c r="AC234" s="9"/>
      <c r="AD234" s="9"/>
      <c r="AE234" s="9"/>
      <c r="AF234" s="9"/>
      <c r="AG234" s="9"/>
      <c r="AH234" s="9"/>
      <c r="AI234" s="9"/>
      <c r="AJ234" s="9"/>
      <c r="AK234" s="9"/>
      <c r="AL234" s="9"/>
      <c r="AM234" s="9"/>
      <c r="AN234" s="9"/>
      <c r="AO234" s="9"/>
      <c r="AP234" s="9"/>
      <c r="AQ234" s="9"/>
      <c r="AR234" s="9"/>
      <c r="AS234" s="9"/>
      <c r="AT234" s="9"/>
      <c r="AU234" s="9"/>
      <c r="AV234" s="9"/>
      <c r="AW234" s="9"/>
    </row>
    <row r="235" spans="1:49" x14ac:dyDescent="0.3">
      <c r="A235" s="9"/>
      <c r="B235" s="12"/>
      <c r="C235" s="9"/>
      <c r="D235" s="40"/>
      <c r="E235" s="40"/>
      <c r="F235" s="40"/>
      <c r="G235" s="40"/>
      <c r="H235" s="40"/>
      <c r="I235" s="40"/>
      <c r="J235" s="40"/>
      <c r="K235" s="40"/>
      <c r="L235" s="40"/>
      <c r="M235" s="40"/>
      <c r="N235" s="40"/>
      <c r="O235" s="40"/>
      <c r="P235" s="40"/>
      <c r="Q235" s="40"/>
      <c r="R235" s="40"/>
      <c r="S235" s="40"/>
      <c r="T235" s="40"/>
      <c r="U235" s="40"/>
      <c r="V235" s="40"/>
      <c r="W235" s="40"/>
      <c r="X235" s="40"/>
      <c r="Y235" s="9"/>
      <c r="Z235" s="146"/>
      <c r="AA235" s="9"/>
      <c r="AB235" s="9"/>
      <c r="AC235" s="9"/>
      <c r="AD235" s="9"/>
      <c r="AE235" s="9"/>
      <c r="AF235" s="9"/>
      <c r="AG235" s="9"/>
      <c r="AH235" s="9"/>
      <c r="AI235" s="9"/>
      <c r="AJ235" s="9"/>
      <c r="AK235" s="9"/>
      <c r="AL235" s="9"/>
      <c r="AM235" s="9"/>
      <c r="AN235" s="9"/>
      <c r="AO235" s="9"/>
      <c r="AP235" s="9"/>
      <c r="AQ235" s="9"/>
      <c r="AR235" s="9"/>
      <c r="AS235" s="9"/>
      <c r="AT235" s="9"/>
      <c r="AU235" s="9"/>
      <c r="AV235" s="9"/>
      <c r="AW235" s="9"/>
    </row>
    <row r="236" spans="1:49" x14ac:dyDescent="0.3">
      <c r="A236" s="9"/>
      <c r="B236" s="12"/>
      <c r="C236" s="9"/>
      <c r="D236" s="40"/>
      <c r="E236" s="40"/>
      <c r="F236" s="40"/>
      <c r="G236" s="40"/>
      <c r="H236" s="40"/>
      <c r="I236" s="40"/>
      <c r="J236" s="40"/>
      <c r="K236" s="40"/>
      <c r="L236" s="40"/>
      <c r="M236" s="40"/>
      <c r="N236" s="40"/>
      <c r="O236" s="40"/>
      <c r="P236" s="40"/>
      <c r="Q236" s="40"/>
      <c r="R236" s="40"/>
      <c r="S236" s="40"/>
      <c r="T236" s="40"/>
      <c r="U236" s="40"/>
      <c r="V236" s="40"/>
      <c r="W236" s="40"/>
      <c r="X236" s="40"/>
      <c r="Y236" s="9"/>
      <c r="Z236" s="146"/>
      <c r="AA236" s="9"/>
      <c r="AB236" s="9"/>
      <c r="AC236" s="9"/>
      <c r="AD236" s="9"/>
      <c r="AE236" s="9"/>
      <c r="AF236" s="9"/>
      <c r="AG236" s="9"/>
      <c r="AH236" s="9"/>
      <c r="AI236" s="9"/>
      <c r="AJ236" s="9"/>
      <c r="AK236" s="9"/>
      <c r="AL236" s="9"/>
      <c r="AM236" s="9"/>
      <c r="AN236" s="9"/>
      <c r="AO236" s="9"/>
      <c r="AP236" s="9"/>
      <c r="AQ236" s="9"/>
      <c r="AR236" s="9"/>
      <c r="AS236" s="9"/>
      <c r="AT236" s="9"/>
      <c r="AU236" s="9"/>
      <c r="AV236" s="9"/>
      <c r="AW236" s="9"/>
    </row>
    <row r="237" spans="1:49" x14ac:dyDescent="0.3">
      <c r="A237" s="9"/>
      <c r="B237" s="9"/>
      <c r="C237" s="9"/>
      <c r="D237" s="40"/>
      <c r="E237" s="40"/>
      <c r="F237" s="40"/>
      <c r="G237" s="40"/>
      <c r="H237" s="40"/>
      <c r="I237" s="40"/>
      <c r="J237" s="40"/>
      <c r="K237" s="40"/>
      <c r="L237" s="40"/>
      <c r="M237" s="40"/>
      <c r="N237" s="40"/>
      <c r="O237" s="40"/>
      <c r="P237" s="40"/>
      <c r="Q237" s="40"/>
      <c r="R237" s="40"/>
      <c r="S237" s="40"/>
      <c r="T237" s="40"/>
      <c r="U237" s="40"/>
      <c r="V237" s="40"/>
      <c r="W237" s="40"/>
      <c r="X237" s="40"/>
      <c r="Y237" s="9"/>
      <c r="Z237" s="146"/>
      <c r="AA237" s="9"/>
      <c r="AB237" s="9"/>
      <c r="AC237" s="9"/>
      <c r="AD237" s="9"/>
      <c r="AE237" s="9"/>
      <c r="AF237" s="9"/>
      <c r="AG237" s="9"/>
      <c r="AH237" s="9"/>
      <c r="AI237" s="9"/>
      <c r="AJ237" s="9"/>
      <c r="AK237" s="9"/>
      <c r="AL237" s="9"/>
      <c r="AM237" s="9"/>
      <c r="AN237" s="9"/>
      <c r="AO237" s="9"/>
      <c r="AP237" s="9"/>
      <c r="AQ237" s="9"/>
      <c r="AR237" s="9"/>
      <c r="AS237" s="9"/>
      <c r="AT237" s="9"/>
      <c r="AU237" s="9"/>
      <c r="AV237" s="9"/>
      <c r="AW237" s="9"/>
    </row>
    <row r="238" spans="1:49" x14ac:dyDescent="0.3">
      <c r="A238" s="9"/>
      <c r="B238" s="9"/>
      <c r="C238" s="9"/>
      <c r="D238" s="40"/>
      <c r="E238" s="40"/>
      <c r="F238" s="40"/>
      <c r="G238" s="40"/>
      <c r="H238" s="40"/>
      <c r="I238" s="40"/>
      <c r="J238" s="40"/>
      <c r="K238" s="40"/>
      <c r="L238" s="40"/>
      <c r="M238" s="40"/>
      <c r="N238" s="40"/>
      <c r="O238" s="40"/>
      <c r="P238" s="40"/>
      <c r="Q238" s="40"/>
      <c r="R238" s="40"/>
      <c r="S238" s="40"/>
      <c r="T238" s="40"/>
      <c r="U238" s="40"/>
      <c r="V238" s="40"/>
      <c r="W238" s="40"/>
      <c r="X238" s="40"/>
      <c r="Y238" s="9"/>
      <c r="Z238" s="146"/>
      <c r="AA238" s="9"/>
      <c r="AB238" s="9"/>
      <c r="AC238" s="9"/>
      <c r="AD238" s="9"/>
      <c r="AE238" s="9"/>
      <c r="AF238" s="9"/>
      <c r="AG238" s="9"/>
      <c r="AH238" s="9"/>
      <c r="AI238" s="9"/>
      <c r="AJ238" s="9"/>
      <c r="AK238" s="9"/>
      <c r="AL238" s="9"/>
      <c r="AM238" s="9"/>
      <c r="AN238" s="9"/>
      <c r="AO238" s="9"/>
      <c r="AP238" s="9"/>
      <c r="AQ238" s="9"/>
      <c r="AR238" s="9"/>
      <c r="AS238" s="9"/>
      <c r="AT238" s="9"/>
      <c r="AU238" s="9"/>
      <c r="AV238" s="9"/>
      <c r="AW238" s="9"/>
    </row>
    <row r="239" spans="1:49" x14ac:dyDescent="0.3">
      <c r="A239" s="9"/>
      <c r="B239" s="9"/>
      <c r="C239" s="9"/>
      <c r="D239" s="40"/>
      <c r="E239" s="40"/>
      <c r="F239" s="40"/>
      <c r="G239" s="40"/>
      <c r="H239" s="40"/>
      <c r="I239" s="40"/>
      <c r="J239" s="40"/>
      <c r="K239" s="40"/>
      <c r="L239" s="40"/>
      <c r="M239" s="40"/>
      <c r="N239" s="40"/>
      <c r="O239" s="40"/>
      <c r="P239" s="40"/>
      <c r="Q239" s="40"/>
      <c r="R239" s="40"/>
      <c r="S239" s="40"/>
      <c r="T239" s="40"/>
      <c r="U239" s="40"/>
      <c r="V239" s="40"/>
      <c r="W239" s="40"/>
      <c r="X239" s="40"/>
      <c r="Y239" s="9"/>
      <c r="Z239" s="146"/>
      <c r="AA239" s="9"/>
      <c r="AB239" s="9"/>
      <c r="AC239" s="9"/>
      <c r="AD239" s="9"/>
      <c r="AE239" s="9"/>
      <c r="AF239" s="9"/>
      <c r="AG239" s="9"/>
      <c r="AH239" s="9"/>
      <c r="AI239" s="9"/>
      <c r="AJ239" s="9"/>
      <c r="AK239" s="9"/>
      <c r="AL239" s="9"/>
      <c r="AM239" s="9"/>
      <c r="AN239" s="9"/>
      <c r="AO239" s="9"/>
      <c r="AP239" s="9"/>
      <c r="AQ239" s="9"/>
      <c r="AR239" s="9"/>
      <c r="AS239" s="9"/>
      <c r="AT239" s="9"/>
      <c r="AU239" s="9"/>
      <c r="AV239" s="9"/>
      <c r="AW239" s="9"/>
    </row>
    <row r="240" spans="1:49" x14ac:dyDescent="0.3">
      <c r="A240" s="9"/>
      <c r="B240" s="9"/>
      <c r="C240" s="9"/>
      <c r="D240" s="40"/>
      <c r="E240" s="40"/>
      <c r="F240" s="40"/>
      <c r="G240" s="40"/>
      <c r="H240" s="40"/>
      <c r="I240" s="40"/>
      <c r="J240" s="40"/>
      <c r="K240" s="40"/>
      <c r="L240" s="40"/>
      <c r="M240" s="40"/>
      <c r="N240" s="40"/>
      <c r="O240" s="40"/>
      <c r="P240" s="40"/>
      <c r="Q240" s="40"/>
      <c r="R240" s="40"/>
      <c r="S240" s="40"/>
      <c r="T240" s="40"/>
      <c r="U240" s="40"/>
      <c r="V240" s="40"/>
      <c r="W240" s="40"/>
      <c r="X240" s="40"/>
      <c r="Y240" s="9"/>
      <c r="Z240" s="146"/>
      <c r="AA240" s="9"/>
      <c r="AB240" s="9"/>
      <c r="AC240" s="9"/>
      <c r="AD240" s="9"/>
      <c r="AE240" s="9"/>
      <c r="AF240" s="9"/>
      <c r="AG240" s="9"/>
      <c r="AH240" s="9"/>
      <c r="AI240" s="9"/>
      <c r="AJ240" s="9"/>
      <c r="AK240" s="9"/>
      <c r="AL240" s="9"/>
      <c r="AM240" s="9"/>
      <c r="AN240" s="9"/>
      <c r="AO240" s="9"/>
      <c r="AP240" s="9"/>
      <c r="AQ240" s="9"/>
      <c r="AR240" s="9"/>
      <c r="AS240" s="9"/>
      <c r="AT240" s="9"/>
      <c r="AU240" s="9"/>
      <c r="AV240" s="9"/>
      <c r="AW240" s="9"/>
    </row>
    <row r="241" spans="1:49" x14ac:dyDescent="0.3">
      <c r="A241" s="9"/>
      <c r="B241" s="9"/>
      <c r="C241" s="9"/>
      <c r="D241" s="40"/>
      <c r="E241" s="40"/>
      <c r="F241" s="40"/>
      <c r="G241" s="40"/>
      <c r="H241" s="40"/>
      <c r="I241" s="40"/>
      <c r="J241" s="40"/>
      <c r="K241" s="40"/>
      <c r="L241" s="40"/>
      <c r="M241" s="40"/>
      <c r="N241" s="40"/>
      <c r="O241" s="40"/>
      <c r="P241" s="40"/>
      <c r="Q241" s="40"/>
      <c r="R241" s="40"/>
      <c r="S241" s="40"/>
      <c r="T241" s="40"/>
      <c r="U241" s="40"/>
      <c r="V241" s="40"/>
      <c r="W241" s="40"/>
      <c r="X241" s="40"/>
      <c r="Y241" s="9"/>
      <c r="Z241" s="146"/>
      <c r="AA241" s="9"/>
      <c r="AB241" s="9"/>
      <c r="AC241" s="9"/>
      <c r="AD241" s="9"/>
      <c r="AE241" s="9"/>
      <c r="AF241" s="9"/>
      <c r="AG241" s="9"/>
      <c r="AH241" s="9"/>
      <c r="AI241" s="9"/>
      <c r="AJ241" s="9"/>
      <c r="AK241" s="9"/>
      <c r="AL241" s="9"/>
      <c r="AM241" s="9"/>
      <c r="AN241" s="9"/>
      <c r="AO241" s="9"/>
      <c r="AP241" s="9"/>
      <c r="AQ241" s="9"/>
      <c r="AR241" s="9"/>
      <c r="AS241" s="9"/>
      <c r="AT241" s="9"/>
      <c r="AU241" s="9"/>
      <c r="AV241" s="9"/>
      <c r="AW241" s="9"/>
    </row>
    <row r="242" spans="1:49" x14ac:dyDescent="0.3">
      <c r="A242" s="9"/>
      <c r="B242" s="9"/>
      <c r="C242" s="9"/>
      <c r="D242" s="40"/>
      <c r="E242" s="40"/>
      <c r="F242" s="40"/>
      <c r="G242" s="40"/>
      <c r="H242" s="40"/>
      <c r="I242" s="40"/>
      <c r="J242" s="40"/>
      <c r="K242" s="40"/>
      <c r="L242" s="40"/>
      <c r="M242" s="40"/>
      <c r="N242" s="40"/>
      <c r="O242" s="40"/>
      <c r="P242" s="40"/>
      <c r="Q242" s="40"/>
      <c r="R242" s="40"/>
      <c r="S242" s="40"/>
      <c r="T242" s="40"/>
      <c r="U242" s="40"/>
      <c r="V242" s="40"/>
      <c r="W242" s="40"/>
      <c r="X242" s="40"/>
      <c r="Y242" s="9"/>
      <c r="Z242" s="146"/>
      <c r="AA242" s="9"/>
      <c r="AB242" s="9"/>
      <c r="AC242" s="9"/>
      <c r="AD242" s="9"/>
      <c r="AE242" s="9"/>
      <c r="AF242" s="9"/>
      <c r="AG242" s="9"/>
      <c r="AH242" s="9"/>
      <c r="AI242" s="9"/>
      <c r="AJ242" s="9"/>
      <c r="AK242" s="9"/>
      <c r="AL242" s="9"/>
      <c r="AM242" s="9"/>
      <c r="AN242" s="9"/>
      <c r="AO242" s="9"/>
      <c r="AP242" s="9"/>
      <c r="AQ242" s="9"/>
      <c r="AR242" s="9"/>
      <c r="AS242" s="9"/>
      <c r="AT242" s="9"/>
      <c r="AU242" s="9"/>
      <c r="AV242" s="9"/>
      <c r="AW242" s="9"/>
    </row>
    <row r="243" spans="1:49" x14ac:dyDescent="0.3">
      <c r="A243" s="9"/>
      <c r="B243" s="9"/>
      <c r="C243" s="9"/>
      <c r="D243" s="40"/>
      <c r="E243" s="40"/>
      <c r="F243" s="40"/>
      <c r="G243" s="40"/>
      <c r="H243" s="40"/>
      <c r="I243" s="40"/>
      <c r="J243" s="40"/>
      <c r="K243" s="40"/>
      <c r="L243" s="40"/>
      <c r="M243" s="40"/>
      <c r="N243" s="40"/>
      <c r="O243" s="40"/>
      <c r="P243" s="40"/>
      <c r="Q243" s="40"/>
      <c r="R243" s="40"/>
      <c r="S243" s="40"/>
      <c r="T243" s="40"/>
      <c r="U243" s="40"/>
      <c r="V243" s="40"/>
      <c r="W243" s="40"/>
      <c r="X243" s="40"/>
      <c r="Y243" s="9"/>
      <c r="Z243" s="146"/>
      <c r="AA243" s="9"/>
      <c r="AB243" s="9"/>
      <c r="AC243" s="9"/>
      <c r="AD243" s="9"/>
      <c r="AE243" s="9"/>
      <c r="AF243" s="9"/>
      <c r="AG243" s="9"/>
      <c r="AH243" s="9"/>
      <c r="AI243" s="9"/>
      <c r="AJ243" s="9"/>
      <c r="AK243" s="9"/>
      <c r="AL243" s="9"/>
      <c r="AM243" s="9"/>
      <c r="AN243" s="9"/>
      <c r="AO243" s="9"/>
      <c r="AP243" s="9"/>
      <c r="AQ243" s="9"/>
      <c r="AR243" s="9"/>
      <c r="AS243" s="9"/>
      <c r="AT243" s="9"/>
      <c r="AU243" s="9"/>
      <c r="AV243" s="9"/>
      <c r="AW243" s="9"/>
    </row>
    <row r="244" spans="1:49" x14ac:dyDescent="0.3">
      <c r="A244" s="9"/>
      <c r="B244" s="9"/>
      <c r="C244" s="9"/>
      <c r="D244" s="40"/>
      <c r="E244" s="40"/>
      <c r="F244" s="40"/>
      <c r="G244" s="40"/>
      <c r="H244" s="40"/>
      <c r="I244" s="40"/>
      <c r="J244" s="40"/>
      <c r="K244" s="40"/>
      <c r="L244" s="40"/>
      <c r="M244" s="40"/>
      <c r="N244" s="40"/>
      <c r="O244" s="40"/>
      <c r="P244" s="40"/>
      <c r="Q244" s="40"/>
      <c r="R244" s="40"/>
      <c r="S244" s="40"/>
      <c r="T244" s="40"/>
      <c r="U244" s="40"/>
      <c r="V244" s="40"/>
      <c r="W244" s="40"/>
      <c r="X244" s="40"/>
      <c r="Y244" s="9"/>
      <c r="Z244" s="146"/>
      <c r="AA244" s="9"/>
      <c r="AB244" s="9"/>
      <c r="AC244" s="9"/>
      <c r="AD244" s="9"/>
      <c r="AE244" s="9"/>
      <c r="AF244" s="9"/>
      <c r="AG244" s="9"/>
      <c r="AH244" s="9"/>
      <c r="AI244" s="9"/>
      <c r="AJ244" s="9"/>
      <c r="AK244" s="9"/>
      <c r="AL244" s="9"/>
      <c r="AM244" s="9"/>
      <c r="AN244" s="9"/>
      <c r="AO244" s="9"/>
      <c r="AP244" s="9"/>
      <c r="AQ244" s="9"/>
      <c r="AR244" s="9"/>
      <c r="AS244" s="9"/>
      <c r="AT244" s="9"/>
      <c r="AU244" s="9"/>
      <c r="AV244" s="9"/>
      <c r="AW244" s="9"/>
    </row>
    <row r="245" spans="1:49" x14ac:dyDescent="0.3">
      <c r="A245" s="9"/>
      <c r="B245" s="9"/>
      <c r="C245" s="9"/>
      <c r="D245" s="40"/>
      <c r="E245" s="40"/>
      <c r="F245" s="40"/>
      <c r="G245" s="40"/>
      <c r="H245" s="40"/>
      <c r="I245" s="40"/>
      <c r="J245" s="40"/>
      <c r="K245" s="40"/>
      <c r="L245" s="40"/>
      <c r="M245" s="40"/>
      <c r="N245" s="40"/>
      <c r="O245" s="40"/>
      <c r="P245" s="40"/>
      <c r="Q245" s="40"/>
      <c r="R245" s="40"/>
      <c r="S245" s="40"/>
      <c r="T245" s="40"/>
      <c r="U245" s="40"/>
      <c r="V245" s="40"/>
      <c r="W245" s="40"/>
      <c r="X245" s="40"/>
      <c r="Y245" s="9"/>
      <c r="Z245" s="146"/>
      <c r="AA245" s="9"/>
      <c r="AB245" s="9"/>
      <c r="AC245" s="9"/>
      <c r="AD245" s="9"/>
      <c r="AE245" s="9"/>
      <c r="AF245" s="9"/>
      <c r="AG245" s="9"/>
      <c r="AH245" s="9"/>
      <c r="AI245" s="9"/>
      <c r="AJ245" s="9"/>
      <c r="AK245" s="9"/>
      <c r="AL245" s="9"/>
      <c r="AM245" s="9"/>
      <c r="AN245" s="9"/>
      <c r="AO245" s="9"/>
      <c r="AP245" s="9"/>
      <c r="AQ245" s="9"/>
      <c r="AR245" s="9"/>
      <c r="AS245" s="9"/>
      <c r="AT245" s="9"/>
      <c r="AU245" s="9"/>
      <c r="AV245" s="9"/>
      <c r="AW245" s="9"/>
    </row>
    <row r="246" spans="1:49" x14ac:dyDescent="0.3">
      <c r="A246" s="9"/>
      <c r="B246" s="9"/>
      <c r="C246" s="9"/>
      <c r="D246" s="40"/>
      <c r="E246" s="40"/>
      <c r="F246" s="40"/>
      <c r="G246" s="40"/>
      <c r="H246" s="40"/>
      <c r="I246" s="40"/>
      <c r="J246" s="40"/>
      <c r="K246" s="40"/>
      <c r="L246" s="40"/>
      <c r="M246" s="40"/>
      <c r="N246" s="40"/>
      <c r="O246" s="40"/>
      <c r="P246" s="40"/>
      <c r="Q246" s="40"/>
      <c r="R246" s="40"/>
      <c r="S246" s="40"/>
      <c r="T246" s="40"/>
      <c r="U246" s="40"/>
      <c r="V246" s="40"/>
      <c r="W246" s="40"/>
      <c r="X246" s="40"/>
      <c r="Y246" s="9"/>
      <c r="Z246" s="146"/>
      <c r="AA246" s="9"/>
      <c r="AB246" s="9"/>
      <c r="AC246" s="9"/>
      <c r="AD246" s="9"/>
      <c r="AE246" s="9"/>
      <c r="AF246" s="9"/>
      <c r="AG246" s="9"/>
      <c r="AH246" s="9"/>
      <c r="AI246" s="9"/>
      <c r="AJ246" s="9"/>
      <c r="AK246" s="9"/>
      <c r="AL246" s="9"/>
      <c r="AM246" s="9"/>
      <c r="AN246" s="9"/>
      <c r="AO246" s="9"/>
      <c r="AP246" s="9"/>
      <c r="AQ246" s="9"/>
      <c r="AR246" s="9"/>
      <c r="AS246" s="9"/>
      <c r="AT246" s="9"/>
      <c r="AU246" s="9"/>
      <c r="AV246" s="9"/>
      <c r="AW246" s="9"/>
    </row>
    <row r="247" spans="1:49" x14ac:dyDescent="0.3">
      <c r="A247" s="9"/>
      <c r="B247" s="9"/>
      <c r="C247" s="9"/>
      <c r="D247" s="40"/>
      <c r="E247" s="40"/>
      <c r="F247" s="40"/>
      <c r="G247" s="40"/>
      <c r="H247" s="40"/>
      <c r="I247" s="40"/>
      <c r="J247" s="40"/>
      <c r="K247" s="40"/>
      <c r="L247" s="40"/>
      <c r="M247" s="40"/>
      <c r="N247" s="40"/>
      <c r="O247" s="40"/>
      <c r="P247" s="40"/>
      <c r="Q247" s="40"/>
      <c r="R247" s="40"/>
      <c r="S247" s="40"/>
      <c r="T247" s="40"/>
      <c r="U247" s="40"/>
      <c r="V247" s="40"/>
      <c r="W247" s="40"/>
      <c r="X247" s="40"/>
      <c r="Y247" s="9"/>
      <c r="Z247" s="146"/>
      <c r="AA247" s="9"/>
      <c r="AB247" s="9"/>
      <c r="AC247" s="9"/>
      <c r="AD247" s="9"/>
      <c r="AE247" s="9"/>
      <c r="AF247" s="9"/>
      <c r="AG247" s="9"/>
      <c r="AH247" s="9"/>
      <c r="AI247" s="9"/>
      <c r="AJ247" s="9"/>
      <c r="AK247" s="9"/>
      <c r="AL247" s="9"/>
      <c r="AM247" s="9"/>
      <c r="AN247" s="9"/>
      <c r="AO247" s="9"/>
      <c r="AP247" s="9"/>
      <c r="AQ247" s="9"/>
      <c r="AR247" s="9"/>
      <c r="AS247" s="9"/>
      <c r="AT247" s="9"/>
      <c r="AU247" s="9"/>
      <c r="AV247" s="9"/>
      <c r="AW247" s="9"/>
    </row>
    <row r="248" spans="1:49" x14ac:dyDescent="0.3">
      <c r="A248" s="9"/>
      <c r="B248" s="9"/>
      <c r="C248" s="9"/>
      <c r="D248" s="40"/>
      <c r="E248" s="40"/>
      <c r="F248" s="40"/>
      <c r="G248" s="40"/>
      <c r="H248" s="40"/>
      <c r="I248" s="40"/>
      <c r="J248" s="40"/>
      <c r="K248" s="40"/>
      <c r="L248" s="40"/>
      <c r="M248" s="40"/>
      <c r="N248" s="40"/>
      <c r="O248" s="40"/>
      <c r="P248" s="40"/>
      <c r="Q248" s="40"/>
      <c r="R248" s="40"/>
      <c r="S248" s="40"/>
      <c r="T248" s="40"/>
      <c r="U248" s="40"/>
      <c r="V248" s="40"/>
      <c r="W248" s="40"/>
      <c r="X248" s="40"/>
      <c r="Y248" s="9"/>
      <c r="Z248" s="146"/>
      <c r="AA248" s="9"/>
      <c r="AB248" s="9"/>
      <c r="AC248" s="9"/>
      <c r="AD248" s="9"/>
      <c r="AE248" s="9"/>
      <c r="AF248" s="9"/>
      <c r="AG248" s="9"/>
      <c r="AH248" s="9"/>
      <c r="AI248" s="9"/>
      <c r="AJ248" s="9"/>
      <c r="AK248" s="9"/>
      <c r="AL248" s="9"/>
      <c r="AM248" s="9"/>
      <c r="AN248" s="9"/>
      <c r="AO248" s="9"/>
      <c r="AP248" s="9"/>
      <c r="AQ248" s="9"/>
      <c r="AR248" s="9"/>
      <c r="AS248" s="9"/>
      <c r="AT248" s="9"/>
      <c r="AU248" s="9"/>
      <c r="AV248" s="9"/>
      <c r="AW248" s="9"/>
    </row>
    <row r="249" spans="1:49" x14ac:dyDescent="0.3">
      <c r="A249" s="9"/>
      <c r="B249" s="9"/>
      <c r="C249" s="9"/>
      <c r="D249" s="40"/>
      <c r="E249" s="40"/>
      <c r="F249" s="40"/>
      <c r="G249" s="40"/>
      <c r="H249" s="40"/>
      <c r="I249" s="40"/>
      <c r="J249" s="40"/>
      <c r="K249" s="40"/>
      <c r="L249" s="40"/>
      <c r="M249" s="40"/>
      <c r="N249" s="40"/>
      <c r="O249" s="40"/>
      <c r="P249" s="40"/>
      <c r="Q249" s="40"/>
      <c r="R249" s="40"/>
      <c r="S249" s="40"/>
      <c r="T249" s="40"/>
      <c r="U249" s="40"/>
      <c r="V249" s="40"/>
      <c r="W249" s="40"/>
      <c r="X249" s="40"/>
      <c r="Y249" s="9"/>
      <c r="Z249" s="146"/>
      <c r="AA249" s="9"/>
      <c r="AB249" s="9"/>
      <c r="AC249" s="9"/>
      <c r="AD249" s="9"/>
      <c r="AE249" s="9"/>
      <c r="AF249" s="9"/>
      <c r="AG249" s="9"/>
      <c r="AH249" s="9"/>
      <c r="AI249" s="9"/>
      <c r="AJ249" s="9"/>
      <c r="AK249" s="9"/>
      <c r="AL249" s="9"/>
      <c r="AM249" s="9"/>
      <c r="AN249" s="9"/>
      <c r="AO249" s="9"/>
      <c r="AP249" s="9"/>
      <c r="AQ249" s="9"/>
      <c r="AR249" s="9"/>
      <c r="AS249" s="9"/>
      <c r="AT249" s="9"/>
      <c r="AU249" s="9"/>
      <c r="AV249" s="9"/>
      <c r="AW249" s="9"/>
    </row>
    <row r="250" spans="1:49" x14ac:dyDescent="0.3">
      <c r="A250" s="9"/>
      <c r="B250" s="9"/>
      <c r="C250" s="9"/>
      <c r="D250" s="40"/>
      <c r="E250" s="40"/>
      <c r="F250" s="40"/>
      <c r="G250" s="40"/>
      <c r="H250" s="40"/>
      <c r="I250" s="40"/>
      <c r="J250" s="40"/>
      <c r="K250" s="40"/>
      <c r="L250" s="40"/>
      <c r="M250" s="40"/>
      <c r="N250" s="40"/>
      <c r="O250" s="40"/>
      <c r="P250" s="40"/>
      <c r="Q250" s="40"/>
      <c r="R250" s="40"/>
      <c r="S250" s="40"/>
      <c r="T250" s="40"/>
      <c r="U250" s="40"/>
      <c r="V250" s="40"/>
      <c r="W250" s="40"/>
      <c r="X250" s="40"/>
      <c r="Y250" s="9"/>
      <c r="Z250" s="146"/>
      <c r="AA250" s="9"/>
      <c r="AB250" s="9"/>
      <c r="AC250" s="9"/>
      <c r="AD250" s="9"/>
      <c r="AE250" s="9"/>
      <c r="AF250" s="9"/>
      <c r="AG250" s="9"/>
      <c r="AH250" s="9"/>
      <c r="AI250" s="9"/>
      <c r="AJ250" s="9"/>
      <c r="AK250" s="9"/>
      <c r="AL250" s="9"/>
      <c r="AM250" s="9"/>
      <c r="AN250" s="9"/>
      <c r="AO250" s="9"/>
      <c r="AP250" s="9"/>
      <c r="AQ250" s="9"/>
      <c r="AR250" s="9"/>
      <c r="AS250" s="9"/>
      <c r="AT250" s="9"/>
      <c r="AU250" s="9"/>
      <c r="AV250" s="9"/>
      <c r="AW250" s="9"/>
    </row>
    <row r="251" spans="1:49" x14ac:dyDescent="0.3">
      <c r="A251" s="9"/>
      <c r="B251" s="9"/>
      <c r="C251" s="9"/>
      <c r="D251" s="40"/>
      <c r="E251" s="40"/>
      <c r="F251" s="40"/>
      <c r="G251" s="40"/>
      <c r="H251" s="40"/>
      <c r="I251" s="40"/>
      <c r="J251" s="40"/>
      <c r="K251" s="40"/>
      <c r="L251" s="40"/>
      <c r="M251" s="40"/>
      <c r="N251" s="40"/>
      <c r="O251" s="40"/>
      <c r="P251" s="40"/>
      <c r="Q251" s="40"/>
      <c r="R251" s="40"/>
      <c r="S251" s="40"/>
      <c r="T251" s="40"/>
      <c r="U251" s="40"/>
      <c r="V251" s="40"/>
      <c r="W251" s="40"/>
      <c r="X251" s="40"/>
      <c r="Y251" s="9"/>
      <c r="Z251" s="146"/>
      <c r="AA251" s="9"/>
      <c r="AB251" s="9"/>
      <c r="AC251" s="9"/>
      <c r="AD251" s="9"/>
      <c r="AE251" s="9"/>
      <c r="AF251" s="9"/>
      <c r="AG251" s="9"/>
      <c r="AH251" s="9"/>
      <c r="AI251" s="9"/>
      <c r="AJ251" s="9"/>
      <c r="AK251" s="9"/>
      <c r="AL251" s="9"/>
      <c r="AM251" s="9"/>
      <c r="AN251" s="9"/>
      <c r="AO251" s="9"/>
      <c r="AP251" s="9"/>
      <c r="AQ251" s="9"/>
      <c r="AR251" s="9"/>
      <c r="AS251" s="9"/>
      <c r="AT251" s="9"/>
      <c r="AU251" s="9"/>
      <c r="AV251" s="9"/>
      <c r="AW251" s="9"/>
    </row>
    <row r="252" spans="1:49" x14ac:dyDescent="0.3">
      <c r="A252" s="9"/>
      <c r="B252" s="9"/>
      <c r="C252" s="9"/>
      <c r="D252" s="40"/>
      <c r="E252" s="40"/>
      <c r="F252" s="40"/>
      <c r="G252" s="40"/>
      <c r="H252" s="40"/>
      <c r="I252" s="40"/>
      <c r="J252" s="40"/>
      <c r="K252" s="40"/>
      <c r="L252" s="40"/>
      <c r="M252" s="40"/>
      <c r="N252" s="40"/>
      <c r="O252" s="40"/>
      <c r="P252" s="40"/>
      <c r="Q252" s="40"/>
      <c r="R252" s="40"/>
      <c r="S252" s="40"/>
      <c r="T252" s="40"/>
      <c r="U252" s="40"/>
      <c r="V252" s="40"/>
      <c r="W252" s="40"/>
      <c r="X252" s="40"/>
      <c r="Y252" s="9"/>
      <c r="Z252" s="146"/>
      <c r="AA252" s="9"/>
      <c r="AB252" s="9"/>
      <c r="AC252" s="9"/>
      <c r="AD252" s="9"/>
      <c r="AE252" s="9"/>
      <c r="AF252" s="9"/>
      <c r="AG252" s="9"/>
      <c r="AH252" s="9"/>
      <c r="AI252" s="9"/>
      <c r="AJ252" s="9"/>
      <c r="AK252" s="9"/>
      <c r="AL252" s="9"/>
      <c r="AM252" s="9"/>
      <c r="AN252" s="9"/>
      <c r="AO252" s="9"/>
      <c r="AP252" s="9"/>
      <c r="AQ252" s="9"/>
      <c r="AR252" s="9"/>
      <c r="AS252" s="9"/>
      <c r="AT252" s="9"/>
      <c r="AU252" s="9"/>
      <c r="AV252" s="9"/>
      <c r="AW252" s="9"/>
    </row>
    <row r="253" spans="1:49" x14ac:dyDescent="0.3">
      <c r="A253" s="9"/>
      <c r="B253" s="9"/>
      <c r="C253" s="9"/>
      <c r="D253" s="40"/>
      <c r="E253" s="40"/>
      <c r="F253" s="40"/>
      <c r="G253" s="40"/>
      <c r="H253" s="40"/>
      <c r="I253" s="40"/>
      <c r="J253" s="40"/>
      <c r="K253" s="40"/>
      <c r="L253" s="40"/>
      <c r="M253" s="40"/>
      <c r="N253" s="40"/>
      <c r="O253" s="40"/>
      <c r="P253" s="40"/>
      <c r="Q253" s="40"/>
      <c r="R253" s="40"/>
      <c r="S253" s="40"/>
      <c r="T253" s="40"/>
      <c r="U253" s="40"/>
      <c r="V253" s="40"/>
      <c r="W253" s="40"/>
      <c r="X253" s="40"/>
      <c r="Y253" s="9"/>
      <c r="Z253" s="146"/>
      <c r="AA253" s="9"/>
      <c r="AB253" s="9"/>
      <c r="AC253" s="9"/>
      <c r="AD253" s="9"/>
      <c r="AE253" s="9"/>
      <c r="AF253" s="9"/>
      <c r="AG253" s="9"/>
      <c r="AH253" s="9"/>
      <c r="AI253" s="9"/>
      <c r="AJ253" s="9"/>
      <c r="AK253" s="9"/>
      <c r="AL253" s="9"/>
      <c r="AM253" s="9"/>
      <c r="AN253" s="9"/>
      <c r="AO253" s="9"/>
      <c r="AP253" s="9"/>
      <c r="AQ253" s="9"/>
      <c r="AR253" s="9"/>
      <c r="AS253" s="9"/>
      <c r="AT253" s="9"/>
      <c r="AU253" s="9"/>
      <c r="AV253" s="9"/>
      <c r="AW253" s="9"/>
    </row>
    <row r="254" spans="1:49" x14ac:dyDescent="0.3">
      <c r="A254" s="9"/>
      <c r="B254" s="9"/>
      <c r="C254" s="9"/>
      <c r="D254" s="40"/>
      <c r="E254" s="40"/>
      <c r="F254" s="40"/>
      <c r="G254" s="40"/>
      <c r="H254" s="40"/>
      <c r="I254" s="40"/>
      <c r="J254" s="40"/>
      <c r="K254" s="40"/>
      <c r="L254" s="40"/>
      <c r="M254" s="40"/>
      <c r="N254" s="40"/>
      <c r="O254" s="40"/>
      <c r="P254" s="40"/>
      <c r="Q254" s="40"/>
      <c r="R254" s="40"/>
      <c r="S254" s="40"/>
      <c r="T254" s="40"/>
      <c r="U254" s="40"/>
      <c r="V254" s="40"/>
      <c r="W254" s="40"/>
      <c r="X254" s="40"/>
      <c r="Y254" s="9"/>
      <c r="Z254" s="146"/>
      <c r="AA254" s="9"/>
      <c r="AB254" s="9"/>
      <c r="AC254" s="9"/>
      <c r="AD254" s="9"/>
      <c r="AE254" s="9"/>
      <c r="AF254" s="9"/>
      <c r="AG254" s="9"/>
      <c r="AH254" s="9"/>
      <c r="AI254" s="9"/>
      <c r="AJ254" s="9"/>
      <c r="AK254" s="9"/>
      <c r="AL254" s="9"/>
      <c r="AM254" s="9"/>
      <c r="AN254" s="9"/>
      <c r="AO254" s="9"/>
      <c r="AP254" s="9"/>
      <c r="AQ254" s="9"/>
      <c r="AR254" s="9"/>
      <c r="AS254" s="9"/>
      <c r="AT254" s="9"/>
      <c r="AU254" s="9"/>
      <c r="AV254" s="9"/>
      <c r="AW254" s="9"/>
    </row>
    <row r="255" spans="1:49" x14ac:dyDescent="0.3">
      <c r="A255" s="9"/>
      <c r="B255" s="9"/>
      <c r="C255" s="9"/>
      <c r="D255" s="40"/>
      <c r="E255" s="40"/>
      <c r="F255" s="40"/>
      <c r="G255" s="40"/>
      <c r="H255" s="40"/>
      <c r="I255" s="40"/>
      <c r="J255" s="40"/>
      <c r="K255" s="40"/>
      <c r="L255" s="40"/>
      <c r="M255" s="40"/>
      <c r="N255" s="40"/>
      <c r="O255" s="40"/>
      <c r="P255" s="40"/>
      <c r="Q255" s="40"/>
      <c r="R255" s="40"/>
      <c r="S255" s="40"/>
      <c r="T255" s="40"/>
      <c r="U255" s="40"/>
      <c r="V255" s="40"/>
      <c r="W255" s="40"/>
      <c r="X255" s="40"/>
      <c r="Y255" s="9"/>
      <c r="Z255" s="146"/>
      <c r="AA255" s="9"/>
      <c r="AB255" s="9"/>
      <c r="AC255" s="9"/>
      <c r="AD255" s="9"/>
      <c r="AE255" s="9"/>
      <c r="AF255" s="9"/>
      <c r="AG255" s="9"/>
      <c r="AH255" s="9"/>
      <c r="AI255" s="9"/>
      <c r="AJ255" s="9"/>
      <c r="AK255" s="9"/>
      <c r="AL255" s="9"/>
      <c r="AM255" s="9"/>
      <c r="AN255" s="9"/>
      <c r="AO255" s="9"/>
      <c r="AP255" s="9"/>
      <c r="AQ255" s="9"/>
      <c r="AR255" s="9"/>
      <c r="AS255" s="9"/>
      <c r="AT255" s="9"/>
      <c r="AU255" s="9"/>
      <c r="AV255" s="9"/>
      <c r="AW255" s="9"/>
    </row>
    <row r="256" spans="1:49" x14ac:dyDescent="0.3">
      <c r="A256" s="9"/>
      <c r="B256" s="9"/>
      <c r="C256" s="9"/>
      <c r="D256" s="40"/>
      <c r="E256" s="40"/>
      <c r="F256" s="40"/>
      <c r="G256" s="40"/>
      <c r="H256" s="40"/>
      <c r="I256" s="40"/>
      <c r="J256" s="40"/>
      <c r="K256" s="40"/>
      <c r="L256" s="40"/>
      <c r="M256" s="40"/>
      <c r="N256" s="40"/>
      <c r="O256" s="40"/>
      <c r="P256" s="40"/>
      <c r="Q256" s="40"/>
      <c r="R256" s="40"/>
      <c r="S256" s="40"/>
      <c r="T256" s="40"/>
      <c r="U256" s="40"/>
      <c r="V256" s="40"/>
      <c r="W256" s="40"/>
      <c r="X256" s="40"/>
      <c r="Y256" s="9"/>
      <c r="Z256" s="146"/>
      <c r="AA256" s="9"/>
      <c r="AB256" s="9"/>
      <c r="AC256" s="9"/>
      <c r="AD256" s="9"/>
      <c r="AE256" s="9"/>
      <c r="AF256" s="9"/>
      <c r="AG256" s="9"/>
      <c r="AH256" s="9"/>
      <c r="AI256" s="9"/>
      <c r="AJ256" s="9"/>
      <c r="AK256" s="9"/>
      <c r="AL256" s="9"/>
      <c r="AM256" s="9"/>
      <c r="AN256" s="9"/>
      <c r="AO256" s="9"/>
      <c r="AP256" s="9"/>
      <c r="AQ256" s="9"/>
      <c r="AR256" s="9"/>
      <c r="AS256" s="9"/>
      <c r="AT256" s="9"/>
      <c r="AU256" s="9"/>
      <c r="AV256" s="9"/>
      <c r="AW256" s="9"/>
    </row>
    <row r="257" spans="1:49" x14ac:dyDescent="0.3">
      <c r="A257" s="9"/>
      <c r="B257" s="9"/>
      <c r="C257" s="9"/>
      <c r="D257" s="40"/>
      <c r="E257" s="40"/>
      <c r="F257" s="40"/>
      <c r="G257" s="40"/>
      <c r="H257" s="40"/>
      <c r="I257" s="40"/>
      <c r="J257" s="40"/>
      <c r="K257" s="40"/>
      <c r="L257" s="40"/>
      <c r="M257" s="40"/>
      <c r="N257" s="40"/>
      <c r="O257" s="40"/>
      <c r="P257" s="40"/>
      <c r="Q257" s="40"/>
      <c r="R257" s="40"/>
      <c r="S257" s="40"/>
      <c r="T257" s="40"/>
      <c r="U257" s="40"/>
      <c r="V257" s="40"/>
      <c r="W257" s="40"/>
      <c r="X257" s="40"/>
      <c r="Y257" s="9"/>
      <c r="Z257" s="146"/>
      <c r="AA257" s="9"/>
      <c r="AB257" s="9"/>
      <c r="AC257" s="9"/>
      <c r="AD257" s="9"/>
      <c r="AE257" s="9"/>
      <c r="AF257" s="9"/>
      <c r="AG257" s="9"/>
      <c r="AH257" s="9"/>
      <c r="AI257" s="9"/>
      <c r="AJ257" s="9"/>
      <c r="AK257" s="9"/>
      <c r="AL257" s="9"/>
      <c r="AM257" s="9"/>
      <c r="AN257" s="9"/>
      <c r="AO257" s="9"/>
      <c r="AP257" s="9"/>
      <c r="AQ257" s="9"/>
      <c r="AR257" s="9"/>
      <c r="AS257" s="9"/>
      <c r="AT257" s="9"/>
      <c r="AU257" s="9"/>
      <c r="AV257" s="9"/>
      <c r="AW257" s="9"/>
    </row>
    <row r="258" spans="1:49" x14ac:dyDescent="0.3">
      <c r="A258" s="9"/>
      <c r="B258" s="9"/>
      <c r="C258" s="9"/>
      <c r="D258" s="40"/>
      <c r="E258" s="40"/>
      <c r="F258" s="40"/>
      <c r="G258" s="40"/>
      <c r="H258" s="40"/>
      <c r="I258" s="40"/>
      <c r="J258" s="40"/>
      <c r="K258" s="40"/>
      <c r="L258" s="40"/>
      <c r="M258" s="40"/>
      <c r="N258" s="40"/>
      <c r="O258" s="40"/>
      <c r="P258" s="40"/>
      <c r="Q258" s="40"/>
      <c r="R258" s="40"/>
      <c r="S258" s="40"/>
      <c r="T258" s="40"/>
      <c r="U258" s="40"/>
      <c r="V258" s="40"/>
      <c r="W258" s="40"/>
      <c r="X258" s="40"/>
      <c r="Y258" s="9"/>
      <c r="Z258" s="146"/>
      <c r="AA258" s="9"/>
      <c r="AB258" s="9"/>
      <c r="AC258" s="9"/>
      <c r="AD258" s="9"/>
      <c r="AE258" s="9"/>
      <c r="AF258" s="9"/>
      <c r="AG258" s="9"/>
      <c r="AH258" s="9"/>
      <c r="AI258" s="9"/>
      <c r="AJ258" s="9"/>
      <c r="AK258" s="9"/>
      <c r="AL258" s="9"/>
      <c r="AM258" s="9"/>
      <c r="AN258" s="9"/>
      <c r="AO258" s="9"/>
      <c r="AP258" s="9"/>
      <c r="AQ258" s="9"/>
      <c r="AR258" s="9"/>
      <c r="AS258" s="9"/>
      <c r="AT258" s="9"/>
      <c r="AU258" s="9"/>
      <c r="AV258" s="9"/>
      <c r="AW258" s="9"/>
    </row>
    <row r="259" spans="1:49" x14ac:dyDescent="0.3">
      <c r="A259" s="9"/>
      <c r="B259" s="9"/>
      <c r="C259" s="9"/>
      <c r="D259" s="40"/>
      <c r="E259" s="40"/>
      <c r="F259" s="40"/>
      <c r="G259" s="40"/>
      <c r="H259" s="40"/>
      <c r="I259" s="40"/>
      <c r="J259" s="40"/>
      <c r="K259" s="40"/>
      <c r="L259" s="40"/>
      <c r="M259" s="40"/>
      <c r="N259" s="40"/>
      <c r="O259" s="40"/>
      <c r="P259" s="40"/>
      <c r="Q259" s="40"/>
      <c r="R259" s="40"/>
      <c r="S259" s="40"/>
      <c r="T259" s="40"/>
      <c r="U259" s="40"/>
      <c r="V259" s="40"/>
      <c r="W259" s="40"/>
      <c r="X259" s="40"/>
      <c r="Y259" s="9"/>
      <c r="Z259" s="146"/>
      <c r="AA259" s="9"/>
      <c r="AB259" s="9"/>
      <c r="AC259" s="9"/>
      <c r="AD259" s="9"/>
      <c r="AE259" s="9"/>
      <c r="AF259" s="9"/>
      <c r="AG259" s="9"/>
      <c r="AH259" s="9"/>
      <c r="AI259" s="9"/>
      <c r="AJ259" s="9"/>
      <c r="AK259" s="9"/>
      <c r="AL259" s="9"/>
      <c r="AM259" s="9"/>
      <c r="AN259" s="9"/>
      <c r="AO259" s="9"/>
      <c r="AP259" s="9"/>
      <c r="AQ259" s="9"/>
      <c r="AR259" s="9"/>
      <c r="AS259" s="9"/>
      <c r="AT259" s="9"/>
      <c r="AU259" s="9"/>
      <c r="AV259" s="9"/>
      <c r="AW259" s="9"/>
    </row>
    <row r="260" spans="1:49" x14ac:dyDescent="0.3">
      <c r="A260" s="9"/>
      <c r="B260" s="9"/>
      <c r="C260" s="9"/>
      <c r="D260" s="40"/>
      <c r="E260" s="40"/>
      <c r="F260" s="40"/>
      <c r="G260" s="40"/>
      <c r="H260" s="40"/>
      <c r="I260" s="40"/>
      <c r="J260" s="40"/>
      <c r="K260" s="40"/>
      <c r="L260" s="40"/>
      <c r="M260" s="40"/>
      <c r="N260" s="40"/>
      <c r="O260" s="40"/>
      <c r="P260" s="40"/>
      <c r="Q260" s="40"/>
      <c r="R260" s="40"/>
      <c r="S260" s="40"/>
      <c r="T260" s="40"/>
      <c r="U260" s="40"/>
      <c r="V260" s="40"/>
      <c r="W260" s="40"/>
      <c r="X260" s="40"/>
      <c r="Y260" s="9"/>
      <c r="Z260" s="146"/>
      <c r="AA260" s="9"/>
      <c r="AB260" s="9"/>
      <c r="AC260" s="9"/>
      <c r="AD260" s="9"/>
      <c r="AE260" s="9"/>
      <c r="AF260" s="9"/>
      <c r="AG260" s="9"/>
      <c r="AH260" s="9"/>
      <c r="AI260" s="9"/>
      <c r="AJ260" s="9"/>
      <c r="AK260" s="9"/>
      <c r="AL260" s="9"/>
      <c r="AM260" s="9"/>
      <c r="AN260" s="9"/>
      <c r="AO260" s="9"/>
      <c r="AP260" s="9"/>
      <c r="AQ260" s="9"/>
      <c r="AR260" s="9"/>
      <c r="AS260" s="9"/>
      <c r="AT260" s="9"/>
      <c r="AU260" s="9"/>
      <c r="AV260" s="9"/>
      <c r="AW260" s="9"/>
    </row>
    <row r="261" spans="1:49" x14ac:dyDescent="0.3">
      <c r="A261" s="9"/>
      <c r="B261" s="9"/>
      <c r="C261" s="9"/>
      <c r="D261" s="40"/>
      <c r="E261" s="40"/>
      <c r="F261" s="40"/>
      <c r="G261" s="40"/>
      <c r="H261" s="40"/>
      <c r="I261" s="40"/>
      <c r="J261" s="40"/>
      <c r="K261" s="40"/>
      <c r="L261" s="40"/>
      <c r="M261" s="40"/>
      <c r="N261" s="40"/>
      <c r="O261" s="40"/>
      <c r="P261" s="40"/>
      <c r="Q261" s="40"/>
      <c r="R261" s="40"/>
      <c r="S261" s="40"/>
      <c r="T261" s="40"/>
      <c r="U261" s="40"/>
      <c r="V261" s="40"/>
      <c r="W261" s="40"/>
      <c r="X261" s="40"/>
      <c r="Y261" s="9"/>
      <c r="Z261" s="146"/>
      <c r="AA261" s="9"/>
      <c r="AB261" s="9"/>
      <c r="AC261" s="9"/>
      <c r="AD261" s="9"/>
      <c r="AE261" s="9"/>
      <c r="AF261" s="9"/>
      <c r="AG261" s="9"/>
      <c r="AH261" s="9"/>
      <c r="AI261" s="9"/>
      <c r="AJ261" s="9"/>
      <c r="AK261" s="9"/>
      <c r="AL261" s="9"/>
      <c r="AM261" s="9"/>
      <c r="AN261" s="9"/>
      <c r="AO261" s="9"/>
      <c r="AP261" s="9"/>
      <c r="AQ261" s="9"/>
      <c r="AR261" s="9"/>
      <c r="AS261" s="9"/>
      <c r="AT261" s="9"/>
      <c r="AU261" s="9"/>
      <c r="AV261" s="9"/>
      <c r="AW261" s="9"/>
    </row>
    <row r="262" spans="1:49" x14ac:dyDescent="0.3">
      <c r="A262" s="9"/>
      <c r="B262" s="9"/>
      <c r="C262" s="9"/>
      <c r="D262" s="40"/>
      <c r="E262" s="40"/>
      <c r="F262" s="40"/>
      <c r="G262" s="40"/>
      <c r="H262" s="40"/>
      <c r="I262" s="40"/>
      <c r="J262" s="40"/>
      <c r="K262" s="40"/>
      <c r="L262" s="40"/>
      <c r="M262" s="40"/>
      <c r="N262" s="40"/>
      <c r="O262" s="40"/>
      <c r="P262" s="40"/>
      <c r="Q262" s="40"/>
      <c r="R262" s="40"/>
      <c r="S262" s="40"/>
      <c r="T262" s="40"/>
      <c r="U262" s="40"/>
      <c r="V262" s="40"/>
      <c r="W262" s="40"/>
      <c r="X262" s="40"/>
      <c r="Y262" s="9"/>
      <c r="Z262" s="146"/>
      <c r="AA262" s="9"/>
      <c r="AB262" s="9"/>
      <c r="AC262" s="9"/>
      <c r="AD262" s="9"/>
      <c r="AE262" s="9"/>
      <c r="AF262" s="9"/>
      <c r="AG262" s="9"/>
      <c r="AH262" s="9"/>
      <c r="AI262" s="9"/>
      <c r="AJ262" s="9"/>
      <c r="AK262" s="9"/>
      <c r="AL262" s="9"/>
      <c r="AM262" s="9"/>
      <c r="AN262" s="9"/>
      <c r="AO262" s="9"/>
      <c r="AP262" s="9"/>
      <c r="AQ262" s="9"/>
      <c r="AR262" s="9"/>
      <c r="AS262" s="9"/>
      <c r="AT262" s="9"/>
      <c r="AU262" s="9"/>
      <c r="AV262" s="9"/>
      <c r="AW262" s="9"/>
    </row>
    <row r="263" spans="1:49" x14ac:dyDescent="0.3">
      <c r="A263" s="9"/>
      <c r="B263" s="9"/>
      <c r="C263" s="9"/>
      <c r="D263" s="40"/>
      <c r="E263" s="40"/>
      <c r="F263" s="40"/>
      <c r="G263" s="40"/>
      <c r="H263" s="40"/>
      <c r="I263" s="40"/>
      <c r="J263" s="40"/>
      <c r="K263" s="40"/>
      <c r="L263" s="40"/>
      <c r="M263" s="40"/>
      <c r="N263" s="40"/>
      <c r="O263" s="40"/>
      <c r="P263" s="40"/>
      <c r="Q263" s="40"/>
      <c r="R263" s="40"/>
      <c r="S263" s="40"/>
      <c r="T263" s="40"/>
      <c r="U263" s="40"/>
      <c r="V263" s="40"/>
      <c r="W263" s="40"/>
      <c r="X263" s="40"/>
      <c r="Y263" s="9"/>
      <c r="Z263" s="146"/>
      <c r="AA263" s="9"/>
      <c r="AB263" s="9"/>
      <c r="AC263" s="9"/>
      <c r="AD263" s="9"/>
      <c r="AE263" s="9"/>
      <c r="AF263" s="9"/>
      <c r="AG263" s="9"/>
      <c r="AH263" s="9"/>
      <c r="AI263" s="9"/>
      <c r="AJ263" s="9"/>
      <c r="AK263" s="9"/>
      <c r="AL263" s="9"/>
      <c r="AM263" s="9"/>
      <c r="AN263" s="9"/>
      <c r="AO263" s="9"/>
      <c r="AP263" s="9"/>
      <c r="AQ263" s="9"/>
      <c r="AR263" s="9"/>
      <c r="AS263" s="9"/>
      <c r="AT263" s="9"/>
      <c r="AU263" s="9"/>
      <c r="AV263" s="9"/>
      <c r="AW263" s="9"/>
    </row>
    <row r="264" spans="1:49" x14ac:dyDescent="0.3">
      <c r="A264" s="9"/>
      <c r="B264" s="9"/>
      <c r="C264" s="9"/>
      <c r="D264" s="40"/>
      <c r="E264" s="40"/>
      <c r="F264" s="40"/>
      <c r="G264" s="40"/>
      <c r="H264" s="40"/>
      <c r="I264" s="40"/>
      <c r="J264" s="40"/>
      <c r="K264" s="40"/>
      <c r="L264" s="40"/>
      <c r="M264" s="40"/>
      <c r="N264" s="40"/>
      <c r="O264" s="40"/>
      <c r="P264" s="40"/>
      <c r="Q264" s="40"/>
      <c r="R264" s="40"/>
      <c r="S264" s="40"/>
      <c r="T264" s="40"/>
      <c r="U264" s="40"/>
      <c r="V264" s="40"/>
      <c r="W264" s="40"/>
      <c r="X264" s="40"/>
      <c r="Y264" s="9"/>
      <c r="Z264" s="146"/>
      <c r="AA264" s="9"/>
      <c r="AB264" s="9"/>
      <c r="AC264" s="9"/>
      <c r="AD264" s="9"/>
      <c r="AE264" s="9"/>
      <c r="AF264" s="9"/>
      <c r="AG264" s="9"/>
      <c r="AH264" s="9"/>
      <c r="AI264" s="9"/>
      <c r="AJ264" s="9"/>
      <c r="AK264" s="9"/>
      <c r="AL264" s="9"/>
      <c r="AM264" s="9"/>
      <c r="AN264" s="9"/>
      <c r="AO264" s="9"/>
      <c r="AP264" s="9"/>
      <c r="AQ264" s="9"/>
      <c r="AR264" s="9"/>
      <c r="AS264" s="9"/>
      <c r="AT264" s="9"/>
      <c r="AU264" s="9"/>
      <c r="AV264" s="9"/>
      <c r="AW264" s="9"/>
    </row>
    <row r="265" spans="1:49" x14ac:dyDescent="0.3">
      <c r="A265" s="9"/>
      <c r="B265" s="9"/>
      <c r="C265" s="9"/>
      <c r="D265" s="40"/>
      <c r="E265" s="40"/>
      <c r="F265" s="40"/>
      <c r="G265" s="40"/>
      <c r="H265" s="40"/>
      <c r="I265" s="40"/>
      <c r="J265" s="40"/>
      <c r="K265" s="40"/>
      <c r="L265" s="40"/>
      <c r="M265" s="40"/>
      <c r="N265" s="40"/>
      <c r="O265" s="40"/>
      <c r="P265" s="40"/>
      <c r="Q265" s="40"/>
      <c r="R265" s="40"/>
      <c r="S265" s="40"/>
      <c r="T265" s="40"/>
      <c r="U265" s="40"/>
      <c r="V265" s="40"/>
      <c r="W265" s="40"/>
      <c r="X265" s="40"/>
      <c r="Y265" s="9"/>
      <c r="Z265" s="146"/>
      <c r="AA265" s="9"/>
      <c r="AB265" s="9"/>
      <c r="AC265" s="9"/>
      <c r="AD265" s="9"/>
      <c r="AE265" s="9"/>
      <c r="AF265" s="9"/>
      <c r="AG265" s="9"/>
      <c r="AH265" s="9"/>
      <c r="AI265" s="9"/>
      <c r="AJ265" s="9"/>
      <c r="AK265" s="9"/>
      <c r="AL265" s="9"/>
      <c r="AM265" s="9"/>
      <c r="AN265" s="9"/>
      <c r="AO265" s="9"/>
      <c r="AP265" s="9"/>
      <c r="AQ265" s="9"/>
      <c r="AR265" s="9"/>
      <c r="AS265" s="9"/>
      <c r="AT265" s="9"/>
      <c r="AU265" s="9"/>
      <c r="AV265" s="9"/>
      <c r="AW265" s="9"/>
    </row>
    <row r="266" spans="1:49" x14ac:dyDescent="0.3">
      <c r="A266" s="9"/>
      <c r="B266" s="9"/>
      <c r="C266" s="9"/>
      <c r="D266" s="40"/>
      <c r="E266" s="40"/>
      <c r="F266" s="40"/>
      <c r="G266" s="40"/>
      <c r="H266" s="40"/>
      <c r="I266" s="40"/>
      <c r="J266" s="40"/>
      <c r="K266" s="40"/>
      <c r="L266" s="40"/>
      <c r="M266" s="40"/>
      <c r="N266" s="40"/>
      <c r="O266" s="40"/>
      <c r="P266" s="40"/>
      <c r="Q266" s="40"/>
      <c r="R266" s="40"/>
      <c r="S266" s="40"/>
      <c r="T266" s="40"/>
      <c r="U266" s="40"/>
      <c r="V266" s="40"/>
      <c r="W266" s="40"/>
      <c r="X266" s="40"/>
      <c r="Y266" s="9"/>
      <c r="Z266" s="146"/>
      <c r="AA266" s="9"/>
      <c r="AB266" s="9"/>
      <c r="AC266" s="9"/>
      <c r="AD266" s="9"/>
      <c r="AE266" s="9"/>
      <c r="AF266" s="9"/>
      <c r="AG266" s="9"/>
      <c r="AH266" s="9"/>
      <c r="AI266" s="9"/>
      <c r="AJ266" s="9"/>
      <c r="AK266" s="9"/>
      <c r="AL266" s="9"/>
      <c r="AM266" s="9"/>
      <c r="AN266" s="9"/>
      <c r="AO266" s="9"/>
      <c r="AP266" s="9"/>
      <c r="AQ266" s="9"/>
      <c r="AR266" s="9"/>
      <c r="AS266" s="9"/>
      <c r="AT266" s="9"/>
      <c r="AU266" s="9"/>
      <c r="AV266" s="9"/>
      <c r="AW266" s="9"/>
    </row>
    <row r="267" spans="1:49" x14ac:dyDescent="0.3">
      <c r="A267" s="9"/>
      <c r="B267" s="9"/>
      <c r="C267" s="9"/>
      <c r="D267" s="40"/>
      <c r="E267" s="40"/>
      <c r="F267" s="40"/>
      <c r="G267" s="40"/>
      <c r="H267" s="40"/>
      <c r="I267" s="40"/>
      <c r="J267" s="40"/>
      <c r="K267" s="40"/>
      <c r="L267" s="40"/>
      <c r="M267" s="40"/>
      <c r="N267" s="40"/>
      <c r="O267" s="40"/>
      <c r="P267" s="40"/>
      <c r="Q267" s="40"/>
      <c r="R267" s="40"/>
      <c r="S267" s="40"/>
      <c r="T267" s="40"/>
      <c r="U267" s="40"/>
      <c r="V267" s="40"/>
      <c r="W267" s="40"/>
      <c r="X267" s="40"/>
      <c r="Y267" s="9"/>
      <c r="Z267" s="146"/>
      <c r="AA267" s="9"/>
      <c r="AB267" s="9"/>
      <c r="AC267" s="9"/>
      <c r="AD267" s="9"/>
      <c r="AE267" s="9"/>
      <c r="AF267" s="9"/>
      <c r="AG267" s="9"/>
      <c r="AH267" s="9"/>
      <c r="AI267" s="9"/>
      <c r="AJ267" s="9"/>
      <c r="AK267" s="9"/>
      <c r="AL267" s="9"/>
      <c r="AM267" s="9"/>
      <c r="AN267" s="9"/>
      <c r="AO267" s="9"/>
      <c r="AP267" s="9"/>
      <c r="AQ267" s="9"/>
      <c r="AR267" s="9"/>
      <c r="AS267" s="9"/>
      <c r="AT267" s="9"/>
      <c r="AU267" s="9"/>
      <c r="AV267" s="9"/>
      <c r="AW267" s="9"/>
    </row>
  </sheetData>
  <mergeCells count="18">
    <mergeCell ref="AF8:AI8"/>
    <mergeCell ref="Y44:AC44"/>
    <mergeCell ref="A44:C44"/>
    <mergeCell ref="D44:O44"/>
    <mergeCell ref="A8:B8"/>
    <mergeCell ref="L8:N8"/>
    <mergeCell ref="O8:Q8"/>
    <mergeCell ref="S8:V8"/>
    <mergeCell ref="W8:Y8"/>
    <mergeCell ref="AA8:AD8"/>
    <mergeCell ref="A184:C184"/>
    <mergeCell ref="D184:O184"/>
    <mergeCell ref="A7:B7"/>
    <mergeCell ref="A5:B5"/>
    <mergeCell ref="A79:C79"/>
    <mergeCell ref="D79:O79"/>
    <mergeCell ref="A130:C130"/>
    <mergeCell ref="D130:O130"/>
  </mergeCells>
  <conditionalFormatting sqref="X80:X1048576">
    <cfRule type="colorScale" priority="50">
      <colorScale>
        <cfvo type="min"/>
        <cfvo type="percentile" val="50"/>
        <cfvo type="max"/>
        <color rgb="FFF8696B"/>
        <color rgb="FFFFEB84"/>
        <color rgb="FF63BE7B"/>
      </colorScale>
    </cfRule>
  </conditionalFormatting>
  <conditionalFormatting sqref="Q44:U44 E219:T1048576 E183:T183 E129:T129 E78:T78 D45:T77">
    <cfRule type="colorScale" priority="49">
      <colorScale>
        <cfvo type="min"/>
        <cfvo type="percentile" val="50"/>
        <cfvo type="max"/>
        <color rgb="FFF8696B"/>
        <color rgb="FFFFEB84"/>
        <color rgb="FF63BE7B"/>
      </colorScale>
    </cfRule>
  </conditionalFormatting>
  <conditionalFormatting sqref="A219:A1048576 A44:A78 A183 A129">
    <cfRule type="colorScale" priority="48">
      <colorScale>
        <cfvo type="min"/>
        <cfvo type="percentile" val="50"/>
        <cfvo type="max"/>
        <color rgb="FF63BE7B"/>
        <color rgb="FFFFEB84"/>
        <color rgb="FFF8696B"/>
      </colorScale>
    </cfRule>
  </conditionalFormatting>
  <conditionalFormatting sqref="P79:T79 D80:T128">
    <cfRule type="colorScale" priority="47">
      <colorScale>
        <cfvo type="min"/>
        <cfvo type="percentile" val="50"/>
        <cfvo type="max"/>
        <color rgb="FFF8696B"/>
        <color rgb="FFFFEB84"/>
        <color rgb="FF63BE7B"/>
      </colorScale>
    </cfRule>
  </conditionalFormatting>
  <conditionalFormatting sqref="A79:A128">
    <cfRule type="colorScale" priority="46">
      <colorScale>
        <cfvo type="min"/>
        <cfvo type="percentile" val="50"/>
        <cfvo type="max"/>
        <color rgb="FF63BE7B"/>
        <color rgb="FFFFEB84"/>
        <color rgb="FFF8696B"/>
      </colorScale>
    </cfRule>
  </conditionalFormatting>
  <conditionalFormatting sqref="P130:T130 D131:T182">
    <cfRule type="colorScale" priority="45">
      <colorScale>
        <cfvo type="min"/>
        <cfvo type="percentile" val="50"/>
        <cfvo type="max"/>
        <color rgb="FFF8696B"/>
        <color rgb="FFFFEB84"/>
        <color rgb="FF63BE7B"/>
      </colorScale>
    </cfRule>
  </conditionalFormatting>
  <conditionalFormatting sqref="A130:A182">
    <cfRule type="colorScale" priority="44">
      <colorScale>
        <cfvo type="min"/>
        <cfvo type="percentile" val="50"/>
        <cfvo type="max"/>
        <color rgb="FF63BE7B"/>
        <color rgb="FFFFEB84"/>
        <color rgb="FFF8696B"/>
      </colorScale>
    </cfRule>
  </conditionalFormatting>
  <conditionalFormatting sqref="P184:T184 D185:T218">
    <cfRule type="colorScale" priority="51">
      <colorScale>
        <cfvo type="min"/>
        <cfvo type="percentile" val="50"/>
        <cfvo type="max"/>
        <color rgb="FFF8696B"/>
        <color rgb="FFFFEB84"/>
        <color rgb="FF63BE7B"/>
      </colorScale>
    </cfRule>
  </conditionalFormatting>
  <conditionalFormatting sqref="A184:A218">
    <cfRule type="colorScale" priority="52">
      <colorScale>
        <cfvo type="min"/>
        <cfvo type="percentile" val="50"/>
        <cfvo type="max"/>
        <color rgb="FF63BE7B"/>
        <color rgb="FFFFEB84"/>
        <color rgb="FFF8696B"/>
      </colorScale>
    </cfRule>
  </conditionalFormatting>
  <conditionalFormatting sqref="U81:U128">
    <cfRule type="colorScale" priority="43">
      <colorScale>
        <cfvo type="min"/>
        <cfvo type="percentile" val="50"/>
        <cfvo type="max"/>
        <color rgb="FFF8696B"/>
        <color rgb="FFFFEB84"/>
        <color rgb="FF63BE7B"/>
      </colorScale>
    </cfRule>
  </conditionalFormatting>
  <conditionalFormatting sqref="V81:V128">
    <cfRule type="colorScale" priority="42">
      <colorScale>
        <cfvo type="min"/>
        <cfvo type="percentile" val="50"/>
        <cfvo type="max"/>
        <color rgb="FFF8696B"/>
        <color rgb="FFFFEB84"/>
        <color rgb="FF63BE7B"/>
      </colorScale>
    </cfRule>
  </conditionalFormatting>
  <conditionalFormatting sqref="W81:W128">
    <cfRule type="colorScale" priority="41">
      <colorScale>
        <cfvo type="min"/>
        <cfvo type="percentile" val="50"/>
        <cfvo type="max"/>
        <color rgb="FFF8696B"/>
        <color rgb="FFFFEB84"/>
        <color rgb="FF63BE7B"/>
      </colorScale>
    </cfRule>
  </conditionalFormatting>
  <conditionalFormatting sqref="U132:U182">
    <cfRule type="colorScale" priority="40">
      <colorScale>
        <cfvo type="min"/>
        <cfvo type="percentile" val="50"/>
        <cfvo type="max"/>
        <color rgb="FFF8696B"/>
        <color rgb="FFFFEB84"/>
        <color rgb="FF63BE7B"/>
      </colorScale>
    </cfRule>
  </conditionalFormatting>
  <conditionalFormatting sqref="V132:V182">
    <cfRule type="colorScale" priority="39">
      <colorScale>
        <cfvo type="min"/>
        <cfvo type="percentile" val="50"/>
        <cfvo type="max"/>
        <color rgb="FFF8696B"/>
        <color rgb="FFFFEB84"/>
        <color rgb="FF63BE7B"/>
      </colorScale>
    </cfRule>
  </conditionalFormatting>
  <conditionalFormatting sqref="W132:W182">
    <cfRule type="colorScale" priority="38">
      <colorScale>
        <cfvo type="min"/>
        <cfvo type="percentile" val="50"/>
        <cfvo type="max"/>
        <color rgb="FFF8696B"/>
        <color rgb="FFFFEB84"/>
        <color rgb="FF63BE7B"/>
      </colorScale>
    </cfRule>
  </conditionalFormatting>
  <conditionalFormatting sqref="U186:U218">
    <cfRule type="colorScale" priority="37">
      <colorScale>
        <cfvo type="min"/>
        <cfvo type="percentile" val="50"/>
        <cfvo type="max"/>
        <color rgb="FFF8696B"/>
        <color rgb="FFFFEB84"/>
        <color rgb="FF63BE7B"/>
      </colorScale>
    </cfRule>
  </conditionalFormatting>
  <conditionalFormatting sqref="V186:V218">
    <cfRule type="colorScale" priority="36">
      <colorScale>
        <cfvo type="min"/>
        <cfvo type="percentile" val="50"/>
        <cfvo type="max"/>
        <color rgb="FFF8696B"/>
        <color rgb="FFFFEB84"/>
        <color rgb="FF63BE7B"/>
      </colorScale>
    </cfRule>
  </conditionalFormatting>
  <conditionalFormatting sqref="W186:W218">
    <cfRule type="colorScale" priority="35">
      <colorScale>
        <cfvo type="min"/>
        <cfvo type="percentile" val="50"/>
        <cfvo type="max"/>
        <color rgb="FFF8696B"/>
        <color rgb="FFFFEB84"/>
        <color rgb="FF63BE7B"/>
      </colorScale>
    </cfRule>
  </conditionalFormatting>
  <conditionalFormatting sqref="C10:C41">
    <cfRule type="colorScale" priority="29">
      <colorScale>
        <cfvo type="min"/>
        <cfvo type="percentile" val="50"/>
        <cfvo type="max"/>
        <color rgb="FF63BE7B"/>
        <color rgb="FFFFEB84"/>
        <color rgb="FFF8696B"/>
      </colorScale>
    </cfRule>
  </conditionalFormatting>
  <conditionalFormatting sqref="D10:D41">
    <cfRule type="colorScale" priority="34">
      <colorScale>
        <cfvo type="min"/>
        <cfvo type="percentile" val="50"/>
        <cfvo type="max"/>
        <color rgb="FFF8696B"/>
        <color rgb="FFFFEB84"/>
        <color rgb="FF63BE7B"/>
      </colorScale>
    </cfRule>
  </conditionalFormatting>
  <conditionalFormatting sqref="E10:E41">
    <cfRule type="colorScale" priority="33">
      <colorScale>
        <cfvo type="min"/>
        <cfvo type="percentile" val="50"/>
        <cfvo type="max"/>
        <color rgb="FFF8696B"/>
        <color rgb="FFFFEB84"/>
        <color rgb="FF63BE7B"/>
      </colorScale>
    </cfRule>
  </conditionalFormatting>
  <conditionalFormatting sqref="F10:F41">
    <cfRule type="colorScale" priority="32">
      <colorScale>
        <cfvo type="min"/>
        <cfvo type="percentile" val="50"/>
        <cfvo type="max"/>
        <color rgb="FFF8696B"/>
        <color rgb="FFFFEB84"/>
        <color rgb="FF63BE7B"/>
      </colorScale>
    </cfRule>
  </conditionalFormatting>
  <conditionalFormatting sqref="G10:G41">
    <cfRule type="colorScale" priority="27">
      <colorScale>
        <cfvo type="min"/>
        <cfvo type="percentile" val="50"/>
        <cfvo type="max"/>
        <color rgb="FF63BE7B"/>
        <color rgb="FFFFEB84"/>
        <color rgb="FFF8696B"/>
      </colorScale>
    </cfRule>
  </conditionalFormatting>
  <conditionalFormatting sqref="H10:H41">
    <cfRule type="colorScale" priority="31">
      <colorScale>
        <cfvo type="min"/>
        <cfvo type="percentile" val="50"/>
        <cfvo type="max"/>
        <color rgb="FFF8696B"/>
        <color rgb="FFFFEB84"/>
        <color rgb="FF63BE7B"/>
      </colorScale>
    </cfRule>
  </conditionalFormatting>
  <conditionalFormatting sqref="I10:I41">
    <cfRule type="colorScale" priority="26">
      <colorScale>
        <cfvo type="min"/>
        <cfvo type="percentile" val="50"/>
        <cfvo type="max"/>
        <color rgb="FF63BE7B"/>
        <color rgb="FFFFEB84"/>
        <color rgb="FFF8696B"/>
      </colorScale>
    </cfRule>
  </conditionalFormatting>
  <conditionalFormatting sqref="J10:J41">
    <cfRule type="colorScale" priority="30">
      <colorScale>
        <cfvo type="min"/>
        <cfvo type="percentile" val="50"/>
        <cfvo type="max"/>
        <color rgb="FFF8696B"/>
        <color rgb="FFFFEB84"/>
        <color rgb="FF63BE7B"/>
      </colorScale>
    </cfRule>
  </conditionalFormatting>
  <conditionalFormatting sqref="E9:E41">
    <cfRule type="colorScale" priority="28">
      <colorScale>
        <cfvo type="min"/>
        <cfvo type="percentile" val="50"/>
        <cfvo type="max"/>
        <color rgb="FF63BE7B"/>
        <color rgb="FFFFEB84"/>
        <color rgb="FFF8696B"/>
      </colorScale>
    </cfRule>
  </conditionalFormatting>
  <conditionalFormatting sqref="M10:M41">
    <cfRule type="colorScale" priority="24">
      <colorScale>
        <cfvo type="min"/>
        <cfvo type="percentile" val="50"/>
        <cfvo type="max"/>
        <color rgb="FFF8696B"/>
        <color rgb="FFFFEB84"/>
        <color rgb="FF63BE7B"/>
      </colorScale>
    </cfRule>
  </conditionalFormatting>
  <conditionalFormatting sqref="N10:N41">
    <cfRule type="colorScale" priority="23">
      <colorScale>
        <cfvo type="min"/>
        <cfvo type="percentile" val="50"/>
        <cfvo type="max"/>
        <color rgb="FFF8696B"/>
        <color rgb="FFFFEB84"/>
        <color rgb="FF63BE7B"/>
      </colorScale>
    </cfRule>
  </conditionalFormatting>
  <conditionalFormatting sqref="O10:O41">
    <cfRule type="colorScale" priority="22">
      <colorScale>
        <cfvo type="min"/>
        <cfvo type="percentile" val="50"/>
        <cfvo type="max"/>
        <color rgb="FFF8696B"/>
        <color rgb="FFFFEB84"/>
        <color rgb="FF63BE7B"/>
      </colorScale>
    </cfRule>
  </conditionalFormatting>
  <conditionalFormatting sqref="P10:P41">
    <cfRule type="colorScale" priority="21">
      <colorScale>
        <cfvo type="min"/>
        <cfvo type="percentile" val="50"/>
        <cfvo type="max"/>
        <color rgb="FFF8696B"/>
        <color rgb="FFFFEB84"/>
        <color rgb="FF63BE7B"/>
      </colorScale>
    </cfRule>
  </conditionalFormatting>
  <conditionalFormatting sqref="Q10:Q41">
    <cfRule type="colorScale" priority="20">
      <colorScale>
        <cfvo type="min"/>
        <cfvo type="percentile" val="50"/>
        <cfvo type="max"/>
        <color rgb="FF63BE7B"/>
        <color rgb="FFFFEB84"/>
        <color rgb="FFF8696B"/>
      </colorScale>
    </cfRule>
  </conditionalFormatting>
  <conditionalFormatting sqref="S10:S41">
    <cfRule type="colorScale" priority="19">
      <colorScale>
        <cfvo type="min"/>
        <cfvo type="percentile" val="50"/>
        <cfvo type="max"/>
        <color rgb="FFF8696B"/>
        <color rgb="FFFFEB84"/>
        <color rgb="FF63BE7B"/>
      </colorScale>
    </cfRule>
  </conditionalFormatting>
  <conditionalFormatting sqref="T10:T41">
    <cfRule type="colorScale" priority="18">
      <colorScale>
        <cfvo type="min"/>
        <cfvo type="percentile" val="50"/>
        <cfvo type="max"/>
        <color rgb="FFF8696B"/>
        <color rgb="FFFFEB84"/>
        <color rgb="FF63BE7B"/>
      </colorScale>
    </cfRule>
  </conditionalFormatting>
  <conditionalFormatting sqref="U10:U41">
    <cfRule type="colorScale" priority="17">
      <colorScale>
        <cfvo type="min"/>
        <cfvo type="percentile" val="50"/>
        <cfvo type="max"/>
        <color rgb="FFF8696B"/>
        <color rgb="FFFFEB84"/>
        <color rgb="FF63BE7B"/>
      </colorScale>
    </cfRule>
  </conditionalFormatting>
  <conditionalFormatting sqref="V10:V41">
    <cfRule type="colorScale" priority="16">
      <colorScale>
        <cfvo type="min"/>
        <cfvo type="percentile" val="50"/>
        <cfvo type="max"/>
        <color rgb="FFF8696B"/>
        <color rgb="FFFFEB84"/>
        <color rgb="FF63BE7B"/>
      </colorScale>
    </cfRule>
  </conditionalFormatting>
  <conditionalFormatting sqref="W10:W41">
    <cfRule type="colorScale" priority="15">
      <colorScale>
        <cfvo type="min"/>
        <cfvo type="percentile" val="50"/>
        <cfvo type="max"/>
        <color rgb="FFF8696B"/>
        <color rgb="FFFFEB84"/>
        <color rgb="FF63BE7B"/>
      </colorScale>
    </cfRule>
  </conditionalFormatting>
  <conditionalFormatting sqref="X10:X41">
    <cfRule type="colorScale" priority="14">
      <colorScale>
        <cfvo type="min"/>
        <cfvo type="percentile" val="50"/>
        <cfvo type="max"/>
        <color rgb="FFF8696B"/>
        <color rgb="FFFFEB84"/>
        <color rgb="FF63BE7B"/>
      </colorScale>
    </cfRule>
  </conditionalFormatting>
  <conditionalFormatting sqref="Y10:Y41">
    <cfRule type="colorScale" priority="13">
      <colorScale>
        <cfvo type="min"/>
        <cfvo type="percentile" val="50"/>
        <cfvo type="max"/>
        <color rgb="FFF8696B"/>
        <color rgb="FFFFEB84"/>
        <color rgb="FF63BE7B"/>
      </colorScale>
    </cfRule>
  </conditionalFormatting>
  <conditionalFormatting sqref="AA10:AA41">
    <cfRule type="colorScale" priority="12">
      <colorScale>
        <cfvo type="min"/>
        <cfvo type="percentile" val="50"/>
        <cfvo type="max"/>
        <color rgb="FFF8696B"/>
        <color rgb="FFFFEB84"/>
        <color rgb="FF63BE7B"/>
      </colorScale>
    </cfRule>
  </conditionalFormatting>
  <conditionalFormatting sqref="AB10:AB41">
    <cfRule type="colorScale" priority="11">
      <colorScale>
        <cfvo type="min"/>
        <cfvo type="percentile" val="50"/>
        <cfvo type="max"/>
        <color rgb="FFF8696B"/>
        <color rgb="FFFFEB84"/>
        <color rgb="FF63BE7B"/>
      </colorScale>
    </cfRule>
  </conditionalFormatting>
  <conditionalFormatting sqref="AC10:AC41">
    <cfRule type="colorScale" priority="10">
      <colorScale>
        <cfvo type="min"/>
        <cfvo type="percentile" val="50"/>
        <cfvo type="max"/>
        <color rgb="FFF8696B"/>
        <color rgb="FFFFEB84"/>
        <color rgb="FF63BE7B"/>
      </colorScale>
    </cfRule>
  </conditionalFormatting>
  <conditionalFormatting sqref="AD10:AD41">
    <cfRule type="colorScale" priority="9">
      <colorScale>
        <cfvo type="min"/>
        <cfvo type="percentile" val="50"/>
        <cfvo type="max"/>
        <color rgb="FFF8696B"/>
        <color rgb="FFFFEB84"/>
        <color rgb="FF63BE7B"/>
      </colorScale>
    </cfRule>
  </conditionalFormatting>
  <conditionalFormatting sqref="AF10:AF41">
    <cfRule type="colorScale" priority="8">
      <colorScale>
        <cfvo type="min"/>
        <cfvo type="percentile" val="50"/>
        <cfvo type="max"/>
        <color rgb="FFF8696B"/>
        <color rgb="FFFFEB84"/>
        <color rgb="FF63BE7B"/>
      </colorScale>
    </cfRule>
  </conditionalFormatting>
  <conditionalFormatting sqref="AG10:AG41">
    <cfRule type="colorScale" priority="7">
      <colorScale>
        <cfvo type="min"/>
        <cfvo type="percentile" val="50"/>
        <cfvo type="max"/>
        <color rgb="FFF8696B"/>
        <color rgb="FFFFEB84"/>
        <color rgb="FF63BE7B"/>
      </colorScale>
    </cfRule>
  </conditionalFormatting>
  <conditionalFormatting sqref="AH10:AH41">
    <cfRule type="colorScale" priority="6">
      <colorScale>
        <cfvo type="min"/>
        <cfvo type="percentile" val="50"/>
        <cfvo type="max"/>
        <color rgb="FFF8696B"/>
        <color rgb="FFFFEB84"/>
        <color rgb="FF63BE7B"/>
      </colorScale>
    </cfRule>
  </conditionalFormatting>
  <conditionalFormatting sqref="AI10:AI41">
    <cfRule type="colorScale" priority="5">
      <colorScale>
        <cfvo type="min"/>
        <cfvo type="percentile" val="50"/>
        <cfvo type="max"/>
        <color rgb="FFF8696B"/>
        <color rgb="FFFFEB84"/>
        <color rgb="FF63BE7B"/>
      </colorScale>
    </cfRule>
  </conditionalFormatting>
  <conditionalFormatting sqref="Y46:Y77">
    <cfRule type="colorScale" priority="1">
      <colorScale>
        <cfvo type="min"/>
        <cfvo type="percentile" val="50"/>
        <cfvo type="max"/>
        <color rgb="FF63BE7B"/>
        <color rgb="FFFFEB84"/>
        <color rgb="FFF8696B"/>
      </colorScale>
    </cfRule>
  </conditionalFormatting>
  <conditionalFormatting sqref="AA46:AA77">
    <cfRule type="colorScale" priority="4">
      <colorScale>
        <cfvo type="min"/>
        <cfvo type="percentile" val="50"/>
        <cfvo type="max"/>
        <color rgb="FF63BE7B"/>
        <color rgb="FFFFEB84"/>
        <color rgb="FFF8696B"/>
      </colorScale>
    </cfRule>
  </conditionalFormatting>
  <conditionalFormatting sqref="AB46:AB77">
    <cfRule type="colorScale" priority="3">
      <colorScale>
        <cfvo type="min"/>
        <cfvo type="percentile" val="50"/>
        <cfvo type="max"/>
        <color rgb="FFF8696B"/>
        <color rgb="FFFFEB84"/>
        <color rgb="FF63BE7B"/>
      </colorScale>
    </cfRule>
  </conditionalFormatting>
  <conditionalFormatting sqref="AC46:AC77">
    <cfRule type="colorScale" priority="2">
      <colorScale>
        <cfvo type="min"/>
        <cfvo type="percentile" val="50"/>
        <cfvo type="max"/>
        <color rgb="FF63BE7B"/>
        <color rgb="FFFFEB84"/>
        <color rgb="FFF8696B"/>
      </colorScale>
    </cfRule>
  </conditionalFormatting>
  <conditionalFormatting sqref="U46:U77">
    <cfRule type="colorScale" priority="53">
      <colorScale>
        <cfvo type="min"/>
        <cfvo type="percentile" val="50"/>
        <cfvo type="max"/>
        <color rgb="FFF8696B"/>
        <color rgb="FFFFEB84"/>
        <color rgb="FF63BE7B"/>
      </colorScale>
    </cfRule>
  </conditionalFormatting>
  <conditionalFormatting sqref="V46:V77">
    <cfRule type="colorScale" priority="54">
      <colorScale>
        <cfvo type="min"/>
        <cfvo type="percentile" val="50"/>
        <cfvo type="max"/>
        <color rgb="FFF8696B"/>
        <color rgb="FFFFEB84"/>
        <color rgb="FF63BE7B"/>
      </colorScale>
    </cfRule>
  </conditionalFormatting>
  <conditionalFormatting sqref="W46:W77">
    <cfRule type="colorScale" priority="55">
      <colorScale>
        <cfvo type="min"/>
        <cfvo type="percentile" val="50"/>
        <cfvo type="max"/>
        <color rgb="FFF8696B"/>
        <color rgb="FFFFEB84"/>
        <color rgb="FF63BE7B"/>
      </colorScale>
    </cfRule>
  </conditionalFormatting>
  <conditionalFormatting sqref="Z79:Z1048576 Y77 B9:B41">
    <cfRule type="colorScale" priority="808">
      <colorScale>
        <cfvo type="min"/>
        <cfvo type="percentile" val="50"/>
        <cfvo type="max"/>
        <color rgb="FF63BE7B"/>
        <color rgb="FFFFEB84"/>
        <color rgb="FFF8696B"/>
      </colorScale>
    </cfRule>
  </conditionalFormatting>
  <hyperlinks>
    <hyperlink ref="A5" r:id="rId1"/>
  </hyperlinks>
  <pageMargins left="0.7" right="0.7" top="0.75" bottom="0.75" header="0.3" footer="0.3"/>
  <drawing r:id="rId2"/>
  <tableParts count="10">
    <tablePart r:id="rId3"/>
    <tablePart r:id="rId4"/>
    <tablePart r:id="rId5"/>
    <tablePart r:id="rId6"/>
    <tablePart r:id="rId7"/>
    <tablePart r:id="rId8"/>
    <tablePart r:id="rId9"/>
    <tablePart r:id="rId10"/>
    <tablePart r:id="rId11"/>
    <tablePart r:id="rId1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workbookViewId="0">
      <selection activeCell="A2" sqref="A2"/>
    </sheetView>
  </sheetViews>
  <sheetFormatPr defaultRowHeight="14.4" x14ac:dyDescent="0.3"/>
  <cols>
    <col min="1" max="1" width="10.21875" bestFit="1" customWidth="1"/>
    <col min="2" max="2" width="9.77734375" bestFit="1" customWidth="1"/>
    <col min="3" max="3" width="13.44140625" bestFit="1" customWidth="1"/>
    <col min="4" max="5" width="12.5546875" bestFit="1" customWidth="1"/>
    <col min="6" max="6" width="14.88671875" bestFit="1" customWidth="1"/>
    <col min="7" max="7" width="19.77734375" bestFit="1" customWidth="1"/>
    <col min="8" max="8" width="27.44140625" bestFit="1" customWidth="1"/>
    <col min="9" max="9" width="19.21875" bestFit="1" customWidth="1"/>
  </cols>
  <sheetData>
    <row r="1" spans="1:9" x14ac:dyDescent="0.3">
      <c r="A1" s="312" t="s">
        <v>1595</v>
      </c>
      <c r="B1" s="312" t="s">
        <v>387</v>
      </c>
      <c r="C1" s="312" t="s">
        <v>1767</v>
      </c>
      <c r="D1" s="312" t="s">
        <v>2</v>
      </c>
      <c r="E1" s="312" t="s">
        <v>1347</v>
      </c>
      <c r="F1" s="312" t="s">
        <v>1596</v>
      </c>
      <c r="G1" s="312" t="s">
        <v>1597</v>
      </c>
      <c r="H1" s="312" t="s">
        <v>1598</v>
      </c>
      <c r="I1" s="336" t="s">
        <v>1543</v>
      </c>
    </row>
    <row r="2" spans="1:9" x14ac:dyDescent="0.3">
      <c r="A2" s="322">
        <v>0.85069444444444453</v>
      </c>
      <c r="B2" s="323" t="s">
        <v>10</v>
      </c>
      <c r="C2" s="323" t="s">
        <v>1744</v>
      </c>
      <c r="D2" s="323" t="s">
        <v>34</v>
      </c>
      <c r="E2" s="323">
        <v>1</v>
      </c>
      <c r="F2" s="324">
        <v>40</v>
      </c>
      <c r="G2" s="323">
        <v>19.5</v>
      </c>
      <c r="H2" s="323"/>
      <c r="I2" s="334" t="s">
        <v>1599</v>
      </c>
    </row>
    <row r="3" spans="1:9" x14ac:dyDescent="0.3">
      <c r="A3" s="325" t="s">
        <v>1745</v>
      </c>
      <c r="B3" s="326" t="s">
        <v>34</v>
      </c>
      <c r="C3" s="326" t="s">
        <v>1746</v>
      </c>
      <c r="D3" s="326" t="s">
        <v>10</v>
      </c>
      <c r="E3" s="326">
        <v>-1</v>
      </c>
      <c r="F3" s="324">
        <v>40</v>
      </c>
      <c r="G3" s="326">
        <v>20.5</v>
      </c>
      <c r="H3" s="326"/>
      <c r="I3" s="334" t="s">
        <v>1604</v>
      </c>
    </row>
    <row r="4" spans="1:9" x14ac:dyDescent="0.3">
      <c r="A4" s="327" t="s">
        <v>1600</v>
      </c>
      <c r="B4" s="323" t="s">
        <v>22</v>
      </c>
      <c r="C4" s="323" t="s">
        <v>1744</v>
      </c>
      <c r="D4" s="323" t="s">
        <v>398</v>
      </c>
      <c r="E4" s="323">
        <v>-13.5</v>
      </c>
      <c r="F4" s="324">
        <v>45.5</v>
      </c>
      <c r="G4" s="323">
        <v>29.5</v>
      </c>
      <c r="H4" s="323"/>
      <c r="I4" s="334" t="s">
        <v>1603</v>
      </c>
    </row>
    <row r="5" spans="1:9" x14ac:dyDescent="0.3">
      <c r="A5" s="328">
        <v>0.54166666666666663</v>
      </c>
      <c r="B5" s="326" t="s">
        <v>398</v>
      </c>
      <c r="C5" s="326" t="s">
        <v>1746</v>
      </c>
      <c r="D5" s="326" t="s">
        <v>22</v>
      </c>
      <c r="E5" s="326">
        <v>13.5</v>
      </c>
      <c r="F5" s="324">
        <v>45.5</v>
      </c>
      <c r="G5" s="326">
        <v>16</v>
      </c>
      <c r="H5" s="326"/>
      <c r="I5" s="334" t="s">
        <v>1603</v>
      </c>
    </row>
    <row r="6" spans="1:9" x14ac:dyDescent="0.3">
      <c r="A6" s="322">
        <v>0.54166666666666663</v>
      </c>
      <c r="B6" s="323" t="s">
        <v>18</v>
      </c>
      <c r="C6" s="323" t="s">
        <v>1744</v>
      </c>
      <c r="D6" s="323" t="s">
        <v>52</v>
      </c>
      <c r="E6" s="323">
        <v>-2.5</v>
      </c>
      <c r="F6" s="324">
        <v>45</v>
      </c>
      <c r="G6" s="323">
        <v>23.75</v>
      </c>
      <c r="H6" s="323"/>
      <c r="I6" s="334" t="s">
        <v>1603</v>
      </c>
    </row>
    <row r="7" spans="1:9" x14ac:dyDescent="0.3">
      <c r="A7" s="328">
        <v>0.54166666666666663</v>
      </c>
      <c r="B7" s="326" t="s">
        <v>52</v>
      </c>
      <c r="C7" s="326" t="s">
        <v>1746</v>
      </c>
      <c r="D7" s="326" t="s">
        <v>18</v>
      </c>
      <c r="E7" s="326">
        <v>2.5</v>
      </c>
      <c r="F7" s="324">
        <v>45</v>
      </c>
      <c r="G7" s="326">
        <v>21.25</v>
      </c>
      <c r="H7" s="326"/>
      <c r="I7" s="334" t="s">
        <v>1603</v>
      </c>
    </row>
    <row r="8" spans="1:9" x14ac:dyDescent="0.3">
      <c r="A8" s="322">
        <v>0.54166666666666663</v>
      </c>
      <c r="B8" s="323" t="s">
        <v>402</v>
      </c>
      <c r="C8" s="323" t="s">
        <v>1744</v>
      </c>
      <c r="D8" s="323" t="s">
        <v>57</v>
      </c>
      <c r="E8" s="323">
        <v>-6.5</v>
      </c>
      <c r="F8" s="324">
        <v>41.5</v>
      </c>
      <c r="G8" s="323">
        <v>24</v>
      </c>
      <c r="H8" s="323"/>
      <c r="I8" s="334" t="s">
        <v>1603</v>
      </c>
    </row>
    <row r="9" spans="1:9" x14ac:dyDescent="0.3">
      <c r="A9" s="328">
        <v>0.54166666666666663</v>
      </c>
      <c r="B9" s="326" t="s">
        <v>57</v>
      </c>
      <c r="C9" s="326" t="s">
        <v>1746</v>
      </c>
      <c r="D9" s="326" t="s">
        <v>402</v>
      </c>
      <c r="E9" s="326">
        <v>6.5</v>
      </c>
      <c r="F9" s="324">
        <v>41.5</v>
      </c>
      <c r="G9" s="326">
        <v>17.5</v>
      </c>
      <c r="H9" s="326"/>
      <c r="I9" s="334" t="s">
        <v>1603</v>
      </c>
    </row>
    <row r="10" spans="1:9" x14ac:dyDescent="0.3">
      <c r="A10" s="322">
        <v>0.54166666666666663</v>
      </c>
      <c r="B10" s="323" t="s">
        <v>37</v>
      </c>
      <c r="C10" s="323" t="s">
        <v>1744</v>
      </c>
      <c r="D10" s="323" t="s">
        <v>404</v>
      </c>
      <c r="E10" s="323">
        <v>-4.5</v>
      </c>
      <c r="F10" s="329">
        <v>52.5</v>
      </c>
      <c r="G10" s="323">
        <v>28.5</v>
      </c>
      <c r="H10" s="323"/>
      <c r="I10" s="334" t="s">
        <v>1603</v>
      </c>
    </row>
    <row r="11" spans="1:9" x14ac:dyDescent="0.3">
      <c r="A11" s="328">
        <v>0.54166666666666663</v>
      </c>
      <c r="B11" s="326" t="s">
        <v>404</v>
      </c>
      <c r="C11" s="326" t="s">
        <v>1746</v>
      </c>
      <c r="D11" s="326" t="s">
        <v>37</v>
      </c>
      <c r="E11" s="326">
        <v>4.5</v>
      </c>
      <c r="F11" s="329">
        <v>52.5</v>
      </c>
      <c r="G11" s="326">
        <v>24</v>
      </c>
      <c r="H11" s="326"/>
      <c r="I11" s="334" t="s">
        <v>1603</v>
      </c>
    </row>
    <row r="12" spans="1:9" x14ac:dyDescent="0.3">
      <c r="A12" s="322">
        <v>0.54166666666666663</v>
      </c>
      <c r="B12" s="323" t="s">
        <v>14</v>
      </c>
      <c r="C12" s="323" t="s">
        <v>1744</v>
      </c>
      <c r="D12" s="323" t="s">
        <v>32</v>
      </c>
      <c r="E12" s="323">
        <v>7</v>
      </c>
      <c r="F12" s="324">
        <v>42.5</v>
      </c>
      <c r="G12" s="323">
        <v>17.75</v>
      </c>
      <c r="H12" s="323"/>
      <c r="I12" s="334" t="s">
        <v>1603</v>
      </c>
    </row>
    <row r="13" spans="1:9" x14ac:dyDescent="0.3">
      <c r="A13" s="328">
        <v>0.54166666666666663</v>
      </c>
      <c r="B13" s="326" t="s">
        <v>32</v>
      </c>
      <c r="C13" s="326" t="s">
        <v>1746</v>
      </c>
      <c r="D13" s="326" t="s">
        <v>14</v>
      </c>
      <c r="E13" s="326">
        <v>-7</v>
      </c>
      <c r="F13" s="324">
        <v>42.5</v>
      </c>
      <c r="G13" s="326">
        <v>24.75</v>
      </c>
      <c r="H13" s="326"/>
      <c r="I13" s="334" t="s">
        <v>1603</v>
      </c>
    </row>
    <row r="14" spans="1:9" x14ac:dyDescent="0.3">
      <c r="A14" s="322">
        <v>0.54166666666666663</v>
      </c>
      <c r="B14" s="323" t="s">
        <v>26</v>
      </c>
      <c r="C14" s="323" t="s">
        <v>1744</v>
      </c>
      <c r="D14" s="323" t="s">
        <v>30</v>
      </c>
      <c r="E14" s="323">
        <v>-5.5</v>
      </c>
      <c r="F14" s="329">
        <v>47.5</v>
      </c>
      <c r="G14" s="323">
        <v>26.5</v>
      </c>
      <c r="H14" s="323"/>
      <c r="I14" s="334" t="s">
        <v>1601</v>
      </c>
    </row>
    <row r="15" spans="1:9" x14ac:dyDescent="0.3">
      <c r="A15" s="325" t="s">
        <v>1600</v>
      </c>
      <c r="B15" s="326" t="s">
        <v>30</v>
      </c>
      <c r="C15" s="326" t="s">
        <v>1746</v>
      </c>
      <c r="D15" s="326" t="s">
        <v>26</v>
      </c>
      <c r="E15" s="326">
        <v>5.5</v>
      </c>
      <c r="F15" s="329">
        <v>47.5</v>
      </c>
      <c r="G15" s="326">
        <v>21</v>
      </c>
      <c r="H15" s="326"/>
      <c r="I15" s="334" t="s">
        <v>1601</v>
      </c>
    </row>
    <row r="16" spans="1:9" x14ac:dyDescent="0.3">
      <c r="A16" s="327" t="s">
        <v>1600</v>
      </c>
      <c r="B16" s="323" t="s">
        <v>43</v>
      </c>
      <c r="C16" s="323" t="s">
        <v>1744</v>
      </c>
      <c r="D16" s="323" t="s">
        <v>397</v>
      </c>
      <c r="E16" s="323">
        <v>-2.5</v>
      </c>
      <c r="F16" s="324">
        <v>43</v>
      </c>
      <c r="G16" s="323">
        <v>22.75</v>
      </c>
      <c r="H16" s="323"/>
      <c r="I16" s="334" t="s">
        <v>1602</v>
      </c>
    </row>
    <row r="17" spans="1:9" x14ac:dyDescent="0.3">
      <c r="A17" s="325" t="s">
        <v>1600</v>
      </c>
      <c r="B17" s="326" t="s">
        <v>397</v>
      </c>
      <c r="C17" s="326" t="s">
        <v>1746</v>
      </c>
      <c r="D17" s="326" t="s">
        <v>43</v>
      </c>
      <c r="E17" s="326">
        <v>2.5</v>
      </c>
      <c r="F17" s="324">
        <v>43</v>
      </c>
      <c r="G17" s="326">
        <v>20.25</v>
      </c>
      <c r="H17" s="326"/>
      <c r="I17" s="334" t="s">
        <v>1602</v>
      </c>
    </row>
    <row r="18" spans="1:9" x14ac:dyDescent="0.3">
      <c r="A18" s="327" t="s">
        <v>1600</v>
      </c>
      <c r="B18" s="323" t="s">
        <v>20</v>
      </c>
      <c r="C18" s="323" t="s">
        <v>1744</v>
      </c>
      <c r="D18" s="323" t="s">
        <v>28</v>
      </c>
      <c r="E18" s="323">
        <v>-3</v>
      </c>
      <c r="F18" s="329">
        <v>48.5</v>
      </c>
      <c r="G18" s="323">
        <v>25.75</v>
      </c>
      <c r="H18" s="323"/>
      <c r="I18" s="334" t="s">
        <v>1603</v>
      </c>
    </row>
    <row r="19" spans="1:9" x14ac:dyDescent="0.3">
      <c r="A19" s="328">
        <v>0.54166666666666663</v>
      </c>
      <c r="B19" s="326" t="s">
        <v>28</v>
      </c>
      <c r="C19" s="326" t="s">
        <v>1746</v>
      </c>
      <c r="D19" s="326" t="s">
        <v>20</v>
      </c>
      <c r="E19" s="326">
        <v>3</v>
      </c>
      <c r="F19" s="329">
        <v>48.5</v>
      </c>
      <c r="G19" s="326">
        <v>22.75</v>
      </c>
      <c r="H19" s="326"/>
      <c r="I19" s="334" t="s">
        <v>1603</v>
      </c>
    </row>
    <row r="20" spans="1:9" x14ac:dyDescent="0.3">
      <c r="A20" s="322">
        <v>0.67013888888888884</v>
      </c>
      <c r="B20" s="323" t="s">
        <v>24</v>
      </c>
      <c r="C20" s="323" t="s">
        <v>1744</v>
      </c>
      <c r="D20" s="323" t="s">
        <v>401</v>
      </c>
      <c r="E20" s="323">
        <v>-6.5</v>
      </c>
      <c r="F20" s="329">
        <v>50</v>
      </c>
      <c r="G20" s="323">
        <v>28.25</v>
      </c>
      <c r="H20" s="323"/>
      <c r="I20" s="334" t="s">
        <v>1603</v>
      </c>
    </row>
    <row r="21" spans="1:9" x14ac:dyDescent="0.3">
      <c r="A21" s="328">
        <v>0.67013888888888884</v>
      </c>
      <c r="B21" s="326" t="s">
        <v>401</v>
      </c>
      <c r="C21" s="326" t="s">
        <v>1746</v>
      </c>
      <c r="D21" s="326" t="s">
        <v>24</v>
      </c>
      <c r="E21" s="326">
        <v>6.5</v>
      </c>
      <c r="F21" s="329">
        <v>50</v>
      </c>
      <c r="G21" s="326">
        <v>21.75</v>
      </c>
      <c r="H21" s="326"/>
      <c r="I21" s="334" t="s">
        <v>1603</v>
      </c>
    </row>
    <row r="22" spans="1:9" x14ac:dyDescent="0.3">
      <c r="A22" s="322">
        <v>0.67013888888888884</v>
      </c>
      <c r="B22" s="323" t="s">
        <v>409</v>
      </c>
      <c r="C22" s="323" t="s">
        <v>1744</v>
      </c>
      <c r="D22" s="323" t="s">
        <v>7</v>
      </c>
      <c r="E22" s="323" t="s">
        <v>1747</v>
      </c>
      <c r="F22" s="324">
        <v>39.5</v>
      </c>
      <c r="G22" s="323">
        <v>10</v>
      </c>
      <c r="H22" s="323"/>
      <c r="I22" s="330" t="s">
        <v>1748</v>
      </c>
    </row>
    <row r="23" spans="1:9" x14ac:dyDescent="0.3">
      <c r="A23" s="328">
        <v>0.67013888888888884</v>
      </c>
      <c r="B23" s="326" t="s">
        <v>7</v>
      </c>
      <c r="C23" s="326" t="s">
        <v>1746</v>
      </c>
      <c r="D23" s="326" t="s">
        <v>1749</v>
      </c>
      <c r="E23" s="326" t="s">
        <v>1747</v>
      </c>
      <c r="F23" s="324">
        <v>39.5</v>
      </c>
      <c r="G23" s="326">
        <v>29.5</v>
      </c>
      <c r="H23" s="326"/>
      <c r="I23" s="330" t="s">
        <v>1748</v>
      </c>
    </row>
    <row r="24" spans="1:9" x14ac:dyDescent="0.3">
      <c r="A24" s="322">
        <v>0.68402777777777779</v>
      </c>
      <c r="B24" s="323" t="s">
        <v>407</v>
      </c>
      <c r="C24" s="323" t="s">
        <v>1744</v>
      </c>
      <c r="D24" s="323" t="s">
        <v>561</v>
      </c>
      <c r="E24" s="323">
        <v>-3</v>
      </c>
      <c r="F24" s="329">
        <v>47</v>
      </c>
      <c r="G24" s="323">
        <v>25</v>
      </c>
      <c r="H24" s="323"/>
      <c r="I24" s="334" t="s">
        <v>1603</v>
      </c>
    </row>
    <row r="25" spans="1:9" x14ac:dyDescent="0.3">
      <c r="A25" s="328">
        <v>0.68402777777777779</v>
      </c>
      <c r="B25" s="326" t="s">
        <v>561</v>
      </c>
      <c r="C25" s="326" t="s">
        <v>1746</v>
      </c>
      <c r="D25" s="326" t="s">
        <v>407</v>
      </c>
      <c r="E25" s="326">
        <v>3</v>
      </c>
      <c r="F25" s="329">
        <v>47</v>
      </c>
      <c r="G25" s="326">
        <v>22</v>
      </c>
      <c r="H25" s="326"/>
      <c r="I25" s="334" t="s">
        <v>1603</v>
      </c>
    </row>
    <row r="26" spans="1:9" x14ac:dyDescent="0.3">
      <c r="A26" s="322">
        <v>0.68402777777777779</v>
      </c>
      <c r="B26" s="323" t="s">
        <v>70</v>
      </c>
      <c r="C26" s="323" t="s">
        <v>1744</v>
      </c>
      <c r="D26" s="323" t="s">
        <v>16</v>
      </c>
      <c r="E26" s="323">
        <v>-6</v>
      </c>
      <c r="F26" s="324">
        <v>46</v>
      </c>
      <c r="G26" s="323">
        <v>26</v>
      </c>
      <c r="H26" s="323"/>
      <c r="I26" s="334" t="s">
        <v>1604</v>
      </c>
    </row>
    <row r="27" spans="1:9" x14ac:dyDescent="0.3">
      <c r="A27" s="325" t="s">
        <v>1605</v>
      </c>
      <c r="B27" s="326" t="s">
        <v>16</v>
      </c>
      <c r="C27" s="326" t="s">
        <v>1746</v>
      </c>
      <c r="D27" s="326" t="s">
        <v>70</v>
      </c>
      <c r="E27" s="326">
        <v>6</v>
      </c>
      <c r="F27" s="324">
        <v>46</v>
      </c>
      <c r="G27" s="326">
        <v>20</v>
      </c>
      <c r="H27" s="326"/>
      <c r="I27" s="334" t="s">
        <v>1604</v>
      </c>
    </row>
    <row r="28" spans="1:9" x14ac:dyDescent="0.3">
      <c r="A28" s="327" t="s">
        <v>1605</v>
      </c>
      <c r="B28" s="323" t="s">
        <v>4</v>
      </c>
      <c r="C28" s="323" t="s">
        <v>1744</v>
      </c>
      <c r="D28" s="323" t="s">
        <v>50</v>
      </c>
      <c r="E28" s="323">
        <v>-4.5</v>
      </c>
      <c r="F28" s="329">
        <v>49.5</v>
      </c>
      <c r="G28" s="323">
        <v>27</v>
      </c>
      <c r="H28" s="323"/>
      <c r="I28" s="334" t="s">
        <v>1603</v>
      </c>
    </row>
    <row r="29" spans="1:9" x14ac:dyDescent="0.3">
      <c r="A29" s="328">
        <v>0.68402777777777779</v>
      </c>
      <c r="B29" s="326" t="s">
        <v>50</v>
      </c>
      <c r="C29" s="326" t="s">
        <v>1746</v>
      </c>
      <c r="D29" s="326" t="s">
        <v>4</v>
      </c>
      <c r="E29" s="326">
        <v>4.5</v>
      </c>
      <c r="F29" s="329">
        <v>49.5</v>
      </c>
      <c r="G29" s="326">
        <v>22.5</v>
      </c>
      <c r="H29" s="326"/>
      <c r="I29" s="334" t="s">
        <v>1603</v>
      </c>
    </row>
    <row r="30" spans="1:9" x14ac:dyDescent="0.3">
      <c r="A30" s="322">
        <v>0.85416666666666663</v>
      </c>
      <c r="B30" s="323" t="s">
        <v>41</v>
      </c>
      <c r="C30" s="323" t="s">
        <v>1744</v>
      </c>
      <c r="D30" s="323" t="s">
        <v>395</v>
      </c>
      <c r="E30" s="323">
        <v>2</v>
      </c>
      <c r="F30" s="324">
        <v>44</v>
      </c>
      <c r="G30" s="323">
        <v>21</v>
      </c>
      <c r="H30" s="323"/>
      <c r="I30" s="334" t="s">
        <v>1603</v>
      </c>
    </row>
    <row r="31" spans="1:9" x14ac:dyDescent="0.3">
      <c r="A31" s="328">
        <v>0.85416666666666663</v>
      </c>
      <c r="B31" s="326" t="s">
        <v>395</v>
      </c>
      <c r="C31" s="326" t="s">
        <v>1746</v>
      </c>
      <c r="D31" s="326" t="s">
        <v>41</v>
      </c>
      <c r="E31" s="326">
        <v>-2</v>
      </c>
      <c r="F31" s="324">
        <v>44</v>
      </c>
      <c r="G31" s="326">
        <v>23</v>
      </c>
      <c r="H31" s="326"/>
      <c r="I31" s="334" t="s">
        <v>1603</v>
      </c>
    </row>
    <row r="32" spans="1:9" x14ac:dyDescent="0.3">
      <c r="A32" s="322">
        <v>0.85416666666666663</v>
      </c>
      <c r="B32" s="323" t="s">
        <v>46</v>
      </c>
      <c r="C32" s="323" t="s">
        <v>1744</v>
      </c>
      <c r="D32" s="323" t="s">
        <v>39</v>
      </c>
      <c r="E32" s="323">
        <v>-3</v>
      </c>
      <c r="F32" s="324">
        <v>42.5</v>
      </c>
      <c r="G32" s="323">
        <v>22.75</v>
      </c>
      <c r="H32" s="323"/>
      <c r="I32" s="334" t="s">
        <v>1603</v>
      </c>
    </row>
    <row r="33" spans="1:9" ht="15" thickBot="1" x14ac:dyDescent="0.35">
      <c r="A33" s="331">
        <v>0.85416666666666663</v>
      </c>
      <c r="B33" s="332" t="s">
        <v>39</v>
      </c>
      <c r="C33" s="332" t="s">
        <v>1746</v>
      </c>
      <c r="D33" s="332" t="s">
        <v>46</v>
      </c>
      <c r="E33" s="332">
        <v>3</v>
      </c>
      <c r="F33" s="333">
        <v>42.5</v>
      </c>
      <c r="G33" s="332">
        <v>19.75</v>
      </c>
      <c r="H33" s="332"/>
      <c r="I33" s="335" t="s">
        <v>1603</v>
      </c>
    </row>
  </sheetData>
  <hyperlinks>
    <hyperlink ref="I2" r:id="rId1" display="https://rotogrinders.com/schedules/nfl"/>
    <hyperlink ref="I3" r:id="rId2" display="https://rotogrinders.com/schedules/nfl"/>
    <hyperlink ref="I4" r:id="rId3" display="https://rotogrinders.com/schedules/nfl"/>
    <hyperlink ref="I5" r:id="rId4" display="https://rotogrinders.com/schedules/nfl"/>
    <hyperlink ref="I6" r:id="rId5" display="https://rotogrinders.com/schedules/nfl"/>
    <hyperlink ref="I7" r:id="rId6" display="https://rotogrinders.com/schedules/nfl"/>
    <hyperlink ref="I8" r:id="rId7" display="https://rotogrinders.com/schedules/nfl"/>
    <hyperlink ref="I9" r:id="rId8" display="https://rotogrinders.com/schedules/nfl"/>
    <hyperlink ref="I10" r:id="rId9" display="https://rotogrinders.com/schedules/nfl"/>
    <hyperlink ref="I11" r:id="rId10" display="https://rotogrinders.com/schedules/nfl"/>
    <hyperlink ref="I12" r:id="rId11" display="https://rotogrinders.com/schedules/nfl"/>
    <hyperlink ref="I13" r:id="rId12" display="https://rotogrinders.com/schedules/nfl"/>
    <hyperlink ref="I14" r:id="rId13" display="https://rotogrinders.com/schedules/nfl"/>
    <hyperlink ref="I15" r:id="rId14" display="https://rotogrinders.com/schedules/nfl"/>
    <hyperlink ref="I16" r:id="rId15" display="https://rotogrinders.com/schedules/nfl"/>
    <hyperlink ref="I17" r:id="rId16" display="https://rotogrinders.com/schedules/nfl"/>
    <hyperlink ref="I18" r:id="rId17" display="https://rotogrinders.com/schedules/nfl"/>
    <hyperlink ref="I19" r:id="rId18" display="https://rotogrinders.com/schedules/nfl"/>
    <hyperlink ref="I20" r:id="rId19" display="https://rotogrinders.com/schedules/nfl"/>
    <hyperlink ref="I21" r:id="rId20" display="https://rotogrinders.com/schedules/nfl"/>
    <hyperlink ref="I24" r:id="rId21" display="https://rotogrinders.com/schedules/nfl"/>
    <hyperlink ref="I25" r:id="rId22" display="https://rotogrinders.com/schedules/nfl"/>
    <hyperlink ref="I26" r:id="rId23" display="https://rotogrinders.com/schedules/nfl"/>
    <hyperlink ref="I27" r:id="rId24" display="https://rotogrinders.com/schedules/nfl"/>
    <hyperlink ref="I28" r:id="rId25" display="https://rotogrinders.com/schedules/nfl"/>
    <hyperlink ref="I29" r:id="rId26" display="https://rotogrinders.com/schedules/nfl"/>
    <hyperlink ref="I30" r:id="rId27" display="https://rotogrinders.com/schedules/nfl"/>
    <hyperlink ref="I31" r:id="rId28" display="https://rotogrinders.com/schedules/nfl"/>
    <hyperlink ref="I32" r:id="rId29" display="https://rotogrinders.com/schedules/nfl"/>
    <hyperlink ref="I33" r:id="rId30" display="https://rotogrinders.com/schedules/nfl"/>
  </hyperlinks>
  <pageMargins left="0.7" right="0.7" top="0.75" bottom="0.75" header="0.3" footer="0.3"/>
  <tableParts count="1">
    <tablePart r:id="rId3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V178"/>
  <sheetViews>
    <sheetView topLeftCell="A37" zoomScale="85" zoomScaleNormal="85" workbookViewId="0">
      <selection activeCell="A53" sqref="A53"/>
    </sheetView>
  </sheetViews>
  <sheetFormatPr defaultColWidth="8.88671875" defaultRowHeight="14.4" x14ac:dyDescent="0.3"/>
  <cols>
    <col min="1" max="1" width="20" style="4" bestFit="1" customWidth="1"/>
    <col min="2" max="2" width="7.88671875" style="4" bestFit="1" customWidth="1"/>
    <col min="3" max="3" width="8.5546875" style="4" bestFit="1" customWidth="1"/>
    <col min="4" max="5" width="8.21875" style="4" bestFit="1" customWidth="1"/>
    <col min="6" max="6" width="8.109375" style="4" bestFit="1" customWidth="1"/>
    <col min="7" max="7" width="8.21875" style="4" bestFit="1" customWidth="1"/>
    <col min="8" max="8" width="9.21875" style="4" bestFit="1" customWidth="1"/>
    <col min="9" max="9" width="9" style="4" bestFit="1" customWidth="1"/>
    <col min="10" max="10" width="9.109375" style="4" bestFit="1" customWidth="1"/>
    <col min="11" max="11" width="9.21875" style="4" bestFit="1" customWidth="1"/>
    <col min="12" max="12" width="9" style="4" bestFit="1" customWidth="1"/>
    <col min="13" max="13" width="9.109375" style="4" bestFit="1" customWidth="1"/>
    <col min="14" max="14" width="7.21875" style="4" bestFit="1" customWidth="1"/>
    <col min="15" max="15" width="9.77734375" style="4" bestFit="1" customWidth="1"/>
    <col min="16" max="16" width="8.5546875" style="4" bestFit="1" customWidth="1"/>
    <col min="17" max="17" width="7.21875" style="4" bestFit="1" customWidth="1"/>
    <col min="18" max="18" width="6.77734375" style="4" bestFit="1" customWidth="1"/>
    <col min="19" max="19" width="7" style="4" bestFit="1" customWidth="1"/>
    <col min="20" max="20" width="12.5546875" style="4" customWidth="1"/>
    <col min="21" max="16384" width="8.88671875" style="4"/>
  </cols>
  <sheetData>
    <row r="1" spans="1:21" ht="15" thickBot="1" x14ac:dyDescent="0.35">
      <c r="A1" s="618" t="s">
        <v>1296</v>
      </c>
      <c r="B1" s="619"/>
      <c r="H1" s="620" t="s">
        <v>1297</v>
      </c>
      <c r="I1" s="621"/>
      <c r="J1" s="622"/>
      <c r="K1" s="620" t="s">
        <v>1298</v>
      </c>
      <c r="L1" s="621"/>
      <c r="M1" s="622"/>
    </row>
    <row r="2" spans="1:21" ht="15" thickBot="1" x14ac:dyDescent="0.35">
      <c r="A2" s="4" t="s">
        <v>387</v>
      </c>
      <c r="B2" s="4" t="s">
        <v>863</v>
      </c>
      <c r="C2" s="108" t="s">
        <v>1299</v>
      </c>
      <c r="D2" s="108" t="s">
        <v>1300</v>
      </c>
      <c r="E2" s="108" t="s">
        <v>1301</v>
      </c>
      <c r="F2" s="108" t="s">
        <v>1302</v>
      </c>
      <c r="G2" s="108" t="s">
        <v>1303</v>
      </c>
      <c r="H2" s="108" t="s">
        <v>1304</v>
      </c>
      <c r="I2" s="108" t="s">
        <v>1305</v>
      </c>
      <c r="J2" s="108" t="s">
        <v>1306</v>
      </c>
      <c r="K2" s="108" t="s">
        <v>1307</v>
      </c>
      <c r="L2" s="108" t="s">
        <v>1308</v>
      </c>
      <c r="M2" s="108" t="s">
        <v>1309</v>
      </c>
      <c r="N2" s="108" t="s">
        <v>1310</v>
      </c>
      <c r="O2" s="108" t="s">
        <v>1311</v>
      </c>
      <c r="P2" s="108" t="s">
        <v>1312</v>
      </c>
      <c r="Q2" s="108" t="s">
        <v>1313</v>
      </c>
      <c r="R2" s="108" t="s">
        <v>1314</v>
      </c>
      <c r="S2" s="108" t="s">
        <v>1315</v>
      </c>
      <c r="T2" s="108" t="s">
        <v>1256</v>
      </c>
      <c r="U2" s="108" t="s">
        <v>0</v>
      </c>
    </row>
    <row r="3" spans="1:21" x14ac:dyDescent="0.3">
      <c r="A3" s="59" t="s">
        <v>24</v>
      </c>
      <c r="B3" s="59">
        <v>1</v>
      </c>
      <c r="C3" s="59">
        <v>30.6</v>
      </c>
      <c r="D3" s="59">
        <v>489</v>
      </c>
      <c r="E3" s="109">
        <v>1041</v>
      </c>
      <c r="F3" s="59">
        <v>408.3</v>
      </c>
      <c r="G3" s="59">
        <v>6.3</v>
      </c>
      <c r="H3" s="110">
        <v>23.3</v>
      </c>
      <c r="I3" s="111">
        <v>93</v>
      </c>
      <c r="J3" s="112">
        <v>198</v>
      </c>
      <c r="K3" s="113">
        <v>47</v>
      </c>
      <c r="L3" s="111">
        <v>4</v>
      </c>
      <c r="M3" s="112">
        <v>9</v>
      </c>
      <c r="N3" s="113">
        <v>44</v>
      </c>
      <c r="O3" s="114">
        <v>94</v>
      </c>
      <c r="P3" s="59">
        <v>758</v>
      </c>
      <c r="Q3" s="115">
        <v>1.3361111111111112</v>
      </c>
      <c r="R3" s="59">
        <v>23</v>
      </c>
      <c r="S3" s="59">
        <v>11</v>
      </c>
      <c r="T3" s="59">
        <v>9</v>
      </c>
      <c r="U3" s="391" t="s">
        <v>2295</v>
      </c>
    </row>
    <row r="4" spans="1:21" x14ac:dyDescent="0.3">
      <c r="A4" s="59" t="s">
        <v>50</v>
      </c>
      <c r="B4" s="59">
        <v>7</v>
      </c>
      <c r="C4" s="59">
        <v>21.2</v>
      </c>
      <c r="D4" s="59">
        <v>339</v>
      </c>
      <c r="E4" s="109">
        <v>1073</v>
      </c>
      <c r="F4" s="59">
        <v>374.1</v>
      </c>
      <c r="G4" s="59">
        <v>5.6</v>
      </c>
      <c r="H4" s="110">
        <v>22.4</v>
      </c>
      <c r="I4" s="116">
        <v>107</v>
      </c>
      <c r="J4" s="59">
        <v>227</v>
      </c>
      <c r="K4" s="117">
        <v>47</v>
      </c>
      <c r="L4" s="116">
        <v>10</v>
      </c>
      <c r="M4" s="59">
        <v>19</v>
      </c>
      <c r="N4" s="117">
        <v>53</v>
      </c>
      <c r="O4" s="114">
        <v>100</v>
      </c>
      <c r="P4" s="59">
        <v>969</v>
      </c>
      <c r="Q4" s="115">
        <v>1.3472222222222223</v>
      </c>
      <c r="R4" s="59">
        <v>26</v>
      </c>
      <c r="S4" s="59">
        <v>13</v>
      </c>
      <c r="T4" s="59">
        <v>-7</v>
      </c>
      <c r="U4" s="59" t="s">
        <v>2296</v>
      </c>
    </row>
    <row r="5" spans="1:21" x14ac:dyDescent="0.3">
      <c r="A5" s="59" t="s">
        <v>32</v>
      </c>
      <c r="B5" s="59">
        <v>14</v>
      </c>
      <c r="C5" s="59">
        <v>20.5</v>
      </c>
      <c r="D5" s="59">
        <v>328</v>
      </c>
      <c r="E5" s="109">
        <v>1083</v>
      </c>
      <c r="F5" s="59">
        <v>359.3</v>
      </c>
      <c r="G5" s="59">
        <v>5.3</v>
      </c>
      <c r="H5" s="110">
        <v>20.2</v>
      </c>
      <c r="I5" s="116">
        <v>85</v>
      </c>
      <c r="J5" s="59">
        <v>226</v>
      </c>
      <c r="K5" s="117">
        <v>38</v>
      </c>
      <c r="L5" s="116">
        <v>12</v>
      </c>
      <c r="M5" s="59">
        <v>24</v>
      </c>
      <c r="N5" s="117">
        <v>50</v>
      </c>
      <c r="O5" s="114">
        <v>122</v>
      </c>
      <c r="P5" s="109">
        <v>1153</v>
      </c>
      <c r="Q5" s="115">
        <v>1.2722222222222224</v>
      </c>
      <c r="R5" s="59">
        <v>13</v>
      </c>
      <c r="S5" s="59">
        <v>7</v>
      </c>
      <c r="T5" s="59">
        <v>-14</v>
      </c>
      <c r="U5" s="59" t="s">
        <v>2297</v>
      </c>
    </row>
    <row r="6" spans="1:21" x14ac:dyDescent="0.3">
      <c r="A6" s="59" t="s">
        <v>10</v>
      </c>
      <c r="B6" s="59">
        <v>13</v>
      </c>
      <c r="C6" s="59">
        <v>23.7</v>
      </c>
      <c r="D6" s="59">
        <v>379</v>
      </c>
      <c r="E6" s="109">
        <v>1016</v>
      </c>
      <c r="F6" s="59">
        <v>360.9</v>
      </c>
      <c r="G6" s="59">
        <v>5.7</v>
      </c>
      <c r="H6" s="110">
        <v>18.600000000000001</v>
      </c>
      <c r="I6" s="116">
        <v>86</v>
      </c>
      <c r="J6" s="59">
        <v>227</v>
      </c>
      <c r="K6" s="117">
        <v>38</v>
      </c>
      <c r="L6" s="116">
        <v>7</v>
      </c>
      <c r="M6" s="59">
        <v>16</v>
      </c>
      <c r="N6" s="117">
        <v>44</v>
      </c>
      <c r="O6" s="114">
        <v>143</v>
      </c>
      <c r="P6" s="109">
        <v>1249</v>
      </c>
      <c r="Q6" s="115">
        <v>1.3041666666666667</v>
      </c>
      <c r="R6" s="59">
        <v>28</v>
      </c>
      <c r="S6" s="59">
        <v>10</v>
      </c>
      <c r="T6" s="59">
        <v>6</v>
      </c>
      <c r="U6" s="59" t="s">
        <v>1969</v>
      </c>
    </row>
    <row r="7" spans="1:21" x14ac:dyDescent="0.3">
      <c r="A7" s="59" t="s">
        <v>22</v>
      </c>
      <c r="B7" s="59">
        <v>11</v>
      </c>
      <c r="C7" s="59">
        <v>31.2</v>
      </c>
      <c r="D7" s="59">
        <v>500</v>
      </c>
      <c r="E7" s="109">
        <v>1060</v>
      </c>
      <c r="F7" s="59">
        <v>366.9</v>
      </c>
      <c r="G7" s="59">
        <v>5.5</v>
      </c>
      <c r="H7" s="110">
        <v>22.3</v>
      </c>
      <c r="I7" s="116">
        <v>86</v>
      </c>
      <c r="J7" s="59">
        <v>203</v>
      </c>
      <c r="K7" s="117">
        <v>42</v>
      </c>
      <c r="L7" s="116">
        <v>6</v>
      </c>
      <c r="M7" s="59">
        <v>10</v>
      </c>
      <c r="N7" s="117">
        <v>60</v>
      </c>
      <c r="O7" s="114">
        <v>103</v>
      </c>
      <c r="P7" s="59">
        <v>887</v>
      </c>
      <c r="Q7" s="115">
        <v>1.3354166666666665</v>
      </c>
      <c r="R7" s="59">
        <v>12</v>
      </c>
      <c r="S7" s="59">
        <v>9</v>
      </c>
      <c r="T7" s="59">
        <v>20</v>
      </c>
      <c r="U7" s="59" t="s">
        <v>1997</v>
      </c>
    </row>
    <row r="8" spans="1:21" x14ac:dyDescent="0.3">
      <c r="A8" s="59" t="s">
        <v>46</v>
      </c>
      <c r="B8" s="59">
        <v>21</v>
      </c>
      <c r="C8" s="59">
        <v>20.9</v>
      </c>
      <c r="D8" s="59">
        <v>335</v>
      </c>
      <c r="E8" s="109">
        <v>1025</v>
      </c>
      <c r="F8" s="59">
        <v>344.6</v>
      </c>
      <c r="G8" s="59">
        <v>5.4</v>
      </c>
      <c r="H8" s="110">
        <v>19.5</v>
      </c>
      <c r="I8" s="116">
        <v>93</v>
      </c>
      <c r="J8" s="59">
        <v>219</v>
      </c>
      <c r="K8" s="117">
        <v>42</v>
      </c>
      <c r="L8" s="116">
        <v>6</v>
      </c>
      <c r="M8" s="59">
        <v>10</v>
      </c>
      <c r="N8" s="117">
        <v>60</v>
      </c>
      <c r="O8" s="114">
        <v>99</v>
      </c>
      <c r="P8" s="59">
        <v>909</v>
      </c>
      <c r="Q8" s="115">
        <v>1.3118055555555557</v>
      </c>
      <c r="R8" s="59">
        <v>20</v>
      </c>
      <c r="S8" s="59">
        <v>9</v>
      </c>
      <c r="T8" s="59">
        <v>-4</v>
      </c>
      <c r="U8" s="59" t="s">
        <v>2298</v>
      </c>
    </row>
    <row r="9" spans="1:21" x14ac:dyDescent="0.3">
      <c r="A9" s="59" t="s">
        <v>28</v>
      </c>
      <c r="B9" s="59">
        <v>15</v>
      </c>
      <c r="C9" s="59">
        <v>26.2</v>
      </c>
      <c r="D9" s="59">
        <v>419</v>
      </c>
      <c r="E9" s="109">
        <v>1004</v>
      </c>
      <c r="F9" s="59">
        <v>358</v>
      </c>
      <c r="G9" s="59">
        <v>5.7</v>
      </c>
      <c r="H9" s="110">
        <v>20.2</v>
      </c>
      <c r="I9" s="116">
        <v>81</v>
      </c>
      <c r="J9" s="59">
        <v>201</v>
      </c>
      <c r="K9" s="117">
        <v>40</v>
      </c>
      <c r="L9" s="116">
        <v>7</v>
      </c>
      <c r="M9" s="59">
        <v>12</v>
      </c>
      <c r="N9" s="117">
        <v>58</v>
      </c>
      <c r="O9" s="114">
        <v>111</v>
      </c>
      <c r="P9" s="59">
        <v>917</v>
      </c>
      <c r="Q9" s="115">
        <v>1.3006944444444444</v>
      </c>
      <c r="R9" s="59">
        <v>18</v>
      </c>
      <c r="S9" s="59">
        <v>8</v>
      </c>
      <c r="T9" s="59">
        <v>11</v>
      </c>
      <c r="U9" s="59" t="s">
        <v>1999</v>
      </c>
    </row>
    <row r="10" spans="1:21" x14ac:dyDescent="0.3">
      <c r="A10" s="59" t="s">
        <v>14</v>
      </c>
      <c r="B10" s="59">
        <v>25</v>
      </c>
      <c r="C10" s="59">
        <v>17.399999999999999</v>
      </c>
      <c r="D10" s="59">
        <v>278</v>
      </c>
      <c r="E10" s="109">
        <v>1042</v>
      </c>
      <c r="F10" s="59">
        <v>331.9</v>
      </c>
      <c r="G10" s="59">
        <v>5.0999999999999996</v>
      </c>
      <c r="H10" s="110">
        <v>19.2</v>
      </c>
      <c r="I10" s="116">
        <v>95</v>
      </c>
      <c r="J10" s="59">
        <v>227</v>
      </c>
      <c r="K10" s="117">
        <v>42</v>
      </c>
      <c r="L10" s="116">
        <v>10</v>
      </c>
      <c r="M10" s="59">
        <v>24</v>
      </c>
      <c r="N10" s="117">
        <v>42</v>
      </c>
      <c r="O10" s="114">
        <v>120</v>
      </c>
      <c r="P10" s="109">
        <v>1083</v>
      </c>
      <c r="Q10" s="115">
        <v>1.2923611111111111</v>
      </c>
      <c r="R10" s="59">
        <v>28</v>
      </c>
      <c r="S10" s="59">
        <v>18</v>
      </c>
      <c r="T10" s="59">
        <v>-9</v>
      </c>
      <c r="U10" s="59" t="s">
        <v>2299</v>
      </c>
    </row>
    <row r="11" spans="1:21" x14ac:dyDescent="0.3">
      <c r="A11" s="59" t="s">
        <v>52</v>
      </c>
      <c r="B11" s="59">
        <v>22</v>
      </c>
      <c r="C11" s="59">
        <v>17.2</v>
      </c>
      <c r="D11" s="59">
        <v>275</v>
      </c>
      <c r="E11" s="59">
        <v>969</v>
      </c>
      <c r="F11" s="59">
        <v>335.1</v>
      </c>
      <c r="G11" s="59">
        <v>5.5</v>
      </c>
      <c r="H11" s="110">
        <v>19.2</v>
      </c>
      <c r="I11" s="116">
        <v>66</v>
      </c>
      <c r="J11" s="59">
        <v>191</v>
      </c>
      <c r="K11" s="117">
        <v>35</v>
      </c>
      <c r="L11" s="116">
        <v>8</v>
      </c>
      <c r="M11" s="59">
        <v>16</v>
      </c>
      <c r="N11" s="117">
        <v>50</v>
      </c>
      <c r="O11" s="114">
        <v>112</v>
      </c>
      <c r="P11" s="59">
        <v>879</v>
      </c>
      <c r="Q11" s="115">
        <v>1.2965277777777777</v>
      </c>
      <c r="R11" s="59">
        <v>18</v>
      </c>
      <c r="S11" s="59">
        <v>11</v>
      </c>
      <c r="T11" s="59">
        <v>-22</v>
      </c>
      <c r="U11" s="59" t="s">
        <v>1994</v>
      </c>
    </row>
    <row r="12" spans="1:21" x14ac:dyDescent="0.3">
      <c r="A12" s="59" t="s">
        <v>70</v>
      </c>
      <c r="B12" s="59">
        <v>16</v>
      </c>
      <c r="C12" s="59">
        <v>22.2</v>
      </c>
      <c r="D12" s="59">
        <v>355</v>
      </c>
      <c r="E12" s="109">
        <v>1056</v>
      </c>
      <c r="F12" s="59">
        <v>355.5</v>
      </c>
      <c r="G12" s="59">
        <v>5.4</v>
      </c>
      <c r="H12" s="110">
        <v>19.600000000000001</v>
      </c>
      <c r="I12" s="116">
        <v>79</v>
      </c>
      <c r="J12" s="59">
        <v>224</v>
      </c>
      <c r="K12" s="117">
        <v>35</v>
      </c>
      <c r="L12" s="116">
        <v>7</v>
      </c>
      <c r="M12" s="59">
        <v>14</v>
      </c>
      <c r="N12" s="117">
        <v>50</v>
      </c>
      <c r="O12" s="114">
        <v>115</v>
      </c>
      <c r="P12" s="109">
        <v>1063</v>
      </c>
      <c r="Q12" s="115">
        <v>1.2708333333333333</v>
      </c>
      <c r="R12" s="59">
        <v>16</v>
      </c>
      <c r="S12" s="59">
        <v>8</v>
      </c>
      <c r="T12" s="59">
        <v>-4</v>
      </c>
      <c r="U12" s="59" t="s">
        <v>2300</v>
      </c>
    </row>
    <row r="13" spans="1:21" x14ac:dyDescent="0.3">
      <c r="A13" s="59" t="s">
        <v>26</v>
      </c>
      <c r="B13" s="59">
        <v>20</v>
      </c>
      <c r="C13" s="59">
        <v>22.4</v>
      </c>
      <c r="D13" s="59">
        <v>358</v>
      </c>
      <c r="E13" s="109">
        <v>1030</v>
      </c>
      <c r="F13" s="59">
        <v>346.7</v>
      </c>
      <c r="G13" s="59">
        <v>5.4</v>
      </c>
      <c r="H13" s="110">
        <v>21.1</v>
      </c>
      <c r="I13" s="116">
        <v>75</v>
      </c>
      <c r="J13" s="59">
        <v>203</v>
      </c>
      <c r="K13" s="117">
        <v>37</v>
      </c>
      <c r="L13" s="116">
        <v>7</v>
      </c>
      <c r="M13" s="59">
        <v>14</v>
      </c>
      <c r="N13" s="117">
        <v>50</v>
      </c>
      <c r="O13" s="114">
        <v>104</v>
      </c>
      <c r="P13" s="59">
        <v>930</v>
      </c>
      <c r="Q13" s="115">
        <v>1.3125</v>
      </c>
      <c r="R13" s="59">
        <v>17</v>
      </c>
      <c r="S13" s="59">
        <v>10</v>
      </c>
      <c r="T13" s="59">
        <v>-6</v>
      </c>
      <c r="U13" s="59" t="s">
        <v>2301</v>
      </c>
    </row>
    <row r="14" spans="1:21" x14ac:dyDescent="0.3">
      <c r="A14" s="59" t="s">
        <v>395</v>
      </c>
      <c r="B14" s="59">
        <v>23</v>
      </c>
      <c r="C14" s="59">
        <v>23</v>
      </c>
      <c r="D14" s="59">
        <v>368</v>
      </c>
      <c r="E14" s="109">
        <v>1056</v>
      </c>
      <c r="F14" s="59">
        <v>334.6</v>
      </c>
      <c r="G14" s="59">
        <v>5.0999999999999996</v>
      </c>
      <c r="H14" s="110">
        <v>19.8</v>
      </c>
      <c r="I14" s="116">
        <v>70</v>
      </c>
      <c r="J14" s="59">
        <v>208</v>
      </c>
      <c r="K14" s="117">
        <v>34</v>
      </c>
      <c r="L14" s="116">
        <v>11</v>
      </c>
      <c r="M14" s="59">
        <v>21</v>
      </c>
      <c r="N14" s="117">
        <v>52</v>
      </c>
      <c r="O14" s="114">
        <v>105</v>
      </c>
      <c r="P14" s="59">
        <v>906</v>
      </c>
      <c r="Q14" s="115">
        <v>1.2555555555555555</v>
      </c>
      <c r="R14" s="59">
        <v>24</v>
      </c>
      <c r="S14" s="59">
        <v>9</v>
      </c>
      <c r="T14" s="59">
        <v>5</v>
      </c>
      <c r="U14" s="59" t="s">
        <v>1976</v>
      </c>
    </row>
    <row r="15" spans="1:21" x14ac:dyDescent="0.3">
      <c r="A15" s="59" t="s">
        <v>43</v>
      </c>
      <c r="B15" s="59">
        <v>19</v>
      </c>
      <c r="C15" s="59">
        <v>21.2</v>
      </c>
      <c r="D15" s="59">
        <v>339</v>
      </c>
      <c r="E15" s="109">
        <v>1127</v>
      </c>
      <c r="F15" s="59">
        <v>347.8</v>
      </c>
      <c r="G15" s="59">
        <v>4.9000000000000004</v>
      </c>
      <c r="H15" s="110">
        <v>20.9</v>
      </c>
      <c r="I15" s="116">
        <v>96</v>
      </c>
      <c r="J15" s="59">
        <v>249</v>
      </c>
      <c r="K15" s="117">
        <v>39</v>
      </c>
      <c r="L15" s="116">
        <v>6</v>
      </c>
      <c r="M15" s="59">
        <v>19</v>
      </c>
      <c r="N15" s="117">
        <v>32</v>
      </c>
      <c r="O15" s="114">
        <v>107</v>
      </c>
      <c r="P15" s="59">
        <v>910</v>
      </c>
      <c r="Q15" s="115">
        <v>1.2833333333333334</v>
      </c>
      <c r="R15" s="59">
        <v>22</v>
      </c>
      <c r="S15" s="59">
        <v>8</v>
      </c>
      <c r="T15" s="59">
        <v>5</v>
      </c>
      <c r="U15" s="59" t="s">
        <v>2302</v>
      </c>
    </row>
    <row r="16" spans="1:21" x14ac:dyDescent="0.3">
      <c r="A16" s="59" t="s">
        <v>16</v>
      </c>
      <c r="B16" s="59">
        <v>28</v>
      </c>
      <c r="C16" s="59">
        <v>20.8</v>
      </c>
      <c r="D16" s="59">
        <v>333</v>
      </c>
      <c r="E16" s="109">
        <v>1052</v>
      </c>
      <c r="F16" s="59">
        <v>321.39999999999998</v>
      </c>
      <c r="G16" s="59">
        <v>4.9000000000000004</v>
      </c>
      <c r="H16" s="110">
        <v>19.399999999999999</v>
      </c>
      <c r="I16" s="116">
        <v>94</v>
      </c>
      <c r="J16" s="59">
        <v>235</v>
      </c>
      <c r="K16" s="117">
        <v>40</v>
      </c>
      <c r="L16" s="116">
        <v>7</v>
      </c>
      <c r="M16" s="59">
        <v>13</v>
      </c>
      <c r="N16" s="117">
        <v>54</v>
      </c>
      <c r="O16" s="114">
        <v>108</v>
      </c>
      <c r="P16" s="59">
        <v>931</v>
      </c>
      <c r="Q16" s="115">
        <v>1.2562499999999999</v>
      </c>
      <c r="R16" s="59">
        <v>19</v>
      </c>
      <c r="S16" s="59">
        <v>11</v>
      </c>
      <c r="T16" s="59">
        <v>-5</v>
      </c>
      <c r="U16" s="59" t="s">
        <v>1967</v>
      </c>
    </row>
    <row r="17" spans="1:21" x14ac:dyDescent="0.3">
      <c r="A17" s="59" t="s">
        <v>12</v>
      </c>
      <c r="B17" s="59">
        <v>18</v>
      </c>
      <c r="C17" s="59">
        <v>23.5</v>
      </c>
      <c r="D17" s="59">
        <v>376</v>
      </c>
      <c r="E17" s="109">
        <v>1012</v>
      </c>
      <c r="F17" s="59">
        <v>348.8</v>
      </c>
      <c r="G17" s="59">
        <v>5.5</v>
      </c>
      <c r="H17" s="110">
        <v>19.600000000000001</v>
      </c>
      <c r="I17" s="116">
        <v>72</v>
      </c>
      <c r="J17" s="59">
        <v>205</v>
      </c>
      <c r="K17" s="117">
        <v>35</v>
      </c>
      <c r="L17" s="116">
        <v>8</v>
      </c>
      <c r="M17" s="59">
        <v>15</v>
      </c>
      <c r="N17" s="117">
        <v>53</v>
      </c>
      <c r="O17" s="114">
        <v>105</v>
      </c>
      <c r="P17" s="59">
        <v>880</v>
      </c>
      <c r="Q17" s="115">
        <v>1.1611111111111112</v>
      </c>
      <c r="R17" s="59">
        <v>25</v>
      </c>
      <c r="S17" s="59">
        <v>10</v>
      </c>
      <c r="T17" s="59">
        <v>-10</v>
      </c>
      <c r="U17" s="59" t="s">
        <v>1980</v>
      </c>
    </row>
    <row r="18" spans="1:21" x14ac:dyDescent="0.3">
      <c r="A18" s="59" t="s">
        <v>397</v>
      </c>
      <c r="B18" s="59">
        <v>27</v>
      </c>
      <c r="C18" s="59">
        <v>25.3</v>
      </c>
      <c r="D18" s="59">
        <v>405</v>
      </c>
      <c r="E18" s="59">
        <v>955</v>
      </c>
      <c r="F18" s="59">
        <v>331.2</v>
      </c>
      <c r="G18" s="59">
        <v>5.5</v>
      </c>
      <c r="H18" s="110">
        <v>18.899999999999999</v>
      </c>
      <c r="I18" s="116">
        <v>76</v>
      </c>
      <c r="J18" s="59">
        <v>199</v>
      </c>
      <c r="K18" s="117">
        <v>38</v>
      </c>
      <c r="L18" s="116">
        <v>6</v>
      </c>
      <c r="M18" s="59">
        <v>9</v>
      </c>
      <c r="N18" s="117">
        <v>67</v>
      </c>
      <c r="O18" s="114">
        <v>104</v>
      </c>
      <c r="P18" s="59">
        <v>878</v>
      </c>
      <c r="Q18" s="115">
        <v>1.2881944444444444</v>
      </c>
      <c r="R18" s="59">
        <v>16</v>
      </c>
      <c r="S18" s="59">
        <v>8</v>
      </c>
      <c r="T18" s="59">
        <v>14</v>
      </c>
      <c r="U18" s="59" t="s">
        <v>1982</v>
      </c>
    </row>
    <row r="19" spans="1:21" x14ac:dyDescent="0.3">
      <c r="A19" s="59" t="s">
        <v>409</v>
      </c>
      <c r="B19" s="59">
        <v>32</v>
      </c>
      <c r="C19" s="59">
        <v>17.5</v>
      </c>
      <c r="D19" s="59">
        <v>280</v>
      </c>
      <c r="E19" s="59">
        <v>920</v>
      </c>
      <c r="F19" s="59">
        <v>297.60000000000002</v>
      </c>
      <c r="G19" s="59">
        <v>5.2</v>
      </c>
      <c r="H19" s="110">
        <v>15.1</v>
      </c>
      <c r="I19" s="116">
        <v>52</v>
      </c>
      <c r="J19" s="59">
        <v>201</v>
      </c>
      <c r="K19" s="117">
        <v>26</v>
      </c>
      <c r="L19" s="116">
        <v>4</v>
      </c>
      <c r="M19" s="59">
        <v>13</v>
      </c>
      <c r="N19" s="117">
        <v>31</v>
      </c>
      <c r="O19" s="114">
        <v>122</v>
      </c>
      <c r="P19" s="109">
        <v>1007</v>
      </c>
      <c r="Q19" s="115">
        <v>1.1770833333333333</v>
      </c>
      <c r="R19" s="59">
        <v>22</v>
      </c>
      <c r="S19" s="59">
        <v>10</v>
      </c>
      <c r="T19" s="59">
        <v>5</v>
      </c>
      <c r="U19" s="59" t="s">
        <v>2303</v>
      </c>
    </row>
    <row r="20" spans="1:21" x14ac:dyDescent="0.3">
      <c r="A20" s="59" t="s">
        <v>57</v>
      </c>
      <c r="B20" s="59">
        <v>26</v>
      </c>
      <c r="C20" s="59">
        <v>19.399999999999999</v>
      </c>
      <c r="D20" s="59">
        <v>310</v>
      </c>
      <c r="E20" s="59">
        <v>977</v>
      </c>
      <c r="F20" s="59">
        <v>331.7</v>
      </c>
      <c r="G20" s="59">
        <v>5.4</v>
      </c>
      <c r="H20" s="110">
        <v>18.2</v>
      </c>
      <c r="I20" s="116">
        <v>63</v>
      </c>
      <c r="J20" s="59">
        <v>205</v>
      </c>
      <c r="K20" s="117">
        <v>31</v>
      </c>
      <c r="L20" s="116">
        <v>8</v>
      </c>
      <c r="M20" s="59">
        <v>22</v>
      </c>
      <c r="N20" s="117">
        <v>36</v>
      </c>
      <c r="O20" s="114">
        <v>134</v>
      </c>
      <c r="P20" s="109">
        <v>1090</v>
      </c>
      <c r="Q20" s="115">
        <v>1.1402777777777777</v>
      </c>
      <c r="R20" s="59">
        <v>23</v>
      </c>
      <c r="S20" s="59">
        <v>7</v>
      </c>
      <c r="T20" s="59">
        <v>-3</v>
      </c>
      <c r="U20" s="59" t="s">
        <v>2003</v>
      </c>
    </row>
    <row r="21" spans="1:21" x14ac:dyDescent="0.3">
      <c r="A21" s="59" t="s">
        <v>41</v>
      </c>
      <c r="B21" s="59">
        <v>29</v>
      </c>
      <c r="C21" s="59">
        <v>22.8</v>
      </c>
      <c r="D21" s="59">
        <v>365</v>
      </c>
      <c r="E21" s="59">
        <v>973</v>
      </c>
      <c r="F21" s="59">
        <v>321.2</v>
      </c>
      <c r="G21" s="59">
        <v>5.3</v>
      </c>
      <c r="H21" s="110">
        <v>18.600000000000001</v>
      </c>
      <c r="I21" s="116">
        <v>76</v>
      </c>
      <c r="J21" s="59">
        <v>199</v>
      </c>
      <c r="K21" s="117">
        <v>38</v>
      </c>
      <c r="L21" s="116">
        <v>5</v>
      </c>
      <c r="M21" s="59">
        <v>11</v>
      </c>
      <c r="N21" s="117">
        <v>46</v>
      </c>
      <c r="O21" s="114">
        <v>88</v>
      </c>
      <c r="P21" s="59">
        <v>797</v>
      </c>
      <c r="Q21" s="115">
        <v>1.273611111111111</v>
      </c>
      <c r="R21" s="59">
        <v>21</v>
      </c>
      <c r="S21" s="59">
        <v>8</v>
      </c>
      <c r="T21" s="59">
        <v>5</v>
      </c>
      <c r="U21" s="59" t="s">
        <v>2304</v>
      </c>
    </row>
    <row r="22" spans="1:21" x14ac:dyDescent="0.3">
      <c r="A22" s="59" t="s">
        <v>402</v>
      </c>
      <c r="B22" s="59">
        <v>6</v>
      </c>
      <c r="C22" s="59">
        <v>29.1</v>
      </c>
      <c r="D22" s="59">
        <v>465</v>
      </c>
      <c r="E22" s="109">
        <v>1050</v>
      </c>
      <c r="F22" s="59">
        <v>374.4</v>
      </c>
      <c r="G22" s="59">
        <v>5.7</v>
      </c>
      <c r="H22" s="110">
        <v>21.7</v>
      </c>
      <c r="I22" s="116">
        <v>88</v>
      </c>
      <c r="J22" s="59">
        <v>215</v>
      </c>
      <c r="K22" s="117">
        <v>41</v>
      </c>
      <c r="L22" s="116">
        <v>9</v>
      </c>
      <c r="M22" s="59">
        <v>15</v>
      </c>
      <c r="N22" s="117">
        <v>60</v>
      </c>
      <c r="O22" s="114">
        <v>96</v>
      </c>
      <c r="P22" s="59">
        <v>859</v>
      </c>
      <c r="Q22" s="115">
        <v>1.2625</v>
      </c>
      <c r="R22" s="59">
        <v>14</v>
      </c>
      <c r="S22" s="59">
        <v>7</v>
      </c>
      <c r="T22" s="59">
        <v>7</v>
      </c>
      <c r="U22" s="59" t="s">
        <v>1992</v>
      </c>
    </row>
    <row r="23" spans="1:21" x14ac:dyDescent="0.3">
      <c r="A23" s="59" t="s">
        <v>404</v>
      </c>
      <c r="B23" s="59">
        <v>2</v>
      </c>
      <c r="C23" s="59">
        <v>25.5</v>
      </c>
      <c r="D23" s="59">
        <v>408</v>
      </c>
      <c r="E23" s="109">
        <v>1096</v>
      </c>
      <c r="F23" s="59">
        <v>403.8</v>
      </c>
      <c r="G23" s="59">
        <v>5.9</v>
      </c>
      <c r="H23" s="110">
        <v>23.8</v>
      </c>
      <c r="I23" s="116">
        <v>104</v>
      </c>
      <c r="J23" s="59">
        <v>218</v>
      </c>
      <c r="K23" s="117">
        <v>48</v>
      </c>
      <c r="L23" s="116">
        <v>10</v>
      </c>
      <c r="M23" s="59">
        <v>16</v>
      </c>
      <c r="N23" s="117">
        <v>62</v>
      </c>
      <c r="O23" s="114">
        <v>130</v>
      </c>
      <c r="P23" s="109">
        <v>1112</v>
      </c>
      <c r="Q23" s="115">
        <v>1.3062500000000001</v>
      </c>
      <c r="R23" s="59">
        <v>17</v>
      </c>
      <c r="S23" s="59">
        <v>8</v>
      </c>
      <c r="T23" s="59">
        <v>2</v>
      </c>
      <c r="U23" s="59" t="s">
        <v>1963</v>
      </c>
    </row>
    <row r="24" spans="1:21" x14ac:dyDescent="0.3">
      <c r="A24" s="59" t="s">
        <v>37</v>
      </c>
      <c r="B24" s="59">
        <v>8</v>
      </c>
      <c r="C24" s="59">
        <v>26.2</v>
      </c>
      <c r="D24" s="59">
        <v>420</v>
      </c>
      <c r="E24" s="109">
        <v>1053</v>
      </c>
      <c r="F24" s="59">
        <v>372</v>
      </c>
      <c r="G24" s="59">
        <v>5.7</v>
      </c>
      <c r="H24" s="110">
        <v>20.7</v>
      </c>
      <c r="I24" s="116">
        <v>82</v>
      </c>
      <c r="J24" s="59">
        <v>217</v>
      </c>
      <c r="K24" s="117">
        <v>38</v>
      </c>
      <c r="L24" s="116">
        <v>9</v>
      </c>
      <c r="M24" s="59">
        <v>16</v>
      </c>
      <c r="N24" s="117">
        <v>56</v>
      </c>
      <c r="O24" s="114">
        <v>102</v>
      </c>
      <c r="P24" s="59">
        <v>779</v>
      </c>
      <c r="Q24" s="115">
        <v>1.1868055555555557</v>
      </c>
      <c r="R24" s="59">
        <v>23</v>
      </c>
      <c r="S24" s="59">
        <v>7</v>
      </c>
      <c r="T24" s="59">
        <v>7</v>
      </c>
      <c r="U24" s="59" t="s">
        <v>1987</v>
      </c>
    </row>
    <row r="25" spans="1:21" x14ac:dyDescent="0.3">
      <c r="A25" s="59" t="s">
        <v>34</v>
      </c>
      <c r="B25" s="59">
        <v>10</v>
      </c>
      <c r="C25" s="59">
        <v>24.2</v>
      </c>
      <c r="D25" s="59">
        <v>387</v>
      </c>
      <c r="E25" s="109">
        <v>1074</v>
      </c>
      <c r="F25" s="59">
        <v>370.3</v>
      </c>
      <c r="G25" s="59">
        <v>5.5</v>
      </c>
      <c r="H25" s="110">
        <v>20.6</v>
      </c>
      <c r="I25" s="116">
        <v>93</v>
      </c>
      <c r="J25" s="59">
        <v>229</v>
      </c>
      <c r="K25" s="117">
        <v>41</v>
      </c>
      <c r="L25" s="116">
        <v>6</v>
      </c>
      <c r="M25" s="59">
        <v>14</v>
      </c>
      <c r="N25" s="117">
        <v>43</v>
      </c>
      <c r="O25" s="114">
        <v>96</v>
      </c>
      <c r="P25" s="59">
        <v>787</v>
      </c>
      <c r="Q25" s="115">
        <v>1.3055555555555556</v>
      </c>
      <c r="R25" s="59">
        <v>17</v>
      </c>
      <c r="S25" s="59">
        <v>8</v>
      </c>
      <c r="T25" s="59">
        <v>6</v>
      </c>
      <c r="U25" s="59" t="s">
        <v>2305</v>
      </c>
    </row>
    <row r="26" spans="1:21" x14ac:dyDescent="0.3">
      <c r="A26" s="59" t="s">
        <v>4</v>
      </c>
      <c r="B26" s="59">
        <v>24</v>
      </c>
      <c r="C26" s="59">
        <v>22.4</v>
      </c>
      <c r="D26" s="59">
        <v>359</v>
      </c>
      <c r="E26" s="109">
        <v>1008</v>
      </c>
      <c r="F26" s="59">
        <v>333.5</v>
      </c>
      <c r="G26" s="59">
        <v>5.3</v>
      </c>
      <c r="H26" s="110">
        <v>18.8</v>
      </c>
      <c r="I26" s="116">
        <v>86</v>
      </c>
      <c r="J26" s="59">
        <v>220</v>
      </c>
      <c r="K26" s="117">
        <v>39</v>
      </c>
      <c r="L26" s="116">
        <v>5</v>
      </c>
      <c r="M26" s="59">
        <v>13</v>
      </c>
      <c r="N26" s="117">
        <v>38</v>
      </c>
      <c r="O26" s="114">
        <v>139</v>
      </c>
      <c r="P26" s="109">
        <v>1102</v>
      </c>
      <c r="Q26" s="115">
        <v>1.2319444444444445</v>
      </c>
      <c r="R26" s="59">
        <v>27</v>
      </c>
      <c r="S26" s="59">
        <v>10</v>
      </c>
      <c r="T26" s="59">
        <v>1</v>
      </c>
      <c r="U26" s="59" t="s">
        <v>2306</v>
      </c>
    </row>
    <row r="27" spans="1:21" x14ac:dyDescent="0.3">
      <c r="A27" s="59" t="s">
        <v>39</v>
      </c>
      <c r="B27" s="59">
        <v>12</v>
      </c>
      <c r="C27" s="59">
        <v>23.6</v>
      </c>
      <c r="D27" s="59">
        <v>377</v>
      </c>
      <c r="E27" s="109">
        <v>1102</v>
      </c>
      <c r="F27" s="59">
        <v>364.4</v>
      </c>
      <c r="G27" s="59">
        <v>5.3</v>
      </c>
      <c r="H27" s="110">
        <v>21.2</v>
      </c>
      <c r="I27" s="116">
        <v>91</v>
      </c>
      <c r="J27" s="59">
        <v>230</v>
      </c>
      <c r="K27" s="117">
        <v>40</v>
      </c>
      <c r="L27" s="116">
        <v>8</v>
      </c>
      <c r="M27" s="59">
        <v>16</v>
      </c>
      <c r="N27" s="117">
        <v>50</v>
      </c>
      <c r="O27" s="114">
        <v>104</v>
      </c>
      <c r="P27" s="59">
        <v>819</v>
      </c>
      <c r="Q27" s="115">
        <v>1.0875000000000001</v>
      </c>
      <c r="R27" s="59">
        <v>26</v>
      </c>
      <c r="S27" s="59">
        <v>13</v>
      </c>
      <c r="T27" s="59">
        <v>-5</v>
      </c>
      <c r="U27" s="59" t="s">
        <v>1965</v>
      </c>
    </row>
    <row r="28" spans="1:21" x14ac:dyDescent="0.3">
      <c r="A28" s="59" t="s">
        <v>20</v>
      </c>
      <c r="B28" s="59">
        <v>3</v>
      </c>
      <c r="C28" s="59">
        <v>26.4</v>
      </c>
      <c r="D28" s="59">
        <v>423</v>
      </c>
      <c r="E28" s="109">
        <v>1011</v>
      </c>
      <c r="F28" s="59">
        <v>395.4</v>
      </c>
      <c r="G28" s="59">
        <v>6.3</v>
      </c>
      <c r="H28" s="110">
        <v>20.7</v>
      </c>
      <c r="I28" s="116">
        <v>75</v>
      </c>
      <c r="J28" s="59">
        <v>193</v>
      </c>
      <c r="K28" s="117">
        <v>39</v>
      </c>
      <c r="L28" s="116">
        <v>4</v>
      </c>
      <c r="M28" s="59">
        <v>12</v>
      </c>
      <c r="N28" s="117">
        <v>33</v>
      </c>
      <c r="O28" s="114">
        <v>94</v>
      </c>
      <c r="P28" s="59">
        <v>868</v>
      </c>
      <c r="Q28" s="115">
        <v>1.2381944444444444</v>
      </c>
      <c r="R28" s="59">
        <v>16</v>
      </c>
      <c r="S28" s="59">
        <v>7</v>
      </c>
      <c r="T28" s="59">
        <v>2</v>
      </c>
      <c r="U28" s="59" t="s">
        <v>2307</v>
      </c>
    </row>
    <row r="29" spans="1:21" x14ac:dyDescent="0.3">
      <c r="A29" s="59" t="s">
        <v>407</v>
      </c>
      <c r="B29" s="59">
        <v>9</v>
      </c>
      <c r="C29" s="59">
        <v>20</v>
      </c>
      <c r="D29" s="59">
        <v>320</v>
      </c>
      <c r="E29" s="109">
        <v>1100</v>
      </c>
      <c r="F29" s="59">
        <v>371.8</v>
      </c>
      <c r="G29" s="59">
        <v>5.4</v>
      </c>
      <c r="H29" s="110">
        <v>21.5</v>
      </c>
      <c r="I29" s="116">
        <v>97</v>
      </c>
      <c r="J29" s="59">
        <v>231</v>
      </c>
      <c r="K29" s="117">
        <v>42</v>
      </c>
      <c r="L29" s="116">
        <v>5</v>
      </c>
      <c r="M29" s="59">
        <v>15</v>
      </c>
      <c r="N29" s="117">
        <v>33</v>
      </c>
      <c r="O29" s="114">
        <v>117</v>
      </c>
      <c r="P29" s="59">
        <v>942</v>
      </c>
      <c r="Q29" s="115">
        <v>1.3270833333333334</v>
      </c>
      <c r="R29" s="59">
        <v>20</v>
      </c>
      <c r="S29" s="59">
        <v>11</v>
      </c>
      <c r="T29" s="59">
        <v>-4</v>
      </c>
      <c r="U29" s="59" t="s">
        <v>2308</v>
      </c>
    </row>
    <row r="30" spans="1:21" x14ac:dyDescent="0.3">
      <c r="A30" s="59" t="s">
        <v>7</v>
      </c>
      <c r="B30" s="59">
        <v>4</v>
      </c>
      <c r="C30" s="59">
        <v>26.4</v>
      </c>
      <c r="D30" s="59">
        <v>423</v>
      </c>
      <c r="E30" s="109">
        <v>1035</v>
      </c>
      <c r="F30" s="59">
        <v>378.6</v>
      </c>
      <c r="G30" s="59">
        <v>5.9</v>
      </c>
      <c r="H30" s="110">
        <v>20.9</v>
      </c>
      <c r="I30" s="116">
        <v>99</v>
      </c>
      <c r="J30" s="59">
        <v>213</v>
      </c>
      <c r="K30" s="117">
        <v>46</v>
      </c>
      <c r="L30" s="116">
        <v>8</v>
      </c>
      <c r="M30" s="59">
        <v>9</v>
      </c>
      <c r="N30" s="117">
        <v>89</v>
      </c>
      <c r="O30" s="114">
        <v>117</v>
      </c>
      <c r="P30" s="109">
        <v>1007</v>
      </c>
      <c r="Q30" s="115">
        <v>1.3430555555555557</v>
      </c>
      <c r="R30" s="59">
        <v>18</v>
      </c>
      <c r="S30" s="59">
        <v>8</v>
      </c>
      <c r="T30" s="59">
        <v>7</v>
      </c>
      <c r="U30" s="59" t="s">
        <v>2001</v>
      </c>
    </row>
    <row r="31" spans="1:21" x14ac:dyDescent="0.3">
      <c r="A31" s="59" t="s">
        <v>398</v>
      </c>
      <c r="B31" s="59">
        <v>31</v>
      </c>
      <c r="C31" s="59">
        <v>14.9</v>
      </c>
      <c r="D31" s="59">
        <v>238</v>
      </c>
      <c r="E31" s="59">
        <v>969</v>
      </c>
      <c r="F31" s="59">
        <v>303.8</v>
      </c>
      <c r="G31" s="59">
        <v>5</v>
      </c>
      <c r="H31" s="110">
        <v>16.3</v>
      </c>
      <c r="I31" s="116">
        <v>65</v>
      </c>
      <c r="J31" s="59">
        <v>213</v>
      </c>
      <c r="K31" s="117">
        <v>30</v>
      </c>
      <c r="L31" s="116">
        <v>9</v>
      </c>
      <c r="M31" s="59">
        <v>19</v>
      </c>
      <c r="N31" s="117">
        <v>47</v>
      </c>
      <c r="O31" s="114">
        <v>113</v>
      </c>
      <c r="P31" s="59">
        <v>823</v>
      </c>
      <c r="Q31" s="115">
        <v>1.1125</v>
      </c>
      <c r="R31" s="59">
        <v>21</v>
      </c>
      <c r="S31" s="59">
        <v>5</v>
      </c>
      <c r="T31" s="59">
        <v>-5</v>
      </c>
      <c r="U31" s="59" t="s">
        <v>2309</v>
      </c>
    </row>
    <row r="32" spans="1:21" x14ac:dyDescent="0.3">
      <c r="A32" s="59" t="s">
        <v>401</v>
      </c>
      <c r="B32" s="59">
        <v>5</v>
      </c>
      <c r="C32" s="59">
        <v>21.4</v>
      </c>
      <c r="D32" s="59">
        <v>342</v>
      </c>
      <c r="E32" s="109">
        <v>1017</v>
      </c>
      <c r="F32" s="59">
        <v>375.9</v>
      </c>
      <c r="G32" s="59">
        <v>5.9</v>
      </c>
      <c r="H32" s="110">
        <v>21</v>
      </c>
      <c r="I32" s="116">
        <v>84</v>
      </c>
      <c r="J32" s="59">
        <v>202</v>
      </c>
      <c r="K32" s="117">
        <v>42</v>
      </c>
      <c r="L32" s="116">
        <v>7</v>
      </c>
      <c r="M32" s="59">
        <v>13</v>
      </c>
      <c r="N32" s="117">
        <v>54</v>
      </c>
      <c r="O32" s="114">
        <v>143</v>
      </c>
      <c r="P32" s="109">
        <v>1195</v>
      </c>
      <c r="Q32" s="115">
        <v>1.2083333333333333</v>
      </c>
      <c r="R32" s="59">
        <v>26</v>
      </c>
      <c r="S32" s="59">
        <v>13</v>
      </c>
      <c r="T32" s="59">
        <v>-5</v>
      </c>
      <c r="U32" s="59" t="s">
        <v>2005</v>
      </c>
    </row>
    <row r="33" spans="1:21" x14ac:dyDescent="0.3">
      <c r="A33" s="59" t="s">
        <v>30</v>
      </c>
      <c r="B33" s="59">
        <v>30</v>
      </c>
      <c r="C33" s="59">
        <v>18.7</v>
      </c>
      <c r="D33" s="59">
        <v>299</v>
      </c>
      <c r="E33" s="59">
        <v>976</v>
      </c>
      <c r="F33" s="59">
        <v>311.8</v>
      </c>
      <c r="G33" s="59">
        <v>5.0999999999999996</v>
      </c>
      <c r="H33" s="110">
        <v>18.600000000000001</v>
      </c>
      <c r="I33" s="116">
        <v>64</v>
      </c>
      <c r="J33" s="59">
        <v>201</v>
      </c>
      <c r="K33" s="117">
        <v>32</v>
      </c>
      <c r="L33" s="116">
        <v>7</v>
      </c>
      <c r="M33" s="59">
        <v>15</v>
      </c>
      <c r="N33" s="117">
        <v>47</v>
      </c>
      <c r="O33" s="114">
        <v>93</v>
      </c>
      <c r="P33" s="59">
        <v>779</v>
      </c>
      <c r="Q33" s="115">
        <v>1.2326388888888888</v>
      </c>
      <c r="R33" s="59">
        <v>25</v>
      </c>
      <c r="S33" s="59">
        <v>16</v>
      </c>
      <c r="T33" s="59">
        <v>-14</v>
      </c>
      <c r="U33" s="59" t="s">
        <v>1978</v>
      </c>
    </row>
    <row r="34" spans="1:21" ht="15" thickBot="1" x14ac:dyDescent="0.35">
      <c r="A34" s="59" t="s">
        <v>18</v>
      </c>
      <c r="B34" s="59">
        <v>17</v>
      </c>
      <c r="C34" s="59">
        <v>24.2</v>
      </c>
      <c r="D34" s="59">
        <v>388</v>
      </c>
      <c r="E34" s="109">
        <v>1011</v>
      </c>
      <c r="F34" s="59">
        <v>353.8</v>
      </c>
      <c r="G34" s="59">
        <v>5.6</v>
      </c>
      <c r="H34" s="110">
        <v>19.8</v>
      </c>
      <c r="I34" s="118">
        <v>94</v>
      </c>
      <c r="J34" s="119">
        <v>216</v>
      </c>
      <c r="K34" s="120">
        <v>44</v>
      </c>
      <c r="L34" s="118">
        <v>7</v>
      </c>
      <c r="M34" s="119">
        <v>12</v>
      </c>
      <c r="N34" s="120">
        <v>58</v>
      </c>
      <c r="O34" s="114">
        <v>105</v>
      </c>
      <c r="P34" s="59">
        <v>827</v>
      </c>
      <c r="Q34" s="115">
        <v>1.3229166666666667</v>
      </c>
      <c r="R34" s="59">
        <v>26</v>
      </c>
      <c r="S34" s="59">
        <v>11</v>
      </c>
      <c r="T34" s="59">
        <v>5</v>
      </c>
      <c r="U34" s="392" t="s">
        <v>2310</v>
      </c>
    </row>
    <row r="35" spans="1:21" ht="15" thickBot="1" x14ac:dyDescent="0.35"/>
    <row r="36" spans="1:21" ht="15" thickBot="1" x14ac:dyDescent="0.35">
      <c r="A36" s="121" t="s">
        <v>1316</v>
      </c>
    </row>
    <row r="37" spans="1:21" x14ac:dyDescent="0.3">
      <c r="A37" s="4" t="s">
        <v>387</v>
      </c>
      <c r="B37" s="108" t="s">
        <v>1299</v>
      </c>
      <c r="C37" s="108" t="s">
        <v>1300</v>
      </c>
      <c r="D37" s="108" t="s">
        <v>418</v>
      </c>
      <c r="E37" s="108" t="s">
        <v>419</v>
      </c>
      <c r="F37" s="108" t="s">
        <v>1317</v>
      </c>
      <c r="G37" s="108" t="s">
        <v>1318</v>
      </c>
      <c r="H37" s="108" t="s">
        <v>824</v>
      </c>
      <c r="I37" s="108" t="s">
        <v>1319</v>
      </c>
      <c r="J37" s="108" t="s">
        <v>1302</v>
      </c>
      <c r="K37" s="108" t="s">
        <v>391</v>
      </c>
      <c r="L37" s="108" t="s">
        <v>756</v>
      </c>
      <c r="M37" s="108" t="s">
        <v>1320</v>
      </c>
      <c r="N37" s="108" t="s">
        <v>1321</v>
      </c>
      <c r="O37" s="108" t="s">
        <v>1322</v>
      </c>
      <c r="P37" s="108" t="s">
        <v>1323</v>
      </c>
      <c r="Q37" s="108" t="s">
        <v>1324</v>
      </c>
      <c r="R37" s="108" t="s">
        <v>1325</v>
      </c>
      <c r="S37" s="108" t="s">
        <v>1326</v>
      </c>
      <c r="T37" s="108" t="s">
        <v>0</v>
      </c>
    </row>
    <row r="38" spans="1:21" x14ac:dyDescent="0.3">
      <c r="A38" s="59" t="s">
        <v>24</v>
      </c>
      <c r="B38" s="59">
        <v>30.6</v>
      </c>
      <c r="C38" s="59">
        <v>489</v>
      </c>
      <c r="D38" s="59">
        <v>353</v>
      </c>
      <c r="E38" s="59">
        <v>562</v>
      </c>
      <c r="F38" s="59">
        <v>62.8</v>
      </c>
      <c r="G38" s="59">
        <v>35.1</v>
      </c>
      <c r="H38" s="109">
        <v>4616</v>
      </c>
      <c r="I38" s="59">
        <v>8.5</v>
      </c>
      <c r="J38" s="59">
        <v>288.5</v>
      </c>
      <c r="K38" s="59">
        <v>35</v>
      </c>
      <c r="L38" s="59">
        <v>13</v>
      </c>
      <c r="M38" s="59">
        <v>237</v>
      </c>
      <c r="N38" s="59">
        <v>42.2</v>
      </c>
      <c r="O38" s="59">
        <v>68</v>
      </c>
      <c r="P38" s="59">
        <v>66</v>
      </c>
      <c r="Q38" s="59">
        <v>15</v>
      </c>
      <c r="R38" s="59">
        <v>27</v>
      </c>
      <c r="S38" s="59">
        <v>100.9</v>
      </c>
      <c r="T38" s="391" t="s">
        <v>2295</v>
      </c>
    </row>
    <row r="39" spans="1:21" x14ac:dyDescent="0.3">
      <c r="A39" s="59" t="s">
        <v>50</v>
      </c>
      <c r="B39" s="59">
        <v>21.2</v>
      </c>
      <c r="C39" s="59">
        <v>339</v>
      </c>
      <c r="D39" s="59">
        <v>410</v>
      </c>
      <c r="E39" s="59">
        <v>621</v>
      </c>
      <c r="F39" s="59">
        <v>66</v>
      </c>
      <c r="G39" s="59">
        <v>38.799999999999997</v>
      </c>
      <c r="H39" s="109">
        <v>4379</v>
      </c>
      <c r="I39" s="59">
        <v>7.4</v>
      </c>
      <c r="J39" s="59">
        <v>273.7</v>
      </c>
      <c r="K39" s="59">
        <v>21</v>
      </c>
      <c r="L39" s="59">
        <v>17</v>
      </c>
      <c r="M39" s="59">
        <v>230</v>
      </c>
      <c r="N39" s="59">
        <v>37</v>
      </c>
      <c r="O39" s="59">
        <v>70</v>
      </c>
      <c r="P39" s="59">
        <v>49</v>
      </c>
      <c r="Q39" s="59">
        <v>9</v>
      </c>
      <c r="R39" s="59">
        <v>32</v>
      </c>
      <c r="S39" s="59">
        <v>87.8</v>
      </c>
      <c r="T39" s="59" t="s">
        <v>2296</v>
      </c>
    </row>
    <row r="40" spans="1:21" x14ac:dyDescent="0.3">
      <c r="A40" s="59" t="s">
        <v>32</v>
      </c>
      <c r="B40" s="59">
        <v>20.5</v>
      </c>
      <c r="C40" s="59">
        <v>328</v>
      </c>
      <c r="D40" s="59">
        <v>426</v>
      </c>
      <c r="E40" s="59">
        <v>676</v>
      </c>
      <c r="F40" s="59">
        <v>63</v>
      </c>
      <c r="G40" s="59">
        <v>42.2</v>
      </c>
      <c r="H40" s="109">
        <v>4271</v>
      </c>
      <c r="I40" s="59">
        <v>6.6</v>
      </c>
      <c r="J40" s="59">
        <v>266.89999999999998</v>
      </c>
      <c r="K40" s="59">
        <v>21</v>
      </c>
      <c r="L40" s="59">
        <v>21</v>
      </c>
      <c r="M40" s="59">
        <v>211</v>
      </c>
      <c r="N40" s="59">
        <v>31.2</v>
      </c>
      <c r="O40" s="59">
        <v>50</v>
      </c>
      <c r="P40" s="59">
        <v>54</v>
      </c>
      <c r="Q40" s="59">
        <v>8</v>
      </c>
      <c r="R40" s="59">
        <v>24</v>
      </c>
      <c r="S40" s="59">
        <v>79.400000000000006</v>
      </c>
      <c r="T40" s="59" t="s">
        <v>2297</v>
      </c>
    </row>
    <row r="41" spans="1:21" x14ac:dyDescent="0.3">
      <c r="A41" s="59" t="s">
        <v>10</v>
      </c>
      <c r="B41" s="59">
        <v>23.7</v>
      </c>
      <c r="C41" s="59">
        <v>379</v>
      </c>
      <c r="D41" s="59">
        <v>295</v>
      </c>
      <c r="E41" s="59">
        <v>465</v>
      </c>
      <c r="F41" s="59">
        <v>63.4</v>
      </c>
      <c r="G41" s="59">
        <v>29.1</v>
      </c>
      <c r="H41" s="109">
        <v>3343</v>
      </c>
      <c r="I41" s="59">
        <v>7.7</v>
      </c>
      <c r="J41" s="59">
        <v>208.9</v>
      </c>
      <c r="K41" s="59">
        <v>23</v>
      </c>
      <c r="L41" s="59">
        <v>9</v>
      </c>
      <c r="M41" s="59">
        <v>155</v>
      </c>
      <c r="N41" s="59">
        <v>33.299999999999997</v>
      </c>
      <c r="O41" s="59">
        <v>63</v>
      </c>
      <c r="P41" s="59">
        <v>51</v>
      </c>
      <c r="Q41" s="59">
        <v>12</v>
      </c>
      <c r="R41" s="59">
        <v>42</v>
      </c>
      <c r="S41" s="59">
        <v>95.6</v>
      </c>
      <c r="T41" s="59" t="s">
        <v>1969</v>
      </c>
    </row>
    <row r="42" spans="1:21" x14ac:dyDescent="0.3">
      <c r="A42" s="59" t="s">
        <v>22</v>
      </c>
      <c r="B42" s="59">
        <v>31.2</v>
      </c>
      <c r="C42" s="59">
        <v>500</v>
      </c>
      <c r="D42" s="59">
        <v>300</v>
      </c>
      <c r="E42" s="59">
        <v>501</v>
      </c>
      <c r="F42" s="59">
        <v>59.9</v>
      </c>
      <c r="G42" s="59">
        <v>31.3</v>
      </c>
      <c r="H42" s="109">
        <v>3589</v>
      </c>
      <c r="I42" s="59">
        <v>7.7</v>
      </c>
      <c r="J42" s="59">
        <v>224.3</v>
      </c>
      <c r="K42" s="59">
        <v>35</v>
      </c>
      <c r="L42" s="59">
        <v>10</v>
      </c>
      <c r="M42" s="59">
        <v>197</v>
      </c>
      <c r="N42" s="59">
        <v>39.299999999999997</v>
      </c>
      <c r="O42" s="59">
        <v>74</v>
      </c>
      <c r="P42" s="59">
        <v>53</v>
      </c>
      <c r="Q42" s="59">
        <v>10</v>
      </c>
      <c r="R42" s="59">
        <v>33</v>
      </c>
      <c r="S42" s="59">
        <v>99.2</v>
      </c>
      <c r="T42" s="59" t="s">
        <v>1997</v>
      </c>
    </row>
    <row r="43" spans="1:21" x14ac:dyDescent="0.3">
      <c r="A43" s="59" t="s">
        <v>46</v>
      </c>
      <c r="B43" s="59">
        <v>20.9</v>
      </c>
      <c r="C43" s="59">
        <v>335</v>
      </c>
      <c r="D43" s="59">
        <v>334</v>
      </c>
      <c r="E43" s="59">
        <v>523</v>
      </c>
      <c r="F43" s="59">
        <v>63.9</v>
      </c>
      <c r="G43" s="59">
        <v>32.700000000000003</v>
      </c>
      <c r="H43" s="109">
        <v>3660</v>
      </c>
      <c r="I43" s="59">
        <v>7.3</v>
      </c>
      <c r="J43" s="59">
        <v>228.8</v>
      </c>
      <c r="K43" s="59">
        <v>21</v>
      </c>
      <c r="L43" s="59">
        <v>12</v>
      </c>
      <c r="M43" s="59">
        <v>177</v>
      </c>
      <c r="N43" s="59">
        <v>33.799999999999997</v>
      </c>
      <c r="O43" s="59">
        <v>87</v>
      </c>
      <c r="P43" s="59">
        <v>56</v>
      </c>
      <c r="Q43" s="59">
        <v>10</v>
      </c>
      <c r="R43" s="59">
        <v>34</v>
      </c>
      <c r="S43" s="59">
        <v>89.7</v>
      </c>
      <c r="T43" s="59" t="s">
        <v>2298</v>
      </c>
    </row>
    <row r="44" spans="1:21" x14ac:dyDescent="0.3">
      <c r="A44" s="59" t="s">
        <v>28</v>
      </c>
      <c r="B44" s="59">
        <v>26.2</v>
      </c>
      <c r="C44" s="59">
        <v>419</v>
      </c>
      <c r="D44" s="59">
        <v>334</v>
      </c>
      <c r="E44" s="59">
        <v>505</v>
      </c>
      <c r="F44" s="59">
        <v>66.099999999999994</v>
      </c>
      <c r="G44" s="59">
        <v>31.6</v>
      </c>
      <c r="H44" s="109">
        <v>3923</v>
      </c>
      <c r="I44" s="59">
        <v>8.1</v>
      </c>
      <c r="J44" s="59">
        <v>245.2</v>
      </c>
      <c r="K44" s="59">
        <v>31</v>
      </c>
      <c r="L44" s="59">
        <v>9</v>
      </c>
      <c r="M44" s="59">
        <v>191</v>
      </c>
      <c r="N44" s="59">
        <v>37.799999999999997</v>
      </c>
      <c r="O44" s="59">
        <v>80</v>
      </c>
      <c r="P44" s="59">
        <v>63</v>
      </c>
      <c r="Q44" s="59">
        <v>13</v>
      </c>
      <c r="R44" s="59">
        <v>32</v>
      </c>
      <c r="S44" s="59">
        <v>104.1</v>
      </c>
      <c r="T44" s="59" t="s">
        <v>1999</v>
      </c>
    </row>
    <row r="45" spans="1:21" x14ac:dyDescent="0.3">
      <c r="A45" s="59" t="s">
        <v>14</v>
      </c>
      <c r="B45" s="59">
        <v>17.399999999999999</v>
      </c>
      <c r="C45" s="59">
        <v>278</v>
      </c>
      <c r="D45" s="59">
        <v>371</v>
      </c>
      <c r="E45" s="59">
        <v>609</v>
      </c>
      <c r="F45" s="59">
        <v>60.9</v>
      </c>
      <c r="G45" s="59">
        <v>38.1</v>
      </c>
      <c r="H45" s="109">
        <v>3782</v>
      </c>
      <c r="I45" s="59">
        <v>6.8</v>
      </c>
      <c r="J45" s="59">
        <v>236.4</v>
      </c>
      <c r="K45" s="59">
        <v>20</v>
      </c>
      <c r="L45" s="59">
        <v>12</v>
      </c>
      <c r="M45" s="59">
        <v>192</v>
      </c>
      <c r="N45" s="59">
        <v>31.5</v>
      </c>
      <c r="O45" s="59">
        <v>61</v>
      </c>
      <c r="P45" s="59">
        <v>48</v>
      </c>
      <c r="Q45" s="59">
        <v>12</v>
      </c>
      <c r="R45" s="59">
        <v>53</v>
      </c>
      <c r="S45" s="59">
        <v>84</v>
      </c>
      <c r="T45" s="59" t="s">
        <v>2299</v>
      </c>
    </row>
    <row r="46" spans="1:21" x14ac:dyDescent="0.3">
      <c r="A46" s="59" t="s">
        <v>52</v>
      </c>
      <c r="B46" s="59">
        <v>17.2</v>
      </c>
      <c r="C46" s="59">
        <v>275</v>
      </c>
      <c r="D46" s="59">
        <v>334</v>
      </c>
      <c r="E46" s="59">
        <v>528</v>
      </c>
      <c r="F46" s="59">
        <v>63.3</v>
      </c>
      <c r="G46" s="59">
        <v>33</v>
      </c>
      <c r="H46" s="109">
        <v>3471</v>
      </c>
      <c r="I46" s="59">
        <v>7</v>
      </c>
      <c r="J46" s="59">
        <v>216.9</v>
      </c>
      <c r="K46" s="59">
        <v>16</v>
      </c>
      <c r="L46" s="59">
        <v>22</v>
      </c>
      <c r="M46" s="59">
        <v>175</v>
      </c>
      <c r="N46" s="59">
        <v>33.1</v>
      </c>
      <c r="O46" s="59">
        <v>67</v>
      </c>
      <c r="P46" s="59">
        <v>40</v>
      </c>
      <c r="Q46" s="59">
        <v>4</v>
      </c>
      <c r="R46" s="59">
        <v>33</v>
      </c>
      <c r="S46" s="59">
        <v>76.599999999999994</v>
      </c>
      <c r="T46" s="59" t="s">
        <v>1994</v>
      </c>
    </row>
    <row r="47" spans="1:21" x14ac:dyDescent="0.3">
      <c r="A47" s="59" t="s">
        <v>70</v>
      </c>
      <c r="B47" s="59">
        <v>22.2</v>
      </c>
      <c r="C47" s="59">
        <v>355</v>
      </c>
      <c r="D47" s="59">
        <v>368</v>
      </c>
      <c r="E47" s="59">
        <v>606</v>
      </c>
      <c r="F47" s="59">
        <v>60.7</v>
      </c>
      <c r="G47" s="59">
        <v>37.9</v>
      </c>
      <c r="H47" s="109">
        <v>3970</v>
      </c>
      <c r="I47" s="59">
        <v>7</v>
      </c>
      <c r="J47" s="59">
        <v>248.1</v>
      </c>
      <c r="K47" s="59">
        <v>19</v>
      </c>
      <c r="L47" s="59">
        <v>23</v>
      </c>
      <c r="M47" s="59">
        <v>201</v>
      </c>
      <c r="N47" s="59">
        <v>33.200000000000003</v>
      </c>
      <c r="O47" s="59">
        <v>75</v>
      </c>
      <c r="P47" s="59">
        <v>41</v>
      </c>
      <c r="Q47" s="59">
        <v>11</v>
      </c>
      <c r="R47" s="59">
        <v>39</v>
      </c>
      <c r="S47" s="59">
        <v>76.3</v>
      </c>
      <c r="T47" s="59" t="s">
        <v>2300</v>
      </c>
    </row>
    <row r="48" spans="1:21" x14ac:dyDescent="0.3">
      <c r="A48" s="59" t="s">
        <v>26</v>
      </c>
      <c r="B48" s="59">
        <v>22.4</v>
      </c>
      <c r="C48" s="59">
        <v>358</v>
      </c>
      <c r="D48" s="59">
        <v>420</v>
      </c>
      <c r="E48" s="59">
        <v>632</v>
      </c>
      <c r="F48" s="59">
        <v>66.5</v>
      </c>
      <c r="G48" s="59">
        <v>39.5</v>
      </c>
      <c r="H48" s="109">
        <v>4212</v>
      </c>
      <c r="I48" s="59">
        <v>7.1</v>
      </c>
      <c r="J48" s="59">
        <v>263.2</v>
      </c>
      <c r="K48" s="59">
        <v>33</v>
      </c>
      <c r="L48" s="59">
        <v>14</v>
      </c>
      <c r="M48" s="59">
        <v>236</v>
      </c>
      <c r="N48" s="59">
        <v>37.299999999999997</v>
      </c>
      <c r="O48" s="59">
        <v>57</v>
      </c>
      <c r="P48" s="59">
        <v>52</v>
      </c>
      <c r="Q48" s="59">
        <v>8</v>
      </c>
      <c r="R48" s="59">
        <v>44</v>
      </c>
      <c r="S48" s="59">
        <v>95.1</v>
      </c>
      <c r="T48" s="59" t="s">
        <v>2301</v>
      </c>
    </row>
    <row r="49" spans="1:20" x14ac:dyDescent="0.3">
      <c r="A49" s="59" t="s">
        <v>395</v>
      </c>
      <c r="B49" s="59">
        <v>23</v>
      </c>
      <c r="C49" s="59">
        <v>368</v>
      </c>
      <c r="D49" s="59">
        <v>348</v>
      </c>
      <c r="E49" s="59">
        <v>573</v>
      </c>
      <c r="F49" s="59">
        <v>60.7</v>
      </c>
      <c r="G49" s="59">
        <v>35.799999999999997</v>
      </c>
      <c r="H49" s="109">
        <v>3503</v>
      </c>
      <c r="I49" s="59">
        <v>6.7</v>
      </c>
      <c r="J49" s="59">
        <v>218.9</v>
      </c>
      <c r="K49" s="59">
        <v>31</v>
      </c>
      <c r="L49" s="59">
        <v>8</v>
      </c>
      <c r="M49" s="59">
        <v>173</v>
      </c>
      <c r="N49" s="59">
        <v>30.2</v>
      </c>
      <c r="O49" s="59">
        <v>65</v>
      </c>
      <c r="P49" s="59">
        <v>55</v>
      </c>
      <c r="Q49" s="59">
        <v>6</v>
      </c>
      <c r="R49" s="59">
        <v>47</v>
      </c>
      <c r="S49" s="59">
        <v>92.7</v>
      </c>
      <c r="T49" s="59" t="s">
        <v>1976</v>
      </c>
    </row>
    <row r="50" spans="1:20" x14ac:dyDescent="0.3">
      <c r="A50" s="59" t="s">
        <v>43</v>
      </c>
      <c r="B50" s="59">
        <v>21.2</v>
      </c>
      <c r="C50" s="59">
        <v>339</v>
      </c>
      <c r="D50" s="59">
        <v>358</v>
      </c>
      <c r="E50" s="59">
        <v>619</v>
      </c>
      <c r="F50" s="59">
        <v>57.8</v>
      </c>
      <c r="G50" s="59">
        <v>38.700000000000003</v>
      </c>
      <c r="H50" s="109">
        <v>3833</v>
      </c>
      <c r="I50" s="59">
        <v>6.6</v>
      </c>
      <c r="J50" s="59">
        <v>239.6</v>
      </c>
      <c r="K50" s="59">
        <v>29</v>
      </c>
      <c r="L50" s="59">
        <v>12</v>
      </c>
      <c r="M50" s="59">
        <v>210</v>
      </c>
      <c r="N50" s="59">
        <v>33.9</v>
      </c>
      <c r="O50" s="59">
        <v>61</v>
      </c>
      <c r="P50" s="59">
        <v>46</v>
      </c>
      <c r="Q50" s="59">
        <v>8</v>
      </c>
      <c r="R50" s="59">
        <v>36</v>
      </c>
      <c r="S50" s="59">
        <v>85.3</v>
      </c>
      <c r="T50" s="59" t="s">
        <v>2302</v>
      </c>
    </row>
    <row r="51" spans="1:20" x14ac:dyDescent="0.3">
      <c r="A51" s="59" t="s">
        <v>16</v>
      </c>
      <c r="B51" s="59">
        <v>20.8</v>
      </c>
      <c r="C51" s="59">
        <v>333</v>
      </c>
      <c r="D51" s="59">
        <v>355</v>
      </c>
      <c r="E51" s="59">
        <v>619</v>
      </c>
      <c r="F51" s="59">
        <v>57.4</v>
      </c>
      <c r="G51" s="59">
        <v>38.700000000000003</v>
      </c>
      <c r="H51" s="109">
        <v>3704</v>
      </c>
      <c r="I51" s="59">
        <v>6.3</v>
      </c>
      <c r="J51" s="59">
        <v>231.5</v>
      </c>
      <c r="K51" s="59">
        <v>26</v>
      </c>
      <c r="L51" s="59">
        <v>19</v>
      </c>
      <c r="M51" s="59">
        <v>195</v>
      </c>
      <c r="N51" s="59">
        <v>31.5</v>
      </c>
      <c r="O51" s="59">
        <v>87</v>
      </c>
      <c r="P51" s="59">
        <v>46</v>
      </c>
      <c r="Q51" s="59">
        <v>7</v>
      </c>
      <c r="R51" s="59">
        <v>37</v>
      </c>
      <c r="S51" s="59">
        <v>77.5</v>
      </c>
      <c r="T51" s="59" t="s">
        <v>1967</v>
      </c>
    </row>
    <row r="52" spans="1:20" x14ac:dyDescent="0.3">
      <c r="A52" s="59" t="s">
        <v>12</v>
      </c>
      <c r="B52" s="59">
        <v>23.5</v>
      </c>
      <c r="C52" s="59">
        <v>376</v>
      </c>
      <c r="D52" s="59">
        <v>355</v>
      </c>
      <c r="E52" s="59">
        <v>607</v>
      </c>
      <c r="F52" s="59">
        <v>58.5</v>
      </c>
      <c r="G52" s="59">
        <v>37.9</v>
      </c>
      <c r="H52" s="109">
        <v>4108</v>
      </c>
      <c r="I52" s="59">
        <v>7.3</v>
      </c>
      <c r="J52" s="59">
        <v>256.8</v>
      </c>
      <c r="K52" s="59">
        <v>35</v>
      </c>
      <c r="L52" s="59">
        <v>18</v>
      </c>
      <c r="M52" s="59">
        <v>215</v>
      </c>
      <c r="N52" s="59">
        <v>35.4</v>
      </c>
      <c r="O52" s="59">
        <v>90</v>
      </c>
      <c r="P52" s="59">
        <v>72</v>
      </c>
      <c r="Q52" s="59">
        <v>11</v>
      </c>
      <c r="R52" s="59">
        <v>51</v>
      </c>
      <c r="S52" s="59">
        <v>88.1</v>
      </c>
      <c r="T52" s="59" t="s">
        <v>1980</v>
      </c>
    </row>
    <row r="53" spans="1:20" x14ac:dyDescent="0.3">
      <c r="A53" s="59" t="s">
        <v>397</v>
      </c>
      <c r="B53" s="59">
        <v>25.3</v>
      </c>
      <c r="C53" s="59">
        <v>405</v>
      </c>
      <c r="D53" s="59">
        <v>310</v>
      </c>
      <c r="E53" s="59">
        <v>473</v>
      </c>
      <c r="F53" s="59">
        <v>65.5</v>
      </c>
      <c r="G53" s="59">
        <v>29.6</v>
      </c>
      <c r="H53" s="109">
        <v>3255</v>
      </c>
      <c r="I53" s="59">
        <v>7.4</v>
      </c>
      <c r="J53" s="59">
        <v>203.4</v>
      </c>
      <c r="K53" s="59">
        <v>20</v>
      </c>
      <c r="L53" s="59">
        <v>7</v>
      </c>
      <c r="M53" s="59">
        <v>155</v>
      </c>
      <c r="N53" s="59">
        <v>32.799999999999997</v>
      </c>
      <c r="O53" s="59">
        <v>80</v>
      </c>
      <c r="P53" s="59">
        <v>42</v>
      </c>
      <c r="Q53" s="59">
        <v>10</v>
      </c>
      <c r="R53" s="59">
        <v>46</v>
      </c>
      <c r="S53" s="59">
        <v>95.4</v>
      </c>
      <c r="T53" s="59" t="s">
        <v>1982</v>
      </c>
    </row>
    <row r="54" spans="1:20" x14ac:dyDescent="0.3">
      <c r="A54" s="59" t="s">
        <v>409</v>
      </c>
      <c r="B54" s="59">
        <v>17.5</v>
      </c>
      <c r="C54" s="59">
        <v>280</v>
      </c>
      <c r="D54" s="59">
        <v>273</v>
      </c>
      <c r="E54" s="59">
        <v>473</v>
      </c>
      <c r="F54" s="59">
        <v>57.7</v>
      </c>
      <c r="G54" s="59">
        <v>29.6</v>
      </c>
      <c r="H54" s="109">
        <v>2805</v>
      </c>
      <c r="I54" s="59">
        <v>6.2</v>
      </c>
      <c r="J54" s="59">
        <v>175.3</v>
      </c>
      <c r="K54" s="59">
        <v>11</v>
      </c>
      <c r="L54" s="59">
        <v>11</v>
      </c>
      <c r="M54" s="59">
        <v>126</v>
      </c>
      <c r="N54" s="59">
        <v>26.6</v>
      </c>
      <c r="O54" s="59">
        <v>68</v>
      </c>
      <c r="P54" s="59">
        <v>35</v>
      </c>
      <c r="Q54" s="59">
        <v>10</v>
      </c>
      <c r="R54" s="59">
        <v>18</v>
      </c>
      <c r="S54" s="59">
        <v>74.099999999999994</v>
      </c>
      <c r="T54" s="59" t="s">
        <v>2303</v>
      </c>
    </row>
    <row r="55" spans="1:20" x14ac:dyDescent="0.3">
      <c r="A55" s="59" t="s">
        <v>57</v>
      </c>
      <c r="B55" s="59">
        <v>19.399999999999999</v>
      </c>
      <c r="C55" s="59">
        <v>310</v>
      </c>
      <c r="D55" s="59">
        <v>365</v>
      </c>
      <c r="E55" s="59">
        <v>588</v>
      </c>
      <c r="F55" s="59">
        <v>62.1</v>
      </c>
      <c r="G55" s="59">
        <v>36.799999999999997</v>
      </c>
      <c r="H55" s="109">
        <v>3811</v>
      </c>
      <c r="I55" s="59">
        <v>7.2</v>
      </c>
      <c r="J55" s="59">
        <v>238.2</v>
      </c>
      <c r="K55" s="59">
        <v>24</v>
      </c>
      <c r="L55" s="59">
        <v>12</v>
      </c>
      <c r="M55" s="59">
        <v>194</v>
      </c>
      <c r="N55" s="59">
        <v>33</v>
      </c>
      <c r="O55" s="59">
        <v>54</v>
      </c>
      <c r="P55" s="59">
        <v>57</v>
      </c>
      <c r="Q55" s="59">
        <v>13</v>
      </c>
      <c r="R55" s="59">
        <v>45</v>
      </c>
      <c r="S55" s="59">
        <v>88.9</v>
      </c>
      <c r="T55" s="59" t="s">
        <v>2003</v>
      </c>
    </row>
    <row r="56" spans="1:20" x14ac:dyDescent="0.3">
      <c r="A56" s="59" t="s">
        <v>41</v>
      </c>
      <c r="B56" s="59">
        <v>22.8</v>
      </c>
      <c r="C56" s="59">
        <v>365</v>
      </c>
      <c r="D56" s="59">
        <v>294</v>
      </c>
      <c r="E56" s="59">
        <v>454</v>
      </c>
      <c r="F56" s="59">
        <v>64.8</v>
      </c>
      <c r="G56" s="59">
        <v>28.4</v>
      </c>
      <c r="H56" s="109">
        <v>2928</v>
      </c>
      <c r="I56" s="59">
        <v>7.1</v>
      </c>
      <c r="J56" s="59">
        <v>183</v>
      </c>
      <c r="K56" s="59">
        <v>14</v>
      </c>
      <c r="L56" s="59">
        <v>9</v>
      </c>
      <c r="M56" s="59">
        <v>153</v>
      </c>
      <c r="N56" s="59">
        <v>33.700000000000003</v>
      </c>
      <c r="O56" s="59">
        <v>52</v>
      </c>
      <c r="P56" s="59">
        <v>41</v>
      </c>
      <c r="Q56" s="59">
        <v>6</v>
      </c>
      <c r="R56" s="59">
        <v>45</v>
      </c>
      <c r="S56" s="59">
        <v>87.9</v>
      </c>
      <c r="T56" s="59" t="s">
        <v>2304</v>
      </c>
    </row>
    <row r="57" spans="1:20" x14ac:dyDescent="0.3">
      <c r="A57" s="59" t="s">
        <v>402</v>
      </c>
      <c r="B57" s="59">
        <v>29.1</v>
      </c>
      <c r="C57" s="59">
        <v>465</v>
      </c>
      <c r="D57" s="59">
        <v>404</v>
      </c>
      <c r="E57" s="59">
        <v>629</v>
      </c>
      <c r="F57" s="59">
        <v>64.2</v>
      </c>
      <c r="G57" s="59">
        <v>39.299999999999997</v>
      </c>
      <c r="H57" s="109">
        <v>4587</v>
      </c>
      <c r="I57" s="59">
        <v>7.7</v>
      </c>
      <c r="J57" s="59">
        <v>286.7</v>
      </c>
      <c r="K57" s="59">
        <v>36</v>
      </c>
      <c r="L57" s="59">
        <v>7</v>
      </c>
      <c r="M57" s="59">
        <v>229</v>
      </c>
      <c r="N57" s="59">
        <v>36.4</v>
      </c>
      <c r="O57" s="59">
        <v>76</v>
      </c>
      <c r="P57" s="59">
        <v>59</v>
      </c>
      <c r="Q57" s="59">
        <v>12</v>
      </c>
      <c r="R57" s="59">
        <v>38</v>
      </c>
      <c r="S57" s="59">
        <v>101.9</v>
      </c>
      <c r="T57" s="59" t="s">
        <v>1992</v>
      </c>
    </row>
    <row r="58" spans="1:20" x14ac:dyDescent="0.3">
      <c r="A58" s="59" t="s">
        <v>404</v>
      </c>
      <c r="B58" s="59">
        <v>25.5</v>
      </c>
      <c r="C58" s="59">
        <v>408</v>
      </c>
      <c r="D58" s="59">
        <v>460</v>
      </c>
      <c r="E58" s="59">
        <v>667</v>
      </c>
      <c r="F58" s="59">
        <v>69</v>
      </c>
      <c r="G58" s="59">
        <v>41.7</v>
      </c>
      <c r="H58" s="109">
        <v>4970</v>
      </c>
      <c r="I58" s="59">
        <v>7.8</v>
      </c>
      <c r="J58" s="59">
        <v>310.60000000000002</v>
      </c>
      <c r="K58" s="59">
        <v>32</v>
      </c>
      <c r="L58" s="59">
        <v>12</v>
      </c>
      <c r="M58" s="59">
        <v>247</v>
      </c>
      <c r="N58" s="59">
        <v>37</v>
      </c>
      <c r="O58" s="59">
        <v>80</v>
      </c>
      <c r="P58" s="59">
        <v>72</v>
      </c>
      <c r="Q58" s="59">
        <v>13</v>
      </c>
      <c r="R58" s="59">
        <v>32</v>
      </c>
      <c r="S58" s="59">
        <v>100.6</v>
      </c>
      <c r="T58" s="59" t="s">
        <v>1963</v>
      </c>
    </row>
    <row r="59" spans="1:20" x14ac:dyDescent="0.3">
      <c r="A59" s="59" t="s">
        <v>37</v>
      </c>
      <c r="B59" s="59">
        <v>26.2</v>
      </c>
      <c r="C59" s="59">
        <v>420</v>
      </c>
      <c r="D59" s="59">
        <v>392</v>
      </c>
      <c r="E59" s="59">
        <v>623</v>
      </c>
      <c r="F59" s="59">
        <v>62.9</v>
      </c>
      <c r="G59" s="59">
        <v>38.9</v>
      </c>
      <c r="H59" s="109">
        <v>4343</v>
      </c>
      <c r="I59" s="59">
        <v>7.2</v>
      </c>
      <c r="J59" s="59">
        <v>271.39999999999998</v>
      </c>
      <c r="K59" s="59">
        <v>36</v>
      </c>
      <c r="L59" s="59">
        <v>14</v>
      </c>
      <c r="M59" s="59">
        <v>208</v>
      </c>
      <c r="N59" s="59">
        <v>33.4</v>
      </c>
      <c r="O59" s="59">
        <v>87</v>
      </c>
      <c r="P59" s="59">
        <v>53</v>
      </c>
      <c r="Q59" s="59">
        <v>16</v>
      </c>
      <c r="R59" s="59">
        <v>27</v>
      </c>
      <c r="S59" s="59">
        <v>94.5</v>
      </c>
      <c r="T59" s="59" t="s">
        <v>1987</v>
      </c>
    </row>
    <row r="60" spans="1:20" x14ac:dyDescent="0.3">
      <c r="A60" s="59" t="s">
        <v>34</v>
      </c>
      <c r="B60" s="59">
        <v>24.2</v>
      </c>
      <c r="C60" s="59">
        <v>387</v>
      </c>
      <c r="D60" s="59">
        <v>362</v>
      </c>
      <c r="E60" s="59">
        <v>604</v>
      </c>
      <c r="F60" s="59">
        <v>59.9</v>
      </c>
      <c r="G60" s="59">
        <v>37.799999999999997</v>
      </c>
      <c r="H60" s="109">
        <v>4057</v>
      </c>
      <c r="I60" s="59">
        <v>6.9</v>
      </c>
      <c r="J60" s="59">
        <v>253.6</v>
      </c>
      <c r="K60" s="59">
        <v>33</v>
      </c>
      <c r="L60" s="59">
        <v>16</v>
      </c>
      <c r="M60" s="59">
        <v>210</v>
      </c>
      <c r="N60" s="59">
        <v>34.799999999999997</v>
      </c>
      <c r="O60" s="59">
        <v>69</v>
      </c>
      <c r="P60" s="59">
        <v>56</v>
      </c>
      <c r="Q60" s="59">
        <v>9</v>
      </c>
      <c r="R60" s="59">
        <v>22</v>
      </c>
      <c r="S60" s="59">
        <v>88</v>
      </c>
      <c r="T60" s="59" t="s">
        <v>2305</v>
      </c>
    </row>
    <row r="61" spans="1:20" x14ac:dyDescent="0.3">
      <c r="A61" s="59" t="s">
        <v>4</v>
      </c>
      <c r="B61" s="59">
        <v>22.4</v>
      </c>
      <c r="C61" s="59">
        <v>359</v>
      </c>
      <c r="D61" s="59">
        <v>373</v>
      </c>
      <c r="E61" s="59">
        <v>605</v>
      </c>
      <c r="F61" s="59">
        <v>61.7</v>
      </c>
      <c r="G61" s="59">
        <v>37.799999999999997</v>
      </c>
      <c r="H61" s="109">
        <v>3879</v>
      </c>
      <c r="I61" s="59">
        <v>6.8</v>
      </c>
      <c r="J61" s="59">
        <v>242.4</v>
      </c>
      <c r="K61" s="59">
        <v>34</v>
      </c>
      <c r="L61" s="59">
        <v>14</v>
      </c>
      <c r="M61" s="59">
        <v>193</v>
      </c>
      <c r="N61" s="59">
        <v>31.9</v>
      </c>
      <c r="O61" s="59">
        <v>68</v>
      </c>
      <c r="P61" s="59">
        <v>53</v>
      </c>
      <c r="Q61" s="59">
        <v>10</v>
      </c>
      <c r="R61" s="59">
        <v>33</v>
      </c>
      <c r="S61" s="59">
        <v>91</v>
      </c>
      <c r="T61" s="59" t="s">
        <v>2306</v>
      </c>
    </row>
    <row r="62" spans="1:20" x14ac:dyDescent="0.3">
      <c r="A62" s="59" t="s">
        <v>39</v>
      </c>
      <c r="B62" s="59">
        <v>23.6</v>
      </c>
      <c r="C62" s="59">
        <v>377</v>
      </c>
      <c r="D62" s="59">
        <v>405</v>
      </c>
      <c r="E62" s="59">
        <v>623</v>
      </c>
      <c r="F62" s="59">
        <v>65</v>
      </c>
      <c r="G62" s="59">
        <v>38.9</v>
      </c>
      <c r="H62" s="109">
        <v>4087</v>
      </c>
      <c r="I62" s="59">
        <v>7</v>
      </c>
      <c r="J62" s="59">
        <v>255.4</v>
      </c>
      <c r="K62" s="59">
        <v>23</v>
      </c>
      <c r="L62" s="59">
        <v>18</v>
      </c>
      <c r="M62" s="59">
        <v>193</v>
      </c>
      <c r="N62" s="59">
        <v>31</v>
      </c>
      <c r="O62" s="59">
        <v>78</v>
      </c>
      <c r="P62" s="59">
        <v>53</v>
      </c>
      <c r="Q62" s="59">
        <v>14</v>
      </c>
      <c r="R62" s="59">
        <v>37</v>
      </c>
      <c r="S62" s="59">
        <v>85.6</v>
      </c>
      <c r="T62" s="59" t="s">
        <v>1965</v>
      </c>
    </row>
    <row r="63" spans="1:20" x14ac:dyDescent="0.3">
      <c r="A63" s="59" t="s">
        <v>20</v>
      </c>
      <c r="B63" s="59">
        <v>26.4</v>
      </c>
      <c r="C63" s="59">
        <v>423</v>
      </c>
      <c r="D63" s="59">
        <v>391</v>
      </c>
      <c r="E63" s="59">
        <v>590</v>
      </c>
      <c r="F63" s="59">
        <v>66.3</v>
      </c>
      <c r="G63" s="59">
        <v>36.9</v>
      </c>
      <c r="H63" s="109">
        <v>4603</v>
      </c>
      <c r="I63" s="59">
        <v>8.1999999999999993</v>
      </c>
      <c r="J63" s="59">
        <v>287.7</v>
      </c>
      <c r="K63" s="59">
        <v>26</v>
      </c>
      <c r="L63" s="59">
        <v>21</v>
      </c>
      <c r="M63" s="59">
        <v>207</v>
      </c>
      <c r="N63" s="59">
        <v>35.1</v>
      </c>
      <c r="O63" s="59">
        <v>88</v>
      </c>
      <c r="P63" s="59">
        <v>61</v>
      </c>
      <c r="Q63" s="59">
        <v>21</v>
      </c>
      <c r="R63" s="59">
        <v>33</v>
      </c>
      <c r="S63" s="59">
        <v>91.2</v>
      </c>
      <c r="T63" s="59" t="s">
        <v>2307</v>
      </c>
    </row>
    <row r="64" spans="1:20" x14ac:dyDescent="0.3">
      <c r="A64" s="59" t="s">
        <v>407</v>
      </c>
      <c r="B64" s="59">
        <v>20</v>
      </c>
      <c r="C64" s="59">
        <v>320</v>
      </c>
      <c r="D64" s="59">
        <v>442</v>
      </c>
      <c r="E64" s="59">
        <v>667</v>
      </c>
      <c r="F64" s="59">
        <v>66.3</v>
      </c>
      <c r="G64" s="59">
        <v>41.7</v>
      </c>
      <c r="H64" s="109">
        <v>4591</v>
      </c>
      <c r="I64" s="59">
        <v>7.3</v>
      </c>
      <c r="J64" s="59">
        <v>286.89999999999998</v>
      </c>
      <c r="K64" s="59">
        <v>30</v>
      </c>
      <c r="L64" s="59">
        <v>13</v>
      </c>
      <c r="M64" s="59">
        <v>230</v>
      </c>
      <c r="N64" s="59">
        <v>34.5</v>
      </c>
      <c r="O64" s="59">
        <v>80</v>
      </c>
      <c r="P64" s="59">
        <v>53</v>
      </c>
      <c r="Q64" s="59">
        <v>8</v>
      </c>
      <c r="R64" s="59">
        <v>40</v>
      </c>
      <c r="S64" s="59">
        <v>94.5</v>
      </c>
      <c r="T64" s="59" t="s">
        <v>2308</v>
      </c>
    </row>
    <row r="65" spans="1:20" x14ac:dyDescent="0.3">
      <c r="A65" s="59" t="s">
        <v>7</v>
      </c>
      <c r="B65" s="59">
        <v>26.4</v>
      </c>
      <c r="C65" s="59">
        <v>423</v>
      </c>
      <c r="D65" s="59">
        <v>333</v>
      </c>
      <c r="E65" s="59">
        <v>489</v>
      </c>
      <c r="F65" s="59">
        <v>68.099999999999994</v>
      </c>
      <c r="G65" s="59">
        <v>30.6</v>
      </c>
      <c r="H65" s="109">
        <v>3790</v>
      </c>
      <c r="I65" s="59">
        <v>8.3000000000000007</v>
      </c>
      <c r="J65" s="59">
        <v>236.9</v>
      </c>
      <c r="K65" s="59">
        <v>34</v>
      </c>
      <c r="L65" s="59">
        <v>8</v>
      </c>
      <c r="M65" s="59">
        <v>190</v>
      </c>
      <c r="N65" s="59">
        <v>38.9</v>
      </c>
      <c r="O65" s="59">
        <v>80</v>
      </c>
      <c r="P65" s="59">
        <v>60</v>
      </c>
      <c r="Q65" s="59">
        <v>9</v>
      </c>
      <c r="R65" s="59">
        <v>46</v>
      </c>
      <c r="S65" s="59">
        <v>109.8</v>
      </c>
      <c r="T65" s="59" t="s">
        <v>2001</v>
      </c>
    </row>
    <row r="66" spans="1:20" x14ac:dyDescent="0.3">
      <c r="A66" s="59" t="s">
        <v>398</v>
      </c>
      <c r="B66" s="59">
        <v>14.9</v>
      </c>
      <c r="C66" s="59">
        <v>238</v>
      </c>
      <c r="D66" s="59">
        <v>322</v>
      </c>
      <c r="E66" s="59">
        <v>526</v>
      </c>
      <c r="F66" s="59">
        <v>61.2</v>
      </c>
      <c r="G66" s="59">
        <v>32.9</v>
      </c>
      <c r="H66" s="109">
        <v>3316</v>
      </c>
      <c r="I66" s="59">
        <v>6.9</v>
      </c>
      <c r="J66" s="59">
        <v>207.2</v>
      </c>
      <c r="K66" s="59">
        <v>16</v>
      </c>
      <c r="L66" s="59">
        <v>12</v>
      </c>
      <c r="M66" s="59">
        <v>154</v>
      </c>
      <c r="N66" s="59">
        <v>29.3</v>
      </c>
      <c r="O66" s="59">
        <v>76</v>
      </c>
      <c r="P66" s="59">
        <v>46</v>
      </c>
      <c r="Q66" s="59">
        <v>12</v>
      </c>
      <c r="R66" s="59">
        <v>53</v>
      </c>
      <c r="S66" s="59">
        <v>82.6</v>
      </c>
      <c r="T66" s="59" t="s">
        <v>2309</v>
      </c>
    </row>
    <row r="67" spans="1:20" x14ac:dyDescent="0.3">
      <c r="A67" s="59" t="s">
        <v>401</v>
      </c>
      <c r="B67" s="59">
        <v>21.4</v>
      </c>
      <c r="C67" s="59">
        <v>342</v>
      </c>
      <c r="D67" s="59">
        <v>312</v>
      </c>
      <c r="E67" s="59">
        <v>535</v>
      </c>
      <c r="F67" s="59">
        <v>58.3</v>
      </c>
      <c r="G67" s="59">
        <v>33.4</v>
      </c>
      <c r="H67" s="109">
        <v>3852</v>
      </c>
      <c r="I67" s="59">
        <v>7.6</v>
      </c>
      <c r="J67" s="59">
        <v>240.8</v>
      </c>
      <c r="K67" s="59">
        <v>22</v>
      </c>
      <c r="L67" s="59">
        <v>15</v>
      </c>
      <c r="M67" s="59">
        <v>201</v>
      </c>
      <c r="N67" s="59">
        <v>37.6</v>
      </c>
      <c r="O67" s="59">
        <v>68</v>
      </c>
      <c r="P67" s="59">
        <v>57</v>
      </c>
      <c r="Q67" s="59">
        <v>9</v>
      </c>
      <c r="R67" s="59">
        <v>27</v>
      </c>
      <c r="S67" s="59">
        <v>84.2</v>
      </c>
      <c r="T67" s="59" t="s">
        <v>2005</v>
      </c>
    </row>
    <row r="68" spans="1:20" x14ac:dyDescent="0.3">
      <c r="A68" s="59" t="s">
        <v>30</v>
      </c>
      <c r="B68" s="59">
        <v>18.7</v>
      </c>
      <c r="C68" s="59">
        <v>299</v>
      </c>
      <c r="D68" s="59">
        <v>342</v>
      </c>
      <c r="E68" s="59">
        <v>551</v>
      </c>
      <c r="F68" s="59">
        <v>62.1</v>
      </c>
      <c r="G68" s="59">
        <v>34.4</v>
      </c>
      <c r="H68" s="109">
        <v>3503</v>
      </c>
      <c r="I68" s="59">
        <v>7.1</v>
      </c>
      <c r="J68" s="59">
        <v>218.9</v>
      </c>
      <c r="K68" s="59">
        <v>25</v>
      </c>
      <c r="L68" s="59">
        <v>17</v>
      </c>
      <c r="M68" s="59">
        <v>195</v>
      </c>
      <c r="N68" s="59">
        <v>35.4</v>
      </c>
      <c r="O68" s="59">
        <v>61</v>
      </c>
      <c r="P68" s="59">
        <v>49</v>
      </c>
      <c r="Q68" s="59">
        <v>6</v>
      </c>
      <c r="R68" s="59">
        <v>54</v>
      </c>
      <c r="S68" s="59">
        <v>85.5</v>
      </c>
      <c r="T68" s="59" t="s">
        <v>1978</v>
      </c>
    </row>
    <row r="69" spans="1:20" x14ac:dyDescent="0.3">
      <c r="A69" s="59" t="s">
        <v>18</v>
      </c>
      <c r="B69" s="59">
        <v>24.2</v>
      </c>
      <c r="C69" s="59">
        <v>388</v>
      </c>
      <c r="D69" s="59">
        <v>386</v>
      </c>
      <c r="E69" s="59">
        <v>555</v>
      </c>
      <c r="F69" s="59">
        <v>69.5</v>
      </c>
      <c r="G69" s="59">
        <v>34.700000000000003</v>
      </c>
      <c r="H69" s="109">
        <v>4095</v>
      </c>
      <c r="I69" s="59">
        <v>7.7</v>
      </c>
      <c r="J69" s="59">
        <v>255.9</v>
      </c>
      <c r="K69" s="59">
        <v>30</v>
      </c>
      <c r="L69" s="59">
        <v>11</v>
      </c>
      <c r="M69" s="59">
        <v>208</v>
      </c>
      <c r="N69" s="59">
        <v>37.5</v>
      </c>
      <c r="O69" s="59">
        <v>78</v>
      </c>
      <c r="P69" s="59">
        <v>52</v>
      </c>
      <c r="Q69" s="59">
        <v>9</v>
      </c>
      <c r="R69" s="59">
        <v>27</v>
      </c>
      <c r="S69" s="59">
        <v>102</v>
      </c>
      <c r="T69" s="392" t="s">
        <v>2310</v>
      </c>
    </row>
    <row r="70" spans="1:20" ht="15" thickBot="1" x14ac:dyDescent="0.35"/>
    <row r="71" spans="1:20" ht="15" thickBot="1" x14ac:dyDescent="0.35">
      <c r="A71" s="121" t="s">
        <v>1327</v>
      </c>
    </row>
    <row r="72" spans="1:20" x14ac:dyDescent="0.3">
      <c r="A72" s="4" t="s">
        <v>387</v>
      </c>
      <c r="B72" s="1" t="s">
        <v>1299</v>
      </c>
      <c r="C72" s="1" t="s">
        <v>1300</v>
      </c>
      <c r="D72" s="1" t="s">
        <v>419</v>
      </c>
      <c r="E72" s="1" t="s">
        <v>1318</v>
      </c>
      <c r="F72" s="1" t="s">
        <v>824</v>
      </c>
      <c r="G72" s="1" t="s">
        <v>1319</v>
      </c>
      <c r="H72" s="1" t="s">
        <v>1302</v>
      </c>
      <c r="I72" s="1" t="s">
        <v>391</v>
      </c>
      <c r="J72" s="1" t="s">
        <v>1322</v>
      </c>
      <c r="K72" s="1" t="s">
        <v>1320</v>
      </c>
      <c r="L72" s="1" t="s">
        <v>1321</v>
      </c>
      <c r="M72" s="1" t="s">
        <v>1323</v>
      </c>
      <c r="N72" s="1" t="s">
        <v>1324</v>
      </c>
      <c r="O72" s="1" t="s">
        <v>1314</v>
      </c>
      <c r="P72" s="1" t="s">
        <v>0</v>
      </c>
    </row>
    <row r="73" spans="1:20" x14ac:dyDescent="0.3">
      <c r="A73" s="59" t="s">
        <v>24</v>
      </c>
      <c r="B73" s="59">
        <v>30.6</v>
      </c>
      <c r="C73" s="59">
        <v>489</v>
      </c>
      <c r="D73" s="59">
        <v>452</v>
      </c>
      <c r="E73" s="59">
        <v>28.2</v>
      </c>
      <c r="F73" s="109">
        <v>1917</v>
      </c>
      <c r="G73" s="59">
        <v>4.2</v>
      </c>
      <c r="H73" s="59">
        <v>119.8</v>
      </c>
      <c r="I73" s="59">
        <v>16</v>
      </c>
      <c r="J73" s="59">
        <v>63</v>
      </c>
      <c r="K73" s="59">
        <v>92</v>
      </c>
      <c r="L73" s="59">
        <v>20.399999999999999</v>
      </c>
      <c r="M73" s="59">
        <v>12</v>
      </c>
      <c r="N73" s="59">
        <v>5</v>
      </c>
      <c r="O73" s="59">
        <v>8</v>
      </c>
      <c r="P73" s="391" t="s">
        <v>2295</v>
      </c>
    </row>
    <row r="74" spans="1:20" x14ac:dyDescent="0.3">
      <c r="A74" s="59" t="s">
        <v>50</v>
      </c>
      <c r="B74" s="59">
        <v>21.2</v>
      </c>
      <c r="C74" s="59">
        <v>339</v>
      </c>
      <c r="D74" s="59">
        <v>420</v>
      </c>
      <c r="E74" s="59">
        <v>26.2</v>
      </c>
      <c r="F74" s="109">
        <v>1606</v>
      </c>
      <c r="G74" s="59">
        <v>3.8</v>
      </c>
      <c r="H74" s="59">
        <v>100.4</v>
      </c>
      <c r="I74" s="59">
        <v>13</v>
      </c>
      <c r="J74" s="59">
        <v>46</v>
      </c>
      <c r="K74" s="59">
        <v>95</v>
      </c>
      <c r="L74" s="59">
        <v>22.6</v>
      </c>
      <c r="M74" s="59">
        <v>8</v>
      </c>
      <c r="N74" s="59">
        <v>1</v>
      </c>
      <c r="O74" s="59">
        <v>9</v>
      </c>
      <c r="P74" s="59" t="s">
        <v>2296</v>
      </c>
    </row>
    <row r="75" spans="1:20" x14ac:dyDescent="0.3">
      <c r="A75" s="59" t="s">
        <v>32</v>
      </c>
      <c r="B75" s="59">
        <v>20.5</v>
      </c>
      <c r="C75" s="59">
        <v>328</v>
      </c>
      <c r="D75" s="59">
        <v>383</v>
      </c>
      <c r="E75" s="59">
        <v>23.9</v>
      </c>
      <c r="F75" s="109">
        <v>1478</v>
      </c>
      <c r="G75" s="59">
        <v>3.9</v>
      </c>
      <c r="H75" s="59">
        <v>92.4</v>
      </c>
      <c r="I75" s="59">
        <v>8</v>
      </c>
      <c r="J75" s="59">
        <v>44</v>
      </c>
      <c r="K75" s="59">
        <v>89</v>
      </c>
      <c r="L75" s="59">
        <v>23.2</v>
      </c>
      <c r="M75" s="59">
        <v>7</v>
      </c>
      <c r="N75" s="59">
        <v>1</v>
      </c>
      <c r="O75" s="59">
        <v>6</v>
      </c>
      <c r="P75" s="59" t="s">
        <v>2297</v>
      </c>
    </row>
    <row r="76" spans="1:20" x14ac:dyDescent="0.3">
      <c r="A76" s="59" t="s">
        <v>10</v>
      </c>
      <c r="B76" s="59">
        <v>23.7</v>
      </c>
      <c r="C76" s="59">
        <v>379</v>
      </c>
      <c r="D76" s="59">
        <v>509</v>
      </c>
      <c r="E76" s="59">
        <v>31.8</v>
      </c>
      <c r="F76" s="109">
        <v>2432</v>
      </c>
      <c r="G76" s="59">
        <v>4.8</v>
      </c>
      <c r="H76" s="59">
        <v>152</v>
      </c>
      <c r="I76" s="59">
        <v>19</v>
      </c>
      <c r="J76" s="59">
        <v>60</v>
      </c>
      <c r="K76" s="59">
        <v>122</v>
      </c>
      <c r="L76" s="59">
        <v>24</v>
      </c>
      <c r="M76" s="59">
        <v>19</v>
      </c>
      <c r="N76" s="59">
        <v>4</v>
      </c>
      <c r="O76" s="59">
        <v>9</v>
      </c>
      <c r="P76" s="59" t="s">
        <v>1969</v>
      </c>
    </row>
    <row r="77" spans="1:20" x14ac:dyDescent="0.3">
      <c r="A77" s="59" t="s">
        <v>22</v>
      </c>
      <c r="B77" s="59">
        <v>31.2</v>
      </c>
      <c r="C77" s="59">
        <v>500</v>
      </c>
      <c r="D77" s="59">
        <v>526</v>
      </c>
      <c r="E77" s="59">
        <v>32.9</v>
      </c>
      <c r="F77" s="109">
        <v>2282</v>
      </c>
      <c r="G77" s="59">
        <v>4.3</v>
      </c>
      <c r="H77" s="59">
        <v>142.6</v>
      </c>
      <c r="I77" s="59">
        <v>19</v>
      </c>
      <c r="J77" s="59">
        <v>47</v>
      </c>
      <c r="K77" s="59">
        <v>136</v>
      </c>
      <c r="L77" s="59">
        <v>25.9</v>
      </c>
      <c r="M77" s="59">
        <v>11</v>
      </c>
      <c r="N77" s="59">
        <v>3</v>
      </c>
      <c r="O77" s="59">
        <v>8</v>
      </c>
      <c r="P77" s="59" t="s">
        <v>1997</v>
      </c>
    </row>
    <row r="78" spans="1:20" x14ac:dyDescent="0.3">
      <c r="A78" s="59" t="s">
        <v>46</v>
      </c>
      <c r="B78" s="59">
        <v>20.9</v>
      </c>
      <c r="C78" s="59">
        <v>335</v>
      </c>
      <c r="D78" s="59">
        <v>468</v>
      </c>
      <c r="E78" s="59">
        <v>29.2</v>
      </c>
      <c r="F78" s="109">
        <v>1854</v>
      </c>
      <c r="G78" s="59">
        <v>4</v>
      </c>
      <c r="H78" s="59">
        <v>115.9</v>
      </c>
      <c r="I78" s="59">
        <v>13</v>
      </c>
      <c r="J78" s="59">
        <v>27</v>
      </c>
      <c r="K78" s="59">
        <v>108</v>
      </c>
      <c r="L78" s="59">
        <v>23.1</v>
      </c>
      <c r="M78" s="59">
        <v>6</v>
      </c>
      <c r="N78" s="59">
        <v>0</v>
      </c>
      <c r="O78" s="59">
        <v>5</v>
      </c>
      <c r="P78" s="59" t="s">
        <v>2298</v>
      </c>
    </row>
    <row r="79" spans="1:20" x14ac:dyDescent="0.3">
      <c r="A79" s="59" t="s">
        <v>28</v>
      </c>
      <c r="B79" s="59">
        <v>26.2</v>
      </c>
      <c r="C79" s="59">
        <v>419</v>
      </c>
      <c r="D79" s="59">
        <v>467</v>
      </c>
      <c r="E79" s="59">
        <v>29.2</v>
      </c>
      <c r="F79" s="109">
        <v>1805</v>
      </c>
      <c r="G79" s="59">
        <v>3.9</v>
      </c>
      <c r="H79" s="59">
        <v>112.8</v>
      </c>
      <c r="I79" s="59">
        <v>18</v>
      </c>
      <c r="J79" s="59">
        <v>38</v>
      </c>
      <c r="K79" s="59">
        <v>99</v>
      </c>
      <c r="L79" s="59">
        <v>21.2</v>
      </c>
      <c r="M79" s="59">
        <v>5</v>
      </c>
      <c r="N79" s="59">
        <v>0</v>
      </c>
      <c r="O79" s="59">
        <v>8</v>
      </c>
      <c r="P79" s="59" t="s">
        <v>1999</v>
      </c>
    </row>
    <row r="80" spans="1:20" x14ac:dyDescent="0.3">
      <c r="A80" s="59" t="s">
        <v>14</v>
      </c>
      <c r="B80" s="59">
        <v>17.399999999999999</v>
      </c>
      <c r="C80" s="59">
        <v>278</v>
      </c>
      <c r="D80" s="59">
        <v>380</v>
      </c>
      <c r="E80" s="59">
        <v>23.8</v>
      </c>
      <c r="F80" s="109">
        <v>1529</v>
      </c>
      <c r="G80" s="59">
        <v>4</v>
      </c>
      <c r="H80" s="59">
        <v>95.6</v>
      </c>
      <c r="I80" s="59">
        <v>5</v>
      </c>
      <c r="J80" s="59">
        <v>54</v>
      </c>
      <c r="K80" s="59">
        <v>81</v>
      </c>
      <c r="L80" s="59">
        <v>21.3</v>
      </c>
      <c r="M80" s="59">
        <v>10</v>
      </c>
      <c r="N80" s="59">
        <v>2</v>
      </c>
      <c r="O80" s="59">
        <v>5</v>
      </c>
      <c r="P80" s="59" t="s">
        <v>2299</v>
      </c>
    </row>
    <row r="81" spans="1:16" x14ac:dyDescent="0.3">
      <c r="A81" s="59" t="s">
        <v>52</v>
      </c>
      <c r="B81" s="59">
        <v>17.2</v>
      </c>
      <c r="C81" s="59">
        <v>275</v>
      </c>
      <c r="D81" s="59">
        <v>408</v>
      </c>
      <c r="E81" s="59">
        <v>25.5</v>
      </c>
      <c r="F81" s="109">
        <v>1890</v>
      </c>
      <c r="G81" s="59">
        <v>4.5999999999999996</v>
      </c>
      <c r="H81" s="59">
        <v>118.1</v>
      </c>
      <c r="I81" s="59">
        <v>8</v>
      </c>
      <c r="J81" s="59">
        <v>50</v>
      </c>
      <c r="K81" s="59">
        <v>94</v>
      </c>
      <c r="L81" s="59">
        <v>23</v>
      </c>
      <c r="M81" s="59">
        <v>17</v>
      </c>
      <c r="N81" s="59">
        <v>3</v>
      </c>
      <c r="O81" s="59">
        <v>7</v>
      </c>
      <c r="P81" s="59" t="s">
        <v>1994</v>
      </c>
    </row>
    <row r="82" spans="1:16" x14ac:dyDescent="0.3">
      <c r="A82" s="59" t="s">
        <v>70</v>
      </c>
      <c r="B82" s="59">
        <v>22.2</v>
      </c>
      <c r="C82" s="59">
        <v>355</v>
      </c>
      <c r="D82" s="59">
        <v>411</v>
      </c>
      <c r="E82" s="59">
        <v>25.7</v>
      </c>
      <c r="F82" s="109">
        <v>1718</v>
      </c>
      <c r="G82" s="59">
        <v>4.2</v>
      </c>
      <c r="H82" s="59">
        <v>107.4</v>
      </c>
      <c r="I82" s="59">
        <v>13</v>
      </c>
      <c r="J82" s="59">
        <v>72</v>
      </c>
      <c r="K82" s="59">
        <v>85</v>
      </c>
      <c r="L82" s="59">
        <v>20.7</v>
      </c>
      <c r="M82" s="59">
        <v>11</v>
      </c>
      <c r="N82" s="59">
        <v>2</v>
      </c>
      <c r="O82" s="59">
        <v>5</v>
      </c>
      <c r="P82" s="59" t="s">
        <v>2300</v>
      </c>
    </row>
    <row r="83" spans="1:16" x14ac:dyDescent="0.3">
      <c r="A83" s="59" t="s">
        <v>26</v>
      </c>
      <c r="B83" s="59">
        <v>22.4</v>
      </c>
      <c r="C83" s="59">
        <v>358</v>
      </c>
      <c r="D83" s="59">
        <v>354</v>
      </c>
      <c r="E83" s="59">
        <v>22.1</v>
      </c>
      <c r="F83" s="109">
        <v>1335</v>
      </c>
      <c r="G83" s="59">
        <v>3.8</v>
      </c>
      <c r="H83" s="59">
        <v>83.4</v>
      </c>
      <c r="I83" s="59">
        <v>7</v>
      </c>
      <c r="J83" s="59">
        <v>36</v>
      </c>
      <c r="K83" s="59">
        <v>71</v>
      </c>
      <c r="L83" s="59">
        <v>20.100000000000001</v>
      </c>
      <c r="M83" s="59">
        <v>7</v>
      </c>
      <c r="N83" s="59">
        <v>0</v>
      </c>
      <c r="O83" s="59">
        <v>7</v>
      </c>
      <c r="P83" s="59" t="s">
        <v>2301</v>
      </c>
    </row>
    <row r="84" spans="1:16" x14ac:dyDescent="0.3">
      <c r="A84" s="59" t="s">
        <v>395</v>
      </c>
      <c r="B84" s="59">
        <v>23</v>
      </c>
      <c r="C84" s="59">
        <v>368</v>
      </c>
      <c r="D84" s="59">
        <v>436</v>
      </c>
      <c r="E84" s="59">
        <v>27.2</v>
      </c>
      <c r="F84" s="109">
        <v>1850</v>
      </c>
      <c r="G84" s="59">
        <v>4.2</v>
      </c>
      <c r="H84" s="59">
        <v>115.6</v>
      </c>
      <c r="I84" s="59">
        <v>8</v>
      </c>
      <c r="J84" s="59">
        <v>65</v>
      </c>
      <c r="K84" s="59">
        <v>100</v>
      </c>
      <c r="L84" s="59">
        <v>22.9</v>
      </c>
      <c r="M84" s="59">
        <v>9</v>
      </c>
      <c r="N84" s="59">
        <v>1</v>
      </c>
      <c r="O84" s="59">
        <v>8</v>
      </c>
      <c r="P84" s="59" t="s">
        <v>1976</v>
      </c>
    </row>
    <row r="85" spans="1:16" x14ac:dyDescent="0.3">
      <c r="A85" s="59" t="s">
        <v>43</v>
      </c>
      <c r="B85" s="59">
        <v>21.2</v>
      </c>
      <c r="C85" s="59">
        <v>339</v>
      </c>
      <c r="D85" s="59">
        <v>472</v>
      </c>
      <c r="E85" s="59">
        <v>29.5</v>
      </c>
      <c r="F85" s="109">
        <v>1731</v>
      </c>
      <c r="G85" s="59">
        <v>3.7</v>
      </c>
      <c r="H85" s="59">
        <v>108.2</v>
      </c>
      <c r="I85" s="59">
        <v>7</v>
      </c>
      <c r="J85" s="59">
        <v>41</v>
      </c>
      <c r="K85" s="59">
        <v>90</v>
      </c>
      <c r="L85" s="59">
        <v>19.100000000000001</v>
      </c>
      <c r="M85" s="59">
        <v>7</v>
      </c>
      <c r="N85" s="59">
        <v>1</v>
      </c>
      <c r="O85" s="59">
        <v>5</v>
      </c>
      <c r="P85" s="59" t="s">
        <v>2302</v>
      </c>
    </row>
    <row r="86" spans="1:16" x14ac:dyDescent="0.3">
      <c r="A86" s="59" t="s">
        <v>16</v>
      </c>
      <c r="B86" s="59">
        <v>20.8</v>
      </c>
      <c r="C86" s="59">
        <v>333</v>
      </c>
      <c r="D86" s="59">
        <v>396</v>
      </c>
      <c r="E86" s="59">
        <v>24.8</v>
      </c>
      <c r="F86" s="109">
        <v>1438</v>
      </c>
      <c r="G86" s="59">
        <v>3.6</v>
      </c>
      <c r="H86" s="59">
        <v>89.9</v>
      </c>
      <c r="I86" s="59">
        <v>6</v>
      </c>
      <c r="J86" s="59">
        <v>37</v>
      </c>
      <c r="K86" s="59">
        <v>77</v>
      </c>
      <c r="L86" s="59">
        <v>19.399999999999999</v>
      </c>
      <c r="M86" s="59">
        <v>7</v>
      </c>
      <c r="N86" s="59">
        <v>0</v>
      </c>
      <c r="O86" s="59">
        <v>6</v>
      </c>
      <c r="P86" s="59" t="s">
        <v>1967</v>
      </c>
    </row>
    <row r="87" spans="1:16" x14ac:dyDescent="0.3">
      <c r="A87" s="59" t="s">
        <v>12</v>
      </c>
      <c r="B87" s="59">
        <v>23.5</v>
      </c>
      <c r="C87" s="59">
        <v>376</v>
      </c>
      <c r="D87" s="59">
        <v>354</v>
      </c>
      <c r="E87" s="59">
        <v>22.1</v>
      </c>
      <c r="F87" s="109">
        <v>1473</v>
      </c>
      <c r="G87" s="59">
        <v>4.2</v>
      </c>
      <c r="H87" s="59">
        <v>92.1</v>
      </c>
      <c r="I87" s="59">
        <v>5</v>
      </c>
      <c r="J87" s="59">
        <v>45</v>
      </c>
      <c r="K87" s="59">
        <v>69</v>
      </c>
      <c r="L87" s="59">
        <v>19.5</v>
      </c>
      <c r="M87" s="59">
        <v>8</v>
      </c>
      <c r="N87" s="59">
        <v>1</v>
      </c>
      <c r="O87" s="59">
        <v>9</v>
      </c>
      <c r="P87" s="59" t="s">
        <v>1980</v>
      </c>
    </row>
    <row r="88" spans="1:16" x14ac:dyDescent="0.3">
      <c r="A88" s="59" t="s">
        <v>397</v>
      </c>
      <c r="B88" s="59">
        <v>25.3</v>
      </c>
      <c r="C88" s="59">
        <v>405</v>
      </c>
      <c r="D88" s="59">
        <v>436</v>
      </c>
      <c r="E88" s="59">
        <v>27.2</v>
      </c>
      <c r="F88" s="109">
        <v>2044</v>
      </c>
      <c r="G88" s="59">
        <v>4.7</v>
      </c>
      <c r="H88" s="59">
        <v>127.8</v>
      </c>
      <c r="I88" s="59">
        <v>19</v>
      </c>
      <c r="J88" s="59">
        <v>52</v>
      </c>
      <c r="K88" s="59">
        <v>116</v>
      </c>
      <c r="L88" s="59">
        <v>26.6</v>
      </c>
      <c r="M88" s="59">
        <v>13</v>
      </c>
      <c r="N88" s="59">
        <v>2</v>
      </c>
      <c r="O88" s="59">
        <v>5</v>
      </c>
      <c r="P88" s="59" t="s">
        <v>1982</v>
      </c>
    </row>
    <row r="89" spans="1:16" x14ac:dyDescent="0.3">
      <c r="A89" s="59" t="s">
        <v>409</v>
      </c>
      <c r="B89" s="59">
        <v>17.5</v>
      </c>
      <c r="C89" s="59">
        <v>280</v>
      </c>
      <c r="D89" s="59">
        <v>429</v>
      </c>
      <c r="E89" s="59">
        <v>26.8</v>
      </c>
      <c r="F89" s="109">
        <v>1956</v>
      </c>
      <c r="G89" s="59">
        <v>4.5999999999999996</v>
      </c>
      <c r="H89" s="59">
        <v>122.2</v>
      </c>
      <c r="I89" s="59">
        <v>16</v>
      </c>
      <c r="J89" s="59">
        <v>71</v>
      </c>
      <c r="K89" s="59">
        <v>92</v>
      </c>
      <c r="L89" s="59">
        <v>21.4</v>
      </c>
      <c r="M89" s="59">
        <v>19</v>
      </c>
      <c r="N89" s="59">
        <v>7</v>
      </c>
      <c r="O89" s="59">
        <v>12</v>
      </c>
      <c r="P89" s="59" t="s">
        <v>2303</v>
      </c>
    </row>
    <row r="90" spans="1:16" x14ac:dyDescent="0.3">
      <c r="A90" s="59" t="s">
        <v>57</v>
      </c>
      <c r="B90" s="59">
        <v>19.399999999999999</v>
      </c>
      <c r="C90" s="59">
        <v>310</v>
      </c>
      <c r="D90" s="59">
        <v>344</v>
      </c>
      <c r="E90" s="59">
        <v>21.5</v>
      </c>
      <c r="F90" s="109">
        <v>1496</v>
      </c>
      <c r="G90" s="59">
        <v>4.3</v>
      </c>
      <c r="H90" s="59">
        <v>93.5</v>
      </c>
      <c r="I90" s="59">
        <v>11</v>
      </c>
      <c r="J90" s="59">
        <v>85</v>
      </c>
      <c r="K90" s="59">
        <v>72</v>
      </c>
      <c r="L90" s="59">
        <v>20.9</v>
      </c>
      <c r="M90" s="59">
        <v>12</v>
      </c>
      <c r="N90" s="59">
        <v>1</v>
      </c>
      <c r="O90" s="59">
        <v>4</v>
      </c>
      <c r="P90" s="59" t="s">
        <v>2003</v>
      </c>
    </row>
    <row r="91" spans="1:16" x14ac:dyDescent="0.3">
      <c r="A91" s="59" t="s">
        <v>41</v>
      </c>
      <c r="B91" s="59">
        <v>22.8</v>
      </c>
      <c r="C91" s="59">
        <v>365</v>
      </c>
      <c r="D91" s="59">
        <v>474</v>
      </c>
      <c r="E91" s="59">
        <v>29.6</v>
      </c>
      <c r="F91" s="109">
        <v>2211</v>
      </c>
      <c r="G91" s="59">
        <v>4.7</v>
      </c>
      <c r="H91" s="59">
        <v>138.19999999999999</v>
      </c>
      <c r="I91" s="59">
        <v>18</v>
      </c>
      <c r="J91" s="59">
        <v>80</v>
      </c>
      <c r="K91" s="59">
        <v>113</v>
      </c>
      <c r="L91" s="59">
        <v>23.8</v>
      </c>
      <c r="M91" s="59">
        <v>14</v>
      </c>
      <c r="N91" s="59">
        <v>6</v>
      </c>
      <c r="O91" s="59">
        <v>9</v>
      </c>
      <c r="P91" s="59" t="s">
        <v>2304</v>
      </c>
    </row>
    <row r="92" spans="1:16" x14ac:dyDescent="0.3">
      <c r="A92" s="59" t="s">
        <v>402</v>
      </c>
      <c r="B92" s="59">
        <v>29.1</v>
      </c>
      <c r="C92" s="59">
        <v>465</v>
      </c>
      <c r="D92" s="59">
        <v>383</v>
      </c>
      <c r="E92" s="59">
        <v>23.9</v>
      </c>
      <c r="F92" s="109">
        <v>1404</v>
      </c>
      <c r="G92" s="59">
        <v>3.7</v>
      </c>
      <c r="H92" s="59">
        <v>87.8</v>
      </c>
      <c r="I92" s="59">
        <v>14</v>
      </c>
      <c r="J92" s="59">
        <v>38</v>
      </c>
      <c r="K92" s="59">
        <v>87</v>
      </c>
      <c r="L92" s="59">
        <v>22.7</v>
      </c>
      <c r="M92" s="59">
        <v>4</v>
      </c>
      <c r="N92" s="59">
        <v>0</v>
      </c>
      <c r="O92" s="59">
        <v>2</v>
      </c>
      <c r="P92" s="59" t="s">
        <v>1992</v>
      </c>
    </row>
    <row r="93" spans="1:16" x14ac:dyDescent="0.3">
      <c r="A93" s="59" t="s">
        <v>404</v>
      </c>
      <c r="B93" s="59">
        <v>25.5</v>
      </c>
      <c r="C93" s="59">
        <v>408</v>
      </c>
      <c r="D93" s="59">
        <v>397</v>
      </c>
      <c r="E93" s="59">
        <v>24.8</v>
      </c>
      <c r="F93" s="109">
        <v>1491</v>
      </c>
      <c r="G93" s="59">
        <v>3.8</v>
      </c>
      <c r="H93" s="59">
        <v>93.2</v>
      </c>
      <c r="I93" s="59">
        <v>16</v>
      </c>
      <c r="J93" s="59">
        <v>70</v>
      </c>
      <c r="K93" s="59">
        <v>98</v>
      </c>
      <c r="L93" s="59">
        <v>24.7</v>
      </c>
      <c r="M93" s="59">
        <v>6</v>
      </c>
      <c r="N93" s="59">
        <v>2</v>
      </c>
      <c r="O93" s="59">
        <v>3</v>
      </c>
      <c r="P93" s="59" t="s">
        <v>1963</v>
      </c>
    </row>
    <row r="94" spans="1:16" x14ac:dyDescent="0.3">
      <c r="A94" s="59" t="s">
        <v>37</v>
      </c>
      <c r="B94" s="59">
        <v>26.2</v>
      </c>
      <c r="C94" s="59">
        <v>420</v>
      </c>
      <c r="D94" s="59">
        <v>403</v>
      </c>
      <c r="E94" s="59">
        <v>25.2</v>
      </c>
      <c r="F94" s="109">
        <v>1609</v>
      </c>
      <c r="G94" s="59">
        <v>4</v>
      </c>
      <c r="H94" s="59">
        <v>100.6</v>
      </c>
      <c r="I94" s="59">
        <v>5</v>
      </c>
      <c r="J94" s="59">
        <v>39</v>
      </c>
      <c r="K94" s="59">
        <v>77</v>
      </c>
      <c r="L94" s="59">
        <v>19.100000000000001</v>
      </c>
      <c r="M94" s="59">
        <v>8</v>
      </c>
      <c r="N94" s="59">
        <v>0</v>
      </c>
      <c r="O94" s="59">
        <v>4</v>
      </c>
      <c r="P94" s="59" t="s">
        <v>1987</v>
      </c>
    </row>
    <row r="95" spans="1:16" x14ac:dyDescent="0.3">
      <c r="A95" s="59" t="s">
        <v>34</v>
      </c>
      <c r="B95" s="59">
        <v>24.2</v>
      </c>
      <c r="C95" s="59">
        <v>387</v>
      </c>
      <c r="D95" s="59">
        <v>448</v>
      </c>
      <c r="E95" s="59">
        <v>28</v>
      </c>
      <c r="F95" s="109">
        <v>1868</v>
      </c>
      <c r="G95" s="59">
        <v>4.2</v>
      </c>
      <c r="H95" s="59">
        <v>116.8</v>
      </c>
      <c r="I95" s="59">
        <v>11</v>
      </c>
      <c r="J95" s="59">
        <v>58</v>
      </c>
      <c r="K95" s="59">
        <v>99</v>
      </c>
      <c r="L95" s="59">
        <v>22.1</v>
      </c>
      <c r="M95" s="59">
        <v>13</v>
      </c>
      <c r="N95" s="59">
        <v>2</v>
      </c>
      <c r="O95" s="59">
        <v>6</v>
      </c>
      <c r="P95" s="59" t="s">
        <v>2305</v>
      </c>
    </row>
    <row r="96" spans="1:16" x14ac:dyDescent="0.3">
      <c r="A96" s="59" t="s">
        <v>4</v>
      </c>
      <c r="B96" s="59">
        <v>22.4</v>
      </c>
      <c r="C96" s="59">
        <v>359</v>
      </c>
      <c r="D96" s="59">
        <v>370</v>
      </c>
      <c r="E96" s="59">
        <v>23.1</v>
      </c>
      <c r="F96" s="109">
        <v>1457</v>
      </c>
      <c r="G96" s="59">
        <v>3.9</v>
      </c>
      <c r="H96" s="59">
        <v>91.1</v>
      </c>
      <c r="I96" s="59">
        <v>7</v>
      </c>
      <c r="J96" s="59">
        <v>54</v>
      </c>
      <c r="K96" s="59">
        <v>74</v>
      </c>
      <c r="L96" s="59">
        <v>20</v>
      </c>
      <c r="M96" s="59">
        <v>10</v>
      </c>
      <c r="N96" s="59">
        <v>2</v>
      </c>
      <c r="O96" s="59">
        <v>6</v>
      </c>
      <c r="P96" s="59" t="s">
        <v>2306</v>
      </c>
    </row>
    <row r="97" spans="1:16" x14ac:dyDescent="0.3">
      <c r="A97" s="59" t="s">
        <v>39</v>
      </c>
      <c r="B97" s="59">
        <v>23.6</v>
      </c>
      <c r="C97" s="59">
        <v>377</v>
      </c>
      <c r="D97" s="59">
        <v>442</v>
      </c>
      <c r="E97" s="59">
        <v>27.6</v>
      </c>
      <c r="F97" s="109">
        <v>1743</v>
      </c>
      <c r="G97" s="59">
        <v>3.9</v>
      </c>
      <c r="H97" s="59">
        <v>108.9</v>
      </c>
      <c r="I97" s="59">
        <v>15</v>
      </c>
      <c r="J97" s="59">
        <v>63</v>
      </c>
      <c r="K97" s="59">
        <v>110</v>
      </c>
      <c r="L97" s="59">
        <v>24.9</v>
      </c>
      <c r="M97" s="59">
        <v>12</v>
      </c>
      <c r="N97" s="59">
        <v>2</v>
      </c>
      <c r="O97" s="59">
        <v>10</v>
      </c>
      <c r="P97" s="59" t="s">
        <v>1965</v>
      </c>
    </row>
    <row r="98" spans="1:16" x14ac:dyDescent="0.3">
      <c r="A98" s="59" t="s">
        <v>20</v>
      </c>
      <c r="B98" s="59">
        <v>26.4</v>
      </c>
      <c r="C98" s="59">
        <v>423</v>
      </c>
      <c r="D98" s="59">
        <v>388</v>
      </c>
      <c r="E98" s="59">
        <v>24.2</v>
      </c>
      <c r="F98" s="109">
        <v>1724</v>
      </c>
      <c r="G98" s="59">
        <v>4.4000000000000004</v>
      </c>
      <c r="H98" s="59">
        <v>107.8</v>
      </c>
      <c r="I98" s="59">
        <v>16</v>
      </c>
      <c r="J98" s="59">
        <v>55</v>
      </c>
      <c r="K98" s="59">
        <v>91</v>
      </c>
      <c r="L98" s="59">
        <v>23.5</v>
      </c>
      <c r="M98" s="59">
        <v>15</v>
      </c>
      <c r="N98" s="59">
        <v>3</v>
      </c>
      <c r="O98" s="59">
        <v>5</v>
      </c>
      <c r="P98" s="59" t="s">
        <v>2307</v>
      </c>
    </row>
    <row r="99" spans="1:16" x14ac:dyDescent="0.3">
      <c r="A99" s="59" t="s">
        <v>407</v>
      </c>
      <c r="B99" s="59">
        <v>20</v>
      </c>
      <c r="C99" s="59">
        <v>320</v>
      </c>
      <c r="D99" s="59">
        <v>393</v>
      </c>
      <c r="E99" s="59">
        <v>24.6</v>
      </c>
      <c r="F99" s="109">
        <v>1358</v>
      </c>
      <c r="G99" s="59">
        <v>3.5</v>
      </c>
      <c r="H99" s="59">
        <v>84.9</v>
      </c>
      <c r="I99" s="59">
        <v>4</v>
      </c>
      <c r="J99" s="59">
        <v>53</v>
      </c>
      <c r="K99" s="59">
        <v>79</v>
      </c>
      <c r="L99" s="59">
        <v>20.100000000000001</v>
      </c>
      <c r="M99" s="59">
        <v>9</v>
      </c>
      <c r="N99" s="59">
        <v>1</v>
      </c>
      <c r="O99" s="59">
        <v>7</v>
      </c>
      <c r="P99" s="59" t="s">
        <v>2308</v>
      </c>
    </row>
    <row r="100" spans="1:16" x14ac:dyDescent="0.3">
      <c r="A100" s="59" t="s">
        <v>7</v>
      </c>
      <c r="B100" s="59">
        <v>26.4</v>
      </c>
      <c r="C100" s="59">
        <v>423</v>
      </c>
      <c r="D100" s="59">
        <v>500</v>
      </c>
      <c r="E100" s="59">
        <v>31.2</v>
      </c>
      <c r="F100" s="109">
        <v>2268</v>
      </c>
      <c r="G100" s="59">
        <v>4.5</v>
      </c>
      <c r="H100" s="59">
        <v>141.80000000000001</v>
      </c>
      <c r="I100" s="59">
        <v>10</v>
      </c>
      <c r="J100" s="59">
        <v>69</v>
      </c>
      <c r="K100" s="59">
        <v>128</v>
      </c>
      <c r="L100" s="59">
        <v>25.6</v>
      </c>
      <c r="M100" s="59">
        <v>12</v>
      </c>
      <c r="N100" s="59">
        <v>2</v>
      </c>
      <c r="O100" s="59">
        <v>7</v>
      </c>
      <c r="P100" s="59" t="s">
        <v>2001</v>
      </c>
    </row>
    <row r="101" spans="1:16" x14ac:dyDescent="0.3">
      <c r="A101" s="59" t="s">
        <v>398</v>
      </c>
      <c r="B101" s="59">
        <v>14.9</v>
      </c>
      <c r="C101" s="59">
        <v>238</v>
      </c>
      <c r="D101" s="59">
        <v>390</v>
      </c>
      <c r="E101" s="59">
        <v>24.4</v>
      </c>
      <c r="F101" s="109">
        <v>1544</v>
      </c>
      <c r="G101" s="59">
        <v>4</v>
      </c>
      <c r="H101" s="59">
        <v>96.5</v>
      </c>
      <c r="I101" s="59">
        <v>7</v>
      </c>
      <c r="J101" s="59">
        <v>47</v>
      </c>
      <c r="K101" s="59">
        <v>83</v>
      </c>
      <c r="L101" s="59">
        <v>21.3</v>
      </c>
      <c r="M101" s="59">
        <v>6</v>
      </c>
      <c r="N101" s="59">
        <v>2</v>
      </c>
      <c r="O101" s="59">
        <v>8</v>
      </c>
      <c r="P101" s="59" t="s">
        <v>2309</v>
      </c>
    </row>
    <row r="102" spans="1:16" x14ac:dyDescent="0.3">
      <c r="A102" s="59" t="s">
        <v>401</v>
      </c>
      <c r="B102" s="59">
        <v>21.4</v>
      </c>
      <c r="C102" s="59">
        <v>342</v>
      </c>
      <c r="D102" s="59">
        <v>455</v>
      </c>
      <c r="E102" s="59">
        <v>28.4</v>
      </c>
      <c r="F102" s="109">
        <v>2162</v>
      </c>
      <c r="G102" s="59">
        <v>4.8</v>
      </c>
      <c r="H102" s="59">
        <v>135.1</v>
      </c>
      <c r="I102" s="59">
        <v>12</v>
      </c>
      <c r="J102" s="59">
        <v>84</v>
      </c>
      <c r="K102" s="59">
        <v>99</v>
      </c>
      <c r="L102" s="59">
        <v>21.8</v>
      </c>
      <c r="M102" s="59">
        <v>20</v>
      </c>
      <c r="N102" s="59">
        <v>5</v>
      </c>
      <c r="O102" s="59">
        <v>9</v>
      </c>
      <c r="P102" s="59" t="s">
        <v>2005</v>
      </c>
    </row>
    <row r="103" spans="1:16" x14ac:dyDescent="0.3">
      <c r="A103" s="59" t="s">
        <v>30</v>
      </c>
      <c r="B103" s="59">
        <v>18.7</v>
      </c>
      <c r="C103" s="59">
        <v>299</v>
      </c>
      <c r="D103" s="59">
        <v>371</v>
      </c>
      <c r="E103" s="59">
        <v>23.2</v>
      </c>
      <c r="F103" s="109">
        <v>1485</v>
      </c>
      <c r="G103" s="59">
        <v>4</v>
      </c>
      <c r="H103" s="59">
        <v>92.8</v>
      </c>
      <c r="I103" s="59">
        <v>10</v>
      </c>
      <c r="J103" s="59">
        <v>87</v>
      </c>
      <c r="K103" s="59">
        <v>66</v>
      </c>
      <c r="L103" s="59">
        <v>17.8</v>
      </c>
      <c r="M103" s="59">
        <v>10</v>
      </c>
      <c r="N103" s="59">
        <v>2</v>
      </c>
      <c r="O103" s="59">
        <v>9</v>
      </c>
      <c r="P103" s="59" t="s">
        <v>1978</v>
      </c>
    </row>
    <row r="104" spans="1:16" x14ac:dyDescent="0.3">
      <c r="A104" s="59" t="s">
        <v>18</v>
      </c>
      <c r="B104" s="59">
        <v>24.2</v>
      </c>
      <c r="C104" s="59">
        <v>388</v>
      </c>
      <c r="D104" s="59">
        <v>429</v>
      </c>
      <c r="E104" s="59">
        <v>26.8</v>
      </c>
      <c r="F104" s="109">
        <v>1566</v>
      </c>
      <c r="G104" s="59">
        <v>3.7</v>
      </c>
      <c r="H104" s="59">
        <v>97.9</v>
      </c>
      <c r="I104" s="59">
        <v>9</v>
      </c>
      <c r="J104" s="59">
        <v>48</v>
      </c>
      <c r="K104" s="59">
        <v>81</v>
      </c>
      <c r="L104" s="59">
        <v>18.899999999999999</v>
      </c>
      <c r="M104" s="59">
        <v>10</v>
      </c>
      <c r="N104" s="59">
        <v>2</v>
      </c>
      <c r="O104" s="59">
        <v>11</v>
      </c>
      <c r="P104" s="392" t="s">
        <v>2310</v>
      </c>
    </row>
    <row r="105" spans="1:16" ht="15" thickBot="1" x14ac:dyDescent="0.35"/>
    <row r="106" spans="1:16" ht="15" thickBot="1" x14ac:dyDescent="0.35">
      <c r="A106" s="121" t="s">
        <v>1328</v>
      </c>
    </row>
    <row r="107" spans="1:16" x14ac:dyDescent="0.3">
      <c r="A107" s="4" t="s">
        <v>387</v>
      </c>
      <c r="B107" s="108" t="s">
        <v>1299</v>
      </c>
      <c r="C107" s="108" t="s">
        <v>1300</v>
      </c>
      <c r="D107" s="108" t="s">
        <v>389</v>
      </c>
      <c r="E107" s="108" t="s">
        <v>824</v>
      </c>
      <c r="F107" s="108" t="s">
        <v>1319</v>
      </c>
      <c r="G107" s="108" t="s">
        <v>1302</v>
      </c>
      <c r="H107" s="108" t="s">
        <v>1322</v>
      </c>
      <c r="I107" s="108" t="s">
        <v>391</v>
      </c>
      <c r="J107" s="108" t="s">
        <v>1323</v>
      </c>
      <c r="K107" s="108" t="s">
        <v>1324</v>
      </c>
      <c r="L107" s="108" t="s">
        <v>1320</v>
      </c>
      <c r="M107" s="108" t="s">
        <v>1321</v>
      </c>
      <c r="N107" s="108" t="s">
        <v>1314</v>
      </c>
    </row>
    <row r="108" spans="1:16" x14ac:dyDescent="0.3">
      <c r="A108" s="59" t="s">
        <v>854</v>
      </c>
      <c r="B108" s="59">
        <v>30.6</v>
      </c>
      <c r="C108" s="59">
        <v>489</v>
      </c>
      <c r="D108" s="59">
        <v>353</v>
      </c>
      <c r="E108" s="109">
        <v>4775</v>
      </c>
      <c r="F108" s="59">
        <v>13.5</v>
      </c>
      <c r="G108" s="59">
        <v>298.39999999999998</v>
      </c>
      <c r="H108" s="59">
        <v>68</v>
      </c>
      <c r="I108" s="59">
        <v>35</v>
      </c>
      <c r="J108" s="59">
        <v>66</v>
      </c>
      <c r="K108" s="59">
        <v>15</v>
      </c>
      <c r="L108" s="59">
        <v>237</v>
      </c>
      <c r="M108" s="59">
        <v>67.099999999999994</v>
      </c>
      <c r="N108" s="59">
        <v>4</v>
      </c>
    </row>
    <row r="109" spans="1:16" x14ac:dyDescent="0.3">
      <c r="A109" s="59" t="s">
        <v>831</v>
      </c>
      <c r="B109" s="59">
        <v>31.2</v>
      </c>
      <c r="C109" s="59">
        <v>500</v>
      </c>
      <c r="D109" s="59">
        <v>300</v>
      </c>
      <c r="E109" s="109">
        <v>3873</v>
      </c>
      <c r="F109" s="59">
        <v>12.9</v>
      </c>
      <c r="G109" s="59">
        <v>242.1</v>
      </c>
      <c r="H109" s="59">
        <v>74</v>
      </c>
      <c r="I109" s="59">
        <v>35</v>
      </c>
      <c r="J109" s="59">
        <v>53</v>
      </c>
      <c r="K109" s="59">
        <v>10</v>
      </c>
      <c r="L109" s="59">
        <v>197</v>
      </c>
      <c r="M109" s="59">
        <v>65.7</v>
      </c>
      <c r="N109" s="59">
        <v>3</v>
      </c>
    </row>
    <row r="110" spans="1:16" x14ac:dyDescent="0.3">
      <c r="A110" s="59" t="s">
        <v>845</v>
      </c>
      <c r="B110" s="59">
        <v>21.4</v>
      </c>
      <c r="C110" s="59">
        <v>342</v>
      </c>
      <c r="D110" s="59">
        <v>312</v>
      </c>
      <c r="E110" s="109">
        <v>4042</v>
      </c>
      <c r="F110" s="59">
        <v>13</v>
      </c>
      <c r="G110" s="59">
        <v>252.6</v>
      </c>
      <c r="H110" s="59">
        <v>68</v>
      </c>
      <c r="I110" s="59">
        <v>22</v>
      </c>
      <c r="J110" s="59">
        <v>57</v>
      </c>
      <c r="K110" s="59">
        <v>9</v>
      </c>
      <c r="L110" s="59">
        <v>201</v>
      </c>
      <c r="M110" s="59">
        <v>64.400000000000006</v>
      </c>
      <c r="N110" s="59">
        <v>4</v>
      </c>
    </row>
    <row r="111" spans="1:16" x14ac:dyDescent="0.3">
      <c r="A111" s="59" t="s">
        <v>834</v>
      </c>
      <c r="B111" s="59">
        <v>23.5</v>
      </c>
      <c r="C111" s="59">
        <v>376</v>
      </c>
      <c r="D111" s="59">
        <v>355</v>
      </c>
      <c r="E111" s="109">
        <v>4428</v>
      </c>
      <c r="F111" s="59">
        <v>12.5</v>
      </c>
      <c r="G111" s="59">
        <v>276.8</v>
      </c>
      <c r="H111" s="59">
        <v>90</v>
      </c>
      <c r="I111" s="59">
        <v>35</v>
      </c>
      <c r="J111" s="59">
        <v>72</v>
      </c>
      <c r="K111" s="59">
        <v>11</v>
      </c>
      <c r="L111" s="59">
        <v>215</v>
      </c>
      <c r="M111" s="59">
        <v>60.6</v>
      </c>
      <c r="N111" s="59">
        <v>2</v>
      </c>
    </row>
    <row r="112" spans="1:16" x14ac:dyDescent="0.3">
      <c r="A112" s="59" t="s">
        <v>858</v>
      </c>
      <c r="B112" s="59">
        <v>21.2</v>
      </c>
      <c r="C112" s="59">
        <v>339</v>
      </c>
      <c r="D112" s="59">
        <v>358</v>
      </c>
      <c r="E112" s="109">
        <v>4079</v>
      </c>
      <c r="F112" s="59">
        <v>11.4</v>
      </c>
      <c r="G112" s="59">
        <v>254.9</v>
      </c>
      <c r="H112" s="59">
        <v>61</v>
      </c>
      <c r="I112" s="59">
        <v>29</v>
      </c>
      <c r="J112" s="59">
        <v>46</v>
      </c>
      <c r="K112" s="59">
        <v>8</v>
      </c>
      <c r="L112" s="59">
        <v>210</v>
      </c>
      <c r="M112" s="59">
        <v>58.7</v>
      </c>
      <c r="N112" s="59">
        <v>3</v>
      </c>
    </row>
    <row r="113" spans="1:14" x14ac:dyDescent="0.3">
      <c r="A113" s="59" t="s">
        <v>857</v>
      </c>
      <c r="B113" s="59">
        <v>24.2</v>
      </c>
      <c r="C113" s="59">
        <v>387</v>
      </c>
      <c r="D113" s="59">
        <v>362</v>
      </c>
      <c r="E113" s="109">
        <v>4170</v>
      </c>
      <c r="F113" s="59">
        <v>11.5</v>
      </c>
      <c r="G113" s="59">
        <v>260.60000000000002</v>
      </c>
      <c r="H113" s="59">
        <v>69</v>
      </c>
      <c r="I113" s="59">
        <v>33</v>
      </c>
      <c r="J113" s="59">
        <v>56</v>
      </c>
      <c r="K113" s="59">
        <v>9</v>
      </c>
      <c r="L113" s="59">
        <v>210</v>
      </c>
      <c r="M113" s="59">
        <v>58</v>
      </c>
      <c r="N113" s="59">
        <v>6</v>
      </c>
    </row>
    <row r="114" spans="1:14" x14ac:dyDescent="0.3">
      <c r="A114" s="59" t="s">
        <v>842</v>
      </c>
      <c r="B114" s="59">
        <v>26.2</v>
      </c>
      <c r="C114" s="59">
        <v>419</v>
      </c>
      <c r="D114" s="59">
        <v>334</v>
      </c>
      <c r="E114" s="109">
        <v>4104</v>
      </c>
      <c r="F114" s="59">
        <v>12.3</v>
      </c>
      <c r="G114" s="59">
        <v>256.5</v>
      </c>
      <c r="H114" s="59">
        <v>80</v>
      </c>
      <c r="I114" s="59">
        <v>31</v>
      </c>
      <c r="J114" s="59">
        <v>63</v>
      </c>
      <c r="K114" s="59">
        <v>13</v>
      </c>
      <c r="L114" s="59">
        <v>191</v>
      </c>
      <c r="M114" s="59">
        <v>57.2</v>
      </c>
      <c r="N114" s="59">
        <v>3</v>
      </c>
    </row>
    <row r="115" spans="1:14" x14ac:dyDescent="0.3">
      <c r="A115" s="59" t="s">
        <v>847</v>
      </c>
      <c r="B115" s="59">
        <v>26.4</v>
      </c>
      <c r="C115" s="59">
        <v>423</v>
      </c>
      <c r="D115" s="59">
        <v>333</v>
      </c>
      <c r="E115" s="109">
        <v>4061</v>
      </c>
      <c r="F115" s="59">
        <v>12.2</v>
      </c>
      <c r="G115" s="59">
        <v>253.8</v>
      </c>
      <c r="H115" s="59">
        <v>80</v>
      </c>
      <c r="I115" s="59">
        <v>34</v>
      </c>
      <c r="J115" s="59">
        <v>60</v>
      </c>
      <c r="K115" s="59">
        <v>9</v>
      </c>
      <c r="L115" s="59">
        <v>190</v>
      </c>
      <c r="M115" s="59">
        <v>57.1</v>
      </c>
      <c r="N115" s="59">
        <v>3</v>
      </c>
    </row>
    <row r="116" spans="1:14" x14ac:dyDescent="0.3">
      <c r="A116" s="59" t="s">
        <v>836</v>
      </c>
      <c r="B116" s="59">
        <v>18.7</v>
      </c>
      <c r="C116" s="59">
        <v>299</v>
      </c>
      <c r="D116" s="59">
        <v>342</v>
      </c>
      <c r="E116" s="109">
        <v>3893</v>
      </c>
      <c r="F116" s="59">
        <v>11.4</v>
      </c>
      <c r="G116" s="59">
        <v>243.3</v>
      </c>
      <c r="H116" s="59">
        <v>61</v>
      </c>
      <c r="I116" s="59">
        <v>25</v>
      </c>
      <c r="J116" s="59">
        <v>49</v>
      </c>
      <c r="K116" s="59">
        <v>6</v>
      </c>
      <c r="L116" s="59">
        <v>195</v>
      </c>
      <c r="M116" s="59">
        <v>57</v>
      </c>
      <c r="N116" s="59">
        <v>2</v>
      </c>
    </row>
    <row r="117" spans="1:14" x14ac:dyDescent="0.3">
      <c r="A117" s="59" t="s">
        <v>852</v>
      </c>
      <c r="B117" s="59">
        <v>29.1</v>
      </c>
      <c r="C117" s="59">
        <v>465</v>
      </c>
      <c r="D117" s="59">
        <v>404</v>
      </c>
      <c r="E117" s="109">
        <v>4812</v>
      </c>
      <c r="F117" s="59">
        <v>11.9</v>
      </c>
      <c r="G117" s="59">
        <v>300.8</v>
      </c>
      <c r="H117" s="59">
        <v>76</v>
      </c>
      <c r="I117" s="59">
        <v>36</v>
      </c>
      <c r="J117" s="59">
        <v>59</v>
      </c>
      <c r="K117" s="59">
        <v>12</v>
      </c>
      <c r="L117" s="59">
        <v>229</v>
      </c>
      <c r="M117" s="59">
        <v>56.7</v>
      </c>
      <c r="N117" s="59">
        <v>3</v>
      </c>
    </row>
    <row r="118" spans="1:14" x14ac:dyDescent="0.3">
      <c r="A118" s="59" t="s">
        <v>839</v>
      </c>
      <c r="B118" s="59">
        <v>22.4</v>
      </c>
      <c r="C118" s="59">
        <v>358</v>
      </c>
      <c r="D118" s="59">
        <v>420</v>
      </c>
      <c r="E118" s="109">
        <v>4463</v>
      </c>
      <c r="F118" s="59">
        <v>10.6</v>
      </c>
      <c r="G118" s="59">
        <v>278.89999999999998</v>
      </c>
      <c r="H118" s="59">
        <v>57</v>
      </c>
      <c r="I118" s="59">
        <v>33</v>
      </c>
      <c r="J118" s="59">
        <v>52</v>
      </c>
      <c r="K118" s="59">
        <v>8</v>
      </c>
      <c r="L118" s="59">
        <v>236</v>
      </c>
      <c r="M118" s="59">
        <v>56.2</v>
      </c>
      <c r="N118" s="59">
        <v>3</v>
      </c>
    </row>
    <row r="119" spans="1:14" x14ac:dyDescent="0.3">
      <c r="A119" s="59" t="s">
        <v>828</v>
      </c>
      <c r="B119" s="59">
        <v>21.2</v>
      </c>
      <c r="C119" s="59">
        <v>339</v>
      </c>
      <c r="D119" s="59">
        <v>410</v>
      </c>
      <c r="E119" s="109">
        <v>4602</v>
      </c>
      <c r="F119" s="59">
        <v>11.2</v>
      </c>
      <c r="G119" s="59">
        <v>287.60000000000002</v>
      </c>
      <c r="H119" s="59">
        <v>70</v>
      </c>
      <c r="I119" s="59">
        <v>21</v>
      </c>
      <c r="J119" s="59">
        <v>49</v>
      </c>
      <c r="K119" s="59">
        <v>9</v>
      </c>
      <c r="L119" s="59">
        <v>230</v>
      </c>
      <c r="M119" s="59">
        <v>56.1</v>
      </c>
      <c r="N119" s="59">
        <v>4</v>
      </c>
    </row>
    <row r="120" spans="1:14" x14ac:dyDescent="0.3">
      <c r="A120" s="59" t="s">
        <v>840</v>
      </c>
      <c r="B120" s="59">
        <v>20.8</v>
      </c>
      <c r="C120" s="59">
        <v>333</v>
      </c>
      <c r="D120" s="59">
        <v>355</v>
      </c>
      <c r="E120" s="109">
        <v>3928</v>
      </c>
      <c r="F120" s="59">
        <v>11.1</v>
      </c>
      <c r="G120" s="59">
        <v>245.5</v>
      </c>
      <c r="H120" s="59">
        <v>87</v>
      </c>
      <c r="I120" s="59">
        <v>26</v>
      </c>
      <c r="J120" s="59">
        <v>46</v>
      </c>
      <c r="K120" s="59">
        <v>7</v>
      </c>
      <c r="L120" s="59">
        <v>195</v>
      </c>
      <c r="M120" s="59">
        <v>54.9</v>
      </c>
      <c r="N120" s="59">
        <v>2</v>
      </c>
    </row>
    <row r="121" spans="1:14" x14ac:dyDescent="0.3">
      <c r="A121" s="59" t="s">
        <v>851</v>
      </c>
      <c r="B121" s="59">
        <v>22.2</v>
      </c>
      <c r="C121" s="59">
        <v>355</v>
      </c>
      <c r="D121" s="59">
        <v>368</v>
      </c>
      <c r="E121" s="109">
        <v>4216</v>
      </c>
      <c r="F121" s="59">
        <v>11.5</v>
      </c>
      <c r="G121" s="59">
        <v>263.5</v>
      </c>
      <c r="H121" s="59">
        <v>75</v>
      </c>
      <c r="I121" s="59">
        <v>19</v>
      </c>
      <c r="J121" s="59">
        <v>41</v>
      </c>
      <c r="K121" s="59">
        <v>11</v>
      </c>
      <c r="L121" s="59">
        <v>201</v>
      </c>
      <c r="M121" s="59">
        <v>54.6</v>
      </c>
      <c r="N121" s="59">
        <v>4</v>
      </c>
    </row>
    <row r="122" spans="1:14" x14ac:dyDescent="0.3">
      <c r="A122" s="59" t="s">
        <v>838</v>
      </c>
      <c r="B122" s="59">
        <v>24.2</v>
      </c>
      <c r="C122" s="59">
        <v>388</v>
      </c>
      <c r="D122" s="59">
        <v>386</v>
      </c>
      <c r="E122" s="109">
        <v>4294</v>
      </c>
      <c r="F122" s="59">
        <v>11.1</v>
      </c>
      <c r="G122" s="59">
        <v>268.39999999999998</v>
      </c>
      <c r="H122" s="59">
        <v>78</v>
      </c>
      <c r="I122" s="59">
        <v>30</v>
      </c>
      <c r="J122" s="59">
        <v>52</v>
      </c>
      <c r="K122" s="59">
        <v>9</v>
      </c>
      <c r="L122" s="59">
        <v>208</v>
      </c>
      <c r="M122" s="59">
        <v>53.9</v>
      </c>
      <c r="N122" s="59">
        <v>7</v>
      </c>
    </row>
    <row r="123" spans="1:14" x14ac:dyDescent="0.3">
      <c r="A123" s="59" t="s">
        <v>827</v>
      </c>
      <c r="B123" s="59">
        <v>25.5</v>
      </c>
      <c r="C123" s="59">
        <v>408</v>
      </c>
      <c r="D123" s="59">
        <v>460</v>
      </c>
      <c r="E123" s="109">
        <v>5205</v>
      </c>
      <c r="F123" s="59">
        <v>11.3</v>
      </c>
      <c r="G123" s="59">
        <v>325.3</v>
      </c>
      <c r="H123" s="59">
        <v>80</v>
      </c>
      <c r="I123" s="59">
        <v>32</v>
      </c>
      <c r="J123" s="59">
        <v>72</v>
      </c>
      <c r="K123" s="59">
        <v>13</v>
      </c>
      <c r="L123" s="59">
        <v>247</v>
      </c>
      <c r="M123" s="59">
        <v>53.7</v>
      </c>
      <c r="N123" s="59">
        <v>6</v>
      </c>
    </row>
    <row r="124" spans="1:14" x14ac:dyDescent="0.3">
      <c r="A124" s="59" t="s">
        <v>843</v>
      </c>
      <c r="B124" s="59">
        <v>19.399999999999999</v>
      </c>
      <c r="C124" s="59">
        <v>310</v>
      </c>
      <c r="D124" s="59">
        <v>365</v>
      </c>
      <c r="E124" s="109">
        <v>4231</v>
      </c>
      <c r="F124" s="59">
        <v>11.6</v>
      </c>
      <c r="G124" s="59">
        <v>264.39999999999998</v>
      </c>
      <c r="H124" s="59">
        <v>54</v>
      </c>
      <c r="I124" s="59">
        <v>24</v>
      </c>
      <c r="J124" s="59">
        <v>57</v>
      </c>
      <c r="K124" s="59">
        <v>13</v>
      </c>
      <c r="L124" s="59">
        <v>194</v>
      </c>
      <c r="M124" s="59">
        <v>53.2</v>
      </c>
      <c r="N124" s="59">
        <v>2</v>
      </c>
    </row>
    <row r="125" spans="1:14" x14ac:dyDescent="0.3">
      <c r="A125" s="59" t="s">
        <v>829</v>
      </c>
      <c r="B125" s="59">
        <v>26.2</v>
      </c>
      <c r="C125" s="59">
        <v>420</v>
      </c>
      <c r="D125" s="59">
        <v>392</v>
      </c>
      <c r="E125" s="109">
        <v>4500</v>
      </c>
      <c r="F125" s="59">
        <v>11.5</v>
      </c>
      <c r="G125" s="59">
        <v>281.2</v>
      </c>
      <c r="H125" s="59">
        <v>87</v>
      </c>
      <c r="I125" s="59">
        <v>36</v>
      </c>
      <c r="J125" s="59">
        <v>53</v>
      </c>
      <c r="K125" s="59">
        <v>16</v>
      </c>
      <c r="L125" s="59">
        <v>208</v>
      </c>
      <c r="M125" s="59">
        <v>53.1</v>
      </c>
      <c r="N125" s="59">
        <v>6</v>
      </c>
    </row>
    <row r="126" spans="1:14" x14ac:dyDescent="0.3">
      <c r="A126" s="59" t="s">
        <v>841</v>
      </c>
      <c r="B126" s="59">
        <v>20.9</v>
      </c>
      <c r="C126" s="59">
        <v>335</v>
      </c>
      <c r="D126" s="59">
        <v>334</v>
      </c>
      <c r="E126" s="109">
        <v>3843</v>
      </c>
      <c r="F126" s="59">
        <v>11.5</v>
      </c>
      <c r="G126" s="59">
        <v>240.2</v>
      </c>
      <c r="H126" s="59">
        <v>87</v>
      </c>
      <c r="I126" s="59">
        <v>21</v>
      </c>
      <c r="J126" s="59">
        <v>56</v>
      </c>
      <c r="K126" s="59">
        <v>10</v>
      </c>
      <c r="L126" s="59">
        <v>177</v>
      </c>
      <c r="M126" s="59">
        <v>53</v>
      </c>
      <c r="N126" s="59">
        <v>4</v>
      </c>
    </row>
    <row r="127" spans="1:14" x14ac:dyDescent="0.3">
      <c r="A127" s="59" t="s">
        <v>849</v>
      </c>
      <c r="B127" s="59">
        <v>26.4</v>
      </c>
      <c r="C127" s="59">
        <v>423</v>
      </c>
      <c r="D127" s="59">
        <v>391</v>
      </c>
      <c r="E127" s="109">
        <v>4822</v>
      </c>
      <c r="F127" s="59">
        <v>12.3</v>
      </c>
      <c r="G127" s="59">
        <v>301.39999999999998</v>
      </c>
      <c r="H127" s="59">
        <v>88</v>
      </c>
      <c r="I127" s="59">
        <v>26</v>
      </c>
      <c r="J127" s="59">
        <v>61</v>
      </c>
      <c r="K127" s="59">
        <v>21</v>
      </c>
      <c r="L127" s="59">
        <v>207</v>
      </c>
      <c r="M127" s="59">
        <v>52.9</v>
      </c>
      <c r="N127" s="59">
        <v>3</v>
      </c>
    </row>
    <row r="128" spans="1:14" x14ac:dyDescent="0.3">
      <c r="A128" s="59" t="s">
        <v>848</v>
      </c>
      <c r="B128" s="59">
        <v>23.7</v>
      </c>
      <c r="C128" s="59">
        <v>379</v>
      </c>
      <c r="D128" s="59">
        <v>295</v>
      </c>
      <c r="E128" s="109">
        <v>3600</v>
      </c>
      <c r="F128" s="59">
        <v>12.2</v>
      </c>
      <c r="G128" s="59">
        <v>225</v>
      </c>
      <c r="H128" s="59">
        <v>63</v>
      </c>
      <c r="I128" s="59">
        <v>23</v>
      </c>
      <c r="J128" s="59">
        <v>51</v>
      </c>
      <c r="K128" s="59">
        <v>12</v>
      </c>
      <c r="L128" s="59">
        <v>155</v>
      </c>
      <c r="M128" s="59">
        <v>52.5</v>
      </c>
      <c r="N128" s="59">
        <v>6</v>
      </c>
    </row>
    <row r="129" spans="1:22" x14ac:dyDescent="0.3">
      <c r="A129" s="59" t="s">
        <v>846</v>
      </c>
      <c r="B129" s="59">
        <v>17.2</v>
      </c>
      <c r="C129" s="59">
        <v>275</v>
      </c>
      <c r="D129" s="59">
        <v>334</v>
      </c>
      <c r="E129" s="109">
        <v>3677</v>
      </c>
      <c r="F129" s="59">
        <v>11</v>
      </c>
      <c r="G129" s="59">
        <v>229.8</v>
      </c>
      <c r="H129" s="59">
        <v>67</v>
      </c>
      <c r="I129" s="59">
        <v>16</v>
      </c>
      <c r="J129" s="59">
        <v>40</v>
      </c>
      <c r="K129" s="59">
        <v>4</v>
      </c>
      <c r="L129" s="59">
        <v>175</v>
      </c>
      <c r="M129" s="59">
        <v>52.4</v>
      </c>
      <c r="N129" s="59">
        <v>4</v>
      </c>
    </row>
    <row r="130" spans="1:22" x14ac:dyDescent="0.3">
      <c r="A130" s="59" t="s">
        <v>855</v>
      </c>
      <c r="B130" s="59">
        <v>22.8</v>
      </c>
      <c r="C130" s="59">
        <v>365</v>
      </c>
      <c r="D130" s="59">
        <v>294</v>
      </c>
      <c r="E130" s="109">
        <v>3246</v>
      </c>
      <c r="F130" s="59">
        <v>11</v>
      </c>
      <c r="G130" s="59">
        <v>202.9</v>
      </c>
      <c r="H130" s="59">
        <v>52</v>
      </c>
      <c r="I130" s="59">
        <v>14</v>
      </c>
      <c r="J130" s="59">
        <v>41</v>
      </c>
      <c r="K130" s="59">
        <v>6</v>
      </c>
      <c r="L130" s="59">
        <v>153</v>
      </c>
      <c r="M130" s="59">
        <v>52</v>
      </c>
      <c r="N130" s="59">
        <v>4</v>
      </c>
    </row>
    <row r="131" spans="1:22" x14ac:dyDescent="0.3">
      <c r="A131" s="59" t="s">
        <v>853</v>
      </c>
      <c r="B131" s="59">
        <v>20</v>
      </c>
      <c r="C131" s="59">
        <v>320</v>
      </c>
      <c r="D131" s="59">
        <v>442</v>
      </c>
      <c r="E131" s="109">
        <v>4855</v>
      </c>
      <c r="F131" s="59">
        <v>11</v>
      </c>
      <c r="G131" s="59">
        <v>303.39999999999998</v>
      </c>
      <c r="H131" s="59">
        <v>80</v>
      </c>
      <c r="I131" s="59">
        <v>30</v>
      </c>
      <c r="J131" s="59">
        <v>53</v>
      </c>
      <c r="K131" s="59">
        <v>8</v>
      </c>
      <c r="L131" s="59">
        <v>230</v>
      </c>
      <c r="M131" s="59">
        <v>52</v>
      </c>
      <c r="N131" s="59">
        <v>7</v>
      </c>
    </row>
    <row r="132" spans="1:22" x14ac:dyDescent="0.3">
      <c r="A132" s="59" t="s">
        <v>833</v>
      </c>
      <c r="B132" s="59">
        <v>17.399999999999999</v>
      </c>
      <c r="C132" s="59">
        <v>278</v>
      </c>
      <c r="D132" s="59">
        <v>371</v>
      </c>
      <c r="E132" s="109">
        <v>4156</v>
      </c>
      <c r="F132" s="59">
        <v>11.2</v>
      </c>
      <c r="G132" s="59">
        <v>259.8</v>
      </c>
      <c r="H132" s="59">
        <v>61</v>
      </c>
      <c r="I132" s="59">
        <v>20</v>
      </c>
      <c r="J132" s="59">
        <v>48</v>
      </c>
      <c r="K132" s="59">
        <v>12</v>
      </c>
      <c r="L132" s="59">
        <v>192</v>
      </c>
      <c r="M132" s="59">
        <v>51.8</v>
      </c>
      <c r="N132" s="59">
        <v>6</v>
      </c>
    </row>
    <row r="133" spans="1:22" x14ac:dyDescent="0.3">
      <c r="A133" s="59" t="s">
        <v>835</v>
      </c>
      <c r="B133" s="59">
        <v>22.4</v>
      </c>
      <c r="C133" s="59">
        <v>359</v>
      </c>
      <c r="D133" s="59">
        <v>373</v>
      </c>
      <c r="E133" s="109">
        <v>4129</v>
      </c>
      <c r="F133" s="59">
        <v>11.1</v>
      </c>
      <c r="G133" s="59">
        <v>258.10000000000002</v>
      </c>
      <c r="H133" s="59">
        <v>68</v>
      </c>
      <c r="I133" s="59">
        <v>34</v>
      </c>
      <c r="J133" s="59">
        <v>53</v>
      </c>
      <c r="K133" s="59">
        <v>10</v>
      </c>
      <c r="L133" s="59">
        <v>193</v>
      </c>
      <c r="M133" s="59">
        <v>51.7</v>
      </c>
      <c r="N133" s="59">
        <v>5</v>
      </c>
    </row>
    <row r="134" spans="1:22" x14ac:dyDescent="0.3">
      <c r="A134" s="59" t="s">
        <v>850</v>
      </c>
      <c r="B134" s="59">
        <v>25.3</v>
      </c>
      <c r="C134" s="59">
        <v>405</v>
      </c>
      <c r="D134" s="59">
        <v>310</v>
      </c>
      <c r="E134" s="109">
        <v>3493</v>
      </c>
      <c r="F134" s="59">
        <v>11.3</v>
      </c>
      <c r="G134" s="59">
        <v>218.3</v>
      </c>
      <c r="H134" s="59">
        <v>80</v>
      </c>
      <c r="I134" s="59">
        <v>20</v>
      </c>
      <c r="J134" s="59">
        <v>42</v>
      </c>
      <c r="K134" s="59">
        <v>10</v>
      </c>
      <c r="L134" s="59">
        <v>155</v>
      </c>
      <c r="M134" s="59">
        <v>50</v>
      </c>
      <c r="N134" s="59">
        <v>5</v>
      </c>
    </row>
    <row r="135" spans="1:22" x14ac:dyDescent="0.3">
      <c r="A135" s="59" t="s">
        <v>856</v>
      </c>
      <c r="B135" s="59">
        <v>23</v>
      </c>
      <c r="C135" s="59">
        <v>368</v>
      </c>
      <c r="D135" s="59">
        <v>348</v>
      </c>
      <c r="E135" s="109">
        <v>3825</v>
      </c>
      <c r="F135" s="59">
        <v>11</v>
      </c>
      <c r="G135" s="59">
        <v>239.1</v>
      </c>
      <c r="H135" s="59">
        <v>65</v>
      </c>
      <c r="I135" s="59">
        <v>31</v>
      </c>
      <c r="J135" s="59">
        <v>55</v>
      </c>
      <c r="K135" s="59">
        <v>6</v>
      </c>
      <c r="L135" s="59">
        <v>173</v>
      </c>
      <c r="M135" s="59">
        <v>49.7</v>
      </c>
      <c r="N135" s="59">
        <v>4</v>
      </c>
    </row>
    <row r="136" spans="1:22" x14ac:dyDescent="0.3">
      <c r="A136" s="59" t="s">
        <v>832</v>
      </c>
      <c r="B136" s="59">
        <v>20.5</v>
      </c>
      <c r="C136" s="59">
        <v>328</v>
      </c>
      <c r="D136" s="59">
        <v>426</v>
      </c>
      <c r="E136" s="109">
        <v>4449</v>
      </c>
      <c r="F136" s="59">
        <v>10.4</v>
      </c>
      <c r="G136" s="59">
        <v>278.10000000000002</v>
      </c>
      <c r="H136" s="59">
        <v>50</v>
      </c>
      <c r="I136" s="59">
        <v>21</v>
      </c>
      <c r="J136" s="59">
        <v>54</v>
      </c>
      <c r="K136" s="59">
        <v>8</v>
      </c>
      <c r="L136" s="59">
        <v>211</v>
      </c>
      <c r="M136" s="59">
        <v>49.5</v>
      </c>
      <c r="N136" s="59">
        <v>3</v>
      </c>
    </row>
    <row r="137" spans="1:22" x14ac:dyDescent="0.3">
      <c r="A137" s="59" t="s">
        <v>844</v>
      </c>
      <c r="B137" s="59">
        <v>14.9</v>
      </c>
      <c r="C137" s="59">
        <v>238</v>
      </c>
      <c r="D137" s="59">
        <v>322</v>
      </c>
      <c r="E137" s="109">
        <v>3646</v>
      </c>
      <c r="F137" s="59">
        <v>11.3</v>
      </c>
      <c r="G137" s="59">
        <v>227.9</v>
      </c>
      <c r="H137" s="59">
        <v>76</v>
      </c>
      <c r="I137" s="59">
        <v>16</v>
      </c>
      <c r="J137" s="59">
        <v>46</v>
      </c>
      <c r="K137" s="59">
        <v>12</v>
      </c>
      <c r="L137" s="59">
        <v>154</v>
      </c>
      <c r="M137" s="59">
        <v>47.8</v>
      </c>
      <c r="N137" s="59">
        <v>4</v>
      </c>
    </row>
    <row r="138" spans="1:22" x14ac:dyDescent="0.3">
      <c r="A138" s="59" t="s">
        <v>830</v>
      </c>
      <c r="B138" s="59">
        <v>23.6</v>
      </c>
      <c r="C138" s="59">
        <v>377</v>
      </c>
      <c r="D138" s="59">
        <v>405</v>
      </c>
      <c r="E138" s="109">
        <v>4341</v>
      </c>
      <c r="F138" s="59">
        <v>10.7</v>
      </c>
      <c r="G138" s="59">
        <v>271.3</v>
      </c>
      <c r="H138" s="59">
        <v>78</v>
      </c>
      <c r="I138" s="59">
        <v>23</v>
      </c>
      <c r="J138" s="59">
        <v>53</v>
      </c>
      <c r="K138" s="59">
        <v>14</v>
      </c>
      <c r="L138" s="59">
        <v>193</v>
      </c>
      <c r="M138" s="59">
        <v>47.7</v>
      </c>
      <c r="N138" s="59">
        <v>6</v>
      </c>
    </row>
    <row r="139" spans="1:22" x14ac:dyDescent="0.3">
      <c r="A139" s="59" t="s">
        <v>837</v>
      </c>
      <c r="B139" s="59">
        <v>17.5</v>
      </c>
      <c r="C139" s="59">
        <v>280</v>
      </c>
      <c r="D139" s="59">
        <v>273</v>
      </c>
      <c r="E139" s="109">
        <v>2931</v>
      </c>
      <c r="F139" s="59">
        <v>10.7</v>
      </c>
      <c r="G139" s="59">
        <v>183.2</v>
      </c>
      <c r="H139" s="59">
        <v>68</v>
      </c>
      <c r="I139" s="59">
        <v>11</v>
      </c>
      <c r="J139" s="59">
        <v>35</v>
      </c>
      <c r="K139" s="59">
        <v>10</v>
      </c>
      <c r="L139" s="59">
        <v>126</v>
      </c>
      <c r="M139" s="59">
        <v>46.2</v>
      </c>
      <c r="N139" s="59">
        <v>3</v>
      </c>
    </row>
    <row r="142" spans="1:22" x14ac:dyDescent="0.3">
      <c r="V142" s="122"/>
    </row>
    <row r="178" s="108" customFormat="1" x14ac:dyDescent="0.3"/>
  </sheetData>
  <mergeCells count="3">
    <mergeCell ref="A1:B1"/>
    <mergeCell ref="H1:J1"/>
    <mergeCell ref="K1:M1"/>
  </mergeCells>
  <conditionalFormatting sqref="C3:C34">
    <cfRule type="colorScale" priority="64">
      <colorScale>
        <cfvo type="min"/>
        <cfvo type="percentile" val="50"/>
        <cfvo type="max"/>
        <color rgb="FFF8696B"/>
        <color rgb="FFFFEB84"/>
        <color rgb="FF63BE7B"/>
      </colorScale>
    </cfRule>
  </conditionalFormatting>
  <conditionalFormatting sqref="D3:D34">
    <cfRule type="colorScale" priority="63">
      <colorScale>
        <cfvo type="min"/>
        <cfvo type="percentile" val="50"/>
        <cfvo type="max"/>
        <color rgb="FFF8696B"/>
        <color rgb="FFFFEB84"/>
        <color rgb="FF63BE7B"/>
      </colorScale>
    </cfRule>
  </conditionalFormatting>
  <conditionalFormatting sqref="E3:E34">
    <cfRule type="colorScale" priority="62">
      <colorScale>
        <cfvo type="min"/>
        <cfvo type="percentile" val="50"/>
        <cfvo type="max"/>
        <color rgb="FFF8696B"/>
        <color rgb="FFFFEB84"/>
        <color rgb="FF63BE7B"/>
      </colorScale>
    </cfRule>
  </conditionalFormatting>
  <conditionalFormatting sqref="F3:F34">
    <cfRule type="colorScale" priority="61">
      <colorScale>
        <cfvo type="min"/>
        <cfvo type="percentile" val="50"/>
        <cfvo type="max"/>
        <color rgb="FFF8696B"/>
        <color rgb="FFFFEB84"/>
        <color rgb="FF63BE7B"/>
      </colorScale>
    </cfRule>
  </conditionalFormatting>
  <conditionalFormatting sqref="G3:G34">
    <cfRule type="colorScale" priority="60">
      <colorScale>
        <cfvo type="min"/>
        <cfvo type="percentile" val="50"/>
        <cfvo type="max"/>
        <color rgb="FFF8696B"/>
        <color rgb="FFFFEB84"/>
        <color rgb="FF63BE7B"/>
      </colorScale>
    </cfRule>
  </conditionalFormatting>
  <conditionalFormatting sqref="H3:H34">
    <cfRule type="colorScale" priority="59">
      <colorScale>
        <cfvo type="min"/>
        <cfvo type="percentile" val="50"/>
        <cfvo type="max"/>
        <color rgb="FFF8696B"/>
        <color rgb="FFFFEB84"/>
        <color rgb="FF63BE7B"/>
      </colorScale>
    </cfRule>
  </conditionalFormatting>
  <conditionalFormatting sqref="I3:I34">
    <cfRule type="colorScale" priority="58">
      <colorScale>
        <cfvo type="min"/>
        <cfvo type="percentile" val="50"/>
        <cfvo type="max"/>
        <color rgb="FFF8696B"/>
        <color rgb="FFFFEB84"/>
        <color rgb="FF63BE7B"/>
      </colorScale>
    </cfRule>
  </conditionalFormatting>
  <conditionalFormatting sqref="J3:J34">
    <cfRule type="colorScale" priority="57">
      <colorScale>
        <cfvo type="min"/>
        <cfvo type="percentile" val="50"/>
        <cfvo type="max"/>
        <color rgb="FFF8696B"/>
        <color rgb="FFFFEB84"/>
        <color rgb="FF63BE7B"/>
      </colorScale>
    </cfRule>
  </conditionalFormatting>
  <conditionalFormatting sqref="K3:K34">
    <cfRule type="colorScale" priority="56">
      <colorScale>
        <cfvo type="min"/>
        <cfvo type="percentile" val="50"/>
        <cfvo type="max"/>
        <color rgb="FFF8696B"/>
        <color rgb="FFFFEB84"/>
        <color rgb="FF63BE7B"/>
      </colorScale>
    </cfRule>
  </conditionalFormatting>
  <conditionalFormatting sqref="L3:L34">
    <cfRule type="colorScale" priority="55">
      <colorScale>
        <cfvo type="min"/>
        <cfvo type="percentile" val="50"/>
        <cfvo type="max"/>
        <color rgb="FFF8696B"/>
        <color rgb="FFFFEB84"/>
        <color rgb="FF63BE7B"/>
      </colorScale>
    </cfRule>
  </conditionalFormatting>
  <conditionalFormatting sqref="M3:M34">
    <cfRule type="colorScale" priority="54">
      <colorScale>
        <cfvo type="min"/>
        <cfvo type="percentile" val="50"/>
        <cfvo type="max"/>
        <color rgb="FFF8696B"/>
        <color rgb="FFFFEB84"/>
        <color rgb="FF63BE7B"/>
      </colorScale>
    </cfRule>
  </conditionalFormatting>
  <conditionalFormatting sqref="N3:N34">
    <cfRule type="colorScale" priority="53">
      <colorScale>
        <cfvo type="min"/>
        <cfvo type="percentile" val="50"/>
        <cfvo type="max"/>
        <color rgb="FFF8696B"/>
        <color rgb="FFFFEB84"/>
        <color rgb="FF63BE7B"/>
      </colorScale>
    </cfRule>
  </conditionalFormatting>
  <conditionalFormatting sqref="O3:O34">
    <cfRule type="colorScale" priority="52">
      <colorScale>
        <cfvo type="min"/>
        <cfvo type="percentile" val="50"/>
        <cfvo type="max"/>
        <color rgb="FF63BE7B"/>
        <color rgb="FFFFEB84"/>
        <color rgb="FFF8696B"/>
      </colorScale>
    </cfRule>
  </conditionalFormatting>
  <conditionalFormatting sqref="P3:P34">
    <cfRule type="colorScale" priority="51">
      <colorScale>
        <cfvo type="min"/>
        <cfvo type="percentile" val="50"/>
        <cfvo type="max"/>
        <color rgb="FF63BE7B"/>
        <color rgb="FFFFEB84"/>
        <color rgb="FFF8696B"/>
      </colorScale>
    </cfRule>
  </conditionalFormatting>
  <conditionalFormatting sqref="Q3:Q34">
    <cfRule type="colorScale" priority="50">
      <colorScale>
        <cfvo type="min"/>
        <cfvo type="percentile" val="50"/>
        <cfvo type="max"/>
        <color rgb="FFF8696B"/>
        <color rgb="FFFFEB84"/>
        <color rgb="FF63BE7B"/>
      </colorScale>
    </cfRule>
  </conditionalFormatting>
  <conditionalFormatting sqref="R3:R34">
    <cfRule type="colorScale" priority="49">
      <colorScale>
        <cfvo type="min"/>
        <cfvo type="percentile" val="50"/>
        <cfvo type="max"/>
        <color rgb="FF63BE7B"/>
        <color rgb="FFFFEB84"/>
        <color rgb="FFF8696B"/>
      </colorScale>
    </cfRule>
  </conditionalFormatting>
  <conditionalFormatting sqref="S3:S34">
    <cfRule type="colorScale" priority="48">
      <colorScale>
        <cfvo type="min"/>
        <cfvo type="percentile" val="50"/>
        <cfvo type="max"/>
        <color rgb="FF63BE7B"/>
        <color rgb="FFFFEB84"/>
        <color rgb="FFF8696B"/>
      </colorScale>
    </cfRule>
  </conditionalFormatting>
  <conditionalFormatting sqref="T3:T34">
    <cfRule type="colorScale" priority="47">
      <colorScale>
        <cfvo type="min"/>
        <cfvo type="percentile" val="50"/>
        <cfvo type="max"/>
        <color rgb="FFF8696B"/>
        <color rgb="FFFFEB84"/>
        <color rgb="FF63BE7B"/>
      </colorScale>
    </cfRule>
  </conditionalFormatting>
  <conditionalFormatting sqref="B38:B69">
    <cfRule type="colorScale" priority="46">
      <colorScale>
        <cfvo type="min"/>
        <cfvo type="percentile" val="50"/>
        <cfvo type="max"/>
        <color rgb="FFF8696B"/>
        <color rgb="FFFFEB84"/>
        <color rgb="FF63BE7B"/>
      </colorScale>
    </cfRule>
  </conditionalFormatting>
  <conditionalFormatting sqref="C38:C69">
    <cfRule type="colorScale" priority="45">
      <colorScale>
        <cfvo type="min"/>
        <cfvo type="percentile" val="50"/>
        <cfvo type="max"/>
        <color rgb="FFF8696B"/>
        <color rgb="FFFFEB84"/>
        <color rgb="FF63BE7B"/>
      </colorScale>
    </cfRule>
  </conditionalFormatting>
  <conditionalFormatting sqref="D38:D69">
    <cfRule type="colorScale" priority="44">
      <colorScale>
        <cfvo type="min"/>
        <cfvo type="percentile" val="50"/>
        <cfvo type="max"/>
        <color rgb="FFF8696B"/>
        <color rgb="FFFFEB84"/>
        <color rgb="FF63BE7B"/>
      </colorScale>
    </cfRule>
  </conditionalFormatting>
  <conditionalFormatting sqref="E38:E69">
    <cfRule type="colorScale" priority="43">
      <colorScale>
        <cfvo type="min"/>
        <cfvo type="percentile" val="50"/>
        <cfvo type="max"/>
        <color rgb="FFF8696B"/>
        <color rgb="FFFFEB84"/>
        <color rgb="FF63BE7B"/>
      </colorScale>
    </cfRule>
  </conditionalFormatting>
  <conditionalFormatting sqref="F38:F69">
    <cfRule type="colorScale" priority="42">
      <colorScale>
        <cfvo type="min"/>
        <cfvo type="percentile" val="50"/>
        <cfvo type="max"/>
        <color rgb="FFF8696B"/>
        <color rgb="FFFFEB84"/>
        <color rgb="FF63BE7B"/>
      </colorScale>
    </cfRule>
  </conditionalFormatting>
  <conditionalFormatting sqref="G38:G69">
    <cfRule type="colorScale" priority="41">
      <colorScale>
        <cfvo type="min"/>
        <cfvo type="percentile" val="50"/>
        <cfvo type="max"/>
        <color rgb="FFF8696B"/>
        <color rgb="FFFFEB84"/>
        <color rgb="FF63BE7B"/>
      </colorScale>
    </cfRule>
  </conditionalFormatting>
  <conditionalFormatting sqref="H38:H69">
    <cfRule type="colorScale" priority="40">
      <colorScale>
        <cfvo type="min"/>
        <cfvo type="percentile" val="50"/>
        <cfvo type="max"/>
        <color rgb="FFF8696B"/>
        <color rgb="FFFFEB84"/>
        <color rgb="FF63BE7B"/>
      </colorScale>
    </cfRule>
  </conditionalFormatting>
  <conditionalFormatting sqref="I38:I69">
    <cfRule type="colorScale" priority="39">
      <colorScale>
        <cfvo type="min"/>
        <cfvo type="percentile" val="50"/>
        <cfvo type="max"/>
        <color rgb="FFF8696B"/>
        <color rgb="FFFFEB84"/>
        <color rgb="FF63BE7B"/>
      </colorScale>
    </cfRule>
  </conditionalFormatting>
  <conditionalFormatting sqref="J38:J69">
    <cfRule type="colorScale" priority="38">
      <colorScale>
        <cfvo type="min"/>
        <cfvo type="percentile" val="50"/>
        <cfvo type="max"/>
        <color rgb="FFF8696B"/>
        <color rgb="FFFFEB84"/>
        <color rgb="FF63BE7B"/>
      </colorScale>
    </cfRule>
  </conditionalFormatting>
  <conditionalFormatting sqref="K38:K69">
    <cfRule type="colorScale" priority="37">
      <colorScale>
        <cfvo type="min"/>
        <cfvo type="percentile" val="50"/>
        <cfvo type="max"/>
        <color rgb="FFF8696B"/>
        <color rgb="FFFFEB84"/>
        <color rgb="FF63BE7B"/>
      </colorScale>
    </cfRule>
  </conditionalFormatting>
  <conditionalFormatting sqref="L38:L69">
    <cfRule type="colorScale" priority="36">
      <colorScale>
        <cfvo type="min"/>
        <cfvo type="percentile" val="50"/>
        <cfvo type="max"/>
        <color rgb="FF63BE7B"/>
        <color rgb="FFFFEB84"/>
        <color rgb="FFF8696B"/>
      </colorScale>
    </cfRule>
  </conditionalFormatting>
  <conditionalFormatting sqref="M38:M69">
    <cfRule type="colorScale" priority="35">
      <colorScale>
        <cfvo type="min"/>
        <cfvo type="percentile" val="50"/>
        <cfvo type="max"/>
        <color rgb="FFF8696B"/>
        <color rgb="FFFFEB84"/>
        <color rgb="FF63BE7B"/>
      </colorScale>
    </cfRule>
  </conditionalFormatting>
  <conditionalFormatting sqref="N38:N69">
    <cfRule type="colorScale" priority="34">
      <colorScale>
        <cfvo type="min"/>
        <cfvo type="percentile" val="50"/>
        <cfvo type="max"/>
        <color rgb="FFF8696B"/>
        <color rgb="FFFFEB84"/>
        <color rgb="FF63BE7B"/>
      </colorScale>
    </cfRule>
  </conditionalFormatting>
  <conditionalFormatting sqref="O38:O69">
    <cfRule type="colorScale" priority="33">
      <colorScale>
        <cfvo type="min"/>
        <cfvo type="percentile" val="50"/>
        <cfvo type="max"/>
        <color rgb="FFF8696B"/>
        <color rgb="FFFFEB84"/>
        <color rgb="FF63BE7B"/>
      </colorScale>
    </cfRule>
  </conditionalFormatting>
  <conditionalFormatting sqref="P38:P69">
    <cfRule type="colorScale" priority="32">
      <colorScale>
        <cfvo type="min"/>
        <cfvo type="percentile" val="50"/>
        <cfvo type="max"/>
        <color rgb="FFF8696B"/>
        <color rgb="FFFFEB84"/>
        <color rgb="FF63BE7B"/>
      </colorScale>
    </cfRule>
  </conditionalFormatting>
  <conditionalFormatting sqref="Q38:Q69">
    <cfRule type="colorScale" priority="31">
      <colorScale>
        <cfvo type="min"/>
        <cfvo type="percentile" val="50"/>
        <cfvo type="max"/>
        <color rgb="FFF8696B"/>
        <color rgb="FFFFEB84"/>
        <color rgb="FF63BE7B"/>
      </colorScale>
    </cfRule>
  </conditionalFormatting>
  <conditionalFormatting sqref="R38:R69">
    <cfRule type="colorScale" priority="30">
      <colorScale>
        <cfvo type="min"/>
        <cfvo type="percentile" val="50"/>
        <cfvo type="max"/>
        <color rgb="FF63BE7B"/>
        <color rgb="FFFFEB84"/>
        <color rgb="FFF8696B"/>
      </colorScale>
    </cfRule>
  </conditionalFormatting>
  <conditionalFormatting sqref="S38:S69">
    <cfRule type="colorScale" priority="29">
      <colorScale>
        <cfvo type="min"/>
        <cfvo type="percentile" val="50"/>
        <cfvo type="max"/>
        <color rgb="FFF8696B"/>
        <color rgb="FFFFEB84"/>
        <color rgb="FF63BE7B"/>
      </colorScale>
    </cfRule>
  </conditionalFormatting>
  <conditionalFormatting sqref="B73:B104">
    <cfRule type="colorScale" priority="28">
      <colorScale>
        <cfvo type="min"/>
        <cfvo type="percentile" val="50"/>
        <cfvo type="max"/>
        <color rgb="FFF8696B"/>
        <color rgb="FFFFEB84"/>
        <color rgb="FF63BE7B"/>
      </colorScale>
    </cfRule>
  </conditionalFormatting>
  <conditionalFormatting sqref="C73:C104">
    <cfRule type="colorScale" priority="27">
      <colorScale>
        <cfvo type="min"/>
        <cfvo type="percentile" val="50"/>
        <cfvo type="max"/>
        <color rgb="FFF8696B"/>
        <color rgb="FFFFEB84"/>
        <color rgb="FF63BE7B"/>
      </colorScale>
    </cfRule>
  </conditionalFormatting>
  <conditionalFormatting sqref="D73:D104">
    <cfRule type="colorScale" priority="26">
      <colorScale>
        <cfvo type="min"/>
        <cfvo type="percentile" val="50"/>
        <cfvo type="max"/>
        <color rgb="FFF8696B"/>
        <color rgb="FFFFEB84"/>
        <color rgb="FF63BE7B"/>
      </colorScale>
    </cfRule>
  </conditionalFormatting>
  <conditionalFormatting sqref="E73:E104">
    <cfRule type="colorScale" priority="25">
      <colorScale>
        <cfvo type="min"/>
        <cfvo type="percentile" val="50"/>
        <cfvo type="max"/>
        <color rgb="FFF8696B"/>
        <color rgb="FFFFEB84"/>
        <color rgb="FF63BE7B"/>
      </colorScale>
    </cfRule>
  </conditionalFormatting>
  <conditionalFormatting sqref="F73:F104">
    <cfRule type="colorScale" priority="24">
      <colorScale>
        <cfvo type="min"/>
        <cfvo type="percentile" val="50"/>
        <cfvo type="max"/>
        <color rgb="FFF8696B"/>
        <color rgb="FFFFEB84"/>
        <color rgb="FF63BE7B"/>
      </colorScale>
    </cfRule>
  </conditionalFormatting>
  <conditionalFormatting sqref="G73:G104">
    <cfRule type="colorScale" priority="23">
      <colorScale>
        <cfvo type="min"/>
        <cfvo type="percentile" val="50"/>
        <cfvo type="max"/>
        <color rgb="FFF8696B"/>
        <color rgb="FFFFEB84"/>
        <color rgb="FF63BE7B"/>
      </colorScale>
    </cfRule>
  </conditionalFormatting>
  <conditionalFormatting sqref="H73:H104">
    <cfRule type="colorScale" priority="22">
      <colorScale>
        <cfvo type="min"/>
        <cfvo type="percentile" val="50"/>
        <cfvo type="max"/>
        <color rgb="FFF8696B"/>
        <color rgb="FFFFEB84"/>
        <color rgb="FF63BE7B"/>
      </colorScale>
    </cfRule>
  </conditionalFormatting>
  <conditionalFormatting sqref="I73:I104">
    <cfRule type="colorScale" priority="21">
      <colorScale>
        <cfvo type="min"/>
        <cfvo type="percentile" val="50"/>
        <cfvo type="max"/>
        <color rgb="FFF8696B"/>
        <color rgb="FFFFEB84"/>
        <color rgb="FF63BE7B"/>
      </colorScale>
    </cfRule>
  </conditionalFormatting>
  <conditionalFormatting sqref="J73:J104">
    <cfRule type="colorScale" priority="20">
      <colorScale>
        <cfvo type="min"/>
        <cfvo type="percentile" val="50"/>
        <cfvo type="max"/>
        <color rgb="FFF8696B"/>
        <color rgb="FFFFEB84"/>
        <color rgb="FF63BE7B"/>
      </colorScale>
    </cfRule>
  </conditionalFormatting>
  <conditionalFormatting sqref="K73:K104">
    <cfRule type="colorScale" priority="19">
      <colorScale>
        <cfvo type="min"/>
        <cfvo type="percentile" val="50"/>
        <cfvo type="max"/>
        <color rgb="FFF8696B"/>
        <color rgb="FFFFEB84"/>
        <color rgb="FF63BE7B"/>
      </colorScale>
    </cfRule>
  </conditionalFormatting>
  <conditionalFormatting sqref="L73:L104">
    <cfRule type="colorScale" priority="18">
      <colorScale>
        <cfvo type="min"/>
        <cfvo type="percentile" val="50"/>
        <cfvo type="max"/>
        <color rgb="FFF8696B"/>
        <color rgb="FFFFEB84"/>
        <color rgb="FF63BE7B"/>
      </colorScale>
    </cfRule>
  </conditionalFormatting>
  <conditionalFormatting sqref="M73:M104">
    <cfRule type="colorScale" priority="17">
      <colorScale>
        <cfvo type="min"/>
        <cfvo type="percentile" val="50"/>
        <cfvo type="max"/>
        <color rgb="FFF8696B"/>
        <color rgb="FFFFEB84"/>
        <color rgb="FF63BE7B"/>
      </colorScale>
    </cfRule>
  </conditionalFormatting>
  <conditionalFormatting sqref="N73:N104">
    <cfRule type="colorScale" priority="16">
      <colorScale>
        <cfvo type="min"/>
        <cfvo type="percentile" val="50"/>
        <cfvo type="max"/>
        <color rgb="FFF8696B"/>
        <color rgb="FFFFEB84"/>
        <color rgb="FF63BE7B"/>
      </colorScale>
    </cfRule>
  </conditionalFormatting>
  <conditionalFormatting sqref="O73:O104">
    <cfRule type="colorScale" priority="15">
      <colorScale>
        <cfvo type="min"/>
        <cfvo type="percentile" val="50"/>
        <cfvo type="max"/>
        <color rgb="FF63BE7B"/>
        <color rgb="FFFFEB84"/>
        <color rgb="FFF8696B"/>
      </colorScale>
    </cfRule>
  </conditionalFormatting>
  <conditionalFormatting sqref="B108:B139">
    <cfRule type="colorScale" priority="14">
      <colorScale>
        <cfvo type="min"/>
        <cfvo type="percentile" val="50"/>
        <cfvo type="max"/>
        <color rgb="FFF8696B"/>
        <color rgb="FFFFEB84"/>
        <color rgb="FF63BE7B"/>
      </colorScale>
    </cfRule>
  </conditionalFormatting>
  <conditionalFormatting sqref="C107:C139">
    <cfRule type="colorScale" priority="13">
      <colorScale>
        <cfvo type="min"/>
        <cfvo type="percentile" val="50"/>
        <cfvo type="max"/>
        <color rgb="FFF8696B"/>
        <color rgb="FFFFEB84"/>
        <color rgb="FF63BE7B"/>
      </colorScale>
    </cfRule>
  </conditionalFormatting>
  <conditionalFormatting sqref="D108:D139">
    <cfRule type="colorScale" priority="12">
      <colorScale>
        <cfvo type="min"/>
        <cfvo type="percentile" val="50"/>
        <cfvo type="max"/>
        <color rgb="FFF8696B"/>
        <color rgb="FFFFEB84"/>
        <color rgb="FF63BE7B"/>
      </colorScale>
    </cfRule>
  </conditionalFormatting>
  <conditionalFormatting sqref="E108:E139">
    <cfRule type="colorScale" priority="11">
      <colorScale>
        <cfvo type="min"/>
        <cfvo type="percentile" val="50"/>
        <cfvo type="max"/>
        <color rgb="FFF8696B"/>
        <color rgb="FFFFEB84"/>
        <color rgb="FF63BE7B"/>
      </colorScale>
    </cfRule>
  </conditionalFormatting>
  <conditionalFormatting sqref="F108:F139">
    <cfRule type="colorScale" priority="10">
      <colorScale>
        <cfvo type="min"/>
        <cfvo type="percentile" val="50"/>
        <cfvo type="max"/>
        <color rgb="FFF8696B"/>
        <color rgb="FFFFEB84"/>
        <color rgb="FF63BE7B"/>
      </colorScale>
    </cfRule>
  </conditionalFormatting>
  <conditionalFormatting sqref="G108:G139">
    <cfRule type="colorScale" priority="9">
      <colorScale>
        <cfvo type="min"/>
        <cfvo type="percentile" val="50"/>
        <cfvo type="max"/>
        <color rgb="FFF8696B"/>
        <color rgb="FFFFEB84"/>
        <color rgb="FF63BE7B"/>
      </colorScale>
    </cfRule>
  </conditionalFormatting>
  <conditionalFormatting sqref="H108:H139">
    <cfRule type="colorScale" priority="8">
      <colorScale>
        <cfvo type="min"/>
        <cfvo type="percentile" val="50"/>
        <cfvo type="max"/>
        <color rgb="FFF8696B"/>
        <color rgb="FFFFEB84"/>
        <color rgb="FF63BE7B"/>
      </colorScale>
    </cfRule>
  </conditionalFormatting>
  <conditionalFormatting sqref="I108:I139">
    <cfRule type="colorScale" priority="7">
      <colorScale>
        <cfvo type="min"/>
        <cfvo type="percentile" val="50"/>
        <cfvo type="max"/>
        <color rgb="FFF8696B"/>
        <color rgb="FFFFEB84"/>
        <color rgb="FF63BE7B"/>
      </colorScale>
    </cfRule>
  </conditionalFormatting>
  <conditionalFormatting sqref="J108:J139">
    <cfRule type="colorScale" priority="6">
      <colorScale>
        <cfvo type="min"/>
        <cfvo type="percentile" val="50"/>
        <cfvo type="max"/>
        <color rgb="FFF8696B"/>
        <color rgb="FFFFEB84"/>
        <color rgb="FF63BE7B"/>
      </colorScale>
    </cfRule>
  </conditionalFormatting>
  <conditionalFormatting sqref="K108:K139">
    <cfRule type="colorScale" priority="5">
      <colorScale>
        <cfvo type="min"/>
        <cfvo type="percentile" val="50"/>
        <cfvo type="max"/>
        <color rgb="FFF8696B"/>
        <color rgb="FFFFEB84"/>
        <color rgb="FF63BE7B"/>
      </colorScale>
    </cfRule>
  </conditionalFormatting>
  <conditionalFormatting sqref="L108:L139">
    <cfRule type="colorScale" priority="4">
      <colorScale>
        <cfvo type="min"/>
        <cfvo type="percentile" val="50"/>
        <cfvo type="max"/>
        <color rgb="FFF8696B"/>
        <color rgb="FFFFEB84"/>
        <color rgb="FF63BE7B"/>
      </colorScale>
    </cfRule>
  </conditionalFormatting>
  <conditionalFormatting sqref="M108:M139">
    <cfRule type="colorScale" priority="3">
      <colorScale>
        <cfvo type="min"/>
        <cfvo type="percentile" val="50"/>
        <cfvo type="max"/>
        <color rgb="FFF8696B"/>
        <color rgb="FFFFEB84"/>
        <color rgb="FF63BE7B"/>
      </colorScale>
    </cfRule>
  </conditionalFormatting>
  <conditionalFormatting sqref="N108:N139">
    <cfRule type="colorScale" priority="2">
      <colorScale>
        <cfvo type="min"/>
        <cfvo type="percentile" val="50"/>
        <cfvo type="max"/>
        <color rgb="FF63BE7B"/>
        <color rgb="FFFFEB84"/>
        <color rgb="FFF8696B"/>
      </colorScale>
    </cfRule>
  </conditionalFormatting>
  <conditionalFormatting sqref="B1:B1048576">
    <cfRule type="colorScale" priority="1">
      <colorScale>
        <cfvo type="min"/>
        <cfvo type="percentile" val="50"/>
        <cfvo type="max"/>
        <color rgb="FF63BE7B"/>
        <color rgb="FFFFEB84"/>
        <color rgb="FFF8696B"/>
      </colorScale>
    </cfRule>
  </conditionalFormatting>
  <pageMargins left="0.7" right="0.7" top="0.75" bottom="0.75" header="0.3" footer="0.3"/>
  <tableParts count="4">
    <tablePart r:id="rId1"/>
    <tablePart r:id="rId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D9166EB-3FE5-4D66-9957-BA69AF76E4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10</vt:i4>
      </vt:variant>
    </vt:vector>
  </HeadingPairs>
  <TitlesOfParts>
    <vt:vector size="54" baseType="lpstr">
      <vt:lpstr>DK_salaries</vt:lpstr>
      <vt:lpstr>DK_Salary_Changes</vt:lpstr>
      <vt:lpstr>Last Week Results</vt:lpstr>
      <vt:lpstr>LastWeekDKResultsData</vt:lpstr>
      <vt:lpstr>QBYTD</vt:lpstr>
      <vt:lpstr>RBYTD</vt:lpstr>
      <vt:lpstr>WRYTD</vt:lpstr>
      <vt:lpstr>TEYTD</vt:lpstr>
      <vt:lpstr>Projections</vt:lpstr>
      <vt:lpstr>QB_matchups</vt:lpstr>
      <vt:lpstr>QBstats1</vt:lpstr>
      <vt:lpstr>QBstats2</vt:lpstr>
      <vt:lpstr>QBstats3</vt:lpstr>
      <vt:lpstr>Qb Allowed</vt:lpstr>
      <vt:lpstr>RB_matchups</vt:lpstr>
      <vt:lpstr>HBstats1</vt:lpstr>
      <vt:lpstr>HBstats2</vt:lpstr>
      <vt:lpstr>HBstats3</vt:lpstr>
      <vt:lpstr>HB Allowed</vt:lpstr>
      <vt:lpstr>WR_matchups</vt:lpstr>
      <vt:lpstr>WRstats1</vt:lpstr>
      <vt:lpstr>WRstats2</vt:lpstr>
      <vt:lpstr>WRstats3</vt:lpstr>
      <vt:lpstr>WR Allowed</vt:lpstr>
      <vt:lpstr>TE_matchups</vt:lpstr>
      <vt:lpstr>TEstats1</vt:lpstr>
      <vt:lpstr>TEstats2</vt:lpstr>
      <vt:lpstr>TEstats3</vt:lpstr>
      <vt:lpstr>TE Allowed</vt:lpstr>
      <vt:lpstr>DEF_matchups</vt:lpstr>
      <vt:lpstr>Stack Data</vt:lpstr>
      <vt:lpstr>DEFstats1</vt:lpstr>
      <vt:lpstr>DEFstats2</vt:lpstr>
      <vt:lpstr>DEFstats3</vt:lpstr>
      <vt:lpstr>Lineup Builder</vt:lpstr>
      <vt:lpstr>Wk3WRvCB</vt:lpstr>
      <vt:lpstr>Stack Builder</vt:lpstr>
      <vt:lpstr>Depth Charts</vt:lpstr>
      <vt:lpstr>2016 Target Tracker</vt:lpstr>
      <vt:lpstr>2016 YAC</vt:lpstr>
      <vt:lpstr>2016YAC-DATA</vt:lpstr>
      <vt:lpstr>Ease of Schedule</vt:lpstr>
      <vt:lpstr>Vegas</vt:lpstr>
      <vt:lpstr>2015 Team OFF Stats</vt:lpstr>
      <vt:lpstr>PosSelected</vt:lpstr>
      <vt:lpstr>S1Team</vt:lpstr>
      <vt:lpstr>S2Team</vt:lpstr>
      <vt:lpstr>S3Team</vt:lpstr>
      <vt:lpstr>S4Team</vt:lpstr>
      <vt:lpstr>Stack1</vt:lpstr>
      <vt:lpstr>Stack2</vt:lpstr>
      <vt:lpstr>Stack3</vt:lpstr>
      <vt:lpstr>Stack4</vt:lpstr>
      <vt:lpstr>StackBy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Galligan</dc:creator>
  <cp:lastModifiedBy>Ben Joselson</cp:lastModifiedBy>
  <dcterms:created xsi:type="dcterms:W3CDTF">2016-08-15T02:29:33Z</dcterms:created>
  <dcterms:modified xsi:type="dcterms:W3CDTF">2016-09-29T13:16:01Z</dcterms:modified>
</cp:coreProperties>
</file>